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MOSCOSO\Documents\dev\cash_flow_investment_automatization\data\"/>
    </mc:Choice>
  </mc:AlternateContent>
  <xr:revisionPtr revIDLastSave="0" documentId="13_ncr:1_{E554BD2A-510C-4CA1-A603-66428D0DCD28}" xr6:coauthVersionLast="47" xr6:coauthVersionMax="47" xr10:uidLastSave="{00000000-0000-0000-0000-000000000000}"/>
  <bookViews>
    <workbookView xWindow="-103" yWindow="-103" windowWidth="16663" windowHeight="9772" tabRatio="775" firstSheet="13" activeTab="27" xr2:uid="{E8C15E9C-CCE5-4871-BFE9-1E422F2393E4}"/>
  </bookViews>
  <sheets>
    <sheet name="CAJA EXPERIMENTO" sheetId="40" state="hidden" r:id="rId1"/>
    <sheet name="TABLA DINAMICA" sheetId="41" state="hidden" r:id="rId2"/>
    <sheet name="Verificación Caja" sheetId="24" state="hidden" r:id="rId3"/>
    <sheet name="Movimientos Reales" sheetId="23" state="hidden" r:id="rId4"/>
    <sheet name="1.Adm-Ven-imp" sheetId="30" r:id="rId5"/>
    <sheet name="2.Estructuracion" sheetId="38" state="hidden" r:id="rId6"/>
    <sheet name="Caja Real mensual " sheetId="34" state="hidden" r:id="rId7"/>
    <sheet name="Gastos Bancarios" sheetId="27" state="hidden" r:id="rId8"/>
    <sheet name="Retenciones" sheetId="26" state="hidden" r:id="rId9"/>
    <sheet name="Semanal" sheetId="39" state="hidden" r:id="rId10"/>
    <sheet name="3. Nomina" sheetId="29" state="hidden" r:id="rId11"/>
    <sheet name="4 EPC - MINI GRANJAS - CAPEX" sheetId="25" r:id="rId12"/>
    <sheet name="Inversión granjas" sheetId="47" r:id="rId13"/>
    <sheet name="5. Deuda" sheetId="2" r:id="rId14"/>
    <sheet name="Ventas energía PPA" sheetId="3" state="hidden" r:id="rId15"/>
    <sheet name="PPAs activos" sheetId="6" state="hidden" r:id="rId16"/>
    <sheet name="Ventas Mini granjas (proyeccion" sheetId="16" state="hidden" r:id="rId17"/>
    <sheet name="Proyección PPAs" sheetId="31" state="hidden" r:id="rId18"/>
    <sheet name="4  Ventas EPC (Proyeccion)" sheetId="4" state="hidden" r:id="rId19"/>
    <sheet name="Proyección 2024" sheetId="36" state="hidden" r:id="rId20"/>
    <sheet name="6.Ventas EPC REAL" sheetId="32" r:id="rId21"/>
    <sheet name="6.Ventas EPC proyectadas" sheetId="42" state="hidden" r:id="rId22"/>
    <sheet name="6. PPAS techos meta " sheetId="45" state="hidden" r:id="rId23"/>
    <sheet name="6. PPAS REALES" sheetId="46" state="hidden" r:id="rId24"/>
    <sheet name="8, Granjas" sheetId="44" r:id="rId25"/>
    <sheet name="7,Ingreso venta de energia" sheetId="43" r:id="rId26"/>
    <sheet name="Diapositiva Junta" sheetId="48" state="hidden" r:id="rId27"/>
    <sheet name="Cierre real" sheetId="33" r:id="rId28"/>
    <sheet name="CIERRE 2024" sheetId="19" state="hidden" r:id="rId29"/>
    <sheet name="Metas" sheetId="37" state="hidden" r:id="rId30"/>
  </sheets>
  <definedNames>
    <definedName name="_xlnm._FilterDatabase" localSheetId="10" hidden="1">'3. Nomina'!$B$5:$AA$5</definedName>
    <definedName name="_xlnm._FilterDatabase" localSheetId="7" hidden="1">'Gastos Bancarios'!$B$4:$G$405</definedName>
    <definedName name="_xlnm._FilterDatabase" localSheetId="3" hidden="1">'Movimientos Reales'!$A$4:$ES$10341</definedName>
    <definedName name="_xlnm._FilterDatabase" localSheetId="8" hidden="1">Retenciones!$B$8:$M$305</definedName>
    <definedName name="_xlnm.Print_Area" localSheetId="9">Semanal!$A$1:$K$42</definedName>
    <definedName name="solver_adj" localSheetId="6">'Caja Real mensual '!#REF!</definedName>
    <definedName name="solver_adj" localSheetId="27">#REF!</definedName>
    <definedName name="solver_adj" localSheetId="19">#REF!</definedName>
    <definedName name="solver_opt" localSheetId="6">'Caja Real mensual '!#REF!</definedName>
    <definedName name="solver_opt" localSheetId="27">#REF!</definedName>
    <definedName name="solver_opt" localSheetId="19">#REF!</definedName>
  </definedNames>
  <calcPr calcId="191028"/>
  <pivotCaches>
    <pivotCache cacheId="0" r:id="rId3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9" i="44" l="1"/>
  <c r="G65" i="32"/>
  <c r="I23" i="44"/>
  <c r="I19" i="44"/>
  <c r="N180" i="25"/>
  <c r="N177" i="25"/>
  <c r="P174" i="25"/>
  <c r="O174" i="25"/>
  <c r="N174" i="25"/>
  <c r="M174" i="25"/>
  <c r="L174" i="25"/>
  <c r="B175" i="25"/>
  <c r="K168" i="25"/>
  <c r="L168" i="25"/>
  <c r="L165" i="25"/>
  <c r="B158" i="25"/>
  <c r="B157" i="25"/>
  <c r="A158" i="25"/>
  <c r="A156" i="25"/>
  <c r="L156" i="25"/>
  <c r="Q96" i="25"/>
  <c r="P96" i="25"/>
  <c r="O96" i="25"/>
  <c r="N96" i="25"/>
  <c r="L96" i="25"/>
  <c r="J96" i="25"/>
  <c r="I96" i="25"/>
  <c r="H96" i="25"/>
  <c r="G96" i="25"/>
  <c r="F96" i="25"/>
  <c r="K95" i="25"/>
  <c r="K94" i="25"/>
  <c r="Q93" i="25"/>
  <c r="P93" i="25"/>
  <c r="O93" i="25"/>
  <c r="N93" i="25"/>
  <c r="L93" i="25"/>
  <c r="J93" i="25"/>
  <c r="I93" i="25"/>
  <c r="H93" i="25"/>
  <c r="G93" i="25"/>
  <c r="F93" i="25"/>
  <c r="K92" i="25"/>
  <c r="K91" i="25"/>
  <c r="N144" i="25"/>
  <c r="M144" i="25"/>
  <c r="L144" i="25"/>
  <c r="K144" i="25"/>
  <c r="L30" i="33"/>
  <c r="L158" i="25"/>
  <c r="L155" i="25"/>
  <c r="J6" i="32"/>
  <c r="J5" i="32"/>
  <c r="J69" i="32"/>
  <c r="J66" i="32"/>
  <c r="J65" i="32"/>
  <c r="J19" i="32"/>
  <c r="L7" i="33"/>
  <c r="J178" i="25"/>
  <c r="J172" i="25"/>
  <c r="K50" i="25"/>
  <c r="K40" i="25"/>
  <c r="K41" i="25"/>
  <c r="L41" i="25"/>
  <c r="K17" i="25"/>
  <c r="K35" i="25"/>
  <c r="K26" i="25"/>
  <c r="L26" i="25"/>
  <c r="K28" i="25"/>
  <c r="K23" i="25"/>
  <c r="K77" i="25"/>
  <c r="K32" i="25"/>
  <c r="K38" i="25"/>
  <c r="K47" i="25"/>
  <c r="K20" i="25"/>
  <c r="M114" i="25"/>
  <c r="L129" i="25"/>
  <c r="K120" i="25"/>
  <c r="L25" i="33"/>
  <c r="K171" i="25"/>
  <c r="N170" i="25"/>
  <c r="K162" i="25"/>
  <c r="K30" i="33"/>
  <c r="G13" i="2"/>
  <c r="K33" i="33"/>
  <c r="K12" i="33"/>
  <c r="K17" i="33" s="1"/>
  <c r="K6" i="33"/>
  <c r="G15" i="44"/>
  <c r="N11" i="44"/>
  <c r="I29" i="44"/>
  <c r="J29" i="44"/>
  <c r="K29" i="44"/>
  <c r="L29" i="44"/>
  <c r="M29" i="44"/>
  <c r="D33" i="44"/>
  <c r="I24" i="44"/>
  <c r="J24" i="44" s="1"/>
  <c r="M49" i="44" s="1"/>
  <c r="C25" i="44"/>
  <c r="C28" i="44" s="1"/>
  <c r="D25" i="44"/>
  <c r="D28" i="44" s="1"/>
  <c r="M6" i="44"/>
  <c r="L6" i="44" s="1"/>
  <c r="N7" i="44"/>
  <c r="N6" i="44"/>
  <c r="I5" i="44"/>
  <c r="J5" i="44" s="1"/>
  <c r="K5" i="44" s="1"/>
  <c r="L5" i="44" s="1"/>
  <c r="M5" i="44" s="1"/>
  <c r="N5" i="44" s="1"/>
  <c r="E65" i="44"/>
  <c r="F65" i="44" s="1"/>
  <c r="D68" i="44"/>
  <c r="C68" i="44"/>
  <c r="D63" i="44"/>
  <c r="E60" i="44"/>
  <c r="F60" i="44" s="1"/>
  <c r="C63" i="44"/>
  <c r="D58" i="44"/>
  <c r="C58" i="44"/>
  <c r="E55" i="44"/>
  <c r="F55" i="44" s="1"/>
  <c r="C53" i="44"/>
  <c r="E50" i="44"/>
  <c r="F50" i="44" s="1"/>
  <c r="D53" i="44"/>
  <c r="E45" i="44"/>
  <c r="F45" i="44" s="1"/>
  <c r="D48" i="44"/>
  <c r="C48" i="44"/>
  <c r="E40" i="44"/>
  <c r="F40" i="44" s="1"/>
  <c r="D43" i="44"/>
  <c r="C43" i="44"/>
  <c r="C38" i="44"/>
  <c r="E35" i="44"/>
  <c r="F35" i="44" s="1"/>
  <c r="D38" i="44"/>
  <c r="C33" i="44"/>
  <c r="E30" i="44"/>
  <c r="F30" i="44" s="1"/>
  <c r="K13" i="44"/>
  <c r="I13" i="44"/>
  <c r="H13" i="44"/>
  <c r="G13" i="44"/>
  <c r="F13" i="44"/>
  <c r="E13" i="44"/>
  <c r="D13" i="44"/>
  <c r="D23" i="44" s="1"/>
  <c r="C13" i="44"/>
  <c r="C23" i="44" s="1"/>
  <c r="E14" i="44"/>
  <c r="F14" i="44" s="1"/>
  <c r="G14" i="44" s="1"/>
  <c r="H14" i="44" s="1"/>
  <c r="I14" i="44" s="1"/>
  <c r="J14" i="44" s="1"/>
  <c r="H5" i="47"/>
  <c r="Q145" i="25"/>
  <c r="P145" i="25"/>
  <c r="O145" i="25"/>
  <c r="N145" i="25"/>
  <c r="M145" i="25"/>
  <c r="L145" i="25"/>
  <c r="K145" i="25"/>
  <c r="J145" i="25"/>
  <c r="I145" i="25"/>
  <c r="H145" i="25"/>
  <c r="F145" i="25"/>
  <c r="G145" i="25"/>
  <c r="O23" i="47"/>
  <c r="H23" i="47"/>
  <c r="I23" i="47"/>
  <c r="J23" i="47"/>
  <c r="K23" i="47"/>
  <c r="L23" i="47"/>
  <c r="M23" i="47"/>
  <c r="N23" i="47"/>
  <c r="I172" i="25"/>
  <c r="Q90" i="25"/>
  <c r="P90" i="25"/>
  <c r="O90" i="25"/>
  <c r="N90" i="25"/>
  <c r="L90" i="25"/>
  <c r="J90" i="25"/>
  <c r="I90" i="25"/>
  <c r="H90" i="25"/>
  <c r="G90" i="25"/>
  <c r="F90" i="25"/>
  <c r="K89" i="25"/>
  <c r="K88" i="25"/>
  <c r="Q87" i="25"/>
  <c r="P87" i="25"/>
  <c r="O87" i="25"/>
  <c r="N87" i="25"/>
  <c r="L87" i="25"/>
  <c r="J87" i="25"/>
  <c r="I87" i="25"/>
  <c r="H87" i="25"/>
  <c r="G87" i="25"/>
  <c r="F87" i="25"/>
  <c r="K86" i="25"/>
  <c r="K85" i="25"/>
  <c r="Q84" i="25"/>
  <c r="P84" i="25"/>
  <c r="O84" i="25"/>
  <c r="N84" i="25"/>
  <c r="L84" i="25"/>
  <c r="J84" i="25"/>
  <c r="I84" i="25"/>
  <c r="H84" i="25"/>
  <c r="G84" i="25"/>
  <c r="F84" i="25"/>
  <c r="K83" i="25"/>
  <c r="K82" i="25"/>
  <c r="M82" i="25" s="1"/>
  <c r="M84" i="25" s="1"/>
  <c r="J45" i="25"/>
  <c r="K45" i="25"/>
  <c r="I45" i="25"/>
  <c r="I30" i="25"/>
  <c r="J30" i="25"/>
  <c r="H65" i="32"/>
  <c r="I65" i="32"/>
  <c r="K65" i="32"/>
  <c r="L65" i="32"/>
  <c r="M65" i="32"/>
  <c r="N65" i="32"/>
  <c r="O65" i="32"/>
  <c r="P65" i="32"/>
  <c r="Q65" i="32"/>
  <c r="H66" i="32"/>
  <c r="I66" i="32"/>
  <c r="K66" i="32"/>
  <c r="L66" i="32"/>
  <c r="M66" i="32"/>
  <c r="N66" i="32"/>
  <c r="O66" i="32"/>
  <c r="P66" i="32"/>
  <c r="Q66" i="32"/>
  <c r="K5" i="32"/>
  <c r="L5" i="32"/>
  <c r="M5" i="32"/>
  <c r="K6" i="32"/>
  <c r="L6" i="32"/>
  <c r="M6" i="32"/>
  <c r="L6" i="33"/>
  <c r="L12" i="33" s="1"/>
  <c r="L17" i="33" s="1"/>
  <c r="I5" i="32"/>
  <c r="I10" i="32"/>
  <c r="H15" i="44" l="1"/>
  <c r="I15" i="44" s="1"/>
  <c r="J15" i="44" s="1"/>
  <c r="K15" i="44" s="1"/>
  <c r="L15" i="44" s="1"/>
  <c r="M15" i="44" s="1"/>
  <c r="N15" i="44" s="1"/>
  <c r="G26" i="44"/>
  <c r="K96" i="25"/>
  <c r="M94" i="25"/>
  <c r="M96" i="25" s="1"/>
  <c r="K93" i="25"/>
  <c r="M91" i="25"/>
  <c r="M93" i="25" s="1"/>
  <c r="M85" i="25"/>
  <c r="M87" i="25" s="1"/>
  <c r="K87" i="25"/>
  <c r="M88" i="25"/>
  <c r="M90" i="25" s="1"/>
  <c r="K90" i="25"/>
  <c r="D69" i="44"/>
  <c r="L49" i="44"/>
  <c r="M44" i="44"/>
  <c r="N49" i="44"/>
  <c r="M9" i="44"/>
  <c r="N9" i="44" s="1"/>
  <c r="N10" i="44" s="1"/>
  <c r="H25" i="44"/>
  <c r="I25" i="44"/>
  <c r="G25" i="44"/>
  <c r="K24" i="44"/>
  <c r="L24" i="44" s="1"/>
  <c r="F25" i="44"/>
  <c r="F28" i="44" s="1"/>
  <c r="E25" i="44"/>
  <c r="E28" i="44" s="1"/>
  <c r="E63" i="44"/>
  <c r="E68" i="44"/>
  <c r="E43" i="44"/>
  <c r="E48" i="44"/>
  <c r="F48" i="44"/>
  <c r="E33" i="44"/>
  <c r="F43" i="44"/>
  <c r="F33" i="44"/>
  <c r="F68" i="44"/>
  <c r="F63" i="44"/>
  <c r="F58" i="44"/>
  <c r="E58" i="44"/>
  <c r="F53" i="44"/>
  <c r="E53" i="44"/>
  <c r="F38" i="44"/>
  <c r="E38" i="44"/>
  <c r="K14" i="44"/>
  <c r="L14" i="44" s="1"/>
  <c r="M14" i="44" s="1"/>
  <c r="N14" i="44" s="1"/>
  <c r="J23" i="44"/>
  <c r="G23" i="44"/>
  <c r="E23" i="44"/>
  <c r="F23" i="44"/>
  <c r="H23" i="44"/>
  <c r="L13" i="44"/>
  <c r="K84" i="25"/>
  <c r="G28" i="44" l="1"/>
  <c r="G30" i="44"/>
  <c r="H26" i="44"/>
  <c r="I26" i="44" s="1"/>
  <c r="J26" i="44" s="1"/>
  <c r="K26" i="44" s="1"/>
  <c r="L26" i="44" s="1"/>
  <c r="M26" i="44" s="1"/>
  <c r="N26" i="44" s="1"/>
  <c r="G31" i="44"/>
  <c r="E69" i="44"/>
  <c r="F69" i="44"/>
  <c r="N54" i="44"/>
  <c r="N59" i="44" s="1"/>
  <c r="N64" i="44" s="1"/>
  <c r="N44" i="44"/>
  <c r="L9" i="44"/>
  <c r="M8" i="44"/>
  <c r="K23" i="44"/>
  <c r="N29" i="44"/>
  <c r="N34" i="44" s="1"/>
  <c r="N24" i="44"/>
  <c r="H28" i="44"/>
  <c r="L23" i="44"/>
  <c r="M13" i="44"/>
  <c r="N10" i="48"/>
  <c r="N25" i="48"/>
  <c r="M25" i="48"/>
  <c r="H22" i="48"/>
  <c r="I22" i="48" s="1"/>
  <c r="C22" i="48"/>
  <c r="D22" i="48" s="1"/>
  <c r="G21" i="48"/>
  <c r="H10" i="48"/>
  <c r="H15" i="48" s="1"/>
  <c r="D15" i="48"/>
  <c r="E15" i="48"/>
  <c r="F15" i="48"/>
  <c r="G8" i="48"/>
  <c r="G15" i="48" s="1"/>
  <c r="C10" i="48"/>
  <c r="C15" i="48" s="1"/>
  <c r="K33" i="2"/>
  <c r="G33" i="2"/>
  <c r="E33" i="2"/>
  <c r="F33" i="2"/>
  <c r="I33" i="2"/>
  <c r="J33" i="2"/>
  <c r="L33" i="2"/>
  <c r="M33" i="2"/>
  <c r="N33" i="2"/>
  <c r="O33" i="2"/>
  <c r="D33" i="2"/>
  <c r="N89" i="33"/>
  <c r="Q177" i="25"/>
  <c r="J78" i="25"/>
  <c r="M76" i="25"/>
  <c r="M78" i="25" s="1"/>
  <c r="K76" i="25"/>
  <c r="K78" i="25" s="1"/>
  <c r="I78" i="25"/>
  <c r="Q81" i="25"/>
  <c r="P81" i="25"/>
  <c r="O81" i="25"/>
  <c r="N81" i="25"/>
  <c r="L81" i="25"/>
  <c r="J81" i="25"/>
  <c r="I81" i="25"/>
  <c r="H81" i="25"/>
  <c r="G81" i="25"/>
  <c r="F81" i="25"/>
  <c r="Q78" i="25"/>
  <c r="P78" i="25"/>
  <c r="O78" i="25"/>
  <c r="N78" i="25"/>
  <c r="L78" i="25"/>
  <c r="H78" i="25"/>
  <c r="G78" i="25"/>
  <c r="F78" i="25"/>
  <c r="N25" i="32"/>
  <c r="N26" i="32" s="1"/>
  <c r="P31" i="32"/>
  <c r="P32" i="32" s="1"/>
  <c r="O29" i="32"/>
  <c r="O30" i="32" s="1"/>
  <c r="K80" i="25" s="1"/>
  <c r="O27" i="32"/>
  <c r="O5" i="32" s="1"/>
  <c r="H5" i="32"/>
  <c r="H6" i="32"/>
  <c r="J7" i="33" s="1"/>
  <c r="G6" i="32"/>
  <c r="R21" i="32"/>
  <c r="R15" i="32"/>
  <c r="R13" i="32"/>
  <c r="R11" i="32"/>
  <c r="R7" i="32"/>
  <c r="E23" i="47"/>
  <c r="F23" i="47"/>
  <c r="G23" i="47"/>
  <c r="K175" i="25"/>
  <c r="L175" i="25"/>
  <c r="M175" i="25"/>
  <c r="N175" i="25"/>
  <c r="O175" i="25"/>
  <c r="P175" i="25"/>
  <c r="Q175" i="25"/>
  <c r="T28" i="33"/>
  <c r="T25" i="33"/>
  <c r="Q59" i="32"/>
  <c r="R59" i="32" s="1"/>
  <c r="Q57" i="32"/>
  <c r="R57" i="32" s="1"/>
  <c r="M177" i="25"/>
  <c r="L177" i="25"/>
  <c r="N7" i="47"/>
  <c r="O7" i="47" s="1"/>
  <c r="I7" i="47"/>
  <c r="J7" i="47" s="1"/>
  <c r="I8" i="32"/>
  <c r="I6" i="32" s="1"/>
  <c r="M22" i="47"/>
  <c r="L22" i="47"/>
  <c r="O172" i="25"/>
  <c r="P172" i="25"/>
  <c r="Q172" i="25"/>
  <c r="H177" i="25"/>
  <c r="H120" i="25"/>
  <c r="Q72" i="25"/>
  <c r="P72" i="25"/>
  <c r="O72" i="25"/>
  <c r="N72" i="25"/>
  <c r="M72" i="25"/>
  <c r="K72" i="25"/>
  <c r="H72" i="25"/>
  <c r="G72" i="25"/>
  <c r="F72" i="25"/>
  <c r="L72" i="25"/>
  <c r="J72" i="25"/>
  <c r="I72" i="25"/>
  <c r="H111" i="25"/>
  <c r="G165" i="25"/>
  <c r="G49" i="32"/>
  <c r="D49" i="32" s="1"/>
  <c r="H31" i="44" l="1"/>
  <c r="I31" i="44" s="1"/>
  <c r="J31" i="44" s="1"/>
  <c r="K31" i="44" s="1"/>
  <c r="L31" i="44" s="1"/>
  <c r="M31" i="44" s="1"/>
  <c r="N31" i="44" s="1"/>
  <c r="G36" i="44"/>
  <c r="G35" i="44"/>
  <c r="H30" i="44"/>
  <c r="G33" i="44"/>
  <c r="N39" i="44"/>
  <c r="M34" i="44"/>
  <c r="L34" i="44" s="1"/>
  <c r="J25" i="44"/>
  <c r="I28" i="44"/>
  <c r="M23" i="44"/>
  <c r="N13" i="44"/>
  <c r="N23" i="44" s="1"/>
  <c r="G5" i="32"/>
  <c r="O28" i="32"/>
  <c r="K79" i="25"/>
  <c r="M79" i="25" s="1"/>
  <c r="M81" i="25" s="1"/>
  <c r="Q5" i="32"/>
  <c r="I10" i="48"/>
  <c r="E22" i="48"/>
  <c r="D21" i="48"/>
  <c r="J22" i="48"/>
  <c r="I21" i="48"/>
  <c r="C21" i="48"/>
  <c r="H21" i="48"/>
  <c r="O6" i="32"/>
  <c r="R49" i="32"/>
  <c r="Q60" i="32"/>
  <c r="Q6" i="32" s="1"/>
  <c r="J6" i="33"/>
  <c r="J12" i="33" s="1"/>
  <c r="H39" i="33"/>
  <c r="I30" i="44" l="1"/>
  <c r="H33" i="44"/>
  <c r="G40" i="44"/>
  <c r="H35" i="44"/>
  <c r="G38" i="44"/>
  <c r="H36" i="44"/>
  <c r="I36" i="44" s="1"/>
  <c r="J36" i="44" s="1"/>
  <c r="K36" i="44" s="1"/>
  <c r="L36" i="44" s="1"/>
  <c r="M36" i="44" s="1"/>
  <c r="N36" i="44" s="1"/>
  <c r="G41" i="44"/>
  <c r="K25" i="44"/>
  <c r="J28" i="44"/>
  <c r="K81" i="25"/>
  <c r="I15" i="48"/>
  <c r="J10" i="48"/>
  <c r="K22" i="48"/>
  <c r="F22" i="48"/>
  <c r="F21" i="48" s="1"/>
  <c r="E21" i="48"/>
  <c r="J23" i="48"/>
  <c r="K23" i="48" s="1"/>
  <c r="L23" i="48" s="1"/>
  <c r="M23" i="48" s="1"/>
  <c r="N23" i="48" s="1"/>
  <c r="I33" i="33"/>
  <c r="F133" i="25"/>
  <c r="F130" i="25"/>
  <c r="F127" i="25"/>
  <c r="F124" i="25"/>
  <c r="H41" i="44" l="1"/>
  <c r="I41" i="44" s="1"/>
  <c r="J41" i="44" s="1"/>
  <c r="K41" i="44" s="1"/>
  <c r="L41" i="44" s="1"/>
  <c r="M41" i="44" s="1"/>
  <c r="N41" i="44" s="1"/>
  <c r="G46" i="44"/>
  <c r="I35" i="44"/>
  <c r="H38" i="44"/>
  <c r="G45" i="44"/>
  <c r="H40" i="44"/>
  <c r="G43" i="44"/>
  <c r="J30" i="44"/>
  <c r="I33" i="44"/>
  <c r="L25" i="44"/>
  <c r="K28" i="44"/>
  <c r="J15" i="48"/>
  <c r="K10" i="48"/>
  <c r="L22" i="48"/>
  <c r="K21" i="48"/>
  <c r="J21" i="48"/>
  <c r="N172" i="25"/>
  <c r="M172" i="25"/>
  <c r="L172" i="25"/>
  <c r="K172" i="25"/>
  <c r="H172" i="25"/>
  <c r="G172" i="25"/>
  <c r="F172" i="25"/>
  <c r="K30" i="44" l="1"/>
  <c r="J33" i="44"/>
  <c r="I40" i="44"/>
  <c r="H43" i="44"/>
  <c r="G50" i="44"/>
  <c r="H45" i="44"/>
  <c r="G48" i="44"/>
  <c r="J35" i="44"/>
  <c r="I38" i="44"/>
  <c r="H46" i="44"/>
  <c r="I46" i="44" s="1"/>
  <c r="J46" i="44" s="1"/>
  <c r="K46" i="44" s="1"/>
  <c r="L46" i="44" s="1"/>
  <c r="M46" i="44" s="1"/>
  <c r="N46" i="44" s="1"/>
  <c r="G51" i="44"/>
  <c r="M25" i="44"/>
  <c r="L28" i="44"/>
  <c r="K15" i="48"/>
  <c r="L10" i="48"/>
  <c r="L21" i="48"/>
  <c r="M22" i="48"/>
  <c r="M156" i="25"/>
  <c r="Q142" i="25"/>
  <c r="P142" i="25"/>
  <c r="O142" i="25"/>
  <c r="N142" i="25"/>
  <c r="M142" i="25"/>
  <c r="L142" i="25"/>
  <c r="K142" i="25"/>
  <c r="J142" i="25"/>
  <c r="I142" i="25"/>
  <c r="H142" i="25"/>
  <c r="F142" i="25"/>
  <c r="G141" i="25"/>
  <c r="G142" i="25" s="1"/>
  <c r="H133" i="25"/>
  <c r="J25" i="47"/>
  <c r="K25" i="47" s="1"/>
  <c r="L25" i="47" s="1"/>
  <c r="H16" i="47"/>
  <c r="D23" i="2"/>
  <c r="G27" i="2"/>
  <c r="F27" i="2"/>
  <c r="H51" i="44" l="1"/>
  <c r="I51" i="44" s="1"/>
  <c r="J51" i="44" s="1"/>
  <c r="K51" i="44" s="1"/>
  <c r="L51" i="44" s="1"/>
  <c r="M51" i="44" s="1"/>
  <c r="N51" i="44" s="1"/>
  <c r="G56" i="44"/>
  <c r="J38" i="44"/>
  <c r="K35" i="44"/>
  <c r="I45" i="44"/>
  <c r="H48" i="44"/>
  <c r="G55" i="44"/>
  <c r="H50" i="44"/>
  <c r="G53" i="44"/>
  <c r="J40" i="44"/>
  <c r="I43" i="44"/>
  <c r="L30" i="44"/>
  <c r="K33" i="44"/>
  <c r="N25" i="44"/>
  <c r="N28" i="44" s="1"/>
  <c r="M28" i="44"/>
  <c r="L15" i="48"/>
  <c r="M10" i="48"/>
  <c r="N22" i="48"/>
  <c r="N21" i="48" s="1"/>
  <c r="M21" i="48"/>
  <c r="G178" i="25"/>
  <c r="I25" i="33" s="1"/>
  <c r="H178" i="25"/>
  <c r="J25" i="33" s="1"/>
  <c r="I178" i="25"/>
  <c r="K178" i="25"/>
  <c r="M25" i="33" s="1"/>
  <c r="L178" i="25"/>
  <c r="N25" i="33" s="1"/>
  <c r="M178" i="25"/>
  <c r="O25" i="33" s="1"/>
  <c r="N178" i="25"/>
  <c r="P25" i="33" s="1"/>
  <c r="O178" i="25"/>
  <c r="Q25" i="33" s="1"/>
  <c r="P178" i="25"/>
  <c r="R25" i="33" s="1"/>
  <c r="Q178" i="25"/>
  <c r="S25" i="33" s="1"/>
  <c r="M30" i="44" l="1"/>
  <c r="L33" i="44"/>
  <c r="J43" i="44"/>
  <c r="K40" i="44"/>
  <c r="I50" i="44"/>
  <c r="H53" i="44"/>
  <c r="G60" i="44"/>
  <c r="H55" i="44"/>
  <c r="G58" i="44"/>
  <c r="J45" i="44"/>
  <c r="I48" i="44"/>
  <c r="K38" i="44"/>
  <c r="L35" i="44"/>
  <c r="H56" i="44"/>
  <c r="I56" i="44" s="1"/>
  <c r="J56" i="44" s="1"/>
  <c r="K56" i="44" s="1"/>
  <c r="L56" i="44" s="1"/>
  <c r="M56" i="44" s="1"/>
  <c r="N56" i="44" s="1"/>
  <c r="G61" i="44"/>
  <c r="M15" i="48"/>
  <c r="N15" i="48"/>
  <c r="K25" i="33"/>
  <c r="L68" i="25"/>
  <c r="L69" i="25" s="1"/>
  <c r="K68" i="25"/>
  <c r="K69" i="25" s="1"/>
  <c r="J69" i="25"/>
  <c r="I69" i="25"/>
  <c r="Q69" i="25"/>
  <c r="P69" i="25"/>
  <c r="O69" i="25"/>
  <c r="N69" i="25"/>
  <c r="M69" i="25"/>
  <c r="H69" i="25"/>
  <c r="G69" i="25"/>
  <c r="F69" i="25"/>
  <c r="L130" i="25"/>
  <c r="M130" i="25"/>
  <c r="N130" i="25"/>
  <c r="O130" i="25"/>
  <c r="P130" i="25"/>
  <c r="Q130" i="25"/>
  <c r="G130" i="25"/>
  <c r="K129" i="25"/>
  <c r="K130" i="25" s="1"/>
  <c r="J130" i="25"/>
  <c r="I130" i="25"/>
  <c r="H130" i="25"/>
  <c r="K75" i="25"/>
  <c r="J75" i="25"/>
  <c r="H75" i="25"/>
  <c r="I75" i="25"/>
  <c r="L75" i="25"/>
  <c r="M75" i="25"/>
  <c r="N75" i="25"/>
  <c r="O75" i="25"/>
  <c r="P75" i="25"/>
  <c r="Q75" i="25"/>
  <c r="H66" i="25"/>
  <c r="I66" i="25"/>
  <c r="J66" i="25"/>
  <c r="K66" i="25"/>
  <c r="L66" i="25"/>
  <c r="M66" i="25"/>
  <c r="N66" i="25"/>
  <c r="O66" i="25"/>
  <c r="P66" i="25"/>
  <c r="Q66" i="25"/>
  <c r="H63" i="25"/>
  <c r="I63" i="25"/>
  <c r="J63" i="25"/>
  <c r="K63" i="25"/>
  <c r="L63" i="25"/>
  <c r="M63" i="25"/>
  <c r="N63" i="25"/>
  <c r="O63" i="25"/>
  <c r="P63" i="25"/>
  <c r="Q63" i="25"/>
  <c r="H60" i="25"/>
  <c r="I60" i="25"/>
  <c r="J60" i="25"/>
  <c r="K60" i="25"/>
  <c r="L60" i="25"/>
  <c r="M60" i="25"/>
  <c r="N60" i="25"/>
  <c r="O60" i="25"/>
  <c r="P60" i="25"/>
  <c r="Q60" i="25"/>
  <c r="H57" i="25"/>
  <c r="I57" i="25"/>
  <c r="J57" i="25"/>
  <c r="K57" i="25"/>
  <c r="L57" i="25"/>
  <c r="M57" i="25"/>
  <c r="N57" i="25"/>
  <c r="O57" i="25"/>
  <c r="P57" i="25"/>
  <c r="Q57" i="25"/>
  <c r="G75" i="25"/>
  <c r="F75" i="25"/>
  <c r="G66" i="25"/>
  <c r="F66" i="25"/>
  <c r="G63" i="25"/>
  <c r="F63" i="25"/>
  <c r="G60" i="25"/>
  <c r="F60" i="25"/>
  <c r="G57" i="25"/>
  <c r="F57" i="25"/>
  <c r="H45" i="25"/>
  <c r="M40" i="25"/>
  <c r="H39" i="25"/>
  <c r="I39" i="25"/>
  <c r="J39" i="25"/>
  <c r="K39" i="25"/>
  <c r="L39" i="25"/>
  <c r="G138" i="25"/>
  <c r="G139" i="25" s="1"/>
  <c r="G136" i="25"/>
  <c r="G133" i="25"/>
  <c r="G127" i="25"/>
  <c r="G123" i="25"/>
  <c r="G124" i="25" s="1"/>
  <c r="H61" i="44" l="1"/>
  <c r="I61" i="44" s="1"/>
  <c r="J61" i="44" s="1"/>
  <c r="K61" i="44" s="1"/>
  <c r="L61" i="44" s="1"/>
  <c r="M61" i="44" s="1"/>
  <c r="N61" i="44" s="1"/>
  <c r="G66" i="44"/>
  <c r="H66" i="44" s="1"/>
  <c r="I66" i="44" s="1"/>
  <c r="J66" i="44" s="1"/>
  <c r="K66" i="44" s="1"/>
  <c r="L66" i="44" s="1"/>
  <c r="M66" i="44" s="1"/>
  <c r="N66" i="44" s="1"/>
  <c r="M35" i="44"/>
  <c r="L38" i="44"/>
  <c r="K45" i="44"/>
  <c r="J48" i="44"/>
  <c r="I55" i="44"/>
  <c r="H58" i="44"/>
  <c r="G65" i="44"/>
  <c r="H60" i="44"/>
  <c r="G63" i="44"/>
  <c r="J50" i="44"/>
  <c r="I53" i="44"/>
  <c r="L40" i="44"/>
  <c r="K43" i="44"/>
  <c r="N30" i="44"/>
  <c r="N33" i="44" s="1"/>
  <c r="M33" i="44"/>
  <c r="N55" i="32"/>
  <c r="N5" i="32" s="1"/>
  <c r="M40" i="44" l="1"/>
  <c r="L43" i="44"/>
  <c r="J53" i="44"/>
  <c r="K50" i="44"/>
  <c r="I60" i="44"/>
  <c r="H63" i="44"/>
  <c r="H65" i="44"/>
  <c r="G68" i="44"/>
  <c r="G69" i="44" s="1"/>
  <c r="J55" i="44"/>
  <c r="I58" i="44"/>
  <c r="L45" i="44"/>
  <c r="K48" i="44"/>
  <c r="N35" i="44"/>
  <c r="N38" i="44" s="1"/>
  <c r="M38" i="44"/>
  <c r="N56" i="32"/>
  <c r="N6" i="32" s="1"/>
  <c r="R55" i="32"/>
  <c r="V18" i="33"/>
  <c r="V19" i="33"/>
  <c r="V20" i="33"/>
  <c r="V22" i="33"/>
  <c r="V29" i="33"/>
  <c r="V9" i="33"/>
  <c r="M45" i="44" l="1"/>
  <c r="L48" i="44"/>
  <c r="K55" i="44"/>
  <c r="J58" i="44"/>
  <c r="H68" i="44"/>
  <c r="H69" i="44" s="1"/>
  <c r="M11" i="33" s="1"/>
  <c r="I65" i="44"/>
  <c r="J60" i="44"/>
  <c r="I63" i="44"/>
  <c r="K53" i="44"/>
  <c r="L50" i="44"/>
  <c r="N40" i="44"/>
  <c r="N43" i="44" s="1"/>
  <c r="M43" i="44"/>
  <c r="L79" i="44"/>
  <c r="H27" i="33"/>
  <c r="M50" i="44" l="1"/>
  <c r="L53" i="44"/>
  <c r="K60" i="44"/>
  <c r="J63" i="44"/>
  <c r="I68" i="44"/>
  <c r="I69" i="44" s="1"/>
  <c r="N11" i="33" s="1"/>
  <c r="J65" i="44"/>
  <c r="L55" i="44"/>
  <c r="K58" i="44"/>
  <c r="N45" i="44"/>
  <c r="N48" i="44" s="1"/>
  <c r="M48" i="44"/>
  <c r="C3" i="44"/>
  <c r="I4" i="44" s="1"/>
  <c r="M17" i="32"/>
  <c r="M18" i="32"/>
  <c r="J20" i="32"/>
  <c r="G66" i="32"/>
  <c r="J23" i="32"/>
  <c r="K33" i="32"/>
  <c r="R33" i="32" s="1"/>
  <c r="K34" i="32"/>
  <c r="K35" i="32"/>
  <c r="K36" i="32"/>
  <c r="K37" i="32"/>
  <c r="R37" i="32" s="1"/>
  <c r="K38" i="32"/>
  <c r="L39" i="32"/>
  <c r="L40" i="32"/>
  <c r="L41" i="32"/>
  <c r="R41" i="32" s="1"/>
  <c r="L42" i="32"/>
  <c r="L43" i="32"/>
  <c r="M47" i="32"/>
  <c r="P51" i="32"/>
  <c r="P5" i="32" s="1"/>
  <c r="P52" i="32"/>
  <c r="P53" i="32"/>
  <c r="F65" i="32"/>
  <c r="F66" i="32"/>
  <c r="O69" i="32"/>
  <c r="I84" i="32"/>
  <c r="J84" i="32" s="1"/>
  <c r="H85" i="32"/>
  <c r="T33" i="33"/>
  <c r="K13" i="2"/>
  <c r="O33" i="33" s="1"/>
  <c r="C13" i="2"/>
  <c r="D13" i="2"/>
  <c r="E13" i="2"/>
  <c r="F13" i="2"/>
  <c r="H13" i="2"/>
  <c r="H33" i="2" s="1"/>
  <c r="I13" i="2"/>
  <c r="M33" i="33" s="1"/>
  <c r="J13" i="2"/>
  <c r="N33" i="33" s="1"/>
  <c r="L13" i="2"/>
  <c r="P33" i="33" s="1"/>
  <c r="M13" i="2"/>
  <c r="Q33" i="33" s="1"/>
  <c r="N13" i="2"/>
  <c r="R33" i="33" s="1"/>
  <c r="O13" i="2"/>
  <c r="D3" i="2"/>
  <c r="H8" i="2"/>
  <c r="I8" i="2" s="1"/>
  <c r="J8" i="2" s="1"/>
  <c r="K8" i="2" s="1"/>
  <c r="L8" i="2" s="1"/>
  <c r="M8" i="2" s="1"/>
  <c r="N8" i="2" s="1"/>
  <c r="O8" i="2" s="1"/>
  <c r="H20" i="47"/>
  <c r="G20" i="47"/>
  <c r="F20" i="47"/>
  <c r="E20" i="47"/>
  <c r="I17" i="47"/>
  <c r="H17" i="47"/>
  <c r="G17" i="47"/>
  <c r="F17" i="47"/>
  <c r="E17" i="47"/>
  <c r="F11" i="47"/>
  <c r="O29" i="47"/>
  <c r="N29" i="47"/>
  <c r="M29" i="47"/>
  <c r="L29" i="47"/>
  <c r="K29" i="47"/>
  <c r="J29" i="47"/>
  <c r="I29" i="47"/>
  <c r="H29" i="47"/>
  <c r="G29" i="47"/>
  <c r="F29" i="47"/>
  <c r="E29" i="47"/>
  <c r="D29" i="47"/>
  <c r="O26" i="47"/>
  <c r="N26" i="47"/>
  <c r="M26" i="47"/>
  <c r="L26" i="47"/>
  <c r="K26" i="47"/>
  <c r="J26" i="47"/>
  <c r="I26" i="47"/>
  <c r="H26" i="47"/>
  <c r="G26" i="47"/>
  <c r="F26" i="47"/>
  <c r="E26" i="47"/>
  <c r="D26" i="47"/>
  <c r="D23" i="47"/>
  <c r="O20" i="47"/>
  <c r="N20" i="47"/>
  <c r="M20" i="47"/>
  <c r="L20" i="47"/>
  <c r="K20" i="47"/>
  <c r="J20" i="47"/>
  <c r="I20" i="47"/>
  <c r="D20" i="47"/>
  <c r="O17" i="47"/>
  <c r="N17" i="47"/>
  <c r="M17" i="47"/>
  <c r="L17" i="47"/>
  <c r="K17" i="47"/>
  <c r="J17" i="47"/>
  <c r="D17" i="47"/>
  <c r="O14" i="47"/>
  <c r="N14" i="47"/>
  <c r="M14" i="47"/>
  <c r="L14" i="47"/>
  <c r="K14" i="47"/>
  <c r="J14" i="47"/>
  <c r="I14" i="47"/>
  <c r="H14" i="47"/>
  <c r="G14" i="47"/>
  <c r="F14" i="47"/>
  <c r="E14" i="47"/>
  <c r="D14" i="47"/>
  <c r="O11" i="47"/>
  <c r="N11" i="47"/>
  <c r="M11" i="47"/>
  <c r="L11" i="47"/>
  <c r="D11" i="47"/>
  <c r="E11" i="47"/>
  <c r="O8" i="47"/>
  <c r="N8" i="47"/>
  <c r="N5" i="47" s="1"/>
  <c r="M8" i="47"/>
  <c r="L8" i="47"/>
  <c r="K8" i="47"/>
  <c r="I8" i="47"/>
  <c r="H8" i="47"/>
  <c r="G8" i="47"/>
  <c r="F8" i="47"/>
  <c r="E8" i="47"/>
  <c r="D8" i="47"/>
  <c r="J8" i="47"/>
  <c r="H160" i="25"/>
  <c r="K160" i="25"/>
  <c r="L157" i="25"/>
  <c r="I157" i="25"/>
  <c r="G160" i="25"/>
  <c r="G157" i="25"/>
  <c r="Q181" i="25"/>
  <c r="P181" i="25"/>
  <c r="O181" i="25"/>
  <c r="N181" i="25"/>
  <c r="M181" i="25"/>
  <c r="L181" i="25"/>
  <c r="K181" i="25"/>
  <c r="J181" i="25"/>
  <c r="I181" i="25"/>
  <c r="H181" i="25"/>
  <c r="G181" i="25"/>
  <c r="F181" i="25"/>
  <c r="F178" i="25"/>
  <c r="J175" i="25"/>
  <c r="I175" i="25"/>
  <c r="H175" i="25"/>
  <c r="G175" i="25"/>
  <c r="F175" i="25"/>
  <c r="Q169" i="25"/>
  <c r="P169" i="25"/>
  <c r="O169" i="25"/>
  <c r="N169" i="25"/>
  <c r="M169" i="25"/>
  <c r="L169" i="25"/>
  <c r="K169" i="25"/>
  <c r="J169" i="25"/>
  <c r="I169" i="25"/>
  <c r="H169" i="25"/>
  <c r="G169" i="25"/>
  <c r="F169" i="25"/>
  <c r="Q166" i="25"/>
  <c r="P166" i="25"/>
  <c r="O166" i="25"/>
  <c r="N166" i="25"/>
  <c r="M166" i="25"/>
  <c r="L166" i="25"/>
  <c r="K166" i="25"/>
  <c r="J166" i="25"/>
  <c r="G166" i="25"/>
  <c r="F166" i="25"/>
  <c r="I166" i="25"/>
  <c r="H166" i="25"/>
  <c r="Q163" i="25"/>
  <c r="P163" i="25"/>
  <c r="O163" i="25"/>
  <c r="N163" i="25"/>
  <c r="M163" i="25"/>
  <c r="L163" i="25"/>
  <c r="K163" i="25"/>
  <c r="J163" i="25"/>
  <c r="I163" i="25"/>
  <c r="H163" i="25"/>
  <c r="G163" i="25"/>
  <c r="F163" i="25"/>
  <c r="Q160" i="25"/>
  <c r="P160" i="25"/>
  <c r="O160" i="25"/>
  <c r="N160" i="25"/>
  <c r="M160" i="25"/>
  <c r="L160" i="25"/>
  <c r="J160" i="25"/>
  <c r="I160" i="25"/>
  <c r="F160" i="25"/>
  <c r="Q157" i="25"/>
  <c r="P157" i="25"/>
  <c r="O157" i="25"/>
  <c r="N157" i="25"/>
  <c r="M157" i="25"/>
  <c r="J157" i="25"/>
  <c r="H157" i="25"/>
  <c r="F157" i="25"/>
  <c r="G118" i="25"/>
  <c r="F112" i="25"/>
  <c r="L112" i="25"/>
  <c r="K112" i="25"/>
  <c r="J112" i="25"/>
  <c r="H36" i="25"/>
  <c r="I54" i="25"/>
  <c r="I51" i="25"/>
  <c r="I48" i="25"/>
  <c r="I42" i="25"/>
  <c r="H42" i="25"/>
  <c r="M55" i="44" l="1"/>
  <c r="L58" i="44"/>
  <c r="K65" i="44"/>
  <c r="J68" i="44"/>
  <c r="J69" i="44" s="1"/>
  <c r="O11" i="33" s="1"/>
  <c r="L60" i="44"/>
  <c r="K63" i="44"/>
  <c r="N50" i="44"/>
  <c r="N53" i="44" s="1"/>
  <c r="M53" i="44"/>
  <c r="J154" i="25"/>
  <c r="M48" i="32"/>
  <c r="R17" i="32"/>
  <c r="L33" i="33"/>
  <c r="V33" i="33" s="1"/>
  <c r="H28" i="33"/>
  <c r="H31" i="33" s="1"/>
  <c r="H25" i="33"/>
  <c r="J24" i="32"/>
  <c r="R23" i="32"/>
  <c r="R43" i="32"/>
  <c r="L44" i="32"/>
  <c r="R47" i="32"/>
  <c r="F69" i="32"/>
  <c r="I69" i="32"/>
  <c r="R19" i="32"/>
  <c r="R39" i="32"/>
  <c r="P54" i="32"/>
  <c r="R53" i="32"/>
  <c r="R51" i="32"/>
  <c r="R35" i="32"/>
  <c r="O5" i="47"/>
  <c r="T24" i="33" s="1"/>
  <c r="Q69" i="32"/>
  <c r="Q154" i="25"/>
  <c r="Q8" i="25" s="1"/>
  <c r="S28" i="33" s="1"/>
  <c r="M5" i="47"/>
  <c r="Q24" i="33" s="1"/>
  <c r="G154" i="25"/>
  <c r="L154" i="25"/>
  <c r="L8" i="25" s="1"/>
  <c r="N28" i="33" s="1"/>
  <c r="F154" i="25"/>
  <c r="F8" i="25" s="1"/>
  <c r="P154" i="25"/>
  <c r="P8" i="25" s="1"/>
  <c r="R28" i="33" s="1"/>
  <c r="E5" i="47"/>
  <c r="I24" i="33" s="1"/>
  <c r="O154" i="25"/>
  <c r="O8" i="25" s="1"/>
  <c r="Q28" i="33" s="1"/>
  <c r="N154" i="25"/>
  <c r="N8" i="25" s="1"/>
  <c r="P28" i="33" s="1"/>
  <c r="M154" i="25"/>
  <c r="M8" i="25" s="1"/>
  <c r="O28" i="33" s="1"/>
  <c r="I154" i="25"/>
  <c r="H154" i="25"/>
  <c r="H8" i="25" s="1"/>
  <c r="J28" i="33" s="1"/>
  <c r="L5" i="47"/>
  <c r="P24" i="33" s="1"/>
  <c r="R24" i="33"/>
  <c r="F5" i="47"/>
  <c r="J24" i="33" s="1"/>
  <c r="G69" i="32"/>
  <c r="K157" i="25"/>
  <c r="K154" i="25" s="1"/>
  <c r="G8" i="25"/>
  <c r="I28" i="33" s="1"/>
  <c r="N69" i="32"/>
  <c r="H69" i="32"/>
  <c r="J30" i="33" s="1"/>
  <c r="D5" i="47"/>
  <c r="G10" i="47"/>
  <c r="M60" i="44" l="1"/>
  <c r="L63" i="44"/>
  <c r="L65" i="44"/>
  <c r="K68" i="44"/>
  <c r="K69" i="44" s="1"/>
  <c r="P11" i="33" s="1"/>
  <c r="N55" i="44"/>
  <c r="N58" i="44" s="1"/>
  <c r="M58" i="44"/>
  <c r="I8" i="25"/>
  <c r="K28" i="33"/>
  <c r="J8" i="25"/>
  <c r="L28" i="33" s="1"/>
  <c r="V25" i="33"/>
  <c r="P6" i="32"/>
  <c r="K69" i="32"/>
  <c r="P69" i="32"/>
  <c r="L69" i="32"/>
  <c r="S31" i="33"/>
  <c r="S32" i="33"/>
  <c r="M69" i="32"/>
  <c r="K8" i="25"/>
  <c r="M28" i="33" s="1"/>
  <c r="H10" i="47"/>
  <c r="G11" i="47"/>
  <c r="G5" i="47" s="1"/>
  <c r="H30" i="25"/>
  <c r="G27" i="25"/>
  <c r="G15" i="25"/>
  <c r="G18" i="25"/>
  <c r="H15" i="25"/>
  <c r="I15" i="25"/>
  <c r="F15" i="25"/>
  <c r="Q54" i="25"/>
  <c r="P54" i="25"/>
  <c r="O54" i="25"/>
  <c r="N54" i="25"/>
  <c r="M54" i="25"/>
  <c r="L54" i="25"/>
  <c r="K54" i="25"/>
  <c r="J54" i="25"/>
  <c r="H54" i="25"/>
  <c r="G54" i="25"/>
  <c r="F54" i="25"/>
  <c r="Q51" i="25"/>
  <c r="P51" i="25"/>
  <c r="O51" i="25"/>
  <c r="N51" i="25"/>
  <c r="M51" i="25"/>
  <c r="L51" i="25"/>
  <c r="K51" i="25"/>
  <c r="J51" i="25"/>
  <c r="H51" i="25"/>
  <c r="G51" i="25"/>
  <c r="F51" i="25"/>
  <c r="Q48" i="25"/>
  <c r="P48" i="25"/>
  <c r="O48" i="25"/>
  <c r="N48" i="25"/>
  <c r="M48" i="25"/>
  <c r="L48" i="25"/>
  <c r="K48" i="25"/>
  <c r="J48" i="25"/>
  <c r="H48" i="25"/>
  <c r="G48" i="25"/>
  <c r="F48" i="25"/>
  <c r="Q45" i="25"/>
  <c r="P45" i="25"/>
  <c r="O45" i="25"/>
  <c r="N45" i="25"/>
  <c r="M45" i="25"/>
  <c r="L45" i="25"/>
  <c r="G45" i="25"/>
  <c r="F45" i="25"/>
  <c r="Q42" i="25"/>
  <c r="P42" i="25"/>
  <c r="O42" i="25"/>
  <c r="N42" i="25"/>
  <c r="M42" i="25"/>
  <c r="L42" i="25"/>
  <c r="K42" i="25"/>
  <c r="J42" i="25"/>
  <c r="G42" i="25"/>
  <c r="F42" i="25"/>
  <c r="K13" i="45"/>
  <c r="J13" i="45"/>
  <c r="F13" i="45"/>
  <c r="Q12" i="45"/>
  <c r="Q13" i="45" s="1"/>
  <c r="P12" i="45"/>
  <c r="P13" i="45" s="1"/>
  <c r="P7" i="45" s="1"/>
  <c r="O12" i="45"/>
  <c r="O13" i="45" s="1"/>
  <c r="N12" i="45"/>
  <c r="N13" i="45" s="1"/>
  <c r="M12" i="45"/>
  <c r="M13" i="45" s="1"/>
  <c r="L12" i="45"/>
  <c r="L13" i="45" s="1"/>
  <c r="K12" i="45"/>
  <c r="J12" i="45"/>
  <c r="I12" i="45"/>
  <c r="I13" i="45" s="1"/>
  <c r="H12" i="45"/>
  <c r="H13" i="45" s="1"/>
  <c r="H7" i="45" s="1"/>
  <c r="G12" i="45"/>
  <c r="D12" i="45" s="1"/>
  <c r="F12" i="45"/>
  <c r="P11" i="45"/>
  <c r="N11" i="45"/>
  <c r="M11" i="45"/>
  <c r="L11" i="45"/>
  <c r="H11" i="45"/>
  <c r="F11" i="45"/>
  <c r="Q10" i="45"/>
  <c r="Q11" i="45" s="1"/>
  <c r="P10" i="45"/>
  <c r="O10" i="45"/>
  <c r="O11" i="45" s="1"/>
  <c r="N10" i="45"/>
  <c r="M10" i="45"/>
  <c r="L10" i="45"/>
  <c r="K10" i="45"/>
  <c r="K11" i="45" s="1"/>
  <c r="J10" i="45"/>
  <c r="J11" i="45" s="1"/>
  <c r="I10" i="45"/>
  <c r="I11" i="45" s="1"/>
  <c r="H10" i="45"/>
  <c r="G10" i="45"/>
  <c r="G11" i="45" s="1"/>
  <c r="D11" i="45" s="1"/>
  <c r="F10" i="45"/>
  <c r="P9" i="45"/>
  <c r="O9" i="45"/>
  <c r="N9" i="45"/>
  <c r="J9" i="45"/>
  <c r="J7" i="45" s="1"/>
  <c r="H9" i="45"/>
  <c r="G9" i="45"/>
  <c r="F9" i="45"/>
  <c r="Q8" i="45"/>
  <c r="Q6" i="45" s="1"/>
  <c r="P8" i="45"/>
  <c r="O8" i="45"/>
  <c r="O6" i="45" s="1"/>
  <c r="N8" i="45"/>
  <c r="M8" i="45"/>
  <c r="M9" i="45" s="1"/>
  <c r="L8" i="45"/>
  <c r="L9" i="45" s="1"/>
  <c r="L7" i="45" s="1"/>
  <c r="K8" i="45"/>
  <c r="K6" i="45" s="1"/>
  <c r="J8" i="45"/>
  <c r="I8" i="45"/>
  <c r="I6" i="45" s="1"/>
  <c r="H8" i="45"/>
  <c r="G8" i="45"/>
  <c r="G6" i="45" s="1"/>
  <c r="F8" i="45"/>
  <c r="N6" i="45"/>
  <c r="M6" i="45"/>
  <c r="L6" i="45"/>
  <c r="F6" i="45"/>
  <c r="Q14" i="33"/>
  <c r="T14" i="33"/>
  <c r="O14" i="33"/>
  <c r="M16" i="33"/>
  <c r="M14" i="33"/>
  <c r="N16" i="33"/>
  <c r="O16" i="33"/>
  <c r="P16" i="33"/>
  <c r="Q16" i="33"/>
  <c r="R16" i="33"/>
  <c r="T16" i="33"/>
  <c r="D27" i="2"/>
  <c r="E27" i="2" s="1"/>
  <c r="D26" i="2"/>
  <c r="E7" i="2"/>
  <c r="C15" i="2"/>
  <c r="C16" i="2"/>
  <c r="C17" i="2"/>
  <c r="C14" i="2"/>
  <c r="C23" i="2"/>
  <c r="E16" i="2"/>
  <c r="F16" i="2" s="1"/>
  <c r="G16" i="2" s="1"/>
  <c r="H16" i="2" s="1"/>
  <c r="I16" i="2" s="1"/>
  <c r="J16" i="2" s="1"/>
  <c r="K16" i="2" s="1"/>
  <c r="L16" i="2" s="1"/>
  <c r="M16" i="2" s="1"/>
  <c r="N16" i="2" s="1"/>
  <c r="O16" i="2" s="1"/>
  <c r="D24" i="2"/>
  <c r="E24" i="2" s="1"/>
  <c r="F24" i="2" s="1"/>
  <c r="G24" i="2" s="1"/>
  <c r="H24" i="2" s="1"/>
  <c r="I24" i="2" s="1"/>
  <c r="J24" i="2" s="1"/>
  <c r="K24" i="2" s="1"/>
  <c r="L24" i="2" s="1"/>
  <c r="M24" i="2" s="1"/>
  <c r="N24" i="2" s="1"/>
  <c r="O24" i="2" s="1"/>
  <c r="M65" i="44" l="1"/>
  <c r="L68" i="44"/>
  <c r="L69" i="44" s="1"/>
  <c r="Q11" i="33" s="1"/>
  <c r="N60" i="44"/>
  <c r="N63" i="44" s="1"/>
  <c r="M63" i="44"/>
  <c r="V14" i="33"/>
  <c r="V28" i="33"/>
  <c r="V16" i="33"/>
  <c r="E3" i="2"/>
  <c r="F7" i="2"/>
  <c r="E26" i="2"/>
  <c r="E23" i="2" s="1"/>
  <c r="H11" i="47"/>
  <c r="L24" i="33" s="1"/>
  <c r="I10" i="47"/>
  <c r="N7" i="45"/>
  <c r="O7" i="45"/>
  <c r="M7" i="45"/>
  <c r="D8" i="45"/>
  <c r="I9" i="45"/>
  <c r="I7" i="45" s="1"/>
  <c r="Q9" i="45"/>
  <c r="Q7" i="45" s="1"/>
  <c r="H6" i="45"/>
  <c r="P6" i="45"/>
  <c r="D10" i="45"/>
  <c r="K9" i="45"/>
  <c r="K7" i="45" s="1"/>
  <c r="G13" i="45"/>
  <c r="D13" i="45" s="1"/>
  <c r="J6" i="45"/>
  <c r="F7" i="45"/>
  <c r="H27" i="2"/>
  <c r="I27" i="2" s="1"/>
  <c r="J27" i="2" s="1"/>
  <c r="K27" i="2" s="1"/>
  <c r="L27" i="2" s="1"/>
  <c r="M27" i="2" s="1"/>
  <c r="N27" i="2" s="1"/>
  <c r="O27" i="2" s="1"/>
  <c r="M13" i="33"/>
  <c r="N13" i="33"/>
  <c r="O13" i="33"/>
  <c r="P13" i="33"/>
  <c r="Q13" i="33"/>
  <c r="R13" i="33"/>
  <c r="T13" i="33"/>
  <c r="D28" i="30"/>
  <c r="E28" i="30"/>
  <c r="F28" i="30"/>
  <c r="G28" i="30"/>
  <c r="H28" i="30"/>
  <c r="I28" i="30"/>
  <c r="J28" i="30"/>
  <c r="K28" i="30"/>
  <c r="L28" i="30"/>
  <c r="M28" i="30"/>
  <c r="N28" i="30"/>
  <c r="C28" i="30"/>
  <c r="D25" i="30"/>
  <c r="C25" i="30"/>
  <c r="D39" i="30"/>
  <c r="C39" i="30"/>
  <c r="C42" i="30" s="1"/>
  <c r="E37" i="30"/>
  <c r="F37" i="30" s="1"/>
  <c r="G37" i="30" s="1"/>
  <c r="H37" i="30" s="1"/>
  <c r="I37" i="30" s="1"/>
  <c r="J37" i="30" s="1"/>
  <c r="K37" i="30" s="1"/>
  <c r="L37" i="30" s="1"/>
  <c r="M37" i="30" s="1"/>
  <c r="N37" i="30" s="1"/>
  <c r="D37" i="30"/>
  <c r="D36" i="30"/>
  <c r="E36" i="30" s="1"/>
  <c r="F36" i="30" s="1"/>
  <c r="G36" i="30" s="1"/>
  <c r="H36" i="30" s="1"/>
  <c r="I36" i="30" s="1"/>
  <c r="J36" i="30" s="1"/>
  <c r="K36" i="30" s="1"/>
  <c r="L36" i="30" s="1"/>
  <c r="M36" i="30" s="1"/>
  <c r="N36" i="30" s="1"/>
  <c r="E34" i="30"/>
  <c r="F34" i="30" s="1"/>
  <c r="G34" i="30" s="1"/>
  <c r="H34" i="30" s="1"/>
  <c r="I34" i="30" s="1"/>
  <c r="J34" i="30" s="1"/>
  <c r="K34" i="30" s="1"/>
  <c r="L34" i="30" s="1"/>
  <c r="M34" i="30" s="1"/>
  <c r="N34" i="30" s="1"/>
  <c r="D34" i="30"/>
  <c r="D33" i="30"/>
  <c r="E33" i="30" s="1"/>
  <c r="F33" i="30" s="1"/>
  <c r="G33" i="30" s="1"/>
  <c r="H33" i="30" s="1"/>
  <c r="I33" i="30" s="1"/>
  <c r="J33" i="30" s="1"/>
  <c r="K33" i="30" s="1"/>
  <c r="L33" i="30" s="1"/>
  <c r="M33" i="30" s="1"/>
  <c r="N33" i="30" s="1"/>
  <c r="D32" i="30"/>
  <c r="E32" i="30" s="1"/>
  <c r="F32" i="30" s="1"/>
  <c r="G32" i="30" s="1"/>
  <c r="H32" i="30" s="1"/>
  <c r="I32" i="30" s="1"/>
  <c r="J32" i="30" s="1"/>
  <c r="K32" i="30" s="1"/>
  <c r="L32" i="30" s="1"/>
  <c r="M32" i="30" s="1"/>
  <c r="N32" i="30" s="1"/>
  <c r="D31" i="30"/>
  <c r="E31" i="30" s="1"/>
  <c r="F31" i="30" s="1"/>
  <c r="G31" i="30" s="1"/>
  <c r="H31" i="30" s="1"/>
  <c r="I31" i="30" s="1"/>
  <c r="J31" i="30" s="1"/>
  <c r="K31" i="30" s="1"/>
  <c r="L31" i="30" s="1"/>
  <c r="M31" i="30" s="1"/>
  <c r="N31" i="30" s="1"/>
  <c r="D29" i="30"/>
  <c r="E29" i="30" s="1"/>
  <c r="N22" i="30"/>
  <c r="D22" i="30"/>
  <c r="C22" i="30"/>
  <c r="E19" i="30"/>
  <c r="F19" i="30" s="1"/>
  <c r="G19" i="30" s="1"/>
  <c r="H19" i="30" s="1"/>
  <c r="I19" i="30" s="1"/>
  <c r="J19" i="30" s="1"/>
  <c r="K19" i="30" s="1"/>
  <c r="L19" i="30" s="1"/>
  <c r="M19" i="30" s="1"/>
  <c r="N19" i="30" s="1"/>
  <c r="D19" i="30"/>
  <c r="D18" i="30"/>
  <c r="E18" i="30" s="1"/>
  <c r="F18" i="30" s="1"/>
  <c r="G18" i="30" s="1"/>
  <c r="H18" i="30" s="1"/>
  <c r="I18" i="30" s="1"/>
  <c r="J18" i="30" s="1"/>
  <c r="K18" i="30" s="1"/>
  <c r="L18" i="30" s="1"/>
  <c r="M18" i="30" s="1"/>
  <c r="N18" i="30" s="1"/>
  <c r="E17" i="30"/>
  <c r="F17" i="30" s="1"/>
  <c r="G17" i="30" s="1"/>
  <c r="H17" i="30" s="1"/>
  <c r="I17" i="30" s="1"/>
  <c r="J17" i="30" s="1"/>
  <c r="K17" i="30" s="1"/>
  <c r="L17" i="30" s="1"/>
  <c r="M17" i="30" s="1"/>
  <c r="N17" i="30" s="1"/>
  <c r="D17" i="30"/>
  <c r="D16" i="30"/>
  <c r="E16" i="30" s="1"/>
  <c r="F16" i="30" s="1"/>
  <c r="G16" i="30" s="1"/>
  <c r="H16" i="30" s="1"/>
  <c r="I16" i="30" s="1"/>
  <c r="J16" i="30" s="1"/>
  <c r="K16" i="30" s="1"/>
  <c r="L16" i="30" s="1"/>
  <c r="M16" i="30" s="1"/>
  <c r="N16" i="30" s="1"/>
  <c r="D15" i="30"/>
  <c r="E15" i="30" s="1"/>
  <c r="F15" i="30" s="1"/>
  <c r="G15" i="30" s="1"/>
  <c r="H15" i="30" s="1"/>
  <c r="I15" i="30" s="1"/>
  <c r="J15" i="30" s="1"/>
  <c r="K15" i="30" s="1"/>
  <c r="L15" i="30" s="1"/>
  <c r="M15" i="30" s="1"/>
  <c r="N15" i="30" s="1"/>
  <c r="D14" i="30"/>
  <c r="E14" i="30" s="1"/>
  <c r="F14" i="30" s="1"/>
  <c r="G14" i="30" s="1"/>
  <c r="H14" i="30" s="1"/>
  <c r="I14" i="30" s="1"/>
  <c r="J14" i="30" s="1"/>
  <c r="K14" i="30" s="1"/>
  <c r="L14" i="30" s="1"/>
  <c r="M14" i="30" s="1"/>
  <c r="N14" i="30" s="1"/>
  <c r="G13" i="30"/>
  <c r="H13" i="30" s="1"/>
  <c r="I13" i="30" s="1"/>
  <c r="J13" i="30" s="1"/>
  <c r="K13" i="30" s="1"/>
  <c r="L13" i="30" s="1"/>
  <c r="M13" i="30" s="1"/>
  <c r="N13" i="30" s="1"/>
  <c r="E13" i="30"/>
  <c r="D13" i="30"/>
  <c r="C13" i="30"/>
  <c r="D12" i="30"/>
  <c r="E12" i="30" s="1"/>
  <c r="F12" i="30" s="1"/>
  <c r="G12" i="30" s="1"/>
  <c r="H12" i="30" s="1"/>
  <c r="I12" i="30" s="1"/>
  <c r="J12" i="30" s="1"/>
  <c r="K12" i="30" s="1"/>
  <c r="L12" i="30" s="1"/>
  <c r="M12" i="30" s="1"/>
  <c r="N12" i="30" s="1"/>
  <c r="E11" i="30"/>
  <c r="F11" i="30" s="1"/>
  <c r="G11" i="30" s="1"/>
  <c r="H11" i="30" s="1"/>
  <c r="I11" i="30" s="1"/>
  <c r="J11" i="30" s="1"/>
  <c r="K11" i="30" s="1"/>
  <c r="L11" i="30" s="1"/>
  <c r="M11" i="30" s="1"/>
  <c r="N11" i="30" s="1"/>
  <c r="D11" i="30"/>
  <c r="H10" i="30"/>
  <c r="I10" i="30" s="1"/>
  <c r="J10" i="30" s="1"/>
  <c r="K10" i="30" s="1"/>
  <c r="L10" i="30" s="1"/>
  <c r="M10" i="30" s="1"/>
  <c r="N10" i="30" s="1"/>
  <c r="G10" i="30"/>
  <c r="D10" i="30"/>
  <c r="D9" i="30"/>
  <c r="D8" i="30"/>
  <c r="E7" i="30"/>
  <c r="F7" i="30" s="1"/>
  <c r="D7" i="30"/>
  <c r="H6" i="30"/>
  <c r="G6" i="30"/>
  <c r="E6" i="30"/>
  <c r="D6" i="30"/>
  <c r="D24" i="30" s="1"/>
  <c r="C6" i="30"/>
  <c r="C24" i="30" s="1"/>
  <c r="D3" i="44"/>
  <c r="N65" i="44" l="1"/>
  <c r="N68" i="44" s="1"/>
  <c r="N69" i="44" s="1"/>
  <c r="T11" i="33" s="1"/>
  <c r="M68" i="44"/>
  <c r="M69" i="44" s="1"/>
  <c r="R11" i="33" s="1"/>
  <c r="V11" i="33" s="1"/>
  <c r="E3" i="44"/>
  <c r="F3" i="44" s="1"/>
  <c r="J4" i="44"/>
  <c r="V13" i="33"/>
  <c r="G7" i="2"/>
  <c r="F3" i="2"/>
  <c r="F26" i="2"/>
  <c r="G26" i="2" s="1"/>
  <c r="I11" i="47"/>
  <c r="I5" i="47" s="1"/>
  <c r="M24" i="33" s="1"/>
  <c r="J10" i="47"/>
  <c r="G7" i="45"/>
  <c r="D9" i="45"/>
  <c r="E24" i="30"/>
  <c r="G7" i="30"/>
  <c r="F29" i="30"/>
  <c r="E41" i="30"/>
  <c r="E42" i="30"/>
  <c r="C46" i="30"/>
  <c r="I6" i="30"/>
  <c r="D42" i="30"/>
  <c r="D46" i="30" s="1"/>
  <c r="E8" i="30"/>
  <c r="C41" i="30"/>
  <c r="D41" i="30"/>
  <c r="H3" i="44" l="1"/>
  <c r="I3" i="44" s="1"/>
  <c r="J3" i="44" s="1"/>
  <c r="J12" i="44" s="1"/>
  <c r="K4" i="44"/>
  <c r="L4" i="44" s="1"/>
  <c r="M4" i="44" s="1"/>
  <c r="N4" i="44" s="1"/>
  <c r="F23" i="2"/>
  <c r="H7" i="2"/>
  <c r="G3" i="2"/>
  <c r="K10" i="47"/>
  <c r="K11" i="47" s="1"/>
  <c r="K5" i="47" s="1"/>
  <c r="O24" i="33" s="1"/>
  <c r="J11" i="47"/>
  <c r="J5" i="47" s="1"/>
  <c r="N24" i="33" s="1"/>
  <c r="V24" i="33" s="1"/>
  <c r="Y24" i="33" s="1"/>
  <c r="H26" i="2"/>
  <c r="G23" i="2"/>
  <c r="J6" i="30"/>
  <c r="H7" i="30"/>
  <c r="G29" i="30"/>
  <c r="F41" i="30"/>
  <c r="F42" i="30"/>
  <c r="F8" i="30"/>
  <c r="E25" i="30"/>
  <c r="E46" i="30" s="1"/>
  <c r="K3" i="44" l="1"/>
  <c r="L3" i="44" s="1"/>
  <c r="M3" i="44" s="1"/>
  <c r="H3" i="2"/>
  <c r="I7" i="2"/>
  <c r="H23" i="2"/>
  <c r="I26" i="2"/>
  <c r="I7" i="30"/>
  <c r="G8" i="30"/>
  <c r="F24" i="30"/>
  <c r="F25" i="30"/>
  <c r="F46" i="30" s="1"/>
  <c r="K6" i="30"/>
  <c r="G41" i="30"/>
  <c r="G42" i="30"/>
  <c r="H29" i="30"/>
  <c r="O10" i="33" l="1"/>
  <c r="O12" i="33" s="1"/>
  <c r="J70" i="44"/>
  <c r="N3" i="44"/>
  <c r="N12" i="44" s="1"/>
  <c r="M12" i="44"/>
  <c r="I3" i="2"/>
  <c r="M15" i="33" s="1"/>
  <c r="J7" i="2"/>
  <c r="I23" i="2"/>
  <c r="J26" i="2"/>
  <c r="L6" i="30"/>
  <c r="J7" i="30"/>
  <c r="H42" i="30"/>
  <c r="H41" i="30"/>
  <c r="I29" i="30"/>
  <c r="H8" i="30"/>
  <c r="G24" i="30"/>
  <c r="G25" i="30"/>
  <c r="G46" i="30" s="1"/>
  <c r="T10" i="33" l="1"/>
  <c r="T12" i="33" s="1"/>
  <c r="N70" i="44"/>
  <c r="R10" i="33"/>
  <c r="R12" i="33" s="1"/>
  <c r="M70" i="44"/>
  <c r="J3" i="2"/>
  <c r="N15" i="33" s="1"/>
  <c r="K7" i="2"/>
  <c r="J23" i="2"/>
  <c r="K26" i="2"/>
  <c r="H46" i="30"/>
  <c r="I8" i="30"/>
  <c r="H24" i="30"/>
  <c r="H25" i="30"/>
  <c r="M6" i="30"/>
  <c r="K7" i="30"/>
  <c r="I41" i="30"/>
  <c r="I42" i="30"/>
  <c r="J29" i="30"/>
  <c r="K3" i="2" l="1"/>
  <c r="O15" i="33" s="1"/>
  <c r="L7" i="2"/>
  <c r="K23" i="2"/>
  <c r="L26" i="2"/>
  <c r="L7" i="30"/>
  <c r="J42" i="30"/>
  <c r="K29" i="30"/>
  <c r="J41" i="30"/>
  <c r="N6" i="30"/>
  <c r="J8" i="30"/>
  <c r="I24" i="30"/>
  <c r="I25" i="30"/>
  <c r="I46" i="30" s="1"/>
  <c r="L3" i="2" l="1"/>
  <c r="P15" i="33" s="1"/>
  <c r="M7" i="2"/>
  <c r="L23" i="2"/>
  <c r="M26" i="2"/>
  <c r="K42" i="30"/>
  <c r="L29" i="30"/>
  <c r="K41" i="30"/>
  <c r="K8" i="30"/>
  <c r="J25" i="30"/>
  <c r="J46" i="30" s="1"/>
  <c r="J24" i="30"/>
  <c r="M7" i="30"/>
  <c r="M3" i="2" l="1"/>
  <c r="Q15" i="33" s="1"/>
  <c r="N7" i="2"/>
  <c r="N26" i="2"/>
  <c r="M23" i="2"/>
  <c r="L8" i="30"/>
  <c r="K24" i="30"/>
  <c r="K25" i="30"/>
  <c r="K46" i="30" s="1"/>
  <c r="N7" i="30"/>
  <c r="M29" i="30"/>
  <c r="L41" i="30"/>
  <c r="L42" i="30"/>
  <c r="N3" i="2" l="1"/>
  <c r="R15" i="33" s="1"/>
  <c r="O7" i="2"/>
  <c r="O26" i="2"/>
  <c r="O23" i="2" s="1"/>
  <c r="N23" i="2"/>
  <c r="N29" i="30"/>
  <c r="M41" i="30"/>
  <c r="M42" i="30"/>
  <c r="L46" i="30"/>
  <c r="M8" i="30"/>
  <c r="L24" i="30"/>
  <c r="L25" i="30"/>
  <c r="O3" i="2" l="1"/>
  <c r="T15" i="33" s="1"/>
  <c r="V15" i="33" s="1"/>
  <c r="N8" i="30"/>
  <c r="M24" i="30"/>
  <c r="M25" i="30"/>
  <c r="M46" i="30" s="1"/>
  <c r="N42" i="30"/>
  <c r="N41" i="30"/>
  <c r="N25" i="30" l="1"/>
  <c r="N24" i="30"/>
  <c r="N46" i="30"/>
  <c r="C48" i="30" s="1"/>
  <c r="D12" i="44" l="1"/>
  <c r="D70" i="44" s="1"/>
  <c r="E12" i="44"/>
  <c r="E70" i="44" s="1"/>
  <c r="F12" i="44"/>
  <c r="G12" i="44"/>
  <c r="H12" i="44"/>
  <c r="I12" i="44"/>
  <c r="K12" i="44"/>
  <c r="L12" i="44"/>
  <c r="C12" i="44"/>
  <c r="C70" i="44" s="1"/>
  <c r="D4" i="43"/>
  <c r="E4" i="43"/>
  <c r="F4" i="43"/>
  <c r="G4" i="43"/>
  <c r="H4" i="43"/>
  <c r="M8" i="33" s="1"/>
  <c r="I4" i="43"/>
  <c r="N8" i="33" s="1"/>
  <c r="J4" i="43"/>
  <c r="O8" i="33" s="1"/>
  <c r="K4" i="43"/>
  <c r="P8" i="33" s="1"/>
  <c r="L4" i="43"/>
  <c r="Q8" i="33" s="1"/>
  <c r="M4" i="43"/>
  <c r="R8" i="33" s="1"/>
  <c r="N4" i="43"/>
  <c r="T8" i="33" s="1"/>
  <c r="C4" i="43"/>
  <c r="B31" i="43"/>
  <c r="B23" i="43"/>
  <c r="B22" i="43"/>
  <c r="B21" i="43"/>
  <c r="B15" i="43"/>
  <c r="B14" i="43"/>
  <c r="B13" i="43"/>
  <c r="B7" i="43"/>
  <c r="B6" i="43"/>
  <c r="B5" i="43"/>
  <c r="B34" i="43"/>
  <c r="B33" i="43"/>
  <c r="B32" i="43"/>
  <c r="B30" i="43"/>
  <c r="B29" i="43"/>
  <c r="B28" i="43"/>
  <c r="B27" i="43"/>
  <c r="B26" i="43"/>
  <c r="B25" i="43"/>
  <c r="B24" i="43"/>
  <c r="B20" i="43"/>
  <c r="B19" i="43"/>
  <c r="B18" i="43"/>
  <c r="B17" i="43"/>
  <c r="B16" i="43"/>
  <c r="B12" i="43"/>
  <c r="B11" i="43"/>
  <c r="B10" i="43"/>
  <c r="B9" i="43"/>
  <c r="B8" i="43"/>
  <c r="P10" i="33" l="1"/>
  <c r="P12" i="33" s="1"/>
  <c r="K70" i="44"/>
  <c r="F70" i="44"/>
  <c r="N10" i="33"/>
  <c r="N12" i="33" s="1"/>
  <c r="I70" i="44"/>
  <c r="Q10" i="33"/>
  <c r="Q12" i="33" s="1"/>
  <c r="L70" i="44"/>
  <c r="M10" i="33"/>
  <c r="M12" i="33" s="1"/>
  <c r="H70" i="44"/>
  <c r="G70" i="44"/>
  <c r="V8" i="33"/>
  <c r="D14" i="42"/>
  <c r="D13" i="42"/>
  <c r="M14" i="42"/>
  <c r="Q11" i="42"/>
  <c r="P11" i="42"/>
  <c r="O11" i="42"/>
  <c r="N11" i="42"/>
  <c r="M11" i="42"/>
  <c r="L11" i="42"/>
  <c r="L12" i="42" s="1"/>
  <c r="K11" i="42"/>
  <c r="J11" i="42"/>
  <c r="J12" i="42" s="1"/>
  <c r="I11" i="42"/>
  <c r="H11" i="42"/>
  <c r="G11" i="42"/>
  <c r="F11" i="42"/>
  <c r="Q9" i="42"/>
  <c r="P9" i="42"/>
  <c r="P10" i="42" s="1"/>
  <c r="O9" i="42"/>
  <c r="N9" i="42"/>
  <c r="N10" i="42" s="1"/>
  <c r="M9" i="42"/>
  <c r="L9" i="42"/>
  <c r="K9" i="42"/>
  <c r="J9" i="42"/>
  <c r="I9" i="42"/>
  <c r="H9" i="42"/>
  <c r="H10" i="42" s="1"/>
  <c r="G9" i="42"/>
  <c r="F9" i="42"/>
  <c r="F10" i="42" s="1"/>
  <c r="Q7" i="42"/>
  <c r="P7" i="42"/>
  <c r="O7" i="42"/>
  <c r="N7" i="42"/>
  <c r="M7" i="42"/>
  <c r="L7" i="42"/>
  <c r="K7" i="42"/>
  <c r="J7" i="42"/>
  <c r="J8" i="42" s="1"/>
  <c r="I7" i="42"/>
  <c r="H7" i="42"/>
  <c r="G7" i="42"/>
  <c r="F7" i="42"/>
  <c r="Q12" i="42"/>
  <c r="P12" i="42"/>
  <c r="N12" i="42"/>
  <c r="M12" i="42"/>
  <c r="O12" i="42"/>
  <c r="K12" i="42"/>
  <c r="I12" i="42"/>
  <c r="H12" i="42"/>
  <c r="G12" i="42"/>
  <c r="Q10" i="42"/>
  <c r="O10" i="42"/>
  <c r="M10" i="42"/>
  <c r="L10" i="42"/>
  <c r="K10" i="42"/>
  <c r="J10" i="42"/>
  <c r="I10" i="42"/>
  <c r="N8" i="42"/>
  <c r="Q8" i="42"/>
  <c r="P8" i="42"/>
  <c r="O8" i="42"/>
  <c r="M8" i="42"/>
  <c r="K8" i="42"/>
  <c r="I8" i="42"/>
  <c r="H8" i="42"/>
  <c r="G8" i="42"/>
  <c r="F8" i="42"/>
  <c r="H41" i="42"/>
  <c r="I40" i="42"/>
  <c r="J40" i="42" s="1"/>
  <c r="R6" i="33"/>
  <c r="T6" i="33"/>
  <c r="R7" i="33"/>
  <c r="T7" i="33"/>
  <c r="F6" i="32"/>
  <c r="H7" i="33" s="1"/>
  <c r="F5" i="32"/>
  <c r="H6" i="33" s="1"/>
  <c r="D45" i="32"/>
  <c r="Q6" i="33"/>
  <c r="V10" i="33" l="1"/>
  <c r="J45" i="32"/>
  <c r="J46" i="32"/>
  <c r="O6" i="33"/>
  <c r="H12" i="33"/>
  <c r="Q7" i="33"/>
  <c r="D7" i="42"/>
  <c r="L5" i="42"/>
  <c r="G5" i="42"/>
  <c r="D11" i="42"/>
  <c r="M5" i="42"/>
  <c r="D10" i="42"/>
  <c r="G10" i="42"/>
  <c r="F12" i="42"/>
  <c r="D12" i="42" s="1"/>
  <c r="J6" i="42"/>
  <c r="D9" i="42"/>
  <c r="H6" i="42"/>
  <c r="L8" i="42"/>
  <c r="L22" i="42" s="1"/>
  <c r="K5" i="42"/>
  <c r="J5" i="42"/>
  <c r="I5" i="42"/>
  <c r="F5" i="42"/>
  <c r="M6" i="42"/>
  <c r="I6" i="42"/>
  <c r="H5" i="42"/>
  <c r="F22" i="42"/>
  <c r="L21" i="42"/>
  <c r="K6" i="42"/>
  <c r="I22" i="42"/>
  <c r="F21" i="42"/>
  <c r="K21" i="42"/>
  <c r="M21" i="42"/>
  <c r="J21" i="42"/>
  <c r="G21" i="42"/>
  <c r="K22" i="42"/>
  <c r="H21" i="42"/>
  <c r="I21" i="42"/>
  <c r="R45" i="32" l="1"/>
  <c r="H17" i="33"/>
  <c r="O7" i="33"/>
  <c r="K25" i="42"/>
  <c r="D8" i="42"/>
  <c r="F6" i="42"/>
  <c r="L6" i="42"/>
  <c r="F25" i="42"/>
  <c r="M22" i="42"/>
  <c r="M25" i="42" s="1"/>
  <c r="G22" i="42"/>
  <c r="G25" i="42" s="1"/>
  <c r="G6" i="42"/>
  <c r="L25" i="42"/>
  <c r="I25" i="42"/>
  <c r="H22" i="42"/>
  <c r="H25" i="42" s="1"/>
  <c r="J22" i="42"/>
  <c r="J25" i="42" s="1"/>
  <c r="S30" i="34" l="1"/>
  <c r="F392" i="24"/>
  <c r="T34" i="34"/>
  <c r="T32" i="34"/>
  <c r="T31" i="34"/>
  <c r="T30" i="34"/>
  <c r="T28" i="34"/>
  <c r="T27" i="34"/>
  <c r="T26" i="34"/>
  <c r="T25" i="34" s="1"/>
  <c r="T24" i="34"/>
  <c r="T23" i="34"/>
  <c r="T22" i="34"/>
  <c r="T14" i="34"/>
  <c r="T11" i="34" s="1"/>
  <c r="T13" i="34"/>
  <c r="T8" i="34"/>
  <c r="T7" i="34"/>
  <c r="T6" i="34"/>
  <c r="T4" i="34"/>
  <c r="S4" i="34"/>
  <c r="T12" i="34"/>
  <c r="C377" i="24"/>
  <c r="C383" i="24" s="1"/>
  <c r="N6" i="33" l="1"/>
  <c r="M7" i="33"/>
  <c r="N7" i="33"/>
  <c r="M6" i="33"/>
  <c r="K7" i="33"/>
  <c r="I6" i="33"/>
  <c r="P6" i="33"/>
  <c r="I30" i="33"/>
  <c r="I7" i="33"/>
  <c r="P7" i="33"/>
  <c r="T29" i="34"/>
  <c r="T10" i="34"/>
  <c r="T15" i="34" s="1"/>
  <c r="T19" i="34" s="1"/>
  <c r="T21" i="34" s="1"/>
  <c r="V6" i="33" l="1"/>
  <c r="I12" i="33"/>
  <c r="I17" i="33" s="1"/>
  <c r="V7" i="33"/>
  <c r="J17" i="33"/>
  <c r="T33" i="34"/>
  <c r="T35" i="34" s="1"/>
  <c r="T39" i="34" s="1"/>
  <c r="X7" i="33" l="1"/>
  <c r="V12" i="33"/>
  <c r="V17" i="33"/>
  <c r="V21" i="33" s="1"/>
  <c r="V23" i="33" s="1"/>
  <c r="AC14" i="38"/>
  <c r="C7" i="40" l="1"/>
  <c r="E378" i="27" l="1"/>
  <c r="F350" i="24"/>
  <c r="M17" i="33" l="1"/>
  <c r="O17" i="33"/>
  <c r="N17" i="33"/>
  <c r="M2" i="26"/>
  <c r="F361" i="24"/>
  <c r="F373" i="24" s="1"/>
  <c r="F378" i="24" l="1"/>
  <c r="F394" i="24" s="1"/>
  <c r="G2" i="26"/>
  <c r="S31" i="34" l="1"/>
  <c r="R31" i="34"/>
  <c r="Q31" i="34"/>
  <c r="P31" i="34"/>
  <c r="O31" i="34"/>
  <c r="N31" i="34"/>
  <c r="M31" i="34"/>
  <c r="L31" i="34"/>
  <c r="K31" i="34"/>
  <c r="J31" i="34"/>
  <c r="I31" i="34"/>
  <c r="H31" i="34"/>
  <c r="Q32" i="34"/>
  <c r="S23" i="34" l="1"/>
  <c r="S24" i="34"/>
  <c r="R23" i="34"/>
  <c r="S22" i="34" l="1"/>
  <c r="J28" i="39"/>
  <c r="I10" i="39"/>
  <c r="I11" i="39"/>
  <c r="I12" i="39"/>
  <c r="I9" i="39" s="1"/>
  <c r="I5" i="39"/>
  <c r="I6" i="39"/>
  <c r="G6" i="39"/>
  <c r="G8" i="39" s="1"/>
  <c r="H5" i="39"/>
  <c r="I8" i="39" l="1"/>
  <c r="I13" i="39" s="1"/>
  <c r="I17" i="39" s="1"/>
  <c r="I19" i="39" s="1"/>
  <c r="H30" i="34" l="1"/>
  <c r="S26" i="34" l="1"/>
  <c r="S25" i="34" s="1"/>
  <c r="S27" i="34"/>
  <c r="S34" i="34"/>
  <c r="S32" i="34" l="1"/>
  <c r="S28" i="34"/>
  <c r="S29" i="34" s="1"/>
  <c r="S14" i="34"/>
  <c r="S11" i="34" s="1"/>
  <c r="S13" i="34"/>
  <c r="S12" i="34"/>
  <c r="S8" i="34"/>
  <c r="S7" i="34"/>
  <c r="S6" i="34"/>
  <c r="S10" i="34" l="1"/>
  <c r="S15" i="34" s="1"/>
  <c r="S19" i="34" s="1"/>
  <c r="S21" i="34" s="1"/>
  <c r="S33" i="34" s="1"/>
  <c r="C347" i="24"/>
  <c r="C353" i="24" s="1"/>
  <c r="S35" i="34" l="1"/>
  <c r="S39" i="34" s="1"/>
  <c r="F319" i="24" l="1"/>
  <c r="L2" i="26"/>
  <c r="D8486" i="23"/>
  <c r="D8488" i="23"/>
  <c r="P30" i="34"/>
  <c r="O30" i="34"/>
  <c r="L30" i="34"/>
  <c r="K30" i="34"/>
  <c r="J30" i="34"/>
  <c r="I30" i="34"/>
  <c r="I32" i="34"/>
  <c r="R30" i="34"/>
  <c r="Q30" i="34"/>
  <c r="R24" i="34"/>
  <c r="P24" i="34"/>
  <c r="E358" i="27" l="1"/>
  <c r="Q24" i="34"/>
  <c r="O24" i="34"/>
  <c r="J8" i="39" l="1"/>
  <c r="J9" i="39"/>
  <c r="J10" i="39"/>
  <c r="J11" i="39"/>
  <c r="J12" i="39"/>
  <c r="J13" i="39"/>
  <c r="J17" i="39"/>
  <c r="J19" i="39"/>
  <c r="J23" i="39"/>
  <c r="J24" i="39"/>
  <c r="J25" i="39"/>
  <c r="J26" i="39"/>
  <c r="J27" i="39"/>
  <c r="J30" i="39"/>
  <c r="J31" i="39"/>
  <c r="J32" i="39"/>
  <c r="J36" i="39"/>
  <c r="J37" i="39"/>
  <c r="J38" i="39"/>
  <c r="J5" i="39"/>
  <c r="AB14" i="38"/>
  <c r="AA14" i="38"/>
  <c r="Z14" i="38"/>
  <c r="Y14" i="38"/>
  <c r="X14" i="38"/>
  <c r="W14" i="38"/>
  <c r="V14" i="38"/>
  <c r="U14" i="38"/>
  <c r="T14" i="38"/>
  <c r="S14" i="38"/>
  <c r="R14" i="38"/>
  <c r="AC13" i="38"/>
  <c r="N36" i="38" s="1"/>
  <c r="AB13" i="38"/>
  <c r="M36" i="38" s="1"/>
  <c r="AA13" i="38"/>
  <c r="Z13" i="38"/>
  <c r="Y13" i="38"/>
  <c r="X13" i="38"/>
  <c r="W13" i="38"/>
  <c r="V13" i="38"/>
  <c r="U13" i="38"/>
  <c r="T13" i="38"/>
  <c r="S13" i="38"/>
  <c r="R13" i="38"/>
  <c r="AC12" i="38"/>
  <c r="N35" i="38" s="1"/>
  <c r="AB12" i="38"/>
  <c r="M35" i="38" s="1"/>
  <c r="AA12" i="38"/>
  <c r="Z12" i="38"/>
  <c r="Y12" i="38"/>
  <c r="X12" i="38"/>
  <c r="W12" i="38"/>
  <c r="V12" i="38"/>
  <c r="U12" i="38"/>
  <c r="T12" i="38"/>
  <c r="S12" i="38"/>
  <c r="R12" i="38"/>
  <c r="AC11" i="38"/>
  <c r="N34" i="38" s="1"/>
  <c r="AB11" i="38"/>
  <c r="M34" i="38" s="1"/>
  <c r="AA11" i="38"/>
  <c r="Z11" i="38"/>
  <c r="Y11" i="38"/>
  <c r="X11" i="38"/>
  <c r="W11" i="38"/>
  <c r="V11" i="38"/>
  <c r="U11" i="38"/>
  <c r="T11" i="38"/>
  <c r="S11" i="38"/>
  <c r="R11" i="38"/>
  <c r="AC9" i="38"/>
  <c r="N32" i="38" s="1"/>
  <c r="AB9" i="38"/>
  <c r="M32" i="38" s="1"/>
  <c r="AA9" i="38"/>
  <c r="Z9" i="38"/>
  <c r="Y9" i="38"/>
  <c r="X9" i="38"/>
  <c r="W9" i="38"/>
  <c r="V9" i="38"/>
  <c r="U9" i="38"/>
  <c r="T9" i="38"/>
  <c r="S9" i="38"/>
  <c r="R9" i="38"/>
  <c r="AC8" i="38"/>
  <c r="N31" i="38" s="1"/>
  <c r="AB8" i="38"/>
  <c r="M31" i="38" s="1"/>
  <c r="AA8" i="38"/>
  <c r="Z8" i="38"/>
  <c r="Y8" i="38"/>
  <c r="X8" i="38"/>
  <c r="W8" i="38"/>
  <c r="V8" i="38"/>
  <c r="U8" i="38"/>
  <c r="T8" i="38"/>
  <c r="S8" i="38"/>
  <c r="R8" i="38"/>
  <c r="AC7" i="38"/>
  <c r="N30" i="38" s="1"/>
  <c r="AB7" i="38"/>
  <c r="M30" i="38" s="1"/>
  <c r="AA7" i="38"/>
  <c r="Z7" i="38"/>
  <c r="Y7" i="38"/>
  <c r="X7" i="38"/>
  <c r="W7" i="38"/>
  <c r="V7" i="38"/>
  <c r="U7" i="38"/>
  <c r="T7" i="38"/>
  <c r="S7" i="38"/>
  <c r="R7" i="38"/>
  <c r="AC6" i="38"/>
  <c r="N29" i="38" s="1"/>
  <c r="AB6" i="38"/>
  <c r="M29" i="38" s="1"/>
  <c r="AA6" i="38"/>
  <c r="Z6" i="38"/>
  <c r="Y6" i="38"/>
  <c r="X6" i="38"/>
  <c r="W6" i="38"/>
  <c r="V6" i="38"/>
  <c r="U6" i="38"/>
  <c r="T6" i="38"/>
  <c r="S6" i="38"/>
  <c r="R6" i="38"/>
  <c r="AC5" i="38"/>
  <c r="N28" i="38" s="1"/>
  <c r="AB5" i="38"/>
  <c r="M28" i="38" s="1"/>
  <c r="AA5" i="38"/>
  <c r="Z5" i="38"/>
  <c r="Y5" i="38"/>
  <c r="X5" i="38"/>
  <c r="W5" i="38"/>
  <c r="V5" i="38"/>
  <c r="U5" i="38"/>
  <c r="T5" i="38"/>
  <c r="S5" i="38"/>
  <c r="R5" i="38"/>
  <c r="AC4" i="38"/>
  <c r="AB4" i="38"/>
  <c r="AA4" i="38"/>
  <c r="Z4" i="38"/>
  <c r="Y4" i="38"/>
  <c r="X4" i="38"/>
  <c r="W4" i="38"/>
  <c r="V4" i="38"/>
  <c r="U4" i="38"/>
  <c r="T4" i="38"/>
  <c r="S4" i="38"/>
  <c r="R4" i="38"/>
  <c r="R34" i="34"/>
  <c r="R32" i="34"/>
  <c r="P32" i="34"/>
  <c r="O32" i="34"/>
  <c r="N32" i="34"/>
  <c r="M32" i="34"/>
  <c r="L32" i="34"/>
  <c r="K32" i="34"/>
  <c r="J32" i="34"/>
  <c r="H32" i="34"/>
  <c r="R28" i="34"/>
  <c r="O28" i="34"/>
  <c r="L28" i="34"/>
  <c r="H28" i="34"/>
  <c r="R27" i="34"/>
  <c r="Q27" i="34"/>
  <c r="P27" i="34"/>
  <c r="O27" i="34"/>
  <c r="N27" i="34"/>
  <c r="L27" i="34"/>
  <c r="K27" i="34"/>
  <c r="J27" i="34"/>
  <c r="I27" i="34"/>
  <c r="H27" i="34"/>
  <c r="M27" i="34" s="1"/>
  <c r="R26" i="34"/>
  <c r="R25" i="34" s="1"/>
  <c r="P26" i="34"/>
  <c r="O26" i="34"/>
  <c r="O25" i="34" s="1"/>
  <c r="L26" i="34"/>
  <c r="L25" i="34" s="1"/>
  <c r="H26" i="34"/>
  <c r="H25" i="34"/>
  <c r="Q23" i="34"/>
  <c r="P23" i="34"/>
  <c r="O23" i="34"/>
  <c r="R22" i="34"/>
  <c r="Q22" i="34"/>
  <c r="P22" i="34"/>
  <c r="O22" i="34"/>
  <c r="N22" i="34"/>
  <c r="M22" i="34"/>
  <c r="L22" i="34"/>
  <c r="K22" i="34"/>
  <c r="J22" i="34"/>
  <c r="I22" i="34"/>
  <c r="H22" i="34"/>
  <c r="K17" i="34"/>
  <c r="R14" i="34"/>
  <c r="R11" i="34" s="1"/>
  <c r="P14" i="34"/>
  <c r="P11" i="34" s="1"/>
  <c r="O14" i="34"/>
  <c r="O11" i="34" s="1"/>
  <c r="N14" i="34"/>
  <c r="N11" i="34" s="1"/>
  <c r="M14" i="34"/>
  <c r="L14" i="34"/>
  <c r="K14" i="34"/>
  <c r="I14" i="34"/>
  <c r="I11" i="34" s="1"/>
  <c r="H14" i="34"/>
  <c r="R13" i="34"/>
  <c r="Q13" i="34"/>
  <c r="P13" i="34"/>
  <c r="M13" i="34"/>
  <c r="L13" i="34"/>
  <c r="K13" i="34"/>
  <c r="J13" i="34"/>
  <c r="I13" i="34"/>
  <c r="H13" i="34"/>
  <c r="R8" i="34"/>
  <c r="Q8" i="34"/>
  <c r="P8" i="34"/>
  <c r="O8" i="34"/>
  <c r="N8" i="34"/>
  <c r="R7" i="34"/>
  <c r="Q7" i="34"/>
  <c r="O7" i="34"/>
  <c r="N7" i="34"/>
  <c r="L7" i="34"/>
  <c r="K7" i="34"/>
  <c r="J7" i="34"/>
  <c r="I7" i="34"/>
  <c r="H7" i="34"/>
  <c r="R6" i="34"/>
  <c r="Q6" i="34"/>
  <c r="P6" i="34"/>
  <c r="O6" i="34"/>
  <c r="N6" i="34"/>
  <c r="M6" i="34"/>
  <c r="L6" i="34"/>
  <c r="K6" i="34"/>
  <c r="J6" i="34"/>
  <c r="I6" i="34"/>
  <c r="H6" i="34"/>
  <c r="R4" i="34"/>
  <c r="Q4" i="34"/>
  <c r="P4" i="34"/>
  <c r="O4" i="34"/>
  <c r="N4" i="34"/>
  <c r="M4" i="34"/>
  <c r="L4" i="34"/>
  <c r="K4" i="34"/>
  <c r="J4" i="34"/>
  <c r="I4" i="34"/>
  <c r="H4" i="34"/>
  <c r="D7535" i="23"/>
  <c r="D7534" i="23"/>
  <c r="D7533" i="23"/>
  <c r="D7532" i="23"/>
  <c r="D7531" i="23"/>
  <c r="D7530" i="23"/>
  <c r="N27" i="38" l="1"/>
  <c r="M37" i="38"/>
  <c r="N37" i="38"/>
  <c r="O29" i="34"/>
  <c r="R29" i="34"/>
  <c r="L28" i="38"/>
  <c r="L34" i="38"/>
  <c r="L36" i="38"/>
  <c r="L37" i="38"/>
  <c r="M27" i="38"/>
  <c r="D36" i="39" l="1"/>
  <c r="D37" i="39"/>
  <c r="R12" i="34"/>
  <c r="F331" i="24"/>
  <c r="F343" i="24" s="1"/>
  <c r="F348" i="24" s="1"/>
  <c r="F363" i="24" s="1"/>
  <c r="C314" i="24" l="1"/>
  <c r="C320" i="24" s="1"/>
  <c r="D38" i="39"/>
  <c r="R10" i="34"/>
  <c r="R15" i="34" s="1"/>
  <c r="R19" i="34" s="1"/>
  <c r="R21" i="34" s="1"/>
  <c r="R33" i="34" s="1"/>
  <c r="R35" i="34" l="1"/>
  <c r="R39" i="34" s="1"/>
  <c r="D7553" i="23" l="1"/>
  <c r="Q14" i="34" l="1"/>
  <c r="E338" i="27"/>
  <c r="Q12" i="34"/>
  <c r="D7173" i="23"/>
  <c r="F288" i="24" l="1"/>
  <c r="K2" i="26" l="1"/>
  <c r="Q34" i="34" s="1"/>
  <c r="D7190" i="23" l="1"/>
  <c r="D7188" i="23"/>
  <c r="D7185" i="23"/>
  <c r="D7187" i="23"/>
  <c r="D7186" i="23"/>
  <c r="D7174" i="23"/>
  <c r="D7170" i="23"/>
  <c r="D7171" i="23"/>
  <c r="D7167" i="23"/>
  <c r="D7168" i="23"/>
  <c r="D7166" i="23"/>
  <c r="D7165" i="23"/>
  <c r="D7164" i="23"/>
  <c r="D7179" i="23"/>
  <c r="D7178" i="23"/>
  <c r="D7177" i="23"/>
  <c r="D7175" i="23"/>
  <c r="D7176" i="23"/>
  <c r="Q11" i="34" l="1"/>
  <c r="F301" i="24" l="1"/>
  <c r="F310" i="24" s="1"/>
  <c r="F315" i="24" s="1"/>
  <c r="F333" i="24" s="1"/>
  <c r="F264" i="24" l="1"/>
  <c r="G6700" i="27" l="1"/>
  <c r="E133" i="27" l="1"/>
  <c r="J2" i="26"/>
  <c r="P34" i="34" s="1"/>
  <c r="E276" i="27"/>
  <c r="C281" i="24"/>
  <c r="C287" i="24" s="1"/>
  <c r="J5" i="27" l="1"/>
  <c r="J6" i="27" s="1"/>
  <c r="J7" i="27" s="1"/>
  <c r="J8" i="27" s="1"/>
  <c r="J9" i="27" s="1"/>
  <c r="J10" i="27" s="1"/>
  <c r="Q10" i="34"/>
  <c r="Q15" i="34" l="1"/>
  <c r="Q19" i="34" s="1"/>
  <c r="Q21" i="34" s="1"/>
  <c r="P12" i="34"/>
  <c r="F267" i="24" l="1"/>
  <c r="F277" i="24" l="1"/>
  <c r="F282" i="24" s="1"/>
  <c r="F303" i="24" s="1"/>
  <c r="D6516" i="23"/>
  <c r="D6333" i="23" l="1"/>
  <c r="D6334" i="23"/>
  <c r="D6332" i="23"/>
  <c r="P7" i="34" s="1"/>
  <c r="D6330" i="23"/>
  <c r="D6331" i="23"/>
  <c r="D6329" i="23"/>
  <c r="D6325" i="23"/>
  <c r="D6324" i="23"/>
  <c r="D6323" i="23"/>
  <c r="D6321" i="23"/>
  <c r="D6322" i="23"/>
  <c r="Q28" i="34" l="1"/>
  <c r="Q29" i="34" s="1"/>
  <c r="P28" i="34"/>
  <c r="P29" i="34" s="1"/>
  <c r="Q26" i="34"/>
  <c r="Q25" i="34" s="1"/>
  <c r="P25" i="34"/>
  <c r="Q14" i="38"/>
  <c r="Q13" i="38"/>
  <c r="Q12" i="38"/>
  <c r="Q11" i="38"/>
  <c r="Q10" i="38"/>
  <c r="Q9" i="38"/>
  <c r="Q8" i="38"/>
  <c r="Q7" i="38"/>
  <c r="Q6" i="38"/>
  <c r="Q5" i="38"/>
  <c r="Q4" i="38"/>
  <c r="Q33" i="34" l="1"/>
  <c r="Q35" i="34" s="1"/>
  <c r="Q39" i="34" s="1"/>
  <c r="V10" i="38"/>
  <c r="U10" i="38"/>
  <c r="T10" i="38"/>
  <c r="S10" i="38"/>
  <c r="R10" i="38"/>
  <c r="X10" i="38"/>
  <c r="AC10" i="38"/>
  <c r="AC17" i="38" s="1"/>
  <c r="AB10" i="38"/>
  <c r="AA10" i="38"/>
  <c r="L33" i="38" s="1"/>
  <c r="Y10" i="38"/>
  <c r="Z10" i="38"/>
  <c r="W10" i="38"/>
  <c r="L31" i="38"/>
  <c r="L30" i="38"/>
  <c r="L32" i="38"/>
  <c r="L35" i="38"/>
  <c r="L29" i="38"/>
  <c r="AB17" i="38" l="1"/>
  <c r="AB19" i="38" s="1"/>
  <c r="M33" i="38"/>
  <c r="AC19" i="38"/>
  <c r="N33" i="38"/>
  <c r="Z17" i="38"/>
  <c r="Z19" i="38" s="1"/>
  <c r="K28" i="38"/>
  <c r="K29" i="38"/>
  <c r="K30" i="38"/>
  <c r="K31" i="38"/>
  <c r="K32" i="38"/>
  <c r="K34" i="38"/>
  <c r="K35" i="38"/>
  <c r="K36" i="38"/>
  <c r="K37" i="38"/>
  <c r="M40" i="38" l="1"/>
  <c r="I2" i="26"/>
  <c r="O34" i="34" s="1"/>
  <c r="P10" i="34"/>
  <c r="G28" i="19" l="1"/>
  <c r="C252" i="24" l="1"/>
  <c r="C258" i="24" l="1"/>
  <c r="L27" i="25"/>
  <c r="D4900" i="23" l="1"/>
  <c r="O13" i="34" s="1"/>
  <c r="K13" i="38"/>
  <c r="L13" i="38"/>
  <c r="M13" i="38"/>
  <c r="N13" i="38"/>
  <c r="K12" i="38"/>
  <c r="L12" i="38"/>
  <c r="M12" i="38"/>
  <c r="N12" i="38"/>
  <c r="K11" i="38"/>
  <c r="L11" i="38"/>
  <c r="M11" i="38"/>
  <c r="N11" i="38"/>
  <c r="N10" i="38"/>
  <c r="M10" i="38"/>
  <c r="L10" i="38"/>
  <c r="K10" i="38"/>
  <c r="N9" i="38"/>
  <c r="M9" i="38"/>
  <c r="L9" i="38"/>
  <c r="K9" i="38"/>
  <c r="N8" i="38"/>
  <c r="M8" i="38"/>
  <c r="L8" i="38"/>
  <c r="K8" i="38"/>
  <c r="N7" i="38"/>
  <c r="M7" i="38"/>
  <c r="L7" i="38"/>
  <c r="K7" i="38"/>
  <c r="N6" i="38"/>
  <c r="M6" i="38"/>
  <c r="L6" i="38"/>
  <c r="K6" i="38"/>
  <c r="N5" i="38"/>
  <c r="M5" i="38"/>
  <c r="L5" i="38"/>
  <c r="K5" i="38"/>
  <c r="K4" i="38"/>
  <c r="L4" i="38" s="1"/>
  <c r="M4" i="38" s="1"/>
  <c r="N4" i="38" s="1"/>
  <c r="J31" i="38" l="1"/>
  <c r="J32" i="38"/>
  <c r="J34" i="38"/>
  <c r="J35" i="38"/>
  <c r="J36" i="38"/>
  <c r="J30" i="38"/>
  <c r="J29" i="38"/>
  <c r="J28" i="38"/>
  <c r="F227" i="24"/>
  <c r="J37" i="38" l="1"/>
  <c r="G29" i="19" l="1"/>
  <c r="H2" i="26" l="1"/>
  <c r="K14" i="38" l="1"/>
  <c r="L14" i="38" s="1"/>
  <c r="M14" i="38" s="1"/>
  <c r="N14" i="38" s="1"/>
  <c r="Y56" i="38" l="1"/>
  <c r="Z56" i="38"/>
  <c r="AA56" i="38"/>
  <c r="AB56" i="38"/>
  <c r="AC56" i="38"/>
  <c r="Q45" i="38"/>
  <c r="Q46" i="38"/>
  <c r="Q47" i="38"/>
  <c r="Q48" i="38"/>
  <c r="Q49" i="38"/>
  <c r="Q50" i="38"/>
  <c r="Q51" i="38"/>
  <c r="Q52" i="38"/>
  <c r="C53" i="38"/>
  <c r="D53" i="38"/>
  <c r="E53" i="38"/>
  <c r="F53" i="38"/>
  <c r="G53" i="38"/>
  <c r="H53" i="38"/>
  <c r="I53" i="38"/>
  <c r="J53" i="38"/>
  <c r="K53" i="38"/>
  <c r="L53" i="38"/>
  <c r="M53" i="38"/>
  <c r="N53" i="38"/>
  <c r="Q54" i="38"/>
  <c r="Y40" i="38"/>
  <c r="Z40" i="38"/>
  <c r="AA40" i="38"/>
  <c r="AB40" i="38"/>
  <c r="AC40" i="38"/>
  <c r="C16" i="38"/>
  <c r="J46" i="38"/>
  <c r="K46" i="38"/>
  <c r="L46" i="38"/>
  <c r="M46" i="38"/>
  <c r="N46" i="38"/>
  <c r="H46" i="38"/>
  <c r="G46" i="38"/>
  <c r="D47" i="38"/>
  <c r="D49" i="38"/>
  <c r="D50" i="38"/>
  <c r="E50" i="38"/>
  <c r="E51" i="38"/>
  <c r="S52" i="38"/>
  <c r="S53" i="38"/>
  <c r="R53" i="38"/>
  <c r="T54" i="38"/>
  <c r="V54" i="38"/>
  <c r="J54" i="38"/>
  <c r="K54" i="38"/>
  <c r="L54" i="38"/>
  <c r="M54" i="38"/>
  <c r="N54" i="38"/>
  <c r="D54" i="38"/>
  <c r="E54" i="38"/>
  <c r="G54" i="38"/>
  <c r="H54" i="38"/>
  <c r="I54" i="38"/>
  <c r="K33" i="38"/>
  <c r="K27" i="38" l="1"/>
  <c r="J33" i="38"/>
  <c r="J27" i="38"/>
  <c r="U53" i="38"/>
  <c r="H50" i="38"/>
  <c r="C54" i="38"/>
  <c r="W54" i="38"/>
  <c r="D51" i="38"/>
  <c r="G50" i="38"/>
  <c r="S50" i="38"/>
  <c r="T51" i="38"/>
  <c r="C17" i="38"/>
  <c r="D16" i="38"/>
  <c r="D17" i="38"/>
  <c r="F50" i="38"/>
  <c r="E16" i="38"/>
  <c r="S49" i="38"/>
  <c r="R50" i="38"/>
  <c r="P50" i="38" s="1"/>
  <c r="C50" i="38"/>
  <c r="S54" i="38"/>
  <c r="P53" i="38"/>
  <c r="E52" i="38"/>
  <c r="F54" i="38"/>
  <c r="R54" i="38"/>
  <c r="D52" i="38"/>
  <c r="G51" i="38"/>
  <c r="S51" i="38"/>
  <c r="C48" i="38"/>
  <c r="R48" i="38"/>
  <c r="S47" i="38"/>
  <c r="S45" i="38"/>
  <c r="U50" i="38"/>
  <c r="W46" i="38"/>
  <c r="T53" i="38"/>
  <c r="R52" i="38"/>
  <c r="P52" i="38" s="1"/>
  <c r="C52" i="38"/>
  <c r="F51" i="38"/>
  <c r="X54" i="38"/>
  <c r="T50" i="38"/>
  <c r="I48" i="38"/>
  <c r="V46" i="38"/>
  <c r="H48" i="38"/>
  <c r="G48" i="38"/>
  <c r="E46" i="38"/>
  <c r="F48" i="38"/>
  <c r="D46" i="38"/>
  <c r="E48" i="38"/>
  <c r="V48" i="38"/>
  <c r="I46" i="38"/>
  <c r="AA17" i="38" l="1"/>
  <c r="AA19" i="38" s="1"/>
  <c r="AA21" i="38" s="1"/>
  <c r="L27" i="38"/>
  <c r="Y17" i="38"/>
  <c r="W17" i="38"/>
  <c r="AC16" i="38"/>
  <c r="AB16" i="38"/>
  <c r="AA16" i="38"/>
  <c r="Z16" i="38"/>
  <c r="Y16" i="38"/>
  <c r="S17" i="38"/>
  <c r="D41" i="38" s="1"/>
  <c r="S16" i="38"/>
  <c r="T16" i="38"/>
  <c r="X16" i="38"/>
  <c r="E45" i="38"/>
  <c r="V50" i="38"/>
  <c r="T47" i="38"/>
  <c r="W48" i="38"/>
  <c r="R16" i="38"/>
  <c r="R17" i="38"/>
  <c r="C41" i="38" s="1"/>
  <c r="D56" i="38"/>
  <c r="D45" i="38"/>
  <c r="T17" i="38"/>
  <c r="T52" i="38"/>
  <c r="R51" i="38"/>
  <c r="P51" i="38" s="1"/>
  <c r="C51" i="38"/>
  <c r="C56" i="38"/>
  <c r="C45" i="38"/>
  <c r="R45" i="38"/>
  <c r="U54" i="38"/>
  <c r="P54" i="38" s="1"/>
  <c r="D48" i="38"/>
  <c r="S48" i="38"/>
  <c r="P48" i="38" s="1"/>
  <c r="E47" i="38"/>
  <c r="R46" i="38"/>
  <c r="C46" i="38"/>
  <c r="U17" i="38"/>
  <c r="T46" i="38"/>
  <c r="W16" i="38"/>
  <c r="E17" i="38"/>
  <c r="T45" i="38"/>
  <c r="T56" i="38" s="1"/>
  <c r="X48" i="38"/>
  <c r="F46" i="38"/>
  <c r="U46" i="38"/>
  <c r="T49" i="38"/>
  <c r="U16" i="38"/>
  <c r="T48" i="38"/>
  <c r="X17" i="38"/>
  <c r="V51" i="38"/>
  <c r="E49" i="38"/>
  <c r="V53" i="38"/>
  <c r="R47" i="38"/>
  <c r="P47" i="38" s="1"/>
  <c r="C47" i="38"/>
  <c r="X46" i="38"/>
  <c r="V16" i="38"/>
  <c r="V17" i="38"/>
  <c r="U48" i="38"/>
  <c r="U51" i="38"/>
  <c r="R49" i="38"/>
  <c r="P49" i="38" s="1"/>
  <c r="C49" i="38"/>
  <c r="S46" i="38"/>
  <c r="S56" i="38" s="1"/>
  <c r="W50" i="38"/>
  <c r="E41" i="38" l="1"/>
  <c r="S40" i="38"/>
  <c r="T40" i="38"/>
  <c r="F16" i="38"/>
  <c r="U45" i="38"/>
  <c r="P46" i="38"/>
  <c r="U49" i="38"/>
  <c r="F49" i="38"/>
  <c r="U47" i="38"/>
  <c r="R40" i="38"/>
  <c r="W51" i="38"/>
  <c r="H51" i="38"/>
  <c r="F17" i="38"/>
  <c r="F41" i="38" s="1"/>
  <c r="X50" i="38"/>
  <c r="I50" i="38"/>
  <c r="U52" i="38"/>
  <c r="F52" i="38"/>
  <c r="J48" i="38"/>
  <c r="E56" i="38"/>
  <c r="F45" i="38"/>
  <c r="W53" i="38"/>
  <c r="F47" i="38"/>
  <c r="F56" i="38"/>
  <c r="R56" i="38"/>
  <c r="P45" i="38"/>
  <c r="G17" i="38" l="1"/>
  <c r="G41" i="38" s="1"/>
  <c r="G16" i="38"/>
  <c r="V52" i="38"/>
  <c r="G52" i="38"/>
  <c r="V47" i="38"/>
  <c r="G47" i="38"/>
  <c r="U56" i="38"/>
  <c r="P56" i="38"/>
  <c r="K48" i="38"/>
  <c r="J50" i="38"/>
  <c r="U40" i="38"/>
  <c r="V49" i="38"/>
  <c r="G49" i="38"/>
  <c r="G56" i="38"/>
  <c r="V45" i="38"/>
  <c r="G45" i="38"/>
  <c r="X53" i="38"/>
  <c r="X51" i="38"/>
  <c r="I51" i="38"/>
  <c r="V56" i="38" l="1"/>
  <c r="H56" i="38"/>
  <c r="W45" i="38"/>
  <c r="W56" i="38" s="1"/>
  <c r="H45" i="38"/>
  <c r="W49" i="38"/>
  <c r="H49" i="38"/>
  <c r="V40" i="38"/>
  <c r="J51" i="38"/>
  <c r="K50" i="38"/>
  <c r="H17" i="38"/>
  <c r="H41" i="38" s="1"/>
  <c r="W52" i="38"/>
  <c r="H52" i="38"/>
  <c r="I16" i="38"/>
  <c r="W47" i="38"/>
  <c r="H47" i="38"/>
  <c r="H16" i="38"/>
  <c r="L48" i="38"/>
  <c r="W40" i="38" l="1"/>
  <c r="I56" i="38"/>
  <c r="X45" i="38"/>
  <c r="X56" i="38" s="1"/>
  <c r="I45" i="38"/>
  <c r="X52" i="38"/>
  <c r="I52" i="38"/>
  <c r="K51" i="38"/>
  <c r="I17" i="38"/>
  <c r="I41" i="38" s="1"/>
  <c r="M48" i="38"/>
  <c r="N48" i="38"/>
  <c r="X47" i="38"/>
  <c r="I47" i="38"/>
  <c r="L50" i="38"/>
  <c r="X49" i="38"/>
  <c r="I49" i="38"/>
  <c r="J17" i="38" l="1"/>
  <c r="J49" i="38"/>
  <c r="M50" i="38"/>
  <c r="N50" i="38"/>
  <c r="J47" i="38"/>
  <c r="L51" i="38"/>
  <c r="X40" i="38"/>
  <c r="J16" i="38"/>
  <c r="J45" i="38"/>
  <c r="P40" i="38"/>
  <c r="J52" i="38"/>
  <c r="K17" i="38" l="1"/>
  <c r="J40" i="38"/>
  <c r="K16" i="38"/>
  <c r="K49" i="38"/>
  <c r="K45" i="38"/>
  <c r="K47" i="38"/>
  <c r="K52" i="38"/>
  <c r="M51" i="38"/>
  <c r="N51" i="38"/>
  <c r="J56" i="38"/>
  <c r="L16" i="38" l="1"/>
  <c r="K40" i="38"/>
  <c r="L47" i="38"/>
  <c r="L45" i="38"/>
  <c r="K56" i="38"/>
  <c r="L52" i="38"/>
  <c r="M17" i="38"/>
  <c r="L49" i="38"/>
  <c r="L17" i="38"/>
  <c r="L40" i="38" l="1"/>
  <c r="M45" i="38"/>
  <c r="M52" i="38"/>
  <c r="N52" i="38"/>
  <c r="L56" i="38"/>
  <c r="N49" i="38"/>
  <c r="M49" i="38"/>
  <c r="M16" i="38"/>
  <c r="N47" i="38"/>
  <c r="M47" i="38"/>
  <c r="N17" i="38" l="1"/>
  <c r="N16" i="38"/>
  <c r="N40" i="38"/>
  <c r="M56" i="38"/>
  <c r="N45" i="38"/>
  <c r="N56" i="38" s="1"/>
  <c r="G13" i="19" l="1"/>
  <c r="G49" i="19" s="1"/>
  <c r="D13" i="37"/>
  <c r="F9" i="37"/>
  <c r="E13" i="37"/>
  <c r="F7" i="37"/>
  <c r="H7" i="37"/>
  <c r="E7" i="37" s="1"/>
  <c r="D7" i="37" l="1"/>
  <c r="G26" i="19" l="1"/>
  <c r="D4462" i="23"/>
  <c r="D4461" i="23"/>
  <c r="D4672" i="23"/>
  <c r="D4671" i="23"/>
  <c r="D4466" i="23"/>
  <c r="D4465" i="23"/>
  <c r="D3598" i="23"/>
  <c r="D3597" i="23"/>
  <c r="M30" i="34" s="1"/>
  <c r="N30" i="34" l="1"/>
  <c r="D3903" i="23" l="1"/>
  <c r="O12" i="34"/>
  <c r="O10" i="34"/>
  <c r="F238" i="24"/>
  <c r="C220" i="24" l="1"/>
  <c r="C226" i="24" s="1"/>
  <c r="F248" i="24"/>
  <c r="O15" i="34"/>
  <c r="O19" i="34" s="1"/>
  <c r="F253" i="24" l="1"/>
  <c r="F269" i="24" s="1"/>
  <c r="C189" i="24"/>
  <c r="F200" i="24"/>
  <c r="F201" i="24"/>
  <c r="E160" i="27" l="1"/>
  <c r="E134" i="27"/>
  <c r="M4" i="27"/>
  <c r="D3922" i="23" l="1"/>
  <c r="L4295" i="23"/>
  <c r="O21" i="34" l="1"/>
  <c r="O33" i="34" s="1"/>
  <c r="D4501" i="23"/>
  <c r="N34" i="34" s="1"/>
  <c r="D4499" i="23"/>
  <c r="N13" i="34" s="1"/>
  <c r="F205" i="24" l="1"/>
  <c r="F216" i="24" l="1"/>
  <c r="F221" i="24" s="1"/>
  <c r="F240" i="24" s="1"/>
  <c r="N10" i="34"/>
  <c r="F96" i="24"/>
  <c r="F100" i="24" l="1"/>
  <c r="C2" i="26" l="1"/>
  <c r="I34" i="34" s="1"/>
  <c r="E2" i="26"/>
  <c r="K34" i="34" s="1"/>
  <c r="F2" i="26"/>
  <c r="L34" i="34" s="1"/>
  <c r="D3622" i="23"/>
  <c r="N12" i="34"/>
  <c r="N15" i="34" l="1"/>
  <c r="N19" i="34" s="1"/>
  <c r="N21" i="34" s="1"/>
  <c r="C193" i="24" l="1"/>
  <c r="C196" i="24" s="1"/>
  <c r="D3804" i="23" l="1"/>
  <c r="M12" i="34"/>
  <c r="F169" i="24" l="1"/>
  <c r="F174" i="24"/>
  <c r="F167" i="24"/>
  <c r="F178" i="24" l="1"/>
  <c r="D3492" i="23"/>
  <c r="D3207" i="23"/>
  <c r="D3495" i="23"/>
  <c r="D3657" i="23"/>
  <c r="D3656" i="23"/>
  <c r="D3542" i="23"/>
  <c r="D3541" i="23"/>
  <c r="D3540" i="23"/>
  <c r="D3539" i="23"/>
  <c r="D3538" i="23"/>
  <c r="M34" i="34" l="1"/>
  <c r="D3519" i="23"/>
  <c r="M7" i="34" s="1"/>
  <c r="D3518" i="23"/>
  <c r="D3517" i="23"/>
  <c r="D3516" i="23"/>
  <c r="D3515" i="23"/>
  <c r="D3514" i="23"/>
  <c r="D3513" i="23"/>
  <c r="D3755" i="23"/>
  <c r="D3752" i="23"/>
  <c r="D3767" i="23"/>
  <c r="D3415" i="23"/>
  <c r="D2701" i="23"/>
  <c r="D3127" i="23"/>
  <c r="L29" i="34" l="1"/>
  <c r="L11" i="34"/>
  <c r="M11" i="34"/>
  <c r="N26" i="34"/>
  <c r="N25" i="34" s="1"/>
  <c r="M26" i="34"/>
  <c r="M25" i="34" s="1"/>
  <c r="N28" i="34"/>
  <c r="N29" i="34" s="1"/>
  <c r="M28" i="34"/>
  <c r="M29" i="34" s="1"/>
  <c r="M10" i="34"/>
  <c r="N33" i="34" l="1"/>
  <c r="N35" i="34" s="1"/>
  <c r="N39" i="34" s="1"/>
  <c r="O35" i="34"/>
  <c r="O39" i="34" s="1"/>
  <c r="M15" i="34"/>
  <c r="M19" i="34" s="1"/>
  <c r="M21" i="34" s="1"/>
  <c r="M33" i="34" s="1"/>
  <c r="M35" i="34" l="1"/>
  <c r="M39" i="34" s="1"/>
  <c r="E151" i="27"/>
  <c r="F133" i="24" l="1"/>
  <c r="C159" i="24" l="1"/>
  <c r="C162" i="24" s="1"/>
  <c r="F189" i="24"/>
  <c r="F194" i="24" s="1"/>
  <c r="F207" i="24" s="1"/>
  <c r="F136" i="24"/>
  <c r="L12" i="34"/>
  <c r="L10" i="34" l="1"/>
  <c r="L15" i="34" s="1"/>
  <c r="L19" i="34" s="1"/>
  <c r="L21" i="34" s="1"/>
  <c r="L33" i="34" s="1"/>
  <c r="P15" i="29" l="1"/>
  <c r="Q15" i="29"/>
  <c r="R15" i="29"/>
  <c r="S15" i="29"/>
  <c r="O15" i="29"/>
  <c r="N15" i="29"/>
  <c r="L15" i="29"/>
  <c r="H42" i="19" l="1"/>
  <c r="H6" i="37" l="1"/>
  <c r="E6" i="37" s="1"/>
  <c r="D6" i="37" s="1"/>
  <c r="S8" i="36" l="1"/>
  <c r="F144" i="24" l="1"/>
  <c r="F155" i="24" l="1"/>
  <c r="F160" i="24" s="1"/>
  <c r="F180" i="24" s="1"/>
  <c r="K10" i="34" l="1"/>
  <c r="D2296" i="23" l="1"/>
  <c r="D2295" i="23"/>
  <c r="D2294" i="23"/>
  <c r="K26" i="34" l="1"/>
  <c r="D1494" i="23"/>
  <c r="D1492" i="23"/>
  <c r="D1489" i="23"/>
  <c r="D1484" i="23"/>
  <c r="K25" i="34" l="1"/>
  <c r="K28" i="34"/>
  <c r="K29" i="34" s="1"/>
  <c r="E87" i="27"/>
  <c r="E4" i="26" l="1"/>
  <c r="L35" i="34" l="1"/>
  <c r="L39" i="34" s="1"/>
  <c r="F102" i="24"/>
  <c r="C128" i="24" l="1"/>
  <c r="C131" i="24" s="1"/>
  <c r="F105" i="24" l="1"/>
  <c r="F113" i="24" s="1"/>
  <c r="F124" i="24" s="1"/>
  <c r="F129" i="24" s="1"/>
  <c r="F146" i="24" l="1"/>
  <c r="K49" i="19" l="1"/>
  <c r="J49" i="19"/>
  <c r="E100" i="27" l="1"/>
  <c r="K12" i="34" s="1"/>
  <c r="U43" i="29" l="1"/>
  <c r="V43" i="29"/>
  <c r="W43" i="29"/>
  <c r="X43" i="29"/>
  <c r="Y43" i="29"/>
  <c r="U52" i="29"/>
  <c r="V52" i="29"/>
  <c r="W52" i="29"/>
  <c r="X52" i="29"/>
  <c r="Y52" i="29"/>
  <c r="U53" i="29"/>
  <c r="V53" i="29"/>
  <c r="W53" i="29"/>
  <c r="X53" i="29"/>
  <c r="Y53" i="29"/>
  <c r="H43" i="29"/>
  <c r="I43" i="29" s="1"/>
  <c r="J43" i="29" s="1"/>
  <c r="K43" i="29" s="1"/>
  <c r="L43" i="29" s="1"/>
  <c r="N43" i="29" l="1"/>
  <c r="O43" i="29" s="1"/>
  <c r="P43" i="29" s="1"/>
  <c r="Q43" i="29" s="1"/>
  <c r="R43" i="29" s="1"/>
  <c r="S43" i="29" s="1"/>
  <c r="T43" i="29" s="1"/>
  <c r="M43" i="29"/>
  <c r="F52" i="29"/>
  <c r="E65" i="29" s="1"/>
  <c r="G18" i="29"/>
  <c r="I18" i="29" s="1"/>
  <c r="J18" i="29" s="1"/>
  <c r="K18" i="29" s="1"/>
  <c r="L18" i="29" s="1"/>
  <c r="N18" i="29" s="1"/>
  <c r="O18" i="29" s="1"/>
  <c r="P18" i="29" s="1"/>
  <c r="Q18" i="29" s="1"/>
  <c r="R18" i="29" s="1"/>
  <c r="S18" i="29" s="1"/>
  <c r="H18" i="29"/>
  <c r="F18" i="29"/>
  <c r="G52" i="29"/>
  <c r="H52" i="29" s="1"/>
  <c r="I53" i="29"/>
  <c r="J53" i="29" s="1"/>
  <c r="K53" i="29" s="1"/>
  <c r="L53" i="29" s="1"/>
  <c r="F32" i="29"/>
  <c r="F33" i="29" s="1"/>
  <c r="F34" i="29" s="1"/>
  <c r="F35" i="29" s="1"/>
  <c r="F36" i="29" s="1"/>
  <c r="F37" i="29" s="1"/>
  <c r="F38" i="29" s="1"/>
  <c r="F39" i="29" s="1"/>
  <c r="F40" i="29" s="1"/>
  <c r="F41" i="29" s="1"/>
  <c r="F42" i="29" s="1"/>
  <c r="H32" i="29"/>
  <c r="H33" i="29" s="1"/>
  <c r="H34" i="29" s="1"/>
  <c r="H35" i="29" s="1"/>
  <c r="H36" i="29" s="1"/>
  <c r="H37" i="29" s="1"/>
  <c r="H38" i="29" s="1"/>
  <c r="H39" i="29" s="1"/>
  <c r="H40" i="29" s="1"/>
  <c r="H41" i="29" s="1"/>
  <c r="H42" i="29" s="1"/>
  <c r="M53" i="29" l="1"/>
  <c r="N53" i="29"/>
  <c r="O53" i="29" s="1"/>
  <c r="P53" i="29" s="1"/>
  <c r="Q53" i="29" s="1"/>
  <c r="R53" i="29" s="1"/>
  <c r="S53" i="29" s="1"/>
  <c r="T53" i="29" s="1"/>
  <c r="I52" i="29"/>
  <c r="J52" i="29" s="1"/>
  <c r="K52" i="29" s="1"/>
  <c r="L52" i="29" s="1"/>
  <c r="F44" i="29"/>
  <c r="F45" i="29" s="1"/>
  <c r="F46" i="29" s="1"/>
  <c r="F47" i="29" s="1"/>
  <c r="F48" i="29" s="1"/>
  <c r="F49" i="29" s="1"/>
  <c r="F50" i="29" s="1"/>
  <c r="F51" i="29" s="1"/>
  <c r="H44" i="29"/>
  <c r="H45" i="29" s="1"/>
  <c r="H46" i="29" s="1"/>
  <c r="H47" i="29" s="1"/>
  <c r="H48" i="29" s="1"/>
  <c r="H49" i="29" s="1"/>
  <c r="H50" i="29" s="1"/>
  <c r="H51" i="29" s="1"/>
  <c r="M52" i="29" l="1"/>
  <c r="N52" i="29"/>
  <c r="O52" i="29" s="1"/>
  <c r="P52" i="29" s="1"/>
  <c r="Q52" i="29" s="1"/>
  <c r="R52" i="29" s="1"/>
  <c r="S52" i="29" s="1"/>
  <c r="T52" i="29" s="1"/>
  <c r="D1700" i="23"/>
  <c r="K11" i="34" l="1"/>
  <c r="D1554" i="23"/>
  <c r="D1550" i="23"/>
  <c r="J14" i="34" l="1"/>
  <c r="J11" i="34" s="1"/>
  <c r="C97" i="24"/>
  <c r="C100" i="24" s="1"/>
  <c r="D1500" i="23" l="1"/>
  <c r="D1503" i="23"/>
  <c r="D1502" i="23"/>
  <c r="D1501" i="23"/>
  <c r="J26" i="34" l="1"/>
  <c r="J25" i="34" s="1"/>
  <c r="E60" i="27"/>
  <c r="F73" i="24" l="1"/>
  <c r="F80" i="24" s="1"/>
  <c r="F93" i="24" s="1"/>
  <c r="E73" i="27" l="1"/>
  <c r="D1015" i="23" l="1"/>
  <c r="E37" i="27" l="1"/>
  <c r="J12" i="34"/>
  <c r="I12" i="34"/>
  <c r="D2" i="26"/>
  <c r="J34" i="34" s="1"/>
  <c r="D1132" i="23"/>
  <c r="D1131" i="23"/>
  <c r="D1130" i="23"/>
  <c r="D1129" i="23"/>
  <c r="J28" i="34" l="1"/>
  <c r="J29" i="34" s="1"/>
  <c r="F98" i="24"/>
  <c r="F115" i="24" s="1"/>
  <c r="C68" i="24"/>
  <c r="C71" i="24" s="1"/>
  <c r="D835" i="23"/>
  <c r="G19" i="31" l="1"/>
  <c r="F19" i="31"/>
  <c r="P19" i="31"/>
  <c r="H19" i="31"/>
  <c r="H13" i="31"/>
  <c r="F13" i="31"/>
  <c r="N39" i="16"/>
  <c r="N38" i="16"/>
  <c r="D1073" i="23" l="1"/>
  <c r="D1055" i="23"/>
  <c r="D1072" i="23"/>
  <c r="D1061" i="23"/>
  <c r="D1070" i="23"/>
  <c r="D1069" i="23"/>
  <c r="D1066" i="23"/>
  <c r="D1065" i="23"/>
  <c r="D1064" i="23"/>
  <c r="D1059" i="23"/>
  <c r="D1058" i="23"/>
  <c r="D1057" i="23"/>
  <c r="D1048" i="23"/>
  <c r="D1047" i="23"/>
  <c r="D1028" i="23"/>
  <c r="D1027" i="23"/>
  <c r="D1026" i="23"/>
  <c r="D1025" i="23"/>
  <c r="D1024" i="23"/>
  <c r="D1023" i="23"/>
  <c r="D1019" i="23"/>
  <c r="D1018" i="23"/>
  <c r="D1017" i="23"/>
  <c r="D1016" i="23"/>
  <c r="D1014" i="23"/>
  <c r="D1007" i="23"/>
  <c r="I26" i="34" l="1"/>
  <c r="I25" i="34" s="1"/>
  <c r="G12" i="19" l="1"/>
  <c r="G43" i="19" s="1"/>
  <c r="F51" i="24" l="1"/>
  <c r="F64" i="24" s="1"/>
  <c r="D746" i="23"/>
  <c r="I28" i="34" l="1"/>
  <c r="F69" i="24"/>
  <c r="F82" i="24" s="1"/>
  <c r="F20" i="24"/>
  <c r="J24" i="27" l="1"/>
  <c r="J4" i="27"/>
  <c r="I21" i="33" l="1"/>
  <c r="I23" i="33" s="1"/>
  <c r="B6" i="31" l="1"/>
  <c r="B4" i="31"/>
  <c r="B13" i="31" s="1"/>
  <c r="A13" i="31" s="1"/>
  <c r="A14" i="31" s="1"/>
  <c r="B8" i="31"/>
  <c r="K4" i="4"/>
  <c r="L4" i="4" s="1"/>
  <c r="M4" i="4" s="1"/>
  <c r="N4" i="4" s="1"/>
  <c r="H17" i="19"/>
  <c r="H47" i="19" s="1"/>
  <c r="K47" i="19" s="1"/>
  <c r="G17" i="19"/>
  <c r="G47" i="19" s="1"/>
  <c r="F44" i="19"/>
  <c r="F11" i="19"/>
  <c r="F42" i="19" s="1"/>
  <c r="F45" i="19" s="1"/>
  <c r="N45" i="16"/>
  <c r="N47" i="16" s="1"/>
  <c r="M38" i="16"/>
  <c r="P89" i="31"/>
  <c r="N77" i="31"/>
  <c r="H41" i="31"/>
  <c r="I19" i="31"/>
  <c r="I47" i="31" s="1"/>
  <c r="J19" i="31"/>
  <c r="J53" i="31" s="1"/>
  <c r="K19" i="31"/>
  <c r="K59" i="31" s="1"/>
  <c r="L19" i="31"/>
  <c r="M19" i="31"/>
  <c r="M71" i="31" s="1"/>
  <c r="N19" i="31"/>
  <c r="O19" i="31"/>
  <c r="G26" i="31"/>
  <c r="G25" i="31" s="1"/>
  <c r="G23" i="31" s="1"/>
  <c r="F26" i="31"/>
  <c r="F25" i="31"/>
  <c r="H33" i="31"/>
  <c r="I33" i="31"/>
  <c r="J33" i="31"/>
  <c r="K33" i="31"/>
  <c r="L33" i="31"/>
  <c r="M33" i="31"/>
  <c r="N33" i="31" s="1"/>
  <c r="I39" i="31"/>
  <c r="J39" i="31"/>
  <c r="J45" i="31"/>
  <c r="K45" i="31"/>
  <c r="L45" i="31"/>
  <c r="M45" i="31" s="1"/>
  <c r="K51" i="31"/>
  <c r="L51" i="31"/>
  <c r="M51" i="31" s="1"/>
  <c r="L57" i="31"/>
  <c r="M57" i="31"/>
  <c r="N57" i="31" s="1"/>
  <c r="R93" i="31"/>
  <c r="Q87" i="31"/>
  <c r="R87" i="31" s="1"/>
  <c r="P81" i="31"/>
  <c r="O75" i="31"/>
  <c r="P75" i="31" s="1"/>
  <c r="N69" i="31"/>
  <c r="O69" i="31" s="1"/>
  <c r="N63" i="31"/>
  <c r="O63" i="31"/>
  <c r="P63" i="31" s="1"/>
  <c r="M63" i="31"/>
  <c r="E23" i="31"/>
  <c r="E19" i="31"/>
  <c r="R96" i="31"/>
  <c r="S96" i="31"/>
  <c r="T96" i="31"/>
  <c r="U96" i="31"/>
  <c r="V96" i="31"/>
  <c r="Q96" i="31"/>
  <c r="E99" i="31"/>
  <c r="E97" i="31"/>
  <c r="J47" i="19" l="1"/>
  <c r="H25" i="31"/>
  <c r="H23" i="31" s="1"/>
  <c r="H26" i="31"/>
  <c r="O33" i="31"/>
  <c r="K39" i="31"/>
  <c r="N45" i="31"/>
  <c r="N51" i="31"/>
  <c r="O57" i="31"/>
  <c r="S93" i="31"/>
  <c r="S87" i="31"/>
  <c r="Q81" i="31"/>
  <c r="Q75" i="31"/>
  <c r="P69" i="31"/>
  <c r="Q63" i="31"/>
  <c r="I26" i="31" l="1"/>
  <c r="I25" i="31" s="1"/>
  <c r="I23" i="31" s="1"/>
  <c r="P33" i="31"/>
  <c r="L39" i="31"/>
  <c r="O45" i="31"/>
  <c r="O51" i="31"/>
  <c r="P57" i="31"/>
  <c r="T93" i="31"/>
  <c r="T87" i="31"/>
  <c r="R81" i="31"/>
  <c r="R75" i="31"/>
  <c r="Q69" i="31"/>
  <c r="R63" i="31"/>
  <c r="J26" i="31" l="1"/>
  <c r="J25" i="31" s="1"/>
  <c r="J23" i="31" s="1"/>
  <c r="Q33" i="31"/>
  <c r="M39" i="31"/>
  <c r="P45" i="31"/>
  <c r="P51" i="31"/>
  <c r="Q57" i="31"/>
  <c r="U93" i="31"/>
  <c r="U87" i="31"/>
  <c r="S81" i="31"/>
  <c r="S75" i="31"/>
  <c r="R69" i="31"/>
  <c r="S63" i="31"/>
  <c r="K26" i="31" l="1"/>
  <c r="K25" i="31" s="1"/>
  <c r="K23" i="31" s="1"/>
  <c r="N39" i="31"/>
  <c r="Q45" i="31"/>
  <c r="Q51" i="31"/>
  <c r="R57" i="31"/>
  <c r="V93" i="31"/>
  <c r="V87" i="31"/>
  <c r="T81" i="31"/>
  <c r="T75" i="31"/>
  <c r="S69" i="31"/>
  <c r="T63" i="31"/>
  <c r="L23" i="31" l="1"/>
  <c r="L26" i="31"/>
  <c r="L25" i="31"/>
  <c r="O39" i="31"/>
  <c r="R45" i="31"/>
  <c r="R51" i="31"/>
  <c r="S57" i="31"/>
  <c r="W93" i="31"/>
  <c r="W87" i="31"/>
  <c r="U81" i="31"/>
  <c r="U75" i="31"/>
  <c r="T69" i="31"/>
  <c r="U63" i="31"/>
  <c r="L69" i="31"/>
  <c r="M69" i="31" s="1"/>
  <c r="C91" i="31"/>
  <c r="B93" i="31"/>
  <c r="P93" i="31" s="1"/>
  <c r="Q93" i="31" s="1"/>
  <c r="C85" i="31"/>
  <c r="B87" i="31"/>
  <c r="O87" i="31" s="1"/>
  <c r="P87" i="31" s="1"/>
  <c r="C79" i="31"/>
  <c r="B81" i="31"/>
  <c r="N81" i="31" s="1"/>
  <c r="O81" i="31" s="1"/>
  <c r="C73" i="31"/>
  <c r="B75" i="31"/>
  <c r="M75" i="31" s="1"/>
  <c r="N75" i="31" s="1"/>
  <c r="C67" i="31"/>
  <c r="B69" i="31"/>
  <c r="C61" i="31"/>
  <c r="B63" i="31"/>
  <c r="K63" i="31" s="1"/>
  <c r="L63" i="31" s="1"/>
  <c r="C55" i="31"/>
  <c r="B57" i="31"/>
  <c r="J57" i="31" s="1"/>
  <c r="K57" i="31" s="1"/>
  <c r="C49" i="31"/>
  <c r="B51" i="31"/>
  <c r="I51" i="31" s="1"/>
  <c r="J51" i="31" s="1"/>
  <c r="C43" i="31"/>
  <c r="B45" i="31"/>
  <c r="H45" i="31" s="1"/>
  <c r="I45" i="31" s="1"/>
  <c r="C37" i="31"/>
  <c r="B39" i="31"/>
  <c r="G39" i="31" s="1"/>
  <c r="H39" i="31" s="1"/>
  <c r="F29" i="31"/>
  <c r="C31" i="31"/>
  <c r="B33" i="31"/>
  <c r="F33" i="31" s="1"/>
  <c r="G33" i="31" s="1"/>
  <c r="B27" i="31"/>
  <c r="E27" i="31" s="1"/>
  <c r="C25" i="31"/>
  <c r="B56" i="3"/>
  <c r="B54" i="3"/>
  <c r="B52" i="3"/>
  <c r="O11" i="36"/>
  <c r="O8" i="31"/>
  <c r="N8" i="31"/>
  <c r="O6" i="31"/>
  <c r="N6" i="31"/>
  <c r="M6" i="31"/>
  <c r="L6" i="31"/>
  <c r="K6" i="31"/>
  <c r="N4" i="31"/>
  <c r="M4" i="31"/>
  <c r="L4" i="31"/>
  <c r="K4" i="31"/>
  <c r="J4" i="31"/>
  <c r="J13" i="31" s="1"/>
  <c r="I4" i="31"/>
  <c r="I13" i="31" s="1"/>
  <c r="H4" i="31"/>
  <c r="P6" i="31"/>
  <c r="G13" i="31"/>
  <c r="E13" i="31"/>
  <c r="J8" i="36"/>
  <c r="N8" i="36"/>
  <c r="N44" i="36" s="1"/>
  <c r="O8" i="36"/>
  <c r="I9" i="36"/>
  <c r="I45" i="36" s="1"/>
  <c r="I8" i="36"/>
  <c r="I44" i="36" s="1"/>
  <c r="J27" i="36"/>
  <c r="K27" i="36"/>
  <c r="L27" i="36"/>
  <c r="M27" i="36"/>
  <c r="N27" i="36"/>
  <c r="O27" i="36"/>
  <c r="P27" i="36"/>
  <c r="Q27" i="36"/>
  <c r="R27" i="36"/>
  <c r="S27" i="36"/>
  <c r="I27" i="36"/>
  <c r="I98" i="36"/>
  <c r="J98" i="36" s="1"/>
  <c r="K98" i="36" s="1"/>
  <c r="L98" i="36" s="1"/>
  <c r="M98" i="36" s="1"/>
  <c r="R98" i="36" s="1"/>
  <c r="S98" i="36" s="1"/>
  <c r="I97" i="36"/>
  <c r="S96" i="36"/>
  <c r="R96" i="36"/>
  <c r="M96" i="36"/>
  <c r="L96" i="36"/>
  <c r="K96" i="36"/>
  <c r="J96" i="36"/>
  <c r="I96" i="36"/>
  <c r="I99" i="36" s="1"/>
  <c r="I95" i="36"/>
  <c r="J95" i="36" s="1"/>
  <c r="I90" i="36"/>
  <c r="J90" i="36" s="1"/>
  <c r="L89" i="36"/>
  <c r="M86" i="36"/>
  <c r="L86" i="36"/>
  <c r="I86" i="36"/>
  <c r="J86" i="36" s="1"/>
  <c r="M85" i="36"/>
  <c r="R85" i="36" s="1"/>
  <c r="S85" i="36" s="1"/>
  <c r="L85" i="36"/>
  <c r="I85" i="36"/>
  <c r="J85" i="36" s="1"/>
  <c r="L84" i="36"/>
  <c r="M84" i="36" s="1"/>
  <c r="R84" i="36" s="1"/>
  <c r="S84" i="36" s="1"/>
  <c r="I84" i="36"/>
  <c r="J84" i="36" s="1"/>
  <c r="K83" i="36"/>
  <c r="K87" i="36" s="1"/>
  <c r="I77" i="36"/>
  <c r="J77" i="36" s="1"/>
  <c r="H74" i="36"/>
  <c r="M73" i="36"/>
  <c r="R73" i="36" s="1"/>
  <c r="S73" i="36" s="1"/>
  <c r="K73" i="36"/>
  <c r="M72" i="36"/>
  <c r="R72" i="36" s="1"/>
  <c r="S72" i="36" s="1"/>
  <c r="I72" i="36"/>
  <c r="L71" i="36"/>
  <c r="K71" i="36"/>
  <c r="J71" i="36"/>
  <c r="I71" i="36"/>
  <c r="M70" i="36"/>
  <c r="R70" i="36" s="1"/>
  <c r="S70" i="36" s="1"/>
  <c r="M69" i="36"/>
  <c r="R69" i="36" s="1"/>
  <c r="S69" i="36" s="1"/>
  <c r="M68" i="36"/>
  <c r="R68" i="36" s="1"/>
  <c r="S68" i="36" s="1"/>
  <c r="S57" i="36"/>
  <c r="R57" i="36"/>
  <c r="Q57" i="36"/>
  <c r="P57" i="36"/>
  <c r="O57" i="36"/>
  <c r="N57" i="36"/>
  <c r="M57" i="36"/>
  <c r="L57" i="36"/>
  <c r="K57" i="36"/>
  <c r="J57" i="36"/>
  <c r="I57" i="36"/>
  <c r="H57" i="36"/>
  <c r="S56" i="36"/>
  <c r="R56" i="36"/>
  <c r="Q56" i="36"/>
  <c r="P56" i="36"/>
  <c r="O56" i="36"/>
  <c r="N56" i="36"/>
  <c r="M56" i="36"/>
  <c r="L56" i="36"/>
  <c r="K56" i="36"/>
  <c r="H56" i="36"/>
  <c r="S55" i="36"/>
  <c r="R55" i="36"/>
  <c r="Q55" i="36"/>
  <c r="P55" i="36"/>
  <c r="O55" i="36"/>
  <c r="N55" i="36"/>
  <c r="M55" i="36"/>
  <c r="L55" i="36"/>
  <c r="K55" i="36"/>
  <c r="J55" i="36"/>
  <c r="I55" i="36"/>
  <c r="H55" i="36"/>
  <c r="H53" i="36"/>
  <c r="H52" i="36"/>
  <c r="I51" i="36"/>
  <c r="H51" i="36"/>
  <c r="H50" i="36"/>
  <c r="N48" i="36"/>
  <c r="M48" i="36"/>
  <c r="L48" i="36"/>
  <c r="K48" i="36"/>
  <c r="J48" i="36"/>
  <c r="I48" i="36"/>
  <c r="H48" i="36"/>
  <c r="H46" i="36"/>
  <c r="K32" i="36"/>
  <c r="J20" i="36"/>
  <c r="J56" i="36" s="1"/>
  <c r="I20" i="36"/>
  <c r="I56" i="36" s="1"/>
  <c r="J15" i="36"/>
  <c r="J51" i="36" s="1"/>
  <c r="O12" i="36"/>
  <c r="O48" i="36" s="1"/>
  <c r="H9" i="36"/>
  <c r="H8" i="36"/>
  <c r="H44" i="36" s="1"/>
  <c r="D19" i="16"/>
  <c r="J76" i="4"/>
  <c r="I76" i="4"/>
  <c r="I75" i="4"/>
  <c r="J75" i="4"/>
  <c r="K74" i="4"/>
  <c r="J74" i="4"/>
  <c r="I74" i="4"/>
  <c r="F5" i="4"/>
  <c r="I4" i="4"/>
  <c r="J4" i="4" s="1"/>
  <c r="G5" i="16"/>
  <c r="G19" i="16"/>
  <c r="F19" i="16"/>
  <c r="E19" i="16"/>
  <c r="L19" i="16"/>
  <c r="M19" i="16"/>
  <c r="N19" i="16"/>
  <c r="C19" i="16"/>
  <c r="O44" i="36" l="1"/>
  <c r="F30" i="31"/>
  <c r="F96" i="31" s="1"/>
  <c r="G32" i="31"/>
  <c r="G31" i="31"/>
  <c r="M39" i="16"/>
  <c r="H26" i="19"/>
  <c r="I26" i="19" s="1"/>
  <c r="S44" i="36"/>
  <c r="Q92" i="31"/>
  <c r="Q91" i="31" s="1"/>
  <c r="M23" i="31"/>
  <c r="M26" i="31"/>
  <c r="M25" i="31"/>
  <c r="P39" i="31"/>
  <c r="S45" i="31"/>
  <c r="S51" i="31"/>
  <c r="T57" i="31"/>
  <c r="X93" i="31"/>
  <c r="X87" i="31"/>
  <c r="V81" i="31"/>
  <c r="V75" i="31"/>
  <c r="U69" i="31"/>
  <c r="V63" i="31"/>
  <c r="P90" i="31"/>
  <c r="P96" i="31" s="1"/>
  <c r="K13" i="31"/>
  <c r="O13" i="31"/>
  <c r="L13" i="31"/>
  <c r="M13" i="31"/>
  <c r="N13" i="31"/>
  <c r="K15" i="36"/>
  <c r="K51" i="36" s="1"/>
  <c r="J72" i="36"/>
  <c r="K72" i="36" s="1"/>
  <c r="J91" i="36"/>
  <c r="K90" i="36"/>
  <c r="J99" i="36"/>
  <c r="K95" i="36"/>
  <c r="J78" i="36"/>
  <c r="K77" i="36"/>
  <c r="I100" i="36"/>
  <c r="P12" i="36"/>
  <c r="J44" i="36"/>
  <c r="H45" i="36"/>
  <c r="J97" i="36"/>
  <c r="K97" i="36" s="1"/>
  <c r="L97" i="36" s="1"/>
  <c r="M97" i="36" s="1"/>
  <c r="R97" i="36" s="1"/>
  <c r="S97" i="36" s="1"/>
  <c r="L15" i="36"/>
  <c r="I78" i="36"/>
  <c r="L83" i="36"/>
  <c r="L87" i="36" s="1"/>
  <c r="I91" i="36"/>
  <c r="H19" i="16"/>
  <c r="L65" i="31" l="1"/>
  <c r="O83" i="31"/>
  <c r="N23" i="31"/>
  <c r="N26" i="31"/>
  <c r="N25" i="31"/>
  <c r="Q39" i="31"/>
  <c r="T51" i="31"/>
  <c r="U57" i="31"/>
  <c r="Y93" i="31"/>
  <c r="Y87" i="31"/>
  <c r="W81" i="31"/>
  <c r="W75" i="31"/>
  <c r="V69" i="31"/>
  <c r="K91" i="36"/>
  <c r="K92" i="36" s="1"/>
  <c r="L90" i="36"/>
  <c r="L51" i="36"/>
  <c r="M15" i="36"/>
  <c r="J100" i="36"/>
  <c r="P48" i="36"/>
  <c r="Q12" i="36"/>
  <c r="L95" i="36"/>
  <c r="K99" i="36"/>
  <c r="K78" i="36"/>
  <c r="L77" i="36"/>
  <c r="I19" i="16"/>
  <c r="M68" i="31" l="1"/>
  <c r="M67" i="31"/>
  <c r="M65" i="31" s="1"/>
  <c r="N68" i="31" s="1"/>
  <c r="N67" i="31" s="1"/>
  <c r="N65" i="31" s="1"/>
  <c r="O68" i="31" s="1"/>
  <c r="O67" i="31" s="1"/>
  <c r="O65" i="31" s="1"/>
  <c r="P68" i="31" s="1"/>
  <c r="P67" i="31" s="1"/>
  <c r="P65" i="31" s="1"/>
  <c r="Q68" i="31" s="1"/>
  <c r="Q67" i="31" s="1"/>
  <c r="Q65" i="31" s="1"/>
  <c r="R68" i="31" s="1"/>
  <c r="R67" i="31" s="1"/>
  <c r="R65" i="31" s="1"/>
  <c r="S68" i="31" s="1"/>
  <c r="S67" i="31" s="1"/>
  <c r="S65" i="31" s="1"/>
  <c r="T68" i="31" s="1"/>
  <c r="T67" i="31" s="1"/>
  <c r="T65" i="31" s="1"/>
  <c r="U68" i="31" s="1"/>
  <c r="U67" i="31" s="1"/>
  <c r="U65" i="31" s="1"/>
  <c r="V68" i="31" s="1"/>
  <c r="V67" i="31" s="1"/>
  <c r="V65" i="31" s="1"/>
  <c r="O26" i="31"/>
  <c r="O25" i="31"/>
  <c r="O23" i="31" s="1"/>
  <c r="R39" i="31"/>
  <c r="Z93" i="31"/>
  <c r="Z87" i="31"/>
  <c r="X81" i="31"/>
  <c r="X75" i="31"/>
  <c r="W69" i="31"/>
  <c r="M90" i="36"/>
  <c r="L91" i="36"/>
  <c r="L92" i="36" s="1"/>
  <c r="L93" i="36" s="1"/>
  <c r="K100" i="36"/>
  <c r="K102" i="36"/>
  <c r="M51" i="36"/>
  <c r="N15" i="36"/>
  <c r="M77" i="36"/>
  <c r="L78" i="36"/>
  <c r="M95" i="36"/>
  <c r="L99" i="36"/>
  <c r="Q48" i="36"/>
  <c r="R12" i="36"/>
  <c r="K19" i="16"/>
  <c r="J19" i="16"/>
  <c r="P26" i="31" l="1"/>
  <c r="P25" i="31"/>
  <c r="P23" i="31" s="1"/>
  <c r="AA93" i="31"/>
  <c r="Y81" i="31"/>
  <c r="W68" i="31"/>
  <c r="W67" i="31"/>
  <c r="W65" i="31" s="1"/>
  <c r="N51" i="36"/>
  <c r="O15" i="36"/>
  <c r="S12" i="36"/>
  <c r="S48" i="36" s="1"/>
  <c r="R48" i="36"/>
  <c r="L102" i="36"/>
  <c r="L100" i="36"/>
  <c r="R95" i="36"/>
  <c r="M99" i="36"/>
  <c r="R77" i="36"/>
  <c r="R90" i="36"/>
  <c r="R99" i="36" l="1"/>
  <c r="S95" i="36"/>
  <c r="S99" i="36" s="1"/>
  <c r="S90" i="36"/>
  <c r="L103" i="36"/>
  <c r="S77" i="36"/>
  <c r="P15" i="36"/>
  <c r="O51" i="36"/>
  <c r="M100" i="36"/>
  <c r="H36" i="16"/>
  <c r="G36" i="16"/>
  <c r="K34" i="16"/>
  <c r="L34" i="16"/>
  <c r="M34" i="16"/>
  <c r="N34" i="16"/>
  <c r="K36" i="16"/>
  <c r="L36" i="16"/>
  <c r="M36" i="16"/>
  <c r="N36" i="16"/>
  <c r="L37" i="16"/>
  <c r="J36" i="16"/>
  <c r="I36" i="16"/>
  <c r="G34" i="16"/>
  <c r="H34" i="16"/>
  <c r="I34" i="16"/>
  <c r="J34" i="16"/>
  <c r="F34" i="16"/>
  <c r="F5" i="16"/>
  <c r="K35" i="16" s="1"/>
  <c r="K45" i="16" l="1"/>
  <c r="P8" i="36" s="1"/>
  <c r="P44" i="36" s="1"/>
  <c r="S100" i="36"/>
  <c r="R100" i="36"/>
  <c r="P51" i="36"/>
  <c r="Q15" i="36"/>
  <c r="H41" i="16"/>
  <c r="N35" i="16"/>
  <c r="M35" i="16"/>
  <c r="F41" i="16"/>
  <c r="N37" i="16"/>
  <c r="L35" i="16"/>
  <c r="L42" i="16" s="1"/>
  <c r="M37" i="16"/>
  <c r="K41" i="16"/>
  <c r="L45" i="16"/>
  <c r="K37" i="16"/>
  <c r="K42" i="16" s="1"/>
  <c r="G41" i="16"/>
  <c r="L41" i="16"/>
  <c r="J41" i="16"/>
  <c r="I41" i="16"/>
  <c r="I37" i="16"/>
  <c r="F35" i="16"/>
  <c r="H37" i="16"/>
  <c r="G37" i="16"/>
  <c r="J37" i="16"/>
  <c r="H35" i="16"/>
  <c r="G35" i="16"/>
  <c r="J35" i="16"/>
  <c r="I35" i="16"/>
  <c r="Q51" i="36" l="1"/>
  <c r="R15" i="36"/>
  <c r="K43" i="16"/>
  <c r="K46" i="16"/>
  <c r="F42" i="16"/>
  <c r="F43" i="16" s="1"/>
  <c r="L43" i="16"/>
  <c r="L46" i="16"/>
  <c r="H42" i="16"/>
  <c r="H43" i="16" s="1"/>
  <c r="G42" i="16"/>
  <c r="I42" i="16"/>
  <c r="I43" i="16" s="1"/>
  <c r="J42" i="16"/>
  <c r="J43" i="16" s="1"/>
  <c r="R51" i="36" l="1"/>
  <c r="S15" i="36"/>
  <c r="S51" i="36" s="1"/>
  <c r="G43" i="16"/>
  <c r="L47" i="16"/>
  <c r="K47" i="16"/>
  <c r="G23" i="19" l="1"/>
  <c r="H23" i="19"/>
  <c r="I23" i="19" l="1"/>
  <c r="E42" i="19"/>
  <c r="E45" i="19" s="1"/>
  <c r="D42" i="19"/>
  <c r="F46" i="19" l="1"/>
  <c r="F19" i="19" l="1"/>
  <c r="F52" i="19" s="1"/>
  <c r="F15" i="19"/>
  <c r="F18" i="19" s="1"/>
  <c r="F22" i="19" s="1"/>
  <c r="D15" i="19"/>
  <c r="C15" i="19"/>
  <c r="I16" i="36"/>
  <c r="I52" i="36" s="1"/>
  <c r="E63" i="3" l="1"/>
  <c r="E66" i="3" s="1"/>
  <c r="E70" i="3" s="1"/>
  <c r="F139" i="25" l="1"/>
  <c r="H139" i="25"/>
  <c r="I139" i="25"/>
  <c r="J139" i="25"/>
  <c r="K139" i="25"/>
  <c r="L139" i="25"/>
  <c r="M139" i="25"/>
  <c r="N139" i="25"/>
  <c r="O139" i="25"/>
  <c r="P139" i="25"/>
  <c r="Q139" i="25"/>
  <c r="F136" i="25" l="1"/>
  <c r="H136" i="25"/>
  <c r="I136" i="25"/>
  <c r="J136" i="25"/>
  <c r="K136" i="25"/>
  <c r="L136" i="25"/>
  <c r="M136" i="25"/>
  <c r="N136" i="25"/>
  <c r="O136" i="25"/>
  <c r="P136" i="25"/>
  <c r="Q136" i="25"/>
  <c r="Q39" i="25"/>
  <c r="P39" i="25"/>
  <c r="O39" i="25"/>
  <c r="N39" i="25"/>
  <c r="M39" i="25"/>
  <c r="F39" i="25"/>
  <c r="G39" i="25"/>
  <c r="L32" i="36" l="1"/>
  <c r="B2" i="26"/>
  <c r="I30" i="36"/>
  <c r="M32" i="36" l="1"/>
  <c r="I10" i="34"/>
  <c r="I49" i="29" l="1"/>
  <c r="J49" i="29"/>
  <c r="K49" i="29"/>
  <c r="L49" i="29"/>
  <c r="N49" i="29"/>
  <c r="O49" i="29"/>
  <c r="P49" i="29"/>
  <c r="Q49" i="29"/>
  <c r="R49" i="29"/>
  <c r="S49" i="29"/>
  <c r="G49" i="29"/>
  <c r="E49" i="29"/>
  <c r="I56" i="33"/>
  <c r="J56" i="33"/>
  <c r="K56" i="33"/>
  <c r="L56" i="33"/>
  <c r="M56" i="33"/>
  <c r="N56" i="33"/>
  <c r="O56" i="33"/>
  <c r="P56" i="33"/>
  <c r="Q56" i="33"/>
  <c r="R56" i="33"/>
  <c r="T56" i="33"/>
  <c r="K57" i="33"/>
  <c r="L57" i="33"/>
  <c r="M57" i="33"/>
  <c r="N57" i="33"/>
  <c r="O57" i="33"/>
  <c r="P57" i="33"/>
  <c r="Q57" i="33"/>
  <c r="R57" i="33"/>
  <c r="T57" i="33"/>
  <c r="I58" i="33"/>
  <c r="J58" i="33"/>
  <c r="K58" i="33"/>
  <c r="L58" i="33"/>
  <c r="M58" i="33"/>
  <c r="N58" i="33"/>
  <c r="O58" i="33"/>
  <c r="P58" i="33"/>
  <c r="Q58" i="33"/>
  <c r="R58" i="33"/>
  <c r="T58" i="33"/>
  <c r="H57" i="33"/>
  <c r="H58" i="33"/>
  <c r="H56" i="33"/>
  <c r="I52" i="33"/>
  <c r="H52" i="33"/>
  <c r="H53" i="33"/>
  <c r="H54" i="33"/>
  <c r="H51" i="33"/>
  <c r="I49" i="33"/>
  <c r="J49" i="33"/>
  <c r="K49" i="33"/>
  <c r="L49" i="33"/>
  <c r="M49" i="33"/>
  <c r="N49" i="33"/>
  <c r="H47" i="33"/>
  <c r="H49" i="33"/>
  <c r="T49" i="33"/>
  <c r="M49" i="29" l="1"/>
  <c r="U49" i="29"/>
  <c r="W49" i="29"/>
  <c r="X49" i="29"/>
  <c r="V49" i="29"/>
  <c r="Y49" i="29"/>
  <c r="O49" i="33"/>
  <c r="C37" i="24"/>
  <c r="C40" i="24" s="1"/>
  <c r="N32" i="36"/>
  <c r="Q49" i="33"/>
  <c r="P49" i="33"/>
  <c r="R49" i="33"/>
  <c r="T49" i="29"/>
  <c r="F61" i="29" l="1"/>
  <c r="F69" i="29"/>
  <c r="E67" i="29"/>
  <c r="E62" i="29"/>
  <c r="K8" i="36" l="1"/>
  <c r="I15" i="34"/>
  <c r="O32" i="36"/>
  <c r="I46" i="33"/>
  <c r="H46" i="33"/>
  <c r="I45" i="33"/>
  <c r="J45" i="33"/>
  <c r="N45" i="33"/>
  <c r="O45" i="33"/>
  <c r="P45" i="33"/>
  <c r="T45" i="33"/>
  <c r="H29" i="36"/>
  <c r="F62" i="3"/>
  <c r="F67" i="3" s="1"/>
  <c r="G62" i="3"/>
  <c r="G67" i="3" s="1"/>
  <c r="H62" i="3"/>
  <c r="H67" i="3" s="1"/>
  <c r="I62" i="3"/>
  <c r="I67" i="3" s="1"/>
  <c r="J62" i="3"/>
  <c r="J67" i="3" s="1"/>
  <c r="K62" i="3"/>
  <c r="K67" i="3" s="1"/>
  <c r="L67" i="3" s="1"/>
  <c r="L62" i="3"/>
  <c r="M62" i="3"/>
  <c r="M67" i="3" s="1"/>
  <c r="N62" i="3"/>
  <c r="N67" i="3" s="1"/>
  <c r="O62" i="3"/>
  <c r="O67" i="3" s="1"/>
  <c r="P62" i="3"/>
  <c r="P67" i="3" s="1"/>
  <c r="R62" i="3"/>
  <c r="W62" i="3"/>
  <c r="Z62" i="3"/>
  <c r="AD62" i="3"/>
  <c r="AI62" i="3"/>
  <c r="AL62" i="3"/>
  <c r="E62" i="3"/>
  <c r="E67" i="3" s="1"/>
  <c r="J57" i="33"/>
  <c r="I57" i="33"/>
  <c r="K45" i="33" l="1"/>
  <c r="H45" i="33"/>
  <c r="L8" i="36"/>
  <c r="L44" i="36" s="1"/>
  <c r="L45" i="33"/>
  <c r="M8" i="36"/>
  <c r="M44" i="36" s="1"/>
  <c r="M45" i="33"/>
  <c r="K44" i="36"/>
  <c r="F121" i="25" l="1"/>
  <c r="G121" i="25"/>
  <c r="I121" i="25"/>
  <c r="J121" i="25"/>
  <c r="K121" i="25"/>
  <c r="L121" i="25"/>
  <c r="M121" i="25"/>
  <c r="N121" i="25"/>
  <c r="O121" i="25"/>
  <c r="P121" i="25"/>
  <c r="Q121" i="25"/>
  <c r="F118" i="25"/>
  <c r="H118" i="25"/>
  <c r="I118" i="25"/>
  <c r="J118" i="25"/>
  <c r="K118" i="25"/>
  <c r="L118" i="25"/>
  <c r="M118" i="25"/>
  <c r="N118" i="25"/>
  <c r="O118" i="25"/>
  <c r="P118" i="25"/>
  <c r="Q118" i="25"/>
  <c r="F115" i="25"/>
  <c r="G115" i="25"/>
  <c r="H115" i="25"/>
  <c r="I115" i="25"/>
  <c r="J115" i="25"/>
  <c r="J109" i="25" s="1"/>
  <c r="K115" i="25"/>
  <c r="L115" i="25"/>
  <c r="M115" i="25"/>
  <c r="N115" i="25"/>
  <c r="O115" i="25"/>
  <c r="P115" i="25"/>
  <c r="Q115" i="25"/>
  <c r="G112" i="25"/>
  <c r="H112" i="25"/>
  <c r="I112" i="25"/>
  <c r="M112" i="25"/>
  <c r="N112" i="25"/>
  <c r="O112" i="25"/>
  <c r="P112" i="25"/>
  <c r="Q112" i="25"/>
  <c r="F36" i="25"/>
  <c r="G36" i="25"/>
  <c r="I36" i="25"/>
  <c r="J36" i="25"/>
  <c r="K36" i="25"/>
  <c r="L36" i="25"/>
  <c r="M36" i="25"/>
  <c r="N36" i="25"/>
  <c r="O36" i="25"/>
  <c r="P36" i="25"/>
  <c r="Q36" i="25"/>
  <c r="F33" i="25"/>
  <c r="G33" i="25"/>
  <c r="H33" i="25"/>
  <c r="I33" i="25"/>
  <c r="J33" i="25"/>
  <c r="K33" i="25"/>
  <c r="L33" i="25"/>
  <c r="M33" i="25"/>
  <c r="N33" i="25"/>
  <c r="O33" i="25"/>
  <c r="P33" i="25"/>
  <c r="Q33" i="25"/>
  <c r="F30" i="25"/>
  <c r="G30" i="25"/>
  <c r="K30" i="25"/>
  <c r="L30" i="25"/>
  <c r="M30" i="25"/>
  <c r="N30" i="25"/>
  <c r="O30" i="25"/>
  <c r="P30" i="25"/>
  <c r="Q30" i="25"/>
  <c r="F27" i="25"/>
  <c r="H27" i="25"/>
  <c r="I27" i="25"/>
  <c r="J27" i="25"/>
  <c r="K27" i="25"/>
  <c r="M27" i="25"/>
  <c r="N27" i="25"/>
  <c r="O27" i="25"/>
  <c r="P27" i="25"/>
  <c r="Q27" i="25"/>
  <c r="F24" i="25"/>
  <c r="G24" i="25"/>
  <c r="H24" i="25"/>
  <c r="I24" i="25"/>
  <c r="J24" i="25"/>
  <c r="K24" i="25"/>
  <c r="L24" i="25"/>
  <c r="M24" i="25"/>
  <c r="N24" i="25"/>
  <c r="O24" i="25"/>
  <c r="P24" i="25"/>
  <c r="Q24" i="25"/>
  <c r="F21" i="25"/>
  <c r="G21" i="25"/>
  <c r="H21" i="25"/>
  <c r="I21" i="25"/>
  <c r="J21" i="25"/>
  <c r="K21" i="25"/>
  <c r="L21" i="25"/>
  <c r="M21" i="25"/>
  <c r="N21" i="25"/>
  <c r="O21" i="25"/>
  <c r="P21" i="25"/>
  <c r="Q21" i="25"/>
  <c r="F18" i="25"/>
  <c r="H18" i="25"/>
  <c r="I18" i="25"/>
  <c r="I12" i="25" s="1"/>
  <c r="K27" i="33" s="1"/>
  <c r="K31" i="33" s="1"/>
  <c r="J18" i="25"/>
  <c r="K18" i="25"/>
  <c r="L18" i="25"/>
  <c r="M18" i="25"/>
  <c r="N18" i="25"/>
  <c r="O18" i="25"/>
  <c r="P18" i="25"/>
  <c r="Q18" i="25"/>
  <c r="J15" i="25"/>
  <c r="J12" i="25" s="1"/>
  <c r="K15" i="25"/>
  <c r="L15" i="25"/>
  <c r="M15" i="25"/>
  <c r="N15" i="25"/>
  <c r="O15" i="25"/>
  <c r="P15" i="25"/>
  <c r="Q15" i="25"/>
  <c r="N12" i="25" l="1"/>
  <c r="M12" i="25"/>
  <c r="L12" i="25"/>
  <c r="O12" i="25"/>
  <c r="O6" i="25" s="1"/>
  <c r="G12" i="25"/>
  <c r="Q12" i="25"/>
  <c r="Q6" i="25" s="1"/>
  <c r="K12" i="25"/>
  <c r="H12" i="25"/>
  <c r="H6" i="25" s="1"/>
  <c r="J27" i="33" s="1"/>
  <c r="J31" i="33" s="1"/>
  <c r="P12" i="25"/>
  <c r="P6" i="25" s="1"/>
  <c r="J6" i="25"/>
  <c r="L27" i="33" s="1"/>
  <c r="L31" i="33" s="1"/>
  <c r="I6" i="25"/>
  <c r="F109" i="25"/>
  <c r="F7" i="25" s="1"/>
  <c r="G109" i="25"/>
  <c r="G7" i="25" s="1"/>
  <c r="I26" i="33" s="1"/>
  <c r="L6" i="25"/>
  <c r="I109" i="25"/>
  <c r="N6" i="25"/>
  <c r="L109" i="25"/>
  <c r="L7" i="25" s="1"/>
  <c r="N26" i="33" s="1"/>
  <c r="M6" i="25"/>
  <c r="G6" i="25"/>
  <c r="J7" i="25"/>
  <c r="L26" i="33" s="1"/>
  <c r="L32" i="33" s="1"/>
  <c r="K109" i="25"/>
  <c r="K7" i="25" s="1"/>
  <c r="M26" i="33" s="1"/>
  <c r="P109" i="25"/>
  <c r="P7" i="25" s="1"/>
  <c r="R26" i="33" s="1"/>
  <c r="O109" i="25"/>
  <c r="O7" i="25" s="1"/>
  <c r="Q26" i="33" s="1"/>
  <c r="N109" i="25"/>
  <c r="N7" i="25" s="1"/>
  <c r="P26" i="33" s="1"/>
  <c r="M109" i="25"/>
  <c r="M7" i="25" s="1"/>
  <c r="O26" i="33" s="1"/>
  <c r="Q109" i="25"/>
  <c r="Q7" i="25" s="1"/>
  <c r="T26" i="33" s="1"/>
  <c r="F12" i="25"/>
  <c r="F6" i="25" s="1"/>
  <c r="S9" i="36"/>
  <c r="Q9" i="36"/>
  <c r="R9" i="36"/>
  <c r="Q8" i="36"/>
  <c r="R8" i="36"/>
  <c r="I7" i="25" l="1"/>
  <c r="K26" i="33"/>
  <c r="K32" i="33" s="1"/>
  <c r="I27" i="33"/>
  <c r="I32" i="33" s="1"/>
  <c r="G5" i="25"/>
  <c r="J5" i="25"/>
  <c r="T27" i="33"/>
  <c r="Q5" i="25"/>
  <c r="O27" i="33"/>
  <c r="M5" i="25"/>
  <c r="P27" i="33"/>
  <c r="N5" i="25"/>
  <c r="T6" i="25" s="1"/>
  <c r="I5" i="25"/>
  <c r="R27" i="33"/>
  <c r="P5" i="25"/>
  <c r="N27" i="33"/>
  <c r="L5" i="25"/>
  <c r="Q27" i="33"/>
  <c r="O5" i="25"/>
  <c r="F5" i="25"/>
  <c r="O30" i="33"/>
  <c r="O25" i="36"/>
  <c r="O9" i="36"/>
  <c r="O45" i="36" s="1"/>
  <c r="O46" i="33"/>
  <c r="T30" i="33"/>
  <c r="T46" i="33"/>
  <c r="R45" i="33"/>
  <c r="R44" i="36"/>
  <c r="G11" i="19"/>
  <c r="R46" i="33"/>
  <c r="R30" i="33"/>
  <c r="Q46" i="33"/>
  <c r="Q30" i="33"/>
  <c r="P46" i="33"/>
  <c r="P30" i="33"/>
  <c r="M9" i="36"/>
  <c r="M45" i="36" s="1"/>
  <c r="M30" i="33"/>
  <c r="N46" i="33"/>
  <c r="N9" i="36"/>
  <c r="N45" i="36" s="1"/>
  <c r="N30" i="33"/>
  <c r="L25" i="36"/>
  <c r="N25" i="36"/>
  <c r="M25" i="36"/>
  <c r="M76" i="36" s="1"/>
  <c r="M78" i="36" s="1"/>
  <c r="K25" i="36"/>
  <c r="P25" i="36"/>
  <c r="I25" i="36"/>
  <c r="Q25" i="36"/>
  <c r="R25" i="36"/>
  <c r="K6" i="25"/>
  <c r="T31" i="33" l="1"/>
  <c r="Q31" i="33"/>
  <c r="O31" i="33"/>
  <c r="N31" i="33"/>
  <c r="R31" i="33"/>
  <c r="P31" i="33"/>
  <c r="I35" i="33"/>
  <c r="I38" i="33" s="1"/>
  <c r="I31" i="33"/>
  <c r="N32" i="33"/>
  <c r="O32" i="33"/>
  <c r="M27" i="33"/>
  <c r="K5" i="25"/>
  <c r="G42" i="19"/>
  <c r="G20" i="19"/>
  <c r="M46" i="33"/>
  <c r="Q45" i="33"/>
  <c r="Q44" i="36"/>
  <c r="K42" i="19"/>
  <c r="R76" i="36"/>
  <c r="R78" i="36" s="1"/>
  <c r="I19" i="34"/>
  <c r="I21" i="34" s="1"/>
  <c r="V27" i="33" l="1"/>
  <c r="M31" i="33"/>
  <c r="M32" i="33"/>
  <c r="I11" i="19"/>
  <c r="Q32" i="36"/>
  <c r="R32" i="36" l="1"/>
  <c r="S32" i="36" l="1"/>
  <c r="J52" i="33" l="1"/>
  <c r="K52" i="33" l="1"/>
  <c r="L52" i="33" l="1"/>
  <c r="M52" i="33" l="1"/>
  <c r="N52" i="33" l="1"/>
  <c r="B45" i="3"/>
  <c r="B43" i="3"/>
  <c r="B41" i="3"/>
  <c r="B49" i="3"/>
  <c r="B47" i="3"/>
  <c r="A41" i="3" l="1"/>
  <c r="O52" i="33"/>
  <c r="P52" i="33" l="1"/>
  <c r="Q52" i="33" l="1"/>
  <c r="R52" i="33" l="1"/>
  <c r="T52" i="33"/>
  <c r="P8" i="31" l="1"/>
  <c r="P13" i="31" s="1"/>
  <c r="S25" i="36" s="1"/>
  <c r="S76" i="36" l="1"/>
  <c r="S78" i="36" s="1"/>
  <c r="S56" i="3"/>
  <c r="O52" i="3"/>
  <c r="D435" i="23"/>
  <c r="D429" i="23"/>
  <c r="D439" i="23"/>
  <c r="D438" i="23"/>
  <c r="D420" i="23"/>
  <c r="D419" i="23"/>
  <c r="D418" i="23"/>
  <c r="D417" i="23"/>
  <c r="D416" i="23"/>
  <c r="D415" i="23"/>
  <c r="D413" i="23"/>
  <c r="D412" i="23"/>
  <c r="Q54" i="3" l="1"/>
  <c r="X57" i="3"/>
  <c r="D52" i="3"/>
  <c r="D54" i="3"/>
  <c r="D56" i="3"/>
  <c r="D465" i="23"/>
  <c r="I29" i="34" s="1"/>
  <c r="I33" i="34" s="1"/>
  <c r="E23" i="27"/>
  <c r="H12" i="34" s="1"/>
  <c r="D305" i="23"/>
  <c r="D307" i="23"/>
  <c r="I35" i="34" l="1"/>
  <c r="I39" i="34" s="1"/>
  <c r="AJ34" i="3" l="1"/>
  <c r="AH32" i="3"/>
  <c r="AH30" i="3"/>
  <c r="AH28" i="3"/>
  <c r="AG26" i="3"/>
  <c r="AG62" i="3" s="1"/>
  <c r="AF22" i="3"/>
  <c r="AE20" i="3"/>
  <c r="U50" i="3"/>
  <c r="S46" i="3"/>
  <c r="Q44" i="3"/>
  <c r="Q42" i="3"/>
  <c r="AB40" i="3"/>
  <c r="AN40" i="3" s="1"/>
  <c r="Q39" i="3"/>
  <c r="R39" i="3" s="1"/>
  <c r="S39" i="3" s="1"/>
  <c r="T39" i="3" s="1"/>
  <c r="U39" i="3" s="1"/>
  <c r="V39" i="3" s="1"/>
  <c r="W39" i="3" s="1"/>
  <c r="X39" i="3" s="1"/>
  <c r="Y39" i="3" s="1"/>
  <c r="Z39" i="3" s="1"/>
  <c r="AA39" i="3" s="1"/>
  <c r="AB39" i="3" s="1"/>
  <c r="AC39" i="3" s="1"/>
  <c r="AD39" i="3" s="1"/>
  <c r="AE39" i="3" s="1"/>
  <c r="AF39" i="3" s="1"/>
  <c r="AG39" i="3" s="1"/>
  <c r="AH39" i="3" s="1"/>
  <c r="AI39" i="3" s="1"/>
  <c r="AJ39" i="3" s="1"/>
  <c r="AK39" i="3" s="1"/>
  <c r="AL39" i="3" s="1"/>
  <c r="AM39" i="3" s="1"/>
  <c r="AN39" i="3" s="1"/>
  <c r="AA38" i="3"/>
  <c r="AM38" i="3" s="1"/>
  <c r="AA36" i="3"/>
  <c r="AM36" i="3" s="1"/>
  <c r="X34" i="3"/>
  <c r="Q33" i="3"/>
  <c r="R33" i="3" s="1"/>
  <c r="S33" i="3" s="1"/>
  <c r="T33" i="3" s="1"/>
  <c r="U33" i="3" s="1"/>
  <c r="V33" i="3" s="1"/>
  <c r="W33" i="3" s="1"/>
  <c r="X33" i="3" s="1"/>
  <c r="Y33" i="3" s="1"/>
  <c r="Z33" i="3" s="1"/>
  <c r="AA33" i="3" s="1"/>
  <c r="AB33" i="3" s="1"/>
  <c r="AC33" i="3" s="1"/>
  <c r="AD33" i="3" s="1"/>
  <c r="AE33" i="3" s="1"/>
  <c r="AF33" i="3" s="1"/>
  <c r="AG33" i="3" s="1"/>
  <c r="AH33" i="3" s="1"/>
  <c r="AI33" i="3" s="1"/>
  <c r="AJ33" i="3" s="1"/>
  <c r="AK33" i="3" s="1"/>
  <c r="AL33" i="3" s="1"/>
  <c r="AM33" i="3" s="1"/>
  <c r="AN33" i="3" s="1"/>
  <c r="V32" i="3"/>
  <c r="Q31" i="3"/>
  <c r="R31" i="3" s="1"/>
  <c r="S31" i="3" s="1"/>
  <c r="T31" i="3" s="1"/>
  <c r="U31" i="3" s="1"/>
  <c r="V31" i="3" s="1"/>
  <c r="W31" i="3" s="1"/>
  <c r="X31" i="3" s="1"/>
  <c r="Y31" i="3" s="1"/>
  <c r="Z31" i="3" s="1"/>
  <c r="AA31" i="3" s="1"/>
  <c r="AB31" i="3" s="1"/>
  <c r="AC31" i="3" s="1"/>
  <c r="AD31" i="3" s="1"/>
  <c r="AE31" i="3" s="1"/>
  <c r="AF31" i="3" s="1"/>
  <c r="AG31" i="3" s="1"/>
  <c r="AH31" i="3" s="1"/>
  <c r="AI31" i="3" s="1"/>
  <c r="AJ31" i="3" s="1"/>
  <c r="AK31" i="3" s="1"/>
  <c r="AL31" i="3" s="1"/>
  <c r="AM31" i="3" s="1"/>
  <c r="AN31" i="3" s="1"/>
  <c r="V30" i="3"/>
  <c r="Q29" i="3"/>
  <c r="R29" i="3" s="1"/>
  <c r="S29" i="3" s="1"/>
  <c r="T29" i="3" s="1"/>
  <c r="U29" i="3" s="1"/>
  <c r="V29" i="3" s="1"/>
  <c r="W29" i="3" s="1"/>
  <c r="X29" i="3" s="1"/>
  <c r="Y29" i="3" s="1"/>
  <c r="Z29" i="3" s="1"/>
  <c r="AA29" i="3" s="1"/>
  <c r="AB29" i="3" s="1"/>
  <c r="AC29" i="3" s="1"/>
  <c r="AD29" i="3" s="1"/>
  <c r="AE29" i="3" s="1"/>
  <c r="AF29" i="3" s="1"/>
  <c r="AG29" i="3" s="1"/>
  <c r="AH29" i="3" s="1"/>
  <c r="AI29" i="3" s="1"/>
  <c r="AJ29" i="3" s="1"/>
  <c r="AK29" i="3" s="1"/>
  <c r="AL29" i="3" s="1"/>
  <c r="AM29" i="3" s="1"/>
  <c r="AN29" i="3" s="1"/>
  <c r="V28" i="3"/>
  <c r="Q27" i="3"/>
  <c r="R27" i="3" s="1"/>
  <c r="S27" i="3" s="1"/>
  <c r="T27" i="3" s="1"/>
  <c r="U27" i="3" s="1"/>
  <c r="V27" i="3" s="1"/>
  <c r="W27" i="3" s="1"/>
  <c r="X27" i="3" s="1"/>
  <c r="Y27" i="3" s="1"/>
  <c r="Z27" i="3" s="1"/>
  <c r="AA27" i="3" s="1"/>
  <c r="AB27" i="3" s="1"/>
  <c r="AC27" i="3" s="1"/>
  <c r="AD27" i="3" s="1"/>
  <c r="AE27" i="3" s="1"/>
  <c r="AF27" i="3" s="1"/>
  <c r="AG27" i="3" s="1"/>
  <c r="AH27" i="3" s="1"/>
  <c r="AI27" i="3" s="1"/>
  <c r="AJ27" i="3" s="1"/>
  <c r="AK27" i="3" s="1"/>
  <c r="AL27" i="3" s="1"/>
  <c r="AM27" i="3" s="1"/>
  <c r="AN27" i="3" s="1"/>
  <c r="U26" i="3"/>
  <c r="U62" i="3" s="1"/>
  <c r="Q25" i="3"/>
  <c r="R25" i="3" s="1"/>
  <c r="S25" i="3" s="1"/>
  <c r="T25" i="3" s="1"/>
  <c r="U25" i="3" s="1"/>
  <c r="V25" i="3" s="1"/>
  <c r="W25" i="3" s="1"/>
  <c r="X25" i="3" s="1"/>
  <c r="Y25" i="3" s="1"/>
  <c r="Z25" i="3" s="1"/>
  <c r="AA25" i="3" s="1"/>
  <c r="AB25" i="3" s="1"/>
  <c r="AC25" i="3" s="1"/>
  <c r="AD25" i="3" s="1"/>
  <c r="AE25" i="3" s="1"/>
  <c r="AF25" i="3" s="1"/>
  <c r="AG25" i="3" s="1"/>
  <c r="AH25" i="3" s="1"/>
  <c r="AI25" i="3" s="1"/>
  <c r="AJ25" i="3" s="1"/>
  <c r="AK25" i="3" s="1"/>
  <c r="AL25" i="3" s="1"/>
  <c r="AM25" i="3" s="1"/>
  <c r="AN25" i="3" s="1"/>
  <c r="Q13" i="3"/>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Q17" i="3"/>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Q23" i="3"/>
  <c r="R23" i="3" s="1"/>
  <c r="S23" i="3" s="1"/>
  <c r="T23" i="3" s="1"/>
  <c r="U23" i="3" s="1"/>
  <c r="V23" i="3" s="1"/>
  <c r="W23" i="3" s="1"/>
  <c r="X23" i="3" s="1"/>
  <c r="Y23" i="3" s="1"/>
  <c r="Z23" i="3" s="1"/>
  <c r="AA23" i="3" s="1"/>
  <c r="AB23" i="3" s="1"/>
  <c r="AC23" i="3" s="1"/>
  <c r="AD23" i="3" s="1"/>
  <c r="AE23" i="3" s="1"/>
  <c r="AF23" i="3" s="1"/>
  <c r="AG23" i="3" s="1"/>
  <c r="AH23" i="3" s="1"/>
  <c r="AI23" i="3" s="1"/>
  <c r="AJ23" i="3" s="1"/>
  <c r="AK23" i="3" s="1"/>
  <c r="AL23" i="3" s="1"/>
  <c r="AM23" i="3" s="1"/>
  <c r="AN23" i="3" s="1"/>
  <c r="T24" i="3"/>
  <c r="AF24" i="3" s="1"/>
  <c r="T22" i="3"/>
  <c r="Q21" i="3"/>
  <c r="R21" i="3" s="1"/>
  <c r="S21" i="3" s="1"/>
  <c r="T21" i="3" s="1"/>
  <c r="U21" i="3" s="1"/>
  <c r="V21" i="3" s="1"/>
  <c r="W21" i="3" s="1"/>
  <c r="X21" i="3" s="1"/>
  <c r="Y21" i="3" s="1"/>
  <c r="Z21" i="3" s="1"/>
  <c r="AA21" i="3" s="1"/>
  <c r="AB21" i="3" s="1"/>
  <c r="AC21" i="3" s="1"/>
  <c r="AD21" i="3" s="1"/>
  <c r="AE21" i="3" s="1"/>
  <c r="AF21" i="3" s="1"/>
  <c r="AG21" i="3" s="1"/>
  <c r="AH21" i="3" s="1"/>
  <c r="AI21" i="3" s="1"/>
  <c r="AJ21" i="3" s="1"/>
  <c r="AK21" i="3" s="1"/>
  <c r="AL21" i="3" s="1"/>
  <c r="AM21" i="3" s="1"/>
  <c r="AN21" i="3" s="1"/>
  <c r="S20" i="3"/>
  <c r="Q19" i="3"/>
  <c r="R19" i="3" s="1"/>
  <c r="S19" i="3" s="1"/>
  <c r="T19" i="3" s="1"/>
  <c r="U19" i="3" s="1"/>
  <c r="V19" i="3" s="1"/>
  <c r="W19" i="3" s="1"/>
  <c r="X19" i="3" s="1"/>
  <c r="Y19" i="3" s="1"/>
  <c r="Z19" i="3" s="1"/>
  <c r="AA19" i="3" s="1"/>
  <c r="AB19" i="3" s="1"/>
  <c r="AC19" i="3" s="1"/>
  <c r="AD19" i="3" s="1"/>
  <c r="AE19" i="3" s="1"/>
  <c r="AF19" i="3" s="1"/>
  <c r="AG19" i="3" s="1"/>
  <c r="AH19" i="3" s="1"/>
  <c r="AI19" i="3" s="1"/>
  <c r="AJ19" i="3" s="1"/>
  <c r="AK19" i="3" s="1"/>
  <c r="AL19" i="3" s="1"/>
  <c r="AM19" i="3" s="1"/>
  <c r="AN19" i="3" s="1"/>
  <c r="S18"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Q14" i="3"/>
  <c r="AB12" i="3"/>
  <c r="Q11" i="3"/>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A10" i="3"/>
  <c r="Q9" i="3"/>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Y8" i="3"/>
  <c r="Q7" i="3"/>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J9" i="36" l="1"/>
  <c r="J45" i="36" s="1"/>
  <c r="AC14" i="3"/>
  <c r="Q62" i="3"/>
  <c r="AH62" i="3"/>
  <c r="AN12" i="3"/>
  <c r="AN62" i="3" s="1"/>
  <c r="AB62" i="3"/>
  <c r="AK8" i="3"/>
  <c r="AK62" i="3" s="1"/>
  <c r="Y62" i="3"/>
  <c r="AE18" i="3"/>
  <c r="S62" i="3"/>
  <c r="AM10" i="3"/>
  <c r="AM62" i="3" s="1"/>
  <c r="AA62" i="3"/>
  <c r="T62" i="3"/>
  <c r="V62" i="3"/>
  <c r="AF62" i="3"/>
  <c r="X6" i="3"/>
  <c r="J46" i="33" l="1"/>
  <c r="K9" i="36"/>
  <c r="K45" i="36" s="1"/>
  <c r="L9" i="36"/>
  <c r="L45" i="36" s="1"/>
  <c r="AJ6" i="3"/>
  <c r="AJ62" i="3" s="1"/>
  <c r="X62" i="3"/>
  <c r="T56" i="3"/>
  <c r="U56" i="3" s="1"/>
  <c r="V56" i="3" s="1"/>
  <c r="W56" i="3" s="1"/>
  <c r="X56" i="3" s="1"/>
  <c r="Y56" i="3" s="1"/>
  <c r="Z56" i="3" s="1"/>
  <c r="AA56" i="3" s="1"/>
  <c r="AB56" i="3" s="1"/>
  <c r="AC56" i="3" s="1"/>
  <c r="AD56" i="3" s="1"/>
  <c r="AE56" i="3" s="1"/>
  <c r="AF56" i="3" s="1"/>
  <c r="AG56" i="3" s="1"/>
  <c r="AH56" i="3" s="1"/>
  <c r="AI56" i="3" s="1"/>
  <c r="AJ56" i="3" s="1"/>
  <c r="AK56" i="3" s="1"/>
  <c r="AL56" i="3" s="1"/>
  <c r="AM56" i="3" s="1"/>
  <c r="AN56" i="3" s="1"/>
  <c r="K35" i="33" l="1"/>
  <c r="V30" i="33"/>
  <c r="L46" i="33"/>
  <c r="K46" i="33"/>
  <c r="AK57" i="3"/>
  <c r="W55" i="3"/>
  <c r="AJ55" i="3" s="1"/>
  <c r="R54" i="3"/>
  <c r="S54" i="3" s="1"/>
  <c r="T54" i="3" s="1"/>
  <c r="U54" i="3" s="1"/>
  <c r="V54" i="3" s="1"/>
  <c r="W54" i="3" s="1"/>
  <c r="X54" i="3" s="1"/>
  <c r="Y54" i="3" s="1"/>
  <c r="Z54" i="3" s="1"/>
  <c r="AA54" i="3" s="1"/>
  <c r="AB54" i="3" s="1"/>
  <c r="AC54" i="3" s="1"/>
  <c r="AD54" i="3" s="1"/>
  <c r="AE54" i="3" s="1"/>
  <c r="AF54" i="3" s="1"/>
  <c r="AG54" i="3" s="1"/>
  <c r="AH54" i="3" s="1"/>
  <c r="AI54" i="3" s="1"/>
  <c r="AJ54" i="3" s="1"/>
  <c r="AK54" i="3" s="1"/>
  <c r="AL54" i="3" s="1"/>
  <c r="AM54" i="3" s="1"/>
  <c r="AN54" i="3" s="1"/>
  <c r="N49" i="3"/>
  <c r="V31" i="33" l="1"/>
  <c r="O49" i="3"/>
  <c r="P49" i="3" s="1"/>
  <c r="Q49" i="3" s="1"/>
  <c r="R49" i="3" s="1"/>
  <c r="S49" i="3" s="1"/>
  <c r="T49" i="3" s="1"/>
  <c r="U49" i="3" s="1"/>
  <c r="V49" i="3" s="1"/>
  <c r="W49" i="3" s="1"/>
  <c r="X49" i="3" s="1"/>
  <c r="Y49" i="3" s="1"/>
  <c r="Z49" i="3" s="1"/>
  <c r="AA49" i="3" s="1"/>
  <c r="AB49" i="3" s="1"/>
  <c r="AC49" i="3" s="1"/>
  <c r="AD49" i="3" s="1"/>
  <c r="AE49" i="3" s="1"/>
  <c r="AF49" i="3" s="1"/>
  <c r="AG49" i="3" s="1"/>
  <c r="AH49" i="3" s="1"/>
  <c r="AI49" i="3" s="1"/>
  <c r="AJ49" i="3" s="1"/>
  <c r="AK49" i="3" s="1"/>
  <c r="AL49" i="3" s="1"/>
  <c r="AM49" i="3" s="1"/>
  <c r="AN49" i="3" s="1"/>
  <c r="AG50" i="3"/>
  <c r="M45" i="3"/>
  <c r="N45" i="3" s="1"/>
  <c r="O45" i="3" l="1"/>
  <c r="P45" i="3" s="1"/>
  <c r="Q45" i="3" s="1"/>
  <c r="R45" i="3" s="1"/>
  <c r="S45" i="3" s="1"/>
  <c r="T45" i="3" s="1"/>
  <c r="U45" i="3" s="1"/>
  <c r="V45" i="3" s="1"/>
  <c r="W45" i="3" s="1"/>
  <c r="X45" i="3" s="1"/>
  <c r="Y45" i="3" s="1"/>
  <c r="Z45" i="3" s="1"/>
  <c r="AA45" i="3" s="1"/>
  <c r="AB45" i="3" s="1"/>
  <c r="AC45" i="3" s="1"/>
  <c r="AD45" i="3" s="1"/>
  <c r="AE45" i="3" s="1"/>
  <c r="AF45" i="3" s="1"/>
  <c r="AG45" i="3" s="1"/>
  <c r="AH45" i="3" s="1"/>
  <c r="AI45" i="3" s="1"/>
  <c r="AJ45" i="3" s="1"/>
  <c r="AK45" i="3" s="1"/>
  <c r="AL45" i="3" s="1"/>
  <c r="AM45" i="3" s="1"/>
  <c r="AN45" i="3" s="1"/>
  <c r="AE46" i="3"/>
  <c r="AE62" i="3" s="1"/>
  <c r="L47" i="3"/>
  <c r="T48" i="3" l="1"/>
  <c r="M47" i="3"/>
  <c r="N47" i="3" s="1"/>
  <c r="O47" i="3" l="1"/>
  <c r="P47" i="3" s="1"/>
  <c r="Q47" i="3" s="1"/>
  <c r="R47" i="3" s="1"/>
  <c r="S47" i="3" s="1"/>
  <c r="T47" i="3" s="1"/>
  <c r="U47" i="3" s="1"/>
  <c r="V47" i="3" s="1"/>
  <c r="W47" i="3" s="1"/>
  <c r="X47" i="3" s="1"/>
  <c r="Y47" i="3" s="1"/>
  <c r="Z47" i="3" s="1"/>
  <c r="AA47" i="3" s="1"/>
  <c r="AB47" i="3" s="1"/>
  <c r="AC47" i="3" s="1"/>
  <c r="AD47" i="3" s="1"/>
  <c r="AE47" i="3" s="1"/>
  <c r="AF47" i="3" s="1"/>
  <c r="AG47" i="3" s="1"/>
  <c r="AH47" i="3" s="1"/>
  <c r="AI47" i="3" s="1"/>
  <c r="AJ47" i="3" s="1"/>
  <c r="AK47" i="3" s="1"/>
  <c r="AL47" i="3" s="1"/>
  <c r="AM47" i="3" s="1"/>
  <c r="AN47" i="3" s="1"/>
  <c r="AF48" i="3"/>
  <c r="L43" i="3"/>
  <c r="M43" i="3" s="1"/>
  <c r="N43" i="3" s="1"/>
  <c r="O43" i="3" l="1"/>
  <c r="P43" i="3" s="1"/>
  <c r="Q43" i="3" s="1"/>
  <c r="R43" i="3" s="1"/>
  <c r="S43" i="3" s="1"/>
  <c r="T43" i="3" s="1"/>
  <c r="U43" i="3" s="1"/>
  <c r="V43" i="3" s="1"/>
  <c r="W43" i="3" s="1"/>
  <c r="X43" i="3" s="1"/>
  <c r="Y43" i="3" s="1"/>
  <c r="Z43" i="3" s="1"/>
  <c r="AA43" i="3" s="1"/>
  <c r="AB43" i="3" s="1"/>
  <c r="AC43" i="3" s="1"/>
  <c r="AD43" i="3" s="1"/>
  <c r="AE43" i="3" s="1"/>
  <c r="AF43" i="3" s="1"/>
  <c r="AG43" i="3" s="1"/>
  <c r="AH43" i="3" s="1"/>
  <c r="AI43" i="3" s="1"/>
  <c r="AJ43" i="3" s="1"/>
  <c r="AK43" i="3" s="1"/>
  <c r="AL43" i="3" s="1"/>
  <c r="AM43" i="3" s="1"/>
  <c r="AN43" i="3" s="1"/>
  <c r="AC44" i="3"/>
  <c r="F5" i="3"/>
  <c r="K41" i="3"/>
  <c r="L41" i="3" s="1"/>
  <c r="M41" i="3" s="1"/>
  <c r="N41" i="3" s="1"/>
  <c r="O41" i="3" l="1"/>
  <c r="P41" i="3" s="1"/>
  <c r="Q41" i="3" s="1"/>
  <c r="R41" i="3" s="1"/>
  <c r="S41" i="3" s="1"/>
  <c r="T41" i="3" s="1"/>
  <c r="U41" i="3" s="1"/>
  <c r="V41" i="3" s="1"/>
  <c r="W41" i="3" s="1"/>
  <c r="X41" i="3" s="1"/>
  <c r="Y41" i="3" s="1"/>
  <c r="Z41" i="3" s="1"/>
  <c r="AA41" i="3" s="1"/>
  <c r="AB41" i="3" s="1"/>
  <c r="AC41" i="3" s="1"/>
  <c r="AD41" i="3" s="1"/>
  <c r="AE41" i="3" s="1"/>
  <c r="AF41" i="3" s="1"/>
  <c r="AG41" i="3" s="1"/>
  <c r="AH41" i="3" s="1"/>
  <c r="AI41" i="3" s="1"/>
  <c r="AJ41" i="3" s="1"/>
  <c r="AK41" i="3" s="1"/>
  <c r="AL41" i="3" s="1"/>
  <c r="AM41" i="3" s="1"/>
  <c r="AN41" i="3" s="1"/>
  <c r="AC42" i="3"/>
  <c r="AC62" i="3" s="1"/>
  <c r="C62" i="3" s="1"/>
  <c r="G5" i="3"/>
  <c r="G60" i="3" l="1"/>
  <c r="G63" i="3"/>
  <c r="H11" i="36"/>
  <c r="H5" i="3"/>
  <c r="G66" i="3" l="1"/>
  <c r="G70" i="3" s="1"/>
  <c r="J10" i="36" s="1"/>
  <c r="H48" i="33"/>
  <c r="H50" i="33" s="1"/>
  <c r="H55" i="33" s="1"/>
  <c r="H59" i="33" s="1"/>
  <c r="H21" i="33"/>
  <c r="H47" i="36"/>
  <c r="H49" i="36" s="1"/>
  <c r="H54" i="36" s="1"/>
  <c r="H58" i="36" s="1"/>
  <c r="I11" i="36"/>
  <c r="H13" i="36"/>
  <c r="H18" i="36" s="1"/>
  <c r="H22" i="36" s="1"/>
  <c r="H24" i="36" s="1"/>
  <c r="J47" i="33"/>
  <c r="I5" i="3"/>
  <c r="J5" i="3" s="1"/>
  <c r="H23" i="33" l="1"/>
  <c r="H32" i="33" s="1"/>
  <c r="H31" i="36"/>
  <c r="H34" i="36" s="1"/>
  <c r="H37" i="36" s="1"/>
  <c r="H39" i="36" s="1"/>
  <c r="J46" i="36"/>
  <c r="J11" i="36"/>
  <c r="J13" i="36" s="1"/>
  <c r="I47" i="36"/>
  <c r="I48" i="33"/>
  <c r="K5" i="3"/>
  <c r="H35" i="33" l="1"/>
  <c r="H38" i="33" s="1"/>
  <c r="H40" i="33" s="1"/>
  <c r="I39" i="33" s="1"/>
  <c r="I38" i="36"/>
  <c r="F17" i="31"/>
  <c r="K11" i="36"/>
  <c r="J47" i="36"/>
  <c r="J49" i="36" s="1"/>
  <c r="J48" i="33"/>
  <c r="J50" i="33" s="1"/>
  <c r="L5" i="3"/>
  <c r="K48" i="33" l="1"/>
  <c r="K47" i="36"/>
  <c r="L11" i="36"/>
  <c r="M5" i="3"/>
  <c r="L48" i="33" l="1"/>
  <c r="L47" i="36"/>
  <c r="M11" i="36"/>
  <c r="N5" i="3"/>
  <c r="M48" i="33" l="1"/>
  <c r="M47" i="36"/>
  <c r="N11" i="36"/>
  <c r="O5" i="3"/>
  <c r="N47" i="36" l="1"/>
  <c r="N48" i="33"/>
  <c r="P5" i="3"/>
  <c r="O48" i="33" l="1"/>
  <c r="P17" i="33"/>
  <c r="P32" i="33" s="1"/>
  <c r="P11" i="36"/>
  <c r="O47" i="36"/>
  <c r="Q5" i="3"/>
  <c r="J37" i="3"/>
  <c r="L37" i="3"/>
  <c r="N37" i="3"/>
  <c r="P37" i="3"/>
  <c r="Q37" i="3" s="1"/>
  <c r="R37" i="3" s="1"/>
  <c r="S37" i="3" s="1"/>
  <c r="T37" i="3" s="1"/>
  <c r="U37" i="3" s="1"/>
  <c r="V37" i="3" s="1"/>
  <c r="W37" i="3" s="1"/>
  <c r="X37" i="3" s="1"/>
  <c r="Y37" i="3" s="1"/>
  <c r="Z37" i="3" s="1"/>
  <c r="AA37" i="3" s="1"/>
  <c r="AB37" i="3" s="1"/>
  <c r="AC37" i="3" s="1"/>
  <c r="AD37" i="3" s="1"/>
  <c r="AE37" i="3" s="1"/>
  <c r="AF37" i="3" s="1"/>
  <c r="AG37" i="3" s="1"/>
  <c r="AH37" i="3" s="1"/>
  <c r="AI37" i="3" s="1"/>
  <c r="AJ37" i="3" s="1"/>
  <c r="AK37" i="3" s="1"/>
  <c r="AL37" i="3" s="1"/>
  <c r="AM37" i="3" s="1"/>
  <c r="AN37" i="3" s="1"/>
  <c r="H37" i="3"/>
  <c r="Q11" i="36" l="1"/>
  <c r="P47" i="36"/>
  <c r="P48" i="33"/>
  <c r="Q17" i="33"/>
  <c r="Q32" i="33" s="1"/>
  <c r="R5" i="3"/>
  <c r="E33" i="3"/>
  <c r="E60" i="3" s="1"/>
  <c r="F27" i="3"/>
  <c r="H35" i="3"/>
  <c r="Q48" i="33" l="1"/>
  <c r="R17" i="33"/>
  <c r="R32" i="33" s="1"/>
  <c r="H60" i="3"/>
  <c r="H63" i="3"/>
  <c r="F60" i="3"/>
  <c r="F63" i="3"/>
  <c r="R11" i="36"/>
  <c r="Q47" i="36"/>
  <c r="S5" i="3"/>
  <c r="I35" i="3"/>
  <c r="H66" i="3" l="1"/>
  <c r="H70" i="3" s="1"/>
  <c r="K10" i="36" s="1"/>
  <c r="F66" i="3"/>
  <c r="F70" i="3" s="1"/>
  <c r="I10" i="36" s="1"/>
  <c r="K47" i="33"/>
  <c r="K50" i="33" s="1"/>
  <c r="R48" i="33"/>
  <c r="S11" i="36"/>
  <c r="R47" i="36"/>
  <c r="I60" i="3"/>
  <c r="I63" i="3"/>
  <c r="T5" i="3"/>
  <c r="J35" i="3"/>
  <c r="G14" i="19" l="1"/>
  <c r="G44" i="19" s="1"/>
  <c r="G45" i="19" s="1"/>
  <c r="I66" i="3"/>
  <c r="I70" i="3" s="1"/>
  <c r="L10" i="36"/>
  <c r="S47" i="36"/>
  <c r="J63" i="3"/>
  <c r="J60" i="3"/>
  <c r="T48" i="33"/>
  <c r="I46" i="36"/>
  <c r="I49" i="36" s="1"/>
  <c r="I13" i="36"/>
  <c r="L47" i="33"/>
  <c r="L50" i="33" s="1"/>
  <c r="I47" i="33"/>
  <c r="I50" i="33" s="1"/>
  <c r="K46" i="36"/>
  <c r="K49" i="36" s="1"/>
  <c r="K13" i="36"/>
  <c r="U5" i="3"/>
  <c r="K35" i="3"/>
  <c r="T17" i="33" l="1"/>
  <c r="T32" i="33" s="1"/>
  <c r="J44" i="19"/>
  <c r="J66" i="3"/>
  <c r="J70" i="3" s="1"/>
  <c r="M10" i="36" s="1"/>
  <c r="K60" i="3"/>
  <c r="K63" i="3"/>
  <c r="L46" i="36"/>
  <c r="L49" i="36" s="1"/>
  <c r="L13" i="36"/>
  <c r="V5" i="3"/>
  <c r="L35" i="3"/>
  <c r="F10" i="24"/>
  <c r="D252" i="23"/>
  <c r="H34" i="34" s="1"/>
  <c r="T21" i="33" l="1"/>
  <c r="T23" i="33" s="1"/>
  <c r="K66" i="3"/>
  <c r="K70" i="3" s="1"/>
  <c r="N10" i="36"/>
  <c r="M46" i="36"/>
  <c r="M49" i="36" s="1"/>
  <c r="M13" i="36"/>
  <c r="L60" i="3"/>
  <c r="L63" i="3"/>
  <c r="M47" i="33"/>
  <c r="M50" i="33" s="1"/>
  <c r="W5" i="3"/>
  <c r="M35" i="3"/>
  <c r="D342" i="23"/>
  <c r="D340" i="23"/>
  <c r="D338" i="23"/>
  <c r="D336" i="23"/>
  <c r="D335" i="23"/>
  <c r="D330" i="23"/>
  <c r="L66" i="3" l="1"/>
  <c r="L70" i="3" s="1"/>
  <c r="O10" i="36"/>
  <c r="M60" i="3"/>
  <c r="M63" i="3"/>
  <c r="N47" i="33"/>
  <c r="N50" i="33" s="1"/>
  <c r="N46" i="36"/>
  <c r="N49" i="36" s="1"/>
  <c r="N13" i="36"/>
  <c r="X5" i="3"/>
  <c r="N35" i="3"/>
  <c r="D334" i="23"/>
  <c r="M66" i="3" l="1"/>
  <c r="M70" i="3" s="1"/>
  <c r="P10" i="36"/>
  <c r="O46" i="36"/>
  <c r="O49" i="36" s="1"/>
  <c r="O13" i="36"/>
  <c r="P47" i="33"/>
  <c r="P50" i="33" s="1"/>
  <c r="O47" i="33"/>
  <c r="O50" i="33" s="1"/>
  <c r="N63" i="3"/>
  <c r="N60" i="3"/>
  <c r="Y5" i="3"/>
  <c r="O35" i="3"/>
  <c r="N66" i="3" l="1"/>
  <c r="N70" i="3" s="1"/>
  <c r="Q10" i="36"/>
  <c r="O63" i="3"/>
  <c r="O66" i="3" s="1"/>
  <c r="O70" i="3" s="1"/>
  <c r="R10" i="36" s="1"/>
  <c r="O60" i="3"/>
  <c r="P46" i="36"/>
  <c r="Z5" i="3"/>
  <c r="P35" i="3"/>
  <c r="P63" i="3" s="1"/>
  <c r="U54" i="29"/>
  <c r="V10" i="29"/>
  <c r="V14" i="29"/>
  <c r="V15" i="29" s="1"/>
  <c r="V16" i="29"/>
  <c r="V19" i="29"/>
  <c r="V13" i="29"/>
  <c r="V6" i="29"/>
  <c r="V7" i="29"/>
  <c r="V8" i="29"/>
  <c r="V9" i="29"/>
  <c r="V12" i="29"/>
  <c r="U13" i="29"/>
  <c r="U14" i="29"/>
  <c r="U15" i="29" s="1"/>
  <c r="U16" i="29"/>
  <c r="U19" i="29"/>
  <c r="U9" i="29"/>
  <c r="U7" i="29"/>
  <c r="U8" i="29"/>
  <c r="U6" i="29"/>
  <c r="Y13" i="29"/>
  <c r="Y14" i="29"/>
  <c r="Y15" i="29" s="1"/>
  <c r="Y16" i="29"/>
  <c r="Y19" i="29"/>
  <c r="Y9" i="29"/>
  <c r="Y8" i="29"/>
  <c r="Y7" i="29"/>
  <c r="Y6" i="29"/>
  <c r="X14" i="29"/>
  <c r="X15" i="29" s="1"/>
  <c r="X16" i="29"/>
  <c r="X19" i="29"/>
  <c r="X13" i="29"/>
  <c r="X54" i="29"/>
  <c r="X9" i="29"/>
  <c r="X8" i="29"/>
  <c r="X7" i="29"/>
  <c r="X6" i="29"/>
  <c r="W6" i="29"/>
  <c r="W13" i="29"/>
  <c r="W14" i="29"/>
  <c r="W15" i="29" s="1"/>
  <c r="W16" i="29"/>
  <c r="W19" i="29"/>
  <c r="W9" i="29"/>
  <c r="W8" i="29"/>
  <c r="W7" i="29"/>
  <c r="I12" i="29"/>
  <c r="J12" i="29"/>
  <c r="K12" i="29"/>
  <c r="L12" i="29"/>
  <c r="G12" i="29"/>
  <c r="E12" i="29"/>
  <c r="M18" i="29"/>
  <c r="E48" i="29"/>
  <c r="G48" i="29"/>
  <c r="I48" i="29"/>
  <c r="J48" i="29"/>
  <c r="K48" i="29"/>
  <c r="L48" i="29"/>
  <c r="N48" i="29"/>
  <c r="O48" i="29"/>
  <c r="P48" i="29"/>
  <c r="Q48" i="29"/>
  <c r="R48" i="29"/>
  <c r="S48" i="29"/>
  <c r="E50" i="29"/>
  <c r="G50" i="29"/>
  <c r="I50" i="29"/>
  <c r="J50" i="29"/>
  <c r="K50" i="29"/>
  <c r="L50" i="29"/>
  <c r="N50" i="29"/>
  <c r="O50" i="29"/>
  <c r="P50" i="29"/>
  <c r="Q50" i="29"/>
  <c r="R50" i="29"/>
  <c r="S50" i="29"/>
  <c r="E51" i="29"/>
  <c r="G51" i="29"/>
  <c r="I51" i="29"/>
  <c r="J51" i="29"/>
  <c r="K51" i="29"/>
  <c r="L51" i="29"/>
  <c r="N51" i="29"/>
  <c r="O51" i="29"/>
  <c r="P51" i="29"/>
  <c r="Q51" i="29"/>
  <c r="R51" i="29"/>
  <c r="S51" i="29"/>
  <c r="M50" i="29" l="1"/>
  <c r="V50" i="29"/>
  <c r="W50" i="29"/>
  <c r="X50" i="29"/>
  <c r="Y50" i="29"/>
  <c r="U50" i="29"/>
  <c r="T51" i="29"/>
  <c r="Y51" i="29"/>
  <c r="U51" i="29"/>
  <c r="V51" i="29"/>
  <c r="W51" i="29"/>
  <c r="X51" i="29"/>
  <c r="M48" i="29"/>
  <c r="X48" i="29"/>
  <c r="U48" i="29"/>
  <c r="Y48" i="29"/>
  <c r="V48" i="29"/>
  <c r="W48" i="29"/>
  <c r="Q46" i="36"/>
  <c r="Q47" i="33"/>
  <c r="Q50" i="33" s="1"/>
  <c r="R47" i="33"/>
  <c r="R50" i="33" s="1"/>
  <c r="T50" i="29"/>
  <c r="E66" i="29"/>
  <c r="F65" i="29"/>
  <c r="Q35" i="3"/>
  <c r="Q63" i="3" s="1"/>
  <c r="AA5" i="3"/>
  <c r="U18" i="29"/>
  <c r="V18" i="29"/>
  <c r="X18" i="29"/>
  <c r="Y18" i="29"/>
  <c r="W18" i="29"/>
  <c r="T48" i="29"/>
  <c r="T18" i="29"/>
  <c r="M51" i="29"/>
  <c r="D197" i="23"/>
  <c r="D198" i="23"/>
  <c r="H56" i="29"/>
  <c r="M6" i="29"/>
  <c r="T6" i="29"/>
  <c r="M7" i="29"/>
  <c r="T7" i="29"/>
  <c r="M8" i="29"/>
  <c r="T8" i="29"/>
  <c r="M13" i="29"/>
  <c r="T13" i="29"/>
  <c r="J68" i="29"/>
  <c r="M9" i="29"/>
  <c r="T9" i="29"/>
  <c r="M14" i="29"/>
  <c r="T14" i="29"/>
  <c r="T15" i="29" s="1"/>
  <c r="M16" i="29"/>
  <c r="T16" i="29"/>
  <c r="E17" i="29"/>
  <c r="G17" i="29"/>
  <c r="I17" i="29"/>
  <c r="J17" i="29"/>
  <c r="K17" i="29"/>
  <c r="L17" i="29"/>
  <c r="N17" i="29"/>
  <c r="O17" i="29"/>
  <c r="P17" i="29"/>
  <c r="Q17" i="29"/>
  <c r="R17" i="29"/>
  <c r="S17" i="29"/>
  <c r="M19" i="29"/>
  <c r="T19" i="29"/>
  <c r="E10" i="29"/>
  <c r="G10" i="29"/>
  <c r="I10" i="29"/>
  <c r="J10" i="29"/>
  <c r="K10" i="29"/>
  <c r="L10" i="29"/>
  <c r="N10" i="29"/>
  <c r="O10" i="29"/>
  <c r="P10" i="29"/>
  <c r="Q10" i="29"/>
  <c r="R10" i="29"/>
  <c r="S10" i="29"/>
  <c r="E11" i="29"/>
  <c r="G11" i="29"/>
  <c r="I11" i="29"/>
  <c r="J11" i="29"/>
  <c r="K11" i="29"/>
  <c r="L11" i="29"/>
  <c r="E21" i="29"/>
  <c r="G21" i="29"/>
  <c r="I21" i="29"/>
  <c r="J21" i="29"/>
  <c r="K21" i="29"/>
  <c r="L21" i="29"/>
  <c r="N21" i="29"/>
  <c r="O21" i="29"/>
  <c r="P21" i="29"/>
  <c r="Q21" i="29"/>
  <c r="R21" i="29"/>
  <c r="S21" i="29"/>
  <c r="E22" i="29"/>
  <c r="G22" i="29"/>
  <c r="I22" i="29"/>
  <c r="J22" i="29"/>
  <c r="K22" i="29"/>
  <c r="L22" i="29"/>
  <c r="N22" i="29"/>
  <c r="O22" i="29"/>
  <c r="P22" i="29"/>
  <c r="Q22" i="29"/>
  <c r="R22" i="29"/>
  <c r="S22" i="29"/>
  <c r="E23" i="29"/>
  <c r="G23" i="29"/>
  <c r="I23" i="29"/>
  <c r="J23" i="29"/>
  <c r="K23" i="29"/>
  <c r="L23" i="29"/>
  <c r="N23" i="29"/>
  <c r="O23" i="29"/>
  <c r="P23" i="29"/>
  <c r="Q23" i="29"/>
  <c r="R23" i="29"/>
  <c r="S23" i="29"/>
  <c r="E24" i="29"/>
  <c r="G24" i="29"/>
  <c r="I24" i="29"/>
  <c r="J24" i="29"/>
  <c r="K24" i="29"/>
  <c r="L24" i="29"/>
  <c r="N24" i="29"/>
  <c r="O24" i="29"/>
  <c r="P24" i="29"/>
  <c r="Q24" i="29"/>
  <c r="R24" i="29"/>
  <c r="S24" i="29"/>
  <c r="E25" i="29"/>
  <c r="G25" i="29"/>
  <c r="I25" i="29"/>
  <c r="J25" i="29"/>
  <c r="K25" i="29"/>
  <c r="L25" i="29"/>
  <c r="N25" i="29"/>
  <c r="O25" i="29"/>
  <c r="P25" i="29"/>
  <c r="Q25" i="29"/>
  <c r="R25" i="29"/>
  <c r="S25" i="29"/>
  <c r="E26" i="29"/>
  <c r="G26" i="29"/>
  <c r="I26" i="29"/>
  <c r="J26" i="29"/>
  <c r="K26" i="29"/>
  <c r="L26" i="29"/>
  <c r="N26" i="29"/>
  <c r="O26" i="29"/>
  <c r="P26" i="29"/>
  <c r="Q26" i="29"/>
  <c r="R26" i="29"/>
  <c r="S26" i="29"/>
  <c r="E20" i="29"/>
  <c r="G20" i="29"/>
  <c r="I20" i="29"/>
  <c r="J20" i="29"/>
  <c r="K20" i="29"/>
  <c r="L20" i="29"/>
  <c r="N20" i="29"/>
  <c r="O20" i="29"/>
  <c r="P20" i="29"/>
  <c r="Q20" i="29"/>
  <c r="R20" i="29"/>
  <c r="S20" i="29"/>
  <c r="E27" i="29"/>
  <c r="G27" i="29"/>
  <c r="I27" i="29"/>
  <c r="J27" i="29"/>
  <c r="K27" i="29"/>
  <c r="L27" i="29"/>
  <c r="N27" i="29"/>
  <c r="O27" i="29"/>
  <c r="P27" i="29"/>
  <c r="Q27" i="29"/>
  <c r="R27" i="29"/>
  <c r="S27" i="29"/>
  <c r="E28" i="29"/>
  <c r="G28" i="29"/>
  <c r="I28" i="29"/>
  <c r="J28" i="29"/>
  <c r="K28" i="29"/>
  <c r="L28" i="29"/>
  <c r="N28" i="29"/>
  <c r="O28" i="29"/>
  <c r="P28" i="29"/>
  <c r="Q28" i="29"/>
  <c r="R28" i="29"/>
  <c r="S28" i="29"/>
  <c r="E29" i="29"/>
  <c r="G29" i="29"/>
  <c r="I29" i="29"/>
  <c r="J29" i="29"/>
  <c r="K29" i="29"/>
  <c r="L29" i="29"/>
  <c r="N29" i="29"/>
  <c r="O29" i="29"/>
  <c r="P29" i="29"/>
  <c r="Q29" i="29"/>
  <c r="R29" i="29"/>
  <c r="S29" i="29"/>
  <c r="E30" i="29"/>
  <c r="G30" i="29"/>
  <c r="I30" i="29"/>
  <c r="J30" i="29"/>
  <c r="K30" i="29"/>
  <c r="L30" i="29"/>
  <c r="N30" i="29"/>
  <c r="O30" i="29"/>
  <c r="P30" i="29"/>
  <c r="Q30" i="29"/>
  <c r="R30" i="29"/>
  <c r="S30" i="29"/>
  <c r="E31" i="29"/>
  <c r="G31" i="29"/>
  <c r="G32" i="29" s="1"/>
  <c r="G33" i="29" s="1"/>
  <c r="G34" i="29" s="1"/>
  <c r="G35" i="29" s="1"/>
  <c r="G36" i="29" s="1"/>
  <c r="G37" i="29" s="1"/>
  <c r="G38" i="29" s="1"/>
  <c r="G39" i="29" s="1"/>
  <c r="G40" i="29" s="1"/>
  <c r="G41" i="29" s="1"/>
  <c r="G42" i="29" s="1"/>
  <c r="I31" i="29"/>
  <c r="I32" i="29" s="1"/>
  <c r="I33" i="29" s="1"/>
  <c r="I34" i="29" s="1"/>
  <c r="I35" i="29" s="1"/>
  <c r="I36" i="29" s="1"/>
  <c r="I37" i="29" s="1"/>
  <c r="I38" i="29" s="1"/>
  <c r="I39" i="29" s="1"/>
  <c r="I40" i="29" s="1"/>
  <c r="I41" i="29" s="1"/>
  <c r="I42" i="29" s="1"/>
  <c r="J31" i="29"/>
  <c r="J32" i="29" s="1"/>
  <c r="J33" i="29" s="1"/>
  <c r="J34" i="29" s="1"/>
  <c r="J35" i="29" s="1"/>
  <c r="J36" i="29" s="1"/>
  <c r="J37" i="29" s="1"/>
  <c r="J38" i="29" s="1"/>
  <c r="J39" i="29" s="1"/>
  <c r="J40" i="29" s="1"/>
  <c r="J41" i="29" s="1"/>
  <c r="J42" i="29" s="1"/>
  <c r="K31" i="29"/>
  <c r="K32" i="29" s="1"/>
  <c r="K33" i="29" s="1"/>
  <c r="K34" i="29" s="1"/>
  <c r="K35" i="29" s="1"/>
  <c r="K36" i="29" s="1"/>
  <c r="K37" i="29" s="1"/>
  <c r="K38" i="29" s="1"/>
  <c r="K39" i="29" s="1"/>
  <c r="K40" i="29" s="1"/>
  <c r="K41" i="29" s="1"/>
  <c r="K42" i="29" s="1"/>
  <c r="L31" i="29"/>
  <c r="L32" i="29" s="1"/>
  <c r="L33" i="29" s="1"/>
  <c r="L34" i="29" s="1"/>
  <c r="L35" i="29" s="1"/>
  <c r="L36" i="29" s="1"/>
  <c r="L37" i="29" s="1"/>
  <c r="L38" i="29" s="1"/>
  <c r="L39" i="29" s="1"/>
  <c r="L40" i="29" s="1"/>
  <c r="L41" i="29" s="1"/>
  <c r="L42" i="29" s="1"/>
  <c r="N31" i="29"/>
  <c r="N32" i="29" s="1"/>
  <c r="N33" i="29" s="1"/>
  <c r="N34" i="29" s="1"/>
  <c r="N35" i="29" s="1"/>
  <c r="N36" i="29" s="1"/>
  <c r="N37" i="29" s="1"/>
  <c r="N38" i="29" s="1"/>
  <c r="N39" i="29" s="1"/>
  <c r="N40" i="29" s="1"/>
  <c r="N41" i="29" s="1"/>
  <c r="N42" i="29" s="1"/>
  <c r="O31" i="29"/>
  <c r="O32" i="29" s="1"/>
  <c r="O33" i="29" s="1"/>
  <c r="O34" i="29" s="1"/>
  <c r="O35" i="29" s="1"/>
  <c r="O36" i="29" s="1"/>
  <c r="O37" i="29" s="1"/>
  <c r="O38" i="29" s="1"/>
  <c r="O39" i="29" s="1"/>
  <c r="O40" i="29" s="1"/>
  <c r="O41" i="29" s="1"/>
  <c r="O42" i="29" s="1"/>
  <c r="P31" i="29"/>
  <c r="P32" i="29" s="1"/>
  <c r="P33" i="29" s="1"/>
  <c r="P34" i="29" s="1"/>
  <c r="P35" i="29" s="1"/>
  <c r="P36" i="29" s="1"/>
  <c r="P37" i="29" s="1"/>
  <c r="P38" i="29" s="1"/>
  <c r="P39" i="29" s="1"/>
  <c r="P40" i="29" s="1"/>
  <c r="P41" i="29" s="1"/>
  <c r="P42" i="29" s="1"/>
  <c r="Q31" i="29"/>
  <c r="Q32" i="29" s="1"/>
  <c r="Q33" i="29" s="1"/>
  <c r="Q34" i="29" s="1"/>
  <c r="Q35" i="29" s="1"/>
  <c r="Q36" i="29" s="1"/>
  <c r="Q37" i="29" s="1"/>
  <c r="Q38" i="29" s="1"/>
  <c r="Q39" i="29" s="1"/>
  <c r="Q40" i="29" s="1"/>
  <c r="Q41" i="29" s="1"/>
  <c r="Q42" i="29" s="1"/>
  <c r="R31" i="29"/>
  <c r="R32" i="29" s="1"/>
  <c r="R33" i="29" s="1"/>
  <c r="R34" i="29" s="1"/>
  <c r="R35" i="29" s="1"/>
  <c r="R36" i="29" s="1"/>
  <c r="R37" i="29" s="1"/>
  <c r="R38" i="29" s="1"/>
  <c r="R39" i="29" s="1"/>
  <c r="R40" i="29" s="1"/>
  <c r="R41" i="29" s="1"/>
  <c r="R42" i="29" s="1"/>
  <c r="S31" i="29"/>
  <c r="S32" i="29" s="1"/>
  <c r="S33" i="29" s="1"/>
  <c r="S34" i="29" s="1"/>
  <c r="S35" i="29" s="1"/>
  <c r="S36" i="29" s="1"/>
  <c r="S37" i="29" s="1"/>
  <c r="S38" i="29" s="1"/>
  <c r="S39" i="29" s="1"/>
  <c r="S40" i="29" s="1"/>
  <c r="S41" i="29" s="1"/>
  <c r="S42" i="29" s="1"/>
  <c r="D78" i="23"/>
  <c r="D79" i="23"/>
  <c r="D85" i="23"/>
  <c r="D84" i="23"/>
  <c r="D81" i="23"/>
  <c r="D80" i="23"/>
  <c r="D73" i="23"/>
  <c r="D72" i="23"/>
  <c r="D70" i="23"/>
  <c r="D71" i="23"/>
  <c r="D68" i="23"/>
  <c r="D67" i="23"/>
  <c r="D75" i="23"/>
  <c r="D74" i="23"/>
  <c r="D66" i="23"/>
  <c r="D65" i="23"/>
  <c r="D76" i="23"/>
  <c r="D77" i="23"/>
  <c r="D82" i="23"/>
  <c r="D83" i="23"/>
  <c r="H11" i="34" l="1"/>
  <c r="H8" i="37"/>
  <c r="E8" i="37" s="1"/>
  <c r="G15" i="19"/>
  <c r="J44" i="29"/>
  <c r="J45" i="29" s="1"/>
  <c r="L44" i="29"/>
  <c r="M44" i="29" s="1"/>
  <c r="K44" i="29"/>
  <c r="K45" i="29" s="1"/>
  <c r="K46" i="29" s="1"/>
  <c r="K47" i="29" s="1"/>
  <c r="U30" i="29"/>
  <c r="V30" i="29"/>
  <c r="W30" i="29"/>
  <c r="X30" i="29"/>
  <c r="Y30" i="29"/>
  <c r="U28" i="29"/>
  <c r="V28" i="29"/>
  <c r="W28" i="29"/>
  <c r="X28" i="29"/>
  <c r="Y28" i="29"/>
  <c r="I44" i="29"/>
  <c r="I45" i="29" s="1"/>
  <c r="G44" i="29"/>
  <c r="G45" i="29" s="1"/>
  <c r="G46" i="29" s="1"/>
  <c r="G47" i="29" s="1"/>
  <c r="R44" i="29"/>
  <c r="R45" i="29" s="1"/>
  <c r="R46" i="29" s="1"/>
  <c r="R47" i="29" s="1"/>
  <c r="Q44" i="29"/>
  <c r="Q45" i="29" s="1"/>
  <c r="Q46" i="29" s="1"/>
  <c r="Q47" i="29" s="1"/>
  <c r="P44" i="29"/>
  <c r="P45" i="29" s="1"/>
  <c r="E32" i="29"/>
  <c r="U31" i="29"/>
  <c r="V31" i="29"/>
  <c r="W31" i="29"/>
  <c r="X31" i="29"/>
  <c r="Y31" i="29"/>
  <c r="W29" i="29"/>
  <c r="Y29" i="29"/>
  <c r="X29" i="29"/>
  <c r="U29" i="29"/>
  <c r="V29" i="29"/>
  <c r="Y27" i="29"/>
  <c r="U27" i="29"/>
  <c r="V27" i="29"/>
  <c r="W27" i="29"/>
  <c r="X27" i="29"/>
  <c r="U26" i="29"/>
  <c r="V26" i="29"/>
  <c r="W26" i="29"/>
  <c r="X26" i="29"/>
  <c r="Y26" i="29"/>
  <c r="O44" i="29"/>
  <c r="O45" i="29" s="1"/>
  <c r="S44" i="29"/>
  <c r="S45" i="29" s="1"/>
  <c r="N44" i="29"/>
  <c r="N45" i="29" s="1"/>
  <c r="T21" i="29"/>
  <c r="T47" i="33"/>
  <c r="T50" i="33" s="1"/>
  <c r="R46" i="36"/>
  <c r="G65" i="29"/>
  <c r="F66" i="29"/>
  <c r="G66" i="29" s="1"/>
  <c r="H66" i="29" s="1"/>
  <c r="I66" i="29" s="1"/>
  <c r="J66" i="29" s="1"/>
  <c r="K66" i="29" s="1"/>
  <c r="L66" i="29" s="1"/>
  <c r="M66" i="29" s="1"/>
  <c r="N66" i="29" s="1"/>
  <c r="O66" i="29" s="1"/>
  <c r="P66" i="29" s="1"/>
  <c r="E72" i="29"/>
  <c r="I54" i="33" s="1"/>
  <c r="AB5" i="3"/>
  <c r="R35" i="3"/>
  <c r="R63" i="3" s="1"/>
  <c r="U11" i="29"/>
  <c r="V11" i="29"/>
  <c r="U25" i="29"/>
  <c r="V25" i="29"/>
  <c r="U24" i="29"/>
  <c r="V24" i="29"/>
  <c r="U23" i="29"/>
  <c r="V23" i="29"/>
  <c r="U21" i="29"/>
  <c r="V21" i="29"/>
  <c r="U20" i="29"/>
  <c r="V20" i="29"/>
  <c r="U22" i="29"/>
  <c r="V22" i="29"/>
  <c r="U17" i="29"/>
  <c r="V17" i="29"/>
  <c r="U10" i="29"/>
  <c r="T11" i="29"/>
  <c r="X11" i="29"/>
  <c r="Y11" i="29"/>
  <c r="W11" i="29"/>
  <c r="W17" i="29"/>
  <c r="X17" i="29"/>
  <c r="Y17" i="29"/>
  <c r="Y10" i="29"/>
  <c r="X10" i="29"/>
  <c r="W10" i="29"/>
  <c r="T31" i="29"/>
  <c r="T32" i="29" s="1"/>
  <c r="T33" i="29" s="1"/>
  <c r="T34" i="29" s="1"/>
  <c r="T35" i="29" s="1"/>
  <c r="T36" i="29" s="1"/>
  <c r="T37" i="29" s="1"/>
  <c r="T38" i="29" s="1"/>
  <c r="T39" i="29" s="1"/>
  <c r="T40" i="29" s="1"/>
  <c r="T41" i="29" s="1"/>
  <c r="T42" i="29" s="1"/>
  <c r="T30" i="29"/>
  <c r="T29" i="29"/>
  <c r="T28" i="29"/>
  <c r="T27" i="29"/>
  <c r="T20" i="29"/>
  <c r="Y20" i="29"/>
  <c r="W20" i="29"/>
  <c r="X20" i="29"/>
  <c r="T26" i="29"/>
  <c r="M25" i="29"/>
  <c r="Y25" i="29"/>
  <c r="W25" i="29"/>
  <c r="X25" i="29"/>
  <c r="T24" i="29"/>
  <c r="Y24" i="29"/>
  <c r="W24" i="29"/>
  <c r="X24" i="29"/>
  <c r="T23" i="29"/>
  <c r="W23" i="29"/>
  <c r="Y23" i="29"/>
  <c r="X23" i="29"/>
  <c r="T22" i="29"/>
  <c r="W22" i="29"/>
  <c r="Y22" i="29"/>
  <c r="X22" i="29"/>
  <c r="W21" i="29"/>
  <c r="Y21" i="29"/>
  <c r="X21" i="29"/>
  <c r="M21" i="29"/>
  <c r="T10" i="29"/>
  <c r="T17" i="29"/>
  <c r="M11" i="29"/>
  <c r="T25" i="29"/>
  <c r="M28" i="29"/>
  <c r="M29" i="29"/>
  <c r="M26" i="29"/>
  <c r="M22" i="29"/>
  <c r="M30" i="29"/>
  <c r="M23" i="29"/>
  <c r="M20" i="29"/>
  <c r="M31" i="29"/>
  <c r="M32" i="29" s="1"/>
  <c r="M33" i="29" s="1"/>
  <c r="M34" i="29" s="1"/>
  <c r="M35" i="29" s="1"/>
  <c r="M36" i="29" s="1"/>
  <c r="M37" i="29" s="1"/>
  <c r="M38" i="29" s="1"/>
  <c r="M39" i="29" s="1"/>
  <c r="M40" i="29" s="1"/>
  <c r="M41" i="29" s="1"/>
  <c r="M42" i="29" s="1"/>
  <c r="M27" i="29"/>
  <c r="M24" i="29"/>
  <c r="M10" i="29"/>
  <c r="J63" i="29" s="1"/>
  <c r="P63" i="29" s="1"/>
  <c r="M17" i="29"/>
  <c r="M45" i="29" l="1"/>
  <c r="M46" i="29" s="1"/>
  <c r="M47" i="29" s="1"/>
  <c r="E9" i="37"/>
  <c r="D9" i="37" s="1"/>
  <c r="D8" i="37"/>
  <c r="I46" i="29"/>
  <c r="I47" i="29" s="1"/>
  <c r="I56" i="29"/>
  <c r="N46" i="29"/>
  <c r="N47" i="29" s="1"/>
  <c r="N56" i="29"/>
  <c r="O46" i="29"/>
  <c r="O47" i="29" s="1"/>
  <c r="O56" i="29"/>
  <c r="P46" i="29"/>
  <c r="P47" i="29" s="1"/>
  <c r="P56" i="29"/>
  <c r="S46" i="29"/>
  <c r="S47" i="29" s="1"/>
  <c r="J46" i="29"/>
  <c r="J47" i="29" s="1"/>
  <c r="J56" i="29"/>
  <c r="K56" i="29"/>
  <c r="E33" i="29"/>
  <c r="X32" i="29"/>
  <c r="Y32" i="29"/>
  <c r="U32" i="29"/>
  <c r="V32" i="29"/>
  <c r="W32" i="29"/>
  <c r="L45" i="29"/>
  <c r="T44" i="29"/>
  <c r="T45" i="29" s="1"/>
  <c r="T46" i="29" s="1"/>
  <c r="T47" i="29" s="1"/>
  <c r="Q56" i="29"/>
  <c r="J76" i="29"/>
  <c r="R56" i="29"/>
  <c r="F59" i="29"/>
  <c r="J42" i="19"/>
  <c r="M42" i="19" s="1"/>
  <c r="J43" i="19"/>
  <c r="H65" i="29"/>
  <c r="G72" i="29"/>
  <c r="F72" i="29"/>
  <c r="E60" i="29"/>
  <c r="F60" i="29" s="1"/>
  <c r="G60" i="29" s="1"/>
  <c r="H60" i="29" s="1"/>
  <c r="I60" i="29" s="1"/>
  <c r="J60" i="29" s="1"/>
  <c r="K60" i="29" s="1"/>
  <c r="L60" i="29" s="1"/>
  <c r="M60" i="29" s="1"/>
  <c r="N60" i="29" s="1"/>
  <c r="O60" i="29" s="1"/>
  <c r="P60" i="29" s="1"/>
  <c r="H10" i="34"/>
  <c r="H15" i="34" s="1"/>
  <c r="H19" i="34" s="1"/>
  <c r="H21" i="34" s="1"/>
  <c r="AC5" i="3"/>
  <c r="S35" i="3"/>
  <c r="S63" i="3" s="1"/>
  <c r="E79" i="29"/>
  <c r="F79" i="29" s="1"/>
  <c r="G79" i="29" s="1"/>
  <c r="H79" i="29" s="1"/>
  <c r="I79" i="29" s="1"/>
  <c r="J79" i="29" s="1"/>
  <c r="K79" i="29" s="1"/>
  <c r="L79" i="29" s="1"/>
  <c r="M79" i="29" s="1"/>
  <c r="N79" i="29" s="1"/>
  <c r="O79" i="29" s="1"/>
  <c r="P79" i="29" s="1"/>
  <c r="G59" i="29"/>
  <c r="E59" i="29"/>
  <c r="M56" i="29"/>
  <c r="S56" i="29" l="1"/>
  <c r="E34" i="29"/>
  <c r="U33" i="29"/>
  <c r="W33" i="29"/>
  <c r="V33" i="29"/>
  <c r="X33" i="29"/>
  <c r="Y33" i="29"/>
  <c r="L46" i="29"/>
  <c r="L47" i="29" s="1"/>
  <c r="L56" i="29"/>
  <c r="I17" i="36"/>
  <c r="I53" i="36" s="1"/>
  <c r="K54" i="33"/>
  <c r="K17" i="36"/>
  <c r="K53" i="36" s="1"/>
  <c r="E71" i="29"/>
  <c r="E73" i="29" s="1"/>
  <c r="J54" i="33"/>
  <c r="J17" i="36"/>
  <c r="J53" i="36" s="1"/>
  <c r="H59" i="29"/>
  <c r="J45" i="19"/>
  <c r="I65" i="29"/>
  <c r="H72" i="29"/>
  <c r="P76" i="29"/>
  <c r="AD5" i="3"/>
  <c r="T35" i="3"/>
  <c r="T63" i="3" s="1"/>
  <c r="F71" i="29"/>
  <c r="I14" i="36" s="1"/>
  <c r="G71" i="29"/>
  <c r="J14" i="36" s="1"/>
  <c r="J50" i="36" s="1"/>
  <c r="C26" i="24"/>
  <c r="H40" i="34" s="1"/>
  <c r="F22" i="24"/>
  <c r="L17" i="36" l="1"/>
  <c r="L53" i="36" s="1"/>
  <c r="E35" i="29"/>
  <c r="V34" i="29"/>
  <c r="W34" i="29"/>
  <c r="X34" i="29"/>
  <c r="Y34" i="29"/>
  <c r="U34" i="29"/>
  <c r="L54" i="33"/>
  <c r="I59" i="29"/>
  <c r="J59" i="29" s="1"/>
  <c r="K59" i="29" s="1"/>
  <c r="H71" i="29"/>
  <c r="H73" i="29" s="1"/>
  <c r="I50" i="36"/>
  <c r="I54" i="36" s="1"/>
  <c r="I58" i="36" s="1"/>
  <c r="I18" i="36"/>
  <c r="I22" i="36" s="1"/>
  <c r="I24" i="36" s="1"/>
  <c r="I32" i="36"/>
  <c r="I83" i="36" s="1"/>
  <c r="O53" i="33"/>
  <c r="N53" i="33"/>
  <c r="M53" i="33"/>
  <c r="T53" i="33"/>
  <c r="R53" i="33"/>
  <c r="L53" i="33"/>
  <c r="Q53" i="33"/>
  <c r="G73" i="29"/>
  <c r="F73" i="29"/>
  <c r="I51" i="33"/>
  <c r="J65" i="29"/>
  <c r="I72" i="29"/>
  <c r="AE5" i="3"/>
  <c r="C9" i="24"/>
  <c r="F33" i="24" s="1"/>
  <c r="F38" i="24" s="1"/>
  <c r="F53" i="24" s="1"/>
  <c r="U35" i="3"/>
  <c r="U63" i="3" s="1"/>
  <c r="M89" i="36"/>
  <c r="M91" i="36" s="1"/>
  <c r="N4" i="27"/>
  <c r="L4" i="27"/>
  <c r="K4" i="27"/>
  <c r="D8" i="23"/>
  <c r="H29" i="34" s="1"/>
  <c r="H33" i="34" s="1"/>
  <c r="M11" i="27"/>
  <c r="I255" i="27"/>
  <c r="K15" i="27"/>
  <c r="M15" i="27"/>
  <c r="M18" i="27"/>
  <c r="M20" i="27"/>
  <c r="M21" i="27"/>
  <c r="M22" i="27"/>
  <c r="K25" i="27"/>
  <c r="M31" i="27"/>
  <c r="H477" i="27"/>
  <c r="K31" i="27"/>
  <c r="K33" i="27"/>
  <c r="K34" i="27"/>
  <c r="A716" i="27"/>
  <c r="H488" i="27"/>
  <c r="I183" i="27"/>
  <c r="L157" i="27"/>
  <c r="L158" i="27" s="1"/>
  <c r="M158" i="27" s="1"/>
  <c r="N36" i="27"/>
  <c r="M36" i="27"/>
  <c r="K36" i="27"/>
  <c r="L36" i="27" s="1"/>
  <c r="N35" i="27"/>
  <c r="M35" i="27"/>
  <c r="K35" i="27"/>
  <c r="N34" i="27"/>
  <c r="M34" i="27"/>
  <c r="N33" i="27"/>
  <c r="M33" i="27"/>
  <c r="N32" i="27"/>
  <c r="M32" i="27"/>
  <c r="K32" i="27"/>
  <c r="N31" i="27"/>
  <c r="N30" i="27"/>
  <c r="M30" i="27"/>
  <c r="N29" i="27"/>
  <c r="K29" i="27"/>
  <c r="N28" i="27"/>
  <c r="N27" i="27"/>
  <c r="M27" i="27"/>
  <c r="K27" i="27"/>
  <c r="N26" i="27"/>
  <c r="M26" i="27"/>
  <c r="K26" i="27"/>
  <c r="N25" i="27"/>
  <c r="M25" i="27"/>
  <c r="N24" i="27"/>
  <c r="K24" i="27"/>
  <c r="N22" i="27"/>
  <c r="N21" i="27"/>
  <c r="K21" i="27"/>
  <c r="N20" i="27"/>
  <c r="K20" i="27"/>
  <c r="N19" i="27"/>
  <c r="M19" i="27"/>
  <c r="N18" i="27"/>
  <c r="N17" i="27"/>
  <c r="M17" i="27"/>
  <c r="K17" i="27"/>
  <c r="N16" i="27"/>
  <c r="M16" i="27"/>
  <c r="K16" i="27"/>
  <c r="L16" i="27" s="1"/>
  <c r="N15" i="27"/>
  <c r="N14" i="27"/>
  <c r="M14" i="27"/>
  <c r="K14" i="27"/>
  <c r="N13" i="27"/>
  <c r="M13" i="27"/>
  <c r="K13" i="27"/>
  <c r="N12" i="27"/>
  <c r="M12" i="27"/>
  <c r="N11" i="27"/>
  <c r="K11" i="27"/>
  <c r="N10" i="27"/>
  <c r="M10" i="27"/>
  <c r="K10" i="27"/>
  <c r="N9" i="27"/>
  <c r="M9" i="27"/>
  <c r="K9" i="27"/>
  <c r="N8" i="27"/>
  <c r="M8" i="27"/>
  <c r="K8" i="27"/>
  <c r="N7" i="27"/>
  <c r="M7" i="27"/>
  <c r="K7" i="27"/>
  <c r="L7" i="27" s="1"/>
  <c r="N6" i="27"/>
  <c r="M6" i="27"/>
  <c r="K6" i="27"/>
  <c r="N5" i="27"/>
  <c r="M5" i="27"/>
  <c r="K5" i="27"/>
  <c r="P32" i="36" l="1"/>
  <c r="G31" i="19"/>
  <c r="E36" i="29"/>
  <c r="Y35" i="29"/>
  <c r="U35" i="29"/>
  <c r="V35" i="29"/>
  <c r="W35" i="29"/>
  <c r="X35" i="29"/>
  <c r="I71" i="29"/>
  <c r="M54" i="33"/>
  <c r="K51" i="33"/>
  <c r="K14" i="36"/>
  <c r="K50" i="36" s="1"/>
  <c r="M17" i="36"/>
  <c r="M53" i="36" s="1"/>
  <c r="I87" i="36"/>
  <c r="I92" i="36" s="1"/>
  <c r="J83" i="36"/>
  <c r="J87" i="36" s="1"/>
  <c r="J92" i="36" s="1"/>
  <c r="P53" i="33"/>
  <c r="C12" i="24"/>
  <c r="L51" i="33"/>
  <c r="L55" i="33" s="1"/>
  <c r="L59" i="33" s="1"/>
  <c r="I53" i="33"/>
  <c r="K65" i="29"/>
  <c r="J72" i="29"/>
  <c r="K53" i="33"/>
  <c r="AF5" i="3"/>
  <c r="V35" i="3"/>
  <c r="V63" i="3" s="1"/>
  <c r="O4" i="27"/>
  <c r="P4" i="27" s="1"/>
  <c r="L32" i="27"/>
  <c r="L26" i="27"/>
  <c r="L21" i="27"/>
  <c r="L9" i="27"/>
  <c r="M29" i="27"/>
  <c r="K18" i="27"/>
  <c r="L18" i="27" s="1"/>
  <c r="K12" i="27"/>
  <c r="L12" i="27" s="1"/>
  <c r="K28" i="27"/>
  <c r="L28" i="27" s="1"/>
  <c r="K22" i="27"/>
  <c r="L22" i="27" s="1"/>
  <c r="L8" i="27"/>
  <c r="K30" i="27"/>
  <c r="L30" i="27" s="1"/>
  <c r="L29" i="27"/>
  <c r="L5" i="27"/>
  <c r="L24" i="27"/>
  <c r="M24" i="27"/>
  <c r="K19" i="27"/>
  <c r="L19" i="27" s="1"/>
  <c r="L6" i="27"/>
  <c r="L17" i="27"/>
  <c r="L33" i="27"/>
  <c r="L34" i="27"/>
  <c r="L15" i="27"/>
  <c r="L20" i="27"/>
  <c r="L27" i="27"/>
  <c r="L10" i="27"/>
  <c r="L14" i="27"/>
  <c r="L35" i="27"/>
  <c r="L13" i="27"/>
  <c r="L11" i="27"/>
  <c r="L31" i="27"/>
  <c r="L25" i="27"/>
  <c r="M28" i="27"/>
  <c r="H35" i="34" l="1"/>
  <c r="H39" i="34" s="1"/>
  <c r="H41" i="34" s="1"/>
  <c r="I40" i="34" s="1"/>
  <c r="I41" i="34" s="1"/>
  <c r="J40" i="34" s="1"/>
  <c r="E37" i="29"/>
  <c r="V36" i="29"/>
  <c r="U36" i="29"/>
  <c r="W36" i="29"/>
  <c r="X36" i="29"/>
  <c r="Y36" i="29"/>
  <c r="K55" i="33"/>
  <c r="K59" i="33" s="1"/>
  <c r="I73" i="29"/>
  <c r="L14" i="36"/>
  <c r="L50" i="36" s="1"/>
  <c r="J71" i="29"/>
  <c r="M51" i="33" s="1"/>
  <c r="M55" i="33" s="1"/>
  <c r="M59" i="33" s="1"/>
  <c r="N54" i="33"/>
  <c r="R83" i="36"/>
  <c r="R87" i="36" s="1"/>
  <c r="J102" i="36"/>
  <c r="K93" i="36"/>
  <c r="J93" i="36"/>
  <c r="I93" i="36"/>
  <c r="I102" i="36"/>
  <c r="I103" i="36" s="1"/>
  <c r="J32" i="36"/>
  <c r="M83" i="36"/>
  <c r="M87" i="36" s="1"/>
  <c r="M92" i="36" s="1"/>
  <c r="I55" i="33"/>
  <c r="I59" i="33" s="1"/>
  <c r="J53" i="33"/>
  <c r="G50" i="19" s="1"/>
  <c r="L65" i="29"/>
  <c r="K72" i="29"/>
  <c r="AG5" i="3"/>
  <c r="W35" i="3"/>
  <c r="W63" i="3" s="1"/>
  <c r="C13" i="24" l="1"/>
  <c r="C15" i="24" s="1"/>
  <c r="E38" i="29"/>
  <c r="W37" i="29"/>
  <c r="X37" i="29"/>
  <c r="Y37" i="29"/>
  <c r="U37" i="29"/>
  <c r="V37" i="29"/>
  <c r="K71" i="29"/>
  <c r="N51" i="33" s="1"/>
  <c r="N55" i="33" s="1"/>
  <c r="N59" i="33" s="1"/>
  <c r="L59" i="29"/>
  <c r="J73" i="29"/>
  <c r="M14" i="36"/>
  <c r="M50" i="36" s="1"/>
  <c r="N17" i="36"/>
  <c r="N53" i="36" s="1"/>
  <c r="S83" i="36"/>
  <c r="S87" i="36" s="1"/>
  <c r="S89" i="36"/>
  <c r="S91" i="36" s="1"/>
  <c r="R89" i="36"/>
  <c r="R91" i="36" s="1"/>
  <c r="R92" i="36" s="1"/>
  <c r="M93" i="36"/>
  <c r="M102" i="36"/>
  <c r="M103" i="36" s="1"/>
  <c r="J103" i="36"/>
  <c r="K103" i="36"/>
  <c r="C41" i="24"/>
  <c r="C43" i="24" s="1"/>
  <c r="K21" i="33"/>
  <c r="J50" i="19"/>
  <c r="M65" i="29"/>
  <c r="L72" i="29"/>
  <c r="L21" i="33"/>
  <c r="AH5" i="3"/>
  <c r="X35" i="3"/>
  <c r="X63" i="3" s="1"/>
  <c r="K23" i="33" l="1"/>
  <c r="L23" i="33"/>
  <c r="S92" i="36"/>
  <c r="S93" i="36" s="1"/>
  <c r="N14" i="36"/>
  <c r="N50" i="36" s="1"/>
  <c r="L71" i="29"/>
  <c r="O51" i="33" s="1"/>
  <c r="M59" i="29"/>
  <c r="M71" i="29" s="1"/>
  <c r="K73" i="29"/>
  <c r="E39" i="29"/>
  <c r="U38" i="29"/>
  <c r="V38" i="29"/>
  <c r="W38" i="29"/>
  <c r="X38" i="29"/>
  <c r="Y38" i="29"/>
  <c r="O54" i="33"/>
  <c r="P54" i="33"/>
  <c r="O17" i="36"/>
  <c r="O53" i="36" s="1"/>
  <c r="R93" i="36"/>
  <c r="R102" i="36"/>
  <c r="R103" i="36" s="1"/>
  <c r="S102" i="36"/>
  <c r="C42" i="24"/>
  <c r="L73" i="29"/>
  <c r="N65" i="29"/>
  <c r="M72" i="29"/>
  <c r="M21" i="33"/>
  <c r="AI5" i="3"/>
  <c r="Y35" i="3"/>
  <c r="Y63" i="3" s="1"/>
  <c r="O14" i="36" l="1"/>
  <c r="O50" i="36" s="1"/>
  <c r="K38" i="33"/>
  <c r="K40" i="33" s="1"/>
  <c r="M23" i="33"/>
  <c r="N59" i="29"/>
  <c r="N71" i="29" s="1"/>
  <c r="E40" i="29"/>
  <c r="U39" i="29"/>
  <c r="W39" i="29"/>
  <c r="Y39" i="29"/>
  <c r="V39" i="29"/>
  <c r="X39" i="29"/>
  <c r="S103" i="36"/>
  <c r="O55" i="33"/>
  <c r="O59" i="33" s="1"/>
  <c r="Q54" i="33"/>
  <c r="Q17" i="36"/>
  <c r="Q53" i="36" s="1"/>
  <c r="P17" i="36"/>
  <c r="P53" i="36" s="1"/>
  <c r="P14" i="36"/>
  <c r="P50" i="36" s="1"/>
  <c r="P51" i="33"/>
  <c r="P55" i="33" s="1"/>
  <c r="P59" i="33" s="1"/>
  <c r="M73" i="29"/>
  <c r="O65" i="29"/>
  <c r="N72" i="29"/>
  <c r="N21" i="33"/>
  <c r="AJ5" i="3"/>
  <c r="Z35" i="3"/>
  <c r="Z63" i="3" s="1"/>
  <c r="O59" i="29"/>
  <c r="N23" i="33" l="1"/>
  <c r="E41" i="29"/>
  <c r="X40" i="29"/>
  <c r="Y40" i="29"/>
  <c r="U40" i="29"/>
  <c r="V40" i="29"/>
  <c r="W40" i="29"/>
  <c r="Q14" i="36"/>
  <c r="Q50" i="36" s="1"/>
  <c r="R17" i="36"/>
  <c r="R53" i="36" s="1"/>
  <c r="N73" i="29"/>
  <c r="Q51" i="33"/>
  <c r="Q55" i="33" s="1"/>
  <c r="Q59" i="33" s="1"/>
  <c r="P65" i="29"/>
  <c r="O72" i="29"/>
  <c r="AK5" i="3"/>
  <c r="AA35" i="3"/>
  <c r="AA63" i="3" s="1"/>
  <c r="P59" i="29"/>
  <c r="O71" i="29"/>
  <c r="B10" i="6"/>
  <c r="E42" i="29" l="1"/>
  <c r="U41" i="29"/>
  <c r="W41" i="29"/>
  <c r="V41" i="29"/>
  <c r="X41" i="29"/>
  <c r="Y41" i="29"/>
  <c r="P72" i="29"/>
  <c r="R54" i="33"/>
  <c r="P71" i="29"/>
  <c r="R14" i="36"/>
  <c r="R50" i="36" s="1"/>
  <c r="O73" i="29"/>
  <c r="R51" i="33"/>
  <c r="AL5" i="3"/>
  <c r="AB35" i="3"/>
  <c r="AB63" i="3" s="1"/>
  <c r="T51" i="33" l="1"/>
  <c r="V42" i="29"/>
  <c r="X42" i="29"/>
  <c r="W42" i="29"/>
  <c r="Y42" i="29"/>
  <c r="E44" i="29"/>
  <c r="U42" i="29"/>
  <c r="F43" i="29"/>
  <c r="R55" i="33"/>
  <c r="R59" i="33" s="1"/>
  <c r="S14" i="36"/>
  <c r="S50" i="36" s="1"/>
  <c r="P73" i="29"/>
  <c r="AM5" i="3"/>
  <c r="AC35" i="3"/>
  <c r="AC63" i="3" s="1"/>
  <c r="E75" i="29" l="1"/>
  <c r="F56" i="29"/>
  <c r="G43" i="29"/>
  <c r="G56" i="29" s="1"/>
  <c r="X44" i="29"/>
  <c r="U44" i="29"/>
  <c r="V44" i="29"/>
  <c r="W44" i="29"/>
  <c r="Y44" i="29"/>
  <c r="E45" i="29"/>
  <c r="S17" i="36"/>
  <c r="S53" i="36" s="1"/>
  <c r="AD35" i="3"/>
  <c r="AD63" i="3" s="1"/>
  <c r="AN5" i="3"/>
  <c r="T54" i="33" l="1"/>
  <c r="T55" i="33" s="1"/>
  <c r="T59" i="33" s="1"/>
  <c r="G16" i="19"/>
  <c r="E46" i="29"/>
  <c r="W45" i="29"/>
  <c r="Y45" i="29"/>
  <c r="X45" i="29"/>
  <c r="U45" i="29"/>
  <c r="V45" i="29"/>
  <c r="R21" i="33"/>
  <c r="AE35" i="3"/>
  <c r="AE63" i="3" s="1"/>
  <c r="R23" i="33" l="1"/>
  <c r="E47" i="29"/>
  <c r="V46" i="29"/>
  <c r="U46" i="29"/>
  <c r="W46" i="29"/>
  <c r="X46" i="29"/>
  <c r="Y46" i="29"/>
  <c r="AF35" i="3"/>
  <c r="AF63" i="3" s="1"/>
  <c r="T15" i="23"/>
  <c r="T11" i="23"/>
  <c r="T12" i="23"/>
  <c r="R12" i="23"/>
  <c r="S15" i="23"/>
  <c r="R15" i="23"/>
  <c r="M15" i="23"/>
  <c r="S11" i="23"/>
  <c r="S12" i="23"/>
  <c r="S9" i="23"/>
  <c r="R9" i="23"/>
  <c r="T8" i="23"/>
  <c r="S8" i="23"/>
  <c r="R8" i="23"/>
  <c r="M8" i="23"/>
  <c r="T7" i="23"/>
  <c r="S7" i="23"/>
  <c r="R7" i="23"/>
  <c r="M7" i="23"/>
  <c r="T14" i="23"/>
  <c r="S14" i="23"/>
  <c r="R14" i="23"/>
  <c r="M14" i="23"/>
  <c r="T13" i="23"/>
  <c r="S13" i="23"/>
  <c r="R13" i="23"/>
  <c r="M13" i="23"/>
  <c r="T6" i="23"/>
  <c r="S6" i="23"/>
  <c r="R6" i="23"/>
  <c r="M6" i="23"/>
  <c r="T267" i="23"/>
  <c r="S267" i="23"/>
  <c r="R267" i="23"/>
  <c r="M267" i="23"/>
  <c r="T212" i="23"/>
  <c r="S212" i="23"/>
  <c r="R212" i="23"/>
  <c r="M212" i="23"/>
  <c r="T4" i="23"/>
  <c r="S4" i="23"/>
  <c r="R4" i="23"/>
  <c r="M4" i="23"/>
  <c r="O4" i="23" l="1"/>
  <c r="U47" i="29"/>
  <c r="V47" i="29"/>
  <c r="W47" i="29"/>
  <c r="X47" i="29"/>
  <c r="Y47" i="29"/>
  <c r="E77" i="29" s="1"/>
  <c r="E78" i="29"/>
  <c r="F78" i="29" s="1"/>
  <c r="G78" i="29" s="1"/>
  <c r="H78" i="29" s="1"/>
  <c r="I78" i="29" s="1"/>
  <c r="J78" i="29" s="1"/>
  <c r="K78" i="29" s="1"/>
  <c r="E56" i="29"/>
  <c r="AG35" i="3"/>
  <c r="AG63" i="3" s="1"/>
  <c r="R11" i="23"/>
  <c r="M12" i="23"/>
  <c r="O12" i="23" s="1"/>
  <c r="M9" i="23"/>
  <c r="O15" i="23"/>
  <c r="O6" i="23"/>
  <c r="O7" i="23"/>
  <c r="M11" i="23"/>
  <c r="O267" i="23"/>
  <c r="O14" i="23"/>
  <c r="O13" i="23"/>
  <c r="O212" i="23"/>
  <c r="O8" i="23"/>
  <c r="L78" i="29" l="1"/>
  <c r="F77" i="29"/>
  <c r="E80" i="29"/>
  <c r="E82" i="29" s="1"/>
  <c r="AH35" i="3"/>
  <c r="AH63" i="3" s="1"/>
  <c r="O9" i="23"/>
  <c r="O11" i="23"/>
  <c r="O21" i="33" l="1"/>
  <c r="G77" i="29"/>
  <c r="F80" i="29"/>
  <c r="P21" i="33"/>
  <c r="M78" i="29"/>
  <c r="AI35" i="3"/>
  <c r="AI63" i="3" s="1"/>
  <c r="P23" i="33" l="1"/>
  <c r="O23" i="33"/>
  <c r="Q21" i="33"/>
  <c r="N78" i="29"/>
  <c r="O78" i="29" s="1"/>
  <c r="P78" i="29" s="1"/>
  <c r="F82" i="29"/>
  <c r="I28" i="36"/>
  <c r="I26" i="36"/>
  <c r="H77" i="29"/>
  <c r="G80" i="29"/>
  <c r="AJ35" i="3"/>
  <c r="AJ63" i="3" s="1"/>
  <c r="Q23" i="33" l="1"/>
  <c r="I77" i="29"/>
  <c r="H80" i="29"/>
  <c r="G82" i="29"/>
  <c r="J28" i="36"/>
  <c r="J26" i="36"/>
  <c r="AK35" i="3"/>
  <c r="AK63" i="3" s="1"/>
  <c r="K28" i="36" l="1"/>
  <c r="H82" i="29"/>
  <c r="K26" i="36"/>
  <c r="I80" i="29"/>
  <c r="J77" i="29"/>
  <c r="AL35" i="3"/>
  <c r="AL63" i="3" s="1"/>
  <c r="K77" i="29" l="1"/>
  <c r="J80" i="29"/>
  <c r="I82" i="29"/>
  <c r="L26" i="36"/>
  <c r="L28" i="36"/>
  <c r="AM35" i="3"/>
  <c r="AM63" i="3" s="1"/>
  <c r="L35" i="33" l="1"/>
  <c r="L38" i="33" s="1"/>
  <c r="J82" i="29"/>
  <c r="M26" i="36"/>
  <c r="M28" i="36"/>
  <c r="M35" i="33"/>
  <c r="M38" i="33" s="1"/>
  <c r="K80" i="29"/>
  <c r="L77" i="29"/>
  <c r="AN35" i="3"/>
  <c r="AN63" i="3" s="1"/>
  <c r="F4" i="19"/>
  <c r="D61" i="19"/>
  <c r="D27" i="19"/>
  <c r="D52" i="19"/>
  <c r="D16" i="19"/>
  <c r="D46" i="19" s="1"/>
  <c r="D44" i="19"/>
  <c r="D83" i="19"/>
  <c r="D81" i="19"/>
  <c r="D74" i="19"/>
  <c r="D31" i="19"/>
  <c r="C74" i="19"/>
  <c r="C63" i="19"/>
  <c r="C77" i="19"/>
  <c r="D77" i="19"/>
  <c r="E77" i="19"/>
  <c r="C18" i="19"/>
  <c r="C22" i="19" s="1"/>
  <c r="C24" i="19" s="1"/>
  <c r="C30" i="19" s="1"/>
  <c r="C32" i="19" s="1"/>
  <c r="C36" i="19" s="1"/>
  <c r="C38" i="19" s="1"/>
  <c r="D37" i="19" s="1"/>
  <c r="C45" i="19"/>
  <c r="C48" i="19" s="1"/>
  <c r="C67" i="19"/>
  <c r="D67" i="19"/>
  <c r="E67" i="19"/>
  <c r="C85" i="19"/>
  <c r="E74" i="19"/>
  <c r="E52" i="19"/>
  <c r="E48" i="19"/>
  <c r="E33" i="19"/>
  <c r="E23" i="19"/>
  <c r="E14" i="19"/>
  <c r="E15" i="19" s="1"/>
  <c r="E18" i="19" s="1"/>
  <c r="F72" i="4"/>
  <c r="M42" i="16"/>
  <c r="N42" i="16"/>
  <c r="G48" i="4"/>
  <c r="D49" i="4"/>
  <c r="E49" i="4"/>
  <c r="F49" i="4"/>
  <c r="G49" i="4"/>
  <c r="H49" i="4"/>
  <c r="I49" i="4"/>
  <c r="J49" i="4"/>
  <c r="K49" i="4"/>
  <c r="L49" i="4"/>
  <c r="M49" i="4"/>
  <c r="N49" i="4"/>
  <c r="C49" i="4"/>
  <c r="N36" i="4"/>
  <c r="N35" i="4"/>
  <c r="N34" i="4"/>
  <c r="M34" i="4"/>
  <c r="N33" i="4"/>
  <c r="M33" i="4"/>
  <c r="N32" i="4"/>
  <c r="M32" i="4"/>
  <c r="L32" i="4"/>
  <c r="N31" i="4"/>
  <c r="M31" i="4"/>
  <c r="L31" i="4"/>
  <c r="N30" i="4"/>
  <c r="M30" i="4"/>
  <c r="L30" i="4"/>
  <c r="K30" i="4"/>
  <c r="N29" i="4"/>
  <c r="M29" i="4"/>
  <c r="L29" i="4"/>
  <c r="K29" i="4"/>
  <c r="N28" i="4"/>
  <c r="M28" i="4"/>
  <c r="L28" i="4"/>
  <c r="K28" i="4"/>
  <c r="J28" i="4"/>
  <c r="M27" i="4"/>
  <c r="L27" i="4"/>
  <c r="K27" i="4"/>
  <c r="J27" i="4"/>
  <c r="M26" i="4"/>
  <c r="L26" i="4"/>
  <c r="K26" i="4"/>
  <c r="J26" i="4"/>
  <c r="I26" i="4"/>
  <c r="L25" i="4"/>
  <c r="K25" i="4"/>
  <c r="J25" i="4"/>
  <c r="I25" i="4"/>
  <c r="L24" i="4"/>
  <c r="K24" i="4"/>
  <c r="J24" i="4"/>
  <c r="I24" i="4"/>
  <c r="H24" i="4"/>
  <c r="K23" i="4"/>
  <c r="J23" i="4"/>
  <c r="I23" i="4"/>
  <c r="H23" i="4"/>
  <c r="K22" i="4"/>
  <c r="J22" i="4"/>
  <c r="I22" i="4"/>
  <c r="H22" i="4"/>
  <c r="G22" i="4"/>
  <c r="J21" i="4"/>
  <c r="I21" i="4"/>
  <c r="H21" i="4"/>
  <c r="G21" i="4"/>
  <c r="J20" i="4"/>
  <c r="I20" i="4"/>
  <c r="H20" i="4"/>
  <c r="G20" i="4"/>
  <c r="F20" i="4"/>
  <c r="I19" i="4"/>
  <c r="H19" i="4"/>
  <c r="G19" i="4"/>
  <c r="F19" i="4"/>
  <c r="I18" i="4"/>
  <c r="H18" i="4"/>
  <c r="G18" i="4"/>
  <c r="F18" i="4"/>
  <c r="E18" i="4"/>
  <c r="H17" i="4"/>
  <c r="G17" i="4"/>
  <c r="F17" i="4"/>
  <c r="E17" i="4"/>
  <c r="H16" i="4"/>
  <c r="G16" i="4"/>
  <c r="F16" i="4"/>
  <c r="E16" i="4"/>
  <c r="D16" i="4"/>
  <c r="G15" i="4"/>
  <c r="F15" i="4"/>
  <c r="E15" i="4"/>
  <c r="D15" i="4"/>
  <c r="B29" i="6"/>
  <c r="B27" i="6"/>
  <c r="K82" i="29" l="1"/>
  <c r="N26" i="36"/>
  <c r="N28" i="36"/>
  <c r="L80" i="29"/>
  <c r="M77" i="29"/>
  <c r="E22" i="19"/>
  <c r="E24" i="19" s="1"/>
  <c r="E30" i="19" s="1"/>
  <c r="H53" i="4"/>
  <c r="F53" i="4"/>
  <c r="G72" i="4"/>
  <c r="I53" i="4"/>
  <c r="N53" i="4"/>
  <c r="K53" i="4"/>
  <c r="D53" i="4"/>
  <c r="M51" i="4"/>
  <c r="C51" i="19"/>
  <c r="C53" i="19" s="1"/>
  <c r="E78" i="19"/>
  <c r="D18" i="19"/>
  <c r="D45" i="19"/>
  <c r="D48" i="19" s="1"/>
  <c r="D78" i="19"/>
  <c r="C78" i="19"/>
  <c r="C88" i="19" s="1"/>
  <c r="E51" i="19"/>
  <c r="E53" i="19" s="1"/>
  <c r="E82" i="19" s="1"/>
  <c r="C68" i="19"/>
  <c r="M53" i="4"/>
  <c r="L53" i="4"/>
  <c r="I55" i="4"/>
  <c r="E53" i="4"/>
  <c r="H5" i="4"/>
  <c r="H71" i="4" s="1"/>
  <c r="C53" i="4"/>
  <c r="H72" i="4"/>
  <c r="I72" i="4"/>
  <c r="K51" i="4"/>
  <c r="D51" i="4"/>
  <c r="F51" i="4"/>
  <c r="H48" i="4"/>
  <c r="J53" i="4"/>
  <c r="G53" i="4"/>
  <c r="E51" i="4"/>
  <c r="L51" i="4"/>
  <c r="I51" i="4"/>
  <c r="H51" i="4"/>
  <c r="G5" i="4"/>
  <c r="N51" i="4"/>
  <c r="E55" i="4"/>
  <c r="G51" i="4"/>
  <c r="G55" i="4"/>
  <c r="J51" i="4"/>
  <c r="K55" i="4"/>
  <c r="C51" i="4"/>
  <c r="H55" i="4"/>
  <c r="J55" i="4"/>
  <c r="C55" i="4"/>
  <c r="D55" i="4"/>
  <c r="N55" i="4"/>
  <c r="M55" i="4"/>
  <c r="I5" i="4"/>
  <c r="I71" i="4" s="1"/>
  <c r="L55" i="4"/>
  <c r="F55" i="4"/>
  <c r="N48" i="4"/>
  <c r="F48" i="4"/>
  <c r="M48" i="4"/>
  <c r="E48" i="4"/>
  <c r="L48" i="4"/>
  <c r="D48" i="4"/>
  <c r="K48" i="4"/>
  <c r="J48" i="4"/>
  <c r="I48" i="4"/>
  <c r="C48" i="4"/>
  <c r="N35" i="33" l="1"/>
  <c r="N38" i="33" s="1"/>
  <c r="N77" i="29"/>
  <c r="M80" i="29"/>
  <c r="O26" i="36"/>
  <c r="L82" i="29"/>
  <c r="O28" i="36"/>
  <c r="D52" i="4"/>
  <c r="N52" i="4"/>
  <c r="F52" i="4"/>
  <c r="L52" i="4"/>
  <c r="E52" i="4"/>
  <c r="J52" i="4"/>
  <c r="M52" i="4"/>
  <c r="H52" i="4"/>
  <c r="I52" i="4"/>
  <c r="K52" i="4"/>
  <c r="C52" i="4"/>
  <c r="D22" i="19"/>
  <c r="D24" i="19" s="1"/>
  <c r="D30" i="19" s="1"/>
  <c r="D32" i="19" s="1"/>
  <c r="D36" i="19" s="1"/>
  <c r="D51" i="19"/>
  <c r="D53" i="19" s="1"/>
  <c r="D82" i="19" s="1"/>
  <c r="E83" i="19" s="1"/>
  <c r="E85" i="19" s="1"/>
  <c r="E88" i="19" s="1"/>
  <c r="E32" i="19"/>
  <c r="E36" i="19" s="1"/>
  <c r="E38" i="19" s="1"/>
  <c r="C91" i="19"/>
  <c r="C92" i="19"/>
  <c r="D50" i="4"/>
  <c r="F50" i="4"/>
  <c r="G52" i="4"/>
  <c r="E57" i="4"/>
  <c r="L57" i="4"/>
  <c r="K50" i="4"/>
  <c r="E50" i="4"/>
  <c r="C50" i="4"/>
  <c r="L50" i="4"/>
  <c r="G71" i="4"/>
  <c r="M50" i="4"/>
  <c r="N50" i="4"/>
  <c r="J50" i="4"/>
  <c r="H50" i="4"/>
  <c r="I50" i="4"/>
  <c r="G50" i="4"/>
  <c r="C54" i="4"/>
  <c r="E54" i="4"/>
  <c r="G54" i="4"/>
  <c r="L54" i="4"/>
  <c r="I54" i="4"/>
  <c r="M54" i="4"/>
  <c r="N54" i="4"/>
  <c r="J54" i="4"/>
  <c r="D54" i="4"/>
  <c r="K54" i="4"/>
  <c r="F54" i="4"/>
  <c r="H54" i="4"/>
  <c r="O35" i="33" l="1"/>
  <c r="O38" i="33" s="1"/>
  <c r="P26" i="36"/>
  <c r="P28" i="36"/>
  <c r="M82" i="29"/>
  <c r="N80" i="29"/>
  <c r="O77" i="29"/>
  <c r="J5" i="4"/>
  <c r="C56" i="4" s="1"/>
  <c r="J72" i="4"/>
  <c r="D57" i="4"/>
  <c r="M57" i="4"/>
  <c r="H57" i="4"/>
  <c r="C57" i="4"/>
  <c r="J57" i="4"/>
  <c r="I57" i="4"/>
  <c r="F57" i="4"/>
  <c r="G57" i="4"/>
  <c r="N57" i="4"/>
  <c r="K57" i="4"/>
  <c r="E60" i="19"/>
  <c r="E63" i="19" s="1"/>
  <c r="E68" i="19" s="1"/>
  <c r="E91" i="19" s="1"/>
  <c r="F37" i="19"/>
  <c r="D38" i="19"/>
  <c r="D85" i="19"/>
  <c r="D88" i="19" s="1"/>
  <c r="N59" i="4"/>
  <c r="I59" i="4"/>
  <c r="H56" i="4"/>
  <c r="P41" i="6"/>
  <c r="V41" i="6"/>
  <c r="W41" i="6"/>
  <c r="U38" i="6"/>
  <c r="U41" i="6" s="1"/>
  <c r="T38" i="6"/>
  <c r="T41" i="6" s="1"/>
  <c r="S38" i="6"/>
  <c r="S41" i="6" s="1"/>
  <c r="Q38" i="6"/>
  <c r="Q41" i="6" s="1"/>
  <c r="R38" i="6"/>
  <c r="R41" i="6" s="1"/>
  <c r="P38" i="6"/>
  <c r="K34" i="6"/>
  <c r="L34" i="6"/>
  <c r="F34" i="6"/>
  <c r="G34" i="6"/>
  <c r="W29" i="6"/>
  <c r="W34" i="6" s="1"/>
  <c r="X34" i="6"/>
  <c r="Y34" i="6"/>
  <c r="Z34" i="6"/>
  <c r="AA34" i="6"/>
  <c r="AB34" i="6"/>
  <c r="AC34" i="6"/>
  <c r="N29" i="6"/>
  <c r="O29" i="6"/>
  <c r="P29" i="6"/>
  <c r="Q29" i="6"/>
  <c r="R29" i="6"/>
  <c r="S29" i="6"/>
  <c r="T29" i="6"/>
  <c r="T34" i="6" s="1"/>
  <c r="U29" i="6"/>
  <c r="U34" i="6" s="1"/>
  <c r="V29" i="6"/>
  <c r="V34" i="6" s="1"/>
  <c r="M29" i="6"/>
  <c r="O27" i="6"/>
  <c r="P27" i="6"/>
  <c r="Q27" i="6"/>
  <c r="R27" i="6"/>
  <c r="S27" i="6"/>
  <c r="N27" i="6"/>
  <c r="M27" i="6"/>
  <c r="A29" i="6"/>
  <c r="A27" i="6"/>
  <c r="P35" i="33" l="1"/>
  <c r="P38" i="33" s="1"/>
  <c r="O80" i="29"/>
  <c r="P77" i="29"/>
  <c r="P80" i="29" s="1"/>
  <c r="Q28" i="36"/>
  <c r="Q26" i="36"/>
  <c r="N82" i="29"/>
  <c r="N56" i="4"/>
  <c r="I56" i="4"/>
  <c r="F56" i="4"/>
  <c r="M56" i="4"/>
  <c r="D56" i="4"/>
  <c r="L56" i="4"/>
  <c r="J71" i="4"/>
  <c r="J56" i="4"/>
  <c r="E56" i="4"/>
  <c r="K56" i="4"/>
  <c r="G56" i="4"/>
  <c r="E59" i="4"/>
  <c r="L59" i="4"/>
  <c r="D59" i="4"/>
  <c r="H59" i="4"/>
  <c r="C59" i="4"/>
  <c r="K5" i="4"/>
  <c r="K72" i="4"/>
  <c r="F59" i="4"/>
  <c r="J59" i="4"/>
  <c r="G59" i="4"/>
  <c r="M59" i="4"/>
  <c r="K59" i="4"/>
  <c r="L5" i="4"/>
  <c r="E92" i="19"/>
  <c r="M41" i="16"/>
  <c r="M43" i="16" s="1"/>
  <c r="N41" i="16"/>
  <c r="N43" i="16" s="1"/>
  <c r="Q34" i="6"/>
  <c r="D60" i="19"/>
  <c r="D63" i="19" s="1"/>
  <c r="D68" i="19" s="1"/>
  <c r="D91" i="19" s="1"/>
  <c r="J61" i="4"/>
  <c r="H61" i="4"/>
  <c r="G61" i="4"/>
  <c r="C61" i="4"/>
  <c r="L61" i="4"/>
  <c r="K61" i="4"/>
  <c r="D61" i="4"/>
  <c r="I61" i="4"/>
  <c r="R34" i="6"/>
  <c r="P34" i="6"/>
  <c r="N34" i="6"/>
  <c r="M34" i="6"/>
  <c r="O34" i="6"/>
  <c r="S34" i="6"/>
  <c r="Q35" i="33" l="1"/>
  <c r="Q38" i="33" s="1"/>
  <c r="S28" i="36"/>
  <c r="S26" i="36"/>
  <c r="P82" i="29"/>
  <c r="R26" i="36"/>
  <c r="O82" i="29"/>
  <c r="R28" i="36"/>
  <c r="L58" i="4"/>
  <c r="P9" i="36"/>
  <c r="D60" i="4"/>
  <c r="L74" i="4"/>
  <c r="D58" i="4"/>
  <c r="I58" i="4"/>
  <c r="K71" i="4"/>
  <c r="K58" i="4"/>
  <c r="J58" i="4"/>
  <c r="H58" i="4"/>
  <c r="E58" i="4"/>
  <c r="F58" i="4"/>
  <c r="G58" i="4"/>
  <c r="L72" i="4"/>
  <c r="E61" i="4"/>
  <c r="C58" i="4"/>
  <c r="M58" i="4"/>
  <c r="F61" i="4"/>
  <c r="N58" i="4"/>
  <c r="N61" i="4"/>
  <c r="M61" i="4"/>
  <c r="M74" i="4" s="1"/>
  <c r="K60" i="4"/>
  <c r="D92" i="19"/>
  <c r="N60" i="4"/>
  <c r="H60" i="4"/>
  <c r="M60" i="4"/>
  <c r="L71" i="4"/>
  <c r="J60" i="4"/>
  <c r="I60" i="4"/>
  <c r="G60" i="4"/>
  <c r="E60" i="4"/>
  <c r="L60" i="4"/>
  <c r="C60" i="4"/>
  <c r="F60" i="4"/>
  <c r="R35" i="33" l="1"/>
  <c r="G27" i="19"/>
  <c r="T35" i="33"/>
  <c r="T38" i="33" s="1"/>
  <c r="L75" i="4"/>
  <c r="Q45" i="36"/>
  <c r="Q49" i="36" s="1"/>
  <c r="Q13" i="36"/>
  <c r="P45" i="36"/>
  <c r="P49" i="36" s="1"/>
  <c r="P13" i="36"/>
  <c r="K75" i="4"/>
  <c r="K76" i="4" s="1"/>
  <c r="L76" i="4"/>
  <c r="M72" i="4"/>
  <c r="D63" i="4"/>
  <c r="C63" i="4"/>
  <c r="N63" i="4"/>
  <c r="I63" i="4"/>
  <c r="E63" i="4"/>
  <c r="M63" i="4"/>
  <c r="K63" i="4"/>
  <c r="J63" i="4"/>
  <c r="M5" i="4"/>
  <c r="L63" i="4"/>
  <c r="H63" i="4"/>
  <c r="F63" i="4"/>
  <c r="G63" i="4"/>
  <c r="R38" i="33" l="1"/>
  <c r="R45" i="36"/>
  <c r="R49" i="36" s="1"/>
  <c r="R13" i="36"/>
  <c r="N74" i="4"/>
  <c r="N72" i="4"/>
  <c r="N65" i="4"/>
  <c r="N70" i="4" s="1"/>
  <c r="E65" i="4"/>
  <c r="E70" i="4" s="1"/>
  <c r="L65" i="4"/>
  <c r="L70" i="4" s="1"/>
  <c r="J65" i="4"/>
  <c r="J70" i="4" s="1"/>
  <c r="K65" i="4"/>
  <c r="K70" i="4" s="1"/>
  <c r="I65" i="4"/>
  <c r="I70" i="4" s="1"/>
  <c r="D65" i="4"/>
  <c r="D70" i="4" s="1"/>
  <c r="R86" i="36" s="1"/>
  <c r="F65" i="4"/>
  <c r="F70" i="4" s="1"/>
  <c r="M65" i="4"/>
  <c r="M70" i="4" s="1"/>
  <c r="G65" i="4"/>
  <c r="G70" i="4" s="1"/>
  <c r="C65" i="4"/>
  <c r="C70" i="4" s="1"/>
  <c r="N5" i="4"/>
  <c r="S45" i="36" s="1"/>
  <c r="H65" i="4"/>
  <c r="H70" i="4" s="1"/>
  <c r="H62" i="4"/>
  <c r="I62" i="4"/>
  <c r="M62" i="4"/>
  <c r="N62" i="4"/>
  <c r="C62" i="4"/>
  <c r="L62" i="4"/>
  <c r="M71" i="4"/>
  <c r="J62" i="4"/>
  <c r="D62" i="4"/>
  <c r="E62" i="4"/>
  <c r="K62" i="4"/>
  <c r="G62" i="4"/>
  <c r="F62" i="4"/>
  <c r="M75" i="4" l="1"/>
  <c r="M76" i="4" s="1"/>
  <c r="I14" i="19"/>
  <c r="S86" i="36"/>
  <c r="F64" i="4"/>
  <c r="F69" i="4" s="1"/>
  <c r="F73" i="4" s="1"/>
  <c r="K29" i="36" s="1"/>
  <c r="M64" i="4"/>
  <c r="M69" i="4" s="1"/>
  <c r="M73" i="4" s="1"/>
  <c r="E64" i="4"/>
  <c r="E69" i="4" s="1"/>
  <c r="E73" i="4" s="1"/>
  <c r="J29" i="36" s="1"/>
  <c r="H64" i="4"/>
  <c r="H69" i="4" s="1"/>
  <c r="H73" i="4" s="1"/>
  <c r="M29" i="36" s="1"/>
  <c r="K64" i="4"/>
  <c r="K69" i="4" s="1"/>
  <c r="K73" i="4" s="1"/>
  <c r="P29" i="36" s="1"/>
  <c r="C64" i="4"/>
  <c r="C69" i="4" s="1"/>
  <c r="D64" i="4"/>
  <c r="D69" i="4" s="1"/>
  <c r="L64" i="4"/>
  <c r="L69" i="4" s="1"/>
  <c r="L73" i="4" s="1"/>
  <c r="Q29" i="36" s="1"/>
  <c r="J64" i="4"/>
  <c r="J69" i="4" s="1"/>
  <c r="J73" i="4" s="1"/>
  <c r="O29" i="36" s="1"/>
  <c r="N71" i="4"/>
  <c r="G64" i="4"/>
  <c r="G69" i="4" s="1"/>
  <c r="G73" i="4" s="1"/>
  <c r="L29" i="36" s="1"/>
  <c r="I64" i="4"/>
  <c r="N64" i="4"/>
  <c r="N69" i="4" s="1"/>
  <c r="N73" i="4" s="1"/>
  <c r="M71" i="36" l="1"/>
  <c r="R71" i="36" s="1"/>
  <c r="S71" i="36" s="1"/>
  <c r="H44" i="19"/>
  <c r="K44" i="19" s="1"/>
  <c r="R29" i="36"/>
  <c r="I69" i="4"/>
  <c r="I73" i="4" s="1"/>
  <c r="N29" i="36" s="1"/>
  <c r="N75" i="4"/>
  <c r="N76" i="4" s="1"/>
  <c r="S29" i="36" s="1"/>
  <c r="C73" i="4" l="1"/>
  <c r="D73" i="4"/>
  <c r="I29" i="36" s="1"/>
  <c r="H27" i="19" s="1"/>
  <c r="I31" i="36" l="1"/>
  <c r="I27" i="19"/>
  <c r="G4" i="19" l="1"/>
  <c r="H4" i="19"/>
  <c r="B6" i="6" l="1"/>
  <c r="B7" i="6"/>
  <c r="B14" i="6"/>
  <c r="K38" i="6" s="1"/>
  <c r="K41" i="6" s="1"/>
  <c r="B15" i="6"/>
  <c r="L38" i="6" s="1"/>
  <c r="L41" i="6" s="1"/>
  <c r="B16" i="6"/>
  <c r="M38" i="6" s="1"/>
  <c r="M41" i="6" s="1"/>
  <c r="B17" i="6"/>
  <c r="B18" i="6"/>
  <c r="B19" i="6"/>
  <c r="B20" i="6"/>
  <c r="O38" i="6" s="1"/>
  <c r="O41" i="6" s="1"/>
  <c r="B5" i="6"/>
  <c r="B24" i="6"/>
  <c r="N38" i="6" l="1"/>
  <c r="N41" i="6" s="1"/>
  <c r="I12" i="6"/>
  <c r="H11" i="6"/>
  <c r="J9" i="6" l="1"/>
  <c r="J34" i="6" s="1"/>
  <c r="D9" i="6" l="1"/>
  <c r="D13" i="6"/>
  <c r="B13" i="6" s="1"/>
  <c r="D8" i="6"/>
  <c r="H12" i="6"/>
  <c r="H34" i="6" s="1"/>
  <c r="I11" i="6"/>
  <c r="B11" i="6" s="1"/>
  <c r="I10" i="6"/>
  <c r="B8" i="6" l="1"/>
  <c r="D34" i="6"/>
  <c r="B12" i="6"/>
  <c r="I9" i="6"/>
  <c r="I34" i="6" s="1"/>
  <c r="B9" i="6" l="1"/>
  <c r="F71" i="4" l="1"/>
  <c r="G5" i="19" l="1"/>
  <c r="H5" i="19" l="1"/>
  <c r="F48" i="19" l="1"/>
  <c r="F51" i="19" s="1"/>
  <c r="F53" i="19" s="1"/>
  <c r="F23" i="19"/>
  <c r="F24" i="19" l="1"/>
  <c r="F30" i="19" s="1"/>
  <c r="F32" i="19" l="1"/>
  <c r="F36" i="19" l="1"/>
  <c r="F38" i="19" s="1"/>
  <c r="H37" i="19" s="1"/>
  <c r="G37" i="19" l="1"/>
  <c r="I37" i="19" s="1"/>
  <c r="C14" i="24"/>
  <c r="P52" i="3"/>
  <c r="P66" i="3" s="1"/>
  <c r="P70" i="3" s="1"/>
  <c r="S10" i="36" s="1"/>
  <c r="V53" i="3"/>
  <c r="AI53" i="3" s="1"/>
  <c r="H12" i="19" l="1"/>
  <c r="H20" i="19" s="1"/>
  <c r="S13" i="36"/>
  <c r="S46" i="36"/>
  <c r="S49" i="36" s="1"/>
  <c r="Q52" i="3"/>
  <c r="P60" i="3"/>
  <c r="H43" i="19" l="1"/>
  <c r="I20" i="19"/>
  <c r="H15" i="19"/>
  <c r="I15" i="19" s="1"/>
  <c r="I12" i="19"/>
  <c r="Q66" i="3"/>
  <c r="R52" i="3"/>
  <c r="Q60" i="3"/>
  <c r="H45" i="19" l="1"/>
  <c r="K45" i="19" s="1"/>
  <c r="M45" i="19" s="1"/>
  <c r="K43" i="19"/>
  <c r="M43" i="19" s="1"/>
  <c r="R66" i="3"/>
  <c r="S52" i="3"/>
  <c r="R60" i="3"/>
  <c r="S60" i="3"/>
  <c r="S66" i="3" l="1"/>
  <c r="T52" i="3"/>
  <c r="T66" i="3" s="1"/>
  <c r="T60" i="3"/>
  <c r="U52" i="3" l="1"/>
  <c r="U66" i="3" s="1"/>
  <c r="U60" i="3"/>
  <c r="V52" i="3"/>
  <c r="V66" i="3" s="1"/>
  <c r="V60" i="3" l="1"/>
  <c r="W52" i="3"/>
  <c r="W66" i="3" s="1"/>
  <c r="W60" i="3" l="1"/>
  <c r="X52" i="3"/>
  <c r="X66" i="3" l="1"/>
  <c r="X60" i="3"/>
  <c r="Y52" i="3"/>
  <c r="Y60" i="3" l="1"/>
  <c r="Z52" i="3"/>
  <c r="Z60" i="3" l="1"/>
  <c r="AA52" i="3"/>
  <c r="AA60" i="3" l="1"/>
  <c r="AB52" i="3"/>
  <c r="AB60" i="3" l="1"/>
  <c r="AC52" i="3"/>
  <c r="AD52" i="3" l="1"/>
  <c r="AC60" i="3"/>
  <c r="AE52" i="3" l="1"/>
  <c r="AD60" i="3"/>
  <c r="AF52" i="3" l="1"/>
  <c r="AE60" i="3"/>
  <c r="AG52" i="3" l="1"/>
  <c r="AF60" i="3"/>
  <c r="AH52" i="3" l="1"/>
  <c r="AG60" i="3"/>
  <c r="AI52" i="3" l="1"/>
  <c r="AH60" i="3"/>
  <c r="AJ52" i="3" l="1"/>
  <c r="AI60" i="3"/>
  <c r="AK52" i="3" l="1"/>
  <c r="AJ60" i="3"/>
  <c r="AL52" i="3" l="1"/>
  <c r="AK60" i="3"/>
  <c r="AM52" i="3" l="1"/>
  <c r="AL60" i="3"/>
  <c r="AN52" i="3" l="1"/>
  <c r="AM60" i="3"/>
  <c r="H121" i="25"/>
  <c r="H109" i="25" s="1"/>
  <c r="H7" i="25" l="1"/>
  <c r="AN60" i="3"/>
  <c r="J26" i="33" l="1"/>
  <c r="H5" i="25"/>
  <c r="G3" i="25" s="1"/>
  <c r="G25" i="19"/>
  <c r="J25" i="36"/>
  <c r="J32" i="33" l="1"/>
  <c r="V32" i="33" s="1"/>
  <c r="V26" i="33"/>
  <c r="H13" i="37"/>
  <c r="H25" i="19"/>
  <c r="J51" i="33" l="1"/>
  <c r="J55" i="33" s="1"/>
  <c r="J59" i="33" s="1"/>
  <c r="J21" i="33"/>
  <c r="G46" i="19"/>
  <c r="I25" i="19"/>
  <c r="J23" i="33" l="1"/>
  <c r="G18" i="19"/>
  <c r="G19" i="19" s="1"/>
  <c r="G21" i="19" s="1"/>
  <c r="J35" i="33" l="1"/>
  <c r="V35" i="33" s="1"/>
  <c r="V38" i="33" s="1"/>
  <c r="V40" i="33" s="1"/>
  <c r="G48" i="19"/>
  <c r="G51" i="19" s="1"/>
  <c r="J46" i="19"/>
  <c r="G22" i="19"/>
  <c r="J38" i="33" l="1"/>
  <c r="J48" i="19"/>
  <c r="G52" i="19"/>
  <c r="J52" i="19" s="1"/>
  <c r="J51" i="19" l="1"/>
  <c r="G53" i="19"/>
  <c r="G55" i="19" s="1"/>
  <c r="G56" i="19" s="1"/>
  <c r="J53" i="19" l="1"/>
  <c r="G24" i="19"/>
  <c r="G30" i="19" s="1"/>
  <c r="G32" i="19" l="1"/>
  <c r="G36" i="19" s="1"/>
  <c r="G38" i="19" s="1"/>
  <c r="F99" i="31"/>
  <c r="E24" i="31"/>
  <c r="E96" i="31" s="1"/>
  <c r="E98" i="31" s="1"/>
  <c r="H33" i="36" s="1"/>
  <c r="G35" i="31" l="1"/>
  <c r="H38" i="31" l="1"/>
  <c r="H37" i="31"/>
  <c r="G36" i="31"/>
  <c r="G96" i="31" s="1"/>
  <c r="I44" i="31" l="1"/>
  <c r="I43" i="31" s="1"/>
  <c r="H42" i="31"/>
  <c r="H96" i="31" s="1"/>
  <c r="J50" i="31" l="1"/>
  <c r="J49" i="31" s="1"/>
  <c r="I48" i="31"/>
  <c r="I96" i="31" s="1"/>
  <c r="K56" i="31" l="1"/>
  <c r="K55" i="31" s="1"/>
  <c r="J54" i="31"/>
  <c r="J96" i="31" s="1"/>
  <c r="L62" i="31" l="1"/>
  <c r="L61" i="31" s="1"/>
  <c r="K60" i="31"/>
  <c r="K96" i="31" s="1"/>
  <c r="L66" i="31" l="1"/>
  <c r="L96" i="31" s="1"/>
  <c r="N74" i="31" l="1"/>
  <c r="N73" i="31"/>
  <c r="N71" i="31" s="1"/>
  <c r="O74" i="31" s="1"/>
  <c r="O73" i="31" s="1"/>
  <c r="O71" i="31" s="1"/>
  <c r="M72" i="31"/>
  <c r="M96" i="31" s="1"/>
  <c r="K53" i="31"/>
  <c r="H35" i="31"/>
  <c r="Q89" i="31"/>
  <c r="R92" i="31" s="1"/>
  <c r="R91" i="31" s="1"/>
  <c r="R89" i="31" s="1"/>
  <c r="S92" i="31" s="1"/>
  <c r="S91" i="31" s="1"/>
  <c r="S89" i="31" s="1"/>
  <c r="J47" i="31"/>
  <c r="G29" i="31"/>
  <c r="I41" i="31"/>
  <c r="J44" i="31" s="1"/>
  <c r="J43" i="31" s="1"/>
  <c r="J41" i="31" s="1"/>
  <c r="K44" i="31" s="1"/>
  <c r="K43" i="31" s="1"/>
  <c r="K41" i="31" s="1"/>
  <c r="L44" i="31" s="1"/>
  <c r="L43" i="31" s="1"/>
  <c r="L41" i="31" s="1"/>
  <c r="M44" i="31" s="1"/>
  <c r="M43" i="31" s="1"/>
  <c r="M41" i="31" s="1"/>
  <c r="N44" i="31" s="1"/>
  <c r="N43" i="31" s="1"/>
  <c r="N41" i="31" s="1"/>
  <c r="O44" i="31" s="1"/>
  <c r="O43" i="31" s="1"/>
  <c r="O41" i="31" s="1"/>
  <c r="L59" i="31"/>
  <c r="H32" i="31" l="1"/>
  <c r="H31" i="31"/>
  <c r="H29" i="31" s="1"/>
  <c r="M62" i="31"/>
  <c r="M61" i="31"/>
  <c r="M59" i="31" s="1"/>
  <c r="K50" i="31"/>
  <c r="K49" i="31" s="1"/>
  <c r="K47" i="31" s="1"/>
  <c r="L50" i="31" s="1"/>
  <c r="L49" i="31" s="1"/>
  <c r="L47" i="31" s="1"/>
  <c r="L56" i="31"/>
  <c r="L55" i="31" s="1"/>
  <c r="L53" i="31" s="1"/>
  <c r="M56" i="31" s="1"/>
  <c r="M55" i="31" s="1"/>
  <c r="M53" i="31" s="1"/>
  <c r="N56" i="31" s="1"/>
  <c r="N55" i="31" s="1"/>
  <c r="N53" i="31" s="1"/>
  <c r="T92" i="31"/>
  <c r="T91" i="31" s="1"/>
  <c r="T89" i="31" s="1"/>
  <c r="U92" i="31" s="1"/>
  <c r="U91" i="31" s="1"/>
  <c r="U89" i="31" s="1"/>
  <c r="V92" i="31" s="1"/>
  <c r="V91" i="31" s="1"/>
  <c r="V89" i="31" s="1"/>
  <c r="P44" i="31"/>
  <c r="P43" i="31" s="1"/>
  <c r="P41" i="31" s="1"/>
  <c r="I38" i="31"/>
  <c r="I37" i="31" s="1"/>
  <c r="I35" i="31" s="1"/>
  <c r="J38" i="31" s="1"/>
  <c r="J37" i="31" s="1"/>
  <c r="J35" i="31" s="1"/>
  <c r="P74" i="31"/>
  <c r="P73" i="31" s="1"/>
  <c r="P71" i="31" s="1"/>
  <c r="F97" i="31"/>
  <c r="F98" i="31" s="1"/>
  <c r="I33" i="36" s="1"/>
  <c r="I34" i="36" s="1"/>
  <c r="I37" i="36" s="1"/>
  <c r="I39" i="36" s="1"/>
  <c r="G17" i="31" s="1"/>
  <c r="F23" i="31"/>
  <c r="I32" i="31" l="1"/>
  <c r="I31" i="31"/>
  <c r="I29" i="31" s="1"/>
  <c r="J32" i="31" s="1"/>
  <c r="J31" i="31" s="1"/>
  <c r="J29" i="31" s="1"/>
  <c r="K32" i="31" s="1"/>
  <c r="K31" i="31" s="1"/>
  <c r="K29" i="31" s="1"/>
  <c r="L32" i="31" s="1"/>
  <c r="L31" i="31" s="1"/>
  <c r="L29" i="31" s="1"/>
  <c r="M32" i="31" s="1"/>
  <c r="M31" i="31" s="1"/>
  <c r="M29" i="31" s="1"/>
  <c r="N32" i="31" s="1"/>
  <c r="N31" i="31" s="1"/>
  <c r="N29" i="31" s="1"/>
  <c r="Q44" i="31"/>
  <c r="Q43" i="31" s="1"/>
  <c r="Q41" i="31" s="1"/>
  <c r="K38" i="31"/>
  <c r="K37" i="31" s="1"/>
  <c r="K35" i="31" s="1"/>
  <c r="L38" i="31" s="1"/>
  <c r="L37" i="31" s="1"/>
  <c r="L35" i="31" s="1"/>
  <c r="M38" i="31" s="1"/>
  <c r="M37" i="31" s="1"/>
  <c r="M35" i="31" s="1"/>
  <c r="N38" i="31" s="1"/>
  <c r="N37" i="31" s="1"/>
  <c r="N35" i="31" s="1"/>
  <c r="O38" i="31" s="1"/>
  <c r="O37" i="31" s="1"/>
  <c r="O35" i="31" s="1"/>
  <c r="M50" i="31"/>
  <c r="M49" i="31"/>
  <c r="M47" i="31" s="1"/>
  <c r="N50" i="31" s="1"/>
  <c r="N49" i="31" s="1"/>
  <c r="N47" i="31" s="1"/>
  <c r="O56" i="31"/>
  <c r="O55" i="31" s="1"/>
  <c r="O53" i="31" s="1"/>
  <c r="P56" i="31" s="1"/>
  <c r="P55" i="31" s="1"/>
  <c r="P53" i="31" s="1"/>
  <c r="Q74" i="31"/>
  <c r="Q73" i="31"/>
  <c r="Q71" i="31" s="1"/>
  <c r="N62" i="31"/>
  <c r="N61" i="31" s="1"/>
  <c r="N59" i="31" s="1"/>
  <c r="W92" i="31"/>
  <c r="W91" i="31" s="1"/>
  <c r="W89" i="31" s="1"/>
  <c r="J38" i="36"/>
  <c r="I67" i="36"/>
  <c r="I74" i="36" s="1"/>
  <c r="I79" i="36" s="1"/>
  <c r="G99" i="31"/>
  <c r="J16" i="36" s="1"/>
  <c r="J52" i="36" l="1"/>
  <c r="J54" i="36" s="1"/>
  <c r="J58" i="36" s="1"/>
  <c r="J18" i="36"/>
  <c r="J22" i="36" s="1"/>
  <c r="J24" i="36" s="1"/>
  <c r="J31" i="36" s="1"/>
  <c r="O32" i="31"/>
  <c r="O31" i="31" s="1"/>
  <c r="O29" i="31" s="1"/>
  <c r="Q56" i="31"/>
  <c r="Q55" i="31"/>
  <c r="Q53" i="31" s="1"/>
  <c r="O62" i="31"/>
  <c r="O61" i="31"/>
  <c r="O59" i="31" s="1"/>
  <c r="R44" i="31"/>
  <c r="R43" i="31"/>
  <c r="R41" i="31" s="1"/>
  <c r="R74" i="31"/>
  <c r="R73" i="31"/>
  <c r="R71" i="31" s="1"/>
  <c r="S74" i="31" s="1"/>
  <c r="S73" i="31" s="1"/>
  <c r="S71" i="31" s="1"/>
  <c r="T74" i="31" s="1"/>
  <c r="T73" i="31" s="1"/>
  <c r="T71" i="31" s="1"/>
  <c r="U74" i="31" s="1"/>
  <c r="U73" i="31" s="1"/>
  <c r="U71" i="31" s="1"/>
  <c r="V74" i="31" s="1"/>
  <c r="V73" i="31" s="1"/>
  <c r="V71" i="31" s="1"/>
  <c r="W74" i="31" s="1"/>
  <c r="W73" i="31" s="1"/>
  <c r="W71" i="31" s="1"/>
  <c r="O50" i="31"/>
  <c r="O49" i="31" s="1"/>
  <c r="O47" i="31" s="1"/>
  <c r="P50" i="31" s="1"/>
  <c r="P49" i="31" s="1"/>
  <c r="P47" i="31" s="1"/>
  <c r="X92" i="31"/>
  <c r="X91" i="31" s="1"/>
  <c r="X89" i="31" s="1"/>
  <c r="P38" i="31"/>
  <c r="P37" i="31"/>
  <c r="P35" i="31" s="1"/>
  <c r="I106" i="36"/>
  <c r="I105" i="36"/>
  <c r="I80" i="36"/>
  <c r="G97" i="31"/>
  <c r="G98" i="31" s="1"/>
  <c r="J33" i="36" s="1"/>
  <c r="J34" i="36" l="1"/>
  <c r="J37" i="36" s="1"/>
  <c r="J39" i="36" s="1"/>
  <c r="H17" i="31" s="1"/>
  <c r="P32" i="31"/>
  <c r="P31" i="31" s="1"/>
  <c r="P29" i="31" s="1"/>
  <c r="Y92" i="31"/>
  <c r="Y91" i="31"/>
  <c r="Y89" i="31" s="1"/>
  <c r="X74" i="31"/>
  <c r="X73" i="31" s="1"/>
  <c r="X71" i="31" s="1"/>
  <c r="Q50" i="31"/>
  <c r="Q49" i="31" s="1"/>
  <c r="Q47" i="31" s="1"/>
  <c r="S44" i="31"/>
  <c r="S43" i="31" s="1"/>
  <c r="S41" i="31" s="1"/>
  <c r="Q38" i="31"/>
  <c r="Q37" i="31"/>
  <c r="Q35" i="31" s="1"/>
  <c r="P62" i="31"/>
  <c r="P61" i="31" s="1"/>
  <c r="P59" i="31" s="1"/>
  <c r="R56" i="31"/>
  <c r="R55" i="31" s="1"/>
  <c r="R53" i="31" s="1"/>
  <c r="S56" i="31" s="1"/>
  <c r="S55" i="31" s="1"/>
  <c r="S53" i="31" s="1"/>
  <c r="T56" i="31" s="1"/>
  <c r="T55" i="31" s="1"/>
  <c r="T53" i="31" s="1"/>
  <c r="H99" i="31"/>
  <c r="K16" i="36" s="1"/>
  <c r="K38" i="36" l="1"/>
  <c r="J67" i="36"/>
  <c r="J74" i="36" s="1"/>
  <c r="J79" i="36" s="1"/>
  <c r="J80" i="36" s="1"/>
  <c r="Q32" i="31"/>
  <c r="Q31" i="31"/>
  <c r="Q29" i="31" s="1"/>
  <c r="K52" i="36"/>
  <c r="K54" i="36" s="1"/>
  <c r="K58" i="36" s="1"/>
  <c r="K18" i="36"/>
  <c r="K22" i="36" s="1"/>
  <c r="K24" i="36" s="1"/>
  <c r="K31" i="36" s="1"/>
  <c r="U56" i="31"/>
  <c r="U55" i="31"/>
  <c r="U53" i="31" s="1"/>
  <c r="R50" i="31"/>
  <c r="R49" i="31" s="1"/>
  <c r="R47" i="31" s="1"/>
  <c r="Q62" i="31"/>
  <c r="Q61" i="31"/>
  <c r="Q59" i="31" s="1"/>
  <c r="R37" i="31"/>
  <c r="R35" i="31" s="1"/>
  <c r="R38" i="31"/>
  <c r="Z92" i="31"/>
  <c r="Z91" i="31" s="1"/>
  <c r="Z89" i="31" s="1"/>
  <c r="H97" i="31"/>
  <c r="H98" i="31" s="1"/>
  <c r="K33" i="36" s="1"/>
  <c r="J106" i="36" l="1"/>
  <c r="J105" i="36"/>
  <c r="K34" i="36"/>
  <c r="K37" i="36" s="1"/>
  <c r="K39" i="36" s="1"/>
  <c r="I17" i="31" s="1"/>
  <c r="AA92" i="31"/>
  <c r="AA91" i="31" s="1"/>
  <c r="AA89" i="31" s="1"/>
  <c r="S50" i="31"/>
  <c r="S49" i="31" s="1"/>
  <c r="S47" i="31" s="1"/>
  <c r="R62" i="31"/>
  <c r="R61" i="31"/>
  <c r="R59" i="31" s="1"/>
  <c r="S62" i="31" s="1"/>
  <c r="S61" i="31" s="1"/>
  <c r="S59" i="31" s="1"/>
  <c r="T62" i="31" s="1"/>
  <c r="T61" i="31" s="1"/>
  <c r="T59" i="31" s="1"/>
  <c r="U62" i="31" s="1"/>
  <c r="U61" i="31" s="1"/>
  <c r="U59" i="31" s="1"/>
  <c r="I99" i="31"/>
  <c r="L16" i="36" s="1"/>
  <c r="K67" i="36" l="1"/>
  <c r="K74" i="36" s="1"/>
  <c r="K79" i="36" s="1"/>
  <c r="K105" i="36" s="1"/>
  <c r="L38" i="36"/>
  <c r="L52" i="36"/>
  <c r="L54" i="36" s="1"/>
  <c r="L58" i="36" s="1"/>
  <c r="L18" i="36"/>
  <c r="L22" i="36" s="1"/>
  <c r="L24" i="36" s="1"/>
  <c r="L31" i="36" s="1"/>
  <c r="T50" i="31"/>
  <c r="T49" i="31"/>
  <c r="T47" i="31" s="1"/>
  <c r="V62" i="31"/>
  <c r="V61" i="31" s="1"/>
  <c r="V59" i="31" s="1"/>
  <c r="I97" i="31"/>
  <c r="I98" i="31" s="1"/>
  <c r="L33" i="36" s="1"/>
  <c r="K106" i="36" l="1"/>
  <c r="K80" i="36"/>
  <c r="L34" i="36"/>
  <c r="L37" i="36" s="1"/>
  <c r="L39" i="36" s="1"/>
  <c r="J17" i="31" s="1"/>
  <c r="J99" i="31"/>
  <c r="M16" i="36" s="1"/>
  <c r="L67" i="36" l="1"/>
  <c r="L74" i="36" s="1"/>
  <c r="L79" i="36" s="1"/>
  <c r="L80" i="36" s="1"/>
  <c r="M38" i="36"/>
  <c r="M52" i="36"/>
  <c r="M54" i="36" s="1"/>
  <c r="M58" i="36" s="1"/>
  <c r="M18" i="36"/>
  <c r="M22" i="36" s="1"/>
  <c r="M24" i="36" s="1"/>
  <c r="M31" i="36" s="1"/>
  <c r="J97" i="31"/>
  <c r="J98" i="31" s="1"/>
  <c r="M33" i="36" s="1"/>
  <c r="L106" i="36" l="1"/>
  <c r="L105" i="36" s="1"/>
  <c r="M34" i="36"/>
  <c r="M37" i="36" s="1"/>
  <c r="M39" i="36" s="1"/>
  <c r="K17" i="31" s="1"/>
  <c r="K99" i="31"/>
  <c r="N16" i="36" s="1"/>
  <c r="K97" i="31"/>
  <c r="K98" i="31" s="1"/>
  <c r="N33" i="36" s="1"/>
  <c r="M67" i="36" l="1"/>
  <c r="M74" i="36" s="1"/>
  <c r="M79" i="36" s="1"/>
  <c r="M80" i="36" s="1"/>
  <c r="N38" i="36"/>
  <c r="N52" i="36"/>
  <c r="N54" i="36" s="1"/>
  <c r="N58" i="36" s="1"/>
  <c r="N18" i="36"/>
  <c r="N22" i="36" s="1"/>
  <c r="N24" i="36" s="1"/>
  <c r="N31" i="36" s="1"/>
  <c r="N34" i="36" s="1"/>
  <c r="N37" i="36" s="1"/>
  <c r="M106" i="36" l="1"/>
  <c r="M105" i="36" s="1"/>
  <c r="N39" i="36"/>
  <c r="O38" i="36" s="1"/>
  <c r="L99" i="31"/>
  <c r="O16" i="36" s="1"/>
  <c r="L17" i="31" l="1"/>
  <c r="O52" i="36"/>
  <c r="O54" i="36" s="1"/>
  <c r="O58" i="36" s="1"/>
  <c r="O18" i="36"/>
  <c r="O22" i="36" s="1"/>
  <c r="O24" i="36" s="1"/>
  <c r="O31" i="36" s="1"/>
  <c r="L97" i="31"/>
  <c r="L98" i="31" s="1"/>
  <c r="O33" i="36" s="1"/>
  <c r="O34" i="36" l="1"/>
  <c r="O37" i="36" s="1"/>
  <c r="O39" i="36" s="1"/>
  <c r="P38" i="36" s="1"/>
  <c r="M99" i="31"/>
  <c r="P16" i="36" s="1"/>
  <c r="M17" i="31" l="1"/>
  <c r="P52" i="36"/>
  <c r="P54" i="36" s="1"/>
  <c r="P58" i="36" s="1"/>
  <c r="P18" i="36"/>
  <c r="P22" i="36" s="1"/>
  <c r="P24" i="36" s="1"/>
  <c r="P31" i="36" s="1"/>
  <c r="M97" i="31"/>
  <c r="M98" i="31" s="1"/>
  <c r="P33" i="36" s="1"/>
  <c r="P34" i="36" l="1"/>
  <c r="P37" i="36" s="1"/>
  <c r="P39" i="36" s="1"/>
  <c r="Q38" i="36" s="1"/>
  <c r="N99" i="31"/>
  <c r="Q16" i="36" s="1"/>
  <c r="N17" i="31" l="1"/>
  <c r="Q52" i="36"/>
  <c r="Q54" i="36" s="1"/>
  <c r="Q58" i="36" s="1"/>
  <c r="Q18" i="36"/>
  <c r="Q22" i="36" s="1"/>
  <c r="Q24" i="36" s="1"/>
  <c r="Q31" i="36" s="1"/>
  <c r="N97" i="31"/>
  <c r="O80" i="31" l="1"/>
  <c r="N78" i="31" l="1"/>
  <c r="N96" i="31" s="1"/>
  <c r="N98" i="31" s="1"/>
  <c r="Q33" i="36" s="1"/>
  <c r="O99" i="31"/>
  <c r="R16" i="36" s="1"/>
  <c r="O79" i="31"/>
  <c r="O97" i="31" s="1"/>
  <c r="Q34" i="36" l="1"/>
  <c r="Q37" i="36" s="1"/>
  <c r="Q39" i="36" s="1"/>
  <c r="R38" i="36" s="1"/>
  <c r="R52" i="36"/>
  <c r="R54" i="36" s="1"/>
  <c r="R58" i="36" s="1"/>
  <c r="R18" i="36"/>
  <c r="R22" i="36" s="1"/>
  <c r="R24" i="36" s="1"/>
  <c r="R31" i="36" s="1"/>
  <c r="P86" i="31"/>
  <c r="P85" i="31" s="1"/>
  <c r="P83" i="31" s="1"/>
  <c r="O77" i="31"/>
  <c r="P80" i="31" s="1"/>
  <c r="P79" i="31" s="1"/>
  <c r="P77" i="31" s="1"/>
  <c r="Q80" i="31" s="1"/>
  <c r="Q79" i="31" s="1"/>
  <c r="Q77" i="31" s="1"/>
  <c r="R80" i="31" s="1"/>
  <c r="R79" i="31" s="1"/>
  <c r="R77" i="31" s="1"/>
  <c r="S80" i="31" s="1"/>
  <c r="S79" i="31" s="1"/>
  <c r="S77" i="31" s="1"/>
  <c r="T80" i="31" s="1"/>
  <c r="T79" i="31" s="1"/>
  <c r="T77" i="31" s="1"/>
  <c r="U80" i="31" s="1"/>
  <c r="U79" i="31" s="1"/>
  <c r="U77" i="31" s="1"/>
  <c r="V80" i="31" s="1"/>
  <c r="V79" i="31" s="1"/>
  <c r="V77" i="31" s="1"/>
  <c r="O84" i="31"/>
  <c r="O96" i="31" s="1"/>
  <c r="O98" i="31" s="1"/>
  <c r="R33" i="36" s="1"/>
  <c r="O17" i="31" l="1"/>
  <c r="R34" i="36"/>
  <c r="R37" i="36" s="1"/>
  <c r="R39" i="36" s="1"/>
  <c r="P17" i="31" s="1"/>
  <c r="Q86" i="31"/>
  <c r="Q85" i="31" s="1"/>
  <c r="Q83" i="31" s="1"/>
  <c r="W80" i="31"/>
  <c r="W79" i="31" s="1"/>
  <c r="W77" i="31" s="1"/>
  <c r="P99" i="31"/>
  <c r="S16" i="36" s="1"/>
  <c r="H50" i="19" s="1"/>
  <c r="K50" i="19" s="1"/>
  <c r="M50" i="19" s="1"/>
  <c r="R67" i="36" l="1"/>
  <c r="R74" i="36" s="1"/>
  <c r="R79" i="36" s="1"/>
  <c r="R80" i="36" s="1"/>
  <c r="S38" i="36"/>
  <c r="S52" i="36"/>
  <c r="S54" i="36" s="1"/>
  <c r="S58" i="36" s="1"/>
  <c r="S18" i="36"/>
  <c r="S22" i="36" s="1"/>
  <c r="S24" i="36" s="1"/>
  <c r="S31" i="36" s="1"/>
  <c r="H16" i="19"/>
  <c r="H46" i="19" s="1"/>
  <c r="K46" i="19" s="1"/>
  <c r="X80" i="31"/>
  <c r="X79" i="31" s="1"/>
  <c r="X77" i="31" s="1"/>
  <c r="R86" i="31"/>
  <c r="R85" i="31" s="1"/>
  <c r="R83" i="31" s="1"/>
  <c r="P97" i="31"/>
  <c r="P98" i="31" s="1"/>
  <c r="S33" i="36" s="1"/>
  <c r="H31" i="19" l="1"/>
  <c r="I31" i="19" s="1"/>
  <c r="H18" i="19"/>
  <c r="R106" i="36"/>
  <c r="R105" i="36" s="1"/>
  <c r="H48" i="19"/>
  <c r="K48" i="19" s="1"/>
  <c r="M48" i="19" s="1"/>
  <c r="S34" i="36"/>
  <c r="S37" i="36" s="1"/>
  <c r="S39" i="36" s="1"/>
  <c r="Q17" i="31" s="1"/>
  <c r="S86" i="31"/>
  <c r="S85" i="31" s="1"/>
  <c r="S83" i="31" s="1"/>
  <c r="Y80" i="31"/>
  <c r="Y79" i="31" s="1"/>
  <c r="Y77" i="31" s="1"/>
  <c r="Q99" i="31"/>
  <c r="H19" i="19" l="1"/>
  <c r="H22" i="19" s="1"/>
  <c r="I18" i="19"/>
  <c r="H51" i="19"/>
  <c r="K51" i="19" s="1"/>
  <c r="M51" i="19" s="1"/>
  <c r="H52" i="19"/>
  <c r="S67" i="36"/>
  <c r="S74" i="36" s="1"/>
  <c r="S79" i="36" s="1"/>
  <c r="S106" i="36" s="1"/>
  <c r="S105" i="36" s="1"/>
  <c r="T86" i="31"/>
  <c r="T85" i="31"/>
  <c r="T83" i="31" s="1"/>
  <c r="U86" i="31" s="1"/>
  <c r="U85" i="31" s="1"/>
  <c r="U83" i="31" s="1"/>
  <c r="I19" i="19" l="1"/>
  <c r="K52" i="19"/>
  <c r="M52" i="19" s="1"/>
  <c r="H53" i="19"/>
  <c r="K53" i="19" s="1"/>
  <c r="M53" i="19" s="1"/>
  <c r="S80" i="36"/>
  <c r="V86" i="31"/>
  <c r="V85" i="31"/>
  <c r="V83" i="31" s="1"/>
  <c r="W86" i="31" s="1"/>
  <c r="W85" i="31" s="1"/>
  <c r="W83" i="31" s="1"/>
  <c r="Q97" i="31"/>
  <c r="Q98" i="31" s="1"/>
  <c r="R99" i="31"/>
  <c r="H24" i="19" l="1"/>
  <c r="I24" i="19" s="1"/>
  <c r="X86" i="31"/>
  <c r="X85" i="31" s="1"/>
  <c r="X83" i="31" s="1"/>
  <c r="R97" i="31"/>
  <c r="R98" i="31" s="1"/>
  <c r="I22" i="19" l="1"/>
  <c r="H30" i="19"/>
  <c r="I30" i="19" s="1"/>
  <c r="Y86" i="31"/>
  <c r="Y85" i="31" s="1"/>
  <c r="Y83" i="31" s="1"/>
  <c r="S99" i="31"/>
  <c r="H32" i="19" l="1"/>
  <c r="H36" i="19" s="1"/>
  <c r="Z86" i="31"/>
  <c r="Z85" i="31"/>
  <c r="Z83" i="31" s="1"/>
  <c r="S97" i="31"/>
  <c r="S98" i="31" s="1"/>
  <c r="H38" i="19" l="1"/>
  <c r="I38" i="19" s="1"/>
  <c r="I36" i="19"/>
  <c r="T99" i="31"/>
  <c r="T97" i="31" l="1"/>
  <c r="T98" i="31" s="1"/>
  <c r="U99" i="31" l="1"/>
  <c r="U97" i="31"/>
  <c r="U98" i="31" s="1"/>
  <c r="V99" i="31" l="1"/>
  <c r="V97" i="31" l="1"/>
  <c r="V98" i="31" s="1"/>
  <c r="J10" i="34" l="1"/>
  <c r="J15" i="34" s="1"/>
  <c r="J19" i="34" l="1"/>
  <c r="J21" i="34" s="1"/>
  <c r="J33" i="34" s="1"/>
  <c r="J35" i="34" l="1"/>
  <c r="J39" i="34" s="1"/>
  <c r="J41" i="34" s="1"/>
  <c r="K40" i="34" s="1"/>
  <c r="C72" i="24" l="1"/>
  <c r="C73" i="24" s="1"/>
  <c r="C74" i="24" l="1"/>
  <c r="K15" i="34" l="1"/>
  <c r="K19" i="34" s="1"/>
  <c r="K21" i="34" s="1"/>
  <c r="K33" i="34" s="1"/>
  <c r="K35" i="34" l="1"/>
  <c r="K39" i="34" s="1"/>
  <c r="K41" i="34" s="1"/>
  <c r="L40" i="34" s="1"/>
  <c r="L41" i="34" s="1"/>
  <c r="M40" i="34" s="1"/>
  <c r="C101" i="24" l="1"/>
  <c r="C103" i="24" s="1"/>
  <c r="M41" i="34"/>
  <c r="C132" i="24"/>
  <c r="C134" i="24" s="1"/>
  <c r="C102" i="24" l="1"/>
  <c r="C163" i="24"/>
  <c r="C165" i="24" s="1"/>
  <c r="N40" i="34"/>
  <c r="N41" i="34" s="1"/>
  <c r="C133" i="24"/>
  <c r="O40" i="34" l="1"/>
  <c r="O41" i="34" s="1"/>
  <c r="C227" i="24" s="1"/>
  <c r="C197" i="24"/>
  <c r="C198" i="24" s="1"/>
  <c r="C164" i="24"/>
  <c r="C229" i="24" l="1"/>
  <c r="P40" i="34"/>
  <c r="C199" i="24"/>
  <c r="C228" i="24" l="1"/>
  <c r="P15" i="34" l="1"/>
  <c r="P19" i="34" s="1"/>
  <c r="P21" i="34" s="1"/>
  <c r="P33" i="34" s="1"/>
  <c r="P35" i="34" l="1"/>
  <c r="P39" i="34" s="1"/>
  <c r="P41" i="34" s="1"/>
  <c r="C259" i="24" l="1"/>
  <c r="C261" i="24" s="1"/>
  <c r="Q40" i="34"/>
  <c r="Q41" i="34" s="1"/>
  <c r="C288" i="24" s="1"/>
  <c r="C290" i="24" s="1"/>
  <c r="C260" i="24" l="1"/>
  <c r="R40" i="34"/>
  <c r="R41" i="34" s="1"/>
  <c r="S40" i="34" s="1"/>
  <c r="S41" i="34" s="1"/>
  <c r="C289" i="24"/>
  <c r="C354" i="24" l="1"/>
  <c r="C355" i="24" s="1"/>
  <c r="T40" i="34"/>
  <c r="T41" i="34" s="1"/>
  <c r="C384" i="24" s="1"/>
  <c r="C321" i="24"/>
  <c r="C323" i="24" s="1"/>
  <c r="C356" i="24" l="1"/>
  <c r="C385" i="24"/>
  <c r="C386" i="24"/>
  <c r="C322" i="24"/>
  <c r="Q14" i="42" l="1"/>
  <c r="Q22" i="42" s="1"/>
  <c r="Q25" i="42" s="1"/>
  <c r="N6" i="42"/>
  <c r="O5" i="42"/>
  <c r="Q5" i="42"/>
  <c r="Q21" i="42"/>
  <c r="P14" i="42"/>
  <c r="P6" i="42" s="1"/>
  <c r="P22" i="42"/>
  <c r="P25" i="42" s="1"/>
  <c r="P21" i="42"/>
  <c r="P5" i="42"/>
  <c r="N5" i="42"/>
  <c r="N14" i="42"/>
  <c r="N22" i="42"/>
  <c r="N25" i="42" s="1"/>
  <c r="N21" i="42"/>
  <c r="Q6" i="42" l="1"/>
  <c r="O21" i="42"/>
  <c r="O14" i="42"/>
  <c r="O22" i="42" l="1"/>
  <c r="O25" i="42" s="1"/>
  <c r="O6" i="42"/>
  <c r="I40" i="33" l="1"/>
  <c r="K39" i="33" l="1"/>
  <c r="L39" i="33" l="1"/>
  <c r="L40" i="33" s="1"/>
  <c r="M39" i="33" l="1"/>
  <c r="M40" i="33" s="1"/>
  <c r="N39" i="33" l="1"/>
  <c r="N40" i="33" s="1"/>
  <c r="O39" i="33" s="1"/>
  <c r="O40" i="33" s="1"/>
  <c r="P39" i="33" s="1"/>
  <c r="P40" i="33" s="1"/>
  <c r="Q39" i="33" s="1"/>
  <c r="Q40" i="33" s="1"/>
  <c r="R39" i="33" s="1"/>
  <c r="R40" i="33" s="1"/>
  <c r="T39" i="33" l="1"/>
  <c r="T40"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Administrador</author>
    <author>ASUS</author>
  </authors>
  <commentList>
    <comment ref="B444" authorId="0" shapeId="0" xr:uid="{E402E657-1296-48D3-9F73-AB67E961F444}">
      <text>
        <r>
          <rPr>
            <b/>
            <sz val="9"/>
            <color indexed="81"/>
            <rFont val="Tahoma"/>
            <family val="2"/>
          </rPr>
          <t>Administrador:</t>
        </r>
        <r>
          <rPr>
            <sz val="9"/>
            <color indexed="81"/>
            <rFont val="Tahoma"/>
            <family val="2"/>
          </rPr>
          <t xml:space="preserve">
para ver el descuadre de los 21
</t>
        </r>
      </text>
    </comment>
    <comment ref="B676" authorId="0" shapeId="0" xr:uid="{74AD8B1E-106B-432E-9D12-1CDAD7E7D70A}">
      <text>
        <r>
          <rPr>
            <b/>
            <sz val="9"/>
            <color indexed="81"/>
            <rFont val="Tahoma"/>
            <family val="2"/>
          </rPr>
          <t>Administrador:</t>
        </r>
        <r>
          <rPr>
            <sz val="9"/>
            <color indexed="81"/>
            <rFont val="Tahoma"/>
            <family val="2"/>
          </rPr>
          <t xml:space="preserve">
cuenta de cobro 
</t>
        </r>
      </text>
    </comment>
    <comment ref="B699" authorId="0" shapeId="0" xr:uid="{6775A22D-54C6-4AC5-AA69-37F5180DDD71}">
      <text>
        <r>
          <rPr>
            <b/>
            <sz val="9"/>
            <color indexed="81"/>
            <rFont val="Tahoma"/>
            <family val="2"/>
          </rPr>
          <t>Administrador:</t>
        </r>
        <r>
          <rPr>
            <sz val="9"/>
            <color indexed="81"/>
            <rFont val="Tahoma"/>
            <family val="2"/>
          </rPr>
          <t xml:space="preserve">
cuenta de cobro 
</t>
        </r>
      </text>
    </comment>
    <comment ref="B722" authorId="0" shapeId="0" xr:uid="{0F92FD1A-0B38-4D01-A0DB-ADE2069C6923}">
      <text>
        <r>
          <rPr>
            <b/>
            <sz val="9"/>
            <color indexed="81"/>
            <rFont val="Tahoma"/>
            <family val="2"/>
          </rPr>
          <t>Administrador:</t>
        </r>
        <r>
          <rPr>
            <sz val="9"/>
            <color indexed="81"/>
            <rFont val="Tahoma"/>
            <family val="2"/>
          </rPr>
          <t xml:space="preserve">
cuenta de cobro </t>
        </r>
      </text>
    </comment>
    <comment ref="B6366" authorId="1" shapeId="0" xr:uid="{BC2E82E8-BD27-433B-8F52-66AAB6597FCA}">
      <text>
        <r>
          <rPr>
            <b/>
            <sz val="9"/>
            <color indexed="81"/>
            <rFont val="Tahoma"/>
            <family val="2"/>
          </rPr>
          <t>ASUS:</t>
        </r>
        <r>
          <rPr>
            <sz val="9"/>
            <color indexed="81"/>
            <rFont val="Tahoma"/>
            <family val="2"/>
          </rPr>
          <t xml:space="preserve">
INGRESA 18 DE JULIO</t>
        </r>
      </text>
    </comment>
    <comment ref="B6368" authorId="1" shapeId="0" xr:uid="{7FB29B04-4FC9-446F-9465-494A9E2DDA3E}">
      <text>
        <r>
          <rPr>
            <b/>
            <sz val="9"/>
            <color indexed="81"/>
            <rFont val="Tahoma"/>
            <family val="2"/>
          </rPr>
          <t>ASUS:</t>
        </r>
        <r>
          <rPr>
            <sz val="9"/>
            <color indexed="81"/>
            <rFont val="Tahoma"/>
            <family val="2"/>
          </rPr>
          <t xml:space="preserve">
INGRESA 15 DE JULIO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Administrador</author>
  </authors>
  <commentList>
    <comment ref="C8" authorId="0" shapeId="0" xr:uid="{B10A7F03-D530-4F2F-9C4E-A627EFDE943E}">
      <text>
        <r>
          <rPr>
            <b/>
            <sz val="9"/>
            <color indexed="81"/>
            <rFont val="Tahoma"/>
            <family val="2"/>
          </rPr>
          <t>Administrador:</t>
        </r>
        <r>
          <rPr>
            <sz val="9"/>
            <color indexed="81"/>
            <rFont val="Tahoma"/>
            <family val="2"/>
          </rPr>
          <t xml:space="preserve">
tener en cuenta que se sube por las 10 personas que pueden ingresar al area administrativa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Luisa Fernanda Obando Vitar</author>
  </authors>
  <commentList>
    <comment ref="B16" authorId="0" shapeId="0" xr:uid="{EFD08BF9-DE46-4697-BF18-8E37DBBFEA03}">
      <text>
        <r>
          <rPr>
            <sz val="10"/>
            <color rgb="FF000000"/>
            <rFont val="Arial"/>
            <family val="2"/>
          </rPr>
          <t>Luisa Fernanda Obando Vitar:
1 en julio y otro en agosto
$2.690.000 mes</t>
        </r>
      </text>
    </comment>
    <comment ref="B17" authorId="0" shapeId="0" xr:uid="{AEB8D466-2417-4AF4-A35A-1D6A935124C1}">
      <text>
        <r>
          <rPr>
            <sz val="10"/>
            <color rgb="FF000000"/>
            <rFont val="Arial"/>
            <family val="2"/>
          </rPr>
          <t>Luisa Fernanda Obando Vitar:
$10´000.000</t>
        </r>
      </text>
    </comment>
    <comment ref="B18" authorId="0" shapeId="0" xr:uid="{0B9993D9-0BDB-451A-BF59-02CFB110D54B}">
      <text>
        <r>
          <rPr>
            <sz val="10"/>
            <color rgb="FF000000"/>
            <rFont val="Arial"/>
            <family val="2"/>
          </rPr>
          <t>Luisa Fernanda Obando Vitar:
$600.000 por sociedad/mensual</t>
        </r>
      </text>
    </comment>
    <comment ref="B19" authorId="0" shapeId="0" xr:uid="{E3C9C16F-48C6-4590-ADD3-5FBE841E9CC9}">
      <text>
        <r>
          <rPr>
            <sz val="10"/>
            <color rgb="FF000000"/>
            <rFont val="Arial"/>
            <family val="2"/>
          </rPr>
          <t>Luisa Fernanda Obando Vitar:
1´500.000 Por granja/semestral</t>
        </r>
      </text>
    </comment>
    <comment ref="B20" authorId="0" shapeId="0" xr:uid="{AD940A92-52CB-4AB7-B0C3-DBC716FD08EF}">
      <text>
        <r>
          <rPr>
            <sz val="10"/>
            <color rgb="FF000000"/>
            <rFont val="Arial"/>
            <family val="2"/>
          </rPr>
          <t>Luisa Fernanda Obando Vitar:
$400.000 Instalación y $100.000 mensual</t>
        </r>
      </text>
    </comment>
    <comment ref="B21" authorId="0" shapeId="0" xr:uid="{9E81518F-D591-4C18-8D4D-D15B9B780AF3}">
      <text>
        <r>
          <rPr>
            <sz val="10"/>
            <color rgb="FF000000"/>
            <rFont val="Arial"/>
            <family val="2"/>
          </rPr>
          <t>Luisa Fernanda Obando Vitar:
20%</t>
        </r>
      </text>
    </comment>
    <comment ref="B22" authorId="0" shapeId="0" xr:uid="{9F805DF8-AD89-4DA0-8E11-69779BFE9449}">
      <text>
        <r>
          <rPr>
            <sz val="10"/>
            <color rgb="FF000000"/>
            <rFont val="Arial"/>
            <family val="2"/>
          </rPr>
          <t>Luisa Fernanda Obando Vitar:
$4.000.000 mes</t>
        </r>
      </text>
    </comment>
  </commentList>
</comments>
</file>

<file path=xl/sharedStrings.xml><?xml version="1.0" encoding="utf-8"?>
<sst xmlns="http://schemas.openxmlformats.org/spreadsheetml/2006/main" count="63882" uniqueCount="8601">
  <si>
    <t>SALDO:</t>
  </si>
  <si>
    <t>INGRESOVENTA DE CHATARRA</t>
  </si>
  <si>
    <t>INGRESO VENTA DE CHATARRA</t>
  </si>
  <si>
    <t>SALDO TOTAL</t>
  </si>
  <si>
    <t>Suma de Monto</t>
  </si>
  <si>
    <t>Nombre mitad</t>
  </si>
  <si>
    <t>Meses (MES)</t>
  </si>
  <si>
    <t>Días (MES)</t>
  </si>
  <si>
    <t>MES</t>
  </si>
  <si>
    <t>Total</t>
  </si>
  <si>
    <t>Delta</t>
  </si>
  <si>
    <t>dic</t>
  </si>
  <si>
    <t>Total Delta</t>
  </si>
  <si>
    <t>Total general</t>
  </si>
  <si>
    <t>Fecha ultima actualización</t>
  </si>
  <si>
    <t>Criterio</t>
  </si>
  <si>
    <t>Monto</t>
  </si>
  <si>
    <t>Banco</t>
  </si>
  <si>
    <t>Cuenta BBVA Corriente</t>
  </si>
  <si>
    <t>Cuenta corriente Banco de Bogota</t>
  </si>
  <si>
    <t>Caja anterior</t>
  </si>
  <si>
    <t>Cuenta de Ahorros Banco de Bogota</t>
  </si>
  <si>
    <t>Retiro en cajeros</t>
  </si>
  <si>
    <t>Banco de bogota</t>
  </si>
  <si>
    <t>Cuenta Bancolombia</t>
  </si>
  <si>
    <t>Bancolombia</t>
  </si>
  <si>
    <t>Cuenta Davivienda</t>
  </si>
  <si>
    <t>BBVA</t>
  </si>
  <si>
    <t>Total Caja</t>
  </si>
  <si>
    <t>Legalizado</t>
  </si>
  <si>
    <t>Flujo de Caja</t>
  </si>
  <si>
    <t>Verificación</t>
  </si>
  <si>
    <t>Caja actual Marce</t>
  </si>
  <si>
    <t>Diferencia</t>
  </si>
  <si>
    <t>Caja Naos</t>
  </si>
  <si>
    <t xml:space="preserve">Camilo </t>
  </si>
  <si>
    <t>Caja Juan viaje</t>
  </si>
  <si>
    <t>Caja experimento</t>
  </si>
  <si>
    <t>Saldo a diciembre 2023</t>
  </si>
  <si>
    <t>Caja Actual</t>
  </si>
  <si>
    <t>Fiducia BBVA</t>
  </si>
  <si>
    <t>Caja actual Loren</t>
  </si>
  <si>
    <t xml:space="preserve">Caja Miguel </t>
  </si>
  <si>
    <t>Caja Albeiro , Eduardo, Juanfer</t>
  </si>
  <si>
    <t>Retiro en cajeros JUAN MANUEL</t>
  </si>
  <si>
    <t xml:space="preserve">transferencias bbva Jean y Jeison </t>
  </si>
  <si>
    <t>Caja Miguel y veronica</t>
  </si>
  <si>
    <t>stefania</t>
  </si>
  <si>
    <t xml:space="preserve">JEISON </t>
  </si>
  <si>
    <t>Manuel</t>
  </si>
  <si>
    <t xml:space="preserve">Juan manuel </t>
  </si>
  <si>
    <t>retiro cajero</t>
  </si>
  <si>
    <t>Caja actual Mafe</t>
  </si>
  <si>
    <t xml:space="preserve">veronica </t>
  </si>
  <si>
    <t xml:space="preserve">caterin </t>
  </si>
  <si>
    <t>WILLIAM BASANTE</t>
  </si>
  <si>
    <t>MIGUEL</t>
  </si>
  <si>
    <t>SEBASTIAN LUCENA</t>
  </si>
  <si>
    <t>JEAN CARLOS</t>
  </si>
  <si>
    <t>eduardo</t>
  </si>
  <si>
    <t>ESTEFANIA</t>
  </si>
  <si>
    <t>CATERIN</t>
  </si>
  <si>
    <t>Andres zutta</t>
  </si>
  <si>
    <t>juan manuel</t>
  </si>
  <si>
    <t>nota :Se hace retiro el 31 pero se hace efetivo el 1 de agosto</t>
  </si>
  <si>
    <t>Banco de Occidente</t>
  </si>
  <si>
    <t>Fiduoccidente</t>
  </si>
  <si>
    <t xml:space="preserve">                                                       </t>
  </si>
  <si>
    <t>Hermann</t>
  </si>
  <si>
    <t>jason cali</t>
  </si>
  <si>
    <t>veronica</t>
  </si>
  <si>
    <t>Dotacion loren, marcela, mafe, danna, sebastian</t>
  </si>
  <si>
    <t>camara de comercio</t>
  </si>
  <si>
    <t>Miguel</t>
  </si>
  <si>
    <t>CAJA LOGISTICA</t>
  </si>
  <si>
    <t>CAJA DELTA</t>
  </si>
  <si>
    <t xml:space="preserve">Jhon </t>
  </si>
  <si>
    <t>Juan Manuel</t>
  </si>
  <si>
    <t xml:space="preserve">Dotacion Marce y mafe </t>
  </si>
  <si>
    <t>CAJA MENOR CALI</t>
  </si>
  <si>
    <t>CAMILO PRACTICANTE</t>
  </si>
  <si>
    <t>VERONICA</t>
  </si>
  <si>
    <t>HERMANN</t>
  </si>
  <si>
    <t>SEBASTIAN</t>
  </si>
  <si>
    <t>MARCELA</t>
  </si>
  <si>
    <t>RUBIELA</t>
  </si>
  <si>
    <t>ANDRES</t>
  </si>
  <si>
    <t>DANNA</t>
  </si>
  <si>
    <t>JUAN MANUEL</t>
  </si>
  <si>
    <t>31/11/2024</t>
  </si>
  <si>
    <t xml:space="preserve">Caja actual Juan </t>
  </si>
  <si>
    <t>JUAN MANUEL RETIRO</t>
  </si>
  <si>
    <t>MAFE Y RUBIELA</t>
  </si>
  <si>
    <t>ANA VIAJE TUQUERRES</t>
  </si>
  <si>
    <t>CAJA JUAN SEBASTIAN</t>
  </si>
  <si>
    <t>VIATICOS VIAJE MARVE VALLEDUPAR</t>
  </si>
  <si>
    <t>MAFE Y RUBIELA (revision)</t>
  </si>
  <si>
    <t xml:space="preserve">JAVIER LUCENA </t>
  </si>
  <si>
    <t>DEV VIATICOS STEFANYA</t>
  </si>
  <si>
    <t xml:space="preserve">JEAN CARLOS VIAJE VALLEDUPAR </t>
  </si>
  <si>
    <t xml:space="preserve">VIATICOS RUBIELA A REMOLINO </t>
  </si>
  <si>
    <t xml:space="preserve"> </t>
  </si>
  <si>
    <t>Fecha</t>
  </si>
  <si>
    <t>Real</t>
  </si>
  <si>
    <t>Admon</t>
  </si>
  <si>
    <t>Admon fin</t>
  </si>
  <si>
    <t>Total Admin</t>
  </si>
  <si>
    <t>Impuestos</t>
  </si>
  <si>
    <t>gen</t>
  </si>
  <si>
    <t>working</t>
  </si>
  <si>
    <t>capex</t>
  </si>
  <si>
    <t>deuda</t>
  </si>
  <si>
    <t xml:space="preserve">Concepto </t>
  </si>
  <si>
    <t>Recursos provienen de:</t>
  </si>
  <si>
    <t>Nombre</t>
  </si>
  <si>
    <t>apellido</t>
  </si>
  <si>
    <t>Persona</t>
  </si>
  <si>
    <t xml:space="preserve"> pago de intereses Hyperion</t>
  </si>
  <si>
    <t>intereses</t>
  </si>
  <si>
    <t>Anticipo poda remolino</t>
  </si>
  <si>
    <t>Naos1</t>
  </si>
  <si>
    <t>compra de paneles solares Astronergy</t>
  </si>
  <si>
    <t xml:space="preserve">Clínica Pabón </t>
  </si>
  <si>
    <t>Paneles y Módulos Solares</t>
  </si>
  <si>
    <t>ingreso lacteos andinos 10%</t>
  </si>
  <si>
    <t>Lacteos Andino</t>
  </si>
  <si>
    <t>intereses capital Juan Manuel</t>
  </si>
  <si>
    <t>Pago capital Juan Manuel</t>
  </si>
  <si>
    <t>pago credito Hyperioon</t>
  </si>
  <si>
    <t>Pago Milenio</t>
  </si>
  <si>
    <t>admon</t>
  </si>
  <si>
    <t>computadores</t>
  </si>
  <si>
    <t>Pago Milenio retencion 4%</t>
  </si>
  <si>
    <t>Retención</t>
  </si>
  <si>
    <t>Retencion asumida intereses Hymperion</t>
  </si>
  <si>
    <t xml:space="preserve">Transporte de Pasto a Chachagui Oscar Morales </t>
  </si>
  <si>
    <t xml:space="preserve">EFECTIVO </t>
  </si>
  <si>
    <t>CS Humberto Portilla</t>
  </si>
  <si>
    <t>Transporte personal</t>
  </si>
  <si>
    <t>Anticipo transformador Rymel</t>
  </si>
  <si>
    <t>Camara de comercio Medellín</t>
  </si>
  <si>
    <t xml:space="preserve">bancolombia </t>
  </si>
  <si>
    <t>Progama Adobe</t>
  </si>
  <si>
    <t>Dominios</t>
  </si>
  <si>
    <t xml:space="preserve">Tiquete Andrea Pasto </t>
  </si>
  <si>
    <t>Almuerzos chachagui Miguel</t>
  </si>
  <si>
    <t>Efectivo</t>
  </si>
  <si>
    <t>Mano de obra</t>
  </si>
  <si>
    <t>almuerzos chachagui Segundo</t>
  </si>
  <si>
    <t xml:space="preserve">Anticipo abogada Luisa Arango CANOPUS </t>
  </si>
  <si>
    <t>CANOPUS</t>
  </si>
  <si>
    <t>Anticipo cerramiento JJMAYAS</t>
  </si>
  <si>
    <t>Excedente poliza naos sura</t>
  </si>
  <si>
    <t xml:space="preserve">Pago dotasol gorras y camisas </t>
  </si>
  <si>
    <t xml:space="preserve">Piajio Chachagui Pasto Oscar Morales </t>
  </si>
  <si>
    <t>taxi Chachagui Pasto oscar Morales</t>
  </si>
  <si>
    <t>ferro vidrios materiales</t>
  </si>
  <si>
    <t>Generador Tecniagro</t>
  </si>
  <si>
    <t>Generador Tecniagro ica 6x1000</t>
  </si>
  <si>
    <t>Generador Tecniagro retencion 2.5%</t>
  </si>
  <si>
    <t>Materiales J Alberto</t>
  </si>
  <si>
    <t>Materiales J Alberto ica 6x1000</t>
  </si>
  <si>
    <t>Pago WEWORK diciembre</t>
  </si>
  <si>
    <t>Arriendo</t>
  </si>
  <si>
    <t xml:space="preserve">Pilas radio sanyo </t>
  </si>
  <si>
    <t>retencion 4% WEWORK diciembre</t>
  </si>
  <si>
    <t>retencion 4% WEWORK noviembre</t>
  </si>
  <si>
    <t>transporte William Basante</t>
  </si>
  <si>
    <t>Distribuidora vidrios Centro</t>
  </si>
  <si>
    <t>Fundonar</t>
  </si>
  <si>
    <t>Alimentos Nariño</t>
  </si>
  <si>
    <t>Anticipo topografo Jimmy Alexander Burgos</t>
  </si>
  <si>
    <t>Bus de catambuco a oficina1085346614CAMILO MELO</t>
  </si>
  <si>
    <t>camilo</t>
  </si>
  <si>
    <t>Candado900461641JALBERTO</t>
  </si>
  <si>
    <t>pequeño material</t>
  </si>
  <si>
    <t>CINTA ASFALTICA Ferreteria J Alberto</t>
  </si>
  <si>
    <t>Clavos 2",3"900461641JALBERTO</t>
  </si>
  <si>
    <t>Disco de corte madera 814004717 RAMIREZ Y DAVID</t>
  </si>
  <si>
    <t>Disco de corte814004717TODO TORNILLO</t>
  </si>
  <si>
    <t xml:space="preserve">Emsannar incapcidad Stiven Vallejos </t>
  </si>
  <si>
    <t>Banco de Bogota</t>
  </si>
  <si>
    <t>salarios</t>
  </si>
  <si>
    <t>Envio de medidores 860512330 SERVIENTREGA</t>
  </si>
  <si>
    <t>Oficina</t>
  </si>
  <si>
    <t>Fusibles alta tension30740907CASA ELECTRICA</t>
  </si>
  <si>
    <t>Ingreso Acuagen noviembre</t>
  </si>
  <si>
    <t>Juan</t>
  </si>
  <si>
    <t>Ingreso solsticio</t>
  </si>
  <si>
    <t>Ingreso tigre diciembre</t>
  </si>
  <si>
    <t>Lija roja-Pintupasto</t>
  </si>
  <si>
    <t>Mesas890900943ALKOSTO</t>
  </si>
  <si>
    <t>Mini interructor-Grupo Defa</t>
  </si>
  <si>
    <t>Nomina andrea</t>
  </si>
  <si>
    <t>Nomina Camilo</t>
  </si>
  <si>
    <t>Nomina Carlos</t>
  </si>
  <si>
    <t>Nomina Carolina</t>
  </si>
  <si>
    <t>Nomina Eduardo</t>
  </si>
  <si>
    <t>Nomina Ivan Dario</t>
  </si>
  <si>
    <t>Nomina Jason</t>
  </si>
  <si>
    <t>Nomina Jose Alveiro</t>
  </si>
  <si>
    <t>Nomina Manuel</t>
  </si>
  <si>
    <t>Nomina Oscar</t>
  </si>
  <si>
    <t>Nomina Rudy</t>
  </si>
  <si>
    <t>Nomina segundo</t>
  </si>
  <si>
    <t>Nomina Stiven</t>
  </si>
  <si>
    <t>pago alai telecomunicaciones</t>
  </si>
  <si>
    <t>mantenimiento</t>
  </si>
  <si>
    <t>Souza</t>
  </si>
  <si>
    <t>Pago Impuestos</t>
  </si>
  <si>
    <t>Dian</t>
  </si>
  <si>
    <t>Pago instalacion Huberto Rosero</t>
  </si>
  <si>
    <t>Estructura</t>
  </si>
  <si>
    <t xml:space="preserve">Pago prestamo Francisco </t>
  </si>
  <si>
    <t>Pago total topografo Jimmy Alexander Burgos</t>
  </si>
  <si>
    <t>Piaggio de  oficina a alimentos nariño1085346614CAMILO MELO</t>
  </si>
  <si>
    <t>Piaggio de benaequipos a alimentos nariño1085346614CAMILO MELO</t>
  </si>
  <si>
    <t>Pie de amigo, cemento africano30714771LA FERRO</t>
  </si>
  <si>
    <t>PRESTAMO HERMANN SOUZA WEICH</t>
  </si>
  <si>
    <t>Protector solar , repelente59820749DROGUERIA POPULAR</t>
  </si>
  <si>
    <t>punto ecologico Jalberto</t>
  </si>
  <si>
    <t>retencion asumida intereses Juan Manuel</t>
  </si>
  <si>
    <t>Tornillos autoperforantes Ramirez y David</t>
  </si>
  <si>
    <t>Uber de alimentos nariño a oficina1085346614CAMILO MELO</t>
  </si>
  <si>
    <t>Uber de alkosto a oficina1085346614CAMILO MELO</t>
  </si>
  <si>
    <t>Uber de casa electrica a catambuco1085346614CAMILO MELO</t>
  </si>
  <si>
    <t>Uber de congenar a oficina1085346614CAMILO MELO</t>
  </si>
  <si>
    <t>Congenar</t>
  </si>
  <si>
    <t>Uber de defa a las americas1085346614CAMILO MELO</t>
  </si>
  <si>
    <t>Uber de oficina a congenar1085346614CAMILO MELO</t>
  </si>
  <si>
    <t>Cargador de pilas30744752K.U.</t>
  </si>
  <si>
    <t>Dreamhost</t>
  </si>
  <si>
    <t>Estanpado busos12999546BORDADOS</t>
  </si>
  <si>
    <t>Galon de aceite quemado1085346614CAMILO MELO</t>
  </si>
  <si>
    <t>Impresión de planos52040003ARQUIMAQUETAS</t>
  </si>
  <si>
    <t>Piaggio de oficina a alimentos nariño1085346614CAMILO MELO</t>
  </si>
  <si>
    <t>Pomas , nevera , embudo l59824510DON PEPE</t>
  </si>
  <si>
    <t>Cena Kelly Alvarez legalizacion NAOS 1</t>
  </si>
  <si>
    <t xml:space="preserve">Cena Andrea Jaramillo Legalizacion </t>
  </si>
  <si>
    <t xml:space="preserve">Taxi Unicentro - Hotel Andrea Jaramillo Legalizacion </t>
  </si>
  <si>
    <t xml:space="preserve">2 metros de platina de 125 amp , aislador escalonado36755475TECNO ELECTRICOS </t>
  </si>
  <si>
    <t>Alquiler Perdiga Vallejo Hermanos</t>
  </si>
  <si>
    <t>Anticipo Maquinaria Freddy Martinez 50%</t>
  </si>
  <si>
    <t>Caja de paso 15x15, grapas doble ala , aislador baraje30740907CASA ELECTRICA</t>
  </si>
  <si>
    <t>Coraza 1"1/2, Conectores rectos901254982ELECTRICAS AC</t>
  </si>
  <si>
    <t>Envio de medidor860512336SERVIENTREGA</t>
  </si>
  <si>
    <t xml:space="preserve">Intereses papá Hermann </t>
  </si>
  <si>
    <t>Mini breaker 1/16, adhesivos dexson901254982ELECTRICAS AC</t>
  </si>
  <si>
    <t>Pago Cedenar</t>
  </si>
  <si>
    <t>servicios publicos</t>
  </si>
  <si>
    <t>Pago empopasto oficina</t>
  </si>
  <si>
    <t>Pago intenert oficina tigo</t>
  </si>
  <si>
    <t>Pago uniforce materirales</t>
  </si>
  <si>
    <t xml:space="preserve">Pago wEWORK </t>
  </si>
  <si>
    <t>Sabanas panama plaza</t>
  </si>
  <si>
    <t>Taxi de tecno electricos a alimentos nariño1085346614CAMILO MELO</t>
  </si>
  <si>
    <t>Tiquete Daniel Cali Medellin</t>
  </si>
  <si>
    <t>ventas</t>
  </si>
  <si>
    <t>tiquete daniel Medellin Manizales</t>
  </si>
  <si>
    <t>Tornillos autoperforantes 814004717TODO TORNILLO</t>
  </si>
  <si>
    <t xml:space="preserve">transporte centro oficina sabanas </t>
  </si>
  <si>
    <t>transporte Eduardo club colombia</t>
  </si>
  <si>
    <t>Club Colombia</t>
  </si>
  <si>
    <t>Transporte Miguel Club colombia</t>
  </si>
  <si>
    <t>Transporte Miguel Fundonar</t>
  </si>
  <si>
    <t>transporte piajio William Basante</t>
  </si>
  <si>
    <t>Transporte Stefanya alimentos</t>
  </si>
  <si>
    <t xml:space="preserve">Viaje Remolino gasolina EDS Juan Manuel </t>
  </si>
  <si>
    <t>Hidratación</t>
  </si>
  <si>
    <t>efectivo</t>
  </si>
  <si>
    <t>CandadoFerretería FerroMac43599196</t>
  </si>
  <si>
    <t>HidrataciónD1 SAS900276962</t>
  </si>
  <si>
    <t>CaféD1 SAS900276962</t>
  </si>
  <si>
    <t>desayuno Kelly Alvarez  legalizacion NAOS 1</t>
  </si>
  <si>
    <t xml:space="preserve">Desayuno Andrea Jaramillo Legalizacion </t>
  </si>
  <si>
    <t>Viaticos</t>
  </si>
  <si>
    <t xml:space="preserve">Alimentacion  Hotel V15 junta directivo </t>
  </si>
  <si>
    <t>Consultorios V1501 ingreso</t>
  </si>
  <si>
    <t>Guantes talla 659835252EL PUNTO DEL OVEROL</t>
  </si>
  <si>
    <t>Laca negra814004293PINTUPASTO</t>
  </si>
  <si>
    <t>Pago estación meteorológica NAOS</t>
  </si>
  <si>
    <t>Soldadura para pvc900461641J ALBERTO</t>
  </si>
  <si>
    <t>Tornillos814004717TODO TORNILLO</t>
  </si>
  <si>
    <t>Transporte Stefanya rcn</t>
  </si>
  <si>
    <t>Guantes CarnazaFerretería FerroMac43599196</t>
  </si>
  <si>
    <t>Limpiones y tarros aguaAutoservicio el centavo menos</t>
  </si>
  <si>
    <t xml:space="preserve">1 Metro de platina de 125 y 150 amp36755475TECNO ELECTRICOS </t>
  </si>
  <si>
    <t>Caja de paso 15x1512969041ELECTRICAS AC</t>
  </si>
  <si>
    <t xml:space="preserve">Camara de comercio Medellin </t>
  </si>
  <si>
    <t>Certificado de libertad</t>
  </si>
  <si>
    <t>Curva pvc,union emt,tubo pvc-sch40,curva emt900447786UNIFORCE</t>
  </si>
  <si>
    <t xml:space="preserve">Hector Olmedo España desmontaje de capa vegetal naos </t>
  </si>
  <si>
    <t>Oscar Realpe Estudio de conexión Naos 2</t>
  </si>
  <si>
    <t>retencion asumida Hector España 6%</t>
  </si>
  <si>
    <t>Seguridad del sur Monitoreo</t>
  </si>
  <si>
    <t>Seguridad del sur rendimientos financieros</t>
  </si>
  <si>
    <t>Seguridad del sur rendimientos financieros retencion de ica 6*1000</t>
  </si>
  <si>
    <t>Seguridad del sur rendimientos financieros retencion en la fuente 7%</t>
  </si>
  <si>
    <t>Tornillos y wasa814004717RTODO TORNILLO</t>
  </si>
  <si>
    <t>Uber de tecno electricos a alimentos nariño1085346614CAMILO MELO</t>
  </si>
  <si>
    <t xml:space="preserve">Pago COMPRA INTL Hubspot </t>
  </si>
  <si>
    <t xml:space="preserve">Bancolombia </t>
  </si>
  <si>
    <t>Comida Juan manuel mister pollo</t>
  </si>
  <si>
    <t>alimentacion</t>
  </si>
  <si>
    <t>Tanque 2000LOf Construcciones1061753089</t>
  </si>
  <si>
    <t>AguaJorge Eliecer Lopez5207941</t>
  </si>
  <si>
    <t>Elementos AseoAutoservicio el centavo menos</t>
  </si>
  <si>
    <t>AseoDeisy vivana Enriquez1085687943</t>
  </si>
  <si>
    <t>Pago almuerzo Reve Legalizacion Andrea y Kelly</t>
  </si>
  <si>
    <t>Cable utp categoria 5 , aislador tipo escalera900795612GRUPO DEFA</t>
  </si>
  <si>
    <t>Cables</t>
  </si>
  <si>
    <t>pago anticipo MC4 Solar FFA 122</t>
  </si>
  <si>
    <t xml:space="preserve">Mantenimiento </t>
  </si>
  <si>
    <t>Pago hotel Loto Andrea</t>
  </si>
  <si>
    <t>Pago hotel Loto Kelly</t>
  </si>
  <si>
    <t xml:space="preserve">Poliza SURA Naos </t>
  </si>
  <si>
    <t xml:space="preserve">Poliza SURA Sonarplas </t>
  </si>
  <si>
    <t>Sonarplas</t>
  </si>
  <si>
    <t>Polizas</t>
  </si>
  <si>
    <t>RETENCION HOTEL LOTO 3,5%</t>
  </si>
  <si>
    <t>Tornillos turercas arandelas98386672UNIVERSAL DE TORNILLO</t>
  </si>
  <si>
    <t>PinturaJAVIER BENAVIDEAS891224230FUNDONAR</t>
  </si>
  <si>
    <t>TapabocasDROGUERIA POPULAR59820749ADMINISTRACION</t>
  </si>
  <si>
    <t>sst</t>
  </si>
  <si>
    <t xml:space="preserve">Pago alimentacion Naos </t>
  </si>
  <si>
    <t xml:space="preserve">Pago de camara de comercio Pasto </t>
  </si>
  <si>
    <t>Pago de V1501</t>
  </si>
  <si>
    <t>Pago electricos del valle</t>
  </si>
  <si>
    <t xml:space="preserve">Pago Harrison Camioneta </t>
  </si>
  <si>
    <t xml:space="preserve">Pago taxi Fundonar- oficina transporte herramienta Stefania </t>
  </si>
  <si>
    <t xml:space="preserve">efectivo </t>
  </si>
  <si>
    <t xml:space="preserve">Pago tikete Daniel Penalidad Cali-Pasto </t>
  </si>
  <si>
    <t xml:space="preserve">Pago Kokoriko </t>
  </si>
  <si>
    <t>rete ica  asumida almuerzo socio Maurico 6*1000</t>
  </si>
  <si>
    <t>retencion en la fuente asumida almuerzo socio Maurico 3,5%</t>
  </si>
  <si>
    <t xml:space="preserve">Pago la Cali </t>
  </si>
  <si>
    <t xml:space="preserve">Pago V15 Almuerzo  socio Mauricio </t>
  </si>
  <si>
    <t>BrochaJALBERTO900461641FUNDONAR</t>
  </si>
  <si>
    <t>Estuco acrilico , rodilloJALBERTO900461641FUNDONAR</t>
  </si>
  <si>
    <t>Borna 2awgABYAR SAS901072140ALIMENTOS NARIÑO</t>
  </si>
  <si>
    <t>Rodillo 9"FERRE  EXPRESS1085294438FUNDONAR</t>
  </si>
  <si>
    <t>Punta de taladro ,tornillos autoperforantesTODO TORNILLO814004717FUNDONAR</t>
  </si>
  <si>
    <t>Terminal de ponchar #2GRUPO DEFA900795612ALIMENTOS NARIÑO</t>
  </si>
  <si>
    <t>Uber de alimentos nariño a fundonarCAMILO MELO1085346614FUNDONAR</t>
  </si>
  <si>
    <t>Uber de oficina a fundonarCAMILO MELO1085346614FUNDONAR</t>
  </si>
  <si>
    <t>uber de fundonar a oficina CAMILO MELO1085346614FUNDONAR</t>
  </si>
  <si>
    <t>Uber de alimentos nariño a oficinaCAMILO MELO1085346614ALIMENTOS NARIÑO</t>
  </si>
  <si>
    <t>Transporte Cali-AeropuertoJuan Fernando Paniagua1055836162</t>
  </si>
  <si>
    <t>Parqueadero carro Medellín Kelly Alvarez  legalizacion NAOS 1</t>
  </si>
  <si>
    <t xml:space="preserve">Peaje Aeropuerto - Medellín Kelly Alvarez  legalizacion NAOS 1 </t>
  </si>
  <si>
    <t>Taxi Unicentro - Hotel Kelly Alvarez  legalizacion NAOS1</t>
  </si>
  <si>
    <t xml:space="preserve">Pago licencia Microsoft Juan Manuel </t>
  </si>
  <si>
    <t xml:space="preserve">Almuerzo Andrea Jaramillo Legalizacion  </t>
  </si>
  <si>
    <t>peaje Villaricafideicomiso rutas del valle830054539</t>
  </si>
  <si>
    <t>peaje rutas del vallefideicomiso rutas del valle830054539</t>
  </si>
  <si>
    <t>peaje el bordopeaje el bordo800185008</t>
  </si>
  <si>
    <t>Transporte remolino Pasto (Juan F. Paniagua)Juan Fernando Paniagua1055836162</t>
  </si>
  <si>
    <t>Trans. remolino Pasto (x3, Ivan, Rudy, Oscar)Juan Fernando Paniagua1055836162</t>
  </si>
  <si>
    <t xml:space="preserve">Ingreso Acuagen Diciembre </t>
  </si>
  <si>
    <t xml:space="preserve">Pago abogada Ana Maria Muñoz </t>
  </si>
  <si>
    <t>Asesoria</t>
  </si>
  <si>
    <t xml:space="preserve">Pago Anticipo Erika </t>
  </si>
  <si>
    <t xml:space="preserve">Pago anticipo estructura Fundonar </t>
  </si>
  <si>
    <t>Refuerzo estructura</t>
  </si>
  <si>
    <t>Pago Ascenso capital</t>
  </si>
  <si>
    <t>Pago Ascenso retencion intereses 7%</t>
  </si>
  <si>
    <t xml:space="preserve">Pago Compra de aseo y cafeteria Alkosto </t>
  </si>
  <si>
    <t>Pago ascenso intereses</t>
  </si>
  <si>
    <t xml:space="preserve">Comision ascenso </t>
  </si>
  <si>
    <t>Pago Finaktiva capital</t>
  </si>
  <si>
    <t xml:space="preserve">Pago Nubia Chaucanes </t>
  </si>
  <si>
    <t xml:space="preserve">Pago intereres finaktiva </t>
  </si>
  <si>
    <t>Pago retencion finaktiva</t>
  </si>
  <si>
    <t xml:space="preserve">Pago seguridad social admon Medellin </t>
  </si>
  <si>
    <t>Pago seguridad social admon Pasto</t>
  </si>
  <si>
    <t>Pago seguridad social obra</t>
  </si>
  <si>
    <t>Pago transporte alimentos Nariño Miguel Enriquez</t>
  </si>
  <si>
    <t>ReteIVA Ana Maria Muñoz</t>
  </si>
  <si>
    <t>retencion asumida intereses papa Hermann 7%</t>
  </si>
  <si>
    <t xml:space="preserve">PAGO LOCALIZA </t>
  </si>
  <si>
    <t>Pago en compra de Notaria 26</t>
  </si>
  <si>
    <t>Pklanos medioARQUI,MAQUETAS52040003ALIMENTOS NARIÑO</t>
  </si>
  <si>
    <t>Taxi de las americas a oficinaCAMILO MELO1085346614CARNES LA LUJOSA</t>
  </si>
  <si>
    <t>Carnes Lujosa</t>
  </si>
  <si>
    <t>Uber de el estadio hasta oficinaCAMILO MELO1085346614CARNES LA LUJOSA</t>
  </si>
  <si>
    <t xml:space="preserve">Pago buseta a Tangua multicarnes la lujosa </t>
  </si>
  <si>
    <t xml:space="preserve">Pago combustible a Hermann Naos </t>
  </si>
  <si>
    <t xml:space="preserve">Pago dictamen Contadora Janeth Henao </t>
  </si>
  <si>
    <t>Pago dictamen Contadora Janeth Henao retencion 10%</t>
  </si>
  <si>
    <t xml:space="preserve">Pago peajes ventas </t>
  </si>
  <si>
    <t xml:space="preserve">Pago de Solsticio </t>
  </si>
  <si>
    <t>CINTA SOCO , LIJA , AEROSOLPINTUPASTO814004293CARNES LA LUJOSA</t>
  </si>
  <si>
    <t>Tornillos de 3" , arandelas neofreno ,disco dewaltTODO TORNILLO814004717CARNES LA LUJOSA</t>
  </si>
  <si>
    <t>TimbreRADIO SANYO900690379ADMINISTRACION</t>
  </si>
  <si>
    <t>Gasolinaservicentro remolino sas814000666</t>
  </si>
  <si>
    <t>FrutasJuan Fernando Paniagua1055836162</t>
  </si>
  <si>
    <t>Transporte Pasto Remolino (Juan F. Paniagua)Juan Fernando Paniagua1055836162</t>
  </si>
  <si>
    <t>Pan y Hielo para obraJuan Fernando Paniagua1055836162</t>
  </si>
  <si>
    <t>Implementos aseo obra</t>
  </si>
  <si>
    <t xml:space="preserve">Pago 2do anticipo jj mallas Naos </t>
  </si>
  <si>
    <t>Pago casa andina Carnes la lujosa</t>
  </si>
  <si>
    <t xml:space="preserve">Pago Credito Banco Bogota </t>
  </si>
  <si>
    <t xml:space="preserve">Pago Credito Davivienda </t>
  </si>
  <si>
    <t xml:space="preserve">Pago Dotasol extintor chaquetas Loren y Veronica </t>
  </si>
  <si>
    <t xml:space="preserve">Pago motocierra Naos </t>
  </si>
  <si>
    <t xml:space="preserve">Pago plan celular comercial </t>
  </si>
  <si>
    <t>Plan celular</t>
  </si>
  <si>
    <t xml:space="preserve">Pago plan celular oficina </t>
  </si>
  <si>
    <t xml:space="preserve">Pago transporte Tangua - Pasto </t>
  </si>
  <si>
    <t xml:space="preserve">Pago de peajes a Hermann ventas </t>
  </si>
  <si>
    <t xml:space="preserve">Suramerica Eps Kelly Vallejos </t>
  </si>
  <si>
    <t xml:space="preserve">Pago Canva </t>
  </si>
  <si>
    <t>HerramientasFerretería FerroMac43599196</t>
  </si>
  <si>
    <t>Estructura Solaire</t>
  </si>
  <si>
    <t>Distribuidora vidrios Centenario</t>
  </si>
  <si>
    <t>Flete de Equipos Solaire</t>
  </si>
  <si>
    <t>Flete Equipos</t>
  </si>
  <si>
    <t>Inversores Solaire</t>
  </si>
  <si>
    <t>Inversores Solares</t>
  </si>
  <si>
    <t xml:space="preserve">Pago Asysel Cinar Sistemas </t>
  </si>
  <si>
    <t>Cinar Sistemas</t>
  </si>
  <si>
    <t>comunicaciones</t>
  </si>
  <si>
    <t>Paneles solares solaire</t>
  </si>
  <si>
    <t>Rete Ica 6*1000</t>
  </si>
  <si>
    <t>Retencion 2,5% Paneles solares solaire</t>
  </si>
  <si>
    <t>Retención estructuras solaire</t>
  </si>
  <si>
    <t>Retención fletes Equipos Solaire</t>
  </si>
  <si>
    <t>Retencion inversores 2,5% inversores Solaire</t>
  </si>
  <si>
    <t xml:space="preserve">Pago parasol Naos Rubiela Rodriguez </t>
  </si>
  <si>
    <t xml:space="preserve">Pago Soluciones Dupla </t>
  </si>
  <si>
    <t xml:space="preserve">Pago Humberto Rosero fundoar </t>
  </si>
  <si>
    <t>Pago taxi Fundonar- oficina transporte</t>
  </si>
  <si>
    <t xml:space="preserve">Pago combustible Hermann Ipiales </t>
  </si>
  <si>
    <t xml:space="preserve">Anticipo 30% Sonar Plas </t>
  </si>
  <si>
    <t>Anticipo proyectos</t>
  </si>
  <si>
    <t xml:space="preserve">Pago de credito a Banco Bogota </t>
  </si>
  <si>
    <t xml:space="preserve">Pago transporte carnes la lujosa Wilian Basante </t>
  </si>
  <si>
    <t xml:space="preserve">Pago transporte administracion </t>
  </si>
  <si>
    <t xml:space="preserve">Pago transporte Alimentos narilo wilian Basante </t>
  </si>
  <si>
    <t>Pago de credito a Banco Bogota intereses</t>
  </si>
  <si>
    <t>NylonFerretería FerroMac43599196</t>
  </si>
  <si>
    <t>Material cajas de pasoFerretería FerroMac43599196</t>
  </si>
  <si>
    <t>Material cajas de pasoFerretería FerroMac43599196 Retencion asumida  3,5%</t>
  </si>
  <si>
    <t>discos de corteFerretería FerroMac43599196</t>
  </si>
  <si>
    <t>plomo de construcción</t>
  </si>
  <si>
    <t>Plomada AVILA WAGNERNAOS</t>
  </si>
  <si>
    <t>BLOQUEADOR TANGADROGUERIA POPULARNAOS</t>
  </si>
  <si>
    <t>Transporte de pasto a remolinoCAMILO MELONAOS</t>
  </si>
  <si>
    <t>Marquillas y acrilicosBICOLORALIMENTOS NARIÑO</t>
  </si>
  <si>
    <t xml:space="preserve">Pago paneles Hito Amara </t>
  </si>
  <si>
    <t>Hito</t>
  </si>
  <si>
    <t>Retención paneles Hito</t>
  </si>
  <si>
    <t xml:space="preserve">Pago Balcones de Pubenza Amara </t>
  </si>
  <si>
    <t>Balcones de pubenza</t>
  </si>
  <si>
    <t>Pago transporte Tangua - Pasto Francisco Buesaquillo</t>
  </si>
  <si>
    <t>Pago hotel cuellar</t>
  </si>
  <si>
    <t xml:space="preserve">Pago trasnporte miguel Enriquez </t>
  </si>
  <si>
    <t>pago 4*1000 Hyperion</t>
  </si>
  <si>
    <t xml:space="preserve">Pago phylo sas asesoria </t>
  </si>
  <si>
    <t>Pago tiquete Daniel Medellin</t>
  </si>
  <si>
    <t>Anticipo 40% alimentos Nariño</t>
  </si>
  <si>
    <t>anticipo</t>
  </si>
  <si>
    <t xml:space="preserve">Pago polizas generacion Naos </t>
  </si>
  <si>
    <t xml:space="preserve">Pago central de mantenimeinto de Naos </t>
  </si>
  <si>
    <t xml:space="preserve">Pago central de mantenimeinto de Naos Camilo legalizacion </t>
  </si>
  <si>
    <t xml:space="preserve">Pago Ica municipio de Pasto </t>
  </si>
  <si>
    <t xml:space="preserve">Pago Maria Jose Guerrero </t>
  </si>
  <si>
    <t>Pago intereses Maria Jose Guerrero</t>
  </si>
  <si>
    <t xml:space="preserve">Retencion asumida por el 7% Maaria Jose Guerreo </t>
  </si>
  <si>
    <t>Pasajes Pasto-IpialesExpreso Valle de Atriz</t>
  </si>
  <si>
    <t>Taxis Terminal-restauranteMiguel Enriquez Ch</t>
  </si>
  <si>
    <t>Taxis restaurante- Ferre AndinaMiguel Enriquez Ch</t>
  </si>
  <si>
    <t>Taxi terminalMiguel Enriquez Ch</t>
  </si>
  <si>
    <t>AlmuerzoEstadero Tropical</t>
  </si>
  <si>
    <t>PeajeConsecionaria Union Vial del Sur</t>
  </si>
  <si>
    <t>Pasaje Ipiales-PastoExpreso Valle de Atriz</t>
  </si>
  <si>
    <t xml:space="preserve">Pago Texcol sas Naos </t>
  </si>
  <si>
    <t>Pago phylo SAS</t>
  </si>
  <si>
    <t>Pago Camara de comercio GD Remolino</t>
  </si>
  <si>
    <t>se debe a Hermann</t>
  </si>
  <si>
    <t>Lija , sellador, laca , espatulasFERRETERIA FERADMINISTRACION</t>
  </si>
  <si>
    <t>Pata gruesa niveladorFERRETERIA FERADMINISTRACION</t>
  </si>
  <si>
    <t>Tornillos briwall 1"FERRETERIA LA 16ADMINISTRACION</t>
  </si>
  <si>
    <t>Botella de tinerFERRETERIA LA 16ADMINISTRACION</t>
  </si>
  <si>
    <t>100 Tornillos briwall 1"1/2FERRETERIA LA 16ADMINISTRACION</t>
  </si>
  <si>
    <t>par de pilasFERRETERIA LA 16ADMINISTRACION</t>
  </si>
  <si>
    <t>Pago phylo SAS retencion 11%</t>
  </si>
  <si>
    <t xml:space="preserve">Pago Santigo Carnets Loren, Veronica </t>
  </si>
  <si>
    <t xml:space="preserve">Pago ajuste planilla Medellin </t>
  </si>
  <si>
    <t>Pago alimentacion Naos 2</t>
  </si>
  <si>
    <t xml:space="preserve">anticipo pago Cinar sistema 10% </t>
  </si>
  <si>
    <t xml:space="preserve">Pago Transporte Tigre de la rebaja Miguel </t>
  </si>
  <si>
    <t>Tigre de la Rebaja Santander</t>
  </si>
  <si>
    <t xml:space="preserve">Pago transporte visita mantenimiento Ed. Gran avenida Eduardo </t>
  </si>
  <si>
    <t>Gran avenida</t>
  </si>
  <si>
    <t>Pago transporte visita tecnica inversiones cinar Sistema  Eduardo</t>
  </si>
  <si>
    <t xml:space="preserve">Nomina Jason 50% Carnes la lujosa </t>
  </si>
  <si>
    <t xml:space="preserve">Nomina Jason 50% Alimentos Nariño </t>
  </si>
  <si>
    <t>Nomina Sandra Carolina  50% carnes lujosas</t>
  </si>
  <si>
    <t>Nomina Sandra Carolina  50% Alimentos Nariño</t>
  </si>
  <si>
    <t>Nomina Jose Alveiro 50% carnes lujosas</t>
  </si>
  <si>
    <t>Nomina Jose Alveiro 50% Aliementos Nariño</t>
  </si>
  <si>
    <t>Nomina Carlos Andres 50% carnes lujosas</t>
  </si>
  <si>
    <t>Nomina Carlos Andres 50% Alimentos Nariño</t>
  </si>
  <si>
    <t xml:space="preserve">Nomina segundo Naos </t>
  </si>
  <si>
    <t xml:space="preserve">Nomina Manuel Naos </t>
  </si>
  <si>
    <t xml:space="preserve">Nominca Camilo Melo </t>
  </si>
  <si>
    <t>Nomina Danna Lasso</t>
  </si>
  <si>
    <t>Ingeniería</t>
  </si>
  <si>
    <t xml:space="preserve">Nomina Jean Carlos </t>
  </si>
  <si>
    <t>Nomina Miguel Enriquez</t>
  </si>
  <si>
    <t xml:space="preserve">Nomina Juan Fernando </t>
  </si>
  <si>
    <t xml:space="preserve">Nomina Andrea </t>
  </si>
  <si>
    <t xml:space="preserve">Nomina Jhoana </t>
  </si>
  <si>
    <t xml:space="preserve">Nomina Isabela </t>
  </si>
  <si>
    <t xml:space="preserve">Nomina Hermann </t>
  </si>
  <si>
    <t xml:space="preserve">Nomina Loren Diaz </t>
  </si>
  <si>
    <t xml:space="preserve">Nomina Daniel </t>
  </si>
  <si>
    <t xml:space="preserve">Nomina Kelly </t>
  </si>
  <si>
    <t xml:space="preserve">Nomina Veronica </t>
  </si>
  <si>
    <t xml:space="preserve">Nomina Juan Manuel </t>
  </si>
  <si>
    <t>Nomina Steven 50% Carnes lujosas</t>
  </si>
  <si>
    <t>Nomina Steven 50% alimentos Nariño</t>
  </si>
  <si>
    <t xml:space="preserve">Pago Chaterin Arevalo </t>
  </si>
  <si>
    <t xml:space="preserve">Anticipo 50% acueducto Pupiales </t>
  </si>
  <si>
    <t>Acueducto Pupiales</t>
  </si>
  <si>
    <t xml:space="preserve">Pago Defa Carnes Lujosas </t>
  </si>
  <si>
    <t>Pago Defa Carnes Lujosas rete ica 3*1000</t>
  </si>
  <si>
    <t xml:space="preserve">Pago Lean Case </t>
  </si>
  <si>
    <t>Pago Lean Case rertencion 11%</t>
  </si>
  <si>
    <t xml:space="preserve">Pogo Impecol </t>
  </si>
  <si>
    <t xml:space="preserve">Pago poliza proyectos mantenimiento </t>
  </si>
  <si>
    <t>Devolucion de pago Casa Andina</t>
  </si>
  <si>
    <t xml:space="preserve">Pago Dispropan </t>
  </si>
  <si>
    <t xml:space="preserve">Pago Notaria primera de Pasto Autenticacion firmas e identificacion biometrica Daniel </t>
  </si>
  <si>
    <t xml:space="preserve">Pago impresiones Daniel </t>
  </si>
  <si>
    <t xml:space="preserve">Pago Milenio </t>
  </si>
  <si>
    <t xml:space="preserve">Pago legalizacion Stefany Casa Andina </t>
  </si>
  <si>
    <t>Pago Legalizacion Stefany alimentacion Tangua</t>
  </si>
  <si>
    <t>Pago Insegal Jhon y Plablo</t>
  </si>
  <si>
    <t>Pago Insegal Jhon y Plablo retencion en la fuente 11%</t>
  </si>
  <si>
    <t>Pago Insegal Jhon y Plablo retencion en Ica 6*1000</t>
  </si>
  <si>
    <t xml:space="preserve">Pago Ferromac </t>
  </si>
  <si>
    <t>Pago Ferromac retencion de 3,5%</t>
  </si>
  <si>
    <t xml:space="preserve">Pago Erika Compension ambiental Naos </t>
  </si>
  <si>
    <t>Pago electricos del valle Naos</t>
  </si>
  <si>
    <t>Pago electricos DEL VALLE carnes lujosas</t>
  </si>
  <si>
    <t>Pago electricos del valle Alimentos Nariño</t>
  </si>
  <si>
    <t xml:space="preserve">Pago Electricos boyaca Carnes lujosas </t>
  </si>
  <si>
    <t>Tableros de Distribución</t>
  </si>
  <si>
    <t>Pago Electricos boyaca Carnes lujosas retencion en la fuente 2,5%</t>
  </si>
  <si>
    <t xml:space="preserve">Transporte Pasto - Tangua Franco Buesaquillo </t>
  </si>
  <si>
    <t>Bornados evoltiBORDADOSCamilo Esteban M.</t>
  </si>
  <si>
    <t>CanastillasDON PEPECamilo Esteban M.</t>
  </si>
  <si>
    <t>FACTURA NUMERO FEDO 42813GRUPO DEFACamilo Esteban M.</t>
  </si>
  <si>
    <t>Caja de paso, curvas ,tapa raweltCASA DIELECTRICACamilo Esteban M.</t>
  </si>
  <si>
    <t>Terminal sch40 2"ELECTRICAS ACCamilo Esteban M.</t>
  </si>
  <si>
    <t>Bloqueador tangaDROGUERIA VERSALLESCamilo Esteban M.</t>
  </si>
  <si>
    <t>Brocas escalonadas, chazosTODO TORNILLOCamilo Esteban M.</t>
  </si>
  <si>
    <t>SIM card claroCAMILO MELOCamilo Esteban M.</t>
  </si>
  <si>
    <t>GD EL REMOLINO TRAMITESCAMARA DE COMERCIOCamilo Esteban M.</t>
  </si>
  <si>
    <t>Uber de casa electrica a oficina CAMILO MELOCamilo Esteban M.</t>
  </si>
  <si>
    <t>pan y HieloJuan Fernando PaniaguaJuan F Paniagua</t>
  </si>
  <si>
    <t xml:space="preserve">Juan Fernando </t>
  </si>
  <si>
    <t>FrutasJuan Fernando PaniaguaJuan F Paniagua</t>
  </si>
  <si>
    <t>Viaticos (Segundo Y Jeancarlo) ida y vuelta a Pasto Jeancarlo MoncayoJeancarlo G Moncayo</t>
  </si>
  <si>
    <t>Jean Carlos</t>
  </si>
  <si>
    <t>HieloJeancarlo MoncayoJeancarlo G Moncayo</t>
  </si>
  <si>
    <t>Domicilio desayuno a obra (Via bloqueada)Jeancarlo MoncayoJeancarlo G Moncayo</t>
  </si>
  <si>
    <t>PanJeancarlo MoncayoJeancarlo G Moncayo</t>
  </si>
  <si>
    <t>15 Tablas para formaletaFerretería FerroMacJeancarlo G Moncayo</t>
  </si>
  <si>
    <t>Cinta metrica de 50 metros AVILA WAGNERCamilo Esteban M.</t>
  </si>
  <si>
    <t xml:space="preserve">Pago casa Andina   </t>
  </si>
  <si>
    <t xml:space="preserve">Anticipo JCT Micropilotes Naos </t>
  </si>
  <si>
    <t xml:space="preserve">Pago Remolino Diego, Albeiro, Jhonsin </t>
  </si>
  <si>
    <t xml:space="preserve">Pago Origen Dotacion </t>
  </si>
  <si>
    <t>Pago Origen Dotacion  rete ica 6*100</t>
  </si>
  <si>
    <t xml:space="preserve">Pago papeleria La castellana </t>
  </si>
  <si>
    <t xml:space="preserve">Pago recarga impresora Marcela </t>
  </si>
  <si>
    <t xml:space="preserve">Pago Agrico distribuidora guadaña </t>
  </si>
  <si>
    <t>Pago creacion sociedad Naos 2</t>
  </si>
  <si>
    <t>NAOS2</t>
  </si>
  <si>
    <t>Pago creacion sociedad Naos 3</t>
  </si>
  <si>
    <t>NAOS3</t>
  </si>
  <si>
    <t xml:space="preserve">Pago certificcado UPME alimentos Nariño </t>
  </si>
  <si>
    <t>UPME</t>
  </si>
  <si>
    <t xml:space="preserve">Pago Hotel remolino </t>
  </si>
  <si>
    <t>Pago Hotel remolino Rete fuente 3,5%</t>
  </si>
  <si>
    <t>Transporte Tangua - Pasto Miguel Enriquez</t>
  </si>
  <si>
    <t>Transporte Chapal- oficina Miguel Enriquez</t>
  </si>
  <si>
    <t>Uber de oficina a surtiequiposCAMILO MELOCamilo Esteban M.</t>
  </si>
  <si>
    <t>Piaggio de surtiequipos a terminal mixtoCAMILO MELOCamilo Esteban M.</t>
  </si>
  <si>
    <t>Trasporte de pasto a remolinoCAMILO MELOCamilo Esteban M.</t>
  </si>
  <si>
    <t>Uber de terminal mixto a oficina CAMILO MELOCamilo Esteban M.</t>
  </si>
  <si>
    <t>Caja de paso 15x15CASA DIELECTRICACamilo Esteban M.</t>
  </si>
  <si>
    <t>Uber de casa electrica a oficinaCAMILO MELOCamilo Esteban M.</t>
  </si>
  <si>
    <t>despinchada de llanta de escuter CAMILO MELOCamilo Esteban M.</t>
  </si>
  <si>
    <t>ingreso Campos de aragon enero</t>
  </si>
  <si>
    <t xml:space="preserve">Ingreso pago  Arboleda </t>
  </si>
  <si>
    <t>Pago horas Don Alvaro (uso motobomba)Juan Fernando PaniaguaJuan F Paniagua</t>
  </si>
  <si>
    <t>manguera aguaFerro MacJuan F Paniagua</t>
  </si>
  <si>
    <t>tambores de aguaFerro MacJuan F Paniagua</t>
  </si>
  <si>
    <t>Pago microssotf</t>
  </si>
  <si>
    <t>2 Botellones de aguaJeancarlo MoncayoJeancarlo G Moncayo</t>
  </si>
  <si>
    <t>Tanque 1000 Lt, cemento y tuberiaFerretería FerroMacJeancarlo G Moncayo</t>
  </si>
  <si>
    <t>Aseo x 5 habitacionesJeancarlo MoncayoJeancarlo G Moncayo</t>
  </si>
  <si>
    <t>2 lb de grasa, 2 machos 1" y 2 hembras 1"Ferretería FerroMacJeancarlo G Moncayo</t>
  </si>
  <si>
    <t>Tanqueada de camionetaEDS Corporación RemolinoJeancarlo G Moncayo</t>
  </si>
  <si>
    <t>Viaticos viaje a pasto ida y vuelta (Juan Fernando)Juan Fernando PaniaguaJeancarlo G Moncayo</t>
  </si>
  <si>
    <t>Hora extras de trabajo (Bombeo agua) Alvaro Usama Mayordomo NaosJeancarlo G Moncayo</t>
  </si>
  <si>
    <t>2 Botellones de aguaTienda Lopez FigueroaJeancarlo G Moncayo</t>
  </si>
  <si>
    <t>Piola para plomadaFerretería FerroMacJeancarlo G Moncayo</t>
  </si>
  <si>
    <t>Sandias x 2Jeancarlo MoncayoJeancarlo G Moncayo</t>
  </si>
  <si>
    <t>Clavos de 2" y cinta grande x 2Ferretería FerroMacJeancarlo G Moncayo</t>
  </si>
  <si>
    <t>Viaticos viaje a pasto ida y vuelta (Rudy, Ivan y oscar)Jeancarlo MoncayoJeancarlo G Moncayo</t>
  </si>
  <si>
    <t>CaféD1 SASJuan F Paniagua</t>
  </si>
  <si>
    <t>Tanqueada de camionetaEDS Terpel Rio MayoJeancarlo G Moncayo</t>
  </si>
  <si>
    <t>Careta Guadaña, Zegueta, cable para guadañarFerretería FerroMacJeancarlo G Moncayo</t>
  </si>
  <si>
    <t>Cemento gris argos x 7AgricoJeancarlo G Moncayo</t>
  </si>
  <si>
    <t>Arena y gravlla x 26 bultosAgricoJeancarlo G Moncayo</t>
  </si>
  <si>
    <t>Hilo corte redondo stihl guadaña x 20 metrosAgricoJeancarlo G Moncayo</t>
  </si>
  <si>
    <t>Macho presión arreglo tubo 3"Ferro MacJuan F Paniagua</t>
  </si>
  <si>
    <t>Riego terrenoFerro MacJuan F Paniagua</t>
  </si>
  <si>
    <t>Viaticos viaje a pasto ida y vuelta (Jeancarlo)Jeancarlo MoncayoJeancarlo G Moncayo</t>
  </si>
  <si>
    <t>ACPM Planta electricaJeancarlo MoncayoJeancarlo G Moncayo</t>
  </si>
  <si>
    <t>Pago Jhonsi un dia pendiente por pagarJeancarlo G Moncayo</t>
  </si>
  <si>
    <t>CalOf ConstruccionesJuan F Paniagua</t>
  </si>
  <si>
    <t>gasolina motosierraestacion de servicio rio mayoJuan F Paniagua</t>
  </si>
  <si>
    <t xml:space="preserve">Transporte visita tecnica congenar Eduardo </t>
  </si>
  <si>
    <t>Transporte visita tecnica a gran avenida y regreso casa Evolti Eduardo</t>
  </si>
  <si>
    <t xml:space="preserve">Pago IT certficado retie casa Humberto </t>
  </si>
  <si>
    <t>Retie</t>
  </si>
  <si>
    <t xml:space="preserve">Pago Anticipo Jimmi Topografo </t>
  </si>
  <si>
    <t xml:space="preserve">Pago Dotasol Eslingas y Arnes </t>
  </si>
  <si>
    <t xml:space="preserve">Pago Anticipo Carlos Achicanoy  maquinaria </t>
  </si>
  <si>
    <t>Pago Dotasol Eslingas y Arnes Rete ica 6*1000</t>
  </si>
  <si>
    <t>Cancelacion situacion de control CAMARA DE COMERCIOCamilo Esteban M.</t>
  </si>
  <si>
    <t>Monja , capa pvcSLOGOCCamilo Esteban M.</t>
  </si>
  <si>
    <t>Cancelacion situacion de control GOBERNACIONCamilo Esteban M.</t>
  </si>
  <si>
    <t>MouseEXICOMPASTOCamilo Esteban M.</t>
  </si>
  <si>
    <t>aceite motosierraAlmacen DelmotosJuan F Paniagua</t>
  </si>
  <si>
    <t>lima para motosierraagrico distribuidoraJuan F Paniagua</t>
  </si>
  <si>
    <t>Pago tramites sociedad</t>
  </si>
  <si>
    <t>bancolombia</t>
  </si>
  <si>
    <t>Gasolina SaltarinEDS Rio MayoJuan F Paniagua</t>
  </si>
  <si>
    <t>Formaletas cajas de pasoFerro MacJuan F Paniagua</t>
  </si>
  <si>
    <t xml:space="preserve">Transporte Bellatriz - oficina Miguel Enriquez </t>
  </si>
  <si>
    <t xml:space="preserve">Pago Carnets y stickers santiago </t>
  </si>
  <si>
    <t xml:space="preserve">Pago ferreteria J Alberto Hito </t>
  </si>
  <si>
    <t>Pago ferreteria J Alberto Hito Rete ica 6*1000</t>
  </si>
  <si>
    <t>AseoDeisy vivana EnriquezJuan F Paniagua</t>
  </si>
  <si>
    <t>Gasolina (viaticos Ing Ambiental y SST)EDS MorasurcoJuan F Paniagua</t>
  </si>
  <si>
    <t>Peaje (viaticos Ing Ambiental y SST)Peaje CanoJuan F Paniagua</t>
  </si>
  <si>
    <t>IncecticidaD1 SASJuan F Paniagua</t>
  </si>
  <si>
    <t xml:space="preserve">Transporte pasto - Tangua Camilo Melo </t>
  </si>
  <si>
    <t xml:space="preserve">Pago Umpe Naos </t>
  </si>
  <si>
    <t xml:space="preserve">Pago Parasol Mercado libre </t>
  </si>
  <si>
    <t xml:space="preserve">Pago Dotasol Linea de Vida </t>
  </si>
  <si>
    <t xml:space="preserve">Pago Legalizacion Daniel </t>
  </si>
  <si>
    <t>reuniones</t>
  </si>
  <si>
    <t xml:space="preserve">Pago Amara Sonarplus </t>
  </si>
  <si>
    <t>Pago Amara Sonarplus Retencion en la fuente 2,5%</t>
  </si>
  <si>
    <t>Pago video Platinum y fundonar daniel</t>
  </si>
  <si>
    <t>Publicidad</t>
  </si>
  <si>
    <t xml:space="preserve">Pago Multicarnes la lujosa Humberto Rosero </t>
  </si>
  <si>
    <t xml:space="preserve">Pago total JJ Mallas Naos </t>
  </si>
  <si>
    <t xml:space="preserve">Pago Dotasol Linea de Vida Rete Ica </t>
  </si>
  <si>
    <t xml:space="preserve">Pago Internet Tigo </t>
  </si>
  <si>
    <t>Conector recto corazaCASA ELECTRICACamilo Esteban M.</t>
  </si>
  <si>
    <t>Rodachines ,espatula,portacandadoJ albertoCamilo Esteban M.</t>
  </si>
  <si>
    <t>A randelas y tornillos autoperforantesTODO TORNILLOCamilo Esteban M.</t>
  </si>
  <si>
    <t>Llaves mixtas , cinta metricaAVILA WAGNERCamilo Esteban M.</t>
  </si>
  <si>
    <t>Vcargadores para pilas, perilleroRADIO SANYOCamilo Esteban M.</t>
  </si>
  <si>
    <t>MarcadoresDISTRIBUCIONES ABCamilo Esteban M.</t>
  </si>
  <si>
    <t>factura ECR 17991 j albertoJ ALBERTOCamilo Esteban M.</t>
  </si>
  <si>
    <t xml:space="preserve">traslado a Fiducia </t>
  </si>
  <si>
    <t>fiducia</t>
  </si>
  <si>
    <t>Almuerzos (viaticos Ing Ambiental y SST)Juan Fernando PaniaguaJuan F Paniagua</t>
  </si>
  <si>
    <t>Tiquete pasto_cali JFPTransipialesJuan F Paniagua</t>
  </si>
  <si>
    <t>Tiquete pasto_cali JMTransipialesJuan F Paniagua</t>
  </si>
  <si>
    <t xml:space="preserve">Pago Seguridad del sur Monitoreo </t>
  </si>
  <si>
    <t>InsunaDISTRIBUCIONES ABCARNES LUJOSASCamilo Esteban M.</t>
  </si>
  <si>
    <t>Hidratacióncentavo menosJuan F Paniagua</t>
  </si>
  <si>
    <t xml:space="preserve">Pago Aliemntacion Naos </t>
  </si>
  <si>
    <t xml:space="preserve">Pago UPME Casa Humberto </t>
  </si>
  <si>
    <t xml:space="preserve">Pago Electricos Boyaca Hito </t>
  </si>
  <si>
    <t>Pago Electricos Boyaca Hito Rete Ica 3*1000</t>
  </si>
  <si>
    <t>Disco de corte , tornillos autoperforantes TODO TORNILLOCARNES LUJOSASCamilo Esteban M.</t>
  </si>
  <si>
    <t>Sika flex costructionCASA ANDINA HITOCamilo Esteban M.</t>
  </si>
  <si>
    <t>Tornillos autoperforantesTODO TORNILLOHITOCamilo Esteban M.</t>
  </si>
  <si>
    <t>SALDO DE TALADROJ ALBERTOHITOCamilo Esteban M.</t>
  </si>
  <si>
    <t>Piaggio de oficina a HITOCAMILO MELOHITOCamilo Esteban M.</t>
  </si>
  <si>
    <t>Uber de oficina a HitoCAMILO MELOHITOCamilo Esteban M.</t>
  </si>
  <si>
    <t>Uber de hito a oficinaCAMILO MELOHITOCamilo Esteban M.</t>
  </si>
  <si>
    <t xml:space="preserve">Ingreso pago Fit Four </t>
  </si>
  <si>
    <t>Desayuno AeropuertoJuan F Paniagua</t>
  </si>
  <si>
    <t>15 Tablas y 1 palaOF ConstruccionesJeancarlo G Moncayo</t>
  </si>
  <si>
    <t>5 bultos de cemento y martilloOF ConstruccionesJeancarlo G Moncayo</t>
  </si>
  <si>
    <t>Viaticos Jeancarlo ida y vuelta a Pasto Jeancarlo MoncayoJeancarlo G Moncayo</t>
  </si>
  <si>
    <t>Carga gasolina para motosierraEDS Terpel Rio MayoJeancarlo G Moncayo</t>
  </si>
  <si>
    <t>2 bultos de cementoAgrico DistribuidoraJeancarlo G Moncayo</t>
  </si>
  <si>
    <t>Aceite quemado para formaletaJeancarlo MoncayoJeancarlo G Moncayo</t>
  </si>
  <si>
    <t>Pago Alkosto refrigerio oficina camilo</t>
  </si>
  <si>
    <t xml:space="preserve">Pago compra en parmessano </t>
  </si>
  <si>
    <t>Material para cajas de pasoOf ConstruccionesJuan F Paniagua</t>
  </si>
  <si>
    <t xml:space="preserve">Pago electricos Boyaca </t>
  </si>
  <si>
    <t xml:space="preserve">Anticipo Generacion Distribuida Naos </t>
  </si>
  <si>
    <t>Anticipo granjas</t>
  </si>
  <si>
    <t xml:space="preserve">Taxi Hito- Oficina Stefany </t>
  </si>
  <si>
    <t>Pago electricos del valle Pubenza</t>
  </si>
  <si>
    <t>Envio de pasto remolinoCAMILO MELONAOSCamilo Esteban M.</t>
  </si>
  <si>
    <t xml:space="preserve">pago camara de comercio Pasto </t>
  </si>
  <si>
    <t xml:space="preserve">Pago gobernacion nombramiento revisoria fiscal </t>
  </si>
  <si>
    <t>Pago gobernacion Reforma de estatutos</t>
  </si>
  <si>
    <t>Pago gobernacion Aumento de capital suscrito y pagado</t>
  </si>
  <si>
    <t xml:space="preserve">Pago compra Adobe </t>
  </si>
  <si>
    <t>Transporte  Pasto- Tangua Franco Buesaquillo</t>
  </si>
  <si>
    <t xml:space="preserve">Pago Mc4 solar </t>
  </si>
  <si>
    <t>Conectores rectos 2"ELECTRICAS ACCamilo Esteban M.</t>
  </si>
  <si>
    <t>Tornillos autoperforantes 3"TODO TORNILLOCamilo Esteban M.</t>
  </si>
  <si>
    <t>2 Metros de platina de 125 ampTECNO ELECRICOSCamilo Esteban M.</t>
  </si>
  <si>
    <t>Adaotador de copasTORNILLOS Y REMACHESCamilo Esteban M.</t>
  </si>
  <si>
    <t>Tornillos , arandelas , tuercas TODO TORNILLOCamilo Esteban M.</t>
  </si>
  <si>
    <t>Disco de corte , tornillos autoperforantesTODO TORNILLOCamilo Esteban M.</t>
  </si>
  <si>
    <t>Capacete 2"CASA DIELECTRICSCamilo Esteban M.</t>
  </si>
  <si>
    <t>Baja lenguas , Aplicador , yodopovilDROGUERIA VERSALLESCamilo Esteban M.</t>
  </si>
  <si>
    <t>vVinilo naranjaTIENDA GRAFICACamilo Esteban M.</t>
  </si>
  <si>
    <t>Cuchillas de bisturiPAPELERIA BUENDIACamilo Esteban M.</t>
  </si>
  <si>
    <t>Uber de todo tornillo a oficina CAMILO MELOCamilo Esteban M.</t>
  </si>
  <si>
    <t>Uber de tecno electricos a oficinaCAMILO MELOCamilo Esteban M.</t>
  </si>
  <si>
    <t>Uber de oficina a catambucoCAMILO MELOCamilo Esteban M.</t>
  </si>
  <si>
    <t>Uber de catambuco a oficina CAMILO MELOCamilo Esteban M.</t>
  </si>
  <si>
    <t>HidrataciónJorge Eliecer LopezJuan F Paniagua</t>
  </si>
  <si>
    <t>Gasolina CamionetaEDS Rio MayoJuan F Paniagua</t>
  </si>
  <si>
    <t>Transporte remolino Pasto (Segundo Gelpud)Segundo GelpudJuan F Paniagua</t>
  </si>
  <si>
    <t>listones para formaletasFerro MacJuan F Paniagua</t>
  </si>
  <si>
    <t>clavos 3"Ferro MacJuan F Paniagua</t>
  </si>
  <si>
    <t>Aceite quemado para formaletasJuan Fernando PaniaguaJuan F Paniagua</t>
  </si>
  <si>
    <t>Transporte Pasto-Remolino (Manuel)Manuel CordobaJuan F Paniagua</t>
  </si>
  <si>
    <t>Transporte Pasto-Remolino (Juan Fernando)Juan Fernando PaniaguaJuan F Paniagua</t>
  </si>
  <si>
    <t>Lavada carroLavautos maridiazJuan F Paniagua</t>
  </si>
  <si>
    <t>CandadoFerro MacJuan F Paniagua</t>
  </si>
  <si>
    <t>Peaje el canoPeaje CanoJuan F Paniagua</t>
  </si>
  <si>
    <t>Peaje el CanoPeaje CanoJuan F Paniagua</t>
  </si>
  <si>
    <t>Taxi Stefanya lasso Electromillorania - arnulfo Davila- hotel Hito</t>
  </si>
  <si>
    <t>Taxi stefanya lasso Hito- oficina</t>
  </si>
  <si>
    <t xml:space="preserve">Pago sim administrativa pay pal </t>
  </si>
  <si>
    <t>camara de comercfio Pasto</t>
  </si>
  <si>
    <t xml:space="preserve">Pago maquinaria Freddy Martinez </t>
  </si>
  <si>
    <t xml:space="preserve">Pago Defa carnes lujosa </t>
  </si>
  <si>
    <t xml:space="preserve">Pago origen Naos </t>
  </si>
  <si>
    <t>Pago casa electrica carnes lujosas</t>
  </si>
  <si>
    <t xml:space="preserve">Pago Impuestos 1 </t>
  </si>
  <si>
    <t>Pago Impuestos 2</t>
  </si>
  <si>
    <t xml:space="preserve">Pago servientrega </t>
  </si>
  <si>
    <t xml:space="preserve">Transporte Pasto- Tangua Franco Buesaquillo </t>
  </si>
  <si>
    <t>Tornillo autoperforante 3", neufrenosTODO TORNILLOCamilo Esteban M.</t>
  </si>
  <si>
    <t>Brocas DISTRIPANELCamilo Esteban M.</t>
  </si>
  <si>
    <t>Cinta bandi , hebilla GRUPO DEFACamilo Esteban M.</t>
  </si>
  <si>
    <t>Copa  sierra de 2" y de 1" J ALBERTOCamilo Esteban M.</t>
  </si>
  <si>
    <t>Prensa stopa de 1"1/4TECNO ELECTRICOSCamilo Esteban M.</t>
  </si>
  <si>
    <t>Borna bimetalica #4 y # 10ELECTRICAS ACCamilo Esteban M.</t>
  </si>
  <si>
    <t>Piaggiio de defa a la oficinaCAMILO MELOCamilo Esteban M.</t>
  </si>
  <si>
    <t>Piaggio de casa dielectrica a oficina CAMILO MELOCamilo Esteban M.</t>
  </si>
  <si>
    <t>Piaggio de oficina a surtiequiposCAMILO MELOCamilo Esteban M.</t>
  </si>
  <si>
    <t>listones para formaletasOf ConstruccionesJuan F Paniagua</t>
  </si>
  <si>
    <t>Pala ahoyadoraFerro MacJuan F Paniagua</t>
  </si>
  <si>
    <t>lapices rojoscentavo menosJuan F Paniagua</t>
  </si>
  <si>
    <t xml:space="preserve">Pago Informe Ambiental </t>
  </si>
  <si>
    <t>Pago Finandina</t>
  </si>
  <si>
    <t>Pago Finandina intereses</t>
  </si>
  <si>
    <t>Pago camara de comercio Naos 2</t>
  </si>
  <si>
    <t xml:space="preserve">Pago Erika Naos </t>
  </si>
  <si>
    <t>PAGO FERRECOL</t>
  </si>
  <si>
    <t>novacentro</t>
  </si>
  <si>
    <t>Pago transporte Wilian Andres Basante Pantoja Naos</t>
  </si>
  <si>
    <t>Pago transporte Wilian Andres Basante Pantoja Hotel v1501</t>
  </si>
  <si>
    <t>Hotel V1501</t>
  </si>
  <si>
    <t>Pago transporte Wilian Andres Basante Pantoja Hito</t>
  </si>
  <si>
    <t>Pago transporte Wilian Andres Basante Pantoja alimentos Nariño</t>
  </si>
  <si>
    <t xml:space="preserve">Pago transporte Wilian Andres Basante Pantoja administracion </t>
  </si>
  <si>
    <t xml:space="preserve">Transporte Pasto- Tangua Camilo Melo </t>
  </si>
  <si>
    <t>1 Boquilla para soldar, 2 gas moppELECTRICOS PRAGA Camilo Esteban M.</t>
  </si>
  <si>
    <t>Trasporte pasto a RemolinoCAMILO MELOCamilo Esteban M.</t>
  </si>
  <si>
    <t>Pintura negra, ajustador trafico pintupasto Camilo Esteban M.</t>
  </si>
  <si>
    <t>Prensa stopa de 1"1/4 electricfos ac Camilo Esteban M.</t>
  </si>
  <si>
    <t>Mini breaker 1*25  electricfos ac Camilo Esteban M.</t>
  </si>
  <si>
    <t>Aislador escalado grupo defa Camilo Esteban M.</t>
  </si>
  <si>
    <t>Grapas de fijascion Grupo Defa camilo Esteban M.</t>
  </si>
  <si>
    <t>Tornillos, arandelas, wasa Todo tornillos Camilo Esteban M.</t>
  </si>
  <si>
    <t>Termoencogible tecno electricos Camilo Esteban M.</t>
  </si>
  <si>
    <t>AZ carta, borrador Papeleria buendia Camilo Esteban M.</t>
  </si>
  <si>
    <t>Uber de pintulan a oficina Camilo Esteban M.</t>
  </si>
  <si>
    <t xml:space="preserve">Pago Maquinaria Carlos achicanoy Naos </t>
  </si>
  <si>
    <t>Pago Maquinaria Carlos achicanoy Naos retencion 1%</t>
  </si>
  <si>
    <t xml:space="preserve">Pago insegal </t>
  </si>
  <si>
    <t>Pago insegal retencion 11%</t>
  </si>
  <si>
    <t>Pago cesantias 1</t>
  </si>
  <si>
    <t>Pago cesantias 2</t>
  </si>
  <si>
    <t xml:space="preserve">Pago Defa Hito </t>
  </si>
  <si>
    <t xml:space="preserve">Pago Solardepot sas bancones de pubenza </t>
  </si>
  <si>
    <t>Pago Solardepot sas bancones de pubenza RETENCION 2.5%</t>
  </si>
  <si>
    <t xml:space="preserve">Pago almuerzo ventas Hermann Eduardo Ipiales </t>
  </si>
  <si>
    <t xml:space="preserve">Transporte envio de camilla a Remolino Naos </t>
  </si>
  <si>
    <t xml:space="preserve">Pago transporte Oscar Morales Pasto- Chachagui </t>
  </si>
  <si>
    <t>Coraza americana,conectores rectos, aislador tipo escaleraGRUPO DEFACamilo Esteban M.</t>
  </si>
  <si>
    <t>Tornillos , arandelasTODO TORNILLOCamilo Esteban M.</t>
  </si>
  <si>
    <t>Chazo plasticos , arandelas y tuercasTODO TORNILLOCamilo Esteban M.</t>
  </si>
  <si>
    <t>SUSCRICION CAMARA DE COMERCIOCAMARA DE COMERCIOCamilo Esteban M.</t>
  </si>
  <si>
    <t>Pastillas para frenoAVENTURA SOBRE RUEDASCamilo Esteban M.</t>
  </si>
  <si>
    <t>Piaggio de benaequipos a alimentos nariñoCAMILO MELOCamilo Esteban M.</t>
  </si>
  <si>
    <t>Piaggio de alimentos nariño a benaequiposCAMILO MELOCamilo Esteban M.</t>
  </si>
  <si>
    <t>Piaggio de defa a hitoCAMILO MELOCamilo Esteban M.</t>
  </si>
  <si>
    <t>Peaje Pasto - Remolino</t>
  </si>
  <si>
    <t>Ingreso Edifico v1501</t>
  </si>
  <si>
    <t xml:space="preserve">Pago transporte Pasto-Tangua </t>
  </si>
  <si>
    <t xml:space="preserve"> PAGO NOMINA SEGUNDO MARCIAL GELPUD BOTINA</t>
  </si>
  <si>
    <t xml:space="preserve"> PAGO NOMINA MANUEL RODRIGO CORDOBA ORDOÑEZ</t>
  </si>
  <si>
    <t xml:space="preserve"> PAGO NOMINA CARLOS ANDRES MARCILLO ARCOS</t>
  </si>
  <si>
    <t xml:space="preserve"> PAGO NOMINA JOSE ALVEIRO CUSIS HERNANDEZ</t>
  </si>
  <si>
    <t xml:space="preserve"> PAGO NOMINA SANDRA CAROLINA PATASCOY BOTINA</t>
  </si>
  <si>
    <t xml:space="preserve"> PAGO NOMINA IVAN DARIO CAICEDO CALVACHE</t>
  </si>
  <si>
    <t xml:space="preserve"> PAGO NOMINA LEIBNITZ EDUARDO CHANA CALDERON</t>
  </si>
  <si>
    <t xml:space="preserve"> PAGO NOMINA CAMILO ESTEBAN MELO CALVACHE</t>
  </si>
  <si>
    <t xml:space="preserve"> PAGO NOMINA JASON STEVEN DIAZ GUEVARA </t>
  </si>
  <si>
    <t xml:space="preserve"> PAGO NOMINA RUDY GABRIEL TIMARAN SANTACRUZ</t>
  </si>
  <si>
    <t xml:space="preserve"> PAGO NOMINA OSCAR ANDRES CASTRO BOTINA</t>
  </si>
  <si>
    <t xml:space="preserve"> PAGO NOMINA STEVEN ALEXANDER VALLEJOS PANTOJA</t>
  </si>
  <si>
    <t xml:space="preserve"> PAGO NOMINA YULY ANDREA JARAMILLO GUERRERO</t>
  </si>
  <si>
    <t xml:space="preserve"> PAGO NOMINA LOREN ALEJANDRA DIAZ YAMPUEZAN </t>
  </si>
  <si>
    <t xml:space="preserve"> PAGO NOMINA ALBEIRO ORLANDO ESPAÑA HERNANDEZ</t>
  </si>
  <si>
    <t xml:space="preserve"> PAGO NOMINA DIEGO FERNANDO GARCIA CHAVES</t>
  </si>
  <si>
    <t xml:space="preserve"> PAGO NOMINA JHONSIN ARLEY ARIAS CEBALLOS</t>
  </si>
  <si>
    <t xml:space="preserve"> PAGO NOMINA PABLO FERNANDO BENAVIDES CHAVES </t>
  </si>
  <si>
    <t xml:space="preserve"> PAGO NOMINA JHON ALEXANDER GELPUD ZAMORA </t>
  </si>
  <si>
    <t xml:space="preserve"> PAGO NOMINA RUBEN DARIO ESPINOSA PARRA </t>
  </si>
  <si>
    <t xml:space="preserve"> PAGO NOMINA MARIO ALEXANDER CUSIS HERNANDEZ</t>
  </si>
  <si>
    <t xml:space="preserve"> PAGO NOMINA ISABELA GONZALEZ HENAO</t>
  </si>
  <si>
    <t xml:space="preserve">Pago placas Gran avenida </t>
  </si>
  <si>
    <t>Transporte Stefania Hito</t>
  </si>
  <si>
    <t>Borna terminal 2/0ELECTRICAS ACCamilo Esteban M.</t>
  </si>
  <si>
    <t>TotalizadorELECTRICAS ACCamilo Esteban M.</t>
  </si>
  <si>
    <t>Conectores rectos 2",cinta banditGRUPO DEFACamilo Esteban M.</t>
  </si>
  <si>
    <t>Caja de paso interperieCASA ELECTRICACamilo Esteban M.</t>
  </si>
  <si>
    <t>Terminal sch40, terminal emt1/2, adaptador pvcELECTRICAS ACCamilo Esteban M.</t>
  </si>
  <si>
    <t>Conectores rectos de coraza de 1/2CASA ELECTRICACamilo Esteban M.</t>
  </si>
  <si>
    <t>Transporte pasto a tanguaCAMILO MELOCamilo Esteban M.</t>
  </si>
  <si>
    <t>Uber de electricos ac a Hito CAMILO MELOCamilo Esteban M.</t>
  </si>
  <si>
    <t xml:space="preserve">Ingreso pago de v1501 </t>
  </si>
  <si>
    <t xml:space="preserve">Pago de Adobe </t>
  </si>
  <si>
    <t>Peaje Remolino - Pasto</t>
  </si>
  <si>
    <t>Peaje Medellín Aeropuerto</t>
  </si>
  <si>
    <t>viaticos</t>
  </si>
  <si>
    <t>Taxi</t>
  </si>
  <si>
    <t>ADmon</t>
  </si>
  <si>
    <t xml:space="preserve">Pago transporte Pasto- Chachagui Casa Humberto </t>
  </si>
  <si>
    <t xml:space="preserve">Tranposte Stefania visita tecnica  oficina- turin, Turin-oficina </t>
  </si>
  <si>
    <t>Tranposte Stefania visita tecnica  oficina- hito</t>
  </si>
  <si>
    <t xml:space="preserve">Transporte eduardo congenar-club colombia </t>
  </si>
  <si>
    <t>Pago camra de comercio Pasto Naos 3</t>
  </si>
  <si>
    <t xml:space="preserve">Pago Anticipo Humberto Rosero Hito </t>
  </si>
  <si>
    <t xml:space="preserve">Pago Dotaasol casco, camillas naos </t>
  </si>
  <si>
    <t xml:space="preserve">Pago Umpe Carnes lujosas </t>
  </si>
  <si>
    <t xml:space="preserve">Pago guantes cristan </t>
  </si>
  <si>
    <t xml:space="preserve">Pago aliemntacion multicarnes </t>
  </si>
  <si>
    <t>Pago anticipo mininterios Canopus juan Sebastian Barrera</t>
  </si>
  <si>
    <t>Pago anticipo vallamax Jesus Benavides</t>
  </si>
  <si>
    <t>Pago anticipo vallamax Rete ica 6*100</t>
  </si>
  <si>
    <t xml:space="preserve">Pago camara de coemrcio </t>
  </si>
  <si>
    <t xml:space="preserve">Ingreso Pago hotel cuellar </t>
  </si>
  <si>
    <t xml:space="preserve">Ingreso Pago Campos de aragon </t>
  </si>
  <si>
    <t>Ingreso Pago Happina+</t>
  </si>
  <si>
    <t xml:space="preserve">Almuerzo aeropuerto Bogotá </t>
  </si>
  <si>
    <t>Almuerzo picanteria</t>
  </si>
  <si>
    <t>Snacks e hidratación Bogotá</t>
  </si>
  <si>
    <t>Pago INTL Hubspot Inc.</t>
  </si>
  <si>
    <t xml:space="preserve">Pago curso exogena </t>
  </si>
  <si>
    <t xml:space="preserve">Pago Acenso </t>
  </si>
  <si>
    <t>Pago Acenso intereses</t>
  </si>
  <si>
    <t xml:space="preserve">Pago Ac Multicarnes </t>
  </si>
  <si>
    <t xml:space="preserve">Ingreso Pago Dispropan </t>
  </si>
  <si>
    <t>Transporte aeropuerto-medellin andrea</t>
  </si>
  <si>
    <t>Gasolina andrea abelgo</t>
  </si>
  <si>
    <t>Taxi pasto-aeropuerto kelly y juan</t>
  </si>
  <si>
    <t>Pago espacio publciitario Tangua y pubenza</t>
  </si>
  <si>
    <t>Pago espacio publciitario Tangua y pubenza rete ica 6*100</t>
  </si>
  <si>
    <t>Pago espacio publciitario Tangua y pubenza rete fuente 4%</t>
  </si>
  <si>
    <t>Pago planilla 3</t>
  </si>
  <si>
    <t>pago planilla2 Operativos</t>
  </si>
  <si>
    <t>pago planilla1</t>
  </si>
  <si>
    <t xml:space="preserve">Pago DISTIELECTRICAS carnes lujosas </t>
  </si>
  <si>
    <t xml:space="preserve">Pago tecnoelectricos carnes lujosas </t>
  </si>
  <si>
    <t xml:space="preserve">Pago AC Multicarnes la lujosa </t>
  </si>
  <si>
    <t>Pago poliza sura Sonarplas</t>
  </si>
  <si>
    <t xml:space="preserve">Pago transporte Pasto - Tangua Multicarnes </t>
  </si>
  <si>
    <t>Pago transporte Pasto - Tangua Multicarnes 16 y 19</t>
  </si>
  <si>
    <t>Pago Planilla Comercial</t>
  </si>
  <si>
    <t>Pago Planilla Ingenieros</t>
  </si>
  <si>
    <t xml:space="preserve">Pago asesoria legal Luisa Melo </t>
  </si>
  <si>
    <t>Pago Finaktiva Deuda</t>
  </si>
  <si>
    <t>Pago Finaktiva capital intereses</t>
  </si>
  <si>
    <t>Pago planilla 4</t>
  </si>
  <si>
    <t xml:space="preserve">Pago poliza sura  </t>
  </si>
  <si>
    <t>Anticipo topografo Jimmy Alexander Burgos 50%</t>
  </si>
  <si>
    <t>Anticipo montacargas Angie Valencia 50%</t>
  </si>
  <si>
    <t>Transporte HITO OFICINA stefania</t>
  </si>
  <si>
    <t xml:space="preserve">TRANSPORTE BATERICARSA-TODO TONILLO </t>
  </si>
  <si>
    <t>TRANSPORTE OFICINA-HITOM HITO-OFICINA, OFICINA-HITO</t>
  </si>
  <si>
    <t xml:space="preserve">Compra Aseo y cafeteria Alkosto </t>
  </si>
  <si>
    <t xml:space="preserve">Pago aldia logistica materiales balcones de Pubenza </t>
  </si>
  <si>
    <t xml:space="preserve">Pago de peajes Marcela </t>
  </si>
  <si>
    <t xml:space="preserve">Pago Hidratacion Naos </t>
  </si>
  <si>
    <t xml:space="preserve">Pago refrigerios Naos </t>
  </si>
  <si>
    <t xml:space="preserve">Pago de busos Naos </t>
  </si>
  <si>
    <t xml:space="preserve">Pago INTL Microsoft </t>
  </si>
  <si>
    <t xml:space="preserve">Pago compra en el alma café y pan </t>
  </si>
  <si>
    <t xml:space="preserve">Ingreso incapcidad nueva eps Javier Alejandro Villota </t>
  </si>
  <si>
    <t xml:space="preserve">Ingreso Ferroandina </t>
  </si>
  <si>
    <t>Ferreandina</t>
  </si>
  <si>
    <t>Ingreso Pago la Cali</t>
  </si>
  <si>
    <t xml:space="preserve">Pago tableza hito </t>
  </si>
  <si>
    <t xml:space="preserve">Pago camara de comercio inscripcion </t>
  </si>
  <si>
    <t>Pago tableza hito retefuente 2,5%</t>
  </si>
  <si>
    <t xml:space="preserve">Taxi visita tecnica caffeto, Cafetto oficina </t>
  </si>
  <si>
    <t xml:space="preserve">Pago Hermann Alimentacion </t>
  </si>
  <si>
    <t xml:space="preserve">Pago Hermann camara de coemrcio aumento de capital suscrit y pagado </t>
  </si>
  <si>
    <t>Pago transporte Pasto-Tangua 26 de febrero franco buesaquillo</t>
  </si>
  <si>
    <t xml:space="preserve">pago transporte turin -autodenar- oficina </t>
  </si>
  <si>
    <t>Pago transporte Pasto Tangua 21 y 22 de febrero</t>
  </si>
  <si>
    <t>Pago transporte Pasto Tangua 23 y 24 de febrero</t>
  </si>
  <si>
    <t>Pago transporte Pasto Tangua 26 de febrero camilo melo</t>
  </si>
  <si>
    <t>Cemento Argos x 14 undAgrico DistribuidoraJeancarlo G Moncayo</t>
  </si>
  <si>
    <t>Aseo habitacionesDeisy Viviana EnriquezJeancarlo G Moncayo</t>
  </si>
  <si>
    <t>SandiaJeancarlo MoncayoJeancarlo G Moncayo</t>
  </si>
  <si>
    <t>Puntillas, flexometro y baldesFerretería FerroMacJeancarlo G Moncayo</t>
  </si>
  <si>
    <t>Tablas, 4 listonesOF ConstruccionesJeancarlo G Moncayo</t>
  </si>
  <si>
    <t>2 botellones de AguaDeposito figueroaJeancarlo G Moncayo</t>
  </si>
  <si>
    <t>Tornillos para placa camionetaJeancarlo MoncayoJeancarlo G Moncayo</t>
  </si>
  <si>
    <t>GuaduasJeancarlo MoncayoJeancarlo G Moncayo</t>
  </si>
  <si>
    <t>Cemento Argos x 4 undAgrico DistribuidoraJeancarlo G Moncayo</t>
  </si>
  <si>
    <t>Alquiler Trompo MezcladoraAurelio GomezJeancarlo G Moncayo</t>
  </si>
  <si>
    <t>Transporte TrompoTildardoJeancarlo G Moncayo</t>
  </si>
  <si>
    <t>Aceite mobil para motosierraAlmacen y taller williamsJeancarlo G Moncayo</t>
  </si>
  <si>
    <t>3 pares de guantesFerretería FerroMacJeancarlo G Moncayo</t>
  </si>
  <si>
    <t>Lima para cadenilla y lima para macheteAgrico DistribuidoraJeancarlo G Moncayo</t>
  </si>
  <si>
    <t>PeajePeaje canoJeancarlo G Moncayo</t>
  </si>
  <si>
    <t>Lavada de camionetaJeancarlo MoncayoJeancarlo G Moncayo</t>
  </si>
  <si>
    <t>Transporte carrera llevada a lavar y recogidaJeancarlo MoncayoJeancarlo G Moncayo</t>
  </si>
  <si>
    <t>Transporte carrera llevada a mantenimiento y recogidaJeancarlo MoncayoJeancarlo G Moncayo</t>
  </si>
  <si>
    <t>Parqueadero camioneta 2 diasJeancarlo MoncayoJeancarlo G Moncayo</t>
  </si>
  <si>
    <t>Tanqueada de camionetaEDS TANGUAJeancarlo G Moncayo</t>
  </si>
  <si>
    <t xml:space="preserve">Pago transporte Wilian Basante </t>
  </si>
  <si>
    <t xml:space="preserve">Ingreso cambio de mc4 Hito </t>
  </si>
  <si>
    <t xml:space="preserve">Transporte Balcones -hito -Hito- oficina stefania </t>
  </si>
  <si>
    <t>Transporte oficina refugio valle de atriz-jardin del rio- oficina stefania</t>
  </si>
  <si>
    <t>Transporte Pasto-IpialesExpreso valle de atrizJuan F Paniagua</t>
  </si>
  <si>
    <t>Taxi oficina - terminal PastoJuan Fernando PaniaguaJuan F Paniagua</t>
  </si>
  <si>
    <t>Taxi Terminal Ipiales - Salida PupialesJuan Fernando PaniaguaJuan F Paniagua</t>
  </si>
  <si>
    <t>Taxi Salida pupiales - Terminal IpialesJuan Fernando PaniaguaJuan F Paniagua</t>
  </si>
  <si>
    <t>Almuerzochamorro portilla SASJuan F Paniagua</t>
  </si>
  <si>
    <t>Transporte Ipiales - PastoExpreso valle de atrizJuan F Paniagua</t>
  </si>
  <si>
    <t>Transporte Terminal Pasto - OficinaJuan Fernando PaniaguaJuan F Paniagua</t>
  </si>
  <si>
    <t>Taxi Oficina - Lacteos Andino -oficinaJuan Fernando PaniaguaJuan F Paniagua</t>
  </si>
  <si>
    <t>Tornillos y arandelasTODO TORNILLOCamilo Esteban M.</t>
  </si>
  <si>
    <t>Bornas 1/0,conectores antifraude,borna #4ELECTRICAS ACCamilo Esteban M.</t>
  </si>
  <si>
    <t>Platina 200 ampTECNO ELECTRICOSCamilo Esteban M.</t>
  </si>
  <si>
    <t>TinerPINTUPASTOCamilo Esteban M.</t>
  </si>
  <si>
    <t>Caja de paso interperieTECNO ELECTRICOSCamilo Esteban M.</t>
  </si>
  <si>
    <t>Bornas 1/0  ELECTRICAS ACCamilo Esteban M.</t>
  </si>
  <si>
    <t>Aceite 3 en 1DISTRIBICIONES ABCamilo Esteban M.</t>
  </si>
  <si>
    <t>Bases para sombrillaCAMILO MELOCamilo Esteban M.</t>
  </si>
  <si>
    <t>Uber de plaza de carnaval a hitoCAMILO MELOCamilo Esteban M.</t>
  </si>
  <si>
    <t>Transporte de pasto a tanguaCAMILO MELOCamilo Esteban M.</t>
  </si>
  <si>
    <t>Piaggio de oficina a balcones de pubenzaCAMILO MELOCamilo Esteban M.</t>
  </si>
  <si>
    <t>Piaggio de hito a benaequiposCAMILO MELOCamilo Esteban M.</t>
  </si>
  <si>
    <t>piaggio de benaequipos a balcones de pubenzaCAMILO MELOCamilo Esteban M.</t>
  </si>
  <si>
    <t>piaggio de balcones de pubenza a benaequiposCAMILO MELOCamilo Esteban M.</t>
  </si>
  <si>
    <t>Transporte Alimentos Nariño Jhon Castaño</t>
  </si>
  <si>
    <t>Transporte Naos Jhon Castaño</t>
  </si>
  <si>
    <t>Transporte visita tecnica club colombia Jhon Castaño</t>
  </si>
  <si>
    <t>Transporte visita tecnica Congenar Jhon Castaño</t>
  </si>
  <si>
    <t>Transporte admon Jhon Castaño</t>
  </si>
  <si>
    <t>Transporte Hito Jhon Castaño</t>
  </si>
  <si>
    <t>Transporte carnes la lujosa Jhon Castaño</t>
  </si>
  <si>
    <t>Transporte ventas Jhon Castaño</t>
  </si>
  <si>
    <t xml:space="preserve">Transporte balcones de pubenza </t>
  </si>
  <si>
    <t>Caja metaliza y tapa GRUPO DEFACamilo Esteban M.</t>
  </si>
  <si>
    <t>Coraza 3/4,conectores rectos 3/4,caja interperieELECTRICAS ACCamilo Esteban M.</t>
  </si>
  <si>
    <t>Borna bimetalica 2/0, borna #2 cobreELECTRICAS ACCamilo Esteban M.</t>
  </si>
  <si>
    <t>Conectores rectos coraza 1"1/2GRUPO DEFACamilo Esteban M.</t>
  </si>
  <si>
    <t>Conectores antifraude , cable 12GRUPO DEFACamilo Esteban M.</t>
  </si>
  <si>
    <t>Soldadura pvc , seguetaLA FERROCamilo Esteban M.</t>
  </si>
  <si>
    <t>Botas DOTACIONES BALMERCamilo Esteban M.</t>
  </si>
  <si>
    <t>Caja de paso interperie TECNO ELECTRICOSCamilo Esteban M.</t>
  </si>
  <si>
    <t>Busos BORDADOSCamilo Esteban M.</t>
  </si>
  <si>
    <t>Uber de oficina a gran avenidaCAMILO MELOCamilo Esteban M.</t>
  </si>
  <si>
    <t>Uber de gran avenida a oficina CAMILO MELOCamilo Esteban M.</t>
  </si>
  <si>
    <t>Uber de ac a tecno electricos CAMILO MELOCamilo Esteban M.</t>
  </si>
  <si>
    <t>Piaggio de tecno electricos a oficina CAMILO MELOCamilo Esteban M.</t>
  </si>
  <si>
    <t>PlantillasCAMILO MELOCamilo Esteban M.</t>
  </si>
  <si>
    <t>2 Botellones de aguaDeposito figueroaJeancarlo G Moncayo</t>
  </si>
  <si>
    <t>Camioneta alquile x 1 dia (Mantenimiento camioneta localiza)Harrison LopezJeancarlo G Moncayo</t>
  </si>
  <si>
    <t>Peaje camioneta (Mantenimiento) regresoPeaje canoJeancarlo G Moncayo</t>
  </si>
  <si>
    <t>Viaticos viaje a pasto de Juan fernando Jeancarlo MoncayoJeancarlo G Moncayo</t>
  </si>
  <si>
    <t>Caja de fosforos grande (Soldadura tierra)Jeancarlo MoncayoJeancarlo G Moncayo</t>
  </si>
  <si>
    <t>Fosforera x 2 (Soldadura tierra)Jeancarlo MoncayoJeancarlo G Moncayo</t>
  </si>
  <si>
    <t>2 pares de guantesFerretería FerroMacJeancarlo G Moncayo</t>
  </si>
  <si>
    <t>Limpido, jabon en polvoTiendas D1Jeancarlo G Moncayo</t>
  </si>
  <si>
    <t>CaféTiendas D1Jeancarlo G Moncayo</t>
  </si>
  <si>
    <t>Gasolina para motosierra y guadañaEDS Terpel Rio MayoJeancarlo G Moncayo</t>
  </si>
  <si>
    <t>14 bultos de cementoAgrico DistribuidoraJeancarlo G Moncayo</t>
  </si>
  <si>
    <t>cable para guadaña, mallaFerretería FerroMacJeancarlo G Moncayo</t>
  </si>
  <si>
    <t>Viaticos viaje a pasto y regreso Segundo GelpudJeancarlo MoncayoJeancarlo G Moncayo</t>
  </si>
  <si>
    <t>Sandia x toda la semanaJeancarlo MoncayoJeancarlo G Moncayo</t>
  </si>
  <si>
    <t>Alquiler trompo y transporte llegadaAurelio GomezJeancarlo G Moncayo</t>
  </si>
  <si>
    <t>trompo transporte entregaAurelio GomezJeancarlo G Moncayo</t>
  </si>
  <si>
    <t>Hielo x toda la semanaJeancarlo MoncayoJeancarlo G Moncayo</t>
  </si>
  <si>
    <t>Pan x toda la semanaJeancarlo MoncayoJeancarlo G Moncayo</t>
  </si>
  <si>
    <t>Transporte x3 personas elite concretos visita logisticaJeancarlo MoncayoJeancarlo G Moncayo</t>
  </si>
  <si>
    <t>Viaticos viaje a pasto y regreso Jeancarlo MoncayoJeancarlo MoncayoJeancarlo G Moncayo</t>
  </si>
  <si>
    <t>Pago hospedaje topografo oasis</t>
  </si>
  <si>
    <t>Agua cristalMERKAHORROCamilo Esteban M.</t>
  </si>
  <si>
    <t>Trazo rapido x 30 ,discos de corte,mineral rojo,galonesLA FERROCamilo Esteban M.</t>
  </si>
  <si>
    <t>Perro guaya llave mixta LA FERROCamilo Esteban M.</t>
  </si>
  <si>
    <t>ManilaLA FERROCamilo Esteban M.</t>
  </si>
  <si>
    <t>Anticorrosivo ,  acrolatex thinnerDISTRIPANELCamilo Esteban M.</t>
  </si>
  <si>
    <t>EspumaDISTRI ESPUMASCamilo Esteban M.</t>
  </si>
  <si>
    <t>Tuercas arandelas , autoperforabntes brocasTODO TORNILLOCamilo Esteban M.</t>
  </si>
  <si>
    <t>Broca 3/8, chazos , tornillo tropicalizadoTODO TORNILLOCamilo Esteban M.</t>
  </si>
  <si>
    <t>Arreglo de llanta de scooterCAMILO MELOCamilo Esteban M.</t>
  </si>
  <si>
    <t>Pago Credito Banco Davivienda</t>
  </si>
  <si>
    <t>Comisiones</t>
  </si>
  <si>
    <t>plan celular</t>
  </si>
  <si>
    <t>Pago plan celular oficina</t>
  </si>
  <si>
    <t xml:space="preserve">Pago alimentacion Naos 26 de febrero </t>
  </si>
  <si>
    <t xml:space="preserve">Pago Luisa Arango Asesoria juridica </t>
  </si>
  <si>
    <t xml:space="preserve">Pago Impecol </t>
  </si>
  <si>
    <t xml:space="preserve">Pago Wework </t>
  </si>
  <si>
    <t>arriendo</t>
  </si>
  <si>
    <t xml:space="preserve">Pago distripanel </t>
  </si>
  <si>
    <t>Pago Grupo Defa</t>
  </si>
  <si>
    <t>Pago Humberto Rosero Hito</t>
  </si>
  <si>
    <t xml:space="preserve">Pago arriendo Malliesa </t>
  </si>
  <si>
    <t xml:space="preserve">Pago casa Andina Naos </t>
  </si>
  <si>
    <t>Pago devolucion ica 6*1000 factura FMC4 8</t>
  </si>
  <si>
    <t xml:space="preserve">Legalizacion Jeancarlo  </t>
  </si>
  <si>
    <t xml:space="preserve">Pago alimentacion Tangua </t>
  </si>
  <si>
    <t>Pago vidrios centenario GURU</t>
  </si>
  <si>
    <t>Devolucion Pago vidrios centenario GURU</t>
  </si>
  <si>
    <t>Pago certificado libertad Naos</t>
  </si>
  <si>
    <t xml:space="preserve">Pago certificado libertad Canapues </t>
  </si>
  <si>
    <t>Pago camara de comerio evolti</t>
  </si>
  <si>
    <t>Pago Quokka</t>
  </si>
  <si>
    <t xml:space="preserve">Pago Tablesa balcones Pubenza </t>
  </si>
  <si>
    <t>Pago Tablesa balcones Pubenza rete fuente 2,5*</t>
  </si>
  <si>
    <t xml:space="preserve">Pago pedro Daniel video </t>
  </si>
  <si>
    <t>PAGO NOMINA JEANCARLO GUILLERMO MONCAYO ANDRADE</t>
  </si>
  <si>
    <t>PAGO NOMINA JUAN FERNANDO PANIAGUA OSORIO</t>
  </si>
  <si>
    <t>PAGO NOMINA SEGUNDO MARCIAL GELPUD BOTINA</t>
  </si>
  <si>
    <t>PAGO NOMINA MANUEL RODRIGO CORDOBA ORDOÑEZ</t>
  </si>
  <si>
    <t>PAGO NOMINA JHOANA MARCELA GERMAN REYES</t>
  </si>
  <si>
    <t>PAGO NOMINA CARLOS ANDRES MARCILLO ARCOS</t>
  </si>
  <si>
    <t>PAGO NOMINA JOSE ALVEIRO CUSIS HERNANDEZ</t>
  </si>
  <si>
    <t>PAGO NOMINA DANNA STEFANYA LASSO GUERRA</t>
  </si>
  <si>
    <t>PAGO NOMINA ALBEIRO ORLANDO ESPAÑA HERNANDEZ</t>
  </si>
  <si>
    <t>PAGO NOMINA DIEGO FERNANDO GARCIA CHAVES</t>
  </si>
  <si>
    <t>PAGO NOMINA JHONSIN ARLEY ARIAS CEBALLOS</t>
  </si>
  <si>
    <t xml:space="preserve">PAGO NOMINA PABLO FERNANDO BENAVIDES CHAVES </t>
  </si>
  <si>
    <t xml:space="preserve">PAGO NOMINA JHON ALEXANDER GELPUD ZAMORA </t>
  </si>
  <si>
    <t xml:space="preserve">PAGO NOMINA RUBEN DARIO ESPINOSA PARRA </t>
  </si>
  <si>
    <t xml:space="preserve">Pago Agrico Naos </t>
  </si>
  <si>
    <t>Pago Agrico Naos retencion 2,5%</t>
  </si>
  <si>
    <t>Pago anticipo Cuarto frio Martin Gumajoa Naos</t>
  </si>
  <si>
    <t xml:space="preserve">Pago Of construcciones Naos </t>
  </si>
  <si>
    <t>Pago Ferromac Naos</t>
  </si>
  <si>
    <t xml:space="preserve">Pago Llanta patineta </t>
  </si>
  <si>
    <t xml:space="preserve">Pago vidrios centenario  </t>
  </si>
  <si>
    <t xml:space="preserve">Pago tiquete Avianca Juan Manuel </t>
  </si>
  <si>
    <t xml:space="preserve">Ingreso Platinum </t>
  </si>
  <si>
    <t xml:space="preserve">Ingreso incapcidad nueva eps </t>
  </si>
  <si>
    <t>Ingreso solticio</t>
  </si>
  <si>
    <t>Pago Credito Banco Bogota Deuda</t>
  </si>
  <si>
    <t xml:space="preserve">Anticipo del 30% tablesa pabon </t>
  </si>
  <si>
    <t>PAGO NOMINA LOREN ALEJANDRA DIAZ YAMPUEZAN</t>
  </si>
  <si>
    <t>PAGO NOMINA ISABELA GONZALEZ HENAO</t>
  </si>
  <si>
    <t>PAGO NOMINA VERONICA LILIANA SANTACRUZ MENZA</t>
  </si>
  <si>
    <t>PAGO NOMINA MARIO ALEXANDER CUSIS HERNANDEZ</t>
  </si>
  <si>
    <t>PAGO NOMINA JEISON JULIAN IPIALES BENAVIDES</t>
  </si>
  <si>
    <t xml:space="preserve">PAGO NOMINA KATRINE </t>
  </si>
  <si>
    <t>Instalación programa Kelly</t>
  </si>
  <si>
    <t>PAGO NOMINA JUAN MANUEL ESPAÑA FORERO</t>
  </si>
  <si>
    <t>PAGO NOMINA DANIEL FERNANDO MEDINA GUERRERO</t>
  </si>
  <si>
    <t>PAGO NOMINA HERMANN SOUZA CUBIDES</t>
  </si>
  <si>
    <t>PAGO NOMINA SANDRA CAROLINA PATASCOY BOTINA</t>
  </si>
  <si>
    <t>PAGO NOMINA IVAN DARIO CAICEDO CALVACHE</t>
  </si>
  <si>
    <t>PAGO NOMINA LEIBNITZ EDUARDO CHANA CALDERON</t>
  </si>
  <si>
    <t>PAGO NOMINA CAMILO ESTEBAN MELO CALVACHE</t>
  </si>
  <si>
    <t>PAGO NOMINA JASON STEVEN DIAZ GUEVARA </t>
  </si>
  <si>
    <t>PAGO NOMINA RUDY GABRIEL TIMARAN SANTACRUZ</t>
  </si>
  <si>
    <t>PAGO NOMINA OSCAR ANDRES CASTRO BOTINA</t>
  </si>
  <si>
    <t>PAGO NOMINA MIGUEL ALEJANDRO ENRIQUEZ CHAMORRO</t>
  </si>
  <si>
    <t>Comision Ferrandina</t>
  </si>
  <si>
    <t>PAGO NOMINA KELLY TATIANA ALVAREZ GARCIA</t>
  </si>
  <si>
    <t>PAGO NOMINA STEVEN ALEXANDER VALLEJOS PANTOJA</t>
  </si>
  <si>
    <t>PAGO NOMINA YULY ANDREA JARAMILLO GUERRERO</t>
  </si>
  <si>
    <t>Uber de balcones de pubenza a hito</t>
  </si>
  <si>
    <t>EFECTIVO</t>
  </si>
  <si>
    <t>Disolvente fino , brochasPINTUPASTOCamilo Esteban M.</t>
  </si>
  <si>
    <t>Taxi de hito a balcones de pubenza</t>
  </si>
  <si>
    <t xml:space="preserve">Transporte Balcones-Hito,Hito-oficina, Oficina-Balcones stefania </t>
  </si>
  <si>
    <t>Discos diwalt chazos de 1/4Ferreteria san pedroCamilo Esteban M.</t>
  </si>
  <si>
    <t>Bloqueador tanga , repelenteDROGUERIA VERSALLESCamilo Esteban M.</t>
  </si>
  <si>
    <t>Jarra ,3 botellas plasticas , cinta , BOLSIPLASCamilo Esteban M.</t>
  </si>
  <si>
    <t>Vinilo azul , vinilo naranjaTIENDA GRAFICACamilo Esteban M.</t>
  </si>
  <si>
    <t>Transporte Ipiales-PastoExpreso valle de atrizJuan F Paniagua</t>
  </si>
  <si>
    <t>Taxi oficina - terminal Pasto - OficinaJuan Fernando PaniaguaJuan F Paniagua</t>
  </si>
  <si>
    <t>Taxi Terminal Ipiales - Ferreandina - Terminal IpialesJuan Fernando PaniaguaJuan F Paniagua</t>
  </si>
  <si>
    <t>cuenta de cobro Tiquetes ida y vuelta cali -Pasto 4 personas</t>
  </si>
  <si>
    <t>Taxi de balcones de pubenza a hito</t>
  </si>
  <si>
    <t xml:space="preserve">Recarga Impresora Copy partes </t>
  </si>
  <si>
    <t xml:space="preserve">Pago TCC </t>
  </si>
  <si>
    <t xml:space="preserve">Gaolina Naos </t>
  </si>
  <si>
    <t xml:space="preserve">Transporte balcones-oficina, oficina-chapultepec, chapultepec-oficina Stefania </t>
  </si>
  <si>
    <t xml:space="preserve">Copias a color Evolti Eduardo </t>
  </si>
  <si>
    <t xml:space="preserve">Pago cuenta de cobro Leidy Garcias </t>
  </si>
  <si>
    <t xml:space="preserve">transporte balcones oficina, oficina-balcones Stefania </t>
  </si>
  <si>
    <t xml:space="preserve">Transporte oficina balcones, balcones oficina </t>
  </si>
  <si>
    <t xml:space="preserve">Transporte Lacteos Andino Oficina stefania </t>
  </si>
  <si>
    <t xml:space="preserve">Pago Alkosto   </t>
  </si>
  <si>
    <t>Copias blanco y negro Impresión lasser Evolti</t>
  </si>
  <si>
    <t>Cinta soco empaquePINTUPASTOCamilo Esteban M.</t>
  </si>
  <si>
    <t>Arandelas , tuercas , tornillos autoperforantesTODO TORNILLOCamilo Esteban M.</t>
  </si>
  <si>
    <t>Pintura spray cornetaTEXCOLCamilo Esteban M.</t>
  </si>
  <si>
    <t>Repelente picosinDROGUERIA POPULARCamilo Esteban M.</t>
  </si>
  <si>
    <t>Grapas de sujesion , prensa estopas, TECNO ELECTRICOSCamilo Esteban M.</t>
  </si>
  <si>
    <t>Sellador de pisoKLINCamilo Esteban M.</t>
  </si>
  <si>
    <t>Transporte de pasto a remolinoCAMILO MELOCamilo Esteban M.</t>
  </si>
  <si>
    <t xml:space="preserve">Almuerzo Veronica ventas </t>
  </si>
  <si>
    <t xml:space="preserve">viaticos </t>
  </si>
  <si>
    <t xml:space="preserve">Transporte ida y vuelta oficina-centenario Eduardo </t>
  </si>
  <si>
    <t xml:space="preserve">Devolucion transporte Eduardo Chana </t>
  </si>
  <si>
    <t xml:space="preserve">transporte oficina balcones Stefania </t>
  </si>
  <si>
    <t xml:space="preserve">Pago vino tinto Veronica </t>
  </si>
  <si>
    <t xml:space="preserve">transporte oficina-terminal Stefania </t>
  </si>
  <si>
    <t xml:space="preserve">Anticipo Maria Jose Guerrero cinar 2 cuotas </t>
  </si>
  <si>
    <t>comisiones</t>
  </si>
  <si>
    <t xml:space="preserve">Pago Dotasol chaqueta Jeison </t>
  </si>
  <si>
    <t xml:space="preserve">Pago Milenio mes de enero </t>
  </si>
  <si>
    <t>Computadores</t>
  </si>
  <si>
    <t xml:space="preserve">Pago tiquete Daniel  </t>
  </si>
  <si>
    <t xml:space="preserve">Efectivo para caja Alveiro Cusis </t>
  </si>
  <si>
    <t xml:space="preserve">Pago total topografo Jimmy Alexander Burgos Naos </t>
  </si>
  <si>
    <t>Pago total topografo Jimmy Alexander Burgos retencion 383</t>
  </si>
  <si>
    <t xml:space="preserve">Pago total topografo Jimmy Alexander Burgos Naos 2 </t>
  </si>
  <si>
    <t>Pago total topografo Jimmy Alexander Burgos Naos  3</t>
  </si>
  <si>
    <t>Pago Ips bienestar laboral sas</t>
  </si>
  <si>
    <t>SST</t>
  </si>
  <si>
    <t>Pago Ips bienestar laboral sas retencion del 2%</t>
  </si>
  <si>
    <t>Pago Ips bienestar laboral sas rete ica 6*1000</t>
  </si>
  <si>
    <t xml:space="preserve">Pago Alimentacion Naos </t>
  </si>
  <si>
    <t>Pago Natalia Jurado Canopus</t>
  </si>
  <si>
    <t xml:space="preserve">Pago paneles Meico </t>
  </si>
  <si>
    <t>Pago apartamento Cali</t>
  </si>
  <si>
    <t>Pago apartamento Cali retencion del 3,5%</t>
  </si>
  <si>
    <t xml:space="preserve">Pago Localiza </t>
  </si>
  <si>
    <t xml:space="preserve">Pago Andamios Luis Carlos Rodriguez </t>
  </si>
  <si>
    <t>Herramienta</t>
  </si>
  <si>
    <t xml:space="preserve">Pago casa andina Naos </t>
  </si>
  <si>
    <t>Pago casa andina Naos rete ica 5*1000</t>
  </si>
  <si>
    <t xml:space="preserve">Pago it certficado retie Multicarnes </t>
  </si>
  <si>
    <t xml:space="preserve">pago papeleria la castellana </t>
  </si>
  <si>
    <t xml:space="preserve">Pago soluciones electricas balcones de pubenza </t>
  </si>
  <si>
    <t xml:space="preserve">Pago grupo defa Balcones de pubenza </t>
  </si>
  <si>
    <t xml:space="preserve">Anticipo christian Naos 2 </t>
  </si>
  <si>
    <t>Pago revisora fiscal Maria  acosta</t>
  </si>
  <si>
    <t>Salarios</t>
  </si>
  <si>
    <t xml:space="preserve">Anticipo aduana </t>
  </si>
  <si>
    <t xml:space="preserve">Anticipo David batimetria Naos </t>
  </si>
  <si>
    <t xml:space="preserve">retito Juan Manuel aeropuerto </t>
  </si>
  <si>
    <t xml:space="preserve">TransferenciA FERNANDO AGUSTIN IBARRA CHAMORRO </t>
  </si>
  <si>
    <t xml:space="preserve">Tiquete Juan Manuel avianca </t>
  </si>
  <si>
    <t xml:space="preserve">pago hotel cuellar </t>
  </si>
  <si>
    <t>Reuniones</t>
  </si>
  <si>
    <t xml:space="preserve">Ingreso pago Acuagen </t>
  </si>
  <si>
    <t xml:space="preserve">Ingreso devolucion luisa arango </t>
  </si>
  <si>
    <t>tarnsporte transporte balcones -oficna, oficina-pubenza, pucalpa 2 -cristo rey</t>
  </si>
  <si>
    <t>TornillosTODO TORNILLOCamilo Esteban M.</t>
  </si>
  <si>
    <t>Adaptador tipo T , putas de taladroTEXCOLCamilo Esteban M.</t>
  </si>
  <si>
    <t>Grapas doble ala , conectores rectos de 1"GRUPO DEFACamilo Esteban M.</t>
  </si>
  <si>
    <t>BrocasCASA ANDINA Camilo Esteban M.</t>
  </si>
  <si>
    <t>Broca de 1/2CASA ANDINA Camilo Esteban M.</t>
  </si>
  <si>
    <t>Cincel de de punta , cincel de pala CASA ANDINA Camilo Esteban M.</t>
  </si>
  <si>
    <t>Pintura , disco de cotes , lijasDISTRIPANELCamilo Esteban M.</t>
  </si>
  <si>
    <t>Reconstruccion de roscaELECTRICOS ANDESCamilo Esteban M.</t>
  </si>
  <si>
    <t>Extension UsbRADIO SanyoCamilo Esteban M.</t>
  </si>
  <si>
    <t>Conector db9K.U.Camilo Esteban M.</t>
  </si>
  <si>
    <t>tuberia emt de 1" , curvas conduit de 1"ELECTRICAS ACCamilo Esteban M.</t>
  </si>
  <si>
    <t>Caja metalica GRUPO DEFACamilo Esteban M.</t>
  </si>
  <si>
    <t>Chazo plastico ,tornillos lamina , broca muroDISTRIBUCIONES ABCamilo Esteban M.</t>
  </si>
  <si>
    <t xml:space="preserve">Transporte piaggio, taxi balcones de pubenza </t>
  </si>
  <si>
    <t>TRANSPORTE OFICINA SAN PEDRO y pinasaco</t>
  </si>
  <si>
    <t xml:space="preserve">TRANSPORTE OFICINA-BALCONES-BALCONES-OFICNA </t>
  </si>
  <si>
    <t xml:space="preserve">transporte venta valla panamericana </t>
  </si>
  <si>
    <t xml:space="preserve">Transporte Ipiales Jasson y Carlos </t>
  </si>
  <si>
    <t>Platinum</t>
  </si>
  <si>
    <t>almuerzos Carlos y Jason</t>
  </si>
  <si>
    <t>transporte terminal platinum -platinum terminal</t>
  </si>
  <si>
    <t xml:space="preserve">Pago Marcela chcolates dia de la mujer </t>
  </si>
  <si>
    <t>Arandelas ,tuercas y tornillosTODO TORNILLOCamilo Esteban M.</t>
  </si>
  <si>
    <t>Placa panel yeso ,pliego de lijas ,estuko sikaLA FERROCamilo Esteban M.</t>
  </si>
  <si>
    <t>Pago a gobernacionCAMARA DE COMERCIOCamilo Esteban M.</t>
  </si>
  <si>
    <t>Pago camara de comercioCAMARA DE COMERCIOCamilo Esteban M.</t>
  </si>
  <si>
    <t>Tornillos autoperforantes, wasaTODO TORNILLOCamilo Esteban M.</t>
  </si>
  <si>
    <t>Prensa estopas ,minibreaker 3x32y 1x16, abrazaderasELECTRICAS ACCamilo Esteban M.</t>
  </si>
  <si>
    <t>Guantes talla 5EL PUNTO DEL OVEROLCamilo Esteban M.</t>
  </si>
  <si>
    <t>Taxi de clapal a oficina CAMILO MELOCamilo Esteban M.</t>
  </si>
  <si>
    <t>Uber de bicolor a oficina CAMILO MELOCamilo Esteban M.</t>
  </si>
  <si>
    <t>cuenta e cobro transporte Leidy Garcia balcones pubenza</t>
  </si>
  <si>
    <t>cuenta e cobro transporte Leidy Garcia naos</t>
  </si>
  <si>
    <t>cuenta e cobro transporte Leidy Garcia ventas</t>
  </si>
  <si>
    <t>Almuerzos carlos, carolina, pablo, camilo</t>
  </si>
  <si>
    <t xml:space="preserve">Pago a Bomberos </t>
  </si>
  <si>
    <t>Botellones de agua cristalMERKAHORROCamilo Esteban M.</t>
  </si>
  <si>
    <t>Cincel de palaFERREVARIEDADESCamilo Esteban M.</t>
  </si>
  <si>
    <t>BarrasFERREVARIEDADESCamilo Esteban M.</t>
  </si>
  <si>
    <t>Impresiones colorARQUIMAQUETASCamilo Esteban M.</t>
  </si>
  <si>
    <t>Lavado de carroEL CHAVOCamilo Esteban M.</t>
  </si>
  <si>
    <t>DEMANCHAR COJINERIAEC WASHPASTCamilo Esteban M.</t>
  </si>
  <si>
    <t>Filtro de aireDON MEDARDOCamilo Esteban M.</t>
  </si>
  <si>
    <t>Envio de documentosSERVIENTREGACamilo Esteban M.</t>
  </si>
  <si>
    <t>Union emt 1/2 curva emt 1/2ELECTRICAS ACCamilo Esteban M.</t>
  </si>
  <si>
    <t>Taxi de plaza de carnaval a terminal mixtoCAMILO MELOCamilo Esteban M.</t>
  </si>
  <si>
    <t xml:space="preserve">transporte bellatriz    </t>
  </si>
  <si>
    <t xml:space="preserve">Cargador celular oficina </t>
  </si>
  <si>
    <r>
      <t>Facturas </t>
    </r>
    <r>
      <rPr>
        <sz val="11"/>
        <color rgb="FF000000"/>
        <rFont val="Calibri"/>
        <family val="2"/>
      </rPr>
      <t>113645 por valor de $3.787.650-   ESTADO DE  CUENTA HITO</t>
    </r>
  </si>
  <si>
    <r>
      <t>Oferta </t>
    </r>
    <r>
      <rPr>
        <sz val="12"/>
        <color rgb="FF242424"/>
        <rFont val="Aptos"/>
        <family val="2"/>
      </rPr>
      <t>10024 por valor de $6.071.048  Ferreandina - Compra estructura</t>
    </r>
  </si>
  <si>
    <t>Oferta 10024 por valor de $261.800 </t>
  </si>
  <si>
    <t>ANTICIPO CONSTRUCCIONES SW ORTEGA 30%</t>
  </si>
  <si>
    <t>ANTICIPO CONSTRUCCIONES SW ORTEGA 20%</t>
  </si>
  <si>
    <t xml:space="preserve">PAGO GEE RENOVABLES sonarplas </t>
  </si>
  <si>
    <t xml:space="preserve">PAGO FLETES </t>
  </si>
  <si>
    <t xml:space="preserve">PAGO TAG DIGITAL </t>
  </si>
  <si>
    <t>Servicios publicos</t>
  </si>
  <si>
    <t xml:space="preserve">PAGO CUENTA DE COBRO ALIMENTOS NAOS </t>
  </si>
  <si>
    <t>PAGO ARREGLO PAGINA WEB</t>
  </si>
  <si>
    <t>dominios</t>
  </si>
  <si>
    <t>PAGO BICOLOR CARNES LUJOSA</t>
  </si>
  <si>
    <t xml:space="preserve">ANTICIPO JAVIER  HUMBERTO ROSERO </t>
  </si>
  <si>
    <t xml:space="preserve">PAGO LONA CAMILO BENAVIDES </t>
  </si>
  <si>
    <t xml:space="preserve">pago internet oficina </t>
  </si>
  <si>
    <t xml:space="preserve">pago servicio de energia </t>
  </si>
  <si>
    <t xml:space="preserve">pago deuda finandina </t>
  </si>
  <si>
    <t>pago Daniel esteban ortega figueroa</t>
  </si>
  <si>
    <t xml:space="preserve">pago Goru Vidrios centenarios </t>
  </si>
  <si>
    <t xml:space="preserve">Pago nomina oliver y mauricio naos </t>
  </si>
  <si>
    <t>Pago poliza ferreandian</t>
  </si>
  <si>
    <t xml:space="preserve">Pago fainco </t>
  </si>
  <si>
    <t>anticipo manuela polo 50%</t>
  </si>
  <si>
    <t>Pago impuestos 1</t>
  </si>
  <si>
    <t>Pago impuestos 2</t>
  </si>
  <si>
    <t>anticipo meico Container 5 % bellatriz</t>
  </si>
  <si>
    <t>Bellatriz</t>
  </si>
  <si>
    <t xml:space="preserve">pago electricos del valle </t>
  </si>
  <si>
    <t xml:space="preserve">pago casa andina naos </t>
  </si>
  <si>
    <t xml:space="preserve">pago mercado libre </t>
  </si>
  <si>
    <t>PAGO NOMINA QUINCENAL SEGUNDO MARCIAL GELPUD BOTINA</t>
  </si>
  <si>
    <t>PAGO NOMINA QUINCENAL MANUEL RODRIGO CORDOBA ORDOÑEZ</t>
  </si>
  <si>
    <t>PAGO NOMINA QUINCENAL CARLOS ANDRES MARCILLO ARCOS</t>
  </si>
  <si>
    <t>PAGO NOMINA QUINCENAL JOSE ALVEIRO CUSIS HERNANDEZ</t>
  </si>
  <si>
    <t>PAGO NOMINA QUINCENAL SANDRA CAROLINA PATASCOY BOTINA</t>
  </si>
  <si>
    <t>PAGO NOMINA QUINCENAL IVAN DARIO CAICEDO CALVACHE</t>
  </si>
  <si>
    <t>PAGO NOMINA QUINCENAL LEIBNITZ EDUARDO CHANA CALDERON</t>
  </si>
  <si>
    <t>PAGO NOMINA QUINCENAL CAMILO ESTEBAN MELO CALVACHE</t>
  </si>
  <si>
    <t>PAGO NOMINA QUINCENAL JASON STEVEN DIAZ GUEVARA </t>
  </si>
  <si>
    <t>PAGO NOMINA QUINCENAL RUDY GABRIEL TIMARAN SANTACRUZ</t>
  </si>
  <si>
    <t>PAGO NOMINA QUINCENAL OSCAR ANDRES CASTRO BOTINA</t>
  </si>
  <si>
    <t>PAGO NOMINA QUINCENAL STEVEN ALEXANDER VALLEJOS PANTOJA</t>
  </si>
  <si>
    <t>PAGO NOMINA QUINCENAL YULY ANDREA JARAMILLO GUERRERO</t>
  </si>
  <si>
    <t>PAGO NOMINA QUINCENAL LOREN ALEJANDRA DIAZ YAMPUEZAN</t>
  </si>
  <si>
    <t>PAGO NOMINA QUINCENAL ISABELA GONZALEZ HENAO</t>
  </si>
  <si>
    <t>PAGO NOMINA QUINCENAL ALBEIRO ORLANDO ESPAÑA HERNANDEZ</t>
  </si>
  <si>
    <t>PAGO NOMINA QUINCENAL DIEGO FERNANDO GARCIA CHAVES</t>
  </si>
  <si>
    <t>PAGO NOMINA QUINCENAL JHONSIN ARLEY ARIAS CEBALLOS</t>
  </si>
  <si>
    <t xml:space="preserve">PAGO NOMINA QUINCENAL PABLO FERNANDO BENAVIDES CHAVES </t>
  </si>
  <si>
    <t xml:space="preserve">PAGO NOMINA QUINCENAL JHON ALEXANDER GELPUD ZAMORA </t>
  </si>
  <si>
    <t xml:space="preserve">PAGO NOMINA QUINCENAL RUBEN DARIO ESPINOSA PARRA </t>
  </si>
  <si>
    <t>PAGO NOMINA QUINCENAL MARIO ALEXANDER CUSIS HERNANDEZ</t>
  </si>
  <si>
    <t>PAGO NOMINA QUINCENAL CRISTHIAN DUMAR MORENO VILLARREAL</t>
  </si>
  <si>
    <t xml:space="preserve">Pago trasnlado camioneta </t>
  </si>
  <si>
    <t>pago electricos del valle sonarplas</t>
  </si>
  <si>
    <t xml:space="preserve">Ingreso </t>
  </si>
  <si>
    <t xml:space="preserve">pago intereses finandina </t>
  </si>
  <si>
    <t>ingreso prstamo container juan pablo sumarrga</t>
  </si>
  <si>
    <t>ingreso anticipo bellariz</t>
  </si>
  <si>
    <t>ingreso la cali</t>
  </si>
  <si>
    <t xml:space="preserve">Ingreso pago tigre </t>
  </si>
  <si>
    <t xml:space="preserve">Transferencia EDWIN MONSAVE TRAMITES RALIZADOS DICIEMBRE </t>
  </si>
  <si>
    <t>pago compra adobe</t>
  </si>
  <si>
    <t>compra mister pollo</t>
  </si>
  <si>
    <t>ingreso pago v1501</t>
  </si>
  <si>
    <t xml:space="preserve">retiro cajero Juan manuel </t>
  </si>
  <si>
    <t>compra eds morasurco</t>
  </si>
  <si>
    <t xml:space="preserve">anticipo martin guamajoa </t>
  </si>
  <si>
    <t>Anticipo dinamic a</t>
  </si>
  <si>
    <t>pago informe Ambiental 2 viviana Patiño</t>
  </si>
  <si>
    <t>ingreso batericars</t>
  </si>
  <si>
    <t>Batericars</t>
  </si>
  <si>
    <t>Pago horas extras Jason Diaz</t>
  </si>
  <si>
    <t>Pago horas extras Steven Vallejos</t>
  </si>
  <si>
    <t xml:space="preserve">Pago horas extras Eduardo </t>
  </si>
  <si>
    <t xml:space="preserve">pago hospedaje Naos </t>
  </si>
  <si>
    <t>pago poliza sura</t>
  </si>
  <si>
    <t>PAGO Planilla Admon Camilo</t>
  </si>
  <si>
    <t>pago planilla 2 Pasto</t>
  </si>
  <si>
    <t>pago planilla 3 Medellin</t>
  </si>
  <si>
    <t>pago planilla 4 Medellín</t>
  </si>
  <si>
    <t>Pago ascenso bolsa de valores</t>
  </si>
  <si>
    <t xml:space="preserve">Pago legalizacion juanfer </t>
  </si>
  <si>
    <t>Pago solaire hito</t>
  </si>
  <si>
    <t xml:space="preserve">pago solaire mantenimeinto </t>
  </si>
  <si>
    <t>pago solaire balcones pubenza</t>
  </si>
  <si>
    <t>pago tarjetas y carnet</t>
  </si>
  <si>
    <t xml:space="preserve">Pago total Humberto Rosero </t>
  </si>
  <si>
    <t>pago camara de comercio medellin</t>
  </si>
  <si>
    <t xml:space="preserve">pago ferromac </t>
  </si>
  <si>
    <t>pago tablesa</t>
  </si>
  <si>
    <t xml:space="preserve">Pago equirent camioneta </t>
  </si>
  <si>
    <t xml:space="preserve">pago transporte Naos Harriosn </t>
  </si>
  <si>
    <t>pago transporte Naos Harriosn rete fuente 1%</t>
  </si>
  <si>
    <t>anticipo mundo sos</t>
  </si>
  <si>
    <t>casa medellin</t>
  </si>
  <si>
    <t xml:space="preserve">Legalizacion alveiro y Ruben </t>
  </si>
  <si>
    <t xml:space="preserve">pago guantes cristian </t>
  </si>
  <si>
    <t xml:space="preserve">pago camara de comercio </t>
  </si>
  <si>
    <t xml:space="preserve">Pago renovacion camara de comercio </t>
  </si>
  <si>
    <t xml:space="preserve">pago origen dotacion </t>
  </si>
  <si>
    <t xml:space="preserve">Pago camara de comercio </t>
  </si>
  <si>
    <t>pago electricos del valle</t>
  </si>
  <si>
    <t xml:space="preserve">IT certificado sonarplas </t>
  </si>
  <si>
    <t xml:space="preserve">pago impecol </t>
  </si>
  <si>
    <t>pago impecol rete iva 15%</t>
  </si>
  <si>
    <t>Pago intereses bolsa de valores</t>
  </si>
  <si>
    <t>Pago FNG bolsa de valores</t>
  </si>
  <si>
    <t xml:space="preserve">copias evolti </t>
  </si>
  <si>
    <t xml:space="preserve">transporte catambuco-novacentro </t>
  </si>
  <si>
    <t xml:space="preserve">transporte sonarplas -bodega </t>
  </si>
  <si>
    <t>RaydAutoservicio el centavo menosJeancarlo G Moncayo</t>
  </si>
  <si>
    <t>Jeancarlo</t>
  </si>
  <si>
    <t>transporte pasto - remolino juan fernandoJuan Fernando PaniaguaJeancarlo G Moncayo</t>
  </si>
  <si>
    <t>Aceite mobil 2TFerromacJeancarlo G Moncayo</t>
  </si>
  <si>
    <t>Candado grandeFerromacJeancarlo G Moncayo</t>
  </si>
  <si>
    <t>Parqueadero camioneta x paroJeancarlo MoncayoJeancarlo G Moncayo</t>
  </si>
  <si>
    <t>pan y hielo Juan Fernando PaniaguaJeancarlo G Moncayo</t>
  </si>
  <si>
    <t>Marcador BorrableJuan Fernando PaniaguaJeancarlo G Moncayo</t>
  </si>
  <si>
    <t>transporte remolino - pasto juan fernandoJuan Fernando PaniaguaJeancarlo G Moncayo</t>
  </si>
  <si>
    <t>laminas de zinc (Cuarto vigilante)FerromacJeancarlo G Moncayo</t>
  </si>
  <si>
    <t>Transporte ida y regreso remolino - pasto (Rudy)Transporte ida y regreso (Rudy)Jeancarlo G Moncayo</t>
  </si>
  <si>
    <t>flete materiales t remaches y tornllosFerromacJeancarlo G Moncayo</t>
  </si>
  <si>
    <t>Botellones de aguaDeposito Lopez FigueroaJeancarlo G Moncayo</t>
  </si>
  <si>
    <t>Pan x 5 diasJeancarlo MoncayoJeancarlo G Moncayo</t>
  </si>
  <si>
    <t>Sandia x 3 diasJeancarlo MoncayoJeancarlo G Moncayo</t>
  </si>
  <si>
    <t>Transporte ida y regreso remolino - pasto (Jeancarlo)Jeancarlo MoncayoJeancarlo G Moncayo</t>
  </si>
  <si>
    <t>Transporte ida y regreso remolino - pasto (Oscar)oscarJeancarlo G Moncayo</t>
  </si>
  <si>
    <t>Hielo x 5 dias Jeancarlo MoncayoJeancarlo G Moncayo</t>
  </si>
  <si>
    <t>Peaje remolino - pasto (Lavada camioneta)Peaje CanoJeancarlo G Moncayo</t>
  </si>
  <si>
    <t>Peaje pasto - Remolino (Lavada camioneta)Peaje CanoJeancarlo G Moncayo</t>
  </si>
  <si>
    <t>Lavada camionetaSPA lavautos Jeancarlo G Moncayo</t>
  </si>
  <si>
    <t>Gasolina CamionetaEDS servicentro panamericanaJeancarlo G Moncayo</t>
  </si>
  <si>
    <t>recarga sim claro (Señal reuniones)Jeancarlo MoncayoJeancarlo G Moncayo</t>
  </si>
  <si>
    <t>hoyadora x2, naylon, discos de corteFerromacJeancarlo G Moncayo</t>
  </si>
  <si>
    <t>Guantes de carnazaFerromacJeancarlo G Moncayo</t>
  </si>
  <si>
    <t>Transporte trompo mezcladoraJiraldo MontillaJeancarlo G Moncayo</t>
  </si>
  <si>
    <t>manila, alambre y hoja seguetaFerromacJeancarlo G Moncayo</t>
  </si>
  <si>
    <t>Disco de corte, cintaFerromacJeancarlo G Moncayo</t>
  </si>
  <si>
    <t>Sharpie 5 undJeancarlo MoncayoJeancarlo G Moncayo</t>
  </si>
  <si>
    <t>Aseo habitaciones (Sabado 9 de marzo)Deisy Viviana EnriquezJeancarlo G Moncayo</t>
  </si>
  <si>
    <t>Transporte personas x3 visita precontrato maquina perforadoraJeancarlo MoncayoJeancarlo G Moncayo</t>
  </si>
  <si>
    <t>Plomada, piolaFerretería FerroMacJeancarlo G Moncayo</t>
  </si>
  <si>
    <t>FleteAgrico DistribuidoraJeancarlo G Moncayo</t>
  </si>
  <si>
    <t>Aceite para plantaAlmacen y taller williamsJeancarlo G Moncayo</t>
  </si>
  <si>
    <t>piscina x 15 dias todo el equipoJeancarlo MoncayoJeancarlo G Moncayo</t>
  </si>
  <si>
    <t>azucarJeancarlo MoncayoJeancarlo G Moncayo</t>
  </si>
  <si>
    <t>botellones de aguaDeposito figueroaJeancarlo G Moncayo</t>
  </si>
  <si>
    <t>NylonFerretería FerroMacJeancarlo G Moncayo</t>
  </si>
  <si>
    <t>Bombeo agua (Alvaro Administrdor)Jeancarlo MoncayoJeancarlo G Moncayo</t>
  </si>
  <si>
    <t>Tornilleria, flexometroFerretería FerroMacJeancarlo G Moncayo</t>
  </si>
  <si>
    <t>Copa #19 x 2Almacen y taller williamsJeancarlo G Moncayo</t>
  </si>
  <si>
    <t>Sharpie y lapiz rojo x4Jeancarlo MoncayoJeancarlo G Moncayo</t>
  </si>
  <si>
    <t>Diesel para trompo (Fundiciones)EDS rio MayoJeancarlo G Moncayo</t>
  </si>
  <si>
    <t>Aceite trompoCentavo menosJeancarlo G Moncayo</t>
  </si>
  <si>
    <t>Transporte remolino - pasto - remolinoRudy TimaranJeancarlo G Moncayo</t>
  </si>
  <si>
    <t>Transporte remolino - pasto - remolinoOscar CastroJeancarlo G Moncayo</t>
  </si>
  <si>
    <t>Aseo habitaciones (Semana 16 de marzo)Deisy Viviana EnriquezJeancarlo G Moncayo</t>
  </si>
  <si>
    <t>Pan de toda la semanaJeancarlo MoncayoJeancarlo G Moncayo</t>
  </si>
  <si>
    <t>Hielo x 5 diasJeancarlo MoncayoJeancarlo G Moncayo</t>
  </si>
  <si>
    <t>Sandia x 4Jeancarlo MoncayoJeancarlo G Moncayo</t>
  </si>
  <si>
    <t>Transporte remolino - pasto - remolinoJeancarlo MoncayoJeancarlo G Moncayo</t>
  </si>
  <si>
    <t>Tanqueada camioneta (Viaje juanfer a cali)EDS CootranurJeancarlo G Moncayo</t>
  </si>
  <si>
    <t>Lavada camioneta (Para entrega a localiza)Jeancarlo MoncayoJeancarlo G Moncayo</t>
  </si>
  <si>
    <t xml:space="preserve">Transporte Tangua - Pasto </t>
  </si>
  <si>
    <t xml:space="preserve">Almuerzo ipiales </t>
  </si>
  <si>
    <t xml:space="preserve">Transporte ipiales </t>
  </si>
  <si>
    <t xml:space="preserve">compra alkosto aseo y cafeteria </t>
  </si>
  <si>
    <t xml:space="preserve">Transporte alimentos Nariño </t>
  </si>
  <si>
    <t xml:space="preserve">transporte visitas </t>
  </si>
  <si>
    <t xml:space="preserve">trabsporte piaggio campus aragon -oficina </t>
  </si>
  <si>
    <t>Campos de Aragón</t>
  </si>
  <si>
    <t xml:space="preserve">transporte catambuco -oficina </t>
  </si>
  <si>
    <t>Placa metalicasBICOLORCamilo Esteban M.</t>
  </si>
  <si>
    <t>Tornillos autoperforantesDISTRIBUCIONES ABCamilo Esteban M.</t>
  </si>
  <si>
    <t>Broca metalica, remachadora DISTRIBUCIONES ABCamilo Esteban M.</t>
  </si>
  <si>
    <t>Almuerzo en tanguaRESTAURANTE ANTOJOS Camilo Esteban M.</t>
  </si>
  <si>
    <t>4 prensa etopas 1"1/4TECNO ELECTRICOSCamilo Esteban M.</t>
  </si>
  <si>
    <t>Cable de poderRADIO SANYOCamilo Esteban M.</t>
  </si>
  <si>
    <t>1 metro de patina de 200 amp 2 prensa estopasTECNO ELECTRICOSCamilo Esteban M.</t>
  </si>
  <si>
    <t>Rieles PROCESADORA MADERASCamilo Esteban M.</t>
  </si>
  <si>
    <t>Rollo de mallaCARMEN ELIANA RECALDECamilo Esteban M.</t>
  </si>
  <si>
    <t>Cinta doble fas ,hoja protectoraJACOBOCamilo Esteban M.</t>
  </si>
  <si>
    <t>Arandelas ,tuercas ,wasaTODO TORNILLOCamilo Esteban M.</t>
  </si>
  <si>
    <t>Sika flex construction ,pistola calafateoCASA ANDINACamilo Esteban M.</t>
  </si>
  <si>
    <t>Limpiador de contactosCASA DIELEVCTRICACamilo Esteban M.</t>
  </si>
  <si>
    <t>cepillo de alambre klin Camilo Esteban M.</t>
  </si>
  <si>
    <t>ingreso visita tecnica</t>
  </si>
  <si>
    <t>visitas</t>
  </si>
  <si>
    <t xml:space="preserve">transporte ipiales </t>
  </si>
  <si>
    <t>trabsporte wilian basante hito</t>
  </si>
  <si>
    <t>trabsporte wilian basante Naos</t>
  </si>
  <si>
    <t>trabsporte wilian basante balcones de pubenza</t>
  </si>
  <si>
    <t xml:space="preserve">trabsporte wilian basante ventas </t>
  </si>
  <si>
    <t>pago defa balcones de pubenza</t>
  </si>
  <si>
    <t>pago legalziacion juanfer</t>
  </si>
  <si>
    <t xml:space="preserve">pago polichado camioneta </t>
  </si>
  <si>
    <t xml:space="preserve">pago credito banc de bogota </t>
  </si>
  <si>
    <t xml:space="preserve">pago intereses credito banc de bogota </t>
  </si>
  <si>
    <t xml:space="preserve">pago credito davivienda </t>
  </si>
  <si>
    <t xml:space="preserve">pago intereses credito davivienda </t>
  </si>
  <si>
    <t>Pago finaktiva</t>
  </si>
  <si>
    <t xml:space="preserve">Pago ac balcones de puebnza </t>
  </si>
  <si>
    <t xml:space="preserve">ingreso Happina </t>
  </si>
  <si>
    <t>pago hubspot</t>
  </si>
  <si>
    <t xml:space="preserve">pago café perga </t>
  </si>
  <si>
    <t xml:space="preserve">compra hom burger </t>
  </si>
  <si>
    <t xml:space="preserve">compra en mister pollo </t>
  </si>
  <si>
    <t>compra microsoft</t>
  </si>
  <si>
    <t xml:space="preserve">compra hotel cuellar </t>
  </si>
  <si>
    <t xml:space="preserve">Transferencia virtual Pyme </t>
  </si>
  <si>
    <t xml:space="preserve">ingreso 50% Juan Camilo Alvares botero </t>
  </si>
  <si>
    <t xml:space="preserve">ingreso cuellar </t>
  </si>
  <si>
    <t xml:space="preserve">transporte taxi juan manuel </t>
  </si>
  <si>
    <t xml:space="preserve">ferreteria J alberto Naos </t>
  </si>
  <si>
    <t xml:space="preserve">pago dinamica </t>
  </si>
  <si>
    <t xml:space="preserve">pago umpe balcones pubenza </t>
  </si>
  <si>
    <t xml:space="preserve">pago casa andina Naos </t>
  </si>
  <si>
    <t xml:space="preserve">pago ica remolino </t>
  </si>
  <si>
    <t xml:space="preserve">pago casa andina naos 3 </t>
  </si>
  <si>
    <t xml:space="preserve">pago celular oficina </t>
  </si>
  <si>
    <t xml:space="preserve">PAGO CELULAR COMERCIAL </t>
  </si>
  <si>
    <t xml:space="preserve">PAGO GOBERNACION PAOLA RAMOS </t>
  </si>
  <si>
    <t xml:space="preserve">PAGO LEGALIZACION ERIKA NAOS </t>
  </si>
  <si>
    <t xml:space="preserve">PAGO David Diaz naos </t>
  </si>
  <si>
    <t xml:space="preserve">pago poliza sura </t>
  </si>
  <si>
    <t xml:space="preserve">pago alimentacion marcos Daniel naos </t>
  </si>
  <si>
    <t xml:space="preserve">pago alquiler baños naos </t>
  </si>
  <si>
    <t>pólizas</t>
  </si>
  <si>
    <t>pago meico Novacentro 3</t>
  </si>
  <si>
    <t>pago bicolor naos</t>
  </si>
  <si>
    <t>pago gerardo alberto delgado</t>
  </si>
  <si>
    <t xml:space="preserve">pago busos leidy </t>
  </si>
  <si>
    <t xml:space="preserve">Anticipo martin gumajoa </t>
  </si>
  <si>
    <t xml:space="preserve">pago Mangueras Carlos Guerrero </t>
  </si>
  <si>
    <t>pago planilla 1</t>
  </si>
  <si>
    <t>pago planilla 3</t>
  </si>
  <si>
    <t>Anticipo 10% sonarplas</t>
  </si>
  <si>
    <t>Ingreso consultorios</t>
  </si>
  <si>
    <t xml:space="preserve">Ingreso viista pukara </t>
  </si>
  <si>
    <t xml:space="preserve">compra en servicios </t>
  </si>
  <si>
    <t xml:space="preserve">transporte, lavado carro, </t>
  </si>
  <si>
    <t>transporte visita versalles</t>
  </si>
  <si>
    <t xml:space="preserve">Pago transporte sonar plas electricos del valle </t>
  </si>
  <si>
    <t xml:space="preserve">transporte balcones pubenza </t>
  </si>
  <si>
    <t xml:space="preserve">pago asysel balcones pubenza </t>
  </si>
  <si>
    <t>pago milenio 4% retencion en la fuente</t>
  </si>
  <si>
    <t>pago planilla 4</t>
  </si>
  <si>
    <t xml:space="preserve">ESTRUCTURA HITO SOLAIRE </t>
  </si>
  <si>
    <t>pago grupo defa naos 3x1000 rete ica</t>
  </si>
  <si>
    <t>pago sura polizas</t>
  </si>
  <si>
    <t>pago casa andina naos  2,5% retencion en la fuente</t>
  </si>
  <si>
    <t xml:space="preserve">pago casa andina naos  5x1000 rete ica </t>
  </si>
  <si>
    <t xml:space="preserve">pago total andamios luis rodriguez 4%retencion en la fuente </t>
  </si>
  <si>
    <t>San Rafael</t>
  </si>
  <si>
    <t xml:space="preserve">pago surtiequipos naos </t>
  </si>
  <si>
    <t xml:space="preserve">pago planilla 2 </t>
  </si>
  <si>
    <t>Pago intereses finacktiva</t>
  </si>
  <si>
    <t>pago credito banco de bogota</t>
  </si>
  <si>
    <t>PAGO planilla  Balcones de Pubenza</t>
  </si>
  <si>
    <t>PAGO planilla  Naos</t>
  </si>
  <si>
    <t>PAGO planilla  Sonarplas</t>
  </si>
  <si>
    <t>PAGO planilla  Hito</t>
  </si>
  <si>
    <t>PAGO planilla  Ventas</t>
  </si>
  <si>
    <t>Pago nomina JEANCARLO GUILLERMO MONCAYO ANDRADE</t>
  </si>
  <si>
    <t>Pago nomina JUAN FERNANDO PANIAGUA OSORIO</t>
  </si>
  <si>
    <t>Pago nomina SEGUNDO MARCIAL GELPUD BOTINA</t>
  </si>
  <si>
    <t>Pago nomina MANUEL RODRIGO CORDOBA ORDOÑEZ</t>
  </si>
  <si>
    <t>Pago nomina JHOANA MARCELA GERMAN REYES</t>
  </si>
  <si>
    <t>Pago nomina CARLOS ANDRES MARCILLO ARCOS</t>
  </si>
  <si>
    <t>Pago nomina JOSE ALVEIRO CUSIS HERNANDEZ</t>
  </si>
  <si>
    <t>Pago nomina JUAN MANUEL ESPAÑA FORERO</t>
  </si>
  <si>
    <t>Pago nomina JUAN MANUEL ESPAÑA FORERO LEGALIZACION</t>
  </si>
  <si>
    <t>Pago nomina DANIEL FERNANDO MEDINA GUERRERO</t>
  </si>
  <si>
    <t>Pago nomina DANIEL FERNANDO MEDINA GUERRERO LEGALIZACION</t>
  </si>
  <si>
    <t>Pago nomina HERMANN SOUZA CUBIDES</t>
  </si>
  <si>
    <t>Pago nomina HERMANN SOUZA CUBIDES LEGALIZACION</t>
  </si>
  <si>
    <t>Pago nomina SANDRA CAROLINA PATASCOY BOTINA</t>
  </si>
  <si>
    <t>Pago nomina IVAN DARIO CAICEDO CALVACHE</t>
  </si>
  <si>
    <t>Pago nomina LEIBNITZ EDUARDO CHANA CALDERON</t>
  </si>
  <si>
    <t>Pago nomina CAMILO ESTEBAN MELO CALVACHE</t>
  </si>
  <si>
    <t>Pago nomina JASON STEVEN DIAZ GUEVARA </t>
  </si>
  <si>
    <t>Pago nomina RUDY GABRIEL TIMARAN SANTACRUZ</t>
  </si>
  <si>
    <t>Pago nomina OSCAR ANDRES CASTRO BOTINA</t>
  </si>
  <si>
    <t>Pago nomina MIGUEL ALEJANDRO ENRIQUEZ CHAMORRO</t>
  </si>
  <si>
    <t>Pago nomina KELLY TATIANA ALVAREZ GARCIA</t>
  </si>
  <si>
    <t>Pago nomina STEVEN ALEXANDER VALLEJOS PANTOJA</t>
  </si>
  <si>
    <t>Pago nomina YULY ANDREA JARAMILLO GUERRERO</t>
  </si>
  <si>
    <t>Pago nomina DANNA STEFANYA LASSO GUERRA</t>
  </si>
  <si>
    <t>Pago nomina LOREN ALEJANDRA DIAZ YAMPUEZAN</t>
  </si>
  <si>
    <t>Pago nomina ISABELA GONZALEZ HENAO</t>
  </si>
  <si>
    <t>Pago nomina VERONICA LILIANA SANTACRUZ MENZA</t>
  </si>
  <si>
    <t>Pago nomina ALBEIRO ORLANDO ESPAÑA HERNANDEZ</t>
  </si>
  <si>
    <t>Pago nomina DIEGO FERNANDO GARCIA CHAVES</t>
  </si>
  <si>
    <t>Pago nomina JHONSIN ARLEY ARIAS CEBALLOS</t>
  </si>
  <si>
    <t xml:space="preserve">Pago nomina PABLO FERNANDO BENAVIDES CHAVES </t>
  </si>
  <si>
    <t xml:space="preserve">Pago nomina JHON ALEXANDER GELPUD ZAMORA </t>
  </si>
  <si>
    <t xml:space="preserve">Pago nomina RUBEN DARIO ESPINOSA PARRA </t>
  </si>
  <si>
    <t>Pago nomina MARIO ALEXANDER CUSIS HERNANDEZ</t>
  </si>
  <si>
    <t>Pago nomina JEISON JULIAN IPIALES BENAVIDES</t>
  </si>
  <si>
    <t>Pago nomina MAURICIO GUTIERREZ MARTINEZ</t>
  </si>
  <si>
    <t>Pago nomina OLIVER GUTIERREZ MARTINEZ</t>
  </si>
  <si>
    <t>Pago nomina CRISTHIAN DUMAR MORENO VILLARREAL</t>
  </si>
  <si>
    <t>Pago nomina EDILFONSO ROSERO CASTILLO</t>
  </si>
  <si>
    <t>Pago nomina JIMMI ALEXANDER BURGOS GUERRERO</t>
  </si>
  <si>
    <t>Pago nomina JAVIER SEBASTIÁN LUCENA VILLARREAL</t>
  </si>
  <si>
    <t>Q</t>
  </si>
  <si>
    <t>Mini breaker 1x16ELECTRICAS ACCamilo Esteban M.</t>
  </si>
  <si>
    <t>Blanco matePINTUPASTOCamilo Esteban M.</t>
  </si>
  <si>
    <t>Power gris 7 añosLA FERROCamilo Esteban M.</t>
  </si>
  <si>
    <t>Brocas sierraCASA DIELECTRICACamilo Esteban M.</t>
  </si>
  <si>
    <t>Termo encogibleJAIME ORLANDOCamilo Esteban M.</t>
  </si>
  <si>
    <t>2 metros de platina de cobreTECNO ELECTRICOSCamilo Esteban M.</t>
  </si>
  <si>
    <t>Tornillos tropicalizadosTODO TORNILLOCamilo Esteban M.</t>
  </si>
  <si>
    <t>Cinta soccoPINTUPASTOCamilo Esteban M.</t>
  </si>
  <si>
    <t>candado ,cancamoFERRETERIA LA 16Camilo Esteban M.</t>
  </si>
  <si>
    <t>Tpara plastica ,prensa estopa , canaleta ranuradaELECTRICAS ACCamilo Esteban M.</t>
  </si>
  <si>
    <t>Copa cierra LA FERRO Camilo Esteban M.</t>
  </si>
  <si>
    <t>Transporte pasto remolinoCAMILO MELOCamilo Esteban M.</t>
  </si>
  <si>
    <t>Uber de oficina a club colombiaCAMILO MELOCamilo Esteban M.</t>
  </si>
  <si>
    <t>Uber de club colombia a oficinaCAMILO MELOCamilo Esteban M.</t>
  </si>
  <si>
    <t>Piaggio del mercado a casa andinaCAMILO MELOCamilo Esteban M.</t>
  </si>
  <si>
    <t>Piaggio de casa andina a oficina CAMILO MELOCamilo Esteban M.</t>
  </si>
  <si>
    <t>Piaggio de oficina a clinica pabon CAMILO MELOCamilo Esteban M.</t>
  </si>
  <si>
    <t>Uber de oficina a balcones de pubenzaCAMILO MELOCamilo Esteban M.</t>
  </si>
  <si>
    <t>Piaggio de oficina a botaderoCAMILO MELOCamilo Esteban M.</t>
  </si>
  <si>
    <t xml:space="preserve">transporte balcones pubenza miguel </t>
  </si>
  <si>
    <t>transporte clinica pabon miguel</t>
  </si>
  <si>
    <t xml:space="preserve">transporte hito miguel </t>
  </si>
  <si>
    <t xml:space="preserve">transporte balcones de pubenza miguel </t>
  </si>
  <si>
    <t xml:space="preserve">transporte balcones de puebnza henry cuenta de cobro </t>
  </si>
  <si>
    <t xml:space="preserve">transporte visitas cuenta de cobro  henry cuenta de cobro </t>
  </si>
  <si>
    <t xml:space="preserve">transporte vidricios centenarios henry cuenta de cobro </t>
  </si>
  <si>
    <t xml:space="preserve">transporte campos de aragon cuenta de cobro </t>
  </si>
  <si>
    <t xml:space="preserve">transporte casa humberto henry cuenta de cobro </t>
  </si>
  <si>
    <t xml:space="preserve">transpporte carnes lujosa henry cuenta de cobro </t>
  </si>
  <si>
    <t xml:space="preserve">transporte hito henry cuenta de cobro </t>
  </si>
  <si>
    <t xml:space="preserve">INGRESO DE LEGALIZCION ALVEIRO CUSIS </t>
  </si>
  <si>
    <t xml:space="preserve">TRANSPORTE CLINICA PABON STEFANIA </t>
  </si>
  <si>
    <t>STEFANIA</t>
  </si>
  <si>
    <t>BisturiCASA ANDINACamilo Esteban M.</t>
  </si>
  <si>
    <t>dDisco finoCASA ANDINACamilo Esteban M.</t>
  </si>
  <si>
    <t>Borna #6ELECTRICAS ACCamilo Esteban M.</t>
  </si>
  <si>
    <t>Borna #8CASA DIELECTRICACamilo Esteban M.</t>
  </si>
  <si>
    <t>Agua cristalMERJAHORROCamilo Esteban M.</t>
  </si>
  <si>
    <t>Brocas , tornillos tuercas TODO TORNILLOCamilo Esteban M.</t>
  </si>
  <si>
    <t>Terminal #4, terminal #8, cinta autofundenteCASA DIELECTRICACamilo Esteban M.</t>
  </si>
  <si>
    <t>Caja de paso 20x20CASA DIELECTRICACamilo Esteban M.</t>
  </si>
  <si>
    <t>Destornillador de puño de pala , tornillos drywallTODO TORNILLOCamilo Esteban M.</t>
  </si>
  <si>
    <t>Bisos logo evoltiBORDADOSCamilo Esteban M.</t>
  </si>
  <si>
    <t>Punta broca , destornillador de estrellaDISTRIBUCIONES ABCamilo Esteban M.</t>
  </si>
  <si>
    <t>Piaggio de j alberto a oficinaCAMILO MELOCamilo Esteban M.</t>
  </si>
  <si>
    <t>Uber de las americas a oficinaCAMILO MELOCamilo Esteban M.</t>
  </si>
  <si>
    <t>Trasporte pasto remolinoCAMILO MELOCamilo Esteban M.</t>
  </si>
  <si>
    <t>Piaggio de oficina a hitoCAMILO MELOCamilo Esteban M.</t>
  </si>
  <si>
    <t>Piaggio de oficina a clinica pabonCAMILO MELOCamilo Esteban M.</t>
  </si>
  <si>
    <t>Piaggio de clinica pabon a hitoCAMILO MELOCamilo Esteban M.</t>
  </si>
  <si>
    <t>Taxi de casa andina a defa CAMILO MELOCamilo Esteban M.</t>
  </si>
  <si>
    <t>Taxi de defa a terminal mixtoCAMILO MELOCamilo Esteban M.</t>
  </si>
  <si>
    <t>E vio pasto remolinoCAMILO MELOCamilo Esteban M.</t>
  </si>
  <si>
    <t>E nvio de planta electrica a remolinoCAMILO MELOCamilo Esteban M.</t>
  </si>
  <si>
    <t>FALTANTE DE FACTURATECNIAGROCamilo Esteban M.</t>
  </si>
  <si>
    <t>TRANSPORTE BALCONES PUBENZA STEFANIA</t>
  </si>
  <si>
    <t xml:space="preserve">TRANSPORTE STEFANIA CLINICA PABON </t>
  </si>
  <si>
    <t>COMPRA DE RECOGEDRO YE SCOBA HITO</t>
  </si>
  <si>
    <t>transporte club colombia oficina CAMILO</t>
  </si>
  <si>
    <t>transporte clinica pabon-oficina CAMILO</t>
  </si>
  <si>
    <t xml:space="preserve">DOTACION MARCELA </t>
  </si>
  <si>
    <t>pago vallas remolino</t>
  </si>
  <si>
    <t>pago bateria alia hosni</t>
  </si>
  <si>
    <t>pago ferrevariedades maria pantoja naos</t>
  </si>
  <si>
    <t>pago torno miguel ortega naos</t>
  </si>
  <si>
    <t xml:space="preserve">Devolucion deposito andamios surtiequipos </t>
  </si>
  <si>
    <t>devolcion naos huecos JUAN CARLOS TRUJILLO</t>
  </si>
  <si>
    <t xml:space="preserve">devolcuion nomina Ruben Silva </t>
  </si>
  <si>
    <t xml:space="preserve">ingreso multicarnes lujosa 40% OCCIDENTE </t>
  </si>
  <si>
    <t xml:space="preserve">ingreso licing occidente </t>
  </si>
  <si>
    <t xml:space="preserve">ingreso club colombia </t>
  </si>
  <si>
    <t>ingreso credito bolsa de valores</t>
  </si>
  <si>
    <t>gastos bolsa de valores</t>
  </si>
  <si>
    <t>PAGO HUMBERTO ROSERO PISO TECNICO FERREANDINA</t>
  </si>
  <si>
    <t xml:space="preserve">PAGO HUMBERTO ROSERO ESTRUCTURA PABON </t>
  </si>
  <si>
    <t xml:space="preserve">egreso estructrura naos solaire </t>
  </si>
  <si>
    <t xml:space="preserve">PAGO ELECTRICOS DEL VALLE </t>
  </si>
  <si>
    <t xml:space="preserve">pago epp dotaciones gerardo delgado </t>
  </si>
  <si>
    <t xml:space="preserve">Pago Mario Zambrano vivarium </t>
  </si>
  <si>
    <t>Vivarium</t>
  </si>
  <si>
    <t xml:space="preserve">pago tecniagro </t>
  </si>
  <si>
    <t xml:space="preserve">pago milenio </t>
  </si>
  <si>
    <t xml:space="preserve">pago ferromac naos </t>
  </si>
  <si>
    <t xml:space="preserve">pago grupo defa naos </t>
  </si>
  <si>
    <t>pago total andamios luis rodriguez</t>
  </si>
  <si>
    <t xml:space="preserve">Pgo alimentacion naos </t>
  </si>
  <si>
    <t>pago ac hito</t>
  </si>
  <si>
    <t xml:space="preserve">anticipo ectricol lacteos andinos </t>
  </si>
  <si>
    <t>Pgo defa clinica pabon</t>
  </si>
  <si>
    <t>pago tmc</t>
  </si>
  <si>
    <t xml:space="preserve">ingreso lacteos andinos </t>
  </si>
  <si>
    <t>ingreso arboleda MARZO</t>
  </si>
  <si>
    <t xml:space="preserve">abono divisas credito juan pablo paneles </t>
  </si>
  <si>
    <t>ingreso acuagen</t>
  </si>
  <si>
    <t>2 botellones de aguaDeposito figueroaJeancarlo G Moncayo</t>
  </si>
  <si>
    <t>4 sharpies y 4 lapiz rojosJeancarlo MoncayoSI</t>
  </si>
  <si>
    <t>10 Tablas pinoFerretería FerroMac2000000</t>
  </si>
  <si>
    <t>1 botellon de aguaDeposito figueroaRubro</t>
  </si>
  <si>
    <t>aceite para trompo ligaduraFerreteria Agrico</t>
  </si>
  <si>
    <t>puntillas 2 y 1/2" y 3"Ferretería FerroMac         Alimentación</t>
  </si>
  <si>
    <t>Diesel para trompoEDS rio Mayo   Mesas FV</t>
  </si>
  <si>
    <t>Gasolina para pomaEDS rio Mayo   SET (Civil)</t>
  </si>
  <si>
    <t>Tubo sanitario de 3" Ferretería FerroMac         Alimentación</t>
  </si>
  <si>
    <t>2 botellones de aguaDeposito figueroa      Gastos administrativos</t>
  </si>
  <si>
    <t>12 Tablasy libra de mineral rojoFerretería FerroMac   SET (Civil)</t>
  </si>
  <si>
    <t>Flete x 50 bultos de cementoJeancarlo Moncayo   Hincado en micropilotaje</t>
  </si>
  <si>
    <t>disco de madera de 7"Ferretería FerroMac   Hincado en micropilotaje</t>
  </si>
  <si>
    <t>2  Hoyadoras colimaFerretería FerroMac   SET (Civil)</t>
  </si>
  <si>
    <t>Transporte salida remolino - pastoRudy Timaran         Alimentación</t>
  </si>
  <si>
    <t>2 botellones de aguaDeposito figueroa   SET (Civil)</t>
  </si>
  <si>
    <t>Aseo semana del 18 al 23 de marzo de 2024Deisy Viviana Enriquez   SET (Civil)</t>
  </si>
  <si>
    <t>Transporte salida remolino - pastoManuel Cordoba   Hincado en micropilotaje</t>
  </si>
  <si>
    <t>Transporte salida remolino - pastoOscar Castro         Transporte</t>
  </si>
  <si>
    <t>Transporte salida remolino - pastoSegundo Gelpud         Alimentación</t>
  </si>
  <si>
    <t>Compra café Tiendas D1   SET (Civil)</t>
  </si>
  <si>
    <t>Libra de azucarJeancarlo Moncayo         Hospedaje</t>
  </si>
  <si>
    <t>pan semana 18 al 23 de marzoJeancarlo Moncayo         Transporte</t>
  </si>
  <si>
    <t>Hielo y sandia semana 18 al 23 de marzoJeancarlo Moncayo         Transporte</t>
  </si>
  <si>
    <t>Transporte ida y regreso remolino - pastoStiven Vallejo         Transporte</t>
  </si>
  <si>
    <t>agua hidratacion (Domingo)Jeancarlo Moncayo         Alimentación</t>
  </si>
  <si>
    <t>Transporte ida y regreso remolino - pastoJeancarlo Moncayo         Alimentación</t>
  </si>
  <si>
    <t>Bombeo agua fundicion columnasJeancarlo Moncayo         Alimentación</t>
  </si>
  <si>
    <t>Peaje Recogida de camionetaPeaje cano         Alimentación</t>
  </si>
  <si>
    <t>Peaje salida de remolino (Semana Santa)Peaje cano         Transporte</t>
  </si>
  <si>
    <t>Combustible acpm camionetaEDS rio Mayo         Alimentación</t>
  </si>
  <si>
    <t>Aseo semana del 24 al 27 de marzo de 2024Deisy Viviana Enriquez         Transporte</t>
  </si>
  <si>
    <t>pago ips bienestar</t>
  </si>
  <si>
    <t xml:space="preserve">amcicipo humberto rosero </t>
  </si>
  <si>
    <t>pago Daniel ortega Of costrucciones</t>
  </si>
  <si>
    <t xml:space="preserve">Pago solaire fletes naos </t>
  </si>
  <si>
    <t>pago de certificado tradicion canopues</t>
  </si>
  <si>
    <t>pago distribuciones ac hito</t>
  </si>
  <si>
    <t>pago tecnoelectricos hito valentina figueroa</t>
  </si>
  <si>
    <t>pago sst cateherin arevalo marzo y abril</t>
  </si>
  <si>
    <t>pago planos canopus PAPELERIA MPC COMPUTADORES SAS</t>
  </si>
  <si>
    <t xml:space="preserve">pago christian moncayo </t>
  </si>
  <si>
    <t xml:space="preserve">pago defa clinica pabon </t>
  </si>
  <si>
    <t xml:space="preserve">pago transporte harrison naos </t>
  </si>
  <si>
    <t>pago camara de comerciol pasto</t>
  </si>
  <si>
    <t xml:space="preserve">pago hotel oasis </t>
  </si>
  <si>
    <t xml:space="preserve">pago paola ramos </t>
  </si>
  <si>
    <t>anticipo martin Gumajoa</t>
  </si>
  <si>
    <t>pago upme balcones pubenza</t>
  </si>
  <si>
    <t xml:space="preserve">pago legalizacion carolina ipiales </t>
  </si>
  <si>
    <t>Pago sumatec naos</t>
  </si>
  <si>
    <t>jean carlo</t>
  </si>
  <si>
    <t>PAGO REINTEGRO INVOICE HERMANN</t>
  </si>
  <si>
    <t xml:space="preserve">PAGO FERREVARIEDADES NAOS </t>
  </si>
  <si>
    <t>PAGO INNOVA VALLAS TANGIA PINNASACO</t>
  </si>
  <si>
    <t>PAGO TORNOANDREA VIVIANA VIVAS</t>
  </si>
  <si>
    <t>pago montacargas naos reteica 6*1000</t>
  </si>
  <si>
    <t>pago montacargas naos retefuente 2.5%</t>
  </si>
  <si>
    <t>PAGO FERREANDINA Javier ortega</t>
  </si>
  <si>
    <t xml:space="preserve">Anticipo 60% ELECTRICOS BOYACA VIVARIUM Y ACUEDCUTO </t>
  </si>
  <si>
    <t>PAGO COLSEIN</t>
  </si>
  <si>
    <t xml:space="preserve">PAGO LEGALIZACION KELLY </t>
  </si>
  <si>
    <t xml:space="preserve">PAGO ALIMENTACION NAOS </t>
  </si>
  <si>
    <t>PAGO MONTACARGAS angie valencia</t>
  </si>
  <si>
    <t>pago spray zinc ingenieria y representaciones  NAOS</t>
  </si>
  <si>
    <t xml:space="preserve">PAGO IMPUESTOS </t>
  </si>
  <si>
    <t>dian</t>
  </si>
  <si>
    <t>PAGO IMPUESTOS 2</t>
  </si>
  <si>
    <t>PAGO MONITOREO SEGURIDAD DEL SUR NAOS</t>
  </si>
  <si>
    <t>pago total jimmi burgos retencion en la fuente arto 383</t>
  </si>
  <si>
    <t>PAGO PLANTA ELECTRICA NAOS</t>
  </si>
  <si>
    <t xml:space="preserve">PAGO UNIVERSAL DE HERRAMIENTA NAOS </t>
  </si>
  <si>
    <t>PAGO TEMPO</t>
  </si>
  <si>
    <t xml:space="preserve">pago busos leidy CUENTA DE COBRO </t>
  </si>
  <si>
    <t>Tornillos , tuercas, arandeslasDISTRIBUCIONES ABCamilo Esteban M.</t>
  </si>
  <si>
    <t>mantenimiento planta electricaTECNIAGROCamilo Esteban M.</t>
  </si>
  <si>
    <t>Caja empalme 20x20x10ELECTRICAS ACCamilo Esteban M.</t>
  </si>
  <si>
    <t>Terminales 10awgK.U.Camilo Esteban M.</t>
  </si>
  <si>
    <t>Terminales 8awgCASA DIELECTRICACamilo Esteban M.</t>
  </si>
  <si>
    <t>Tornillos autoperforantes TODO TORNILLOCamilo Esteban M.</t>
  </si>
  <si>
    <t>Careta DOTASOLCamilo Esteban M.</t>
  </si>
  <si>
    <t>Curvas 3" emt , ELECTRICAS ACCamilo Esteban M.</t>
  </si>
  <si>
    <t>Arandelas ,tuercasTODO TORNILLOCamilo Esteban M.</t>
  </si>
  <si>
    <t>ImprecionesARQUIMAQUETASCamilo Esteban M.</t>
  </si>
  <si>
    <t>stiker de puesto a tierraTECNO ELECTRICOSCamilo Esteban M.</t>
  </si>
  <si>
    <t>Envio de planta electrica a remolinoCAMILO MELOCamilo Esteban M.</t>
  </si>
  <si>
    <t>Envio de ahoyadora a remolinoCAMILO MELOCamilo Esteban M.</t>
  </si>
  <si>
    <t>Uber de oficina a terminal CAMILO MELOCamilo Esteban M.</t>
  </si>
  <si>
    <t>PAGO COLSEIN PABON</t>
  </si>
  <si>
    <t>TapabocasCAMILO MELOCamilo Esteban M.</t>
  </si>
  <si>
    <t>transporte cuenta de cobro wilian basante</t>
  </si>
  <si>
    <t>COPRA DE REFRIGERIO NAOS ALKOSTO</t>
  </si>
  <si>
    <t>TRASNPORTE EDIFICIO SANTA ELENA jeison</t>
  </si>
  <si>
    <t xml:space="preserve">HOSPEDAJE NAOS </t>
  </si>
  <si>
    <t>HOSPEDAJE NAOS RETENCION DEL 3,5%</t>
  </si>
  <si>
    <t xml:space="preserve">PEAJES REMOLINO </t>
  </si>
  <si>
    <t>Lima media caña ,punta copa TODO TORNILLO Camilo Esteban M.</t>
  </si>
  <si>
    <t>Sticker reflectivoTECNO ELECTRICOSSI</t>
  </si>
  <si>
    <t>Caja de empalme 30x30x20, curva para tubo 2"CASA DIELECTRICA1000000</t>
  </si>
  <si>
    <t>Electrica industrial naraja en cruz, broca muro 1"2DISTRIBUCIONES ABNombre del Proyecto</t>
  </si>
  <si>
    <t>Bloqueador tangaDROGUERIA VERSALLES</t>
  </si>
  <si>
    <t>ImpresionesARQUIMAQUETAS</t>
  </si>
  <si>
    <t xml:space="preserve">Cinta doble fax tabla de apolloPAPELERIA BUENDIACLINICA PABON </t>
  </si>
  <si>
    <t>Disco de corte ,tornillos autoperforantes , chazos balaTODO TORNILLO CARNES LA LUJOSA</t>
  </si>
  <si>
    <t xml:space="preserve">Taxi de alkosto de la pana a los aquines y a hitoCAMILO MELOCLINICA PABON </t>
  </si>
  <si>
    <t>Ziklo Alkosto</t>
  </si>
  <si>
    <t xml:space="preserve">Taxi de caqsa dielectrica a clinica pabonCAMILO MELOCLINICA PABON </t>
  </si>
  <si>
    <t>Taxi de la oficina a chapalCAMILO MELOFERRO ANDINA</t>
  </si>
  <si>
    <t>Taxi de pasto  a tanguaCAMILO MELONAOS</t>
  </si>
  <si>
    <t xml:space="preserve">Taxi de tangua a pastoCAMILO MELOCLINICA PABON </t>
  </si>
  <si>
    <t>Taxi de chapal a oficinaCAMILO MELOFERRO ANDINA</t>
  </si>
  <si>
    <t xml:space="preserve">Transporte Pasto-IpialesExpreso valle de atrizStefanya Lasso </t>
  </si>
  <si>
    <t xml:space="preserve">Transporte Pasto-IpialesTrans SandonaStefanya Lasso </t>
  </si>
  <si>
    <t xml:space="preserve">Taxi oficina - terminal PastoStefanya LassoStefanya Lasso </t>
  </si>
  <si>
    <t xml:space="preserve">Taxi Terminal Ipiales - Ferre AndinaStefanya LassoStefanya Lasso </t>
  </si>
  <si>
    <t xml:space="preserve">Taxi Ferre Andina - Terminal IpialesStefanya LassoStefanya Lasso </t>
  </si>
  <si>
    <t xml:space="preserve">Desayuno Stefanya, AlveiroStefanya LassoStefanya Lasso </t>
  </si>
  <si>
    <t xml:space="preserve">Hidratación Stefanya, AlveiroStefanya LassoStefanya Lasso </t>
  </si>
  <si>
    <t xml:space="preserve">Almuerzo Stefanya, AlveiroStefanya LassoStefanya Lasso </t>
  </si>
  <si>
    <t>TRANSPORTE VISITAS STEFANIA</t>
  </si>
  <si>
    <t>TRANSPORTE VIVARIUM STEFANIA</t>
  </si>
  <si>
    <t xml:space="preserve">TRASNPORTE ACONCAGUA VISITIA JEISON </t>
  </si>
  <si>
    <t>DOTACION STEFANIA</t>
  </si>
  <si>
    <t>DOTACION LOREN</t>
  </si>
  <si>
    <t>Discos de corte CASA ANDINACamilo Esteban M.</t>
  </si>
  <si>
    <t>Bisturi CASA ANDINACamilo Esteban M.</t>
  </si>
  <si>
    <t>4 tiquetes pasto -ipialesTRANSIPIALESCamilo Esteban M.</t>
  </si>
  <si>
    <t>Tubo emtr de 1/2, uniones emt 1/2, terminales emt 1/2GRUPO DEFACamilo Esteban M.</t>
  </si>
  <si>
    <t>Prensa estopas de 1/2 y 1"1/4TECNO ELECTRICOSCamilo Esteban M.</t>
  </si>
  <si>
    <t>UN 100 de talegasSONARPLASCamilo Esteban M.</t>
  </si>
  <si>
    <t>Platina en calibre 18 HABITARCamilo Esteban M.</t>
  </si>
  <si>
    <t>Fabricasion de tornillo a medida 1020TORNO ORTEGACamilo Esteban M.</t>
  </si>
  <si>
    <t>Copia de llaves FERROPINTURA LA 32Camilo Esteban M.</t>
  </si>
  <si>
    <t>Nylon multiusosDISTRIBUCIONES ABCamilo Esteban M.</t>
  </si>
  <si>
    <t>Tornillo avellanadoTODO TORNILLOCamilo Esteban M.</t>
  </si>
  <si>
    <t>Caja de tapabocasDROGUERIA VERSALLESCamilo Esteban M.</t>
  </si>
  <si>
    <t>Riel omega , minibreaker 3x16ELECTRICAS ACCamilo Esteban M.</t>
  </si>
  <si>
    <t>Reflectivo naranja TIENDA GRAFICACamilo Esteban M.</t>
  </si>
  <si>
    <t>Marcadores , caja de lapiz , hojas de bisturiPAPELERIA BUEN DIACamilo Esteban M.</t>
  </si>
  <si>
    <t>Caable #16BETTO Camilo Esteban M.</t>
  </si>
  <si>
    <t>Cautin , pasta para soldar , estaño , cinta de empaque DISTRIBUCIONES ABCamilo Esteban M.</t>
  </si>
  <si>
    <t>Franelas PINTUPASTOCamilo Esteban M.</t>
  </si>
  <si>
    <t>Tapa para caja raweltCASA DIELECTRICACamilo Esteban M.</t>
  </si>
  <si>
    <t>Envio de riles a ipiales CAMILO MELOCamilo Esteban M.</t>
  </si>
  <si>
    <t xml:space="preserve">COMPRA DE COSAS DE ASEO Y CAFTERIA </t>
  </si>
  <si>
    <t>GASOLINA IPIALES STEFANIA</t>
  </si>
  <si>
    <t>PEAJES IPIALES STEFANIA</t>
  </si>
  <si>
    <t>TRANSPORTE HITO stefania</t>
  </si>
  <si>
    <t>TRASNPORTE CLINICA PABON STEFANIA</t>
  </si>
  <si>
    <t xml:space="preserve">IMPRESIONES stefania planos </t>
  </si>
  <si>
    <t>ESCOBA Y RECOGEDOR STEFANIA</t>
  </si>
  <si>
    <t xml:space="preserve">pago improiden acuedcuto pupiales </t>
  </si>
  <si>
    <t xml:space="preserve">pago bicolor ferreanidna </t>
  </si>
  <si>
    <t xml:space="preserve">COMPRA ADOBE </t>
  </si>
  <si>
    <t xml:space="preserve">Ingreso tigre </t>
  </si>
  <si>
    <t>pago montacargas naos angie valencia</t>
  </si>
  <si>
    <t>pagpo electricos del valle naos</t>
  </si>
  <si>
    <t>anticipo flux sonarplas</t>
  </si>
  <si>
    <t xml:space="preserve">pago tigo oficina </t>
  </si>
  <si>
    <t xml:space="preserve">transporte cuenta de cobro wilian basante 17 de abril </t>
  </si>
  <si>
    <t>PAGO PLANTA ELECTRICA NAOS retencion en 4%</t>
  </si>
  <si>
    <t>pago cuenta de cobro nubia chaucanes</t>
  </si>
  <si>
    <t>transporte clinica pabon</t>
  </si>
  <si>
    <t>flete vivarium</t>
  </si>
  <si>
    <t>TRANSPORTE HITO</t>
  </si>
  <si>
    <t xml:space="preserve">TRANSPORTE LACTEOS ANDINOS </t>
  </si>
  <si>
    <t>VISITA TECNICA WILLIAM FERNANDO ARTEGA IMUES</t>
  </si>
  <si>
    <t>Rorcado de tuboEL NIPLECamilo Esteban M.</t>
  </si>
  <si>
    <t>Chazo plasticoJ ALBERTOCamilo Esteban M.</t>
  </si>
  <si>
    <t>Logos evoltiBORDADOSCamilo Esteban M.</t>
  </si>
  <si>
    <t>Cinta de enpaque y papelFERRETERIA LA 16Camilo Esteban M.</t>
  </si>
  <si>
    <t>Conduleta emt tipo c , conectores aantifraudeGRUPO DEFACamilo Esteban M.</t>
  </si>
  <si>
    <t>Chazo plastico mariposa TODO TORNILLOCamilo Esteban M.</t>
  </si>
  <si>
    <t>Mano de obra profesionalELECTRICOS BOYACACamilo Esteban M.</t>
  </si>
  <si>
    <t>Juego de brocas escalonadasDISTRIBUCIONES ABCamilo Esteban M.</t>
  </si>
  <si>
    <t>Sierra copa 2", sonda electricaLA FERROCamilo Esteban M.</t>
  </si>
  <si>
    <t>Breaker 3x16, adhesivas dexson, espiralELECTRICAS ACCamilo Esteban M.</t>
  </si>
  <si>
    <t>Tornillo tropicalizadoTODO TORNILLOCamilo Esteban M.</t>
  </si>
  <si>
    <t>Bisturis metal, cuchillasPAPELERIA BUENDIACamilo Esteban M.</t>
  </si>
  <si>
    <t>Taxi de oficina a hitoCAMILO MELOCamilo Esteban M.</t>
  </si>
  <si>
    <t>Taxi de hito a clinica pabonCAMILO MELOCamilo Esteban M.</t>
  </si>
  <si>
    <t>Taxi de hito a oficina CAMILO MELOCamilo Esteban M.</t>
  </si>
  <si>
    <t>Taxi de oficina a terminal CAMILO MELOCamilo Esteban M.</t>
  </si>
  <si>
    <t>Taxi de congenar a oficinaCAMILO MELOCamilo Esteban M.</t>
  </si>
  <si>
    <t>Taxi de terminal a oficina CAMILO MELOCamilo Esteban M.</t>
  </si>
  <si>
    <t>Pago a camion de carrera de oficina a hitoCAMILO MELOCamilo Esteban M.</t>
  </si>
  <si>
    <t>Piaggio de oficina a sonarplasCAMILO MELOCamilo Esteban M.</t>
  </si>
  <si>
    <t>Piaggio de sonar plas a oficina CAMILO MELOCamilo Esteban M.</t>
  </si>
  <si>
    <t>Taxi de electricos boyaca a hitoCAMILO MELOCamilo Esteban M.</t>
  </si>
  <si>
    <t>Envio de accesorios a ipialesCAMILO MELOCamilo Esteban M.</t>
  </si>
  <si>
    <t>COPIAS</t>
  </si>
  <si>
    <t xml:space="preserve">cuenta de cobro transporte Leidy Garcia </t>
  </si>
  <si>
    <t>transporte hito</t>
  </si>
  <si>
    <t>transporte y acetarto</t>
  </si>
  <si>
    <t>compra hubspot</t>
  </si>
  <si>
    <t xml:space="preserve">compra en vallclaire </t>
  </si>
  <si>
    <t xml:space="preserve">compra en dunkin </t>
  </si>
  <si>
    <t>COMPRA EN DAVID LOPEZ GUEVARA</t>
  </si>
  <si>
    <t xml:space="preserve">ingreso hotel cuellar </t>
  </si>
  <si>
    <t>ingreso gran avenida</t>
  </si>
  <si>
    <t xml:space="preserve">ingreso dispropan </t>
  </si>
  <si>
    <t>pago cedemar</t>
  </si>
  <si>
    <t>pago render naos</t>
  </si>
  <si>
    <t xml:space="preserve">pago finandina </t>
  </si>
  <si>
    <t>pago solardepot</t>
  </si>
  <si>
    <t>pago defa</t>
  </si>
  <si>
    <t xml:space="preserve">pago total jimmi burgos </t>
  </si>
  <si>
    <t xml:space="preserve">pago humberto ferreanina </t>
  </si>
  <si>
    <t xml:space="preserve">pago of costruciones naos </t>
  </si>
  <si>
    <t xml:space="preserve">pago alimentacion naos </t>
  </si>
  <si>
    <t xml:space="preserve">pago retie balcones de pubenza </t>
  </si>
  <si>
    <t>pago improiden vivarium</t>
  </si>
  <si>
    <t>pago upme hito</t>
  </si>
  <si>
    <t xml:space="preserve">pago certificado de tradicion naos </t>
  </si>
  <si>
    <t xml:space="preserve">pago legalizacion Miguel tiquetes </t>
  </si>
  <si>
    <t xml:space="preserve">pago electricos boyaca ferreandina </t>
  </si>
  <si>
    <t xml:space="preserve">pago pedro video </t>
  </si>
  <si>
    <t xml:space="preserve">pago electricops boyaca ferreandina </t>
  </si>
  <si>
    <t xml:space="preserve">pago harrison transporte naos </t>
  </si>
  <si>
    <t>Tanqueo ACPM TrompoEDS rio MayoJeancarlo G Moncayo</t>
  </si>
  <si>
    <t>Baldes, plomadas, cuerda, broca, lapizFerretería FerroMacJeancarlo G Moncayo</t>
  </si>
  <si>
    <t>sandia 3 undJeancarlo MoncayoJeancarlo G Moncayo</t>
  </si>
  <si>
    <t>1 BuguiFerretería FerroMacJeancarlo G Moncayo</t>
  </si>
  <si>
    <t>3 Botellones agua cristalDeposito figueroaJeancarlo G Moncayo</t>
  </si>
  <si>
    <t>Tanqueo ACPM TrompoEDS Servicentro RemolinoJeancarlo G Moncayo</t>
  </si>
  <si>
    <t>Transporte Remolino - pasto - remolino Jimmy BurgosJimmy BurgosJeancarlo G Moncayo</t>
  </si>
  <si>
    <t>Aseo semana 8 al 13 de abril de 2024Deisy Viviana EnriquezJeancarlo G Moncayo</t>
  </si>
  <si>
    <t>Peaje remolino - PastoPeaje canoJeancarlo G Moncayo</t>
  </si>
  <si>
    <t>Taxi (Entrega camioneta a hermann)Jeancarlo MoncayoJeancarlo G Moncayo</t>
  </si>
  <si>
    <t>Tanqueo ACPM CamionetaEDS Servicentro panamericanaJeancarlo G Moncayo</t>
  </si>
  <si>
    <t>Peaje Pasto - RemolinoPeaje canoJeancarlo G Moncayo</t>
  </si>
  <si>
    <t>Bombeo agua (Alvaro Mayordomo predio)Jeancarlo MoncayoJeancarlo G Moncayo</t>
  </si>
  <si>
    <t>Guantes para personal nuevoFerretería FerroMacJeancarlo G Moncayo</t>
  </si>
  <si>
    <t>5 discos de corte metalFerretería FerroMacJeancarlo G Moncayo</t>
  </si>
  <si>
    <t>Sacas, decametro, naylon metroFerretería FerroMacJeancarlo G Moncayo</t>
  </si>
  <si>
    <t>Hielo x 2 diasJeancarlo MoncayoJeancarlo G Moncayo</t>
  </si>
  <si>
    <t>Transporte hora almuerzo naos - remolino (Visita predios)Harrison LopezJeancarlo G Moncayo</t>
  </si>
  <si>
    <t>Peaje pasto - remolinoPeaje canoSI</t>
  </si>
  <si>
    <t>Parqueadero x 5 dias camioneta (Semana Santa)Jeancarlo Moncayo3000000</t>
  </si>
  <si>
    <t>EstopasFerretería FerroMacRubro</t>
  </si>
  <si>
    <t>Hidratacion equipo descargue panelesTiendas D1</t>
  </si>
  <si>
    <t>Combustible acpmEds Servicentro remolino         Camioneta 4x4</t>
  </si>
  <si>
    <t>Tes electricasFerretería FerroMac         Camioneta 4x4</t>
  </si>
  <si>
    <t>2 Botellones agua cristalJeancarlo Moncayo         Transporte</t>
  </si>
  <si>
    <t>Perforadora para huecos marquillas riesgo electricoJeancarlo Moncayo      Descargues</t>
  </si>
  <si>
    <t>Ahoyadoras, flexometros, listonesFerretería FerroMac      Descargues</t>
  </si>
  <si>
    <t>Diesel para trompo mezcladoraEDS rio Mayo   Hincado en micropilotaje</t>
  </si>
  <si>
    <t>Copa 13Ferretería FerroMac   Mesas FV</t>
  </si>
  <si>
    <t>Gasolina para ahoyadoraEDS rio Mayo         Alimentación</t>
  </si>
  <si>
    <t>Sharpie e impresiónJeancarlo Moncayo      Gastos administrativos</t>
  </si>
  <si>
    <t>2 Botellones de aguaDeposito figueroa   Hincado en micropilotaje</t>
  </si>
  <si>
    <t>Felexometros 3Ferretería FerroMac   Hincado en micropilotaje</t>
  </si>
  <si>
    <t>2 TablonesFerretería FerroMac   Paneles Solares</t>
  </si>
  <si>
    <t>Refrigerio equipo (Fundicion de mesas)Jeancarlo Moncayo   Hincado en micropilotaje</t>
  </si>
  <si>
    <t>Ida y regreso Remolino - PastoStiven Vallejo      Gastos administrativos</t>
  </si>
  <si>
    <t>Hielo x 4 diasJeancarlo Moncayo         Alimentación</t>
  </si>
  <si>
    <t>Pan x 4 diasJeancarlo Moncayo   Mesas FV</t>
  </si>
  <si>
    <t>Aseo semana 1 al 6 de abrilDeisy Viviana Enriquez   SET (Civil)</t>
  </si>
  <si>
    <t>Peaje remolino - PastoPeaje cano   Hincado en micropilotaje</t>
  </si>
  <si>
    <t>Lavada CamionetaJeancarlo Moncayo         Transporte</t>
  </si>
  <si>
    <t>Parqueadero x 1 dia Jeancarlo Moncayo         Alimentación</t>
  </si>
  <si>
    <t>Tanqueo ACPM CamionetaEDS Servicentro panamericana         Alimentación</t>
  </si>
  <si>
    <t>Transporte pasto - remolino JeancarloJeancarlo Moncayo         Hospedaje</t>
  </si>
  <si>
    <t xml:space="preserve">pago dotacion gerardo delgado </t>
  </si>
  <si>
    <t xml:space="preserve">pago seguridad del sur Monitoreo naos </t>
  </si>
  <si>
    <t xml:space="preserve">quincena ruben silva naos </t>
  </si>
  <si>
    <t>anticipo derian naos 50%</t>
  </si>
  <si>
    <t xml:space="preserve">ingreso campos de aragon </t>
  </si>
  <si>
    <t xml:space="preserve">pago informe ambiental </t>
  </si>
  <si>
    <t>COMPRA canva</t>
  </si>
  <si>
    <t xml:space="preserve">hospedaje naos  3 personas </t>
  </si>
  <si>
    <t>transporte envia</t>
  </si>
  <si>
    <t xml:space="preserve">TRANSPORTE PUBENZA </t>
  </si>
  <si>
    <t>copias</t>
  </si>
  <si>
    <t xml:space="preserve">transporte clinica pabon </t>
  </si>
  <si>
    <t xml:space="preserve">transporte al dia </t>
  </si>
  <si>
    <t>transporte cuenta de cobro oscra mauricio morales</t>
  </si>
  <si>
    <t>transporte</t>
  </si>
  <si>
    <t>compra aseo y cafeteria alkosto</t>
  </si>
  <si>
    <t>Trasmisor usbRADIO SANYOCamilo Esteban M.</t>
  </si>
  <si>
    <t>Agua cristalMERKAHORROSI</t>
  </si>
  <si>
    <t>marquilla pvcBICOLOR 1000000</t>
  </si>
  <si>
    <t>Acrilico 15x30BICOLOR Nombre del Proyecto</t>
  </si>
  <si>
    <t>2 Metros de platina de cobre , 2 terminales 1/2TECNO ELECTRICO</t>
  </si>
  <si>
    <t>Termo encogible , pin terminal K.U.</t>
  </si>
  <si>
    <t>Candado DISTRIBUCIONES ABADMINISTRACION</t>
  </si>
  <si>
    <t>Conectores rj45K.U.ADMINISTRACION</t>
  </si>
  <si>
    <t>Arandelas ,tuercas , tornillos autoperforantesTODO TORNILLOBALCONES PUBENZA</t>
  </si>
  <si>
    <t>VASELINAMERQUIMICOSBALCONES PUBENZA</t>
  </si>
  <si>
    <t>Tornillos autoperforantes , arandelas TODO TORNILLOFERRO ANDINA</t>
  </si>
  <si>
    <t>Guantes EL PUNTO DEL OVEROLFERRO ANDINA</t>
  </si>
  <si>
    <t>Acrilicos 28x13BICOLOR CLINICA PABON</t>
  </si>
  <si>
    <t>Extension hdmiRADIO SANYOBALCONES PUBENZA</t>
  </si>
  <si>
    <t>Mini breaker 3x16 y 3x40 ELECTRICAS ACFERRO ANDINA</t>
  </si>
  <si>
    <t>Terminal #8, termoencogibleK.U.CLINICA PABON</t>
  </si>
  <si>
    <t>Terminal 1/0CASA DIELECTRICACLINICA PABON</t>
  </si>
  <si>
    <t>Candado italiano DISTRIBUCIONES ABADMINISTRACION</t>
  </si>
  <si>
    <t>transporte bellatriz</t>
  </si>
  <si>
    <t>ALMUERZO SOLAIRE V1501</t>
  </si>
  <si>
    <t xml:space="preserve">transporte cedenar </t>
  </si>
  <si>
    <t>transporte clinica pabon revision marquillas</t>
  </si>
  <si>
    <t>copas</t>
  </si>
  <si>
    <t>compra pilas mause</t>
  </si>
  <si>
    <t xml:space="preserve">camara de comercio </t>
  </si>
  <si>
    <t>visita tecnica hotel morasurco</t>
  </si>
  <si>
    <t>Anticipo humberto rosero escaleras</t>
  </si>
  <si>
    <t>compra estructura</t>
  </si>
  <si>
    <t>Pago ascenso bolsa de valores intereses</t>
  </si>
  <si>
    <t>pago finaktiva</t>
  </si>
  <si>
    <t>pago transportadora dinamica</t>
  </si>
  <si>
    <t xml:space="preserve">pago tecnologia programacion </t>
  </si>
  <si>
    <t>anticipo humberto rosero naos 50%</t>
  </si>
  <si>
    <t xml:space="preserve">pago final Martin Gumajoa </t>
  </si>
  <si>
    <t>anticipo Anderson Verdugo 40%</t>
  </si>
  <si>
    <t>liquidacion mauricio Gutierres</t>
  </si>
  <si>
    <t xml:space="preserve">ANTICIPO pago emergente de energia sostenoble </t>
  </si>
  <si>
    <t>pago casa andina clinica pabon</t>
  </si>
  <si>
    <t xml:space="preserve">pago alimentacion Naos </t>
  </si>
  <si>
    <t>pago mercator vanessa moncayo</t>
  </si>
  <si>
    <t>pago guantes cristian camilo garcia</t>
  </si>
  <si>
    <t>pago insegal juan camilo alturas</t>
  </si>
  <si>
    <t xml:space="preserve">Pago electricos del valle Naos </t>
  </si>
  <si>
    <t>pago ramirez y david</t>
  </si>
  <si>
    <t xml:space="preserve">pago jhonny vera audiovisual </t>
  </si>
  <si>
    <t>pago vallas pinesaco y tangua</t>
  </si>
  <si>
    <t>pago or costrucciones daniel ortega</t>
  </si>
  <si>
    <t>pago nelcy rosas prestamo</t>
  </si>
  <si>
    <t xml:space="preserve">pago credito bogota </t>
  </si>
  <si>
    <t>pago credito bogota intereses</t>
  </si>
  <si>
    <t xml:space="preserve">pago hotel remolino </t>
  </si>
  <si>
    <t>pago umpe lacteos andinos</t>
  </si>
  <si>
    <t>pago ferrovidrios naos</t>
  </si>
  <si>
    <t>Anticipo 80% humberto roserro</t>
  </si>
  <si>
    <t>pago nelcy rosas intereses</t>
  </si>
  <si>
    <t xml:space="preserve">pago ferrecol </t>
  </si>
  <si>
    <t>pago grupo defa</t>
  </si>
  <si>
    <t>pago solaire</t>
  </si>
  <si>
    <t xml:space="preserve">PAGO DECLARACION INDUSTRIA Y COMERCIO </t>
  </si>
  <si>
    <t>impuesto ICA</t>
  </si>
  <si>
    <t>PAGO POLIZA SURA</t>
  </si>
  <si>
    <t>PAGO NUCLEO</t>
  </si>
  <si>
    <t>PAGO GRUPO DEFA PUPIALES</t>
  </si>
  <si>
    <t>PAGO TIQUETE ANDREA</t>
  </si>
  <si>
    <t xml:space="preserve">PAGO SOLUCIONES DUPLA TARJETAS </t>
  </si>
  <si>
    <t>PAGO CREDITO</t>
  </si>
  <si>
    <t xml:space="preserve">INGRESO V15 </t>
  </si>
  <si>
    <t>sika flex construccion x8 mas Ferreteria Ferrosurty S.A.SJeison Diaz</t>
  </si>
  <si>
    <t>Jeison Diaz</t>
  </si>
  <si>
    <t>taxis sika construccionJeison Diaz</t>
  </si>
  <si>
    <t>Tornillo para teja arquitectonica blanca, pistola siliconaFerreandina S.A.S zomacJeison Diaz</t>
  </si>
  <si>
    <t>Nylon,Cinta peligro, sikaflex, amarrasFerreandina S.A.S zomacJeison Diaz</t>
  </si>
  <si>
    <t>4 tablas mas piayoAserrio santaluciaJeison Diaz</t>
  </si>
  <si>
    <t>Pasajes transporte ipiales-pasto x4Expreso valle de atriz S.A.Jeison Diaz</t>
  </si>
  <si>
    <t>taxi hotel camino real a terminal de transporte ipialesJeison Diaz</t>
  </si>
  <si>
    <t>Pasajes transporte pasto-ipiales x4Expreso valle de atriz S.A.Jeison Diaz</t>
  </si>
  <si>
    <t>taxi  terminal de transporte ipiales a hotel camino real Jeison Diaz</t>
  </si>
  <si>
    <t>Arandela con caucho #30  para techoFerreandina S.A.S zomacJeison Diaz</t>
  </si>
  <si>
    <t>Taxis recepcion rieles de aluminio para techoJeison Diaz</t>
  </si>
  <si>
    <t>cinta aluminio para techo y tornillo autoperforanteFerreandina S.A.S zomacJeison Diaz</t>
  </si>
  <si>
    <t>curva conduit 1", broca muro 3/8, adaptador conduitFerreandina S.A.S zomacJeison Diaz</t>
  </si>
  <si>
    <t>grapa doble ala, tornillo drywallFerreandina S.A.S zomacJeison Diaz</t>
  </si>
  <si>
    <t>taxis recepcion de consumibles y tubo roscadoJeison Diaz</t>
  </si>
  <si>
    <t>2 tubos conduit 1"Ferreandina S.A.S zomacJeison Diaz</t>
  </si>
  <si>
    <t>taxi corazas 1 1/2 pulgadaJeison Diaz</t>
  </si>
  <si>
    <t>transporte ipiales pasto mas taxi carlosExpreso valle de atriz S.A.Jeison Diaz</t>
  </si>
  <si>
    <t>coraza 3/4" 14 metrosFerroelectricos mora HNOSJeison Diaz</t>
  </si>
  <si>
    <t>taxi recepcion de gabinete Jeison Diaz</t>
  </si>
  <si>
    <t>taller indutornoTaller indutornoJeison Diaz</t>
  </si>
  <si>
    <t>taxis recepcion bandeja blanca y canaletaJeison Diaz</t>
  </si>
  <si>
    <t>canaleta ranurada 4x4delectricas acJeison Diaz</t>
  </si>
  <si>
    <t>Pasajes transporte ipiales-pasto x3Expreso valle de atriz S.A.Jeison Diaz</t>
  </si>
  <si>
    <t>taxi hotel camino real a terminal de transporte ipiales</t>
  </si>
  <si>
    <t>transporte nutrilactess</t>
  </si>
  <si>
    <t>Nutrilacteos</t>
  </si>
  <si>
    <t>transporte visitas tecnicas</t>
  </si>
  <si>
    <t>podadores</t>
  </si>
  <si>
    <t>Multiseal aluminioCamilo Esteban M.</t>
  </si>
  <si>
    <t>ValdesCamilo Esteban M.</t>
  </si>
  <si>
    <t>Tablas ordinariasCamilo Esteban M.</t>
  </si>
  <si>
    <t>Agua cristalCamilo Esteban M.</t>
  </si>
  <si>
    <t>Pintura trafico , brochaCamilo Esteban M.</t>
  </si>
  <si>
    <t>Coraza de 1" , terminal de 1"Camilo Esteban M.</t>
  </si>
  <si>
    <t>Copas 9/16 de 1/2Camilo Esteban M.</t>
  </si>
  <si>
    <t>Tornillos autoperforantes 3"Camilo Esteban M.</t>
  </si>
  <si>
    <t>Tornillos autoperforantes ,arandelas ,  tuercasCamilo Esteban M.</t>
  </si>
  <si>
    <t>Prensa estopas , Canaleta ranuradaCamilo Esteban M.</t>
  </si>
  <si>
    <t>Terminal tipo pin 10 Camilo Esteban M.</t>
  </si>
  <si>
    <t>Curva imc de 1"Camilo Esteban M.</t>
  </si>
  <si>
    <t>Tornillos , turcas , guasaCamilo Esteban M.</t>
  </si>
  <si>
    <t>1 M etro de platina de cobreCamilo Esteban M.</t>
  </si>
  <si>
    <t>Impresión en opalinaCamilo Esteban M.</t>
  </si>
  <si>
    <t>Roscada de tuboCamilo Esteban M.</t>
  </si>
  <si>
    <t xml:space="preserve">transporte hito </t>
  </si>
  <si>
    <t xml:space="preserve">PAGO DOYTASOL PUPIALES </t>
  </si>
  <si>
    <t>PAGO LIQUIDACION KEVIN REMOLINO</t>
  </si>
  <si>
    <t xml:space="preserve">ingreso solsticio </t>
  </si>
  <si>
    <t>Visitas</t>
  </si>
  <si>
    <t>copy partes impresora arreglo</t>
  </si>
  <si>
    <t>cuenta de corbo wilian basante</t>
  </si>
  <si>
    <t>Cable #8 , C onectoores antifraude, GRUPO DEFA Camilo Esteban M.</t>
  </si>
  <si>
    <t>Destornillador de pala , seguetas , Tornillos autoperforantesTODO TORNILLOCamilo Esteban M.</t>
  </si>
  <si>
    <t>Copas , adactadoresTODO TORNILLOCamilo Esteban M.</t>
  </si>
  <si>
    <t>Reflector naranjaVECTORCamilo Esteban M.</t>
  </si>
  <si>
    <t>Nylon LA CALICamilo Esteban M.</t>
  </si>
  <si>
    <t>Uniones 1",caja de paso 50x50  , conectores rectos 1"GRUPO DEFA Camilo Esteban M.</t>
  </si>
  <si>
    <t>Grapas de sujecion 2", grapas de sujecion 1"GRUPO DEFA Camilo Esteban M.</t>
  </si>
  <si>
    <t>cipias stefania</t>
  </si>
  <si>
    <t>cuenta de corbo oscra morales</t>
  </si>
  <si>
    <t>copias stefania</t>
  </si>
  <si>
    <t xml:space="preserve">ingreso Arboleda </t>
  </si>
  <si>
    <t>pago mario zambrano bellatriz</t>
  </si>
  <si>
    <t>pago busos leidy naos</t>
  </si>
  <si>
    <t>pago alimentacion naos</t>
  </si>
  <si>
    <t>anticipo pago consultoria Juan Barrera</t>
  </si>
  <si>
    <t>pagos placas y carnet</t>
  </si>
  <si>
    <t>Transporte Chachagui- CimarronesJhon Henry Castaño MurilloMiguel Enriquez Ch</t>
  </si>
  <si>
    <t>miguel</t>
  </si>
  <si>
    <t>pago humberto pupiales</t>
  </si>
  <si>
    <t xml:space="preserve">pago hospedaje y alimentacion ipiales ferreandina </t>
  </si>
  <si>
    <t>pago electricos del valle naos</t>
  </si>
  <si>
    <t>pago credito Hermann Souza weich</t>
  </si>
  <si>
    <t>ANTICIPO pago baños</t>
  </si>
  <si>
    <t>pago asesoria Walter Ortiz venta de acciones Naos 2</t>
  </si>
  <si>
    <t xml:space="preserve">compra intl facebk </t>
  </si>
  <si>
    <t>compra en dlgoogle</t>
  </si>
  <si>
    <t>PAGO DOTASOL</t>
  </si>
  <si>
    <t>PAGO CARTELERA SANTIGO</t>
  </si>
  <si>
    <t xml:space="preserve">PAGO FOTOS JUAN SEBASTIAN </t>
  </si>
  <si>
    <t xml:space="preserve">PAGO LIQUIDACION JOSE JEFERSON </t>
  </si>
  <si>
    <t>PAGO BALOS NAOS TOTALIDAD</t>
  </si>
  <si>
    <t>PAGO TIQUETES CHINA HERMANN</t>
  </si>
  <si>
    <t>PAGO CREDITOS HERMANN</t>
  </si>
  <si>
    <t>PAGO TOTAL CREDITO BANCO DE BOGOTA JUAN MANUEL</t>
  </si>
  <si>
    <t>PAGO TOTAL CREDITO BANCO DE BOGOTA 2JUAN MANUEL</t>
  </si>
  <si>
    <t>Almuerzo Visita ComercialEstadero TropicalMiguel Enriquez Ch</t>
  </si>
  <si>
    <t xml:space="preserve">compra aseo y cafeteria </t>
  </si>
  <si>
    <t xml:space="preserve">INGRESO FIT FOR </t>
  </si>
  <si>
    <t>Taladro percutorCASA ANDINA1000000</t>
  </si>
  <si>
    <t>retencion 1% transporte</t>
  </si>
  <si>
    <t>retencion ica 6*1000</t>
  </si>
  <si>
    <t>PAGO NOMINAALBEIRO ORLANDO ESPAÑA HERNANDEZ</t>
  </si>
  <si>
    <t xml:space="preserve">PAGO NOMINAPABLO FERNANDO BENAVIDES CHAVES </t>
  </si>
  <si>
    <t>PAGO NOMINA MAURICIO GUTIERREZ MARTINEZ</t>
  </si>
  <si>
    <t>PAGO NOMINA OLIVER GUTIERREZ MARTINEZ</t>
  </si>
  <si>
    <t>PAGO NOMINA CRISTHIAN DUMAR MORENO VILLARREAL</t>
  </si>
  <si>
    <t>PAGO NOMINA EDILFONSO ROSERO CASTILLO</t>
  </si>
  <si>
    <t>PAGO NOMINA JIMMI ALEXANDER BURGOS GUERRERO</t>
  </si>
  <si>
    <t>PAGO NOMINA KEVIN ALEXANDER ORTIZ VALDEZ</t>
  </si>
  <si>
    <t>PAGO NOMINA DANIEL CAMILO ARTEAGA CASTRO</t>
  </si>
  <si>
    <t>PAGO NOMINA IVAN CAMILO MENESES ORDOÑEZ</t>
  </si>
  <si>
    <t>PAGO NOMINA JOSE YEFERSON ORDOÑEZ ANCHICHA</t>
  </si>
  <si>
    <t xml:space="preserve">PAGO NOMINA JHONNY FRANCISCO CEBALLOS BURBANO </t>
  </si>
  <si>
    <t>PAGO NOMINA EDWAR AMILCAR CHAGUEZA GOMEZ</t>
  </si>
  <si>
    <t>PAGO NOMINA RUBEN DARIO SILVA RODRIGUEZ</t>
  </si>
  <si>
    <t xml:space="preserve">PAGO NOMINA JUAN ESTEBAN BLANCO QUIROGA </t>
  </si>
  <si>
    <t>PAGO NOMINA YEISON ADRIAN FERNANDEZ MARTINEZ</t>
  </si>
  <si>
    <t>PAGO NOMINAHERMANN SOUZA CUBIDES</t>
  </si>
  <si>
    <t>PAGO NOMINAYULY ANDREA JARAMILLO GUERRERO</t>
  </si>
  <si>
    <t xml:space="preserve">PAGO NOMINA VERONICA LILIANA SANTACRUZ MENZA comisiones </t>
  </si>
  <si>
    <t>PAGO NOMINA JAVIER SEBASTIÁN LUCENA VILLARREAL</t>
  </si>
  <si>
    <t>PAGO NOMINA CATERIN ELIZABETH AREVALO ORTEGA</t>
  </si>
  <si>
    <t>PAGO NOMINA JUAN CAMILO GARCIA SOUZA</t>
  </si>
  <si>
    <t xml:space="preserve">PAGO NOMINA BRAYAN STIVEN PEREZ GUAQUEZ </t>
  </si>
  <si>
    <t>PAGO NOMINA LUZ IRMA ORTEGA CIFUENTES</t>
  </si>
  <si>
    <t>PAGO NOMINA JOSE HUMBERTO CUASALUZAN NASTACUAS</t>
  </si>
  <si>
    <t>PAGO NOMINA RODRIGO QUINTERO DIAZ</t>
  </si>
  <si>
    <t>PAGO NOMINA JEFERSON VERGARA MUÑOZ</t>
  </si>
  <si>
    <t xml:space="preserve">anticipo flavio aurelio rodrigo </t>
  </si>
  <si>
    <t>anticipo humberto rosero naos 25%</t>
  </si>
  <si>
    <t>pago arriendo camioneta</t>
  </si>
  <si>
    <t>pago solardepot solardepot</t>
  </si>
  <si>
    <t>pago humberto rosero</t>
  </si>
  <si>
    <t>ingreso factura FVEL 222 Alvaro Aux</t>
  </si>
  <si>
    <t>ingreso congenar</t>
  </si>
  <si>
    <t>INGRESO MANTENIMIENTO ABONO FACTURA 221</t>
  </si>
  <si>
    <t>ingreso anticipo PLT engineering Colombia 30%</t>
  </si>
  <si>
    <t>Chazos de espancion , turcas TODO TORNILLOCamilo Esteban M.</t>
  </si>
  <si>
    <t xml:space="preserve">Efectivo </t>
  </si>
  <si>
    <t>Cinta socoPINTUPASTOCamilo Esteban M.</t>
  </si>
  <si>
    <t>Envio de pasto a remolinoHEIDER CHAVEZCamilo Esteban M.</t>
  </si>
  <si>
    <t>Taxi de clinica pabon a oficina CAMILO MELOSI</t>
  </si>
  <si>
    <t>transporte tangia carnes kujosa</t>
  </si>
  <si>
    <t>planos, impresiones y anillado</t>
  </si>
  <si>
    <t xml:space="preserve">compra recibos de caja </t>
  </si>
  <si>
    <t>transporte arquimaquetas-oficina</t>
  </si>
  <si>
    <t>transporte vivaium</t>
  </si>
  <si>
    <t>transporte vivarium.lacteos andinos -oficina</t>
  </si>
  <si>
    <t>Envio de paquete pasto ipialesALBARO ROSERO1000000</t>
  </si>
  <si>
    <t>Llana metalicaFerreteria FerroMacJeancarlo G Moncayo</t>
  </si>
  <si>
    <t>4 botellones de aguaDeposito FigueroaJeancarlo G Moncayo</t>
  </si>
  <si>
    <t>5 Discos metal 7"Ferreteria FerroMacJeancarlo G Moncayo</t>
  </si>
  <si>
    <t>1 botellon de aguaDeposito FigueroaJeancarlo G Moncayo</t>
  </si>
  <si>
    <t>3 SandiasJeancarlo MoncayoJeancarlo G Moncayo</t>
  </si>
  <si>
    <t>Transporte Remolino - Pasto - RemolinoSteven VallejosJeancarlo G Moncayo</t>
  </si>
  <si>
    <t>Cosedora e impresión liquidación MauricioJeancarlo MoncayoJeancarlo G Moncayo</t>
  </si>
  <si>
    <t>2 AhoyadorasFerreteria FerroMacJeancarlo G Moncayo</t>
  </si>
  <si>
    <t>Transporte Remolino - Pasto - RemolinoEdilfonso Rosero Jeancarlo G Moncayo</t>
  </si>
  <si>
    <t>Transporte Remolino - Pasto - RemolinoSegundo GelpudJeancarlo G Moncayo</t>
  </si>
  <si>
    <t>Transporte Remolino - Pasto - RemolinoJeancarlo MoncayoJeancarlo G Moncayo</t>
  </si>
  <si>
    <t>Aseo semana 16 al 20 de abrilDeisy Viviana EnriquezJeancarlo G Moncayo</t>
  </si>
  <si>
    <t>Hielo x 5 dias semana 16 al 20 de abrilJeancarlo MoncayoJeancarlo G Moncayo</t>
  </si>
  <si>
    <t>Lavada full camioneta JacJeancarlo MoncayoJeancarlo G Moncayo</t>
  </si>
  <si>
    <t>ACPM CamionetaEDS Servicentro PanamericanaJeancarlo G Moncayo</t>
  </si>
  <si>
    <t>Peaje Pasto - RemolinoPeaje CanoJeancarlo G Moncayo</t>
  </si>
  <si>
    <t>ACPM TrompoEDS Terpel Rio MayoJeancarlo G Moncayo</t>
  </si>
  <si>
    <t>6 Discos 7" metal y llaves 9/16Ferreteria FerroMacJeancarlo G Moncayo</t>
  </si>
  <si>
    <t>transporte vivarium, ferreandina, novacentro rete fuente 1%</t>
  </si>
  <si>
    <t>Compra de gravilla y cinta de marcacion tuberia CAMILO MELONombre del Proyecto</t>
  </si>
  <si>
    <t>almuerzoCAMILO MELOACUEDUCTO PUPIALES</t>
  </si>
  <si>
    <t>18 varillas de 1/2" Soporte inversoresFerreteria FerroMacJeancarlo G Moncayo</t>
  </si>
  <si>
    <t>MacheteFerreteria FerroMacJeancarlo G Moncayo</t>
  </si>
  <si>
    <t xml:space="preserve">Transporte Terminal Stefanya LassoStefanya Lasso </t>
  </si>
  <si>
    <t xml:space="preserve">Compra de pintura para resaneLa Magia del color - Carlos Fernando ChaconStefanya Lasso </t>
  </si>
  <si>
    <t xml:space="preserve">HidrataciónStefanya LassoStefanya Lasso </t>
  </si>
  <si>
    <t xml:space="preserve">AlmuerzoLa MercedStefanya Lasso </t>
  </si>
  <si>
    <t xml:space="preserve">Taxi Acueducto - Ferre AndinaStefanya LassoStefanya Lasso </t>
  </si>
  <si>
    <t xml:space="preserve">Taxi Ferre Andina - Terminal Stefanya LassoStefanya Lasso </t>
  </si>
  <si>
    <t xml:space="preserve">Transporte Terminal Pasto Stefanya LassoStefanya Lasso </t>
  </si>
  <si>
    <t xml:space="preserve">Trasporte Ipiales Pasto Flota Guaitara S.AStefanya Lasso </t>
  </si>
  <si>
    <t xml:space="preserve">Transporte Catambuco a taller de estructurasStefanya LassoStefanya Lasso </t>
  </si>
  <si>
    <t xml:space="preserve">Transporte Ipiales - PastoExpreso Valle de atrizStefanya Lasso </t>
  </si>
  <si>
    <t xml:space="preserve">Transporte terminal - casaStefanya LassoStefanya Lasso </t>
  </si>
  <si>
    <t>Taxi de oficina a tereminal CAMILO MELO</t>
  </si>
  <si>
    <t>Envio de paquetwe pasto a ipiales CRISTIAN CAMILO</t>
  </si>
  <si>
    <t>Envio de paquete  pasto a remolinoDANIELNAOS</t>
  </si>
  <si>
    <t>Hielo x 4 dias semana 22 al 25 de abrilJeancarlo MoncayoJeancarlo G Moncayo</t>
  </si>
  <si>
    <t>Transporte Remolino - Pasto Jeancarlo MoncayoJeancarlo G Moncayo</t>
  </si>
  <si>
    <t>Taxi de oficina a terminalCAMILO MELONAOS</t>
  </si>
  <si>
    <t>Envio de pasto a ipiales HELMERFERO ANDINA</t>
  </si>
  <si>
    <t xml:space="preserve">TRANSPORTE VISITA  </t>
  </si>
  <si>
    <t>DOTACION MANUEL BOTAS</t>
  </si>
  <si>
    <t>Aseo semana 22 al 27 de abrilDeisy Viviana EnriquezJeancarlo G Moncayo</t>
  </si>
  <si>
    <t>Taxi de defa a terminalLUIS TIMARAN FERO ANDINA</t>
  </si>
  <si>
    <t>Envio de paquete pasto a ipialesOSCAR ARTEAGA FERO ANDINA</t>
  </si>
  <si>
    <t>Candado porton predio naosFerreteria FerroMacJeancarlo G Moncayo</t>
  </si>
  <si>
    <t>Arreglo llanta camioneta (Abertura grande)Jeancarlo MoncayoJeancarlo G Moncayo</t>
  </si>
  <si>
    <t>Lija rojaPINTUPASTOCamilo Esteban M.</t>
  </si>
  <si>
    <t>Envio de paquete pasto remolinoHEIDER CHAVEZFERO ANDINA</t>
  </si>
  <si>
    <t>Cable aluminio 6,bornas 2y 6TECNO ELECTRICOS Camilo Esteban M.</t>
  </si>
  <si>
    <t xml:space="preserve">legalizacion </t>
  </si>
  <si>
    <t>asesoria</t>
  </si>
  <si>
    <t>Clavo llanta delantera despinchadaJeancarlo MoncayoJeancarlo G Moncayo</t>
  </si>
  <si>
    <t>Transporte regreso steven vallejoJeancarlo MoncayoJeancarlo G Moncayo</t>
  </si>
  <si>
    <t>2 botellon de aguaDeposito FigueroaJeancarlo G Moncayo</t>
  </si>
  <si>
    <t>delantal dotasol</t>
  </si>
  <si>
    <t>Acrilicos , marquillas pvcBICOLORCamilo Esteban M.</t>
  </si>
  <si>
    <t>Taxi de oficina a el unico CAMILO MELONAOS</t>
  </si>
  <si>
    <t>brocas metalicasFerreteria FerroMacJeancarlo G Moncayo</t>
  </si>
  <si>
    <t>Cinta para sellar el drone envio a pastoJeancarlo MoncayoJeancarlo G Moncayo</t>
  </si>
  <si>
    <t>flete a pasto de droneJeancarlo MoncayoJeancarlo G Moncayo</t>
  </si>
  <si>
    <t>ALMUERZOS VILLAMORENO</t>
  </si>
  <si>
    <t>transporte vivarium stefania</t>
  </si>
  <si>
    <t>Abrazaderas ajustables , conector recto , adactador pvcELECTRICAS ACSI</t>
  </si>
  <si>
    <t>Chazo bala, tornillos avellanados TODO TORNILLONombre del Proyecto</t>
  </si>
  <si>
    <t>Brocas escalonadas , broca de 1/2TORNIGUERRERO</t>
  </si>
  <si>
    <t>Tuercas y arandelasDISTRIBUCIONES AB</t>
  </si>
  <si>
    <t>AcroltexDISTRIBUCIONES ABCLINICA PABON</t>
  </si>
  <si>
    <t>Carpeta PAPELERIA BUENDIAVIVARIUM</t>
  </si>
  <si>
    <t>E nvio de paquete pasto remolinoJESUS ACUEDUCTO PUPIALES</t>
  </si>
  <si>
    <t>ACPM camionetaEDS Terpel Rio MayoJeancarlo G Moncayo</t>
  </si>
  <si>
    <t>Transporte Pasto - Remolino -  PastoOscar CastroJeancarlo G Moncayo</t>
  </si>
  <si>
    <t>Aseo semana 29 de abril al 04 de mayo dde 2024Deisy Viviana EnriquezJeancarlo G Moncayo</t>
  </si>
  <si>
    <t>Hielo x 7 dias semana 27 al 3 de mayo 2024Jeancarlo MoncayoJeancarlo G Moncayo</t>
  </si>
  <si>
    <t>Transporte a Terminal mixtoStefanya Lasso GuerraStefanya Lasso Guerra</t>
  </si>
  <si>
    <t>Transporte (Pasto - Panoya)COOTRANSPOLICARPA LTDAStefanya Lasso Guerra</t>
  </si>
  <si>
    <t>Hidratación Stefanya Lasso GuerraStefanya Lasso Guerra</t>
  </si>
  <si>
    <t>Transporte (Panoya - Pasto)Stefanya Lasso GuerraStefanya Lasso Guerra</t>
  </si>
  <si>
    <t>Transporte Terminal - Oficina Stefanya Lasso GuerraStefanya Lasso Guerra</t>
  </si>
  <si>
    <t xml:space="preserve">transporte jeison mantenimiento </t>
  </si>
  <si>
    <t xml:space="preserve">pago impuestestos </t>
  </si>
  <si>
    <t xml:space="preserve">transporte viista sandona </t>
  </si>
  <si>
    <t xml:space="preserve">transporte vivarium  </t>
  </si>
  <si>
    <t xml:space="preserve">transporte ferreandina  </t>
  </si>
  <si>
    <t xml:space="preserve">transporte novacentro  </t>
  </si>
  <si>
    <t>Transporte (Pasto - Taminango)COOTRANSTAMG LTDAStefanya Lasso Guerra</t>
  </si>
  <si>
    <t>Almuerzo Stefanya Lasso GuerraStefanya Lasso Guerra</t>
  </si>
  <si>
    <t>Certificado alcaldia de Taminango Alcaldia de TaminangoStefanya Lasso Guerra</t>
  </si>
  <si>
    <t>2 Estampillas para certificado de Uso de SuelosAlcaldia de TaminangoStefanya Lasso Guerra</t>
  </si>
  <si>
    <t>Mototaxi Alcaldia - PanoyaStefanya Lasso GuerraStefanya Lasso Guerra</t>
  </si>
  <si>
    <t>Transporte terminal mixto - casaStefanya Lasso GuerraStefanya Lasso Guerra</t>
  </si>
  <si>
    <t>Discos de corte laminaDISTRIBUCIONES ABCamilo Esteban M.</t>
  </si>
  <si>
    <t>pago elaboracion de base según planos naos</t>
  </si>
  <si>
    <t xml:space="preserve">transportepanchon </t>
  </si>
  <si>
    <t xml:space="preserve">cuentaa de cobro oscar realpe estudio de conexcion </t>
  </si>
  <si>
    <t xml:space="preserve">ingreso jason Diaz viaticos </t>
  </si>
  <si>
    <t>compra dia de la madre</t>
  </si>
  <si>
    <t>reintrego viaticos  viviana ingeniera ambietal</t>
  </si>
  <si>
    <t xml:space="preserve">TRANSPORTE LACTEOS ANDINOS STEFANIA </t>
  </si>
  <si>
    <t>transporte visita a frijovito</t>
  </si>
  <si>
    <t>Palos de escoba , detergente , cepillo suaveKLINCamilo Esteban M.</t>
  </si>
  <si>
    <t>La Merced Botana</t>
  </si>
  <si>
    <t>pago harry guerrero torniguerrero naos</t>
  </si>
  <si>
    <t>La Merced Ipiales</t>
  </si>
  <si>
    <t>pagoectricol naos</t>
  </si>
  <si>
    <t xml:space="preserve">Anticipo christian moncayo </t>
  </si>
  <si>
    <t>pago foreestal ambiental erica salas</t>
  </si>
  <si>
    <t xml:space="preserve">pago camioneta equirent </t>
  </si>
  <si>
    <t xml:space="preserve">pago limentacion naos </t>
  </si>
  <si>
    <t>pago spray naos</t>
  </si>
  <si>
    <t>pago total flux naos</t>
  </si>
  <si>
    <t xml:space="preserve">pago retie pabpn </t>
  </si>
  <si>
    <t>pago retie hito</t>
  </si>
  <si>
    <t xml:space="preserve">pago retie ferreandina </t>
  </si>
  <si>
    <t>PAGO TOTAL SALRDEPROT</t>
  </si>
  <si>
    <t xml:space="preserve">pago transporte pupiales </t>
  </si>
  <si>
    <t>pago viista erica naos</t>
  </si>
  <si>
    <t xml:space="preserve">pago a&amp;m ingenieria </t>
  </si>
  <si>
    <t>Fit For All 122</t>
  </si>
  <si>
    <t xml:space="preserve">pago acueducto pupiales </t>
  </si>
  <si>
    <t>pago liquidacion steven vallejos</t>
  </si>
  <si>
    <t>pago humberto rosero vivarium</t>
  </si>
  <si>
    <t>Anticipo 50% tablesa san rafael</t>
  </si>
  <si>
    <t>pago legalizacion miguel</t>
  </si>
  <si>
    <t xml:space="preserve">pago ectricol naos transporte </t>
  </si>
  <si>
    <t>pago ectricol naos transporte retencion 1%</t>
  </si>
  <si>
    <t>pago tag marketing</t>
  </si>
  <si>
    <t xml:space="preserve">of construcciones naos daniel ortega </t>
  </si>
  <si>
    <t xml:space="preserve">pago botiquin </t>
  </si>
  <si>
    <t xml:space="preserve">pago phylo </t>
  </si>
  <si>
    <t xml:space="preserve">pago equipo rescate dotasol </t>
  </si>
  <si>
    <t>pago tigo</t>
  </si>
  <si>
    <t xml:space="preserve">PAGO INTERESES CREDITO NATALIA SEGURA Y JP </t>
  </si>
  <si>
    <t>compra en notaria 21</t>
  </si>
  <si>
    <t>Logos de busosBORDADOSCamilo Esteban M.</t>
  </si>
  <si>
    <t>Soldaadura para pvc , limpiador pvcLA FERRO Camilo Esteban M.</t>
  </si>
  <si>
    <t xml:space="preserve">ingreso incapacidad sanitas miguel </t>
  </si>
  <si>
    <t>INGRESO HAPPINA</t>
  </si>
  <si>
    <t>anticipo Anderson verdugo 30%</t>
  </si>
  <si>
    <t>pago manuela polo</t>
  </si>
  <si>
    <t>manuela polo retencion 1.41</t>
  </si>
  <si>
    <t>Compra intl dreamhost</t>
  </si>
  <si>
    <t>compra en adobe</t>
  </si>
  <si>
    <t xml:space="preserve">pago hotel loto Andrea </t>
  </si>
  <si>
    <t>pago hotel loto Andrea RETENCION EN LA FUENTE 3,5%</t>
  </si>
  <si>
    <t xml:space="preserve">PAGO ALMUERZO NAOS </t>
  </si>
  <si>
    <t xml:space="preserve">PAQUETE TIQUETE JEISON </t>
  </si>
  <si>
    <t>Tiquetes aeros</t>
  </si>
  <si>
    <t xml:space="preserve">PAGO VIDEO Juan sebastian </t>
  </si>
  <si>
    <t>pago v 1501</t>
  </si>
  <si>
    <t xml:space="preserve">pago impuestos </t>
  </si>
  <si>
    <t>PAGO IMPUESTO 3</t>
  </si>
  <si>
    <t>PAGO SEGURIDAD DEL SUR MONITOREO</t>
  </si>
  <si>
    <t>PAGO VALLAS ANDRES LOPEZ</t>
  </si>
  <si>
    <t>PAGO VALLAS ANDRES LOPEZ ICA 6*1000</t>
  </si>
  <si>
    <t>PAGO VALLAS ANDRES LOPEZ RETENCION EN LA FUENTE 4%</t>
  </si>
  <si>
    <t xml:space="preserve">pago ferromac naos transporte </t>
  </si>
  <si>
    <t>pago ferromac naos transporte retencion en la fuente 1 %</t>
  </si>
  <si>
    <t>pago tecnoelectricos  vivarium</t>
  </si>
  <si>
    <t>pago empopasto</t>
  </si>
  <si>
    <t>PAGO CEDENAR</t>
  </si>
  <si>
    <t>PAGO SIIGO</t>
  </si>
  <si>
    <t>Sistemas</t>
  </si>
  <si>
    <t>pago rymel naos</t>
  </si>
  <si>
    <t>pago ferrovidrios</t>
  </si>
  <si>
    <t>pago vallejos naos</t>
  </si>
  <si>
    <t>pago coorporativo tigo</t>
  </si>
  <si>
    <t>PAGO ABOGADA</t>
  </si>
  <si>
    <t>pago montacargar naos bellatriz</t>
  </si>
  <si>
    <t>pago vallas monta cargas</t>
  </si>
  <si>
    <t>Broca muro 1/4DISTRIBUCIONES ABCamilo Esteban M.</t>
  </si>
  <si>
    <t>Polieteno negroFERRETERIA PEDREGALCamilo Esteban M.</t>
  </si>
  <si>
    <t>Piaggio de oficina a la mercedJOSECamilo Esteban M.</t>
  </si>
  <si>
    <t xml:space="preserve">transporte frijovito </t>
  </si>
  <si>
    <t>transporte mantenimeinto henry</t>
  </si>
  <si>
    <t>transporte pabon henry</t>
  </si>
  <si>
    <t>transporte balcones pubenza henry</t>
  </si>
  <si>
    <t xml:space="preserve">impresiones </t>
  </si>
  <si>
    <t>TRANSPORTE HITO SEBASTIAN LUCENA</t>
  </si>
  <si>
    <t>TRANSPORTE MANTENIMIENTO JEISON IPIALES</t>
  </si>
  <si>
    <t>CUENTA DE COBRO TRASNPORTE VIVIRUM</t>
  </si>
  <si>
    <t>CUENTA DE COBRO TRASNPORTE LACTEOS ANDINOS</t>
  </si>
  <si>
    <t>CUENTA DE COBRO TRASNPORTE NAOS</t>
  </si>
  <si>
    <t>CUENTA DE COBRO TRASNPORTE HITO</t>
  </si>
  <si>
    <t>CUENTA DE COBRO TRASNPORTE MANTENIMIENTO</t>
  </si>
  <si>
    <t>transporte lacteos andinos</t>
  </si>
  <si>
    <t>pago Electricol 2 naos</t>
  </si>
  <si>
    <t>pago paypal</t>
  </si>
  <si>
    <t>pago libertad naos 2</t>
  </si>
  <si>
    <t>pago ferrevidrios</t>
  </si>
  <si>
    <t xml:space="preserve">pago defa </t>
  </si>
  <si>
    <t>pago correccion pagina wilson</t>
  </si>
  <si>
    <t>transporte naos</t>
  </si>
  <si>
    <t>ReflectivoTIENDA GRAFICACamilo Esteban M.</t>
  </si>
  <si>
    <t>Escobas , mango metalico , jabonKLINCamilo Esteban M.</t>
  </si>
  <si>
    <t>Botellas de tiner ,hojas de ceguetaFERRETERIA SAN PEDROCamilo Esteban M.</t>
  </si>
  <si>
    <t>Sintas trasparentesFERRETERIA SAN PEDROCamilo Esteban M.</t>
  </si>
  <si>
    <t>Uniones sch40ELECTRICAS ACCamilo Esteban M.</t>
  </si>
  <si>
    <t>Tuercas , arandelas , punta estrellaTODO TORNILLOCamilo Esteban M.</t>
  </si>
  <si>
    <t>impresiones vinilo y sobre</t>
  </si>
  <si>
    <t xml:space="preserve">impresiones planos </t>
  </si>
  <si>
    <t xml:space="preserve">transporte </t>
  </si>
  <si>
    <t>AGUA OFICINA PLC</t>
  </si>
  <si>
    <t xml:space="preserve">PAGO TRANSPORTE DE MATERIALES SAN RAFAEL </t>
  </si>
  <si>
    <t>Transporte terminal alveiroExpreso valle de AtrizAlveiro Cusis</t>
  </si>
  <si>
    <t xml:space="preserve">alveiro cusis </t>
  </si>
  <si>
    <t>Transporte terminal sebastianExpreso valle de AtrizAlveiro Cusis</t>
  </si>
  <si>
    <t>Transporte Uber ida PupialesUberAlveiro Cusis</t>
  </si>
  <si>
    <t>Transporte Uber vuelta PupialesUberAlveiro Cusis</t>
  </si>
  <si>
    <t>Almuerzocrr 22 Nº 4-11Alveiro Cusis</t>
  </si>
  <si>
    <t>Transporte taxi sebastianTerminalAlveiro Cusis</t>
  </si>
  <si>
    <t>impresiones y fotocopias</t>
  </si>
  <si>
    <t>LADRILLOS, BLOQUESLA ITALIANACamilo Esteban M.</t>
  </si>
  <si>
    <t>REFLECTIVO NARANJATIENDA GRAFICACamilo Esteban M.</t>
  </si>
  <si>
    <t>ACEITE 3X1 AEROSOL135MLDISTRIBUCIONES ABCamilo Esteban M.</t>
  </si>
  <si>
    <t>3 COPIAS SIMPLE NOTARIAS SEGUNDA PASTOCamilo Esteban M.</t>
  </si>
  <si>
    <t>FIBRA X 150CONSTRUNARCamilo Esteban M.</t>
  </si>
  <si>
    <t>ALICATE,ALICATE HOMBRE SOLO SATATORNIGUERREROCamilo Esteban M.</t>
  </si>
  <si>
    <t>TUBO SCH40,UNIOMN GALVANIZADO,JUEGO DE BOQUILLA DEFACamilo Esteban M.</t>
  </si>
  <si>
    <t>ENVIO PAQUETE REMOLINOHEIDER CHAVEZCamilo Esteban M.</t>
  </si>
  <si>
    <t>Peaje Pasto-IpialesConcesionaria Vial Union del SurMiguel Enriquez Ch</t>
  </si>
  <si>
    <t>Transporte FerreAndinaMiguel Enriquez ChMiguel Enriquez Ch</t>
  </si>
  <si>
    <t>Trasnporte PlatinumMiguel Enriquez ChMiguel Enriquez Ch</t>
  </si>
  <si>
    <t>Transporte CasaMiguel Enriquez ChMiguel Enriquez Ch</t>
  </si>
  <si>
    <t>Desayunocrr 22 Nº 4-12Alveiro Cusis</t>
  </si>
  <si>
    <t>Almuerzocrr 22 Nº 4-13Alveiro Cusis</t>
  </si>
  <si>
    <t>HotelHotel Camino RealAlveiro Cusis</t>
  </si>
  <si>
    <t>Transporte taxi AlveiroTerminalAlveiro Cusis</t>
  </si>
  <si>
    <t>Transporte terminal AlveiroExpreso valle de AtrizAlveiro Cusis</t>
  </si>
  <si>
    <t>Transporte casa AlveirotaxiAlveiro Cusis</t>
  </si>
  <si>
    <t>Trasnporte FerreandinaMiguel Enriquez ChMiguel Enriquez Ch</t>
  </si>
  <si>
    <t>Transporte Hnos MoraMiguel Enriquez ChMiguel Enriquez Ch</t>
  </si>
  <si>
    <t>Material ElectricoMora Tovar Monica AlexandraMiguel Enriquez Ch</t>
  </si>
  <si>
    <t>Trasnporte casaMiguel Enriquez ChMiguel Enriquez Ch</t>
  </si>
  <si>
    <t>pago servicio de grua transporte 6*1000</t>
  </si>
  <si>
    <t>EstucoCarlos Fernando ChaconMiguel Enriquez Ch</t>
  </si>
  <si>
    <t xml:space="preserve">transporte jesion  visita comerfcial </t>
  </si>
  <si>
    <t xml:space="preserve">pago envio </t>
  </si>
  <si>
    <t>Pastilla para freno AVENTURACamilo Esteban M.</t>
  </si>
  <si>
    <t>TornilloTODO TORNILLOCamilo Esteban M.</t>
  </si>
  <si>
    <t>Mantenimiento rotomartillo cambio de rodamiento ELECTRICOS ANDESCamilo Esteban M.</t>
  </si>
  <si>
    <t>CARERRAS OFICINAA MERCED / MERCED A OFICINALOPEZ ANDRES Camilo Esteban M.</t>
  </si>
  <si>
    <t>papeles hermann</t>
  </si>
  <si>
    <t xml:space="preserve">transporte catambuco viista </t>
  </si>
  <si>
    <t>pago envio deprisa</t>
  </si>
  <si>
    <t xml:space="preserve">transporte comercio ambulancia </t>
  </si>
  <si>
    <t>devolucion de caja</t>
  </si>
  <si>
    <t>viaticos remolino</t>
  </si>
  <si>
    <t>Transporte PlatinumMiguel Enriquez ChMiguel Enriquez Ch</t>
  </si>
  <si>
    <t>Transporte casaMiguel Enriquez ChMiguel Enriquez Ch</t>
  </si>
  <si>
    <t>Transporte Tangua-IpialesConcesionaria Vial Union del SurMiguel Enriquez Ch</t>
  </si>
  <si>
    <t>ARANDELAS 10MM,TORNILLOS 8x15TORNIGUERREROCamilo Esteban M.</t>
  </si>
  <si>
    <t>TORNILLOS PARA BARRAJE 8MMTODOTORNILLOCamilo Esteban M.</t>
  </si>
  <si>
    <t>Devolución de agencia nacional</t>
  </si>
  <si>
    <t xml:space="preserve">compra computador practicante </t>
  </si>
  <si>
    <t>pago compra hubspot</t>
  </si>
  <si>
    <t>Pago nominaSEGUNDO MARCIAL GELPUD BOTINA</t>
  </si>
  <si>
    <t>Pago nominaMANUEL RODRIGO CORDOBA ORDOÑEZ</t>
  </si>
  <si>
    <t>Pago nominaCARLOS ANDRES MARCILLO ARCOS</t>
  </si>
  <si>
    <t>PLT</t>
  </si>
  <si>
    <t>Pago nominaJOSE ALVEIRO CUSIS HERNANDEZ</t>
  </si>
  <si>
    <t>Pago nominaSANDRA CAROLINA PATASCOY BOTINA</t>
  </si>
  <si>
    <t>Pago nominaIVAN DARIO CAICEDO CALVACHE</t>
  </si>
  <si>
    <t>Pago nominaLEIBNITZ EDUARDO CHANA CALDERON</t>
  </si>
  <si>
    <t>Pago nominaCAMILO ESTEBAN MELO CALVACHE</t>
  </si>
  <si>
    <t>Pago nominaJASON STEVEN DIAZ GUEVARA </t>
  </si>
  <si>
    <t>Pago nominaRUDY GABRIEL TIMARAN SANTACRUZ</t>
  </si>
  <si>
    <t>Pago nominaOSCAR ANDRES CASTRO BOTINA</t>
  </si>
  <si>
    <t>Pago nominaYULY ANDREA JARAMILLO GUERRERO</t>
  </si>
  <si>
    <t>Pago nominaLOREN ALEJANDRA DIAZ YAMPUEZAN</t>
  </si>
  <si>
    <t>Pago nominaISABELA GONZALEZ HENAO</t>
  </si>
  <si>
    <t>Pago nominaALBEIRO ORLANDO ESPAÑA HERNANDEZ</t>
  </si>
  <si>
    <t>Pago nominaDIEGO FERNANDO GARCIA CHAVES</t>
  </si>
  <si>
    <t>Pago nominaJHONSIN ARLEY ARIAS CEBALLOS</t>
  </si>
  <si>
    <t xml:space="preserve">Pago nominaPABLO FERNANDO BENAVIDES CHAVES </t>
  </si>
  <si>
    <t xml:space="preserve">Pago nominaJHON ALEXANDER GELPUD ZAMORA </t>
  </si>
  <si>
    <t xml:space="preserve">Pago nominaRUBEN DARIO ESPINOSA PARRA </t>
  </si>
  <si>
    <t>Pago nominaMARIO ALEXANDER CUSIS HERNANDEZ</t>
  </si>
  <si>
    <t>Pago nominaOLIVER GUTIERREZ MARTINEZ</t>
  </si>
  <si>
    <t>Pago nominaCRISTHIAN DUMAR MORENO VILLARREAL</t>
  </si>
  <si>
    <t>Pago nominaEDILFONSO ROSERO CASTILLO</t>
  </si>
  <si>
    <t>Pago nominaJIMMI ALEXANDER BURGOS GUERRERO</t>
  </si>
  <si>
    <t>Pago nominaCATERIN ELIZABETH AREVALO ORTEGA</t>
  </si>
  <si>
    <t>Pago nominaJUAN CAMILO GARCIA SOUZA</t>
  </si>
  <si>
    <t>Pago nominaIVAN CAMILO MENESES ORDOÑEZ</t>
  </si>
  <si>
    <t>Pago nominaJOSE YEFERSON ORDOÑEZ ANCHICHA</t>
  </si>
  <si>
    <t xml:space="preserve">Pago nominaJHONNY FRANCISCO CEBALLOS BURBANO </t>
  </si>
  <si>
    <t>Pago nominaEDWAR AMILCAR CHAGUEZA GOMEZ</t>
  </si>
  <si>
    <t>Pago nominaRUBEN DARIO SILVA RODRIGUEZ</t>
  </si>
  <si>
    <t xml:space="preserve">Pago nominaJUAN ESTEBAN BLANCO QUIROGA </t>
  </si>
  <si>
    <t xml:space="preserve">Pago nominaBRAYAN STIVEN PEREZ GUAQUEZ </t>
  </si>
  <si>
    <t>Pago nominaLUZ IRMA ORTEGA CIFUENTES</t>
  </si>
  <si>
    <t>Pago nominaJOSE HUMBERTO CUASALUZAN NASTACUAS</t>
  </si>
  <si>
    <t>Pago nominaRODRIGO QUINTERO DIAZ</t>
  </si>
  <si>
    <t>Pago nominaJEFERSON VERGARA MUÑOZ</t>
  </si>
  <si>
    <t xml:space="preserve">Pago nominaMARIA FERNANDA CHAMORRO CARLOSAMA </t>
  </si>
  <si>
    <t>SALARIOS</t>
  </si>
  <si>
    <t>Pago planilla admon pasto</t>
  </si>
  <si>
    <t>pago humberto vivarium 875 naos 6945</t>
  </si>
  <si>
    <t>Pago planillo Bellatriz</t>
  </si>
  <si>
    <t>Pago planila generacion distribuida</t>
  </si>
  <si>
    <t>pago planilla Lacteos Andinos</t>
  </si>
  <si>
    <t>Pago planilla Vivarium</t>
  </si>
  <si>
    <t>pago A2censo</t>
  </si>
  <si>
    <t>pago defa lacteos</t>
  </si>
  <si>
    <t>pago ferrecol NAOS</t>
  </si>
  <si>
    <t>pago flavio rodriguez tipografia arizona</t>
  </si>
  <si>
    <t>pago planilla medellin</t>
  </si>
  <si>
    <t>pago planilla medellin admon</t>
  </si>
  <si>
    <t>pago ferreovidrios lacteos andinos</t>
  </si>
  <si>
    <t>anticipo jhonatan arreglo camioneta 50%</t>
  </si>
  <si>
    <t xml:space="preserve">pago guantes cristian garcia </t>
  </si>
  <si>
    <t>pago planilla Bellatriz</t>
  </si>
  <si>
    <t>pago planilla Generacion distribuida</t>
  </si>
  <si>
    <t>pago planillaVivarium</t>
  </si>
  <si>
    <t>pago melba ligia moncayo</t>
  </si>
  <si>
    <t>pago grupo defa lacteos andinos</t>
  </si>
  <si>
    <t>pago reintegro Juan Manuel España</t>
  </si>
  <si>
    <t>pago reintegro Daniel Medina</t>
  </si>
  <si>
    <t>oficina</t>
  </si>
  <si>
    <t>pago Edgar Gomez Mezcladora naos</t>
  </si>
  <si>
    <t>pago camara de comercio naos 2</t>
  </si>
  <si>
    <t>pago total electricol lacteos andinos</t>
  </si>
  <si>
    <t>pago electricos boyaca novacentro y ballatriz</t>
  </si>
  <si>
    <t>pago ferrecol naos</t>
  </si>
  <si>
    <t>AISLADOR T/YOYO,CANALETA,CAJA RAWELT 2x4GRUPO DEFA Camilo Esteban M.</t>
  </si>
  <si>
    <t>Conectores antifraude ELECTRICAS ACCamilo Esteban M.</t>
  </si>
  <si>
    <t>Tornillos , wasaTODO TORNILLOCamilo Esteban M.</t>
  </si>
  <si>
    <t>Broca de 1/2LA FERROCamilo Esteban M.</t>
  </si>
  <si>
    <t>Canastillas VARIEDADES DON PEPECamilo Esteban M.</t>
  </si>
  <si>
    <t>Marco puerta Hierros ferreteriaCamilo Esteban M.</t>
  </si>
  <si>
    <t>Cinceles FERRETERIA LUPITACamilo Esteban M.</t>
  </si>
  <si>
    <t>Toma doble GRUPO DEFA Camilo Esteban M.</t>
  </si>
  <si>
    <t>CINTA DE EMASCARARFERRETERIA SAN PEDRO 16Camilo Esteban M.</t>
  </si>
  <si>
    <t xml:space="preserve">Ivan </t>
  </si>
  <si>
    <t>Transporte TerminalMiguel Enriquez ChMiguel Enriquez Ch</t>
  </si>
  <si>
    <t>Trasnporte Ipiales-TanguaExpreso Valle de AtrizMiguel Enriquez Ch</t>
  </si>
  <si>
    <t>Trasnporte TerminalMiguel Enriquez ChMiguel Enriquez Ch</t>
  </si>
  <si>
    <t>Sika boomCASA ANDINACamilo Esteban M.</t>
  </si>
  <si>
    <t>Angulo hierro LA FERROCamilo Esteban M.</t>
  </si>
  <si>
    <t>Tornillos autoperforantes 1"LA FERROCamilo Esteban M.</t>
  </si>
  <si>
    <t>Taxi de oficina a vivarium DAVID ZABEDRACamilo Esteban M.</t>
  </si>
  <si>
    <t>Taxi de sonarplas a oficina DAVID ZABEDRACamilo Esteban M.</t>
  </si>
  <si>
    <t>Roscas tuberia ImcEL NIPLECamilo Esteban M.</t>
  </si>
  <si>
    <t>transporte vivarium</t>
  </si>
  <si>
    <t>NIPLI - OFICINAHEDER NEIDERCamilo Esteban M.</t>
  </si>
  <si>
    <t>transporte oscar maurico morales</t>
  </si>
  <si>
    <t xml:space="preserve">transporte visita tecnica </t>
  </si>
  <si>
    <t xml:space="preserve">pintura estructura naos </t>
  </si>
  <si>
    <t>CANASTILLAS ALPINAV.DON PEPECamilo Esteban M.</t>
  </si>
  <si>
    <t>PINTURA GRIS TRAFICOLA FERROCamilo Esteban M.</t>
  </si>
  <si>
    <t>ENVIO PAQUETE REMOLINODAVID MORALESCamilo Esteban M.</t>
  </si>
  <si>
    <t>ANTIFRAUDEDEFACamilo Esteban M.</t>
  </si>
  <si>
    <t>UBER LACTEOS CL.PABON -CL.PABON A LACTEOS CAMILO MCamilo Esteban M.</t>
  </si>
  <si>
    <t>PIAGGIO CANASTILLASCAMILO MCamilo Esteban M.</t>
  </si>
  <si>
    <t>UBER OFICINA A VIVARIUMCAMILO MCamilo Esteban M.</t>
  </si>
  <si>
    <t>TAXI ARQUIMARQUETAS A OFICINACAMILO MCamilo Esteban M.</t>
  </si>
  <si>
    <t>SOBRES PLANOSARQUIMARQUETASCamilo Esteban M.</t>
  </si>
  <si>
    <t>IMPRESIONES PLANOSARQUIMARQUETASCamilo Esteban M.</t>
  </si>
  <si>
    <t>transporte buesaco villamoreno</t>
  </si>
  <si>
    <t>Transporte Aeropuerto-Terminal CaliAFILIADOS PALMIRAJeison Julian Ipiales</t>
  </si>
  <si>
    <t>Cena Visita ComercialCERDOS YA SASJeison Julian Ipiales</t>
  </si>
  <si>
    <t>cuenta de cobro wiliam basante retencion en la fuente 1%</t>
  </si>
  <si>
    <t>cuenta de cobro wiliam basante rete ica 6*1000</t>
  </si>
  <si>
    <t>Agua Visita ComercialÉXITOJeison Julian Ipiales</t>
  </si>
  <si>
    <t>Almuerzo Visita ComercialÉXITOJeison Julian Ipiales</t>
  </si>
  <si>
    <t>Transporte MIO Terminal- TIANSHIJeison Julian IpilaesJeison Julian Ipiales</t>
  </si>
  <si>
    <t>Transporte MIO TIANSHI- Jhon JairoJeison Julian IpilaesJeison Julian Ipiales</t>
  </si>
  <si>
    <t>Transporte MIO Jhon Jairo -HotelJeison Julian IpilaesJeison Julian Ipiales</t>
  </si>
  <si>
    <t>compra alcohol oficina</t>
  </si>
  <si>
    <t xml:space="preserve">camra de comercio </t>
  </si>
  <si>
    <t>transporte oficina cedenar</t>
  </si>
  <si>
    <t>cuenta de cobro wiliam basante</t>
  </si>
  <si>
    <t>TAXI PLANOS COLACTEOSCRUZ CACamilo Esteban M.</t>
  </si>
  <si>
    <t>CANALETA DEFACamilo Esteban M.</t>
  </si>
  <si>
    <t>AGUA CRISTALMERKAHORROCamilo Esteban M.</t>
  </si>
  <si>
    <t>GUANTES C_35ICOPLASCamilo Esteban M.</t>
  </si>
  <si>
    <t>UBER DEFA -MERKAHORRO-VIVARIUMFABIO YAUZARACamilo Esteban M.</t>
  </si>
  <si>
    <t>Cena Visita ComercialÉXITOJeison Julian Ipiales</t>
  </si>
  <si>
    <t>Desayuno Visita ComercialÉXITOJeison Julian Ipiales</t>
  </si>
  <si>
    <t>Transporte MIO Holtel - YumboJeison Julian IpilaesJeison Julian Ipiales</t>
  </si>
  <si>
    <t>Transporte MIO Yumbo- StrunarJeison Julian IpilaesJeison Julian Ipiales</t>
  </si>
  <si>
    <t>Transporte MIO Strunar-YumboJeison Julian IpilaesJeison Julian Ipiales</t>
  </si>
  <si>
    <t>Transporte MIO Yumbo-CamefrontJeison Julian IpilaesJeison Julian Ipiales</t>
  </si>
  <si>
    <t>Transporte MIO Camefront-TerminalJeison Julian IpilaesJeison Julian Ipiales</t>
  </si>
  <si>
    <t>Transporte MIO Terminal-HotelJeison Julian IpilaesJeison Julian Ipiales</t>
  </si>
  <si>
    <t xml:space="preserve">cuenta  de cobro oscar morales </t>
  </si>
  <si>
    <t>CONECTOR RJ45RADIO SANYOCamilo Esteban M.</t>
  </si>
  <si>
    <t>PEGANTE BARRAPAPELERIA BUEN DIACamilo Esteban M.</t>
  </si>
  <si>
    <t>ENVIO 6 PAQGUILLERMO ARTEAGACamilo Esteban M.</t>
  </si>
  <si>
    <t>PRENSA STOPADEFACamilo Esteban M.</t>
  </si>
  <si>
    <t>CHAZO 3/8TODO TORNILLOCamilo Esteban M.</t>
  </si>
  <si>
    <t>TERMOENCOGIBLEK.U.T.INCamilo Esteban M.</t>
  </si>
  <si>
    <t>transporte vivarium.oficna-pabon-vivarium</t>
  </si>
  <si>
    <t>transpporte vivarium</t>
  </si>
  <si>
    <t>Holte 2 NochesCasa CastilloJeison Julian Ipiales</t>
  </si>
  <si>
    <t>Transporte MIO Holtel-TerminalJeison Julian IpilaesJeison Julian Ipiales</t>
  </si>
  <si>
    <t>cuenta de cobro alexander vivarium</t>
  </si>
  <si>
    <t>transporte bellatriz -oficina-bellatriz</t>
  </si>
  <si>
    <t xml:space="preserve">Transporte (Of - Plotter, Recoger Planos)Stefanya LassoStefanya Lasso </t>
  </si>
  <si>
    <t xml:space="preserve">Transporte  (Plotter -Oficina) Stefanya LassoStefanya Lasso </t>
  </si>
  <si>
    <t>Transporte Terminal Cali-AeropuertoLineas del valleJeison Julian Ipiales</t>
  </si>
  <si>
    <t>Transporte Pasto-Aeropuerto-PastoCombuscolJeison Julian Ipiales</t>
  </si>
  <si>
    <t>Trasnporte OficinaMiguel Enriquez ChMiguel Enriquez Ch</t>
  </si>
  <si>
    <t>Transporte HitoMiguel Enriquez ChMiguel Enriquez Ch</t>
  </si>
  <si>
    <t>Transporte PubenzaMiguel Enriquez ChMiguel Enriquez Ch</t>
  </si>
  <si>
    <t>CAPEX</t>
  </si>
  <si>
    <t>Transporte OficinaMiguel Enriquez ChMiguel Enriquez Ch</t>
  </si>
  <si>
    <t>Almuerzos Andrea se legaliza con gasolina</t>
  </si>
  <si>
    <t>transporte stefania bellatriz</t>
  </si>
  <si>
    <t>copias a color stefania</t>
  </si>
  <si>
    <t xml:space="preserve">transporte lacteos andinos </t>
  </si>
  <si>
    <t>transporte batericars</t>
  </si>
  <si>
    <t xml:space="preserve">Transporte (Plotter - Oficina (Recoger Cd's de planos) (Mañana)Stefanya LassoStefanya Lasso </t>
  </si>
  <si>
    <t xml:space="preserve">Transporte (Oficina - Villaflor (Recoger firma Arquitecto y documentos licencia) (Mañana)Stefanya LassoStefanya Lasso </t>
  </si>
  <si>
    <t xml:space="preserve">Transporte (Villaflor - Vipri (Firma Ing. Estructural) (Mañana)Stefanya LassoStefanya Lasso </t>
  </si>
  <si>
    <t xml:space="preserve">Transporte (Of-Oficina Ing. Estructural) Firma memorial original - TardeStefanya LassoStefanya Lasso </t>
  </si>
  <si>
    <t xml:space="preserve">Transporte (Of Ing (Notaria 4) - Of. Evolti) - TardeStefanya LassoStefanya Lasso </t>
  </si>
  <si>
    <t xml:space="preserve">Transporte (Of Evolti - Terminal mixto) - Enviar documentosStefanya LassoStefanya Lasso </t>
  </si>
  <si>
    <t xml:space="preserve">Envio de documentos para licencia de construcción NAOS 2 , Pasto - Remolino Stefanya LassoStefanya Lasso </t>
  </si>
  <si>
    <t xml:space="preserve">Impresiones a color de documentosIMPRESIÓN LASSERStefanya Lasso </t>
  </si>
  <si>
    <t xml:space="preserve">Planos arquitectonicos y estructurales de NAOS 2 y CDArquimaquetasStefanya Lasso </t>
  </si>
  <si>
    <t xml:space="preserve">Carpeta legajadora tamaño oficioLA CALI Stefanya Lasso </t>
  </si>
  <si>
    <t>transporte servicio de grua</t>
  </si>
  <si>
    <t xml:space="preserve">Congenar </t>
  </si>
  <si>
    <t>Consultorio</t>
  </si>
  <si>
    <t xml:space="preserve">AnticipoNAOS </t>
  </si>
  <si>
    <t xml:space="preserve">Hotel Veronica </t>
  </si>
  <si>
    <t>Pago dotasol</t>
  </si>
  <si>
    <t>Pago lean case</t>
  </si>
  <si>
    <t>compra en latam airlines colombia</t>
  </si>
  <si>
    <t>compra en avianca</t>
  </si>
  <si>
    <t xml:space="preserve">compra intl msft </t>
  </si>
  <si>
    <t xml:space="preserve">INGRESO 30% LACTEOS ANDINOS </t>
  </si>
  <si>
    <t xml:space="preserve">ingreso Dispropan </t>
  </si>
  <si>
    <t>ingreso CAMPOS</t>
  </si>
  <si>
    <t>Ingreso Tigre</t>
  </si>
  <si>
    <t>compra en servicios camva</t>
  </si>
  <si>
    <t>CLINICA PABON Pago solaire</t>
  </si>
  <si>
    <t>FERREANDINA Pago solaire</t>
  </si>
  <si>
    <t>ACUEDUCTO PUPIALES Pago solaire</t>
  </si>
  <si>
    <t>VIVARIUM Pago solaire</t>
  </si>
  <si>
    <t>HITO Pago solaire</t>
  </si>
  <si>
    <t>LACTEOS ANDINOS Pago solaire</t>
  </si>
  <si>
    <t>BELLATRIZ Pago solaire</t>
  </si>
  <si>
    <t>Cables Bellatriz Electricos del valle</t>
  </si>
  <si>
    <t>Cables Novacentro Electricos del valle</t>
  </si>
  <si>
    <t>Cables NAOS Electricos del valle</t>
  </si>
  <si>
    <t>Devolución certificado UPME Carnes lujosa</t>
  </si>
  <si>
    <t>Cables Lateos Electricos del Valle</t>
  </si>
  <si>
    <t>Cables Ferreandina Electricos del valle</t>
  </si>
  <si>
    <t>Devolucion electrcos</t>
  </si>
  <si>
    <t>Cables acueducto Electricos del valle</t>
  </si>
  <si>
    <t>Cables Vivarium Electricos del valle</t>
  </si>
  <si>
    <t>Cables ferreancdina Electricos del valle</t>
  </si>
  <si>
    <t>Cables clinica pabon Electricos del valle</t>
  </si>
  <si>
    <t>devolucion de caja jeison ipiales</t>
  </si>
  <si>
    <t xml:space="preserve">PAGO BAÑOS NAOS </t>
  </si>
  <si>
    <t>pago video santiago cristancho 50%</t>
  </si>
  <si>
    <t>pago poliza SURA 826839 financiera y servicios</t>
  </si>
  <si>
    <t>Caffeto</t>
  </si>
  <si>
    <t>pago polizaz 13947-333529,</t>
  </si>
  <si>
    <t>pagoo poliza 13995</t>
  </si>
  <si>
    <t>pago poliza 867952</t>
  </si>
  <si>
    <t>pago camara de comercio evolti</t>
  </si>
  <si>
    <t>OFICINA</t>
  </si>
  <si>
    <t>pago wework</t>
  </si>
  <si>
    <t>pao viviana patiño informe</t>
  </si>
  <si>
    <t xml:space="preserve">pago hotel remolino vaneza muñoz </t>
  </si>
  <si>
    <t>anticipo erica salas 50%</t>
  </si>
  <si>
    <t>pago impecol</t>
  </si>
  <si>
    <t>pago viviana patiño</t>
  </si>
  <si>
    <t xml:space="preserve">anticipo jimmy burgos 50% tipografia </t>
  </si>
  <si>
    <t>pago tablesa naos</t>
  </si>
  <si>
    <t>RETENCION WEWORK  4%</t>
  </si>
  <si>
    <t>PAGO BIMESTRAL MARZO ABRIL IMPUESTO DE ICA</t>
  </si>
  <si>
    <t xml:space="preserve">pago la ferro melba moncayo </t>
  </si>
  <si>
    <t>pago grupo DEFA</t>
  </si>
  <si>
    <t>pago milto rivera</t>
  </si>
  <si>
    <t>anticipo 50% humberto rosero</t>
  </si>
  <si>
    <t>pago transporte asistencia logistica colombia</t>
  </si>
  <si>
    <t>pago papeleria la castellana</t>
  </si>
  <si>
    <t>pago daniel riascos videos</t>
  </si>
  <si>
    <t>pago el sur es mi norte</t>
  </si>
  <si>
    <t xml:space="preserve">PAGO TOTAL XHRISTIAN MONCAYO ARQUITECTO </t>
  </si>
  <si>
    <t>PAGO JUAN MANUEL MUÑOZ ARQUITECTO</t>
  </si>
  <si>
    <t>PAGO VIVIANA ENRIQUEZ 40% NAOS 2 TRABAJADORA SOCIAL</t>
  </si>
  <si>
    <t xml:space="preserve">pago tecnoelectricos </t>
  </si>
  <si>
    <t>pago revisora maria camila acosta</t>
  </si>
  <si>
    <t xml:space="preserve">pago grupo defa </t>
  </si>
  <si>
    <t>pago alimentacion</t>
  </si>
  <si>
    <t xml:space="preserve">pago agrilan laboratorios </t>
  </si>
  <si>
    <t xml:space="preserve">paogo transporte harrison </t>
  </si>
  <si>
    <t>pago intereses credito natalia segura</t>
  </si>
  <si>
    <t>cuenta de cobro oscar retencion en la fuente 1%</t>
  </si>
  <si>
    <t>cuenta de cobro oscar rete ica 6*1000</t>
  </si>
  <si>
    <t>HARRYSON LOPEZ TRANSPORTE 1%</t>
  </si>
  <si>
    <t xml:space="preserve">GRUPO DEFA 3 x1000 </t>
  </si>
  <si>
    <t>dotasol 6X1000</t>
  </si>
  <si>
    <t>dotasol 2.5%</t>
  </si>
  <si>
    <t>PASADOR  4" ,JUAN CARLOS S.A.S</t>
  </si>
  <si>
    <t>ivan</t>
  </si>
  <si>
    <t>MANTENIMIENTO SACABOCADOMETALMAK</t>
  </si>
  <si>
    <t>CAMBIO LLANTA SCOTERMONTALL. DOS PUENTE</t>
  </si>
  <si>
    <t>CAUTIN, ESTAÑO, POMADA ,VASELINALA FERRO</t>
  </si>
  <si>
    <t>TUERCA 3/8, ARANDELAFERRENAR</t>
  </si>
  <si>
    <t>BROCA LARGA 1/4 TODO TORNILLO0</t>
  </si>
  <si>
    <t>ESCOBA  T/CEPILLOMERKAHORRO-14700</t>
  </si>
  <si>
    <t>CABLE VEICULAR, TERMO ESPAGUETI 2CMBETTO REPUESTOS-150000</t>
  </si>
  <si>
    <t>CANASTILLA ALPINDANNIS-10000</t>
  </si>
  <si>
    <t>REFLECTIVO NARANJATIENDA GRAFICA-32000</t>
  </si>
  <si>
    <t>LAPIZ ROJOPAPELERIA BUENDIA-15000</t>
  </si>
  <si>
    <t>PILAS AAAK.U.TINZ-60928</t>
  </si>
  <si>
    <t xml:space="preserve"> PAQ.CUCHILLASK.U.TINZ-27100</t>
  </si>
  <si>
    <t>MINI CREMA SOLDAR,SOLDADURA 50GK.U.TINZ-50400</t>
  </si>
  <si>
    <t>ACRILICO DOBLADO 15*15*15BICOLOR-15000</t>
  </si>
  <si>
    <t>ENVIO DRON ALBERTH CHAMORRO-24000</t>
  </si>
  <si>
    <t>SIKA CONSTRUCCIONCASA ANDINA-57500</t>
  </si>
  <si>
    <t>CARETA ESMERILARDOTASOL-6000</t>
  </si>
  <si>
    <t>MANTENIMIENTO G,PULIDORAELECTRICOS ANDES-5000</t>
  </si>
  <si>
    <t>MANRENIMIENTO G PULIDORAELECTRICOS ANDES-87000</t>
  </si>
  <si>
    <t>TINNER, BROCHA ,SIKAAB Y SR S.A.S-30000</t>
  </si>
  <si>
    <t>CABLE VEICULAR #18BETTO DISTRIBUCIONES-15000</t>
  </si>
  <si>
    <t xml:space="preserve">PEAJE REMOLINO  MAURICIO ROSERO </t>
  </si>
  <si>
    <t xml:space="preserve">GASOLINA REMOLINO MAURICIO ROSERO </t>
  </si>
  <si>
    <t xml:space="preserve">ENVIO MAURICIO ROSERO </t>
  </si>
  <si>
    <t>TRANSPORTE BELLATRIZ</t>
  </si>
  <si>
    <t xml:space="preserve">LA FERRO Y PONTUIRAS  SOLDADURA Y DISCO DE CORTE </t>
  </si>
  <si>
    <t>AB Y AR SAS SIKA POWER</t>
  </si>
  <si>
    <t>TRANSPORTE LACTEOS ANIDNOS</t>
  </si>
  <si>
    <t>transporte william basante</t>
  </si>
  <si>
    <t>TRANSPORTE VENTAS</t>
  </si>
  <si>
    <t>VENTAS</t>
  </si>
  <si>
    <t>TRASNSPORTE BELLATRIZ</t>
  </si>
  <si>
    <t xml:space="preserve">TRANSPORTE HOSPITAL SAN RAFEL </t>
  </si>
  <si>
    <t>TRANSPORTE IDA Y VUETA LACTEOS ANDINOS</t>
  </si>
  <si>
    <t>PAGO EXAMEN INGRESO INGENIERO CALI</t>
  </si>
  <si>
    <t>ARREGLO IMPRESO</t>
  </si>
  <si>
    <t>transporte oscar mauricio</t>
  </si>
  <si>
    <t>PLANOS A2ARQUIMARQUETASIVAN DARIO CAICEDO</t>
  </si>
  <si>
    <t>ESPUMA GUILLERMO ARTEAGASI</t>
  </si>
  <si>
    <t>CONECTOR CORAZA 3/4DEFA1000000</t>
  </si>
  <si>
    <t>LAMPARA 120 CMTILUMNombre del Proyecto</t>
  </si>
  <si>
    <t>SACAGANCHOSARQUIMARQUETAS</t>
  </si>
  <si>
    <t>BROCAS 1/4+12"TODO TORNILLOBELLATRIZ</t>
  </si>
  <si>
    <t>TUERCA ,TORNILLO 8 MM, WUAZA TODO TORNILLOLACTEOS ANDINO</t>
  </si>
  <si>
    <t>ENVIO REMOLINOHECTOR CORALNAOS</t>
  </si>
  <si>
    <t>BARRA , PALENDRALUPITANAOS</t>
  </si>
  <si>
    <t>TORNILLO 10MM,TORNILLO 8MM,TUERCA TODO TORNILLOADMINISTRACION</t>
  </si>
  <si>
    <t>CHAZO 3/8TODO TORNILLOBELLATRIZ</t>
  </si>
  <si>
    <t>PINTURA TRAFICO GRIS ,TINNERLA FERROIVAN DARIO CAICEDO</t>
  </si>
  <si>
    <t>ARANDELA NEUPRENO,BROCA 1/4TODO TORNILLOSI</t>
  </si>
  <si>
    <t>PINTURA TRAFICO ROJO,VERDE,AMARILLOPINTUPASTO1000000</t>
  </si>
  <si>
    <t>BROCA SIERRA 1", ARBOL 3/8CORDILLERASNombre del Proyecto</t>
  </si>
  <si>
    <t xml:space="preserve">CINTA ,TINNERDISTR AB &amp; AR </t>
  </si>
  <si>
    <t>MEGA PEGA ,EMBOQUILLADOR BEIGELA FERRONAOS</t>
  </si>
  <si>
    <t>ENVIO PINTURA</t>
  </si>
  <si>
    <t>Decametro, juego brocas, marcadores y alicateFerreteria FerroMacJeancarlo G Moncayo</t>
  </si>
  <si>
    <t>5 botellones de aguaDeposito FigueroaJeancarlo G Moncayo</t>
  </si>
  <si>
    <t>ACPM trompoEDS Terpel Rio MayoJeancarlo G Moncayo</t>
  </si>
  <si>
    <t>Bombeo agua (Alvaro)Jeancarlo MoncayoJeancarlo G Moncayo</t>
  </si>
  <si>
    <t>3 PalustresFerreteria FerroMacJeancarlo G Moncayo</t>
  </si>
  <si>
    <t>Aceite para planta 15w 40 x 2Jeancarlo MoncayoJeancarlo G Moncayo</t>
  </si>
  <si>
    <t>Arandela, tuerca, brocasFerreteria FerroMacJeancarlo G Moncayo</t>
  </si>
  <si>
    <t>Candado bodegaFerreteria FerroMacJeancarlo G Moncayo</t>
  </si>
  <si>
    <t>Arandela, tuercaFerreteria FerroMacJeancarlo G Moncayo</t>
  </si>
  <si>
    <t>ACPM plantaEDS Terpel Rio MayoJeancarlo G Moncayo</t>
  </si>
  <si>
    <t>Transporte Remolino - Pasto - RemolinoJimmy BurgosJeancarlo G Moncayo</t>
  </si>
  <si>
    <t>Candado predio naosFerreteria FerroMacJeancarlo G Moncayo</t>
  </si>
  <si>
    <t>Calibrada de llantas camionetaJeancarlo MoncayoJeancarlo G Moncayo</t>
  </si>
  <si>
    <t>Hielo x 5 dias semana 7 al 11 de mayo 2024Jeancarlo MoncayoJeancarlo G Moncayo</t>
  </si>
  <si>
    <t>Sandia x 3 semana 7 al 11 de mayo 2024Jeancarlo MoncayoJeancarlo G Moncayo</t>
  </si>
  <si>
    <t>Tanqueada camioneta ACPMServicentro RemolinoJeancarlo G Moncayo</t>
  </si>
  <si>
    <t>Aseo semana 7 de mayo  al 11 de mayo de 2024Deisy Viviana EnriquezJeancarlo G Moncayo</t>
  </si>
  <si>
    <t>Peaje remolino - PastoPeaje CanoJeancarlo G Moncayo</t>
  </si>
  <si>
    <t>Lavada full camionetaSpa lavautosJeancarlo G Moncayo</t>
  </si>
  <si>
    <t>Brocas metal y flexometroFerreteria FerroMacJeancarlo G Moncayo</t>
  </si>
  <si>
    <t>Estopa y cinta de enmarcadoFerreteria FerroMacJeancarlo G Moncayo</t>
  </si>
  <si>
    <t>Cuñetes de estuco acrilico, estuco normal, pinturaFerreteria FerroMacJeancarlo G Moncayo</t>
  </si>
  <si>
    <t>Hielo x 4 dias semana de 14 al 17 de mayo de 2024Jeancarlo MoncayoJeancarlo G Moncayo</t>
  </si>
  <si>
    <t>Sandia x 3 semana 13 al 17 de mayo 2024Jeancarlo MoncayoJeancarlo G Moncayo</t>
  </si>
  <si>
    <t>Aseo semana 13 de mayo  al 18 de mayo de 2024Deisy Viviana EnriquezJeancarlo G Moncayo</t>
  </si>
  <si>
    <t>1 cuñete acrilicoFerreteria FerroMacJeancarlo G Moncayo</t>
  </si>
  <si>
    <t>4 pares de guantes de carnaza y 1 cuñete acrilicoFerreteria FerroMacJeancarlo G Moncayo</t>
  </si>
  <si>
    <t>3 botellones de aguaDeposito FigueroaJeancarlo G Moncayo</t>
  </si>
  <si>
    <t>Broca 3/8" metal y concreto, discos de corteFerreteria FerroMacJeancarlo G Moncayo</t>
  </si>
  <si>
    <t>Brocha 3" y broca escalonadaFerreteria FerroMacJeancarlo G Moncayo</t>
  </si>
  <si>
    <t>Cinta de enmascarar y guantesFerreteria FerroMacJeancarlo G Moncayo</t>
  </si>
  <si>
    <t>1 Rodillo, 1 palo de escoba, 1 cinta de enmascararFerreteria FerroMacJeancarlo G Moncayo</t>
  </si>
  <si>
    <t>Piscina hotel x 15 diasJeancarlo MoncayoJeancarlo G Moncayo</t>
  </si>
  <si>
    <t>Galon tiner, brocha y rodilloFerreteria FerroMacJeancarlo G Moncayo</t>
  </si>
  <si>
    <t>Detergente y blanqueadorTiendas D1Jeancarlo G Moncayo</t>
  </si>
  <si>
    <t>Aseo semana 20 de mayo  al 25 de mayo de 2024Deisy Viviana EnriquezJeancarlo G Moncayo</t>
  </si>
  <si>
    <t>Hielo x 6 dias semana del 20 al 25 de mayo de 2024Jeancarlo MoncayoJeancarlo G Moncayo</t>
  </si>
  <si>
    <t>Parqueadero dos noches camioneta (Reparacion)Jeancarlo MoncayoJeancarlo G Moncayo</t>
  </si>
  <si>
    <t>Despinchada llanta delanteraJeancarlo MoncayoJeancarlo G Moncayo</t>
  </si>
  <si>
    <t>Tanqueada camioneta ACPMEDS OrienteJeancarlo G Moncayo</t>
  </si>
  <si>
    <t>Radicar licencia de construccion Naos 2Jeancarlo MoncayoJeancarlo G Moncayo</t>
  </si>
  <si>
    <t>pago arreglo dron</t>
  </si>
  <si>
    <t>Imprevistos</t>
  </si>
  <si>
    <t>PAGO TECNOELECTRCOS</t>
  </si>
  <si>
    <t>pago arnes y eslingas</t>
  </si>
  <si>
    <t>JEANCARLO GUILLERMO MONCAYO ANDRADE</t>
  </si>
  <si>
    <t>JUAN FERNANDO PANIAGUA OSORIO</t>
  </si>
  <si>
    <t>SEGUNDO MARCIAL GELPUD BOTINA</t>
  </si>
  <si>
    <t>JHOANA MARCELA GERMAN REYES</t>
  </si>
  <si>
    <t>CARLOS ANDRES MARCILLO ARCOS</t>
  </si>
  <si>
    <t>JOSE ALVEIRO CUSIS HERNANDEZ</t>
  </si>
  <si>
    <t>JUAN MANUEL ESPAÑA FORERO</t>
  </si>
  <si>
    <t>DANIEL FERNANDO MEDINA GUERRERO</t>
  </si>
  <si>
    <t>HERMANN SOUZA CUBIDES</t>
  </si>
  <si>
    <t>SANDRA CAROLINA PATASCOY BOTINA</t>
  </si>
  <si>
    <t>IVAN DARIO CAICEDO CALVACHE</t>
  </si>
  <si>
    <t>LEIBNITZ EDUARDO CHANA CALDERON</t>
  </si>
  <si>
    <t>CAMILO ESTEBAN MELO CALVACHE</t>
  </si>
  <si>
    <t>JASON STEVEN DIAZ GUEVARA </t>
  </si>
  <si>
    <t>MANUEL RODRIGO CORDOBA ORDOÑEZ</t>
  </si>
  <si>
    <t>RUDY GABRIEL TIMARAN SANTACRUZ</t>
  </si>
  <si>
    <t>OSCAR ANDRES CASTRO BOTINA</t>
  </si>
  <si>
    <t>MIGUEL ALEJANDRO ENRIQUEZ CHAMORRO</t>
  </si>
  <si>
    <t>KELLY TATIANA ALVAREZ GARCIA</t>
  </si>
  <si>
    <t>YULY ANDREA JARAMILLO GUERRERO</t>
  </si>
  <si>
    <t>DANNA STEFANYA LASSO GUERRA</t>
  </si>
  <si>
    <t>LOREN ALEJANDRA DIAZ YAMPUEZAN</t>
  </si>
  <si>
    <t xml:space="preserve">MARIA FERNANDA CHAMORRO </t>
  </si>
  <si>
    <t>ISABELA GONZALEZ HENAO</t>
  </si>
  <si>
    <t>VERONICA LILIANA SANTACRUZ MENZA</t>
  </si>
  <si>
    <t>ALBEIRO ORLANDO ESPAÑA HERNANDEZ</t>
  </si>
  <si>
    <t>DIEGO FERNANDO GARCIA CHAVES</t>
  </si>
  <si>
    <t>JHONSIN ARLEY ARIAS CEBALLOS</t>
  </si>
  <si>
    <t xml:space="preserve">PABLO FERNANDO BENAVIDES CHAVES </t>
  </si>
  <si>
    <t xml:space="preserve">JHON ALEXANDER GELPUD ZAMORA </t>
  </si>
  <si>
    <t xml:space="preserve">RUBEN DARIO ESPINOSA PARRA </t>
  </si>
  <si>
    <t>MARIO ALEXANDER CUSIS HERNANDEZ</t>
  </si>
  <si>
    <t>JEISON JULIAN IPIALES BENAVIDES</t>
  </si>
  <si>
    <t>OLIVER GUTIERREZ MARTINEZ</t>
  </si>
  <si>
    <t>CRISTHIAN DUMAR MORENO VILLARREAL</t>
  </si>
  <si>
    <t>EDILFONSO ROSERO CASTILLO</t>
  </si>
  <si>
    <t>JIMMI ALEXANDER BURGOS GUERRERO</t>
  </si>
  <si>
    <t>JAVIER SEBASTIÁN LUCENA VILLARREAL</t>
  </si>
  <si>
    <t>CATERIN ELIZABETH AREVALO ORTEGA</t>
  </si>
  <si>
    <t>JUAN CAMILO GARCIA SOUZA</t>
  </si>
  <si>
    <t>DANIEL CAMILO ARTEAGA CASTRO</t>
  </si>
  <si>
    <t>IVAN CAMILO MENESES ORDOÑEZ</t>
  </si>
  <si>
    <t xml:space="preserve">JHONNY FRANCISCO CEBALLOS BURBANO </t>
  </si>
  <si>
    <t>EDWAR AMILCAR CHAGUEZA GOMEZ</t>
  </si>
  <si>
    <t>RUBEN DARIO SILVA RODRIGUEZ</t>
  </si>
  <si>
    <t xml:space="preserve">JUAN ESTEBAN BLANCO QUIROGA </t>
  </si>
  <si>
    <t>LUZ IRMA ORTEGA CIFUENTES</t>
  </si>
  <si>
    <t>RODRIGO QUINTERO DIAZ</t>
  </si>
  <si>
    <t>JEFERSON VERGARA MUÑOZ</t>
  </si>
  <si>
    <t>PAGO NOMINA jose himberto cuazaluzan</t>
  </si>
  <si>
    <t xml:space="preserve">pago meico </t>
  </si>
  <si>
    <t>pago upme</t>
  </si>
  <si>
    <t>anticipo 40% chaves</t>
  </si>
  <si>
    <t>pago christian moreno faltante en nomina</t>
  </si>
  <si>
    <t xml:space="preserve">pago cuota credito </t>
  </si>
  <si>
    <t>ingreso solsticio</t>
  </si>
  <si>
    <t>ingreso arboleda</t>
  </si>
  <si>
    <t>compra en dlo google</t>
  </si>
  <si>
    <t>compra wn balbueno</t>
  </si>
  <si>
    <t>compra en karol vivi</t>
  </si>
  <si>
    <t>compra en 1bano aero</t>
  </si>
  <si>
    <t>compra en eds terpel</t>
  </si>
  <si>
    <t>COMPRA INTL FACEBK RS2LS8LNE</t>
  </si>
  <si>
    <t>COMPRA EN CRISPI LIM</t>
  </si>
  <si>
    <t>COMPRA EN EDS VERSAL</t>
  </si>
  <si>
    <t>COMPRA EN SEVILLANA</t>
  </si>
  <si>
    <t>COMPRA EN CAFE PERGA</t>
  </si>
  <si>
    <t>COMPRA EN BARRA CLO</t>
  </si>
  <si>
    <t xml:space="preserve">PAGO EMSI </t>
  </si>
  <si>
    <t>pago casa andina hito</t>
  </si>
  <si>
    <t>PAGO GRUPO DEFA</t>
  </si>
  <si>
    <t>PAGO GRUPO DEF</t>
  </si>
  <si>
    <t xml:space="preserve">PAGO JULIET ROJAS ESTRUCTURA </t>
  </si>
  <si>
    <t>PAGO MANUELA POLO</t>
  </si>
  <si>
    <t>PAGO MUNDO SOS</t>
  </si>
  <si>
    <t>Casa Orion</t>
  </si>
  <si>
    <t>PAGO PHC</t>
  </si>
  <si>
    <t>PAGO RAMIREZ Y DAVUD</t>
  </si>
  <si>
    <t>PAGO ARREGLO CAMIONETA CAMILO CORBDOBA</t>
  </si>
  <si>
    <t xml:space="preserve">PAGO COLSEIN </t>
  </si>
  <si>
    <t>PAGO ELECTRICOS DEL VALLE</t>
  </si>
  <si>
    <t xml:space="preserve">Pago Antares </t>
  </si>
  <si>
    <t>estructuracion</t>
  </si>
  <si>
    <t>ingreso Clinica Bellatriz</t>
  </si>
  <si>
    <t>Anticipo</t>
  </si>
  <si>
    <t>compra google</t>
  </si>
  <si>
    <t xml:space="preserve">compra latam </t>
  </si>
  <si>
    <t>compra v1501</t>
  </si>
  <si>
    <t>compra en distrito gastronomico</t>
  </si>
  <si>
    <t>PAGO LIQUIDACION DIEGO GARCIA</t>
  </si>
  <si>
    <t>CAMARA DE COMERCIO CANOPUS</t>
  </si>
  <si>
    <t>Canopus</t>
  </si>
  <si>
    <t>PAGO DEFA NAOS</t>
  </si>
  <si>
    <t xml:space="preserve">PAGO FERRECOL </t>
  </si>
  <si>
    <t>PAGO UNIFORCE</t>
  </si>
  <si>
    <t xml:space="preserve">PAGO UNIVERSAL DE TORINILLO </t>
  </si>
  <si>
    <t>PAGO DOTASOL LINEAS DE VIDA</t>
  </si>
  <si>
    <t>PAGO DERIAN CHAVEZ NAOS</t>
  </si>
  <si>
    <t>IT CERTIFICA VIVARIUM</t>
  </si>
  <si>
    <t xml:space="preserve">PAGO POLIZAS </t>
  </si>
  <si>
    <t>PAGO MILTON SANTIAGO CARNETS</t>
  </si>
  <si>
    <t xml:space="preserve">PAGO A2ENSO </t>
  </si>
  <si>
    <t>INGRESO CASA ORION</t>
  </si>
  <si>
    <t>compra de divisas</t>
  </si>
  <si>
    <t>ingreso banco de bogota</t>
  </si>
  <si>
    <t xml:space="preserve">comision </t>
  </si>
  <si>
    <t>LEGALIZACION</t>
  </si>
  <si>
    <t>ALMUERZO MARCE</t>
  </si>
  <si>
    <t xml:space="preserve">LEGALIZACION VIVIANA PEAJES, ALIMENTACION, COMBUSTIBLE </t>
  </si>
  <si>
    <t>LEGALIZACION VALENTINA FIUEROA</t>
  </si>
  <si>
    <t>TRABSPORTE VIDRIOS CENTENARIO</t>
  </si>
  <si>
    <t>TRANPSORTE TAXIS BATERICARS</t>
  </si>
  <si>
    <t xml:space="preserve">TRANPSORTE TAXIS CASA HUMBERTO </t>
  </si>
  <si>
    <t>TRANPSORTE TAXIS CASA HUMBERTO retfuente 1%</t>
  </si>
  <si>
    <t>TRANPSORTE TAXIS CASA HUMBERTO 6*1000</t>
  </si>
  <si>
    <t xml:space="preserve">TRANPSORTE TAXIS VIVARIUM </t>
  </si>
  <si>
    <t xml:space="preserve">TRANPSORTE TAXIS TURIN </t>
  </si>
  <si>
    <t>Turin</t>
  </si>
  <si>
    <t>TRANPSORTE TAXIS LACTEOS ANDINOS</t>
  </si>
  <si>
    <t>TRANPSORTE TAXIS VENTAS</t>
  </si>
  <si>
    <t>TRANPSORTE TAXIS VIDRIOS CENTENARIOS</t>
  </si>
  <si>
    <t>TRANSPORTE TAXIS LA MERCED</t>
  </si>
  <si>
    <t xml:space="preserve">ENVIO PASTO CALI </t>
  </si>
  <si>
    <t>TRANSPORTE NAOS</t>
  </si>
  <si>
    <t>TRANSPORTE NAOS RETENCION 1%</t>
  </si>
  <si>
    <t>TRANSPORTE NAOS 6*1000</t>
  </si>
  <si>
    <t>TRANSPORTE LACTEOS ANDINOS</t>
  </si>
  <si>
    <t>TRANSPORTE VIVARIUM</t>
  </si>
  <si>
    <t xml:space="preserve">TRANSPORTE ADMON </t>
  </si>
  <si>
    <t xml:space="preserve">TRANSPORTE TAXIS CLINICA PABON </t>
  </si>
  <si>
    <t>TRANSPORTE TAXIS HITO</t>
  </si>
  <si>
    <t>TRANSPORTES TAXIS BELLATRIZ</t>
  </si>
  <si>
    <t>TRANSPORTES TAXIS VIVARIUM</t>
  </si>
  <si>
    <t>TRANSPORTES TAXIS NAOS</t>
  </si>
  <si>
    <t>TRANSPORTES TAXIS LACTEOS ANDINOS</t>
  </si>
  <si>
    <t xml:space="preserve">TRANSPORTES TAXIS NOVACENTRO </t>
  </si>
  <si>
    <t>TRANSPORTES TAXIS ADMON</t>
  </si>
  <si>
    <t xml:space="preserve">ENVIOS BOGOTA </t>
  </si>
  <si>
    <t>TRANSPORTE TURIN</t>
  </si>
  <si>
    <t>PAGO CARNET MIGUEL</t>
  </si>
  <si>
    <t xml:space="preserve">transporte vivarium cateron </t>
  </si>
  <si>
    <t>TRANSPORTE LA MERCED</t>
  </si>
  <si>
    <t>10 Punta destornillador combinada AB y AR S.A.S.IVAN DARIO CAICEDO</t>
  </si>
  <si>
    <t>1/4 Anticorrosivo verdeMelba Ligia Moncayo de RamosSI</t>
  </si>
  <si>
    <t>coraza 1/2Ferretería J.R.1000000</t>
  </si>
  <si>
    <t>15 Uniones EMT 2" , 15 Grapas metálicas doble                                                           Grupo DEFA S.A.S.Nombre del Proyecto</t>
  </si>
  <si>
    <t>1 Envío RemolinoFernando Barrera</t>
  </si>
  <si>
    <t>2 Señales 30x30 Riesgo eléctricoBicolor GráficoBellatriz</t>
  </si>
  <si>
    <t>piaggio defa cristian cruzBellatriz</t>
  </si>
  <si>
    <t>1/2 Bulto de gravilla                                                           Melba Ligia Moncayo de RamosBellatriz</t>
  </si>
  <si>
    <t>5 Uniones IMC 2", 12 PrensaestopaJulián David Ibarra RamírezNaos</t>
  </si>
  <si>
    <t>caucho mata filooiliver empaquesNaos</t>
  </si>
  <si>
    <t>tuerca ,arandela ,wasa 8mmtodo tornilloLácteos Andinos</t>
  </si>
  <si>
    <t>conduleta t/lb 1",conduleta t/lr 1/2uniforceBellatriz</t>
  </si>
  <si>
    <t>envio remolinolibardo hernandezLácteos Andinos</t>
  </si>
  <si>
    <t>toma aereo, clavija coldelcak.u.tinNaos</t>
  </si>
  <si>
    <t xml:space="preserve">TRANSPORTES LEYDI PATRICIA GARCIA </t>
  </si>
  <si>
    <t xml:space="preserve">TRANSPORTES WILLIAM BANSATE </t>
  </si>
  <si>
    <t>retencion transpor 1% william basante</t>
  </si>
  <si>
    <t>retencion transporte 6X1000 william basante</t>
  </si>
  <si>
    <t>retencion transpor 1% oscar mauricio</t>
  </si>
  <si>
    <t>retencion transpor 6x1000 oscar mauricio</t>
  </si>
  <si>
    <t>ingreso legalizacion jeison visita de pandiaco comercial</t>
  </si>
  <si>
    <t>detalles dia del padre</t>
  </si>
  <si>
    <t>sebastian entrega medidores</t>
  </si>
  <si>
    <t>peajes viviana</t>
  </si>
  <si>
    <t>gasolina remolino viviana</t>
  </si>
  <si>
    <t xml:space="preserve">taxis inspeccion </t>
  </si>
  <si>
    <t>CURVA,UNION EMT1"DEFAIVAN DARIO CAICEDO</t>
  </si>
  <si>
    <t>TUBO EMT 1/2DEFAIVAN DARIO CAICEDO</t>
  </si>
  <si>
    <t>CONECTOR BIMETALICODEFAIVAN DARIO CAICEDO</t>
  </si>
  <si>
    <t>CINTA AISLANTE AB &amp; ARIVAN DARIO CAICEDO</t>
  </si>
  <si>
    <t>CiNTA AISLANTE NEGRAAB &amp; ARIVAN DARIO CAICEDO</t>
  </si>
  <si>
    <t>LLAVE PARA MANDRIL, VINILO,ESTUCOLA FERROIVAN DARIO CAICEDO</t>
  </si>
  <si>
    <t>CINTA TRANSPARENTELA FERROIVAN DARIO CAICEDO</t>
  </si>
  <si>
    <t>ENVIO REMOLINOEIBER CHAVEZIVAN DARIO CAICEDO</t>
  </si>
  <si>
    <t>TERMINAL CURVO 1"UNIFORCEIVAN DARIO CAICEDO</t>
  </si>
  <si>
    <t>ENVIO REMOLINOURIEL OJEDAIVAN DARIO CAICEDO</t>
  </si>
  <si>
    <t>CINTA REFLECTIVA NARANJA , AZULTIENDA GRAFICAIVAN DARIO CAICEDO</t>
  </si>
  <si>
    <t>DOBLADOR 3/4 EMTCASA ELECTRICAIVAN DARIO CAICEDO</t>
  </si>
  <si>
    <t>ENVIO REMOLINOEVER IVAN DARIO CAICEDO</t>
  </si>
  <si>
    <t>TERMINAL RECTO CORAZA 2"UNIFORCEIVAN DARIO CAICEDO</t>
  </si>
  <si>
    <t>VINIPEL ANCHO 30CM,VINIPEL 6AB &amp; ARIVAN DARIO CAICEDO</t>
  </si>
  <si>
    <t>CNASTILLAS DON PEPEIVAN DARIO CAICEDO</t>
  </si>
  <si>
    <t>TORNILLO FLNGE 6MM,TUERCA,WASATODO TORNILLOIVAN DARIO CAICEDO</t>
  </si>
  <si>
    <t>ENVIO REMOLINOHECTORIVAN DARIO CAICEDO</t>
  </si>
  <si>
    <t>1M PLATINA 150 AMPTECNOELECTRICOSIVAN DARIO CAICEDO</t>
  </si>
  <si>
    <t>LINA,PINZA,CORTAFRIO,SEGUETCORDILLERASIVAN DARIO CAICEDO</t>
  </si>
  <si>
    <t>PILAS RECARGABLESK.U.TINIVAN DARIO CAICEDO</t>
  </si>
  <si>
    <t>taco 1x20,1x15 , terminales emt , cinta aislante GRUPO DEFA Camilo Esteban M.</t>
  </si>
  <si>
    <t>Multiseal aluminio 15cmsDISTRIBUCIONES AB Camilo Esteban M.</t>
  </si>
  <si>
    <t>Antidelisable negro reflectivoLA FERROCamilo Esteban M.</t>
  </si>
  <si>
    <t>Llave mixta RTORNIGUERREROCamilo Esteban M.</t>
  </si>
  <si>
    <t>Broca 1/4 , Polea LA FERROCamilo Esteban M.</t>
  </si>
  <si>
    <t>Agenda 7 materias , Impresiones ARQUIMAQUETASCamilo Esteban M.</t>
  </si>
  <si>
    <t>Ecuadra , alica , Llave mixta , nivel  UNIVERSAL DE TORNILLOCamilo Esteban M.</t>
  </si>
  <si>
    <t>Piaggio de benaequipos a electricos boyacaJOSECamilo Esteban M.</t>
  </si>
  <si>
    <t>Piaggio de electricos boyaca a oficina JOSECamilo Esteban M.</t>
  </si>
  <si>
    <t>Piaggio de oficina  a novacentroJOSECamilo Esteban M.</t>
  </si>
  <si>
    <t xml:space="preserve">TRANSPORTE EDUARDO </t>
  </si>
  <si>
    <t xml:space="preserve">TRANSPORTE ESTREFA NIA LACTEOS </t>
  </si>
  <si>
    <t>TRANSPORTE BELLATRIZ ESTEFANIA</t>
  </si>
  <si>
    <t>VISITA COMERCIAL JEISON PALERMO IMAGEN</t>
  </si>
  <si>
    <t>TRANSPORTE MIGUEL BELLATRIZ</t>
  </si>
  <si>
    <t>TAXIS ENTREGA FUNDONAR</t>
  </si>
  <si>
    <t>COMPRA TORNILLOS</t>
  </si>
  <si>
    <t>TRANSPORTE REMOLINO NAOS</t>
  </si>
  <si>
    <t>RETENCION TRANSPORTE 1% JOSE HERMES</t>
  </si>
  <si>
    <t>RETENCION TRANSPORTE 6X1000 JOSE HERMES</t>
  </si>
  <si>
    <t xml:space="preserve">PAGO 40% RESTANTE ELECTRICOS BOYACA </t>
  </si>
  <si>
    <t>pago tmc movil turin, novecenstro, san rafael, santa helena, naos</t>
  </si>
  <si>
    <t>Santa Helena</t>
  </si>
  <si>
    <t>pago alai telecomunicacion</t>
  </si>
  <si>
    <t>pago la ferro san rafael</t>
  </si>
  <si>
    <t>Pequeño Material</t>
  </si>
  <si>
    <t>pago vallas andres lopes</t>
  </si>
  <si>
    <t>pago oficina tigo</t>
  </si>
  <si>
    <t>pago tigo planes</t>
  </si>
  <si>
    <t xml:space="preserve">pago sigo </t>
  </si>
  <si>
    <t>pago gd remolino camara de comercio</t>
  </si>
  <si>
    <t>pago ana maria jaramillo acompañamiento exogena</t>
  </si>
  <si>
    <t>pago alia hosni viteri entrevistas y pruebas</t>
  </si>
  <si>
    <t xml:space="preserve">pago granja solar devolucion monetizacion </t>
  </si>
  <si>
    <t>pago liquidacion rudy timaran</t>
  </si>
  <si>
    <t>pago liquidacion carlos marcillo</t>
  </si>
  <si>
    <t>pago remodelacion piso admon</t>
  </si>
  <si>
    <t>pago curso de alturas jorge</t>
  </si>
  <si>
    <t>pago hotel kelly naos</t>
  </si>
  <si>
    <t>anticipo 25% humberto rosero naos</t>
  </si>
  <si>
    <t>pago dotason delantal, guantes y arrestador de caidas</t>
  </si>
  <si>
    <t>pago epp gerardo dotacion</t>
  </si>
  <si>
    <t>pago alva arevalo honorarios profesionales derecho naos y evolti</t>
  </si>
  <si>
    <t>pago alturas jorge cali</t>
  </si>
  <si>
    <t>pago distribuviones electricas naos</t>
  </si>
  <si>
    <t xml:space="preserve">pago cedenar </t>
  </si>
  <si>
    <t>pago radio sanyer mantenimiento</t>
  </si>
  <si>
    <t>mantenimineto</t>
  </si>
  <si>
    <t xml:space="preserve">pago alfredo buvheli sillas </t>
  </si>
  <si>
    <t>pago solardepot san rafeal</t>
  </si>
  <si>
    <t>pago milenio pc sa</t>
  </si>
  <si>
    <t>pago upme bellatriz</t>
  </si>
  <si>
    <t>pago camara de comercio pasto pormonesas</t>
  </si>
  <si>
    <t xml:space="preserve">pago soluciones electricas </t>
  </si>
  <si>
    <t>pago bicolor</t>
  </si>
  <si>
    <t xml:space="preserve">pago distribucuiones electricas ac </t>
  </si>
  <si>
    <t>pago reteica inspecciones naos</t>
  </si>
  <si>
    <t>pago la ferro bellatriz</t>
  </si>
  <si>
    <t xml:space="preserve">pago quincena y prima jhnsyn arias </t>
  </si>
  <si>
    <t>pago quincena y prima jhonny ceballos</t>
  </si>
  <si>
    <t>pago quincena y prima albeiro españa</t>
  </si>
  <si>
    <t>pago quincena y prima maria chamorro</t>
  </si>
  <si>
    <t>pago quincen cristhian duomar</t>
  </si>
  <si>
    <t>pago quincen a y prima edilfonso roser</t>
  </si>
  <si>
    <t xml:space="preserve">pago distribuciones electricas </t>
  </si>
  <si>
    <t xml:space="preserve">pago impuestos declaracion en la fuente </t>
  </si>
  <si>
    <t>pago quincena y prima mario andres zambrado</t>
  </si>
  <si>
    <t>Pollos Ruano</t>
  </si>
  <si>
    <t>pago dotasol camisa arnes</t>
  </si>
  <si>
    <t>pago gd remolino sas eso</t>
  </si>
  <si>
    <t>inversion</t>
  </si>
  <si>
    <t>pago quincena y prima juan blanco</t>
  </si>
  <si>
    <t>pago quincena y prim ruben dario</t>
  </si>
  <si>
    <t>pago quincena y prima edwar amilcar</t>
  </si>
  <si>
    <t xml:space="preserve">pago quincena y prima ivan camilo meneses </t>
  </si>
  <si>
    <t>pago quincena y prima daniel arteaga</t>
  </si>
  <si>
    <t>pago quincena y prima jimmyu burgos</t>
  </si>
  <si>
    <t>pago quincena y prima jorge barrera</t>
  </si>
  <si>
    <t>pago prima y quincena victor ruiz</t>
  </si>
  <si>
    <t>pago prima y quincena kevin benitez</t>
  </si>
  <si>
    <t>pago prima y quincena jeferson vergara</t>
  </si>
  <si>
    <t>pago quincena y prima rodrigo quintero</t>
  </si>
  <si>
    <t>pago quincena y prima luz irma</t>
  </si>
  <si>
    <t>pago quincena y prima jhon gelpud</t>
  </si>
  <si>
    <t>pago quincena y prima ruben espinosa</t>
  </si>
  <si>
    <t>pago quincena y prima mario alexander cusis</t>
  </si>
  <si>
    <t xml:space="preserve">pago quincena y prima caterina </t>
  </si>
  <si>
    <t>pago quincena y prima juan camilo souza</t>
  </si>
  <si>
    <t>pago quincena y prima carlos andres ceron</t>
  </si>
  <si>
    <t>pago quincena y prima joy jamit mosquera</t>
  </si>
  <si>
    <t xml:space="preserve">pago quincena y prima edwin martinez </t>
  </si>
  <si>
    <t xml:space="preserve">pago quincena y prima yuly andrea </t>
  </si>
  <si>
    <t>pago quincena isanela gonzales</t>
  </si>
  <si>
    <t>pago quincena y prima pablo benavides</t>
  </si>
  <si>
    <t>andres felipe delgado zuta</t>
  </si>
  <si>
    <t>segundo quincena y prima</t>
  </si>
  <si>
    <t xml:space="preserve">certificado libertad y tradicion </t>
  </si>
  <si>
    <t>liquidacion oliver martinez</t>
  </si>
  <si>
    <t>mario anyer</t>
  </si>
  <si>
    <t>nomina y prima</t>
  </si>
  <si>
    <t>COMPRA INTL FACEBK MY6WT64NE</t>
  </si>
  <si>
    <t>COMPRA EN ADOBE</t>
  </si>
  <si>
    <t>COMPRA EN AVIANCA</t>
  </si>
  <si>
    <t>COMPRA EN KKO KNR AE</t>
  </si>
  <si>
    <t>COMPRA EN MERCADOPAGO AEROLINE</t>
  </si>
  <si>
    <t>ingreso 50%  cafetto</t>
  </si>
  <si>
    <t xml:space="preserve">ingreso gran avenida </t>
  </si>
  <si>
    <t>TAXISVISITA COMERCIAL EDIFICOP ROSA PALMA</t>
  </si>
  <si>
    <t>TRANSPORTE OSCAR MAURICIO</t>
  </si>
  <si>
    <t>RETENCION TRANSPORTE 1% OSCAR MAURICIO</t>
  </si>
  <si>
    <t>RETENCION TRANSPORTE 6x1000 OSCAR MAURIIO</t>
  </si>
  <si>
    <t>RETENCION TRANSPORTE 1% WILLIAM BASANTE</t>
  </si>
  <si>
    <t>TRANSPORTE LEIDY PATRICIA</t>
  </si>
  <si>
    <t>RETENCION TRANSPORTE 1% LEIDY PATRICIA</t>
  </si>
  <si>
    <t>retencion transporte 6X1000 LEIDY PATRICIA</t>
  </si>
  <si>
    <t xml:space="preserve">TAXIS ANDRES </t>
  </si>
  <si>
    <t xml:space="preserve">ENVIO </t>
  </si>
  <si>
    <t>PAGOS CAMARA DE COMERCIO</t>
  </si>
  <si>
    <t xml:space="preserve">COMPRA ASEO Y cafeteria </t>
  </si>
  <si>
    <t xml:space="preserve">TRANSPORTE VISITA COMERCIAL JEISON </t>
  </si>
  <si>
    <t>TAXIS STEFANIA OFICINA</t>
  </si>
  <si>
    <t>TAXIS STEFANIA MISTER POLLO</t>
  </si>
  <si>
    <t>TAXIS STEFANIA BELLATRIZ</t>
  </si>
  <si>
    <t>TAXIS STEFANIA NOVACENTRO</t>
  </si>
  <si>
    <t xml:space="preserve">TAXIS OFIFINA VIDRIOS </t>
  </si>
  <si>
    <t xml:space="preserve">MOTOTAXI JUAN CAMILO </t>
  </si>
  <si>
    <t>CONECTOR ANTIFRAUDEDEFACamilo Esteban M.</t>
  </si>
  <si>
    <t>CAMILO</t>
  </si>
  <si>
    <t>Envio de paquetea a remolino DANIELSI</t>
  </si>
  <si>
    <t>TERMINAL AMA 10-12KU.TIN1000000</t>
  </si>
  <si>
    <t>LLAVE ALLEN 12MMTODO TORNILLO Nombre del Proyecto</t>
  </si>
  <si>
    <t>TERMOENCOGIBLEKU.TIN</t>
  </si>
  <si>
    <t>Juego de LLaves exagonalesMANGUERAS CORREAS</t>
  </si>
  <si>
    <t>Guaduas CENTRAL DE MADERASLACTEOS ANDINO</t>
  </si>
  <si>
    <t>Tablas MADERAS DEL SURNAOS</t>
  </si>
  <si>
    <t>Terminales emt de 3/4GRUPO DEFA NAOS</t>
  </si>
  <si>
    <t>Adactadores de copas para taladro LA FERIA DEL TORNILLO LACTEOS</t>
  </si>
  <si>
    <t>Jabon en barra , balde plastico , Paño microfibra, guatesKLINBELLATRIZ</t>
  </si>
  <si>
    <t>Cinta asfalticaJ ALBERTO LACTEOS ANDINO</t>
  </si>
  <si>
    <t xml:space="preserve">Vinipel , broca metalica 7/32DISTRIBUCIONES ABSAN RAFAEL </t>
  </si>
  <si>
    <t>Ecobas , recogedor DISTRIBUCIONES ABNOVACENTRO</t>
  </si>
  <si>
    <t>E nvio de paquetes a remolinoALBERTH CHAMORRO NAOS</t>
  </si>
  <si>
    <t>pago poliza san rafael</t>
  </si>
  <si>
    <t xml:space="preserve">pago surtiequipos deposito </t>
  </si>
  <si>
    <t>pago casa andina</t>
  </si>
  <si>
    <t>pago dotasol</t>
  </si>
  <si>
    <t>pago busos Paola Cordoba</t>
  </si>
  <si>
    <t>pago buzoz leidy</t>
  </si>
  <si>
    <t>pago ascenso 2</t>
  </si>
  <si>
    <t>pago retie</t>
  </si>
  <si>
    <t xml:space="preserve">pago hotel remolino naveza muñoz </t>
  </si>
  <si>
    <t>paho humberto javier rosero</t>
  </si>
  <si>
    <t xml:space="preserve">pago anticipo amara net zero </t>
  </si>
  <si>
    <t>pago arreglo patineta manuela pantoja</t>
  </si>
  <si>
    <t xml:space="preserve">pago computador </t>
  </si>
  <si>
    <t>pago 50% electricos boyaca jairo lopez</t>
  </si>
  <si>
    <t>pago anticipo jimmy burgos topogrago</t>
  </si>
  <si>
    <t xml:space="preserve">pago 20 metros de vinilo </t>
  </si>
  <si>
    <t xml:space="preserve">pago arreglo pagina wilson </t>
  </si>
  <si>
    <t>pago javier benavides arreglo oficina</t>
  </si>
  <si>
    <t>pago planillas pasto admon</t>
  </si>
  <si>
    <t>pago planilla operatico</t>
  </si>
  <si>
    <t xml:space="preserve">pago arreglo oficina julian ibarra </t>
  </si>
  <si>
    <t>pago santiago cristancho video</t>
  </si>
  <si>
    <t>pago reintegro Daniel Medina camara de comercio</t>
  </si>
  <si>
    <t>pago reintegro Juan Manuel España tiquete Veronica cali</t>
  </si>
  <si>
    <t>pago insegal coordinacion</t>
  </si>
  <si>
    <t>pago anticipo 20% anderos verdugo</t>
  </si>
  <si>
    <t xml:space="preserve">pago total derian </t>
  </si>
  <si>
    <t>pago milto rivera sticker</t>
  </si>
  <si>
    <t xml:space="preserve">pago bicolor </t>
  </si>
  <si>
    <t xml:space="preserve">INGRSO PLATINMUM </t>
  </si>
  <si>
    <t>INGRESO LA CALI</t>
  </si>
  <si>
    <t xml:space="preserve">INGRESO CONGENAR </t>
  </si>
  <si>
    <t xml:space="preserve">visita tecnica rosa palma </t>
  </si>
  <si>
    <t>ingreso campos</t>
  </si>
  <si>
    <t>COMPRA EN RIO VERDE AL ALMA</t>
  </si>
  <si>
    <t>ingreso DE PROV SOCIEDAD V 15 0</t>
  </si>
  <si>
    <t>COMPRA EN QBANO AERO</t>
  </si>
  <si>
    <t>COMPRA EN INVERSIONE</t>
  </si>
  <si>
    <t>COMPRA EN BOLD*Caro</t>
  </si>
  <si>
    <t>COMPRA EN TIERRADENT</t>
  </si>
  <si>
    <t>COMPRA EN TOSTAO CAF</t>
  </si>
  <si>
    <t>COMPRA INTL MSFT E0100SKY9T</t>
  </si>
  <si>
    <t>COMPRA INTL MSFT E0100SKY8A</t>
  </si>
  <si>
    <t>COMPRA EN EDS PLAZA</t>
  </si>
  <si>
    <t>COMPRA EN CARULLA EX</t>
  </si>
  <si>
    <t>COMPRA EN EL BOCHINC</t>
  </si>
  <si>
    <t>COMPRA EN BLACK COFF</t>
  </si>
  <si>
    <t>COMPRA EN HANGAR PAR</t>
  </si>
  <si>
    <t>COMPRA INTL Hubspot Inc.</t>
  </si>
  <si>
    <t>Ventas</t>
  </si>
  <si>
    <t>AGUA CRISTALMERKAHORROCAMILO ESREBAN M</t>
  </si>
  <si>
    <t>TERMINAL PIN GRIS 30 UNDAM-FMCAMILO ESREBAN M</t>
  </si>
  <si>
    <t>M15 PERFIL MATA FILO 1CMOLIVER EMPAQUESCAMILO ESREBAN M</t>
  </si>
  <si>
    <t>TUBO ESPIRAL 5-56  1/2X10MTSRADIO SANYOCAMILO ESREBAN M</t>
  </si>
  <si>
    <t>ESPATULA VIDRIOPINTUPASTOCAMILO ESREBAN M</t>
  </si>
  <si>
    <t>DISTURI M ,PUNTA LANZAPAPELERIA BUEN DIA CAMILO ESREBAN M</t>
  </si>
  <si>
    <t>PINTURA AMARILLA TRAFDISTRIBUSIONES AB &amp; ARCAMILO ESREBAN M</t>
  </si>
  <si>
    <t>PISTOLA MANGUERADISTRIBUSIONES AB &amp; ARCAMILO ESREBAN M</t>
  </si>
  <si>
    <t>SACAPUNTAS METALICO ECODISTRIBUSIONES AB &amp; ARCAMILO ESREBAN M</t>
  </si>
  <si>
    <t>ENVIO PASTO REMOLINO LIBARDOCAMILO ESREBAN M</t>
  </si>
  <si>
    <t>PLANOS MEDIOS ARQUIMARQUETASCAMILO ESREBAN M</t>
  </si>
  <si>
    <t>PLANOS ,PORTAPLANOSARQUIMARQUETASCAMILO ESREBAN M</t>
  </si>
  <si>
    <t>ENVIO PASTO - REMOLINO PLANOSALBERTH CHAMORRO CAMILO ESREBAN M</t>
  </si>
  <si>
    <t>taxi arquimarquetas -oficina CAMILO CRUZCAMILO ESREBAN M</t>
  </si>
  <si>
    <t>FLETE ENVIO PASTO -CALI TRANSPRENSA TRANSPRENSA DEL VALLE CAMILO ESREBAN M</t>
  </si>
  <si>
    <t>Terminal 1/0ELECTRICAS ACCAMILO ESREBAN M</t>
  </si>
  <si>
    <t>Shampoo , Pistola industrialKLINCAMILO ESREBAN M</t>
  </si>
  <si>
    <t>ImpresionesARQUIMARQUETASCAMILO ESREBAN M</t>
  </si>
  <si>
    <t>Brocas , TODO TORNILLOCAMILO ESREBAN M</t>
  </si>
  <si>
    <t>Envio y se cancelo un puesto para el señor de retie en remolinoALBERTH CHAMORRO CAMILO ESREBAN M</t>
  </si>
  <si>
    <t>Curva pvc 3", clavijas , toma corriente, bornas 1/0ELECTRICAS AC IVAN DARIO CAICEDO</t>
  </si>
  <si>
    <t>perillero RADIO SANYOIVAN DARIO CAICEDO</t>
  </si>
  <si>
    <t>L pistila de manguera , empaque plastico EDISTRIBUCIONES AB IVAN DARIO CAICEDO</t>
  </si>
  <si>
    <t>Jabon en barra , palos de madera KLINIVAN DARIO CAICEDO</t>
  </si>
  <si>
    <t>Monpas completasKLINIVAN DARIO CAICEDO</t>
  </si>
  <si>
    <t>Pines K.U.TINIVAN DARIO CAICEDO</t>
  </si>
  <si>
    <t>Tuercas y arandelas , brocasTODO TORNILLOIVAN DARIO CAICEDO</t>
  </si>
  <si>
    <t>Envio de pasto a remolinoDANIEL 042IVAN DARIO CAICEDO</t>
  </si>
  <si>
    <t>Tablas MADERAS DEL SURIVAN DARIO CAICEDO</t>
  </si>
  <si>
    <t>valdesFERRETERIA LUPITAIVAN DARIO CAICEDO</t>
  </si>
  <si>
    <t>Cintas de empaque , hoja de cegueta EL PROGRESO IVAN DARIO CAICEDO</t>
  </si>
  <si>
    <t xml:space="preserve">taxis sebastian transportes </t>
  </si>
  <si>
    <t>Ingreso NAOS 2</t>
  </si>
  <si>
    <t>Ingreso NAOS 3</t>
  </si>
  <si>
    <t>compra adobe</t>
  </si>
  <si>
    <t>visita comercial edf rosa palma</t>
  </si>
  <si>
    <t>visita comercial pucalpa, terraza pinasac</t>
  </si>
  <si>
    <t>Pago solaire</t>
  </si>
  <si>
    <t>Casa Miguel Roldán</t>
  </si>
  <si>
    <t>Pago estructura</t>
  </si>
  <si>
    <t xml:space="preserve">Pago estructura solaire </t>
  </si>
  <si>
    <t>Ingreso deuda NAOS</t>
  </si>
  <si>
    <t xml:space="preserve">Pago Meico </t>
  </si>
  <si>
    <t>Envío paquete RemolinoLIBARDOCamilo Esteban M.</t>
  </si>
  <si>
    <t>Cinta asfalticaDISTRIBUCIONES ABCamilo Esteban M.</t>
  </si>
  <si>
    <t>Dispropan</t>
  </si>
  <si>
    <t>Disolventes , cinta enmascararPINTUPASTOCamilo Esteban M.</t>
  </si>
  <si>
    <t>Jabon rey , pAño microfibra , jabon liquidoKLINCamilo Esteban M.</t>
  </si>
  <si>
    <t>LLAVES ALEN MANGUERAS Y CORREASCamilo Esteban M.</t>
  </si>
  <si>
    <t>Terminal ojo amarillo K.U.TINCamilo Esteban M.</t>
  </si>
  <si>
    <t>Disco de corte , Chazo bala , llave madril, Tornillos autoperforanteTODO TORNILLOCamilo Esteban M.</t>
  </si>
  <si>
    <t>Copias , caja sharpie , caja lapizLOS ANDESCamilo Esteban M.</t>
  </si>
  <si>
    <t>Pistola de calafateoMANGUERAS Y CORREASCamilo Esteban M.</t>
  </si>
  <si>
    <t>Agua cristal MERKAHORROCamilo Esteban M.</t>
  </si>
  <si>
    <t>Lamina triplex LA FERIA DEL TRIPLEXCamilo Esteban M.</t>
  </si>
  <si>
    <t>Impresión planosARQUIMAQUETASCamilo Esteban M.</t>
  </si>
  <si>
    <t>Tabla apoyo, bolsillos catalogoPAPELERIA BUENDIACamilo Esteban M.</t>
  </si>
  <si>
    <t>Señales pvcBICOLORCamilo Esteban M.</t>
  </si>
  <si>
    <t>Brochas 2" cinta socoPintupastoCamilo Esteban M.</t>
  </si>
  <si>
    <t>Terminales tipo pin del amarillo K.U.TINCamilo Esteban M.</t>
  </si>
  <si>
    <t>Envio de plantillas pasto remolino rodrigo guerreroCamilo Esteban M.</t>
  </si>
  <si>
    <t>Conectores bimetalicos GRUPO DEFA Camilo Esteban M.</t>
  </si>
  <si>
    <t>Sika boom , remachesDISTRIBUCIONES ABCamilo Esteban M.</t>
  </si>
  <si>
    <t>Sika boom , cable hdmiDISTRIBUCIONES ABCamilo Esteban M.</t>
  </si>
  <si>
    <t>Tuercas y arandelasTODO TORNILLOCamilo Esteban M.</t>
  </si>
  <si>
    <t>Borna 1/0ELECTRICOS ACCamilo Esteban M.</t>
  </si>
  <si>
    <t>30 TERMINALES #8TECNO ELECTRICOS Camilo Esteban M.</t>
  </si>
  <si>
    <t>Terminales tipo pin azulK.U.TINCamilo Esteban M.</t>
  </si>
  <si>
    <t>Convertidor USB a RJ-45DISTRIBUCIONES ABCamilo Esteban M.</t>
  </si>
  <si>
    <t>sellos cristhian</t>
  </si>
  <si>
    <t>visita comercial drogueria oncologici</t>
  </si>
  <si>
    <t>devolucion legalizacion jason</t>
  </si>
  <si>
    <t>transporte caterin dispropan</t>
  </si>
  <si>
    <t>transporte caterin batericars</t>
  </si>
  <si>
    <t>legalizacion jean carlo</t>
  </si>
  <si>
    <t>DISTRIBUCIONES ELECTRICAS</t>
  </si>
  <si>
    <t>cristian retiro de sellos</t>
  </si>
  <si>
    <t>tranporte leidy garcia</t>
  </si>
  <si>
    <t>transporte andamio</t>
  </si>
  <si>
    <t>retencion 1% oscar mauricio</t>
  </si>
  <si>
    <t>retencio 6x1000 oscar mauricio</t>
  </si>
  <si>
    <t xml:space="preserve">transporte william basante </t>
  </si>
  <si>
    <t>retencion 1% william basante</t>
  </si>
  <si>
    <t>retencio 6x1000 william basante</t>
  </si>
  <si>
    <t xml:space="preserve">pago aciem curso retie </t>
  </si>
  <si>
    <t>pago planilla</t>
  </si>
  <si>
    <t xml:space="preserve">pago ab y ar sas </t>
  </si>
  <si>
    <t xml:space="preserve">pago jose portilla </t>
  </si>
  <si>
    <t>pago torniguerrero manteniemiento</t>
  </si>
  <si>
    <t>pagp gt cosulting</t>
  </si>
  <si>
    <t>apago retie it certifica</t>
  </si>
  <si>
    <t>pago andres lopez vallas</t>
  </si>
  <si>
    <t>pago alimentacion naos marcos ojeda</t>
  </si>
  <si>
    <t>pago tarjetas milto rivera</t>
  </si>
  <si>
    <t>pago intereses natalia segura junio</t>
  </si>
  <si>
    <t>pago viviana patiño informe, consulta y basico</t>
  </si>
  <si>
    <t>pago wilson jimenes pagina arreglo</t>
  </si>
  <si>
    <t>pago planilla 2</t>
  </si>
  <si>
    <t>pago revisora fiscal mayo</t>
  </si>
  <si>
    <t>pago emsi</t>
  </si>
  <si>
    <t>pago benaequipos</t>
  </si>
  <si>
    <t>pago ferrecol taladro</t>
  </si>
  <si>
    <t>pago nomina maria fernanda chamorro</t>
  </si>
  <si>
    <t xml:space="preserve">pagoo nomina jhonsin arias </t>
  </si>
  <si>
    <t>pago el constructir sas</t>
  </si>
  <si>
    <t>pago monica mora</t>
  </si>
  <si>
    <t xml:space="preserve">pago camara de comercio solar polaris </t>
  </si>
  <si>
    <t>pago retie it</t>
  </si>
  <si>
    <t>pago certidicado libertar y tradicion</t>
  </si>
  <si>
    <t>pago hotel jorge</t>
  </si>
  <si>
    <t>pago nomina jeison ipiales</t>
  </si>
  <si>
    <t>pago nomina jean carlo</t>
  </si>
  <si>
    <t>pago nomina juan fernando</t>
  </si>
  <si>
    <t>pago nomina juan manuel españa</t>
  </si>
  <si>
    <t>pago noimina kelly alvarez</t>
  </si>
  <si>
    <t>pago nomina joy jamit</t>
  </si>
  <si>
    <t>pago nomina ewin martinez</t>
  </si>
  <si>
    <t>pago nomina kevin alexis benitez</t>
  </si>
  <si>
    <t>pago nomina victor ruiz</t>
  </si>
  <si>
    <t>pago nomina jorge barrera</t>
  </si>
  <si>
    <t xml:space="preserve">pago nomina andres delgado </t>
  </si>
  <si>
    <t>pago nomina daniel medina</t>
  </si>
  <si>
    <t>pagon nomina edwar amilkar</t>
  </si>
  <si>
    <t xml:space="preserve">pago nomina ruben dario silva </t>
  </si>
  <si>
    <t>pago nomina andrea jaramillo</t>
  </si>
  <si>
    <t>pago apoyo economico isabella gonzales</t>
  </si>
  <si>
    <t>pago nomina albeiro españa</t>
  </si>
  <si>
    <t>pago nomina juan camilo souza</t>
  </si>
  <si>
    <t>pago nomina daniel camilo arteaga</t>
  </si>
  <si>
    <t>pago nomina ivan camilo meneses</t>
  </si>
  <si>
    <t>pago nomina jhonny ceballos</t>
  </si>
  <si>
    <t xml:space="preserve">pago nomina juan esteban blanco </t>
  </si>
  <si>
    <t>pago nomina sandra carolina</t>
  </si>
  <si>
    <t xml:space="preserve">pago nomina ivan dario caicedo </t>
  </si>
  <si>
    <t xml:space="preserve">pago nomina luz irma </t>
  </si>
  <si>
    <t>pago nomina rodrigo quintero</t>
  </si>
  <si>
    <t>pago nomina jorge andres quintero</t>
  </si>
  <si>
    <t>tianshi</t>
  </si>
  <si>
    <t>pago nomina jimmy alexander</t>
  </si>
  <si>
    <t>pago nomina jeferson vergara</t>
  </si>
  <si>
    <t xml:space="preserve">pago nomina edilfonso </t>
  </si>
  <si>
    <t>pago nomina segundo gelpud</t>
  </si>
  <si>
    <t>pago nomina manuel cordoba</t>
  </si>
  <si>
    <t xml:space="preserve">pago nomina jhoana marcela </t>
  </si>
  <si>
    <t>pago nomina jose alveiro cusis</t>
  </si>
  <si>
    <t xml:space="preserve">pago nomina cristhian duomar </t>
  </si>
  <si>
    <t xml:space="preserve">pago nomina caterin elizabeth </t>
  </si>
  <si>
    <t>pago nomina loren alejandra</t>
  </si>
  <si>
    <t>pago nomina miguel enriquez</t>
  </si>
  <si>
    <t xml:space="preserve">pago nomina danna </t>
  </si>
  <si>
    <t xml:space="preserve">pago oscar andres </t>
  </si>
  <si>
    <t>pago nomina jason steven</t>
  </si>
  <si>
    <t>pago nomina camilo melo</t>
  </si>
  <si>
    <t>pago nomina pablo benavides</t>
  </si>
  <si>
    <t>pago nomina jhon gelpud</t>
  </si>
  <si>
    <t xml:space="preserve">pago Hermann souza </t>
  </si>
  <si>
    <t>pago veronica santacruz</t>
  </si>
  <si>
    <t>pago nomina ruben espinoza</t>
  </si>
  <si>
    <t>pago nomina cusis</t>
  </si>
  <si>
    <t>pago nomina javier lucena</t>
  </si>
  <si>
    <t>pago nomina carlos ceron</t>
  </si>
  <si>
    <t>Fit For all</t>
  </si>
  <si>
    <t xml:space="preserve">Ingreso dispropan </t>
  </si>
  <si>
    <t xml:space="preserve">ingreso arboleda </t>
  </si>
  <si>
    <t>ingreso tigre</t>
  </si>
  <si>
    <t>ingreso nueva eps</t>
  </si>
  <si>
    <t xml:space="preserve">ingreso visita tecnica super taxis </t>
  </si>
  <si>
    <t>ingreso devolucion nomina</t>
  </si>
  <si>
    <t>pago nomina  Eduardo</t>
  </si>
  <si>
    <t>pago tiquetes Daniel Latam</t>
  </si>
  <si>
    <t>PAGO PROVVEEDORES</t>
  </si>
  <si>
    <t>PAGO INTERNET COORPOTATIVO</t>
  </si>
  <si>
    <t>COMPRA INTL FACEBK XBREF68NE</t>
  </si>
  <si>
    <t>COMPRA INTL FACEBK 9DMHZ5QNE</t>
  </si>
  <si>
    <t>COMPRA EN SERVICIOS</t>
  </si>
  <si>
    <t>COMPRA INTL FACEBK ZKVQE7CNE</t>
  </si>
  <si>
    <t xml:space="preserve">Oficina - Batericars TransporteStefanya Lasso </t>
  </si>
  <si>
    <t xml:space="preserve">Batericars - OficinaTransporteStefanya Lasso </t>
  </si>
  <si>
    <t xml:space="preserve">Batericars - Oficina (Transporte Alveiro)TransporteStefanya Lasso </t>
  </si>
  <si>
    <t xml:space="preserve">Oficina - BatericarsTransporteStefanya Lasso </t>
  </si>
  <si>
    <t xml:space="preserve">Oficina - Palermo Imagen (Ventas)TransporteStefanya Lasso </t>
  </si>
  <si>
    <t xml:space="preserve">Palermo Imagen - Novacentro TransporteStefanya Lasso </t>
  </si>
  <si>
    <t>INGRESO JEISDON</t>
  </si>
  <si>
    <t>ingreso fundacion oftalmica</t>
  </si>
  <si>
    <t>retencion 6x1000 oscar mauricio</t>
  </si>
  <si>
    <t>transporte henrry castaño</t>
  </si>
  <si>
    <t>retencio 1% henrry castaño</t>
  </si>
  <si>
    <t>retencion 6x1000 henrry castaño</t>
  </si>
  <si>
    <t>transporte elmer</t>
  </si>
  <si>
    <t>transporte javier</t>
  </si>
  <si>
    <t>retencion 1% elmer</t>
  </si>
  <si>
    <t>retencion 6x1000 elmer</t>
  </si>
  <si>
    <t>Placas pvcDISEÑO Y PUBLICIDADCamilo Esteban M.</t>
  </si>
  <si>
    <t>Tornillos y arandelas TODO TORNILLOCamilo Esteban M.</t>
  </si>
  <si>
    <t>Chazo bala , discos de corte , arandelas , tuercas TODO TORNILLOCamilo Esteban M.</t>
  </si>
  <si>
    <t>Tornillos, arandelas , tuercas mariposa TODO TORNILLOCamilo Esteban M.</t>
  </si>
  <si>
    <t>Porta fusiblesK.U.TINCamilo Esteban M.</t>
  </si>
  <si>
    <t>Pilas triple A , FUSIBLESRADIO SANYOCamilo Esteban M.</t>
  </si>
  <si>
    <t>Curvas imc de 1", union imc 1", conectores rectos GRUPO DEFACamilo Esteban M.</t>
  </si>
  <si>
    <t>Planos 1/4SERVIPLOTERCamilo Esteban M.</t>
  </si>
  <si>
    <t>Impresiones SERVIPLOTTERCamilo Esteban M.</t>
  </si>
  <si>
    <t>Envio de tapas para bandeja y extintores de pasto a remolinoBERNARDO Camilo Esteban M.</t>
  </si>
  <si>
    <t>envio</t>
  </si>
  <si>
    <t>Carpeta 1/4PAPELERIA BUENDIACamilo Esteban M.</t>
  </si>
  <si>
    <t>Señalizaciones y acrílicosDISEÑO Y PUBLICIDADCamilo Esteban M.</t>
  </si>
  <si>
    <t>Cinta doble fazPAPELERIA BUENDIACamilo Esteban M.</t>
  </si>
  <si>
    <t>Pistola calafateoFERRECOLCamilo Esteban M.</t>
  </si>
  <si>
    <t>Conduletas LLDEFACamilo Esteban M.</t>
  </si>
  <si>
    <t>Resistencia eléctricaDISTRIBUCIONES ABCamilo Esteban M.</t>
  </si>
  <si>
    <t>Terminales de ojo amarillosKUTINCamilo Esteban M.</t>
  </si>
  <si>
    <t>Aerosol blancoPINTUPASTOCamilo Esteban M.</t>
  </si>
  <si>
    <t>PegaditFERRETERIA SAN PEDROCamilo Esteban M.</t>
  </si>
  <si>
    <t>Curvas, uniones, terminales, prensaestopas, grapasDEFACamilo Esteban M.</t>
  </si>
  <si>
    <t>Caja de paso intemperieCASA DIELECTRICACamilo Esteban M.</t>
  </si>
  <si>
    <t>Aceite 3 en 1, ganchos para cosedoraDISTRIBUCIONES ABCAMILO MELO</t>
  </si>
  <si>
    <t>unión y terminal EMT 1/2"DEFACAMILO MELO</t>
  </si>
  <si>
    <t>Platina 150AELECTRICOS DEL NORTECAMILO MELO</t>
  </si>
  <si>
    <t>Placas PVCDISEÑO Y PUBLICIDADCAMILO MELO</t>
  </si>
  <si>
    <t>Placas PVC 1/2DISEÑO Y PUBLICIDADCAMILO MELO</t>
  </si>
  <si>
    <t>estuco panel, placa yeso</t>
  </si>
  <si>
    <t xml:space="preserve">mini angulo </t>
  </si>
  <si>
    <t>torinilllo bolsas plasticas</t>
  </si>
  <si>
    <t>ingreso visita tecnica jeison</t>
  </si>
  <si>
    <t>banco bogota</t>
  </si>
  <si>
    <t>pago ascenso</t>
  </si>
  <si>
    <t>pago anticipo 60% electricos boyaca tialnshi cali</t>
  </si>
  <si>
    <t>pago anticipo 50% erica suelo antares</t>
  </si>
  <si>
    <t>pago anticipo 50% david diaz suelos</t>
  </si>
  <si>
    <t xml:space="preserve">pago agrico </t>
  </si>
  <si>
    <t xml:space="preserve">pago distribuciones electricas ac </t>
  </si>
  <si>
    <t>pago dayra obando tienda grafica</t>
  </si>
  <si>
    <t>pago equirent julio</t>
  </si>
  <si>
    <t xml:space="preserve">pago epp fotacion gerardo </t>
  </si>
  <si>
    <t xml:space="preserve">pago laminas y aluminos de nariño </t>
  </si>
  <si>
    <t xml:space="preserve">pago mora tovar </t>
  </si>
  <si>
    <t>pago milton santiago</t>
  </si>
  <si>
    <t>pago laserle baños</t>
  </si>
  <si>
    <t xml:space="preserve">pago nomina luz ortega </t>
  </si>
  <si>
    <t>pago electricos boyaca</t>
  </si>
  <si>
    <t>pago tecnoelectricos</t>
  </si>
  <si>
    <t>pago alimentacion marcos ojeda</t>
  </si>
  <si>
    <t>pago valentina figueroa</t>
  </si>
  <si>
    <t xml:space="preserve">compra en clic air </t>
  </si>
  <si>
    <t>compra intl</t>
  </si>
  <si>
    <t>transporte oficina - Alimentos NariñoJavier Sebastian Lucena</t>
  </si>
  <si>
    <t>transporte Alimentos Nariño - Clinica BellatrizJavier Sebastian Lucena</t>
  </si>
  <si>
    <t xml:space="preserve">sebastian </t>
  </si>
  <si>
    <t>transporte Clinica Bellatriz - Oficina EvoltiJavier Sebastian Lucena</t>
  </si>
  <si>
    <t>transporte Oficina Evolti - Clinica BellatrizJavier Sebastian Lucena</t>
  </si>
  <si>
    <t>transporte Edificio Hito - Oficina EvoltiJavier Sebastian Lucena</t>
  </si>
  <si>
    <t>transporte Clinica Bellatriz - Edificio VivariumJavier Sebastian Lucena</t>
  </si>
  <si>
    <t>transporte Edificio Vivarium - Clinica PabonJavier Sebastian Lucena</t>
  </si>
  <si>
    <t>transporte Oficina Evolti - Balcones de PubenzaJavier Sebastian Lucena</t>
  </si>
  <si>
    <t>transporte Oficina Evolti - CedenarJavier Sebastian Lucena</t>
  </si>
  <si>
    <t>transporte Cedenar - Oficina EvoltiJavier Sebastian Lucena</t>
  </si>
  <si>
    <t xml:space="preserve">transporte de regreso remolino </t>
  </si>
  <si>
    <t>jeancarlo</t>
  </si>
  <si>
    <t>gasolina ida y regreso pasto</t>
  </si>
  <si>
    <t>gasolina</t>
  </si>
  <si>
    <t>peaje pasto-taminango</t>
  </si>
  <si>
    <t>peaje</t>
  </si>
  <si>
    <t>peaje taminango-pasto</t>
  </si>
  <si>
    <t>desayuno taminango</t>
  </si>
  <si>
    <t>devolucion legalizacion jean</t>
  </si>
  <si>
    <t>transporte oficina arquimaqueta la cali oficina</t>
  </si>
  <si>
    <t>pliegos medios render</t>
  </si>
  <si>
    <t>impresión pliegos anillado</t>
  </si>
  <si>
    <t>carpetas planos novacentro</t>
  </si>
  <si>
    <t xml:space="preserve"> stefania carptas planos novacentro</t>
  </si>
  <si>
    <t>Pasajes transporte pasto-ipiales x4</t>
  </si>
  <si>
    <t>jason</t>
  </si>
  <si>
    <t xml:space="preserve">taxi  terminal de transporte ipiales a hotel camino real </t>
  </si>
  <si>
    <t>Estuco acrilico</t>
  </si>
  <si>
    <t>borna terminal CU #4</t>
  </si>
  <si>
    <t>Conector recto 1 1/2" coraza</t>
  </si>
  <si>
    <t>4 almuerzos</t>
  </si>
  <si>
    <t>4 cenas</t>
  </si>
  <si>
    <t>2 taxi recepcion de material hotel terminal terminal hotel</t>
  </si>
  <si>
    <t>Pasajes transporte ipiales pasto x1 carolina dia de familia</t>
  </si>
  <si>
    <t>taxi hotel camino real a terminal</t>
  </si>
  <si>
    <t>piajo de herramienta ferreandina a pupiales</t>
  </si>
  <si>
    <t>servicio de bodega material puesta a tierra local 17</t>
  </si>
  <si>
    <t>Almuerzo y cena carlos dia de incapacidad</t>
  </si>
  <si>
    <t xml:space="preserve">3 desayunos se trabajo en ferreandina </t>
  </si>
  <si>
    <t>vinilo superlavable amarillo</t>
  </si>
  <si>
    <t>Pasajes transporte ipiales-pasto x2 pablo y carlos</t>
  </si>
  <si>
    <t>1 almuerzo jason</t>
  </si>
  <si>
    <t xml:space="preserve">tiquete alveiro </t>
  </si>
  <si>
    <t>taxi terminal hotel alveiro</t>
  </si>
  <si>
    <t>tiquete steven vallejos</t>
  </si>
  <si>
    <t>taxi terminal hotel steven vallejos</t>
  </si>
  <si>
    <t xml:space="preserve">taxis material para apagon ferreandina </t>
  </si>
  <si>
    <t>servicio de bodega material apagon ferreandina local 1</t>
  </si>
  <si>
    <t>2 cenas jason y steven vallejos</t>
  </si>
  <si>
    <t>1 cena alveiro</t>
  </si>
  <si>
    <t>3 desayunos apagon</t>
  </si>
  <si>
    <t>pasajes transporte pasto ipiales pablo y carlos</t>
  </si>
  <si>
    <t>taxi terminal a hotel camino real</t>
  </si>
  <si>
    <t>taxi ferreandina hotel camino real arreglo falla 6:30pm</t>
  </si>
  <si>
    <t>4 cenas carito pablo jason y carlos</t>
  </si>
  <si>
    <t>piajo de herramienta pupiales a ferreandina miguel</t>
  </si>
  <si>
    <t>2 almuerzos pablo y carlos 2 cuartos de pollo compro Miguel</t>
  </si>
  <si>
    <t>4 cenas 4 pechugas mas gaseosa miguel compro</t>
  </si>
  <si>
    <t>4 desayunos</t>
  </si>
  <si>
    <t>vigueta, yeso, brocha, tapa de inspeccion , pintura amarilla</t>
  </si>
  <si>
    <t>Pasajes transporte ipiales-pasto x2 carolina y carlos</t>
  </si>
  <si>
    <t xml:space="preserve">1 cena jason </t>
  </si>
  <si>
    <t>Pasajes transporte pasto-ipiales x1</t>
  </si>
  <si>
    <t>Trabajos civiles</t>
  </si>
  <si>
    <t>Transporte Oficina-Turin</t>
  </si>
  <si>
    <t>Transporte A Pubenza (apagon)</t>
  </si>
  <si>
    <t>Trasnporte a casa (apagon)</t>
  </si>
  <si>
    <t>Trasnporte a Caffeto</t>
  </si>
  <si>
    <t>Transporte Clinica Pabon</t>
  </si>
  <si>
    <t>Transporte Hito-Pabon</t>
  </si>
  <si>
    <t>Transporte Oficina-Vivarium</t>
  </si>
  <si>
    <t>Transporte compra electrica</t>
  </si>
  <si>
    <t>Trasnporte Vivarium (Apagon)</t>
  </si>
  <si>
    <t>Trasnporte casa (Manuel y Miguel)</t>
  </si>
  <si>
    <t>Transpotre Turin-Oficina</t>
  </si>
  <si>
    <t>Transporte pasto-ipiales</t>
  </si>
  <si>
    <t>taxi terminal-ferreandina</t>
  </si>
  <si>
    <t>piaggio ferreandina-espino sur</t>
  </si>
  <si>
    <t>copias manual evolti</t>
  </si>
  <si>
    <t>roscas tubo</t>
  </si>
  <si>
    <t>material electrico</t>
  </si>
  <si>
    <t>terminales cable</t>
  </si>
  <si>
    <t>material civil</t>
  </si>
  <si>
    <t>Piaggio herramieta</t>
  </si>
  <si>
    <t xml:space="preserve">pintura </t>
  </si>
  <si>
    <t>piaggio herramienta</t>
  </si>
  <si>
    <t>transporte ipiales pasto</t>
  </si>
  <si>
    <t>ingreso upme</t>
  </si>
  <si>
    <t>Transporte Chachagui- Cimarrones</t>
  </si>
  <si>
    <t>Almuerzo Visita Comercial</t>
  </si>
  <si>
    <t>Trasnporte Oficina</t>
  </si>
  <si>
    <t>Transporte Hito</t>
  </si>
  <si>
    <t>Transporte Pubenza</t>
  </si>
  <si>
    <t>Transporte Oficina</t>
  </si>
  <si>
    <t>Pasajes San Juan-Ipiales</t>
  </si>
  <si>
    <t>Terminal-casa</t>
  </si>
  <si>
    <t>Visita comercial Decorceramica</t>
  </si>
  <si>
    <t>Visita comercial Edwark</t>
  </si>
  <si>
    <t>Material Ferreandina</t>
  </si>
  <si>
    <t>Transporte Pupiales</t>
  </si>
  <si>
    <t>Pasaje Pasto-Ipiales</t>
  </si>
  <si>
    <t>Pasaje- taxis Alveiro</t>
  </si>
  <si>
    <t>transporte terminal</t>
  </si>
  <si>
    <t>transporte Habitare</t>
  </si>
  <si>
    <t>Transporte Emporium</t>
  </si>
  <si>
    <t>Transporte ingenieria Habitare</t>
  </si>
  <si>
    <t>Transporte FerreAndina</t>
  </si>
  <si>
    <t>Transporte ipiales-Pasto (peaje)</t>
  </si>
  <si>
    <t>Peaje Pasto-Ipiales</t>
  </si>
  <si>
    <t>Trasnporte Platinum</t>
  </si>
  <si>
    <t>Transporte Casa</t>
  </si>
  <si>
    <t>Trasnporte Ferreandina</t>
  </si>
  <si>
    <t>Transporte Hnos Mora</t>
  </si>
  <si>
    <t>Material Electrico</t>
  </si>
  <si>
    <t>Trasnporte casa</t>
  </si>
  <si>
    <t>Estuco</t>
  </si>
  <si>
    <t>Transporte Platinum</t>
  </si>
  <si>
    <t>Transporte casa</t>
  </si>
  <si>
    <t>Transporte Tangua-Ipiales</t>
  </si>
  <si>
    <t>Transporte Terminal</t>
  </si>
  <si>
    <t>Trasnporte Ipiales-Tangua</t>
  </si>
  <si>
    <t>Trasnporte Terminal</t>
  </si>
  <si>
    <t>check</t>
  </si>
  <si>
    <t xml:space="preserve">transporte y viaticos </t>
  </si>
  <si>
    <t>PASTO  CHACHAGUI VERONICA SANTACRUZ</t>
  </si>
  <si>
    <t>AREPUERTO HOTELVERONICA SANTACRUZ</t>
  </si>
  <si>
    <t>Descripción del GastoVERONICA SANTACRUZ</t>
  </si>
  <si>
    <t>CALI AREPUERTO VERONICA SANTACRUZ</t>
  </si>
  <si>
    <t>CHACHAGUI PASTO VERONICA SANTACRUZ</t>
  </si>
  <si>
    <t>Viaje Pasto RemolinoJuan Fernando PaniaguaJuan F Paniagua</t>
  </si>
  <si>
    <t>juanfer</t>
  </si>
  <si>
    <t>Peaje CanoPeaje CanoJuan F Paniagua</t>
  </si>
  <si>
    <t>Lavada camionetaLavautos maridiazJuan F Paniagua</t>
  </si>
  <si>
    <t>lavada</t>
  </si>
  <si>
    <t>Viaje Remolino PastoJuan Fernando PaniaguaJuan F Paniagua</t>
  </si>
  <si>
    <t>Herramienta menor para instalación de cableadoFerroMacJuan F Paniagua</t>
  </si>
  <si>
    <t>Material para riego de VíaFerroMacJuan F Paniagua</t>
  </si>
  <si>
    <t>Parqueadero CamionetaParqueadero paso anchoJuan F Paniagua</t>
  </si>
  <si>
    <t>parqueadero</t>
  </si>
  <si>
    <t>ACPM CamionetaEDS PanamericanaJuan F Paniagua</t>
  </si>
  <si>
    <t>hielo y frutas para obraJuan Fernando PaniaguaJuan F Paniagua</t>
  </si>
  <si>
    <t>ACPM Planta electricaEDS Rio MayoJuan F Paniagua</t>
  </si>
  <si>
    <t>Material para instalación de inversoresFerroMacJuan F Paniagua</t>
  </si>
  <si>
    <t>AguaDeposito FigueroaJuan F Paniagua</t>
  </si>
  <si>
    <t>Materiales para cajas de pasoFerroMacJuan F Paniagua</t>
  </si>
  <si>
    <t>BisturisFerroMacJuan F Paniagua</t>
  </si>
  <si>
    <t>TrapeadorFerroMacJuan F Paniagua</t>
  </si>
  <si>
    <t>Tuercas y arandelasFerroMacJuan F Paniagua</t>
  </si>
  <si>
    <t>chazosOf ConstruccionesJuan F Paniagua</t>
  </si>
  <si>
    <t>Discos Corte para pulidorasFerroMacJuan F Paniagua</t>
  </si>
  <si>
    <t>Refrigerio equipoMinimarket RemolinoJuan F Paniagua</t>
  </si>
  <si>
    <t>Brocas y remachesFerroMacJuan F Paniagua</t>
  </si>
  <si>
    <t>Transporte SegundoSegundo GelpudJuan F Paniagua</t>
  </si>
  <si>
    <t>Transporte JimmyJimmy BurgosJuan F Paniagua</t>
  </si>
  <si>
    <t>Transporte EdilfonsoEdilfonso RoseroJuan F Paniagua</t>
  </si>
  <si>
    <t>Aseo VivianaViviana EnriquezJuan F Paniagua</t>
  </si>
  <si>
    <t>aseo</t>
  </si>
  <si>
    <t>ACPM CamionetaEDS ChachagüíJuan F Paniagua</t>
  </si>
  <si>
    <t>brocas</t>
  </si>
  <si>
    <t>aguadeposito</t>
  </si>
  <si>
    <t>Estopas para basuraFerroMacJuan F Paniagua</t>
  </si>
  <si>
    <t>estopas</t>
  </si>
  <si>
    <t>Material para adecuación de inversoresFerroMacJuan F Paniagua</t>
  </si>
  <si>
    <t>material</t>
  </si>
  <si>
    <t>Cinta aislanteFerroMacJuan F Paniagua</t>
  </si>
  <si>
    <t>cinta</t>
  </si>
  <si>
    <t>Devolución Carreto a PastoJuan Fernando PaniaguaJuan F Paniagua</t>
  </si>
  <si>
    <t>devolución</t>
  </si>
  <si>
    <t>Destornilladores y chazosFerroMacJuan F Paniagua</t>
  </si>
  <si>
    <t>destornilladores</t>
  </si>
  <si>
    <t>ACPM CamionetaFerroMacJuan F Paniagua</t>
  </si>
  <si>
    <t>Parqueadero camionetaparqueadero paso anchoJuan F Paniagua</t>
  </si>
  <si>
    <t>Hielo y frutas para obraJuan Fernando PaniaguaJuan F Paniagua</t>
  </si>
  <si>
    <t>hielo</t>
  </si>
  <si>
    <t>Cinta aislante inversoresFerroMacJuan F Paniagua</t>
  </si>
  <si>
    <t xml:space="preserve">INGRESO 10% VARIEDADES CARVAJAER </t>
  </si>
  <si>
    <t>Variedades Carvajal</t>
  </si>
  <si>
    <t>Taxi aeropuerto MDE</t>
  </si>
  <si>
    <t>Cena (leg D1)</t>
  </si>
  <si>
    <t>Taxi aeropuerto CLO</t>
  </si>
  <si>
    <t>Peaje MDE</t>
  </si>
  <si>
    <t>Taxi aeropuerto PSO</t>
  </si>
  <si>
    <t>Almuerzo</t>
  </si>
  <si>
    <t>Cena</t>
  </si>
  <si>
    <t>Parqueadero</t>
  </si>
  <si>
    <t>Taxi aeropuerto BOG</t>
  </si>
  <si>
    <t>Uber</t>
  </si>
  <si>
    <t>Cafés</t>
  </si>
  <si>
    <t>Taxi aeropuerto BAQ</t>
  </si>
  <si>
    <t>Taxi local</t>
  </si>
  <si>
    <t>Taxi Equipo instalaciónMiguel Enriquez ChMiguel Enriquez Ch</t>
  </si>
  <si>
    <t>Taxi BellatrizMiguel Enriquez ChMiguel Enriquez Ch</t>
  </si>
  <si>
    <t>Taxi OficinaMiguel Enriquez ChMiguel Enriquez Ch</t>
  </si>
  <si>
    <t>Peaje Pasto-IpialesConcesrionaria Vial Union del surMiguel Enriquez Ch</t>
  </si>
  <si>
    <t>DesayunoMiguel Enriquez ChMiguel Enriquez Ch</t>
  </si>
  <si>
    <t>Ipiales-Espino SurGustavo EstupiñanMiguel Enriquez Ch</t>
  </si>
  <si>
    <t>Espino Sur- IpialesGustavo EstupiñanMiguel Enriquez Ch</t>
  </si>
  <si>
    <t>GasolinaMiguel Enriquez ChMiguel Enriquez Ch</t>
  </si>
  <si>
    <t>Peaje Ipiales-PastoMiguel Enriquez ChMiguel Enriquez Ch</t>
  </si>
  <si>
    <t>Taxi hnos moraMiguel Enriquez ChMiguel Enriquez Ch</t>
  </si>
  <si>
    <t>Taxi FerreandinaMiguel Enriquez ChMiguel Enriquez Ch</t>
  </si>
  <si>
    <t>Taxi casaMiguel Enriquez ChMiguel Enriquez Ch</t>
  </si>
  <si>
    <t>Taxi visita comercialMiguel Enriquez ChMiguel Enriquez Ch</t>
  </si>
  <si>
    <t>Taxi Terminal Miguel Enriquez ChMiguel Enriquez Ch</t>
  </si>
  <si>
    <t>Transporte Ipiales-PilcuanMiguel Enriquez ChMiguel Enriquez Ch</t>
  </si>
  <si>
    <t>Transporte Pilcuan-IpialesMiguel Enriquez ChMiguel Enriquez Ch</t>
  </si>
  <si>
    <t>Bus Ipiales- PastoTransipiales SAMiguel Enriquez Ch</t>
  </si>
  <si>
    <t xml:space="preserve">transporte William Basante </t>
  </si>
  <si>
    <t>retencion william basante 1%</t>
  </si>
  <si>
    <t>retencion william basante 6x1000</t>
  </si>
  <si>
    <t>arreglo oficina javier benavides</t>
  </si>
  <si>
    <t>arreglo oficina distrivuidora acabados de sur</t>
  </si>
  <si>
    <t>Arreglo llanta (Pinchada) JimmiEl desvareJeancarlo G Moncayo</t>
  </si>
  <si>
    <t xml:space="preserve">Arreglo llanta </t>
  </si>
  <si>
    <t>Arreglo llanta (Pinchada 2) JimmiEl desvareJeancarlo G Moncayo</t>
  </si>
  <si>
    <t>Tee 3" Tubo aguas lluviasFerreteria FerroMacJeancarlo G Moncayo</t>
  </si>
  <si>
    <t>Gasolina Ida y regreso Visita pre incios de obra EDS Servicentro PanamericanaJeancarlo G Moncayo</t>
  </si>
  <si>
    <t>Pago aseo habitaciones Semana 24 a 29 de JunioViviana EnriquezJeancarlo G Moncayo</t>
  </si>
  <si>
    <t>Gasolina GuadañaEDS Servicentro PanamericanaJeancarlo G Moncayo</t>
  </si>
  <si>
    <t>Peaje Pasto - Remolino (Arranque de obra)Peaje CanoJeancarlo G Moncayo</t>
  </si>
  <si>
    <t>Machetes, Limas, cable guadaña, aceite, pomaFerreteria FerroMacJeancarlo G Moncayo</t>
  </si>
  <si>
    <t>Gasolina Guadaña y motosierra x 2 pomas EDS Terpel Rio MayoJeancarlo G Moncayo</t>
  </si>
  <si>
    <t>Mascara de proteccion para podaAgrico DistribuidoraJeancarlo G Moncayo</t>
  </si>
  <si>
    <t>Petos guadaña DelantalAgrico DistribuidoraJeancarlo G Moncayo</t>
  </si>
  <si>
    <t>14 pares de guantes de carnaza, caja lapiz rojoFerreteria FerroMacJeancarlo G Moncayo</t>
  </si>
  <si>
    <t>Sacada de Filo Machetes nuevos Almacen y taller WilliamsJeancarlo G Moncayo</t>
  </si>
  <si>
    <t>30 Argollas abiertas (Cancamos)Ferreteria FerroMacJeancarlo G Moncayo</t>
  </si>
  <si>
    <t>Amarras de teja y calcamos abiertos Ferreteria FerroMacJeancarlo G Moncayo</t>
  </si>
  <si>
    <t>Tornillos DrywallFerreteria FerroMacJeancarlo G Moncayo</t>
  </si>
  <si>
    <t>2 CerruchosFerreteria FerroMacJeancarlo G Moncayo</t>
  </si>
  <si>
    <t>Aceite quemadoAlmacen y taller WilliamsJeancarlo G Moncayo</t>
  </si>
  <si>
    <t>Abrasadera y candado totalFerreteria FerroMacJeancarlo G Moncayo</t>
  </si>
  <si>
    <t>RemachesFerreteria FerroMacJeancarlo G Moncayo</t>
  </si>
  <si>
    <t>Pago aseo habitaciones Semana 2 a 6 de JulioViviana EnriquezJeancarlo G Moncayo</t>
  </si>
  <si>
    <t>reintegro Veronica cali</t>
  </si>
  <si>
    <t>reintegro jeison viaticos</t>
  </si>
  <si>
    <t xml:space="preserve"> (Oficina - Recoger licencia de construcción)Stefanya LassoStefanya Lasso </t>
  </si>
  <si>
    <t xml:space="preserve">(Recoger licencia - Batericars)Stefanya LassoStefanya Lasso </t>
  </si>
  <si>
    <t xml:space="preserve">(Batericars - Novacentro) Stefanya LassoStefanya Lasso </t>
  </si>
  <si>
    <t xml:space="preserve">Oficina - Mister pollo norte Firma humberto portilla licencia NAOS 2 Stefanya LassoStefanya Lasso </t>
  </si>
  <si>
    <t xml:space="preserve">Mister Pollo - Batericars Stefanya LassoStefanya Lasso </t>
  </si>
  <si>
    <t xml:space="preserve">Batericars - Oficina Stefanya LassoStefanya Lasso </t>
  </si>
  <si>
    <t xml:space="preserve">Santa Helena - Oficina (Molecula Juan Camilo)Stefanya LassoStefanya Lasso </t>
  </si>
  <si>
    <t xml:space="preserve">Santa Helena - Oficina (Molecula Alveiro)Stefanya LassoStefanya Lasso </t>
  </si>
  <si>
    <t xml:space="preserve">Oficina - Casa Arquitecto firma licencia construcción NAOS 2Stefanya LassoStefanya Lasso </t>
  </si>
  <si>
    <t xml:space="preserve">Terminal mixto - Oficina (Envio papeles)Stefanya LassoStefanya Lasso </t>
  </si>
  <si>
    <t xml:space="preserve">Oficina - Hotel Plaza (Ventas)Stefanya LassoStefanya Lasso </t>
  </si>
  <si>
    <t xml:space="preserve">Fotocopias, impresiones a color Stefanya LassoStefanya Lasso </t>
  </si>
  <si>
    <t xml:space="preserve">Oficina - BatericarsStefanya LassoStefanya Lasso </t>
  </si>
  <si>
    <t>envio srvientrega cali tianshi</t>
  </si>
  <si>
    <t>Envío sensores de humo y cable UTP Pasto - RemolinoYIMER OJEDACAMILO MELO</t>
  </si>
  <si>
    <t>Envío Marquillas Pasto - RemolinoHEIDER CHAVEZCAMILO MELO</t>
  </si>
  <si>
    <t>Carrera piaggio AC - OficinaISIDRO PANTOJACAMILO MELO</t>
  </si>
  <si>
    <t>Carrera piaggio Oficina - NovacentroISIDRO PANTOJACAMILO MELO</t>
  </si>
  <si>
    <t>Carrera Uber Oficina - DEFACAMILO JURADOCAMILO MELO</t>
  </si>
  <si>
    <t>Carrera Uber DEFA - OficinaCAMILO JURADOCAMILO MELO</t>
  </si>
  <si>
    <t>Disco corte, wasas y tornillosTODO TORNILLOCAMILO MELO</t>
  </si>
  <si>
    <t>TornillosTODO TORNILLOCAMILO MELO</t>
  </si>
  <si>
    <t>32 logosBORDADOS RUBÉN DARÍOCAMILO MELO</t>
  </si>
  <si>
    <t>Uniones IMC, canaleta ranurada, terminales de ojoDEFACAMILO MELO</t>
  </si>
  <si>
    <t>Brocas para metal, estuco de relleno, esmalte blancoDISTRIBUCIONES ABCAMILO MELO</t>
  </si>
  <si>
    <t>Uniones EMT 1"DISTRIBUCIONES ABCAMILO MELO</t>
  </si>
  <si>
    <t>Botellón de aguaAUTOSERVICIO MERKAHORROCAMILO MELO</t>
  </si>
  <si>
    <t>Protección tripolar 16ADISTRIBUCIONES ACCAMILO MELO</t>
  </si>
  <si>
    <t>Tornillo autoperforante, tornillo tropicalizado, chazo bala wasaTODO TORNILLOCAMILO MELO</t>
  </si>
  <si>
    <t>transportes eduardo</t>
  </si>
  <si>
    <t>GRUPO SOLAIRE PANELES NOVACENTRO 60%</t>
  </si>
  <si>
    <t>pago ramirez ydavid sas</t>
  </si>
  <si>
    <t>pago arreglo puerta oficina 50% anticipo</t>
  </si>
  <si>
    <t>imprevistos</t>
  </si>
  <si>
    <t>pago poliza</t>
  </si>
  <si>
    <t xml:space="preserve">pago poliza turin </t>
  </si>
  <si>
    <t>pago solardepor santa helena</t>
  </si>
  <si>
    <t>Check</t>
  </si>
  <si>
    <t>pago topografia jimmy</t>
  </si>
  <si>
    <t>pago ac montaje y soluciones</t>
  </si>
  <si>
    <t>pago ferreteria j alberto</t>
  </si>
  <si>
    <t>pago tiquete jorge barranquilla</t>
  </si>
  <si>
    <t>pago insdustrias fernandez</t>
  </si>
  <si>
    <t>pago andamios luis rodriguez</t>
  </si>
  <si>
    <t>pago epp dotaciones</t>
  </si>
  <si>
    <t>pago reintegro julio belalcazar</t>
  </si>
  <si>
    <t>pago tag marjeting</t>
  </si>
  <si>
    <t>pago ener total avenida y congelados</t>
  </si>
  <si>
    <t>Medidor</t>
  </si>
  <si>
    <t>pago el contructor</t>
  </si>
  <si>
    <t>pago upme batericars</t>
  </si>
  <si>
    <t>pago celular tigo oficina</t>
  </si>
  <si>
    <t>pago anticipo tramite ministenio del interior polaris</t>
  </si>
  <si>
    <t xml:space="preserve">pago erika salas informe de aprovechamiento </t>
  </si>
  <si>
    <t>pago estuido de titulo carolina gomez</t>
  </si>
  <si>
    <t>Estructuracion</t>
  </si>
  <si>
    <t>legal</t>
  </si>
  <si>
    <t>pago tigo comercial</t>
  </si>
  <si>
    <t>pago ir retie batericars</t>
  </si>
  <si>
    <t>pago examen de ingreso ana milena</t>
  </si>
  <si>
    <t>pago quincena manuel</t>
  </si>
  <si>
    <t xml:space="preserve">pago quincena segundo </t>
  </si>
  <si>
    <t>pago topografia DR CONSTRUCCIONES</t>
  </si>
  <si>
    <t>Topografias</t>
  </si>
  <si>
    <t xml:space="preserve">pago informe julieta rojas antares </t>
  </si>
  <si>
    <t xml:space="preserve">pago distribunciones ac </t>
  </si>
  <si>
    <t>pago nomina  eduardo</t>
  </si>
  <si>
    <t>pago nomina ivan caicedo</t>
  </si>
  <si>
    <t>pago nomina  carolina</t>
  </si>
  <si>
    <t>pago nomina mario cusis</t>
  </si>
  <si>
    <t>pago nomina jhonsin</t>
  </si>
  <si>
    <t>pagpo nomina alveiro españa</t>
  </si>
  <si>
    <t>pago carolina cardona</t>
  </si>
  <si>
    <t xml:space="preserve">pago nomina oscar andres </t>
  </si>
  <si>
    <t>pago nomina rubven dario silva</t>
  </si>
  <si>
    <t xml:space="preserve">pago nomina edwar amilkar </t>
  </si>
  <si>
    <t>pago nomina ivan meneses</t>
  </si>
  <si>
    <t>pago nomina edwin martinez</t>
  </si>
  <si>
    <t>pago nomina jorge andres barrera</t>
  </si>
  <si>
    <t xml:space="preserve">pago faltante nomina juan camilo </t>
  </si>
  <si>
    <t>pago liquidacion daniel camilo arteaga</t>
  </si>
  <si>
    <t>INGRESO BATERICARS</t>
  </si>
  <si>
    <t>PAGO Jesus Ruano</t>
  </si>
  <si>
    <t>Pago revisoria fiscal</t>
  </si>
  <si>
    <t>COMPRA EN LOCAL BURG</t>
  </si>
  <si>
    <t>Tiquetes</t>
  </si>
  <si>
    <t>COMPRA EN KEKOUWOK</t>
  </si>
  <si>
    <t>COMPRA EN MPOS GLOBA</t>
  </si>
  <si>
    <t>COMPRA EN LA BARRA S</t>
  </si>
  <si>
    <t>pago impuestos</t>
  </si>
  <si>
    <t>DIAN</t>
  </si>
  <si>
    <t>IGRESO happina</t>
  </si>
  <si>
    <t>Benaequipos</t>
  </si>
  <si>
    <t>ingreso happina</t>
  </si>
  <si>
    <t>GRUPO SOLAIRE PANELES PABON  40%</t>
  </si>
  <si>
    <t>ACPM Camioneta EDS Servicentro PanamericanaSI</t>
  </si>
  <si>
    <t>Peaje Pasto - RemolinoPeaje Cano3000000</t>
  </si>
  <si>
    <t>Gasolina Guadaña y motosierra x 1 pomaEDS Terpel Rio MayoRubro</t>
  </si>
  <si>
    <t>Aceite dos tiempos 1/4Ferreteria FerroMac</t>
  </si>
  <si>
    <t>limas para afilar machete, machetesFerreteria FerroMac         Transporte</t>
  </si>
  <si>
    <t>Aceite quemadoAlmacen y taller Williams         Camioneta 4x4</t>
  </si>
  <si>
    <t>Limas motosierraAgrico Distribuidora         Transporte</t>
  </si>
  <si>
    <t>Encomienda carta de vecindad LC NaosJeancarlo Moncayo      Descapote Inicial</t>
  </si>
  <si>
    <t>Moto domicilio desayunos (Camioneta Tramites en taminango)Jeancarlo Moncayo      Descapote Inicial</t>
  </si>
  <si>
    <t>Desayuno Taminango (LC Naos 2 y 3)Jeancarlo Moncayo      Descapote Inicial</t>
  </si>
  <si>
    <t>1/4 aceiteRepuestos y lubricantes      Descapote Inicial</t>
  </si>
  <si>
    <t>Arreglo llanta (Pinchada)El desvare      Descapote Inicial</t>
  </si>
  <si>
    <t>Peaje remolino - PastoPeaje Cano      Gastos administrativos</t>
  </si>
  <si>
    <t>Pasaje camioneta (Viaje a pasto a dejar la JAC en mantenimiento)Jeancarlo Moncayo         Alimentación</t>
  </si>
  <si>
    <t>Afilada machetesAlmacen y taller Williams         Alimentación</t>
  </si>
  <si>
    <t>Gasolina Guadaña y motosierra x 1 pomaEDS Terpel Rio Mayo      Descapote Inicial</t>
  </si>
  <si>
    <t>poma de aceite quemado y aceite mobil 2TAlmacen y taller Williams         Camioneta 4x4</t>
  </si>
  <si>
    <t>Viaticos Edilfonso Rosero Remolino - Pasto - RemolinoEdilfonso Rosero         Transporte</t>
  </si>
  <si>
    <t>Viaticos Jimmy Burgos Remolino - Pasto - RemolinoJimmy Burgos         Transporte</t>
  </si>
  <si>
    <t>Viaticos Jeancarlo Moncayo Remolino - Pasto - RemolinoJeancarlo Moncayo      Descapote Inicial</t>
  </si>
  <si>
    <t>Peaje Pasto - RemolinoPeaje Cano      Descapote Inicial</t>
  </si>
  <si>
    <t>Pago aseo habitaciones Semana 8 a 13 de JulioViviana Enriquez      Descapote Inicial</t>
  </si>
  <si>
    <t>5 botellones de aguaDeposito Figueroa         Transporte</t>
  </si>
  <si>
    <t>Gasolina Guadaña y motosierra x 1 pomaEDS Terpel Rio Mayo         Transporte</t>
  </si>
  <si>
    <t>2 Cadenillas 38 dientes para motosierrasAgrico Distribuidora         Transporte</t>
  </si>
  <si>
    <t>Torta compartir empresa</t>
  </si>
  <si>
    <t>platos, vasos, compartir empresa</t>
  </si>
  <si>
    <t>arreglos oficina</t>
  </si>
  <si>
    <t>ingreso legalizacion miguel</t>
  </si>
  <si>
    <t xml:space="preserve">reintegro eduardo legalizacion </t>
  </si>
  <si>
    <t>retencuin 6x1000 oscar mauricio</t>
  </si>
  <si>
    <t>transporte wiliam basante</t>
  </si>
  <si>
    <t>retencion 1% wiliam basante</t>
  </si>
  <si>
    <t>retencion 6x1000 wiliam basante</t>
  </si>
  <si>
    <t>Terminales de ojoKUTINCAMILO MELO</t>
  </si>
  <si>
    <t>Prensaestopas 1 1/4ELÉCTRICOS DEL NORTECAMILO MELO</t>
  </si>
  <si>
    <t>Impresiones planosSERVIPLOTTERCAMILO MELO</t>
  </si>
  <si>
    <t>Tapas radwell, tubo EMT 1/2", aislador escalonado DEFACAMILO MELO</t>
  </si>
  <si>
    <t>Tornilos para barrajeTODO TORNILLOCAMILO MELO</t>
  </si>
  <si>
    <t>Cables de poderKUTINCAMILO MELO</t>
  </si>
  <si>
    <t>Impresiones planosCENTRO PLOTTERCAMILO MELO</t>
  </si>
  <si>
    <t>Mantenimiento de minipulidora, taladros inalámbricos y taladro de potenciaELECTRICOS ANDES PASTOCAMILO MELO</t>
  </si>
  <si>
    <t>Transporte oficina -  D. de Vidrios (Centro)JAVIER SEBASTIAN LUCENA VILLARREAL</t>
  </si>
  <si>
    <t>transporte D. de Vidrios (Centro)-D de Vidrio (Centenario)JAVIER SEBASTIAN LUCENA VILLARREAL</t>
  </si>
  <si>
    <t>transporte D de Vidrio (Centenario) - Oficina EvoltiJAVIER SEBASTIAN LUCENA VILLARREAL</t>
  </si>
  <si>
    <t>Transporte Oficna evolti - T erminal PastoJAVIER SEBASTIAN LUCENA VILLARREAL</t>
  </si>
  <si>
    <t>transporte terminal pasto - terminal IpialesJAVIER SEBASTIAN LUCENA VILLARREAL</t>
  </si>
  <si>
    <t>transporte  terminal Ipiales - terminal pastoJAVIER SEBASTIAN LUCENA VILLARREAL</t>
  </si>
  <si>
    <t>transporte  terminal Ipiales - FerreandinaJAVIER SEBASTIAN LUCENA VILLARREAL</t>
  </si>
  <si>
    <t>transporte  La Merced Ipilaes - FerreandinaJAVIER SEBASTIAN LUCENA VILLARREAL</t>
  </si>
  <si>
    <t>Almuerzo IpialesJAVIER SEBASTIAN LUCENA VILLARREAL</t>
  </si>
  <si>
    <t>transporte Ferreandina -  terminal IpialesJAVIER SEBASTIAN LUCENA VILLARREAL</t>
  </si>
  <si>
    <t>transporte terminal pasto - OficinaJAVIER SEBASTIAN LUCENA VILLARREAL</t>
  </si>
  <si>
    <t>Transporte Oficina -  CedenarJAVIER SEBASTIAN LUCENA VILLARREAL</t>
  </si>
  <si>
    <t>Transporte Cedenar - Oficina EvoltiJAVIER SEBASTIAN LUCENA VILLARREAL</t>
  </si>
  <si>
    <t>Transporte Cedenar - BatericarsJAVIER SEBASTIAN LUCENA VILLARREAL</t>
  </si>
  <si>
    <t>transporte Batericars - Oficina EvoltiJAVIER SEBASTIAN LUCENA VILLARREAL</t>
  </si>
  <si>
    <t>ALMUERZOPOLLO.COMJeison Julian Ipiales</t>
  </si>
  <si>
    <t>jeison</t>
  </si>
  <si>
    <t>CENACOMIDAS RAPIDAS EL GATO Jeison Julian Ipiales</t>
  </si>
  <si>
    <t>CENAPOLLO.COMJeison Julian Ipiales</t>
  </si>
  <si>
    <t>DESAYUNOPANADERIA Y PASTELERIA DELICIAS DEL VALLEJeison Julian Ipiales</t>
  </si>
  <si>
    <t>CENAPANADERIA Y PASTELERIA DELICIAS DEL VALLEJeison Julian Ipiales</t>
  </si>
  <si>
    <t>HOTELHOTEL SAN MIGUELJeison Julian Ipiales</t>
  </si>
  <si>
    <t>TRANSPORTE PASTO-TUMACOTRANSIPIALES SAJeison Julian Ipiales</t>
  </si>
  <si>
    <t>TRANSPORTE TUMACO-PASTOTRANSIPIALES SAJeison Julian Ipiales</t>
  </si>
  <si>
    <t>TRANSPORTE CEDENAR-HOTELJEISON JULIAN IPIALESJeison Julian Ipiales</t>
  </si>
  <si>
    <t>TRANSPORTE TERMINAL PASTO - CASAJEISON JULIAN IPIALESJeison Julian Ipiales</t>
  </si>
  <si>
    <t>VISITAS COMERCIALES POLLOS AL DIAS- SEDE CENTRO- SEDE CHAPAL- MEDINUCLEAR OFICINAJEISON JULIAN IPIALESJeison Julian Ipiales</t>
  </si>
  <si>
    <t>ingreso legalizacion jeison tumaco</t>
  </si>
  <si>
    <t>Bloqueador solarDROGUERÍA SAN PEDRO- EL PROGRESOCAMILO MELO</t>
  </si>
  <si>
    <t>Bloqueador solarDROGUERÍA SAN PEDRO POTRERILLO SUCURSALCAMILO MELO</t>
  </si>
  <si>
    <t>Envío fusibles Pasto - IpialesJOSÉCAMILO MELO</t>
  </si>
  <si>
    <t>Carrera piaggio Agualongo a Oficina JESÚS ROSALESCAMILO MELO</t>
  </si>
  <si>
    <t>Carrera piaggio Oficina a NovacentroALIRIO MONTEZUMACAMILO MELO</t>
  </si>
  <si>
    <t>Placas acrílico, placas PVCDISEÑO Y PUBLICIDADCAMILO MELO</t>
  </si>
  <si>
    <t>Envío inversor y gabinete Pasto - CaliSERVIENTREGACAMILO MELO</t>
  </si>
  <si>
    <t>Arandela y neoprenoTODO TORNILLOCAMILO MELO</t>
  </si>
  <si>
    <t>Panel LED redondo, terminal SCH 40, Cinta doble fazDEFACAMILO MELO</t>
  </si>
  <si>
    <t>Conduleta, terminal pvc, grapa doble ala, tripolar 3x32DISTRIBUCIONES ACCAMILO MELO</t>
  </si>
  <si>
    <t>Terminales tipo pinKUTINCAMILO MELO</t>
  </si>
  <si>
    <t>Copias de llaves oficinaFERROPINTURA Y ELÉCTRICOS LA 32CAMILO MELO</t>
  </si>
  <si>
    <t>2 BrochasDISTRIBUCIONES ABCAMILO MELO</t>
  </si>
  <si>
    <t>PAGO MONTACARGAS</t>
  </si>
  <si>
    <t>PAGO EMAS</t>
  </si>
  <si>
    <t xml:space="preserve">pago reintegro Daniel Medina </t>
  </si>
  <si>
    <t>pago todo tornillo</t>
  </si>
  <si>
    <t>pago dicel</t>
  </si>
  <si>
    <t>pago emergente sostenible</t>
  </si>
  <si>
    <t>pago total tablesa</t>
  </si>
  <si>
    <t>pago harrison transporte</t>
  </si>
  <si>
    <t>pago julian ibarra remodelaion oficina admon</t>
  </si>
  <si>
    <t>pago ips adilab medellin</t>
  </si>
  <si>
    <t>pago edupar arreglo oficina</t>
  </si>
  <si>
    <t>pago compañía de servicios camisas remolino</t>
  </si>
  <si>
    <t>pago andres velasco hotel ferreandina</t>
  </si>
  <si>
    <t>pago carlos robin remodelacion oficina</t>
  </si>
  <si>
    <t>pago liquidacion yeison fernandez</t>
  </si>
  <si>
    <t xml:space="preserve">pago certificado tradicion y libertad </t>
  </si>
  <si>
    <t>pago cerramineto 50%</t>
  </si>
  <si>
    <t xml:space="preserve">pago reintegro Hermann </t>
  </si>
  <si>
    <t>pago lyc ingenieria pajaritga anticipo</t>
  </si>
  <si>
    <t xml:space="preserve">pago phc servicios </t>
  </si>
  <si>
    <t>Tramites</t>
  </si>
  <si>
    <t xml:space="preserve">pago seguridad del sur </t>
  </si>
  <si>
    <t>pago planilla isabella</t>
  </si>
  <si>
    <t xml:space="preserve">pago planilla ajuste </t>
  </si>
  <si>
    <t xml:space="preserve">pago monica guacales </t>
  </si>
  <si>
    <t>pago william basante mantemimiento</t>
  </si>
  <si>
    <t xml:space="preserve">pago licencia </t>
  </si>
  <si>
    <t xml:space="preserve">pago total electricos boyaca </t>
  </si>
  <si>
    <t>pago upme san rafael</t>
  </si>
  <si>
    <t>pago upme caffeto</t>
  </si>
  <si>
    <t>Pago deuda GD remolino</t>
  </si>
  <si>
    <t>ingreso ia cali</t>
  </si>
  <si>
    <t>Ingreso intereses NAOS</t>
  </si>
  <si>
    <t>GD</t>
  </si>
  <si>
    <t>COMPRA INTL FACEBK S4RQA78NE</t>
  </si>
  <si>
    <t xml:space="preserve">ingreso sociedad v 15 </t>
  </si>
  <si>
    <t>Ingreso retenciones lean case</t>
  </si>
  <si>
    <t>TRANSPORTE CASA A AEROPUERTO DE CALIJorge Andrés Quintero Peña</t>
  </si>
  <si>
    <t xml:space="preserve">JORGE QUINTERO </t>
  </si>
  <si>
    <t>TRANSPORTE AEROPUERTO A HOTEL PASTONO</t>
  </si>
  <si>
    <t>CENA 0</t>
  </si>
  <si>
    <t>DESAYUNO (Factura electrónica)Nombre del Proyecto</t>
  </si>
  <si>
    <t>ALMUERZO (Factura electrónica)</t>
  </si>
  <si>
    <t>CENA (Factura electrónica)</t>
  </si>
  <si>
    <t>DESAYUNO (Factura electrónica)</t>
  </si>
  <si>
    <t>TAXI COLECTIVO A AEROPUERTO DE PASTO</t>
  </si>
  <si>
    <t>TRANSPORTE AEROPUERTO DE CALI A CASA</t>
  </si>
  <si>
    <t>PEAJE IDA A VISITA FRIGORIVALLE</t>
  </si>
  <si>
    <t>PEAJE REGRESO DE VISITA FRIGORIVALLE</t>
  </si>
  <si>
    <t>COMBUSTIBLE VISITA FRIGORIVALLE</t>
  </si>
  <si>
    <t>TALONARIO RECIBO DE CAJA</t>
  </si>
  <si>
    <t>MATERIAL TIANSHI (Factura electrónic)</t>
  </si>
  <si>
    <t>Credito A2senso</t>
  </si>
  <si>
    <t>Credito Finacktiva</t>
  </si>
  <si>
    <t>Pago comida hotel V1501</t>
  </si>
  <si>
    <t>pago electricos del valle novacentro</t>
  </si>
  <si>
    <t>pago electricos del valle lacteos andinos</t>
  </si>
  <si>
    <t>pago electricos del valle batericars</t>
  </si>
  <si>
    <t>pago electricos del valle bellatriz</t>
  </si>
  <si>
    <t>pago electricos del valle san rafael</t>
  </si>
  <si>
    <t>pago electricos del valle sferreandina</t>
  </si>
  <si>
    <t>cuenta de cobro carlos hermando robi</t>
  </si>
  <si>
    <t>Envio papeles banco bbva</t>
  </si>
  <si>
    <t>Fotocopias loren</t>
  </si>
  <si>
    <t>Martillo, toma aerea, clavija cauchoDISTRIBUCIONES ABCAMILO MELO</t>
  </si>
  <si>
    <t>Happina Suites</t>
  </si>
  <si>
    <t>Chazo bala, tuerca 3/8"TODO TORNILLOCAMILO MELO</t>
  </si>
  <si>
    <t>Cinta asfálticaCOMERCIALIZADORA CONSTRUNARCAMILO MELO</t>
  </si>
  <si>
    <t>Tornillos para abrazaderas de rielTODO TORNILLOCAMILO MELO</t>
  </si>
  <si>
    <t>Duela para pisoMADERAS JAVERIANOCAMILO MELO</t>
  </si>
  <si>
    <t>Carrera piaggio Oficina - Hotel CuellarJAIME VALLEJOCAMILO MELO</t>
  </si>
  <si>
    <t xml:space="preserve">Hotel Cuellar </t>
  </si>
  <si>
    <t>Carrera Uber Oficina - Hotel CuellarCARLOS ANDRÉSCAMILO MELO</t>
  </si>
  <si>
    <t>Carrera Uber La Carolina - Caffeto ObonucoSEBASTIÁN SOLARTECAMILO MELO</t>
  </si>
  <si>
    <t>Terminales Cu #4, cintas aislantes, cinta de enmascarar, termoencogibleSOLUCIONES ELÉCTRICAS T Y CCAMILO MELO</t>
  </si>
  <si>
    <t>Pago de excedenteMEGA PRODUCTSCAMILO MELO</t>
  </si>
  <si>
    <t>Envío de EPCC, herramientas y medidores Pasto - RemolinoHÉCTOR LIBARDO JÁTIVA CAMILO MELO</t>
  </si>
  <si>
    <t>transporte oscar</t>
  </si>
  <si>
    <t>transporte jennifer</t>
  </si>
  <si>
    <t>transporte wilian basante</t>
  </si>
  <si>
    <t>Carrera taxi Defa - OficinaARTURO TOBARCAMILO MELO</t>
  </si>
  <si>
    <t>Carrera taxi AC - DEFAARNULFO GELPUDCAMILO MELO</t>
  </si>
  <si>
    <t>Bornas bimetálicas, abrazaderas de riel, adehesivos dexsonDISTRIBUCIONES ACCAMILO MELO</t>
  </si>
  <si>
    <t>Bornas número 8 cobreDEFACAMILO MELO</t>
  </si>
  <si>
    <t>Traperos, guantes de caucho, racor mangueraLA FERROCAMILO MELO</t>
  </si>
  <si>
    <t>Tornillos tropicalizados, wasas, tornillos autoperforantesTODO TORNILLOCAMILO MELO</t>
  </si>
  <si>
    <t>Roscas de tubo 2"EL NIPLECAMILO MELO</t>
  </si>
  <si>
    <t>Impresión planosCENTRO PLOTTERCAMILO MELO</t>
  </si>
  <si>
    <t>Puntas estrella para taladroDISTRIBUCIONES ABCAMILO MELO</t>
  </si>
  <si>
    <t>Envío planta eléctrica y protector solar Pasto- RemolinoLUIS BOLAÑOSCAMILO MELO</t>
  </si>
  <si>
    <t>Carrera Uber Terminal mixto - oficinaGERMÁN ROMÁNCAMILO MELO</t>
  </si>
  <si>
    <t>Transporte Pasto - Remolino inspector RETIEHEIDER CHÁVEZCAMILO MELO</t>
  </si>
  <si>
    <t>PINTURA ARREGLOS OFICINA</t>
  </si>
  <si>
    <t xml:space="preserve">PAGO HUMBERTO PORTILLA BONO </t>
  </si>
  <si>
    <t>pago inporelec luminarias remodelacion</t>
  </si>
  <si>
    <t>pago marco ojeda alimentacion</t>
  </si>
  <si>
    <t>pago epp erardo delgado admon y naos</t>
  </si>
  <si>
    <t>pago soluciones electricas valentina</t>
  </si>
  <si>
    <t>pago distribuciones electricas</t>
  </si>
  <si>
    <t xml:space="preserve">pago slogic guantes </t>
  </si>
  <si>
    <t>pago edupar remodelacion guardaescobas</t>
  </si>
  <si>
    <t>pago andamios tianshi luis rodriguez</t>
  </si>
  <si>
    <t>pago delcaracion de ica bimestral mayo-junio</t>
  </si>
  <si>
    <t xml:space="preserve">pago uniforce remodelacion </t>
  </si>
  <si>
    <t>pago vuelos andre</t>
  </si>
  <si>
    <t>pago certificado y libertad valledupar</t>
  </si>
  <si>
    <t>pago upme acueducto pupiales</t>
  </si>
  <si>
    <t>pago dotasol mantenimiento hotel cuellas</t>
  </si>
  <si>
    <t>pago suneo totalizador para maqueta de puebas mantenimientos</t>
  </si>
  <si>
    <t>pgo mega productos mantenimiento</t>
  </si>
  <si>
    <t>pago hotel andrea anticipo</t>
  </si>
  <si>
    <t xml:space="preserve">pago tienda grafica dayra obando </t>
  </si>
  <si>
    <t>pago upme tianshi</t>
  </si>
  <si>
    <t>pago upme vivarium</t>
  </si>
  <si>
    <t>pago upme novacentro</t>
  </si>
  <si>
    <t>pago total luminarias</t>
  </si>
  <si>
    <t xml:space="preserve">ingreso fit for all sas </t>
  </si>
  <si>
    <t>ingreso supermecado tigre</t>
  </si>
  <si>
    <t>COMPRA EN GODADDY DL</t>
  </si>
  <si>
    <t>COMPRA EN SERVICIOS CANVA</t>
  </si>
  <si>
    <t>COMPRA INTL MSFT E0100SY02M</t>
  </si>
  <si>
    <t>COMPRA INTL MSFT E0100SY785</t>
  </si>
  <si>
    <t>reintegro kelly</t>
  </si>
  <si>
    <t>Certificados</t>
  </si>
  <si>
    <t>pago seguridad del sur</t>
  </si>
  <si>
    <t>pago sefuridad del sur arreglo oficina</t>
  </si>
  <si>
    <t xml:space="preserve">pago guantes </t>
  </si>
  <si>
    <t>reintegro Hermann Souza</t>
  </si>
  <si>
    <t>pago milenio</t>
  </si>
  <si>
    <t>pago soluciones electricas</t>
  </si>
  <si>
    <t xml:space="preserve">compra arreglo oficina </t>
  </si>
  <si>
    <t>envio pdocumentos bogota bbva</t>
  </si>
  <si>
    <t xml:space="preserve">compra evento sst </t>
  </si>
  <si>
    <t>Tornillos para aislador escalonadoTODO TORNILLOCAMILO MELO</t>
  </si>
  <si>
    <t>Carrera Uber Caffeto Obonuo - Hotel Cuellar SEBASTIÁN SOLARTECAMILO MELO</t>
  </si>
  <si>
    <t>Cuchillas para bisturíPAPELERÍA BUENDÍACAMILO MELO</t>
  </si>
  <si>
    <t>Tablas ordinariasMADERAS DEL PACÍFICOCAMILO MELO</t>
  </si>
  <si>
    <t>Brocas para lámina, discos de corte de metal, hojas de seguetaTODO TORNILLOCAMILO MELO</t>
  </si>
  <si>
    <t>Impresión planosMAKROSERVICIOS EXPRESSCAMILO MELO</t>
  </si>
  <si>
    <t>Bultos de cemento, arenaLA ITALIANA LA UNICACAMILO MELO</t>
  </si>
  <si>
    <t>Carrera piaggio Oficina - DispropanJOSÉ HERMES BOTINACAMILO MELO</t>
  </si>
  <si>
    <t>Carrera piaggio  Dispropan - Oficina JOSÉ HERMES BOTINACAMILO MELO</t>
  </si>
  <si>
    <t>Logos EVOLTIBORDADOS RUBÉN DARÍOCAMILO MELO</t>
  </si>
  <si>
    <t>Bulto de gravillaLA ITALIANA LA UNICACAMILO MELO</t>
  </si>
  <si>
    <t>Conectores bimetálicosCASA DIELÉCTRICACAMILO MELO</t>
  </si>
  <si>
    <t>Alambre de amarre, tornillo DrywallDISTRIBUCIONES ABCAMILO MELO</t>
  </si>
  <si>
    <t>Caja de lápices N.2DISTRIBUCIONES ABCAMILO MELO</t>
  </si>
  <si>
    <t>pago la ferro melba moncallo</t>
  </si>
  <si>
    <t>pago grupo defa cupo y factura</t>
  </si>
  <si>
    <t>pago ab y ar sas cupo</t>
  </si>
  <si>
    <t>pago jorge quintero caja</t>
  </si>
  <si>
    <t>pago fainco</t>
  </si>
  <si>
    <t>pago certificado libertad y traidcion valledupar</t>
  </si>
  <si>
    <t>pago liquidacion kevin benitez</t>
  </si>
  <si>
    <t xml:space="preserve">pago milton santiado carnets </t>
  </si>
  <si>
    <t xml:space="preserve">pago certidicado catastral </t>
  </si>
  <si>
    <t>pago anticipo remodelacion puerta</t>
  </si>
  <si>
    <t>pago informe ambiental</t>
  </si>
  <si>
    <t>pago botas</t>
  </si>
  <si>
    <t xml:space="preserve">pago laminas y aluminios nariño </t>
  </si>
  <si>
    <t xml:space="preserve">pago harrison lopez </t>
  </si>
  <si>
    <t>pago montacargas angie valencia</t>
  </si>
  <si>
    <t>pago dr construcciones antalucia del valle</t>
  </si>
  <si>
    <t>pago membresia el sur es mi norte</t>
  </si>
  <si>
    <t>pago poliza carvajal</t>
  </si>
  <si>
    <t>pago guantes compañía de servicios logisticos</t>
  </si>
  <si>
    <t>pago acompañamiento contable cristina lasso</t>
  </si>
  <si>
    <t>pago trafo</t>
  </si>
  <si>
    <t>pago certificado libertad y tradicion</t>
  </si>
  <si>
    <t>pago nomina jorge quintero</t>
  </si>
  <si>
    <t>pago intereses natalia segura julio</t>
  </si>
  <si>
    <t>siigo</t>
  </si>
  <si>
    <t>sistemas</t>
  </si>
  <si>
    <t>pago callas remolino jesus remolino</t>
  </si>
  <si>
    <t>pago pagina web</t>
  </si>
  <si>
    <t>pago renders naos 3 Juan Manuel Muñoz</t>
  </si>
  <si>
    <t>pago pedro riascos</t>
  </si>
  <si>
    <t xml:space="preserve">pago baños naos 2 </t>
  </si>
  <si>
    <t>ANTICIPO NAOS EVOLTI</t>
  </si>
  <si>
    <t>Estriuctura Solaire NAOS 2</t>
  </si>
  <si>
    <t xml:space="preserve">Credito Banco de occidente </t>
  </si>
  <si>
    <t>COMPRA EN CAFFETO BE</t>
  </si>
  <si>
    <t>COMPRA EN LATAM AIRL</t>
  </si>
  <si>
    <t>COMPRA INTL FACEBK 9RV889CNE</t>
  </si>
  <si>
    <t>COMPRA INTL FACEBK 9PBMJ7QNE</t>
  </si>
  <si>
    <t>COMPRA INTL FACEBK 2SYVT78NE</t>
  </si>
  <si>
    <t>2m Cable de control 8x12 AWGJESÚS HERNÁN PATIÑOCAMILO MELO</t>
  </si>
  <si>
    <t>Envío dotación, cable y adhesivos Pasto - RemolinoLIBARDO HERNÁNDEZCAMILO MELO</t>
  </si>
  <si>
    <t>4m Cable 12 AWG CuDISTRIBUCIONES ACCAMILO MELO</t>
  </si>
  <si>
    <t xml:space="preserve">transprote wilian basante </t>
  </si>
  <si>
    <t>inversiones</t>
  </si>
  <si>
    <t>retencion 1% wilian basante</t>
  </si>
  <si>
    <t xml:space="preserve">retencion 6x1000 wilain basante </t>
  </si>
  <si>
    <t>compra arreglos oficina</t>
  </si>
  <si>
    <t>ingreso vero legalizacion</t>
  </si>
  <si>
    <t>TRANSPORTE INVIASJEISON JULIAN IPIALESJeison Julian Ipiales</t>
  </si>
  <si>
    <t>PALERMO IMAGENJEISON JULIAN IPIALESJeison Julian Ipiales</t>
  </si>
  <si>
    <t>MEDINUCLEARJEISON JULIAN IPIALESJeison Julian Ipiales</t>
  </si>
  <si>
    <t>Taxi a terminal mixtoMiguel Enriquez ChMiguel Enriquez Ch</t>
  </si>
  <si>
    <t>Camioneta Pasto-RemolinoMiguel Enriquez ChMiguel Enriquez Ch</t>
  </si>
  <si>
    <t>HidrataciónMiguel Enriquez ChMiguel Enriquez Ch</t>
  </si>
  <si>
    <t>Pasaje Remolino-Pasto (inspector)Miguel Enriquez ChMiguel Enriquez Ch</t>
  </si>
  <si>
    <t>Pasaje Remolino-Pasto Miguel Enriquez ChMiguel Enriquez Ch</t>
  </si>
  <si>
    <t>Taxi Terminal mixto-casaMiguel Enriquez ChMiguel Enriquez Ch</t>
  </si>
  <si>
    <t>Uber terminal caliMiguel Enriquez ChMiguel Enriquez Ch</t>
  </si>
  <si>
    <t>Pasaje Cali-pastoTransipiales SAMiguel Enriquez Ch</t>
  </si>
  <si>
    <t>Taxi apastamentoMiguel Enriquez ChMiguel Enriquez Ch</t>
  </si>
  <si>
    <t xml:space="preserve">reintegro miguel legalizaciom </t>
  </si>
  <si>
    <t xml:space="preserve">Transporte (Terminal - Casa) Stefanya LassoStefanya Lasso </t>
  </si>
  <si>
    <t xml:space="preserve">Transporte (Casa - Terminal)Miguel EnriquezStefanya Lasso </t>
  </si>
  <si>
    <t xml:space="preserve">Transporte (Casa - Terminal)Stefanya LassoStefanya Lasso </t>
  </si>
  <si>
    <t xml:space="preserve">Transporte (Terminal popayan - Hotel)Stefanya LassoStefanya Lasso </t>
  </si>
  <si>
    <t xml:space="preserve">Pago 2 Habitaciones en hotel Panorama PopayanAlzate Rubiano LucianoStefanya Lasso </t>
  </si>
  <si>
    <t xml:space="preserve">Transporte (Hotel - Club campestre Popayan)Stefanya LassoStefanya Lasso </t>
  </si>
  <si>
    <t xml:space="preserve">Pago licencia de construcción NAOS 2 Alcaldia municipal de TaminangoStefanya Lasso </t>
  </si>
  <si>
    <t>pago licencia</t>
  </si>
  <si>
    <t xml:space="preserve">Transporte compra de pasajes (Oficina-Terminal) Stefanya LassoStefanya Lasso </t>
  </si>
  <si>
    <t xml:space="preserve">Tiquete de transporte de pasajeros Miguel Enriquez (Pasto-Popayan)TRANSIPIALES SAStefanya Lasso </t>
  </si>
  <si>
    <t xml:space="preserve">Tiquete de transporte de pasajeros Stefanya Lasso (Pasto-Popayan)TRANSIPIALES SAStefanya Lasso </t>
  </si>
  <si>
    <t xml:space="preserve">Transporte (Club Campestre - Hotel)Stefanya LassoStefanya Lasso </t>
  </si>
  <si>
    <t xml:space="preserve">2 Desayunos (Miguel-Stefanya)DUQUE RAMIREZ SASStefanya Lasso </t>
  </si>
  <si>
    <t xml:space="preserve">Hidratación Miguel Enriquez Miguel EnriquezStefanya Lasso </t>
  </si>
  <si>
    <t xml:space="preserve">Hidratación Stefanya LassoStefanya LassoStefanya Lasso </t>
  </si>
  <si>
    <t xml:space="preserve">Transporte (Hotel - Terminal Popayan)Stefanya LassoStefanya Lasso </t>
  </si>
  <si>
    <t xml:space="preserve">Tiquete de transporte de pasajeros Miguel Enriquez (Popayan-Cali)VELOTAX LTDAStefanya Lasso </t>
  </si>
  <si>
    <t xml:space="preserve">Tiquete de transporte de pasajeros Stefanya Lasso (Popayan-Cali)VELOTAX LTDAStefanya Lasso </t>
  </si>
  <si>
    <t xml:space="preserve">Transporte (Terminal cali - Apartamento)Stefanya LassoStefanya Lasso </t>
  </si>
  <si>
    <t xml:space="preserve">Transporte (Apartamento - Sonarplas) Miguel EnriquezStefanya Lasso </t>
  </si>
  <si>
    <t>devolcuion poliza carvajal</t>
  </si>
  <si>
    <t>pago planilla Veronica Santacruz</t>
  </si>
  <si>
    <t>pago planilla  HERMANN DAVID  SOUZA CUBIDES</t>
  </si>
  <si>
    <t>pago planilla  CRISTHIAN DUMAR MORENO VILLARREAL</t>
  </si>
  <si>
    <t>pago planilla Jhoana Marcela German Reyes</t>
  </si>
  <si>
    <t>pago planilla Sandra Carolina Patascoy Reyes</t>
  </si>
  <si>
    <t>pago planilla Loren Diaz</t>
  </si>
  <si>
    <t xml:space="preserve">pago planila Maria Chamorro </t>
  </si>
  <si>
    <t xml:space="preserve">pago planilla Camilo Melo </t>
  </si>
  <si>
    <t xml:space="preserve">pago planilla Danna Stefabya Lasso </t>
  </si>
  <si>
    <t>pago planilla Miguel Enriquez</t>
  </si>
  <si>
    <t>pago planilla Jeison Ipiales</t>
  </si>
  <si>
    <t>pago planilla Juan Fernando Paniagua</t>
  </si>
  <si>
    <t>pago planilla Jeancarlo Moncayo</t>
  </si>
  <si>
    <t>pago planilla Javier Sebastian Lucena</t>
  </si>
  <si>
    <t xml:space="preserve">pago planilla Leibnitz Chana </t>
  </si>
  <si>
    <t xml:space="preserve">pago planilla Kelly Alvarez </t>
  </si>
  <si>
    <t>pago planilla Juan Manuel España</t>
  </si>
  <si>
    <t>pago planilla Yuly Andre Jaramillo</t>
  </si>
  <si>
    <t xml:space="preserve">pago planilla Daniel Medina </t>
  </si>
  <si>
    <t>pago planilla  RODRIGO QUINTERO DIAZ</t>
  </si>
  <si>
    <t xml:space="preserve">pago planilla SEGUNDO MARCIAL GELPUD BOTINA </t>
  </si>
  <si>
    <t>pago planilla  JIMMI ALEXANDER BURGOS GUERRERO</t>
  </si>
  <si>
    <t>pago planilla  EDILFONSO ROSERO CASTILLO</t>
  </si>
  <si>
    <t>pago planilla  JORGE ANDRES BARRERA YANDAR</t>
  </si>
  <si>
    <t>pago planilla  OSCAR ANDRES CASTRO BOTINA</t>
  </si>
  <si>
    <t xml:space="preserve">pago planilla MARIO ALEXANDER CUSIS HERNANDEZ </t>
  </si>
  <si>
    <t>pago planilla  RUDY GABRIEL TIMARAN SANTACRUZ</t>
  </si>
  <si>
    <t xml:space="preserve">pago planilla JHONNY FRANCISCO CEBALLOS BURBANO </t>
  </si>
  <si>
    <t>pago planilla  ALBEIRO ORLANDO ESPAÑA HERNANDEZ</t>
  </si>
  <si>
    <t>pago planilla  KEVIN ALEXIS BENITEZ ORTEGA</t>
  </si>
  <si>
    <t>pago planilla  JUAN ESTEBAN BLANCO QUIROGA</t>
  </si>
  <si>
    <t>pago planilla  JUAN CAMILO GARCIA SOUZA</t>
  </si>
  <si>
    <t>pago planilla  PABLO FERNANDO BENAVIDES CHAVES</t>
  </si>
  <si>
    <t xml:space="preserve">pago planilla JEFERSON  VERGARA MUÑOZ </t>
  </si>
  <si>
    <t xml:space="preserve">pago planilla JOY JAMIT MOSQUERA ORDOÑEZ </t>
  </si>
  <si>
    <t xml:space="preserve">pago planilla RUBEN DARIO SILVA RODRIGUEZ </t>
  </si>
  <si>
    <t>pago planilla  RUBEN DARIO ESPINOSA PARRA</t>
  </si>
  <si>
    <t>pago planilla RUIZ VICTOR ALEXANDER</t>
  </si>
  <si>
    <t>pago planilla  JOSE ALVEIRO CUSIS HERNANDEZ</t>
  </si>
  <si>
    <t xml:space="preserve">pago planilla CATERIN ELIZABETH AREVALO ORTEGA </t>
  </si>
  <si>
    <t>pago planilla  MANUEL RODRIGO CORDOBA ORDOÑEZ</t>
  </si>
  <si>
    <t>pago planilla  EDWIN LEONARDO MARTINEZ YAQUENO</t>
  </si>
  <si>
    <t>pago planilla  EDWAR AMILCAR CHAGUEZA GOMEZ</t>
  </si>
  <si>
    <t>pago planilla  IVAN DARIO  CAICEDO CALVACHE</t>
  </si>
  <si>
    <t>pago planilla  DIEGO FERNANDO GARCIA CHAVES</t>
  </si>
  <si>
    <t>pago planilla  CARLOS ANDRES MARCILLO ARCOS</t>
  </si>
  <si>
    <t xml:space="preserve">pago planilla ANDRES FELIPE DELGADO ZUTTA </t>
  </si>
  <si>
    <t>pago planilla  IVAN CAMILO MENESES ORDOÑEZ</t>
  </si>
  <si>
    <t>pago planilla  DANIEL CAMILO ARTEAGA CASTRO</t>
  </si>
  <si>
    <t>pago planilla  LUZ IRMA ORTEGA CIFUENTES</t>
  </si>
  <si>
    <t>pago planilla  OLIVER  GUTIERREZ MARTINEZ</t>
  </si>
  <si>
    <t>pago planilla  JHONSIN ARLEY ARIAS CEBALLOS</t>
  </si>
  <si>
    <t>pago planilla  CARLOS ANDRES CERON PAREDES</t>
  </si>
  <si>
    <t>pago planilla  JHON ALEXANDER GELPUD ZAMORA</t>
  </si>
  <si>
    <t>pago planilla  JASON STEVEN  DIAZ GUEVARA</t>
  </si>
  <si>
    <t>pago nomina JEANCARLO GUILLERMO MONCAYO ANDRADE</t>
  </si>
  <si>
    <t>pago nomina JUAN FERNANDO PANIAGUA OSORIO</t>
  </si>
  <si>
    <t>pago nomina SEGUNDO MARCIAL GELPUD BOTINA</t>
  </si>
  <si>
    <t>pago nomina MANUEL RODRIGO CORDOBA ORDOÑEZ</t>
  </si>
  <si>
    <t>pago nomina JHOANA MARCELA GERMAN REYES</t>
  </si>
  <si>
    <t>pago nomina JOSE ALVEIRO CUSIS HERNANDEZ</t>
  </si>
  <si>
    <t>pago nomina JUAN MANUEL ESPAÑA FORERO</t>
  </si>
  <si>
    <t>pago nomina SANDRA CAROLINA PATASCOY BOTINA</t>
  </si>
  <si>
    <t>pago nomina DANIEL FERNANDO MEDINA GUERRERO</t>
  </si>
  <si>
    <t>pago nomina HERMANN SOUZA CUBIDES</t>
  </si>
  <si>
    <t>pago nomina IVAN DARIO CAICEDO CALVACHE</t>
  </si>
  <si>
    <t>pago nomina LEIBNITZ EDUARDO CHANA CALDERON</t>
  </si>
  <si>
    <t>pago nomina CAMILO ESTEBAN MELO CALVACHE</t>
  </si>
  <si>
    <t>pago nomina JASON STEVEN DIAZ GUEVARA </t>
  </si>
  <si>
    <t>pago nomina OSCAR ANDRES CASTRO BOTINA</t>
  </si>
  <si>
    <t>pago nomina MIGUEL ALEJANDRO ENRIQUEZ CHAMORRO</t>
  </si>
  <si>
    <t>pago nomina KELLY TATIANA ALVAREZ GARCIA</t>
  </si>
  <si>
    <t>pago nomina YULY ANDREA JARAMILLO GUERRERO</t>
  </si>
  <si>
    <t>pago nomina DANNA STEFANYA LASSO GUERRA</t>
  </si>
  <si>
    <t>pago nomina LOREN ALEJANDRA DIAZ YAMPUEZAN</t>
  </si>
  <si>
    <t xml:space="preserve">pago nomina MARIA FERNANDA CHAMORRO </t>
  </si>
  <si>
    <t>pago nomina VERONICA LILIANA SANTACRUZ MENZA</t>
  </si>
  <si>
    <t>pago nomina ALBEIRO ORLANDO ESPAÑA HERNANDEZ</t>
  </si>
  <si>
    <t>pago nomina JHONSIN ARLEY ARIAS CEBALLOS</t>
  </si>
  <si>
    <t xml:space="preserve">pago nomina PABLO FERNANDO BENAVIDES CHAVES </t>
  </si>
  <si>
    <t xml:space="preserve">pago nomina JHON ALEXANDER GELPUD ZAMORA </t>
  </si>
  <si>
    <t xml:space="preserve">pago nomina RUBEN DARIO ESPINOSA PARRA </t>
  </si>
  <si>
    <t>pago nomina MARIO ALEXANDER CUSIS HERNANDEZ</t>
  </si>
  <si>
    <t>pago nomina JEISON JULIAN IPIALES BENAVIDES</t>
  </si>
  <si>
    <t>pago nomina EDILFONSO ROSERO CASTILLO</t>
  </si>
  <si>
    <t>pago nomina JIMMI ALEXANDER BURGOS GUERRERO</t>
  </si>
  <si>
    <t>pago nomina JAVIER SEBASTIÁN LUCENA VILLARREAL</t>
  </si>
  <si>
    <t>pago nomina CATERIN ELIZABETH AREVALO ORTEGA</t>
  </si>
  <si>
    <t>pago nomina JUAN CAMILO GARCIA SOUZA</t>
  </si>
  <si>
    <t>pago nomina IVAN CAMILO MENESES ORDOÑEZ</t>
  </si>
  <si>
    <t xml:space="preserve">pago nomina JHONNY FRANCISCO CEBALLOS BURBANO </t>
  </si>
  <si>
    <t>pago nomina EDWAR AMILCAR CHAGUEZA GOMEZ</t>
  </si>
  <si>
    <t>pago nomina RUBEN DARIO SILVA RODRIGUEZ</t>
  </si>
  <si>
    <t xml:space="preserve">pago nomina JUAN ESTEBAN BLANCO QUIROGA </t>
  </si>
  <si>
    <t>pago nomina LUZ IRMA ORTEGA CIFUENTES</t>
  </si>
  <si>
    <t>pago nomina RODRIGO QUINTERO DIAZ</t>
  </si>
  <si>
    <t>pago nomina JEFERSON VERGARA MUÑOZ</t>
  </si>
  <si>
    <t xml:space="preserve">pago nomina VICTOR ALEXANDER RUIZ </t>
  </si>
  <si>
    <t>pago nomina JORGE ANDRES BARRERA YANDAR</t>
  </si>
  <si>
    <t>pago nomina EDWIN LEONARDO MARTINEZ YAQUENO</t>
  </si>
  <si>
    <t>pago nomina JOY JAMIT MOSQUERA ORDOÑEZ</t>
  </si>
  <si>
    <t xml:space="preserve">pago nomina CARLOS ANDRES CERON PAREDES </t>
  </si>
  <si>
    <t xml:space="preserve">pago nomina JORGE ANDRES QUINTERO PEÑA </t>
  </si>
  <si>
    <t>pago nomina ANDRES FELIPE DELGADO ZUTTA</t>
  </si>
  <si>
    <t xml:space="preserve">pago nomina ANA MILENA HENAO GONZALES </t>
  </si>
  <si>
    <t>pago nomina JORGE ANDRES MUÑOZ MARTINEZ</t>
  </si>
  <si>
    <t xml:space="preserve">pago nomina JOSE ESTEBAN RODRIGUEZ QUINTERO </t>
  </si>
  <si>
    <t>pago nomina HERNAN DARIO CABRERA QUITIAQUEZ</t>
  </si>
  <si>
    <t>pago nomina YALINER ILVIRA FIGUEROA</t>
  </si>
  <si>
    <t>pago nomina ANDRES WILFREDY BASTIDAS GALINDEZ</t>
  </si>
  <si>
    <t>pago nomina EYDER QUINTERO DIAZ</t>
  </si>
  <si>
    <t>pago nomina ALBERT FIGUEROA</t>
  </si>
  <si>
    <t>pago nomina CAROLINA CARDONA PAREJA</t>
  </si>
  <si>
    <t xml:space="preserve">cosas aseo administracion </t>
  </si>
  <si>
    <t>compra javier benavides erazo astuco</t>
  </si>
  <si>
    <t xml:space="preserve">legalizacion caterin </t>
  </si>
  <si>
    <t xml:space="preserve">envio </t>
  </si>
  <si>
    <t>pago video clip sonarplas</t>
  </si>
  <si>
    <t xml:space="preserve">pago sillas remodelacion tugo </t>
  </si>
  <si>
    <t>pago jimmy jojoa</t>
  </si>
  <si>
    <t xml:space="preserve">pago reintegro stefan remodelacion </t>
  </si>
  <si>
    <t xml:space="preserve">pago agrico cemento </t>
  </si>
  <si>
    <t>pago trompo mezclador</t>
  </si>
  <si>
    <t>pago arena y triturado daniel ortega</t>
  </si>
  <si>
    <t>pago alquiler andamios luis angulo</t>
  </si>
  <si>
    <t>pago grupo defa cupo</t>
  </si>
  <si>
    <t>pago legalizacion nelson ruiz</t>
  </si>
  <si>
    <t>pago legalizacion harrison lopez</t>
  </si>
  <si>
    <t xml:space="preserve">pago legalizacion Juan Fer </t>
  </si>
  <si>
    <t xml:space="preserve">pago planilla jorge quintero </t>
  </si>
  <si>
    <t>Cuota credito Banco de Bogota</t>
  </si>
  <si>
    <t>Intereses Banco de Bogota</t>
  </si>
  <si>
    <t>COMPRA EN GOOGLE ADS</t>
  </si>
  <si>
    <t>COMPRA EN V1501 SAS</t>
  </si>
  <si>
    <t>COMPRA EN MPOS GLOBAL*VERSILIA</t>
  </si>
  <si>
    <t>COMPRA EN DUNKIN DONUTS PV 248</t>
  </si>
  <si>
    <t>retenciones</t>
  </si>
  <si>
    <t>retencion 6x1000 william basante</t>
  </si>
  <si>
    <t>distribuidora acabados del sur pintura acabados oficina</t>
  </si>
  <si>
    <t>Diesel para camioneta EDS Terpel Rio MayoJeancarlo G Moncayo</t>
  </si>
  <si>
    <t>Gasolina Guadaña y motosierra x 1 pomaEDS Terpel Rio MayoJeancarlo G Moncayo</t>
  </si>
  <si>
    <t>limas, guantes, machetes, llantas buguisFerreteria FerroMacJeancarlo G Moncayo</t>
  </si>
  <si>
    <t>4 botellones de aguaEl Centavo menosJeancarlo G Moncayo</t>
  </si>
  <si>
    <t>Impresiones documentos varios Jeancarlo MoncayoJeancarlo G Moncayo</t>
  </si>
  <si>
    <t>Filtro de aire para motosierraAgrico DistribuidoraJeancarlo G Moncayo</t>
  </si>
  <si>
    <t>Pago aseo habitaciones Semana 15 a 20 de JulioViviana EnriquezJeancarlo G Moncayo</t>
  </si>
  <si>
    <t>Afilada de machetesAlmacen y taller WilliamsJeancarlo G Moncayo</t>
  </si>
  <si>
    <t>Desayuno viaticos ida recoger resolucion naos 3 LCJeancarlo MoncayoJeancarlo G Moncayo</t>
  </si>
  <si>
    <t>Almuerzo viaticos ida recoger resolucion naos 3 LCJeancarlo MoncayoJeancarlo G Moncayo</t>
  </si>
  <si>
    <t>Viaticos Edilfonso Rosero Remolino - Pasto - RemolinoEdilfonso RoseroJeancarlo G Moncayo</t>
  </si>
  <si>
    <t>Viaticos Jimmy Burgos Remolino - Pasto - RemolinoJimmy BurgosJeancarlo G Moncayo</t>
  </si>
  <si>
    <t>Viaticos Jeancarlo Moncayo Remolino - Pasto - RemolinoJeancarlo MoncayoJeancarlo G Moncayo</t>
  </si>
  <si>
    <t>ACPM Camioneta EDS Servicentro PanamericanaJeancarlo G Moncayo</t>
  </si>
  <si>
    <t>Lavada General camionetaJeancarlo MoncayoJeancarlo G Moncayo</t>
  </si>
  <si>
    <t>30 tablas, listones, puntillas, cal, flexosFerreteria FerroMacJeancarlo G Moncayo</t>
  </si>
  <si>
    <t>Cierra ciruclar, cinta peligro, pintura roja.Ferreteria FerroMacJeancarlo G Moncayo</t>
  </si>
  <si>
    <t>12 listones 8 x 4Ferreteria FerroMacJeancarlo G Moncayo</t>
  </si>
  <si>
    <t>5 cajas de puntillasFerreteria FerroMacJeancarlo G Moncayo</t>
  </si>
  <si>
    <t>Pago aseo habitaciones Semana 22 al 27 de JulioViviana EnriquezJeancarlo G Moncayo</t>
  </si>
  <si>
    <t>Hielo  semana del 29 de julio al 2 de agosto de 2024Jeancarlo MoncayoJeancarlo G Moncayo</t>
  </si>
  <si>
    <t>Viaticos Segundo Gelpud Remolino - Pasto - RemolinoSegundo GelpudJeancarlo G Moncayo</t>
  </si>
  <si>
    <t>Ingreso visita jeison ipiales</t>
  </si>
  <si>
    <t>1 kg de arenaITALIANA LA ÚNICACAMILO MELO</t>
  </si>
  <si>
    <t>Termoencogible, estaño, pomada, cautínSOLUCIONES ELÉCTRICAS T Y CCAMILO MELO</t>
  </si>
  <si>
    <t>Discos de corte, guaya, perros, tornillo avellanadoTODO TORNILLOCAMILO MELO</t>
  </si>
  <si>
    <t>Cinta peligroDISTRIBUCIONES ABCAMILO MELO</t>
  </si>
  <si>
    <t>Impresión planosSERVIPLOTTERCAMILO MELO</t>
  </si>
  <si>
    <t>Tornillospara techo, tornillo autoperforante y neoprenosTODO TORNILLOCAMILO MELO</t>
  </si>
  <si>
    <t>1 Router TP LINK 2 antenasRADIO SANYOCAMILO MELO</t>
  </si>
  <si>
    <t>Envío router Pasto - CaliSEVIENTREGACAMILO MELO</t>
  </si>
  <si>
    <t>transporte jhon henrry</t>
  </si>
  <si>
    <t xml:space="preserve">legalizavion sebastian </t>
  </si>
  <si>
    <t xml:space="preserve">legalizacion eduardo </t>
  </si>
  <si>
    <t>Adaptador para reflectorKUTINCAMILO MELO</t>
  </si>
  <si>
    <t>1/16 Pintura negra mateFERRETERIA SAN PEDRO LA 16CAMILO MELO</t>
  </si>
  <si>
    <t>Carrera piaggio Batericars - CaffetoDIEGO ORLANDO ENRÍQUEZCAMILO MELO</t>
  </si>
  <si>
    <t>Carrera piaggio Caffeto - OficinaDIEGO ORLANDO ENRÍQUEZCAMILO MELO</t>
  </si>
  <si>
    <t>Carrera piaggio Batericars - NovacentroDIEGO ORLANDO ENRÍQUEZCAMILO MELO</t>
  </si>
  <si>
    <t>Carrera piaggio Oficina - CongenarJOSÉ CUARÁNCAMILO MELO</t>
  </si>
  <si>
    <t>Carrera piaggio Parque Bolívar - Arnulfo GuerreroJOSÉ CUARÁNCAMILO MELO</t>
  </si>
  <si>
    <t>Cable #8 Cu, Bornas #2DEFACAMILO MELO</t>
  </si>
  <si>
    <t>Pintura tráfico amarillaDISTRIBUCIONES ABCAMILO MELO</t>
  </si>
  <si>
    <t>Brochas 2"DISTRIBUCIONES ABCAMILO MELO</t>
  </si>
  <si>
    <t>Envío marquillas y acrílicos Pasto - CaliSERVIENTREGACAMILO MELO</t>
  </si>
  <si>
    <t>pago alimentacion ediuardo y acterin</t>
  </si>
  <si>
    <t xml:space="preserve">pago transporte ida </t>
  </si>
  <si>
    <t xml:space="preserve">transporte regreso </t>
  </si>
  <si>
    <t>pago equirent factura 99275 agosto</t>
  </si>
  <si>
    <t>pago equirent factura 97388 julio</t>
  </si>
  <si>
    <t xml:space="preserve">pago vanessa moncayo naos 2 </t>
  </si>
  <si>
    <t>pago njuan barrera anticipo y pago final</t>
  </si>
  <si>
    <t xml:space="preserve">Tramites </t>
  </si>
  <si>
    <t>pago mauricio rosero</t>
  </si>
  <si>
    <t>pago señal grafica remodelacion oficina</t>
  </si>
  <si>
    <t>pago vuelos juan fernando paniagua</t>
  </si>
  <si>
    <t xml:space="preserve">pago tablesa </t>
  </si>
  <si>
    <t>pago reintegro andrea jaramillo</t>
  </si>
  <si>
    <t xml:space="preserve">pago david diaz anticpo polaris 1,2 y 3 50% </t>
  </si>
  <si>
    <t xml:space="preserve">pago david diaz anticpo antares pago total </t>
  </si>
  <si>
    <t xml:space="preserve">pago david diaz retencion art 383 </t>
  </si>
  <si>
    <t>pago upme casa pabon</t>
  </si>
  <si>
    <t>pago upme santa helena</t>
  </si>
  <si>
    <t>pago tiquete kelly naos</t>
  </si>
  <si>
    <t>pago alia pruebas sicotecnicas</t>
  </si>
  <si>
    <t>pago asenso</t>
  </si>
  <si>
    <t>pago tigo oficina</t>
  </si>
  <si>
    <t>pago tigo coorporativo</t>
  </si>
  <si>
    <t>pago anticipo 50% antares juan manuel muñoz</t>
  </si>
  <si>
    <t>pago anticipo 50% polaris juan manuel muñoz</t>
  </si>
  <si>
    <t xml:space="preserve">pago humberto rosero marcos </t>
  </si>
  <si>
    <t xml:space="preserve">pago ips bienestar </t>
  </si>
  <si>
    <t xml:space="preserve">pago seguridad suministro epp energizante </t>
  </si>
  <si>
    <t>pago milton rivera placas</t>
  </si>
  <si>
    <t>pago reintegro hermann pay pal</t>
  </si>
  <si>
    <t xml:space="preserve">pago reintegro jorfue quintero </t>
  </si>
  <si>
    <t>pago alia pruebas sicotecnicas Ana Milena</t>
  </si>
  <si>
    <t>pago ana cristina hotel andrea</t>
  </si>
  <si>
    <t xml:space="preserve">pago erica salas aprovechamientos naos 2 </t>
  </si>
  <si>
    <t>pago erica salas aprovechamientos naos 3</t>
  </si>
  <si>
    <t xml:space="preserve">pago sura </t>
  </si>
  <si>
    <t xml:space="preserve">pago tiquete marcela </t>
  </si>
  <si>
    <t xml:space="preserve">pago alai telecomunicaciones </t>
  </si>
  <si>
    <t xml:space="preserve">pago insegal </t>
  </si>
  <si>
    <t>pago liquidacion caterin</t>
  </si>
  <si>
    <t xml:space="preserve">pago jhon monsalve tramites </t>
  </si>
  <si>
    <t>pago alimnetacion naos</t>
  </si>
  <si>
    <t xml:space="preserve">it certifica tianshi </t>
  </si>
  <si>
    <t>anticipo variedades carvajal</t>
  </si>
  <si>
    <t xml:space="preserve">ingreso emilio paneles </t>
  </si>
  <si>
    <t>Terrazas de Pinasaco 1 Casa 22</t>
  </si>
  <si>
    <t>ingreso caffeto</t>
  </si>
  <si>
    <t>COMPRA INTL FACEBK BZP8J8GNE</t>
  </si>
  <si>
    <t>COMPRA INTL OPENAI CHATGPT S</t>
  </si>
  <si>
    <t>COMPRA EN MERCADOPAG</t>
  </si>
  <si>
    <t>COMPRA EN NOTARIA 21</t>
  </si>
  <si>
    <t>abertura huecos oficina</t>
  </si>
  <si>
    <t>compra sika arreglo oficina</t>
  </si>
  <si>
    <t>ENVIO OFICINA</t>
  </si>
  <si>
    <t>TRANSPORETE WILIAN BASANTE</t>
  </si>
  <si>
    <t>tranporte oscar morales</t>
  </si>
  <si>
    <t xml:space="preserve">Transporte (Pasto - Remolino) - Stefanya LassoTRANSCORDILLERA S.A Stefanya Lasso </t>
  </si>
  <si>
    <t xml:space="preserve">Transporte (Pasto - Remolino) - Miguel EnriquezTRANSCORDILLERA S.A Stefanya Lasso </t>
  </si>
  <si>
    <t xml:space="preserve">Transporte (Pasto - Remolino) - Hernan CabreraTRANSCORDILLERA S.A Stefanya Lasso </t>
  </si>
  <si>
    <t xml:space="preserve">Hidratación Miguel EnriquezMiguel EnriquezStefanya Lasso </t>
  </si>
  <si>
    <t xml:space="preserve">Hidratación Hernan CabreraHernan CabreraStefanya Lasso </t>
  </si>
  <si>
    <t xml:space="preserve">Transporte (Remolino - Pasto) - Stefanya LassoCOOCHACHAGUI LTDAStefanya Lasso </t>
  </si>
  <si>
    <t xml:space="preserve">Transporte (Remolino - Pasto) - Miguel Enriquez COOCHACHAGUI LTDAStefanya Lasso </t>
  </si>
  <si>
    <t xml:space="preserve">Transporte (Remolino - Pasto) - Hernan  cabreraCOOCHACHAGUI LTDAStefanya Lasso </t>
  </si>
  <si>
    <t>Te de aluminioLA FERROCAMILO MELO</t>
  </si>
  <si>
    <t>PasacablesLA FERROCAMILO MELO</t>
  </si>
  <si>
    <t>Tornillo tropicalizado, tuerca y wasaTODO TORNILLOCAMILO MELO</t>
  </si>
  <si>
    <t>Aisladores tipo yoyo, caja 4x4 con tapaSOLUCIONES ELECTRICAS T Y CCAMILO MELO</t>
  </si>
  <si>
    <t>Rosca de tubo 1/2"EL NIPLECAMILO MELO</t>
  </si>
  <si>
    <t>Casa Pabon</t>
  </si>
  <si>
    <t>Termoencogible, grapas, prensa estopas, caja de paso 20x20x10SOLUCIONES ELECTRICAS T Y CCAMILO MELO</t>
  </si>
  <si>
    <t>Botellones de aguaAUTOSERVICIO MERKAHORROCAMILO MELO</t>
  </si>
  <si>
    <t>Adaptador 12V 1ARADIO SANYOCAMILO MELO</t>
  </si>
  <si>
    <t>Botellas polisportBOLSIPLAS DISTRIBUCIONESCAMILO MELO</t>
  </si>
  <si>
    <t>Mata filoDISTRICAUCHOS Y EMPAQUES DEL SURCAMILO MELO</t>
  </si>
  <si>
    <t>Breakers 15A y 20ADISTRIBUCIONES ELECTRICAS ACCAMILO MELO</t>
  </si>
  <si>
    <t>Breakers 15A y 20A, conector recto de corazaDISTRIBUCIONES ELECTRICAS ACCAMILO MELO</t>
  </si>
  <si>
    <t>Conector recto de coraza, terminales PVCDISTRIBUCIONES ELECTRICAS ACCAMILO MELO</t>
  </si>
  <si>
    <t>Discos corte metal, brocas metalDISTRIBUCIONES  ABCAMILO MELO</t>
  </si>
  <si>
    <t>Tapa caja radwell 2x4DEFACAMILO MELO</t>
  </si>
  <si>
    <t>Prensa estopasDISTRIBUCIONES ELECTRICAS ACCAMILO MELO</t>
  </si>
  <si>
    <t>Impresión documentosSERVIPLOTTERCAMILO MELO</t>
  </si>
  <si>
    <t>Acrílicos y láminas de PVCBICOLORCAMILO MELO</t>
  </si>
  <si>
    <t>Láminas de PVCBICOLORCAMILO MELO</t>
  </si>
  <si>
    <t>Cinta de embalaje, vinipelDISTRIBUCIONES ABCAMILO MELO</t>
  </si>
  <si>
    <t>Yeso, nylonDISTRIBUCIONES ABCAMILO MELO</t>
  </si>
  <si>
    <t>Botellones de aguaMERKAHORROCAMILO MELO</t>
  </si>
  <si>
    <t>Arandelas, tornillos, brocas y copa 10mmTODO TORNILLOCAMILO MELO</t>
  </si>
  <si>
    <t>Tornillo tropicalizadoTODO TORNILLOCAMILO MELO</t>
  </si>
  <si>
    <t>Abrazaderas doble ala, excedente de cambio de bandejaSOLUCIONES ELECTRICAS T Y CCAMILO MELO</t>
  </si>
  <si>
    <t>GuaduasCENTRAL DE MADERASCAMILO MELO</t>
  </si>
  <si>
    <t>Tablero bifásicoDISTRIBUCIONES ACCAMILO MELO</t>
  </si>
  <si>
    <t>Chazo de expansiónDISTRIBUCIONES ABCAMILO MELO</t>
  </si>
  <si>
    <t>Terminal de ojo amarilloKUTINCAMILO MELO</t>
  </si>
  <si>
    <t>CiincelesFERREVARIEDADES LUPITACAMILO MELO</t>
  </si>
  <si>
    <t>Tornillo drywallDISTRIBUCIONES ABCAMILO MELO</t>
  </si>
  <si>
    <t>Grapa para rielDEFACAMILO MELO</t>
  </si>
  <si>
    <t>Caja DexsonDISTRIBUCIONES ABCAMILO MELO</t>
  </si>
  <si>
    <t>Cinta de peligroDISTRIBUCIONES ABCAMILO MELO</t>
  </si>
  <si>
    <t>Diesel para camioneta EDS Corporación RemolinoJeancarlo G Moncayo</t>
  </si>
  <si>
    <t>Diesel para trompo mezcladoraEDS Terpel Rio MayoJeancarlo G Moncayo</t>
  </si>
  <si>
    <t>Poma de aceite quemadoAlmacen y taller WilliamsJeancarlo G Moncayo</t>
  </si>
  <si>
    <t>Tanque 2m3Ferreteria FerroMacJeancarlo G Moncayo</t>
  </si>
  <si>
    <t>Aseo habitaciones semana 29 de julio al 3 de agosto de 2024 Viviana EnriquezJeancarlo G Moncayo</t>
  </si>
  <si>
    <t>3 Palendras y grasaFerreteria FerroMacJeancarlo G Moncayo</t>
  </si>
  <si>
    <t>pote de grasa rojaAlmacen y taller WilliamsJeancarlo G Moncayo</t>
  </si>
  <si>
    <t>2 Sandias (Fundicion)Jeancarlo MoncayoJeancarlo G Moncayo</t>
  </si>
  <si>
    <t>Bombeo agua señor alvaro usama administradorJeancarlo MoncayoJeancarlo G Moncayo</t>
  </si>
  <si>
    <t>pago tag marjetink admon</t>
  </si>
  <si>
    <t>pago rymel naos 2</t>
  </si>
  <si>
    <t>pago daniel ortega naos 2</t>
  </si>
  <si>
    <t xml:space="preserve">pago contrucciones futuro polaris </t>
  </si>
  <si>
    <t>pago derian chaves delta 50&amp;</t>
  </si>
  <si>
    <t>pago anticipo 30% grupo solaire incubadora</t>
  </si>
  <si>
    <t>Incubadora del Sur</t>
  </si>
  <si>
    <t xml:space="preserve">pago avial legal estructuracion </t>
  </si>
  <si>
    <t xml:space="preserve">pago mario azahini </t>
  </si>
  <si>
    <t>pago la italiana</t>
  </si>
  <si>
    <t xml:space="preserve">pago alfredo bucheli </t>
  </si>
  <si>
    <t>pago tmc  incubadora, san rafael</t>
  </si>
  <si>
    <t>pago tmc incubadora</t>
  </si>
  <si>
    <t>pago tmc vidrios centenarioa</t>
  </si>
  <si>
    <t>pago tmc modem reserva</t>
  </si>
  <si>
    <t>pago tmc santa elena</t>
  </si>
  <si>
    <t xml:space="preserve">pago 50% pedro riascos video </t>
  </si>
  <si>
    <t xml:space="preserve">pago impuestos dian </t>
  </si>
  <si>
    <t>pago alimnetacion naos marcos ojeda</t>
  </si>
  <si>
    <t xml:space="preserve">pago retencion en la fuente </t>
  </si>
  <si>
    <t>pago vuelo daniel medina</t>
  </si>
  <si>
    <t>pago poliza transporte mercancia</t>
  </si>
  <si>
    <t>pago agosto gd remolino</t>
  </si>
  <si>
    <t>pago carolina gomez</t>
  </si>
  <si>
    <t>arriendo Naos 2</t>
  </si>
  <si>
    <t>Iva naos 2</t>
  </si>
  <si>
    <t>retencion</t>
  </si>
  <si>
    <t>reteica</t>
  </si>
  <si>
    <t>Ariiendo naos 3</t>
  </si>
  <si>
    <t>iva naos 3</t>
  </si>
  <si>
    <t>bono de tierra naos 2</t>
  </si>
  <si>
    <t xml:space="preserve">retencion </t>
  </si>
  <si>
    <t>pago credito casa andina</t>
  </si>
  <si>
    <t>pago credito melba moncayo la ferro</t>
  </si>
  <si>
    <t>pago dotasol san rafael</t>
  </si>
  <si>
    <t xml:space="preserve">pago total montajes y soluciones </t>
  </si>
  <si>
    <t>pago anticipo 50% rymel naos 3</t>
  </si>
  <si>
    <t>pago revisora fiscarl</t>
  </si>
  <si>
    <t>pago madelumina</t>
  </si>
  <si>
    <t>pago mia ips examen ocupacional</t>
  </si>
  <si>
    <t>pago upme carvajal</t>
  </si>
  <si>
    <t>pago hotel remolino naos 2</t>
  </si>
  <si>
    <t>pago quincena jhonny ceballos</t>
  </si>
  <si>
    <t>inersores cafetto energytel</t>
  </si>
  <si>
    <t>ingreso gd remolino</t>
  </si>
  <si>
    <t>pago maliessa</t>
  </si>
  <si>
    <t>pago solaire factura 117008</t>
  </si>
  <si>
    <t>pago solaire factura 117020</t>
  </si>
  <si>
    <t>pago solaire factura 117069</t>
  </si>
  <si>
    <t>pago factura solaire 117182</t>
  </si>
  <si>
    <t xml:space="preserve">INTERESES NAOS </t>
  </si>
  <si>
    <t>COMPRA EN DUNKIN DON</t>
  </si>
  <si>
    <t>COMPRA EN RAPPI</t>
  </si>
  <si>
    <t>PAGO DE PROV SOCIEDAD V 15 0</t>
  </si>
  <si>
    <t>ingreso prestamos natalia segura</t>
  </si>
  <si>
    <t xml:space="preserve">ingreso edupar </t>
  </si>
  <si>
    <t>ingreso campos de aragon</t>
  </si>
  <si>
    <t xml:space="preserve">devolucion quincena jhonny ceballos </t>
  </si>
  <si>
    <t xml:space="preserve">transporte pasto tangua andres </t>
  </si>
  <si>
    <t>andres zutta</t>
  </si>
  <si>
    <t>transporte tangua pasto</t>
  </si>
  <si>
    <t>trasnporte andres felipe zutta</t>
  </si>
  <si>
    <t>desayuno la catedral caffe reunion contabilidad</t>
  </si>
  <si>
    <t xml:space="preserve">compra vino entrega clinica pabon </t>
  </si>
  <si>
    <t xml:space="preserve">abono pasteles café la catedral </t>
  </si>
  <si>
    <t>saldo total pastele café catedral</t>
  </si>
  <si>
    <t>taxi juan camilo oficina-bellatriz</t>
  </si>
  <si>
    <t>cinta decoracion la cali entrega clinica pabon</t>
  </si>
  <si>
    <t xml:space="preserve">peaje pasto remolino entrena naos 1 </t>
  </si>
  <si>
    <t>marcela</t>
  </si>
  <si>
    <t>peaje remolino pasto entrega naos 1</t>
  </si>
  <si>
    <t>pastel de guayaba y corazones hojaldras</t>
  </si>
  <si>
    <t>taxis marcela oficina bellatiz</t>
  </si>
  <si>
    <t>Transporte Clinica Bellatriz - Lacteos AJAVIER SEBASTIAN LUCENA VILLARREAL</t>
  </si>
  <si>
    <t>sebastian</t>
  </si>
  <si>
    <t>transporte Lacteos Andino - OficinaJAVIER SEBASTIAN LUCENA VILLARREAL</t>
  </si>
  <si>
    <t>legalizacion dotacion eduardo koaj</t>
  </si>
  <si>
    <t>Envío dotación Pasto - RemolinoJESÚS ROMOCAMILO MELO</t>
  </si>
  <si>
    <t>Envío documentos Pasto - RemolinoJESÚS PIANDACAMILO MELO</t>
  </si>
  <si>
    <t>Sika boomDISTRIBUCIONES ABCAMILO MELO</t>
  </si>
  <si>
    <t>RouterRADIO SANYOCAMILO MELO</t>
  </si>
  <si>
    <t>Envío saltarín Pasto - RemolinoDANIEL ROJASCAMILO MELO</t>
  </si>
  <si>
    <t>Pintura sprayDISTRIBUCIONES ABCAMILO MELO</t>
  </si>
  <si>
    <t>Acrílicos, viniloBICOLORCAMILO MELO</t>
  </si>
  <si>
    <t>CepillosLA FERROCAMILO MELO</t>
  </si>
  <si>
    <t>Remaches, arandelasLA FERROCAMILO MELO</t>
  </si>
  <si>
    <t>BrocasLA FERROCAMILO MELO</t>
  </si>
  <si>
    <t>Tornillos, tuercas, arandelas, arandelas, kilos de alambre de amarreLA FERROCAMILO MELO</t>
  </si>
  <si>
    <t>Paños microfibra, cepillosDISTRIBUCIONES ABCAMILO MELO</t>
  </si>
  <si>
    <t>Tornillos, tuercas, wasasTODO TORNILLOCAMILO MELO</t>
  </si>
  <si>
    <t>Bloqueador solarDROGUERÍA VERSALLES CENTRO SUCURSAL 1CAMILO MELO</t>
  </si>
  <si>
    <t xml:space="preserve">trsnsporte jennifer </t>
  </si>
  <si>
    <t>retencion 1% jennifer</t>
  </si>
  <si>
    <t>retencion 6x1000 jennifer</t>
  </si>
  <si>
    <t>trasnporte wilian</t>
  </si>
  <si>
    <t>compra maleta daniel viaje</t>
  </si>
  <si>
    <t>Pasaje Pasto-RemolinoMiguel Enriquez ChMiguel Enriquez Ch</t>
  </si>
  <si>
    <t>Hidratacion IngenierosMiguel Enriquez ChMiguel Enriquez Ch</t>
  </si>
  <si>
    <t>Pasaje Remolino-PastoMiguel Enriquez ChMiguel Enriquez Ch</t>
  </si>
  <si>
    <t xml:space="preserve">pago asenso </t>
  </si>
  <si>
    <t>pago upme pinasaco</t>
  </si>
  <si>
    <t>pago 30% ferremallas naos</t>
  </si>
  <si>
    <t xml:space="preserve">pago Daniel ortega arena y triturado </t>
  </si>
  <si>
    <t>pago milton rivera</t>
  </si>
  <si>
    <t xml:space="preserve">pago poliza </t>
  </si>
  <si>
    <t>pago lean case</t>
  </si>
  <si>
    <t>pago negawatt</t>
  </si>
  <si>
    <t>pago total lyc ingenieria</t>
  </si>
  <si>
    <t>pago upme incubadora</t>
  </si>
  <si>
    <t>pago certificado proponentes</t>
  </si>
  <si>
    <t>pago inversores 50% estrunar y 50% carvajal weg colombia</t>
  </si>
  <si>
    <t>Estrunar</t>
  </si>
  <si>
    <t>pago humberto naos 1</t>
  </si>
  <si>
    <t>pago san rafael 50%</t>
  </si>
  <si>
    <t xml:space="preserve">pago pedro daniel </t>
  </si>
  <si>
    <t xml:space="preserve">pago nelson ruiz </t>
  </si>
  <si>
    <t>pago industrias fernanddez</t>
  </si>
  <si>
    <t>pago sonia baron persianas 50%</t>
  </si>
  <si>
    <t>pago grupo solaire casa pinasaco</t>
  </si>
  <si>
    <t>pinasaco</t>
  </si>
  <si>
    <t>pago 50% tableros naos 2 y 3 electricol</t>
  </si>
  <si>
    <t>pago maria amalia abogana</t>
  </si>
  <si>
    <t>pago poliza seguros de estado</t>
  </si>
  <si>
    <t>pago camara de comercio polaris 2</t>
  </si>
  <si>
    <t>polaris 2</t>
  </si>
  <si>
    <t>pago melba moncayo credito</t>
  </si>
  <si>
    <t xml:space="preserve">pago grupo de informacion modem </t>
  </si>
  <si>
    <t>pago corretaje gilberto lopez</t>
  </si>
  <si>
    <t>devolicion seguros del estado</t>
  </si>
  <si>
    <t>ingreso  v15 consultorios</t>
  </si>
  <si>
    <t>ingreso  congenar</t>
  </si>
  <si>
    <t xml:space="preserve">ingreso  dispropan </t>
  </si>
  <si>
    <t xml:space="preserve">ingreso natalia </t>
  </si>
  <si>
    <t>Ingreso Acuagen</t>
  </si>
  <si>
    <t>ingreso fit for all</t>
  </si>
  <si>
    <t xml:space="preserve">ingreso solisticio </t>
  </si>
  <si>
    <t>QUINCENASEGUNDO MARCIAL GELPUD BOTINA</t>
  </si>
  <si>
    <t>MANUEL RODRIGO CORDOBA ORDOÑEZQUINCENA</t>
  </si>
  <si>
    <t>JOSE ALVEIRO CUSIS HERNANDEZQUINCENA</t>
  </si>
  <si>
    <t>SANDRA CAROLINA PATASCOY BOTINAQUINCENA</t>
  </si>
  <si>
    <t>IVAN DARIO CAICEDO CALVACHEQUINCENA</t>
  </si>
  <si>
    <t>LEIBNITZ EDUARDO CHANA CALDERONQUINCENA</t>
  </si>
  <si>
    <t>CAMILO ESTEBAN MELO CALVACHEQUINCENA</t>
  </si>
  <si>
    <t>JASON STEVEN DIAZ GUEVARA QUINCENA</t>
  </si>
  <si>
    <t>OSCAR ANDRES CASTRO BOTINAQUINCENA</t>
  </si>
  <si>
    <t>YULY ANDREA JARAMILLO GUERREROQUINCENA</t>
  </si>
  <si>
    <t>LOREN ALEJANDRA DIAZ YAMPUEZANQUINCENA</t>
  </si>
  <si>
    <t>CAROLINA CARDONA PAREJAQUINCENA</t>
  </si>
  <si>
    <t>ALBEIRO ORLANDO ESPAÑA HERNANDEZQUINCENA</t>
  </si>
  <si>
    <t>JHONSIN ARLEY ARIAS CEBALLOSQUINCENA</t>
  </si>
  <si>
    <t>PABLO FERNANDO BENAVIDES CHAVES QUINCENA</t>
  </si>
  <si>
    <t>JHON ALEXANDER GELPUD ZAMORA QUINCENA</t>
  </si>
  <si>
    <t>RUBEN DARIO ESPINOSA PARRA QUINCENA</t>
  </si>
  <si>
    <t>MARIO ALEXANDER CUSIS HERNANDEZQUINCENA</t>
  </si>
  <si>
    <t>CRISTHIAN DUMAR MORENO VILLARREALQUINCENA</t>
  </si>
  <si>
    <t>EDILFONSO ROSERO CASTILLOQUINCENA</t>
  </si>
  <si>
    <t>JIMMI ALEXANDER BURGOS GUERREROQUINCENA</t>
  </si>
  <si>
    <t>JUAN CAMILO GARCIA SOUZAQUINCENA</t>
  </si>
  <si>
    <t>IVAN CAMILO MENESES ORDOÑEZQUINCENA</t>
  </si>
  <si>
    <t>JHONNY FRANCISCO CEBALLOS BURBANO QUINCENA</t>
  </si>
  <si>
    <t>EDWAR AMILCAR CHAGUEZA GOMEZQUINCENA</t>
  </si>
  <si>
    <t>RUBEN DARIO SILVA RODRIGUEZQUINCENA</t>
  </si>
  <si>
    <t>JUAN ESTEBAN BLANCO QUIROGA QUINCENA</t>
  </si>
  <si>
    <t>LUZ IRMA ORTEGA CIFUENTESQUINCENA</t>
  </si>
  <si>
    <t>RODRIGO QUINTERO DIAZQUINCENA</t>
  </si>
  <si>
    <t>JEFERSON VERGARA MUÑOZQUINCENA</t>
  </si>
  <si>
    <t>MARIA FERNANDA CHAMORRO CARLOSAMA QUINCENA</t>
  </si>
  <si>
    <t>ANDRES FELIPE DELGADO ZUTTAQUINCENA</t>
  </si>
  <si>
    <t>VICTOR ALEXANDER RUIZ QUINCENA</t>
  </si>
  <si>
    <t>JORGE ANDRES BARRERA YANDARQUINCENA</t>
  </si>
  <si>
    <t>EDWIN LEONARDO MARTINEZ YAQUENOQUINCENA</t>
  </si>
  <si>
    <t>JOY JAMIT MOSQUERA ORDOÑEZQUINCENA</t>
  </si>
  <si>
    <t>CARLOS ANDRES CERON PAREDES QUINCENA</t>
  </si>
  <si>
    <t>WILSON HARLKEY MALES CUASPUDQUINCENA</t>
  </si>
  <si>
    <t>DIANA CAMILA ZAMBRANO ORTEGAQUINCENA</t>
  </si>
  <si>
    <t>YALINER ILVIRA FIGUEROAQUINCENA</t>
  </si>
  <si>
    <t>ANDRES WILFREDY BASTIDAS GALINDEZQUINCENA</t>
  </si>
  <si>
    <t>EYDER QUINTERO DIAZQUINCENA</t>
  </si>
  <si>
    <t>ALBERT FIGUEROAQUINCENA</t>
  </si>
  <si>
    <t>QUINCENA AUXILIO DE MOVILIZACION DANNA STEFANIA</t>
  </si>
  <si>
    <t>QUINCENA AUXILIO DE MOVILIZACION SEBASTIAN</t>
  </si>
  <si>
    <t>QUINCENA AUXILIO DE MOVILIZACION JEISON IPIALES</t>
  </si>
  <si>
    <t>QUINCENA AUXILIO DE MOVILIZACION JUANFER</t>
  </si>
  <si>
    <t>QUINCENA AUXILIO DE MOVILIZACION MIGUEL</t>
  </si>
  <si>
    <t>PAGO PLANILLAJEANCARLO GUILLERMO MONCAYO ANDRADE</t>
  </si>
  <si>
    <t>PAGO PLANILLAJUAN FERNANDO PANIAGUA OSORIO</t>
  </si>
  <si>
    <t>PAGO PLANILLASEGUNDO MARCIAL GELPUD BOTINA</t>
  </si>
  <si>
    <t>PAGO PLANILLAMANUEL RODRIGO CORDOBA ORDOÑEZ</t>
  </si>
  <si>
    <t>PAGO PLANILLAJHOANA MARCELA GERMAN REYES</t>
  </si>
  <si>
    <t>PAGO PLANILLAJOSE ALVEIRO CUSIS HERNANDEZ</t>
  </si>
  <si>
    <t>PAGO PLANILLAJUAN MANUEL ESPAÑA FORERO</t>
  </si>
  <si>
    <t>PAGO PLANILLADANIEL FERNANDO MEDINA GUERRERO</t>
  </si>
  <si>
    <t>PAGO PLANILLAHERMANN SOUZA CUBIDES</t>
  </si>
  <si>
    <t>PAGO PLANILLASANDRA CAROLINA PATASCOY BOTINA</t>
  </si>
  <si>
    <t>PAGO PLANILLAIVAN DARIO CAICEDO CALVACHE</t>
  </si>
  <si>
    <t>PAGO PLANILLALEIBNITZ EDUARDO CHANA CALDERON</t>
  </si>
  <si>
    <t>PAGO PLANILLACAMILO ESTEBAN MELO CALVACHE</t>
  </si>
  <si>
    <t>PAGO PLANILLAJASON STEVEN DIAZ GUEVARA </t>
  </si>
  <si>
    <t>PAGO PLANILLAOSCAR ANDRES CASTRO BOTINA</t>
  </si>
  <si>
    <t>PAGO PLANILLAMIGUEL ALEJANDRO ENRIQUEZ CHAMORRO</t>
  </si>
  <si>
    <t>PAGO PLANILLAKELLY TATIANA ALVAREZ GARCIA</t>
  </si>
  <si>
    <t>PAGO PLANILLAYULY ANDREA JARAMILLO GUERRERO</t>
  </si>
  <si>
    <t>PAGO PLANILLADANNA STEFANYA LASSO GUERRA</t>
  </si>
  <si>
    <t>PAGO PLANILLALOREN ALEJANDRA DIAZ YAMPUEZAN</t>
  </si>
  <si>
    <t>PAGO PLANILLAMARIA FERNANDA CHAMORRO CARLOSAMA</t>
  </si>
  <si>
    <t>PAGO PLANILLAISABELA GONZALEZ HENAO</t>
  </si>
  <si>
    <t>PAGO PLANILLAVERONICA LILIANA SANTACRUZ MENZA</t>
  </si>
  <si>
    <t>PAGO PLANILLAALBEIRO ORLANDO ESPAÑA HERNANDEZ</t>
  </si>
  <si>
    <t>PAGO PLANILLAJHONSIN ARLEY ARIAS CEBALLOS</t>
  </si>
  <si>
    <t xml:space="preserve">PAGO PLANILLAPABLO FERNANDO BENAVIDES CHAVES </t>
  </si>
  <si>
    <t xml:space="preserve">PAGO PLANILLAJHON ALEXANDER GELPUD ZAMORA </t>
  </si>
  <si>
    <t xml:space="preserve">PAGO PLANILLARUBEN DARIO ESPINOSA PARRA </t>
  </si>
  <si>
    <t>PAGO PLANILLAMARIO ALEXANDER CUSIS HERNANDEZ</t>
  </si>
  <si>
    <t>PAGO PLANILLAJEISON JULIAN IPIALES BENAVIDES</t>
  </si>
  <si>
    <t>PAGO PLANILLACRISTHIAN DUMAR MORENO VILLARREAL</t>
  </si>
  <si>
    <t>PAGO PLANILLAEDILFONSO ROSERO CASTILLO</t>
  </si>
  <si>
    <t>PAGO PLANILLAJIMMI ALEXANDER BURGOS GUERRERO</t>
  </si>
  <si>
    <t>PAGO PLANILLAJAVIER SEBASTIÁN LUCENA VILLARREAL</t>
  </si>
  <si>
    <t>PAGO PLANILLACATERIN ELIZABETH AREVALO ORTEGA</t>
  </si>
  <si>
    <t>PAGO PLANILLAJUAN CAMILO GARCIA SOUZA</t>
  </si>
  <si>
    <t>PAGO PLANILLAIVAN CAMILO MENESES ORDOÑEZ</t>
  </si>
  <si>
    <t xml:space="preserve">PAGO PLANILLAJHONNY FRANCISCO CEBALLOS BURBANO </t>
  </si>
  <si>
    <t>PAGO PLANILLAEDWAR AMILCAR CHAGUEZA GOMEZ</t>
  </si>
  <si>
    <t>PAGO PLANILLARUBEN DARIO SILVA RODRIGUEZ</t>
  </si>
  <si>
    <t xml:space="preserve">PAGO PLANILLAJUAN ESTEBAN BLANCO QUIROGA </t>
  </si>
  <si>
    <t>PAGO PLANILLALUZ IRMA ORTEGA CIFUENTES</t>
  </si>
  <si>
    <t>PAGO PLANILLARODRIGO QUINTERO DIAZ</t>
  </si>
  <si>
    <t>PAGO PLANILLAJEFERSON VERGARA MUÑOZ</t>
  </si>
  <si>
    <t xml:space="preserve">PAGO PLANILLAVICTOR ALEXANDER RUIZ </t>
  </si>
  <si>
    <t>PAGO PLANILLAJORGE ANDRES BARRERA YANDAR</t>
  </si>
  <si>
    <t>PAGO PLANILLAEDWIN LEONARDO MARTINEZ YAQUENO</t>
  </si>
  <si>
    <t>PAGO PLANILLAJOY JAMIT MOSQUERA ORDOÑEZ</t>
  </si>
  <si>
    <t xml:space="preserve">PAGO PLANILLACARLOS ANDRES CERON PAREDES </t>
  </si>
  <si>
    <t xml:space="preserve">PAGO PLANILLAJORGE ANDRES QUINTERO PEÑA </t>
  </si>
  <si>
    <t>PAGO PLANILLAANDRES FELIPE DELGADO ZUTTA</t>
  </si>
  <si>
    <t xml:space="preserve">PAGO PLANILLAANA MILENA HENAO GONZALES </t>
  </si>
  <si>
    <t>PAGO PLANILLAJORGE ANDRES MUÑOZ MARTINEZ</t>
  </si>
  <si>
    <t xml:space="preserve">PAGO PLANILLAJOSE ESTEBAN RODRIGUEZ QUINTERO </t>
  </si>
  <si>
    <t>PAGO PLANILLAHERNAN DARIO CABRERA QUITIAQUEZ</t>
  </si>
  <si>
    <t>PAGO PLANILLAYALINER ILVIRA FIGUEROA</t>
  </si>
  <si>
    <t>PAGO PLANILLAANDRES WILFREDY BASTIDAS GALINDEZ</t>
  </si>
  <si>
    <t>PAGO PLANILLAEYDER QUINTERO DIAZ</t>
  </si>
  <si>
    <t>PAGO PLANILLAALBERT FIGUEROA</t>
  </si>
  <si>
    <t>PAGO PLANILLACAROLINA CARDONA PAREJA</t>
  </si>
  <si>
    <t xml:space="preserve">PAGO PLANILLAKEVIN ALEXIS BENITEZ ORTEGA </t>
  </si>
  <si>
    <t>PAGO PLANILLADANIEL CAMILO ARTEADA LIQUIDACION</t>
  </si>
  <si>
    <t xml:space="preserve">Transporte wilian basante </t>
  </si>
  <si>
    <t>transpore wilian basante</t>
  </si>
  <si>
    <t xml:space="preserve">ingreso legalizacion jeison  </t>
  </si>
  <si>
    <t>Envío paquete Pasto - RemolinoHEIDER CHAVEZCAMILO MELO</t>
  </si>
  <si>
    <t>Envío equipo de alturas Pasto - RemolinoRODRIGO GUERREROCAMILO MELO</t>
  </si>
  <si>
    <t>Lavado camionetaCAMILO MELOCAMILO MELO</t>
  </si>
  <si>
    <t>Envío saltarín Remolino - PastoJOSÉ DELGADOCAMILO MELO</t>
  </si>
  <si>
    <t>BrochasDISTRIBUCIONES ABCAMILO MELO</t>
  </si>
  <si>
    <t>Grapa para riel UNIFORCECAMILO MELO</t>
  </si>
  <si>
    <t>Uber Oficina - Hotel ChambúRUBÉN ESPINOSACAMILO MELO</t>
  </si>
  <si>
    <t>Cable vehicular #16BETTOCAMILO MELO</t>
  </si>
  <si>
    <t>Uber Oficina - SurtisurRUBÉN ESPINOSACAMILO MELO</t>
  </si>
  <si>
    <t>Uber Surtisur - OficinaRUBÉN ESPINOSACAMILO MELO</t>
  </si>
  <si>
    <t>Aceite quemado para San RafaelCAMILO MELOCAMILO MELO</t>
  </si>
  <si>
    <t>Botellón de aguaMERKAHORROCAMILO MELO</t>
  </si>
  <si>
    <t>Despinchada llanta scooterCAMILO MELOCAMILO MELO</t>
  </si>
  <si>
    <t>Carrera taxi Caffeto - Casa EvoltiRUBÉN ESPINOSACAMILO MELO</t>
  </si>
  <si>
    <t>Carrera taxi Casa Evolti - CaffetoRUBÉN ESPINOSACAMILO MELO</t>
  </si>
  <si>
    <t>Uber Oficina - Inversiones PastoRUBÉN ESPINOSACAMILO MELO</t>
  </si>
  <si>
    <t>Uber Inversiones Pasto - OficinaRUBÉN ESPINOSACAMILO MELO</t>
  </si>
  <si>
    <t>TermoencogibleSOLUCIONES ELÉCTRICAS T Y CCAMILO MELO</t>
  </si>
  <si>
    <t>Termoencogible, terminales tipo pinKUTINCAMILO MELO</t>
  </si>
  <si>
    <t>Terminales #6 y #2SOLUCIONES ELÉCTRICAS T Y CCAMILO MELO</t>
  </si>
  <si>
    <t>TaimmerCASA DIELECTRICACAMILO MELO</t>
  </si>
  <si>
    <t>legalizacion eduardo naos</t>
  </si>
  <si>
    <t>transporte carvajar juan camilo y molecula</t>
  </si>
  <si>
    <t>reunion clientes 5 gm sas</t>
  </si>
  <si>
    <t>Lavado general CamionetaSPA LavautosJeancarlo G Moncayo</t>
  </si>
  <si>
    <t>Diesel para camionetaEDS servicentro panamericanaJeancarlo G Moncayo</t>
  </si>
  <si>
    <t>Cinta y sacasFerreteria FerroMacJeancarlo G Moncayo</t>
  </si>
  <si>
    <t>Cal x 2 bultosFerreteria FerroMacJeancarlo G Moncayo</t>
  </si>
  <si>
    <t>Aseo habitaciones semana del 5 al 10 de agostoViviana EnriquezJeancarlo G Moncayo</t>
  </si>
  <si>
    <t>Diesel para trompo mezcladoraEDS Corporación RemolinoJeancarlo G Moncayo</t>
  </si>
  <si>
    <t>Clavos 2" y marcadores correctoresFerreteria FerroMacJeancarlo G Moncayo</t>
  </si>
  <si>
    <t>Aceite trompoEl desvareJeancarlo G Moncayo</t>
  </si>
  <si>
    <t>Malla, soladura pvc, flexometroFerreteria FerroMacJeancarlo G Moncayo</t>
  </si>
  <si>
    <t>Tornillos para ahoyadoraAlmacen y taller WilliamsJeancarlo G Moncayo</t>
  </si>
  <si>
    <t>Varillas 3/8Agrico distribuidoraJeancarlo G Moncayo</t>
  </si>
  <si>
    <t>Sandias x 3Jeancarlo MoncayoJeancarlo G Moncayo</t>
  </si>
  <si>
    <t>Cinta peligroFerreteria FerroMacJeancarlo G Moncayo</t>
  </si>
  <si>
    <t>Viaticos ida y regreso remolino - pastoJimmy BurgosJeancarlo G Moncayo</t>
  </si>
  <si>
    <t>Viaticos ida y regreso remolino - pastoSegundo GelpudJeancarlo G Moncayo</t>
  </si>
  <si>
    <t>Peaje remolino - Pasto (mantenimiento camioneta)Peaje CanoJeancarlo G Moncayo</t>
  </si>
  <si>
    <t>Aseo habitaciones semana del 12 al 17 de agostoViviana EnriquezJeancarlo G Moncayo</t>
  </si>
  <si>
    <t>Pasaje camioneta publica (regreso dejar JAC en mantenimiento) Jeancarlo MoncayoJeancarlo G Moncayo</t>
  </si>
  <si>
    <t>Rollo manguera x 100 metrosFerreteria FerroMacJeancarlo G Moncayo</t>
  </si>
  <si>
    <t>3 Sandias (Dia de fundicion de 2 cajas)Jeancarlo MoncayoJeancarlo G Moncayo</t>
  </si>
  <si>
    <t>Copas para bujia y tee electricaFerreteria FerroMacJeancarlo G Moncayo</t>
  </si>
  <si>
    <t>1 sandia (Visita Cedenar)Jeancarlo MoncayoJeancarlo G Moncayo</t>
  </si>
  <si>
    <t>Peaje Pasto - Remolino (Regreso de mantenimiento camioneta)Peaje CanoJeancarlo G Moncayo</t>
  </si>
  <si>
    <t>Viaticos ida y regreso remolino - pastoEdilfonso RoseroJeancarlo G Moncayo</t>
  </si>
  <si>
    <t>Aseo habitaciones semana del 20 al 25 de agosto (Jabon y Limpido)Viviana EnriquezJeancarlo G Moncayo</t>
  </si>
  <si>
    <t>Viaticos ida y regreso remolino - pastoJeancarlo MoncayoJeancarlo G Moncayo</t>
  </si>
  <si>
    <t>Ahoyadoras 4 y guantes de carnaza 20Ferreteria FerroMacJeancarlo G Moncayo</t>
  </si>
  <si>
    <t>Abastecimiento agua para fundicion Rio mayo - Planta NaosLevis MezaJeancarlo G Moncayo</t>
  </si>
  <si>
    <t>Impresión contratos nuevos colaboradoresJeancarlo MoncayoJeancarlo G Moncayo</t>
  </si>
  <si>
    <t>Pago liquidacion licencia de construcción Naos 3Alcaldia TaminangoJeancarlo G Moncayo</t>
  </si>
  <si>
    <t>Marcadores para tableroJeancarlo MoncayoJeancarlo G Moncayo</t>
  </si>
  <si>
    <t>Flexometros, decametros, cintas Ferreteria FerroMacJeancarlo G Moncayo</t>
  </si>
  <si>
    <t>Diesel para trompo mezcladoraEDS Rio MayoJeancarlo G Moncayo</t>
  </si>
  <si>
    <t xml:space="preserve">retencion 6x1000 oscar mauricio </t>
  </si>
  <si>
    <t>Pasaje Pasto-IpialesExpreso valle de AtrizMiguel Enriquez Ch</t>
  </si>
  <si>
    <t>Taxi a lugar visitaMiguel Enriquez ChMiguel Enriquez Ch</t>
  </si>
  <si>
    <t>Taxi a restauranteMiguel Enriquez ChMiguel Enriquez Ch</t>
  </si>
  <si>
    <t>HidratacionMiguel Enriquez ChMiguel Enriquez Ch</t>
  </si>
  <si>
    <t>AlmuerzoEstadero TropicalMiguel Enriquez Ch</t>
  </si>
  <si>
    <t>Taxi Terminal IngenieraMiguel Enriquez ChMiguel Enriquez Ch</t>
  </si>
  <si>
    <t>Pasaje Ipiales-PastoCooperativa Especializada Supertaxis del SurMiguel Enriquez Ch</t>
  </si>
  <si>
    <t>Peaje Ipiales- PastoMiguel Enriquez ChMiguel Enriquez Ch</t>
  </si>
  <si>
    <t>miguel legalizacion regreso</t>
  </si>
  <si>
    <t>IPIALES- GUACHUCALEXPRESO SAN JUAN DE PASTO SAJeison Julian Ipiales</t>
  </si>
  <si>
    <t>PASTO-IPIALESEXPRESO VALLE DE ATRIZJeison Julian Ipiales</t>
  </si>
  <si>
    <t>GUACHUCAL-PASTOTAXIS LA SABANAJeison Julian Ipiales</t>
  </si>
  <si>
    <t>ALMUERZORESTAURANTE AMARETTOJeison Julian Ipiales</t>
  </si>
  <si>
    <t>TRANPORTE CATAMBUCOJEISON JULIAN IPIALESJeison Julian Ipiales</t>
  </si>
  <si>
    <t>TRANPORTE CATAMBUCO CESMAGJEISON JULIAN IPIALESJeison Julian Ipiales</t>
  </si>
  <si>
    <t>jeison legalizacion regreso</t>
  </si>
  <si>
    <t>Compra de Carcasa para conectores DB9 X2 unidades, conectores metálicos RJ45 X4 unidades , 4 metros de cable UTP N°6 exterioresAngela Esperanza Gomez LopezEduardo Chana</t>
  </si>
  <si>
    <t>Transporte desde remolino hasta terminal de Pasto (Regreso)Eduardo Chana CalderonEduardo Chana</t>
  </si>
  <si>
    <t>dotacion sebastian lucen munir salim lopez</t>
  </si>
  <si>
    <t xml:space="preserve">envio materiales cali </t>
  </si>
  <si>
    <t>PEAJE EL PLACERCONCESIONARIA VIALJeison Julian Ipiales</t>
  </si>
  <si>
    <t>LACTEOS ANDINOLACTEOS ANDINO DE NARIÑOJeison Julian Ipiales</t>
  </si>
  <si>
    <t>GASOLINAINVERSIONES PORVERNIR COLOMBIAJeison Julian Ipiales</t>
  </si>
  <si>
    <t>ALMUERZOESTADERO TROPICALJeison Julian Ipiales</t>
  </si>
  <si>
    <t>legalizacion jeison</t>
  </si>
  <si>
    <t>pago cMr DE COMERCIO RUP EVOLTI</t>
  </si>
  <si>
    <t>PAGO VALENTINA FIGUEROA</t>
  </si>
  <si>
    <t>PAGO ERICA SALAS INVENTARIO FORESTAL FELTA</t>
  </si>
  <si>
    <t>PAGO APARTAMENTO CALI 50%</t>
  </si>
  <si>
    <t>pago cristian moncayo 50% delta y 50% polaris</t>
  </si>
  <si>
    <t>polaris</t>
  </si>
  <si>
    <t>pago jairo alfredo boyaca casa pinasaco</t>
  </si>
  <si>
    <t>pago electricos del valle credito</t>
  </si>
  <si>
    <t>pago reintegro viaticos andre</t>
  </si>
  <si>
    <t>pagpo tiquete juan fernando</t>
  </si>
  <si>
    <t>pago meico</t>
  </si>
  <si>
    <t>pago alimentacion naos 2 marcos ojeda</t>
  </si>
  <si>
    <t>pago grupo defa credito</t>
  </si>
  <si>
    <t>pago total apartamento strunar</t>
  </si>
  <si>
    <t>pago total pedro riascos</t>
  </si>
  <si>
    <t>pago milton rivera placa alimentos nariño</t>
  </si>
  <si>
    <t>pago gerardo dotacion naos 2 y 3</t>
  </si>
  <si>
    <t xml:space="preserve">pago camara de comercio canopus 2 </t>
  </si>
  <si>
    <t>canopus</t>
  </si>
  <si>
    <t>PAGO QUINCENA JEANCARLO GUILLERMO MONCAYO ANDRADE</t>
  </si>
  <si>
    <t>PAGO QUINCENA JUAN FERNANDO PANIAGUA OSORIO</t>
  </si>
  <si>
    <t>PAGO QUINCENA SEGUNDO MARCIAL GELPUD BOTINA</t>
  </si>
  <si>
    <t>PAGO QUINCENA MANUEL RODRIGO CORDOBA ORDOÑEZ</t>
  </si>
  <si>
    <t>PAGO QUINCENA JHOANA MARCELA GERMAN REYES</t>
  </si>
  <si>
    <t>PAGO QUINCENA JOSE ALVEIRO CUSIS HERNANDEZ</t>
  </si>
  <si>
    <t>PAGO QUINCENA JUAN MANUEL ESPAÑA FORERO</t>
  </si>
  <si>
    <t>PAGO QUINCENA DANIEL FERNANDO MEDINA GUERRERO</t>
  </si>
  <si>
    <t>PAGO QUINCENA HERMANN SOUZA CUBIDES</t>
  </si>
  <si>
    <t>PAGO QUINCENA SANDRA CAROLINA PATASCOY BOTINA</t>
  </si>
  <si>
    <t>PAGO QUINCENA IVAN DARIO CAICEDO CALVACHE</t>
  </si>
  <si>
    <t>PAGO QUINCENA LEIBNITZ EDUARDO CHANA CALDERON</t>
  </si>
  <si>
    <t>PAGO QUINCENA CAMILO ESTEBAN MELO CALVACHE</t>
  </si>
  <si>
    <t>PAGO QUINCENA JASON STEVEN DIAZ GUEVARA </t>
  </si>
  <si>
    <t>PAGO QUINCENA OSCAR ANDRES CASTRO BOTINA</t>
  </si>
  <si>
    <t>PAGO QUINCENA MIGUEL ALEJANDRO ENRIQUEZ CHAMORRO</t>
  </si>
  <si>
    <t>PAGO QUINCENA KELLY TATIANA ALVAREZ GARCIA</t>
  </si>
  <si>
    <t>PAGO QUINCENA YULY ANDREA JARAMILLO GUERRERO</t>
  </si>
  <si>
    <t>PAGO QUINCENA DANNA STEFANYA LASSO GUERRA</t>
  </si>
  <si>
    <t>PAGO QUINCENA LOREN ALEJANDRA DIAZ YAMPUEZAN</t>
  </si>
  <si>
    <t xml:space="preserve">PAGO QUINCENA MARIA FERNANDA CHAMORRO </t>
  </si>
  <si>
    <t>PAGO QUINCENA VERONICA LILIANA SANTACRUZ MENZA</t>
  </si>
  <si>
    <t>PAGO QUINCENA ALBEIRO ORLANDO ESPAÑA HERNANDEZ</t>
  </si>
  <si>
    <t>PAGO QUINCENA JHONSIN ARLEY ARIAS CEBALLOS</t>
  </si>
  <si>
    <t xml:space="preserve">PAGO QUINCENA PABLO FERNANDO BENAVIDES CHAVES </t>
  </si>
  <si>
    <t xml:space="preserve">PAGO QUINCENA JHON ALEXANDER GELPUD ZAMORA </t>
  </si>
  <si>
    <t xml:space="preserve">PAGO QUINCENA RUBEN DARIO ESPINOSA PARRA </t>
  </si>
  <si>
    <t>PAGO QUINCENA MARIO ALEXANDER CUSIS HERNANDEZ</t>
  </si>
  <si>
    <t>PAGO QUINCENA JEISON JULIAN IPIALES BENAVIDES</t>
  </si>
  <si>
    <t>PAGO QUINCENA CRISTHIAN DUMAR MORENO VILLARREAL</t>
  </si>
  <si>
    <t>PAGO QUINCENA EDILFONSO ROSERO CASTILLO</t>
  </si>
  <si>
    <t>PAGO QUINCENA JIMMI ALEXANDER BURGOS GUERRERO</t>
  </si>
  <si>
    <t>PAGO QUINCENA JAVIER SEBASTIÁN LUCENA VILLARREAL</t>
  </si>
  <si>
    <t>PAGO QUINCENA JUAN CAMILO GARCIA SOUZA</t>
  </si>
  <si>
    <t>PAGO QUINCENA IVAN CAMILO MENESES ORDOÑEZ</t>
  </si>
  <si>
    <t xml:space="preserve">PAGO QUINCENA JHONNY FRANCISCO CEBALLOS BURBANO </t>
  </si>
  <si>
    <t>PAGO QUINCENA EDWAR AMILCAR CHAGUEZA GOMEZ</t>
  </si>
  <si>
    <t>PAGO QUINCENA RUBEN DARIO SILVA RODRIGUEZ</t>
  </si>
  <si>
    <t xml:space="preserve">PAGO QUINCENA JUAN ESTEBAN BLANCO QUIROGA </t>
  </si>
  <si>
    <t>PAGO QUINCENA LUZ IRMA ORTEGA CIFUENTES</t>
  </si>
  <si>
    <t>PAGO QUINCENA RODRIGO QUINTERO DIAZ</t>
  </si>
  <si>
    <t>PAGO QUINCENA JEFERSON VERGARA MUÑOZ</t>
  </si>
  <si>
    <t xml:space="preserve">PAGO QUINCENA VICTOR ALEXANDER RUIZ </t>
  </si>
  <si>
    <t>PAGO QUINCENA JORGE ANDRES BARRERA YANDAR</t>
  </si>
  <si>
    <t>PAGO QUINCENA EDWIN LEONARDO MARTINEZ YAQUENO</t>
  </si>
  <si>
    <t>PAGO QUINCENA JOY JAMIT MOSQUERA ORDOÑEZ</t>
  </si>
  <si>
    <t xml:space="preserve">PAGO QUINCENA CARLOS ANDRES CERON PAREDES </t>
  </si>
  <si>
    <t xml:space="preserve">PAGO QUINCENA JORGE ANDRES QUINTERO PEÑA </t>
  </si>
  <si>
    <t>PAGO QUINCENA ANDRES FELIPE DELGADO ZUTTA</t>
  </si>
  <si>
    <t xml:space="preserve">PAGO QUINCENA ANA MILENA HENAO GONZALES </t>
  </si>
  <si>
    <t>PAGO QUINCENA JORGE ANDRES MUÑOZ MARTINEZ</t>
  </si>
  <si>
    <t xml:space="preserve">PAGO QUINCENA JOSE ESTEBAN RODRIGUEZ QUINTERO </t>
  </si>
  <si>
    <t>PAGO QUINCENA HERNAN DARIO CABRERA QUITIAQUEZ</t>
  </si>
  <si>
    <t>PAGO QUINCENA YALINER ILVIRA FIGUEROA</t>
  </si>
  <si>
    <t>PAGO QUINCENA ANDRES WILFREDY BASTIDAS GALINDEZ</t>
  </si>
  <si>
    <t>PAGO QUINCENA EYDER QUINTERO DIAZ</t>
  </si>
  <si>
    <t>PAGO QUINCENA ALBERT FIGUEROA</t>
  </si>
  <si>
    <t>PAGO QUINCENA CAROLINA CARDONA PAREJA</t>
  </si>
  <si>
    <t>PAGO QUINCENA JULIO BELALCAZAR MURILLO</t>
  </si>
  <si>
    <t>PAGO QUINCENA CRISTINA LASSO</t>
  </si>
  <si>
    <t>PAGO QUINCENA ANA MILENA BOLAÑOS FIGUEROA</t>
  </si>
  <si>
    <t xml:space="preserve">PAGO QUINCENA ESTEBAN ALEJANDRO MARTINEZ FIGUEROA </t>
  </si>
  <si>
    <t>PAGO QUINCENA  JOSE MAURICIO PAZ JURADO</t>
  </si>
  <si>
    <t>PAGO QUINCENA LUIS ALBERTO ALMEIDA MATABAJOY</t>
  </si>
  <si>
    <t xml:space="preserve">PAGO QUINCENA DIEGO ANDRES ARAUJO NARVAEZ </t>
  </si>
  <si>
    <t>PAGO QUINCENA RUBEN LOPEZ MUÑOZ</t>
  </si>
  <si>
    <t>PAGO QUINCENA ROYER IDELVER LOPEZ SOLARTE</t>
  </si>
  <si>
    <t>PAGO QUINCENA WILSON HARLEY MALES CUASPUD</t>
  </si>
  <si>
    <t>PAGO QUINCENA DIANA CAMILA ZAMBRANO ORTEGA</t>
  </si>
  <si>
    <t xml:space="preserve">pago phc estricturacion </t>
  </si>
  <si>
    <t>pago phc naos</t>
  </si>
  <si>
    <t xml:space="preserve">pago avial </t>
  </si>
  <si>
    <t>tramites</t>
  </si>
  <si>
    <t>pago harrison lopez transporte</t>
  </si>
  <si>
    <t>pago overhaulin estructura estrunar</t>
  </si>
  <si>
    <t>pago juan manuel pabon arreglo luz</t>
  </si>
  <si>
    <t>pago reinteggro legalizacion jorge quintero</t>
  </si>
  <si>
    <t>pago papeleria la catellana</t>
  </si>
  <si>
    <t>pago tramites bogota kelly</t>
  </si>
  <si>
    <t>pago retie novacentro y casa pabon it certifica</t>
  </si>
  <si>
    <t xml:space="preserve">pago seguridad del sur monitoreo </t>
  </si>
  <si>
    <t xml:space="preserve">pago pedro daniel video batericars 50% </t>
  </si>
  <si>
    <t>pago intereses natalia segura agosto</t>
  </si>
  <si>
    <t>pago impecol agosto</t>
  </si>
  <si>
    <t xml:space="preserve">Pago compra celular colombiana de comercio </t>
  </si>
  <si>
    <t>refuerzo de estructura otro si</t>
  </si>
  <si>
    <t xml:space="preserve">Cacharreria La Cali </t>
  </si>
  <si>
    <t xml:space="preserve">compra alkosto televisor, base y celular </t>
  </si>
  <si>
    <t>pago surtisur mantenimiento cable</t>
  </si>
  <si>
    <t>Ingreso Arboleda</t>
  </si>
  <si>
    <t>ingreso club colombia</t>
  </si>
  <si>
    <t xml:space="preserve">Ingreso po anticipo 10% carnes la lujosa </t>
  </si>
  <si>
    <t>pago nomina jhonny</t>
  </si>
  <si>
    <t>devolucion pago nomina jhonny</t>
  </si>
  <si>
    <t xml:space="preserve">devolucion deposito apartamento andrea </t>
  </si>
  <si>
    <t>ingreso naos 2 anticipo</t>
  </si>
  <si>
    <t xml:space="preserve">seguros generales </t>
  </si>
  <si>
    <t xml:space="preserve">pago seguros generales </t>
  </si>
  <si>
    <t xml:space="preserve">pago vatia clinica bellatriz </t>
  </si>
  <si>
    <t>Ingreso Fac Mtto Puyosa Puyo s a</t>
  </si>
  <si>
    <t>COMPRA EN RAPPI SUPE</t>
  </si>
  <si>
    <t>COMPRA INTL FACEBK 3YRXN8QNE</t>
  </si>
  <si>
    <t>COMPRA INTL MSFT E0100TAP0J</t>
  </si>
  <si>
    <t>COMPRA INTL MSFT E0100TAXMR</t>
  </si>
  <si>
    <t xml:space="preserve">transferencia Juan Manuel rappi </t>
  </si>
  <si>
    <t>COMPRA INTL FACEBK EKUHYA4NE</t>
  </si>
  <si>
    <t>COMPRA EN CAMARA DE COMERCIO</t>
  </si>
  <si>
    <t>COMPRA INTL FACEBK 97EEXACNE</t>
  </si>
  <si>
    <t>TRANSPORTE CUENTA DE COBRO #1 X 3 DIASHUMBERTO NAVIA CIFUENTES JASON STEVEN DIAZ</t>
  </si>
  <si>
    <t>Desayuno</t>
  </si>
  <si>
    <t>taxis</t>
  </si>
  <si>
    <t>Taxi MDE</t>
  </si>
  <si>
    <t>Taxi Pasto</t>
  </si>
  <si>
    <t>Taxi Medellin</t>
  </si>
  <si>
    <t>Terminales #2 CuSOLUCIONES ELECTRICAS T Y CCAMILO MELO</t>
  </si>
  <si>
    <t>Terminal anillo 12-14, adhesivos dexsonDISTRIBUCIONES ACCAMILO MELO</t>
  </si>
  <si>
    <t>Prensaestopas, aisladores tipo yoyoSOLUCIONES ELECTRICAS T Y CCAMILO MELO</t>
  </si>
  <si>
    <t>Tornillo autoperforante, arandelas, chazo plásticoLA FERROCAMILO MELO</t>
  </si>
  <si>
    <t>Impresiones planosMAKROSERVICIOS EXPRESSCAMILO MELO</t>
  </si>
  <si>
    <t>Protector solarLA CALICAMILO MELO</t>
  </si>
  <si>
    <t>Protector de transparenciasLA CALICAMILO MELO</t>
  </si>
  <si>
    <t>RodillosDISTRIBUCIONES ABCAMILO MELO</t>
  </si>
  <si>
    <t>Flexómetros, cortafrío, rodillos, brochas, DISTRIBUCIONES ABCAMILO MELO</t>
  </si>
  <si>
    <t>Botellas plásticasVARIEDADES CARVAJALCAMILO MELO</t>
  </si>
  <si>
    <t>Aisladores 25mmELECTRO SURCAMILO MELO</t>
  </si>
  <si>
    <t>Discos de pulidoraDISTRIBUCIONES ABCAMILO MELO</t>
  </si>
  <si>
    <t>Transporte ida pasto- ipialesExpreso Valle de AtrizAndres Felipe Delgado</t>
  </si>
  <si>
    <t>andres</t>
  </si>
  <si>
    <t>Transporte regreso ipiales - pastoExpreso Valle de AtrizAndres Felipe Delgado</t>
  </si>
  <si>
    <t>transporte ida y vuelta termianal ipiales- acueducto pupiales Andres Felipe Delgado ZuttaAndres Felipe Delgado</t>
  </si>
  <si>
    <t>Desayuno Sebastian y AndresPUNTO RIKOAndres Felipe Delgado</t>
  </si>
  <si>
    <t>Almuerzos Sebastian y AndresMOWA HOTELAndres Felipe Delgado</t>
  </si>
  <si>
    <t>Café</t>
  </si>
  <si>
    <t>Peaje</t>
  </si>
  <si>
    <t>ACPM trompo fundicion de micropilotesEDS Tablon PanamericanoJeancarlo G Moncayo</t>
  </si>
  <si>
    <t>Aseo habitaciones semana del 26 al 31 de agostoViviana EnriquezJeancarlo G Moncayo</t>
  </si>
  <si>
    <t>arreglo dron jeison ipiales</t>
  </si>
  <si>
    <t>envio caro cali</t>
  </si>
  <si>
    <t xml:space="preserve">Transporte  Pasto - Cali (Stefanya Lasso)TRANSIPIALES SAStefanya Lasso </t>
  </si>
  <si>
    <t>trasporte marcela v15 reunion</t>
  </si>
  <si>
    <t>Galón de sikafillDISTRIBUCIONES ABCAMILO MELO</t>
  </si>
  <si>
    <t>Curvas EMT 1 1/2", caja de paso interiores 25X25X10DISTRIBUCIONES ACCAMILO MELO</t>
  </si>
  <si>
    <t>COMPRA EN ASOTABA</t>
  </si>
  <si>
    <t>pago cartera leasing</t>
  </si>
  <si>
    <t>occidente</t>
  </si>
  <si>
    <t>transporte andres felizpe zutta</t>
  </si>
  <si>
    <t>ALIMENTACIÓN DESAYUNOS 4 PERSONASPANADERIA NORTE RICURAS Jason Steven Diaz Guevara</t>
  </si>
  <si>
    <t>ALIMENTACIÓN DESAYUNOS 4 PERSONASJERONIMO MARTINS COLOMBIA S.A.SJason Steven Diaz Guevara</t>
  </si>
  <si>
    <t>ALIMENTACIÓN 4 ALMUERZOS PANADERIA NORTE RICURAS Jason Steven Diaz Guevara</t>
  </si>
  <si>
    <t>ALIMENTACIÓN 6 CENASSUPERTIENDAS CAÑAVERAL S.A.SJason Steven Diaz Guevara</t>
  </si>
  <si>
    <t>ALIMENTACIÓN DESAYUNOS 4 PERSONASSUPERTIENDAS CAÑAVERAL S.A.SJason Steven Diaz Guevara</t>
  </si>
  <si>
    <t xml:space="preserve">Taxi (Terminal - Apartamento)Stefanya Lasso Stefanya Lasso </t>
  </si>
  <si>
    <t xml:space="preserve">2 Desayunos (Camila y Stefanya) SUPERTIENDAS CAÑAVERAL S.A.S.Stefanya Lasso </t>
  </si>
  <si>
    <t xml:space="preserve">Taxi (Apartamento - Terminal) Stefanya Lasso Stefanya Lasso </t>
  </si>
  <si>
    <t xml:space="preserve">Impresiones Planos y Permisos de alturasCELULARES Viva Comunicaciones YILIANY ARAGON FRANCOStefanya Lasso </t>
  </si>
  <si>
    <t xml:space="preserve">Uber (Terminal - Acopi)Stefanya Lasso Stefanya Lasso </t>
  </si>
  <si>
    <t xml:space="preserve">Hidratación (Camila)Camila ZambranoStefanya Lasso </t>
  </si>
  <si>
    <t xml:space="preserve">Hidratación (Stefanya)Stefanya Lasso Stefanya Lasso </t>
  </si>
  <si>
    <t xml:space="preserve">Uber (Estrunar - Apartamento) Stefanya Lasso Stefanya Lasso </t>
  </si>
  <si>
    <t>pago facturas administrativo</t>
  </si>
  <si>
    <t xml:space="preserve">pago router internet </t>
  </si>
  <si>
    <t xml:space="preserve">buso dotacion </t>
  </si>
  <si>
    <t>Transporte Oficina-CaffetoExpreso valle de AtrizMiguel Enriquez Ch</t>
  </si>
  <si>
    <t>Transporte Caffeto oficinaExpreso valle de AtrizMiguel Enriquez Ch</t>
  </si>
  <si>
    <t>Envío pértiga Remolino- PastoRIKY ARTEAGACAMILO MELO</t>
  </si>
  <si>
    <t>Te eléctricaDISTRIBUCIONES ABCAMILO MELO</t>
  </si>
  <si>
    <t>Vinilos y acrílicosBICOLORCAMILO MELO</t>
  </si>
  <si>
    <t>Curvas EMT, uniones EMT, abrazaderas para rielDISTRIBUCIONES ACCAMILO MELO</t>
  </si>
  <si>
    <t>Terminales 1/0 CuSOLUCIONES ELÉCTRICAS T Y CCAMILO MELO</t>
  </si>
  <si>
    <t>Roscas 2"EL NIPLECAMILO MELO</t>
  </si>
  <si>
    <t>Curva IMC, terminal PVC 1/2", cinta aislanteDISTRIBUCIONES ACCAMILO MELO</t>
  </si>
  <si>
    <t xml:space="preserve">pago vilum puertas </t>
  </si>
  <si>
    <t xml:space="preserve">pago total contruccion futuras </t>
  </si>
  <si>
    <t>pago sonia baron percianas totalidad</t>
  </si>
  <si>
    <t xml:space="preserve">pago reintegro legalizacion kelly alvarez </t>
  </si>
  <si>
    <t>Visitas a terrenos</t>
  </si>
  <si>
    <t>pago rehubicacion poste naos 3 camilo patiño</t>
  </si>
  <si>
    <t xml:space="preserve">pago perfiles </t>
  </si>
  <si>
    <t>pago origen colombia dotacion</t>
  </si>
  <si>
    <t>pago marco ojeda alimentacion naos 3</t>
  </si>
  <si>
    <t>pago liquidacion juan camilo garcia</t>
  </si>
  <si>
    <t>pago jesus ruano remodelacion oficina</t>
  </si>
  <si>
    <t>pago guantes slogic</t>
  </si>
  <si>
    <t>pago ferromac naos 2 cuarto electrico</t>
  </si>
  <si>
    <t>pago ferresuministro intalacion electrica naos 3</t>
  </si>
  <si>
    <t>pago efectivoi para caja stefania lasso</t>
  </si>
  <si>
    <t>pago dotasol camilo</t>
  </si>
  <si>
    <t xml:space="preserve">pago dotasol </t>
  </si>
  <si>
    <t xml:space="preserve">pago credito melba ligia </t>
  </si>
  <si>
    <t xml:space="preserve">pago creditos distribuciones ac </t>
  </si>
  <si>
    <t>pago credito sikaboom distribuciones AB</t>
  </si>
  <si>
    <t xml:space="preserve">pago carlos robi remodelacion </t>
  </si>
  <si>
    <t>pago anticipo martin gomajoa cuarto electrico</t>
  </si>
  <si>
    <t>pago vallas jesus benavides</t>
  </si>
  <si>
    <t>ingreso GD anticipo</t>
  </si>
  <si>
    <t>ingreso alimentos nariño</t>
  </si>
  <si>
    <t>ingreso ferreandina</t>
  </si>
  <si>
    <t xml:space="preserve">ingreso GRAN AVENIDA </t>
  </si>
  <si>
    <t>COMPRA EN CAMARA DE</t>
  </si>
  <si>
    <t>1 Botellón de agua (El otro botellón que aparece en la factura ya está legalizado (22/08/2024)MERKAHORROCAMILO MELO</t>
  </si>
  <si>
    <t>Diesel camioneta (Paro de camioneros)EDS Corporación RemolinoJeancarlo G Moncayo</t>
  </si>
  <si>
    <t>Marcador tipo Sharpie x 7 para marcación de perfilesJeancarlo MoncayoJeancarlo G Moncayo</t>
  </si>
  <si>
    <t>ALIMENTACIÓN 6 CENASPIZZA CROCANTE Jason Steven Diaz Guevara</t>
  </si>
  <si>
    <t xml:space="preserve">Uber (Apartamento - Estrunar)Stefanya Lasso Stefanya Lasso </t>
  </si>
  <si>
    <t>arregki oficina cuenta de cobro carlos</t>
  </si>
  <si>
    <t>Transporte Apagon caffetoMiguel Enriquez ChMiguel Enriquez Ch</t>
  </si>
  <si>
    <t>Tranporte Caffeto-OficinaMiguel Enriquez ChMiguel Enriquez Ch</t>
  </si>
  <si>
    <t>Envío ponchadora hidráulica Pasto-RemolinoALBERTH CHAMORROCAMILO MELO</t>
  </si>
  <si>
    <t>Conversor yack RJ45 a USBKUTINCAMILO MELO</t>
  </si>
  <si>
    <t>Terminales de ojo para cable #12KUTINCAMILO MELO</t>
  </si>
  <si>
    <t>Caja rawelt, tapa ciega, aislador tipo yoyoCASA DIELÉCTRICACAMILO MELO</t>
  </si>
  <si>
    <t>Chazo bala 3/8"TODO TORNILLOCAMILO MELO</t>
  </si>
  <si>
    <t>Conectores rectos de coraza, coraza 1/2"DISTRIBUCIONES ACCAMILO MELO</t>
  </si>
  <si>
    <t>Mantenimiento taladro inalámbrico DewaltHINARCAMILO MELO</t>
  </si>
  <si>
    <t>Mantenimiento taladro de potencia DewaltDISEÑOS INDUSTRIALESCAMILO MELO</t>
  </si>
  <si>
    <t xml:space="preserve">pago tiquetes camila y stefania </t>
  </si>
  <si>
    <t>pago maria navia apagon caffeto</t>
  </si>
  <si>
    <t>pago cargador dielco</t>
  </si>
  <si>
    <t xml:space="preserve">anticipo naos 2 y 3 </t>
  </si>
  <si>
    <t>giro delta nueva sociedad</t>
  </si>
  <si>
    <t xml:space="preserve">delta </t>
  </si>
  <si>
    <t>Inversión DELTA</t>
  </si>
  <si>
    <t>100 tornillos DrywallFerreteria FerroMacJeancarlo G Moncayo</t>
  </si>
  <si>
    <t>Agua e insectisidasTiendas D1Jeancarlo G Moncayo</t>
  </si>
  <si>
    <t>Impresión planos con copia cuarto set civilJeancarlo MoncayoJeancarlo G Moncayo</t>
  </si>
  <si>
    <t>Transporte Oficina - CafettoOficina - CafettoJAVIER SEBASTIAN LUCENA VILLARREAL</t>
  </si>
  <si>
    <t>transporte Cafetto - OficinaCafetto - OficinaJAVIER SEBASTIAN LUCENA VILLARREAL</t>
  </si>
  <si>
    <t>ALIMENTACIÓN 4 CENASPIZZA CROCANTE Jason Steven Diaz Guevara</t>
  </si>
  <si>
    <t xml:space="preserve">Uber (Apartamento - Aeropuerto)Stefanya Lasso Stefanya Lasso </t>
  </si>
  <si>
    <t xml:space="preserve">uber (Aeropuerto-Hotel Rozo)Stefanya Lasso Stefanya Lasso </t>
  </si>
  <si>
    <t xml:space="preserve">pago we work </t>
  </si>
  <si>
    <t>pago vanessa moncayo dron</t>
  </si>
  <si>
    <t xml:space="preserve">pago reintegro jorge quintero </t>
  </si>
  <si>
    <t>pago reintegro daniel medina</t>
  </si>
  <si>
    <t xml:space="preserve">pago maria jose arteaga bolaños naos 2 </t>
  </si>
  <si>
    <t>pago luis rofriguez estrunar arrendamiento andamios</t>
  </si>
  <si>
    <t xml:space="preserve">pago lean case delta y unicentro </t>
  </si>
  <si>
    <t>pago it certifica caffeto</t>
  </si>
  <si>
    <t xml:space="preserve">pago humberto rosero </t>
  </si>
  <si>
    <t>pago diseño de vallas</t>
  </si>
  <si>
    <t xml:space="preserve">pago derian chavez </t>
  </si>
  <si>
    <t>pago daniel ortega naos</t>
  </si>
  <si>
    <t xml:space="preserve">pago alai telecumunicaciones </t>
  </si>
  <si>
    <t>1 Logo EvoltiBORDADOS RUBÉN DARÍOCAMILO MELO</t>
  </si>
  <si>
    <t>Tornillos tropicalizados, wasasTODO TORNILLOCAMILO MELO</t>
  </si>
  <si>
    <t>Aisladores tipo yoyoDEFACAMILO MELO</t>
  </si>
  <si>
    <t>8 Pares de guantes de carnazaFerreteria FerroMacJeancarlo G Moncayo</t>
  </si>
  <si>
    <t>Carreto Nailon y calFerreteria FerroMacJeancarlo G Moncayo</t>
  </si>
  <si>
    <t>ALIMENTACIÓN 4 CENASPANADERIA NORTE RICURAS Jason Steven Diaz Guevara</t>
  </si>
  <si>
    <t>HIDRATACIONJERONIMO MARTINS COLOMBIA S.A.SJason Steven Diaz Guevara</t>
  </si>
  <si>
    <t xml:space="preserve">Uber (Hotel Cabañas Rozo-Aeropuerto)Stefanya Lasso Stefanya Lasso </t>
  </si>
  <si>
    <t xml:space="preserve">Colectivo (Aeropuerto Antonio Nariño - Pasto) StefanyaStefanya Lasso Stefanya Lasso </t>
  </si>
  <si>
    <t xml:space="preserve">Colectivo (Aeropuerto Antonio Nariño - Pasto) CamilaCamila ZambranoStefanya Lasso </t>
  </si>
  <si>
    <t>pago camara de comercio actualizacion rup</t>
  </si>
  <si>
    <t>pao asenso 1</t>
  </si>
  <si>
    <t>pago  delta a evolti</t>
  </si>
  <si>
    <t>Curvas IMC 11/2"DISTRIBUCIONES ACCAMILO MELO</t>
  </si>
  <si>
    <t>Aisladores escalonadosDEFACAMILO MELO</t>
  </si>
  <si>
    <t>Curvas IMC, juegos Bushing, uniones IMCDEFACAMILO MELO</t>
  </si>
  <si>
    <t>Uniones IMCEL NIPLECAMILO MELO</t>
  </si>
  <si>
    <t>Cajas de paso para intemperieCASA DIELÉCTRICACAMILO MELO</t>
  </si>
  <si>
    <t>pago tiquete daniel medina cali</t>
  </si>
  <si>
    <t>pago paneles meico</t>
  </si>
  <si>
    <t xml:space="preserve">pago tiquetes ana milena </t>
  </si>
  <si>
    <t>20 Pares de guantes de carnazaFerreteria FerroMacJeancarlo G Moncayo</t>
  </si>
  <si>
    <t>Arreglo de llanta (Pinchada)Jeancarlo MoncayoJeancarlo G Moncayo</t>
  </si>
  <si>
    <t>1 llave 3/4, buje 1" a 3/4", 1 mt de tubo a presionFerreteria FerroMacJeancarlo G Moncayo</t>
  </si>
  <si>
    <t>Impresiones contrato personal nuevo Jeancarlo MoncayoJeancarlo G Moncayo</t>
  </si>
  <si>
    <t>Aseo habitaciones semana del 2 al 7 de septiembreViviana EnriquezJeancarlo G Moncayo</t>
  </si>
  <si>
    <t>Peaje remolino - Pasto Peaje CanoJeancarlo G Moncayo</t>
  </si>
  <si>
    <t>ALIMENTACIÓN 4 ALMUERZOSPANADERÍAS CALIFORNIA S.A.SJason Steven Diaz Guevara</t>
  </si>
  <si>
    <t>ALIMENTACIÓN 4 CENASMADERO PANADERÍA Jason Steven Diaz Guevara</t>
  </si>
  <si>
    <t>4 mts de plastico Ferreteria FerroMacJeancarlo G Moncayo</t>
  </si>
  <si>
    <t>ALIMENTACIÓN 4 CENASPANADERÍAS CALIFORNIA S.A.SJason Steven Diaz Guevara</t>
  </si>
  <si>
    <t>TRANSPORTE TERMINAL-APARTAMENTO Jason DiazJASON STEVEN DIAZ</t>
  </si>
  <si>
    <t>TRANSPORTE APARTAMENTO-ACOPIJason DiazJASON STEVEN DIAZ</t>
  </si>
  <si>
    <t>TRANSPORTE CENCAR-APARTAMENTO Jason DiazJASON STEVEN DIAZ</t>
  </si>
  <si>
    <t>TRANSPORTE APARTAMENTO-CENCARJason DiazJASON STEVEN DIAZ</t>
  </si>
  <si>
    <t>Busos remolino Africa fashion</t>
  </si>
  <si>
    <t>dotacion</t>
  </si>
  <si>
    <t>Impresión de planosCENTRO PLOTTERCAMILO MELO</t>
  </si>
  <si>
    <t>Cargador 18wHORACAMILO MELO</t>
  </si>
  <si>
    <t>Envases plásticosMERQUIMICOS SUPERANDINOSCAMILO MELO</t>
  </si>
  <si>
    <t>Tapa ciega Rawelt 2x4CASA DIELÉCTRICACAMILO MELO</t>
  </si>
  <si>
    <t>Conector recto coraza 11/2"DISTRIBUCIONES ACCAMILO MELO</t>
  </si>
  <si>
    <t xml:space="preserve">anticipo delta </t>
  </si>
  <si>
    <t>Peaje Pasto -  Remolino Peaje CanoJeancarlo G Moncayo</t>
  </si>
  <si>
    <t>Peaje Remolino - AeropuertoPeaje CanoJeancarlo G Moncayo</t>
  </si>
  <si>
    <t>Peaje Aeropuerto -  Remolino Peaje CanoJeancarlo G Moncayo</t>
  </si>
  <si>
    <t xml:space="preserve"> legalizacion miguel</t>
  </si>
  <si>
    <t>compras alkosto oficina</t>
  </si>
  <si>
    <t>A-Z, bolsillo de catálogoPAPELERÍA BUENDÍACAMILO MELO</t>
  </si>
  <si>
    <t>Impreión documentosCENTRO PLOTTERCAMILO MELO</t>
  </si>
  <si>
    <t>Rosca de tuboFERSOLUCIONESCAMILO MELO</t>
  </si>
  <si>
    <t>pago pormonte</t>
  </si>
  <si>
    <t>COMPRA INTL FACEBK J3C6894PE</t>
  </si>
  <si>
    <t>Arreglo de llanta (Viajando se estallo con piedra)El desvareJeancarlo G Moncayo</t>
  </si>
  <si>
    <t>Machete, pinta aceite, pomaFerreteria FerroMacJeancarlo G Moncayo</t>
  </si>
  <si>
    <t>Gasolina para motosierraEDS Rio MayoJeancarlo G Moncayo</t>
  </si>
  <si>
    <t>Impresión contrato y copia Ing Civil (Delta)Jeancarlo MoncayoJeancarlo G Moncayo</t>
  </si>
  <si>
    <t>Paca de botellas de agua (Excases de botellones por paro)Tiendas D1Jeancarlo G Moncayo</t>
  </si>
  <si>
    <t>Sandia x 3 (Fundiciones)Jeancarlo MoncayoJeancarlo G Moncayo</t>
  </si>
  <si>
    <t>Peaje Chachagui</t>
  </si>
  <si>
    <t>Gasolina</t>
  </si>
  <si>
    <t>Envío EPP y documentos Pasto - YumboSERVIENTREGACAMILO MELO</t>
  </si>
  <si>
    <t>Cajas de paso plásticasSOLUCIONES ELÉCTRICAS T Y CCAMILO MELO</t>
  </si>
  <si>
    <t xml:space="preserve">Transporte (Pasto-Remolino) Stefanya LassoStefanya Lasso </t>
  </si>
  <si>
    <t xml:space="preserve">Compra de Material Ferreteria Ferro Mac (Materiales de obra civil)FERRETERIA FERRO MAC Stefanya Lasso </t>
  </si>
  <si>
    <t xml:space="preserve">Compra de Material Ferreteria Ferro Mac (Accesorios tuberia)FERRETERIA FERRO MAC Stefanya Lasso </t>
  </si>
  <si>
    <t xml:space="preserve">pago daniel ortega contruccion </t>
  </si>
  <si>
    <t>pago grupo solaire anticipo 30% incubadora</t>
  </si>
  <si>
    <t>pago retencion en la fuente</t>
  </si>
  <si>
    <t xml:space="preserve">pago retencion de iva </t>
  </si>
  <si>
    <t>pago prestamo gd de remolino</t>
  </si>
  <si>
    <t xml:space="preserve"> CAPEX Credito NAOS</t>
  </si>
  <si>
    <t>pago impuesto rete iva</t>
  </si>
  <si>
    <t>pago milenio admoin</t>
  </si>
  <si>
    <t>pago carolina gomez estructuracion</t>
  </si>
  <si>
    <t>Estudios  de conexión</t>
  </si>
  <si>
    <t>pago dario navia naos</t>
  </si>
  <si>
    <t xml:space="preserve">pago guantes crstian garcia </t>
  </si>
  <si>
    <t>pago reintegro Andrea Jaramillo</t>
  </si>
  <si>
    <t>pago origen colombia dotacion naos</t>
  </si>
  <si>
    <t xml:space="preserve">pago camara de comercio granja solar polaris </t>
  </si>
  <si>
    <t xml:space="preserve">polaris </t>
  </si>
  <si>
    <t>pago c15 reunion</t>
  </si>
  <si>
    <t>pago ac montajes mantenimiento dispropan</t>
  </si>
  <si>
    <t>COMPRA EN SERVICENTR</t>
  </si>
  <si>
    <t>Arreglo cadena de motosierraAgrico distribuidoraJeancarlo G Moncayo</t>
  </si>
  <si>
    <t>Bolsas de agua (Excases de botellones por paro)Deposito FigueroaJeancarlo G Moncayo</t>
  </si>
  <si>
    <t>Bombeo agua pagado Sr Alvaro UsamaJeancarlo MoncayoJeancarlo G Moncayo</t>
  </si>
  <si>
    <t>Conector recto coraza 1"DISTRIBUCIONES ACCAMILO MELO</t>
  </si>
  <si>
    <t>Carrera taxi Centro- Casa EvoltiCARLOS BRAVOCAMILO MELO</t>
  </si>
  <si>
    <t>Logos EvoltiHILOS BORDADOS RUBÉN DARÍOCAMILO MELO</t>
  </si>
  <si>
    <t>Roscas para tubo 2"FERSOLUCIONESCAMILO MELO</t>
  </si>
  <si>
    <t>2 cajas DexsonDEFACAMILO MELO</t>
  </si>
  <si>
    <t>Pieza de lámina, abrazadera para riel 2"HABITARCAMILO MELO</t>
  </si>
  <si>
    <t>ALIMENTACIÓN 4 CENASSUPERTIENDAS CAÑAVERAL S.A.SJason Steven Diaz Guevara</t>
  </si>
  <si>
    <t>pgo camara de comercio pasto evolti</t>
  </si>
  <si>
    <t xml:space="preserve">pago equirent </t>
  </si>
  <si>
    <t xml:space="preserve">pago pormonte </t>
  </si>
  <si>
    <t>pago malliesa arriendo</t>
  </si>
  <si>
    <t>pago luis patiño</t>
  </si>
  <si>
    <t>pago upme naos 3</t>
  </si>
  <si>
    <t xml:space="preserve">pago agrilab </t>
  </si>
  <si>
    <t>Estrudios de conexión</t>
  </si>
  <si>
    <t>pago ayc dotacion</t>
  </si>
  <si>
    <t>Unicentro Pasto</t>
  </si>
  <si>
    <t xml:space="preserve">pago wilson sinsajoa </t>
  </si>
  <si>
    <t xml:space="preserve">pago vanesa muñoz hotel </t>
  </si>
  <si>
    <t xml:space="preserve">pago danuel ortega </t>
  </si>
  <si>
    <t>El Troje</t>
  </si>
  <si>
    <t>pago prestamos nicolar ramirez</t>
  </si>
  <si>
    <t>retefuente prestamo</t>
  </si>
  <si>
    <t xml:space="preserve">PAGO QUINCENA MARIA FERNANDA CHAMORRO CARLOSAMA </t>
  </si>
  <si>
    <t>PAGO QUINCENA WILSON HARLKEY MALES CUASPUD</t>
  </si>
  <si>
    <t>PAGO QUINCENA JOSE MAURICIO PAZ JURADO</t>
  </si>
  <si>
    <t>PAGO QUINCENA WIILLIAM ALBERTO AZA CRIOLLO</t>
  </si>
  <si>
    <t xml:space="preserve">PAGO QUINCENA DILBER  MAURICIO PAZ ALMEIDA </t>
  </si>
  <si>
    <t>PAGO QUINCENA WILLIAMS ALFREDO VILLAR MORA</t>
  </si>
  <si>
    <t>PAGO QUINCENA YOHN ANDERSON LOPEZ JAIMEZ</t>
  </si>
  <si>
    <t>PAGO QUINCENA DIYER DELGADO NARVAEZ</t>
  </si>
  <si>
    <t xml:space="preserve">Auxilio de movilizacion Hernan Dario </t>
  </si>
  <si>
    <t>importaciones</t>
  </si>
  <si>
    <t>COMPRA EN LA MERCED</t>
  </si>
  <si>
    <t>4 botellon de aguaDeposito FigueroaJeancarlo G Moncayo</t>
  </si>
  <si>
    <t>Diesel para camionetaEDS Rio MayoJeancarlo G Moncayo</t>
  </si>
  <si>
    <t>Copias de llavesFERRETERÍA SAN PEDROCAMILO MELO</t>
  </si>
  <si>
    <t>PaneladasMERKAHORROCAMILO MELO</t>
  </si>
  <si>
    <t>5 roscasEL NIPLECAMILO MELO</t>
  </si>
  <si>
    <t>COLECTIVO AEROPUERTO  PASTOMARCELA GERMAN REYESMARCELA GERMAN REYES</t>
  </si>
  <si>
    <t>TRANSPORTE  AEROPUERTO MEDELLINMARCELA GERMAN REYESMARCELA GERMAN REYES</t>
  </si>
  <si>
    <t>ALIMENTACIONCREPES Y WAFLESMARCELA GERMAN REYES</t>
  </si>
  <si>
    <t>ALIMENTACIONFRANCORP SASMARCELA GERMAN REYES</t>
  </si>
  <si>
    <t>ALIMENTACIONDUNKINMARCELA GERMAN REYES</t>
  </si>
  <si>
    <t>ALIMENTACIONSUBWAYMARCELA GERMAN REYES</t>
  </si>
  <si>
    <t>UBER HOTEL MARCELA GERMAN REYESMARCELA GERMAN REYES</t>
  </si>
  <si>
    <t>COLECTIVO AEROPUERTO MEDELLIN MARCELA GERMAN REYESMARCELA GERMAN REYES</t>
  </si>
  <si>
    <t>envio material batericars</t>
  </si>
  <si>
    <t>legalizacion loren dotacion</t>
  </si>
  <si>
    <t>legalizacion stefania dotacion</t>
  </si>
  <si>
    <t xml:space="preserve">pago servicio publico cedenar </t>
  </si>
  <si>
    <t>pago revisora fiscal</t>
  </si>
  <si>
    <t>pago jorge quintero auxilio movilizacion</t>
  </si>
  <si>
    <t>ingreso anticipo naos 3</t>
  </si>
  <si>
    <t xml:space="preserve">ingreso v15 </t>
  </si>
  <si>
    <t>INGRESO ENI PLENITUD MANTENIMEINTO LA MERCED</t>
  </si>
  <si>
    <t>MANTENIMIENTO</t>
  </si>
  <si>
    <t>INGRESO ENI PLENITUD MANTENIMEINTO</t>
  </si>
  <si>
    <t xml:space="preserve">INGRESO ACUAGEN </t>
  </si>
  <si>
    <t>INGRESO SOLSTICIO</t>
  </si>
  <si>
    <t xml:space="preserve">INGRESO LILIANA HUERTAS </t>
  </si>
  <si>
    <t>PAGO TIGO</t>
  </si>
  <si>
    <t>INGRESO PRESTAMO GD REMOLINO</t>
  </si>
  <si>
    <t>INGRESO PLATINUM</t>
  </si>
  <si>
    <t>Prensaestopas, terminales #8SOLUCIONES ELÉCTRICAS T Y CCAMILO MELO</t>
  </si>
  <si>
    <t>Roscas tubo 2"FERSOLUCIONESCAMILO MELO</t>
  </si>
  <si>
    <t>Tornillos tropicalizados para aisladorTODO TORNILLOCAMILO MELO</t>
  </si>
  <si>
    <t>Mantenimiento extintorDOTASOLCAMILO MELO</t>
  </si>
  <si>
    <t>Minibreaker 1x16A, toma doble, tapaDISTRIBUCIONES ACCAMILO MELO</t>
  </si>
  <si>
    <t>1 metro de tubo 2" presion y union Ferreteria FerroMacJeancarlo G Moncayo</t>
  </si>
  <si>
    <t>Cajas de puntillasFerreteria FerroMacJeancarlo G Moncayo</t>
  </si>
  <si>
    <t>TRANSPORTE CUENTA DE COBRO #2 X 5 DIASHUMBERTO NAVIA CIFUENTES JASON STEVEN DIAZ</t>
  </si>
  <si>
    <t>minibreaket shneider 2x6a</t>
  </si>
  <si>
    <t>conector 65 a</t>
  </si>
  <si>
    <t>3 metros de termoencogible</t>
  </si>
  <si>
    <t>switche 8 puestos</t>
  </si>
  <si>
    <t xml:space="preserve">envio ups ,m documentos y dotacion </t>
  </si>
  <si>
    <t>pago factura jaime alberto hernandez abrazaderas y cables</t>
  </si>
  <si>
    <t>Transporte ida y regreso remolino - pasto - remolinoJeancarlo MoncayoJeancarlo G Moncayo</t>
  </si>
  <si>
    <t>copra bariloche</t>
  </si>
  <si>
    <t>compra en v15 alimentacion</t>
  </si>
  <si>
    <t>TRANSPORTE WILIAN BASSANTE  RETENCIOJN 1%</t>
  </si>
  <si>
    <t>TRANSPORTE WILIAN BASSANTE RETE ICA 6*1000</t>
  </si>
  <si>
    <t>africa fashion camisas dotacion</t>
  </si>
  <si>
    <t>grasa 2 librasAlmacen y taller williamsJeancarlo G Moncayo</t>
  </si>
  <si>
    <t>GraseroFerreteria FerroMacJeancarlo G Moncayo</t>
  </si>
  <si>
    <t>Gasolina SaltarinEDS Rio MayoJeancarlo G Moncayo</t>
  </si>
  <si>
    <t>Transpote Camila Zambrano Pasto - Remolino - PastoCamila ZambranoJeancarlo G Moncayo</t>
  </si>
  <si>
    <t>Aseo habitaciones semana del  9 al  14 de septiembreViviana EnriquezJeancarlo G Moncayo</t>
  </si>
  <si>
    <t>Estudios Legales</t>
  </si>
  <si>
    <t xml:space="preserve">tiquete medellin Danielo medina </t>
  </si>
  <si>
    <t>pago alimnetacion naos 2</t>
  </si>
  <si>
    <t>reintegro ana henao</t>
  </si>
  <si>
    <t xml:space="preserve">PLACAS MILTON RIVERA VIDIROS </t>
  </si>
  <si>
    <t xml:space="preserve">VIDRIOS </t>
  </si>
  <si>
    <t>PAGO CORRETAJE NELSON RUIZ</t>
  </si>
  <si>
    <t>Básico Brokers</t>
  </si>
  <si>
    <t xml:space="preserve">PAGO VALENTINA FIGUEROA SAN RAFAEL </t>
  </si>
  <si>
    <t>PAOGO MEDIDOR SUNEO TIANSHI</t>
  </si>
  <si>
    <t>PAG DOTASOL CHALECOS Y GORRAS MEDELLIN</t>
  </si>
  <si>
    <t>PAGO PLACA TIANSHI</t>
  </si>
  <si>
    <t>PAGO FERROMCA NAOS 3</t>
  </si>
  <si>
    <t>PAGO ANTICIPO 50% HUMBERTO ROSERO NAOS 3</t>
  </si>
  <si>
    <t>PAGO ELECTRICOS BOYACA INCUBADORA</t>
  </si>
  <si>
    <t>PAGO ELECTRICOS BOYACA SAN RAFAEL</t>
  </si>
  <si>
    <t xml:space="preserve">PAGO ELECTRICOS BOYACA EL TROJE </t>
  </si>
  <si>
    <t>PAGO MANTENIEMINTO DRON</t>
  </si>
  <si>
    <t>PAGO DAIEL ORTEGA MATERIAL NAOS 2</t>
  </si>
  <si>
    <t>INGRESO GD REMOLINO</t>
  </si>
  <si>
    <t>INGRESO</t>
  </si>
  <si>
    <t>compra hotel cuellar</t>
  </si>
  <si>
    <t>PAGO PLANILLA JHON ALEXANDER GELPUD ZAMORA</t>
  </si>
  <si>
    <t>transporte marce entrega proyecto</t>
  </si>
  <si>
    <t>NivelFerreteria FerroMacJeancarlo G Moncayo</t>
  </si>
  <si>
    <t>Naylon y paquete de pvcFerreteria Remolino MDJeancarlo G Moncayo</t>
  </si>
  <si>
    <t>Nylon 4Ferreteria Remolino MDJeancarlo G Moncayo</t>
  </si>
  <si>
    <t>andres legalizacion</t>
  </si>
  <si>
    <t>CincelesFERREVARIEDADES LIPITACAMILO MELO</t>
  </si>
  <si>
    <t>Envio de cinceles y dotacion dde pasto a remolinoJAIDER ROJASCAMILO MELO</t>
  </si>
  <si>
    <t>Carrera  de piaggio de oficina a v.carvajal se envio panel y cable utpISIDRO PANTOJACAMILO MELO</t>
  </si>
  <si>
    <t>Carrera de piaggio de san rafael a sustisur catambuco se llevo a entregar andamio ISIDRO PANTOJACAMILO MELO</t>
  </si>
  <si>
    <t>Envio de medidor de pasto a bogotaINTER RAPIDISIMOCAMILO MELO</t>
  </si>
  <si>
    <t xml:space="preserve">PAGO PLANILLA CAROLINA CARDONA </t>
  </si>
  <si>
    <t xml:space="preserve">PAGO CASA ANDINA </t>
  </si>
  <si>
    <t>INGRESO GRAN AVENIDA</t>
  </si>
  <si>
    <t>INGRESO ARBOLEDA</t>
  </si>
  <si>
    <t>INGRESO anticipo inverobras</t>
  </si>
  <si>
    <t>inverobras</t>
  </si>
  <si>
    <t>PAGO PLANILLA JOSE ALVEIRO CUSIS HERNANDEZ</t>
  </si>
  <si>
    <t>PAGO PLANILLA IVAN DARIO CAICEDO CALVACHE</t>
  </si>
  <si>
    <t>PAGO PLANILLA PABLO FERNANDO BENAVIDES CHAVES</t>
  </si>
  <si>
    <t>PAGO PLANILLA MARIO ALEXANDER CUSIS HERNANDEZ</t>
  </si>
  <si>
    <t>PAGO PLANILLA JORGE ANDRES BARRERA YANDAR</t>
  </si>
  <si>
    <t>PAGO PLANILLA JOY JAMIT MOSQUERA ORDOÑEZ</t>
  </si>
  <si>
    <t>PAGO PLANILLA WILSON HARLEY MALES CUASPUD</t>
  </si>
  <si>
    <t>PAGO PLANILLA JUAN CAMILO GARCIA SOUZA</t>
  </si>
  <si>
    <t>PAGO PLANILLA MANUEL RODRIGO CORDOBA ORDOÑEZ</t>
  </si>
  <si>
    <t xml:space="preserve">PAGO PLANILLA RUBEN DARIO ESPINOSA PARRA </t>
  </si>
  <si>
    <t xml:space="preserve">PAGO PLANILLA CARLOS ANDRES CERON PAREDES </t>
  </si>
  <si>
    <t>PAGO PLANILLA JASON STEVEN DIAZ GUEVARA </t>
  </si>
  <si>
    <t>PAGO PLANILLA OSCAR ANDRES CASTRO BOTINA</t>
  </si>
  <si>
    <t xml:space="preserve">PAGO PLANILLA VICTOR ALEXANDER RUIZ </t>
  </si>
  <si>
    <t>PAGO PLANILLA EDWIN LEONARDO MARTINEZ YAQUENO</t>
  </si>
  <si>
    <t>PAGO PLANILLA SANDRA CAROLINA PATASCOY BOTINA</t>
  </si>
  <si>
    <t>PAGO PLANILLA CAMILO ESTEBAN MELO CALVACHE</t>
  </si>
  <si>
    <t>PAGO PLANILLA YULY ANDREA JARAMILLO GUERRERO</t>
  </si>
  <si>
    <t>PAGO PLANILLA VERONICA LILIANA SANTACRUZ MENZA</t>
  </si>
  <si>
    <t>PAGO PLANILLA MARIA FERNANDA CHAMORRO CARLOSAMA</t>
  </si>
  <si>
    <t>PAGO PLANILLA LOREN ALEJANDRA DIAZ YAMPUEZAN</t>
  </si>
  <si>
    <t>PAGO PLANILLA JULIO BELALCAZAR MURILLO</t>
  </si>
  <si>
    <t>PAGO PLANILLA JUAN MANUEL ESPAÑA FORERO</t>
  </si>
  <si>
    <t>PAGO PLANILLA JHOANA MARCELA GERMAN REYES</t>
  </si>
  <si>
    <t>PAGO PLANILLA JEISON JULIAN IPIALES BENAVIDES</t>
  </si>
  <si>
    <t>PAGO PLANILLA HERMANN SOUZA CUBIDES</t>
  </si>
  <si>
    <t>PAGO PLANILLA DIANA CAMILA ZAMBRANO ORTEGA</t>
  </si>
  <si>
    <t>PAGO PLANILLA CRISTINA LASSO</t>
  </si>
  <si>
    <t>PAGO PLANILLA CRISTHIAN DUMAR MORENO VILLARREAL</t>
  </si>
  <si>
    <t>PAGO PLANILLA ANA MILENA BOLAÑOS FIGUEROA</t>
  </si>
  <si>
    <t>PAGO PLANILLA MIGUEL ALEJANDRO ENRIQUEZ CHAMORRO</t>
  </si>
  <si>
    <t>PAGO PLANILLA LEIBNITZ EDUARDO CHANA CALDERON</t>
  </si>
  <si>
    <t>PAGO PLANILLA JUAN FERNANDO PANIAGUA OSORIO</t>
  </si>
  <si>
    <t xml:space="preserve">PAGO PLANILLA JORGE ANDRES QUINTERO PEÑA </t>
  </si>
  <si>
    <t>PAGO PLANILLA JORGE ANDRES MUÑOZ MARTINEZ</t>
  </si>
  <si>
    <t>PAGO PLANILLA JAVIER SEBASTIÁN LUCENA VILLARREAL</t>
  </si>
  <si>
    <t>PAGO PLANILLA HERNAN DARIO CABRERA QUITIAQUEZ</t>
  </si>
  <si>
    <t>PAGO PLANILLA DANNA STEFANYA LASSO GUERRA</t>
  </si>
  <si>
    <t>PAGO PLANILLA ANDRES FELIPE DELGADO ZUTTA</t>
  </si>
  <si>
    <t>Kilos de alambre de amarre NAOS 3Ferreteria FerroMacJeancarlo G Moncayo</t>
  </si>
  <si>
    <t>10 Listones 8 x 4 NAOS 3Ferreteria FerroMacJeancarlo G Moncayo</t>
  </si>
  <si>
    <t>ALIMENTACIÓN ALMUERZOS DE LUNES A VIERNES  4 PERSONASMORIONES MILLER GIOVANNIJason Steven Diaz Guevara</t>
  </si>
  <si>
    <t>Swiche 8 puestos puerto tp link, terminal tipo pin #8K.U.TINCAMILO MELO</t>
  </si>
  <si>
    <t>Conector rj45K.U.TINCAMILO MELO</t>
  </si>
  <si>
    <t>Termo encogible 50mm, conectores rj45K.U.TINCAMILO MELO</t>
  </si>
  <si>
    <t>B otellon agua cristalMERKAHORROCAMILO MELO</t>
  </si>
  <si>
    <t>Panelada MERKAHORROCAMILO MELO</t>
  </si>
  <si>
    <t>Logos evoltiBordadosCAMILO MELO</t>
  </si>
  <si>
    <t>PAGO VISTRONICA COMPONENTES PRACTICANTE ADMON</t>
  </si>
  <si>
    <t xml:space="preserve">PAGO DOTASOL </t>
  </si>
  <si>
    <t>PAGO LA MERCED MANTENIMIENTO</t>
  </si>
  <si>
    <t xml:space="preserve">PAGO MLEBA LIGIA MONCAYO </t>
  </si>
  <si>
    <t xml:space="preserve">PAGO GSE FIURMA DIGITAL JUAN MANUEL </t>
  </si>
  <si>
    <t>PAGO RETIE ESTRUNAR</t>
  </si>
  <si>
    <t xml:space="preserve">PAGO CREDITO DISTRIBUCIONES AC </t>
  </si>
  <si>
    <t>PAGO CREDITO DISTRIBUCIONES AC 6*1000</t>
  </si>
  <si>
    <t>PAGO BICOLOR CARVAJAL</t>
  </si>
  <si>
    <t>PAGO BICOLOR ESTRUNAR</t>
  </si>
  <si>
    <t>PAGO ANTICIPO MARTIN GUMAJOA NAOS 2</t>
  </si>
  <si>
    <t>PAGO TRANSPORTE HARRISON NAOS 2</t>
  </si>
  <si>
    <t>PAGO AURA MIREY NAOS 3</t>
  </si>
  <si>
    <t>PAGO DANIEL ORTEGA NAOS 2</t>
  </si>
  <si>
    <t xml:space="preserve">PAGO REINTEGRO DANIEL MEDINA ESTRUCTURACION </t>
  </si>
  <si>
    <t>PAGO JIMMI BURBANO NAOS 2</t>
  </si>
  <si>
    <t>PAGO JIMMI BURBANO NAOS 3</t>
  </si>
  <si>
    <t>PAGO PLANILLA KELLY TATIANA ALVAREZ GARCIA</t>
  </si>
  <si>
    <t xml:space="preserve">PAGO PLANILLA JOSE ESTEBAN RODRIGUEZ QUINTERO </t>
  </si>
  <si>
    <t>PAGO PLANILLA DANIEL FERNANDO MEDINA GUERRERO</t>
  </si>
  <si>
    <t>PAGO PLANILLA ANA MILENA HENAO GONZALEZ</t>
  </si>
  <si>
    <t>PAGO PLANILLA YALINER ILVIRA FIGUEROA</t>
  </si>
  <si>
    <t>PAGO PLANILLA SEGUNDO MARCIAL GELPUD BOTINA</t>
  </si>
  <si>
    <t>PAGO PLANILLA RUBEN DARIO SILVA RODRIGUEZ</t>
  </si>
  <si>
    <t>PAGO PLANILLA RODRIGO QUINTERO DIAZ</t>
  </si>
  <si>
    <t>PAGO PLANILLA LUZ IRMA ORTEGA CIFUENTES</t>
  </si>
  <si>
    <t xml:space="preserve">PAGO PLANILLA JUAN ESTEBAN BLANCO QUIROGA </t>
  </si>
  <si>
    <t>PAGO PLANILLA JIMMI ALEXANDER BURGOS GUERRERO</t>
  </si>
  <si>
    <t>PAGO PLANILLA JHONSIN ARLEY ARIAS CEBALLOS</t>
  </si>
  <si>
    <t xml:space="preserve">PAGO PLANILLA JHONNY FRANCISCO CEBALLOS BURBANO </t>
  </si>
  <si>
    <t>PAGO PLANILLA JEFERSON VERGARA MUÑOZ</t>
  </si>
  <si>
    <t>PAGO PLANILLA JEANCARLO GUILLERMO MONCAYO ANDRADE</t>
  </si>
  <si>
    <t>PAGO PLANILLA IVAN CAMILO MENESES ORDOÑEZ</t>
  </si>
  <si>
    <t>PAGO PLANILLA EYDER QUINTERO DIAZ</t>
  </si>
  <si>
    <t>PAGO PLANILLA EDWAR AMILCAR CHAGUEZA GOMEZ</t>
  </si>
  <si>
    <t>PAGO PLANILLA EDILFONSO ROSERO CASTILLO</t>
  </si>
  <si>
    <t>PAGO PLANILLA ANDRES WILFREDY BASTIDAS GALINDEZ</t>
  </si>
  <si>
    <t>PAGO PLANILLA ALBERT FIGUEROA</t>
  </si>
  <si>
    <t>PAGO PLANILLA ALBEIRO ORLANDO ESPAÑA HERNANDEZ</t>
  </si>
  <si>
    <t xml:space="preserve">PAGO PLANILLA ESTEBAN ALEJANDRO MARTINEZ FIGUEROA </t>
  </si>
  <si>
    <t>PAGO PLANILLA  JOSE MAURICIO PAZ JURADO</t>
  </si>
  <si>
    <t>PAGO PLANILLA LUIS ALBERTO ALMEIDA MATABAJOY</t>
  </si>
  <si>
    <t xml:space="preserve">PAGO PLANILLA DIEGO ANDRES ARAUJO NARVAEZ </t>
  </si>
  <si>
    <t>PAGO PLANILLA RUBEN LOPEZ MUÑOZ</t>
  </si>
  <si>
    <t>PAGO PLANILLA ROYER IDELVER LOPEZ SOLARTE</t>
  </si>
  <si>
    <t>compra tiquete Juan Mauel</t>
  </si>
  <si>
    <t>6 Libras de puntullas, mineral rojo y cinta grandeFerreteria FerroMacJeancarlo G Moncayo</t>
  </si>
  <si>
    <t>3 metros de tubo sanitario y un codo 3 "Ferreteria FerroMacJeancarlo G Moncayo</t>
  </si>
  <si>
    <t>Pegante PVC Naos 3Ferreteria Remolino MDJeancarlo G Moncayo</t>
  </si>
  <si>
    <t>Flete UPSJeancarlo MoncayoJeancarlo G Moncayo</t>
  </si>
  <si>
    <t>Duplicado llave naos 1Jeancarlo MoncayoJeancarlo G Moncayo</t>
  </si>
  <si>
    <t>compra chocorramo mini alkosto</t>
  </si>
  <si>
    <t>brochas 2"1/2 camilo melo</t>
  </si>
  <si>
    <t>caja ratwell camilo</t>
  </si>
  <si>
    <t>tornillos autoperforantes</t>
  </si>
  <si>
    <t>cutvas emt 1/2 tapa ciega ratwel</t>
  </si>
  <si>
    <t>caja ratwel, prensa estopa de 1/2</t>
  </si>
  <si>
    <t>lamprara de emergencia, interruptos</t>
  </si>
  <si>
    <t>envio ups de pasto a cali</t>
  </si>
  <si>
    <t>envio de acrilicos y marquillas pasto-cali</t>
  </si>
  <si>
    <t xml:space="preserve">PAGO CERTIFICADOS LIBERTAD Y TRADICION </t>
  </si>
  <si>
    <t xml:space="preserve">PAG JUAN MANUEL PABON ARREGLO OFICINA </t>
  </si>
  <si>
    <t>PAG JUAN MANUEL PABON ARREGLO OFICINA RETENCION 4%</t>
  </si>
  <si>
    <t>PAG JUAN MANUEL PABON ARREGLO OFICINA RETE ICA 6*1000</t>
  </si>
  <si>
    <t xml:space="preserve">PAGO STFAN QUAST ARREGLO OFICINA </t>
  </si>
  <si>
    <t>PAGO STFAN QUAST ARREGLO OFICINA RETENCION 4%</t>
  </si>
  <si>
    <t xml:space="preserve">HOTEL JUAN FERNANDO CARVAJAL </t>
  </si>
  <si>
    <t>HOTEL JUAN FERNANDO CARVAJAL RETENCION 6*1000</t>
  </si>
  <si>
    <t>compra caffeto</t>
  </si>
  <si>
    <t xml:space="preserve">INGRESO hotel cuellar </t>
  </si>
  <si>
    <t>INGRESO bellatriz</t>
  </si>
  <si>
    <t>PAGO COMPRA FACEBOOK</t>
  </si>
  <si>
    <t>PAGO COMPRA MICROSF</t>
  </si>
  <si>
    <t>Transporte desde terminal de pasto hasta la Merced IpialesExpreso Valle de Atriz SAEduardo Chana</t>
  </si>
  <si>
    <t>Transporte desde terminal de ipiales hasta la Merced IpialesFLOTA GUAITARA SAEduardo Chana</t>
  </si>
  <si>
    <t>Almuerzo del restaurante la mercedORGANIZACIÓN LA MERCED SASEduardo Chana</t>
  </si>
  <si>
    <t>Transporte de taxi desde terminal de ipiales a la mercedEduardo Chana CalderonEduardo Chana</t>
  </si>
  <si>
    <t>Transporte de taxi desde la merced hasta terminal de ipiales Eduardo Chana CalderonEduardo Chana</t>
  </si>
  <si>
    <t>Rollo de cinta peligroFerreteria FerroMacJeancarlo G Moncayo</t>
  </si>
  <si>
    <t>Transporte ida y regreso remolino - pasto - remolinoJimmy BurgosJeancarlo G Moncayo</t>
  </si>
  <si>
    <t>Transporte ida y regreso remolino - pasto - remolinoEdilfonso RoseroJeancarlo G Moncayo</t>
  </si>
  <si>
    <t>ALIMENTACIÓN 4 ALMUERZOSMORIONES MILLER GIOVANNIJason Steven Diaz Guevara</t>
  </si>
  <si>
    <t>TRANSPORTE CUENTA DE COBRO #3 X 5 DIASHUMBERTO NAVIA CIFUENTES JASON STEVEN DIAZ</t>
  </si>
  <si>
    <t>TRANSPORTE APARTAMENTO-TERMINAL Jason DiazJASON STEVEN DIAZ</t>
  </si>
  <si>
    <t>TRANSPORTE CALI-PASTO 4 PASAJESTRANSIPIALES SAJASON STEVEN DIAZ</t>
  </si>
  <si>
    <t>taxis Pasto x 9 días</t>
  </si>
  <si>
    <t>almuerzos x 7</t>
  </si>
  <si>
    <t>PAGO STFAN QUAST ARREGLO OFICINA *6/1000</t>
  </si>
  <si>
    <t>HOTEL JUAN FERNANDO CARVAJAL RETENCION 3,5%</t>
  </si>
  <si>
    <t>Reintegro Jason Viaticos</t>
  </si>
  <si>
    <t>Diesel para planta EDS Rio MayoJeancarlo G Moncayo</t>
  </si>
  <si>
    <t>Gasolina Ahoyadora (Incubadora)EDS Rio MayoJeancarlo G Moncayo</t>
  </si>
  <si>
    <t>PAGO VALENTINA FIGUEROA INCUBADORA RETENCION 2,5%</t>
  </si>
  <si>
    <t>Taxis recoger camioneta nuevaJeancarlo MoncayoJeancarlo G Moncayo</t>
  </si>
  <si>
    <t>INGRESO TIGRE</t>
  </si>
  <si>
    <t xml:space="preserve">PAGO COMPRA DUNKIN DON </t>
  </si>
  <si>
    <t>PAGO COMPRA DE ADOBE</t>
  </si>
  <si>
    <t>Peaje pasto - remolinoPeaje CanoJeancarlo G Moncayo</t>
  </si>
  <si>
    <t>Aseo habitaciones semana del  16 al  21 de septiembreViviana EnriquezJeancarlo G Moncayo</t>
  </si>
  <si>
    <t>16 carretos de nylon, 4 llaves 19 Ferreteria FerroMacJeancarlo G Moncayo</t>
  </si>
  <si>
    <t>20 estopas, 10 discos, un candado y flexometrosFerreteria FerroMacJeancarlo G Moncayo</t>
  </si>
  <si>
    <t>Transporte Oficina AcuagenMiguel Enriquez ChMiguel Enriquez Ch</t>
  </si>
  <si>
    <t>Acuagen</t>
  </si>
  <si>
    <t>Transporte Acuagen OfinaMiguel Enriquez ChMiguel Enriquez Ch</t>
  </si>
  <si>
    <t>transporte Jennifer Portilla</t>
  </si>
  <si>
    <t xml:space="preserve">PAGO COMPRA EN EL PARADOR ALIMENTACION </t>
  </si>
  <si>
    <t xml:space="preserve">PAGO COMPRA TRIBAL </t>
  </si>
  <si>
    <t>INGRESO V1501</t>
  </si>
  <si>
    <t xml:space="preserve">PAGO TIQUETE TIQUETE JUAN MANUEL </t>
  </si>
  <si>
    <t>tiquetes aereos</t>
  </si>
  <si>
    <t>CAMARA DE COMERCIO granja solar polaris 3</t>
  </si>
  <si>
    <t>PAGO ALIMENTACION MARCOS OJEDA NAOS 2</t>
  </si>
  <si>
    <t>PAGO VALENTINA FIGUEROA INCUBADORA</t>
  </si>
  <si>
    <t>PAGO VALENTINA FIGUEROA INCUBADORA RETE ICA 6*100</t>
  </si>
  <si>
    <t>PAGO TOTAL DAVID DIAZ</t>
  </si>
  <si>
    <t>PAGO TOTAL DAVID DIAZ RETENCION ART 383 11,20%</t>
  </si>
  <si>
    <t>PAGO Andrea Jaramillo asesoria Walter</t>
  </si>
  <si>
    <t>PAGO JIMMI BURGOS TOPOGRAFIA DELTA</t>
  </si>
  <si>
    <t>PAGO JIMMI BURGOS TOPOGRAFIA ESTRUCTURACION</t>
  </si>
  <si>
    <t>PAGO UPME ESTRUNAR</t>
  </si>
  <si>
    <t>PAGO ALQUILER ANDAMIOS ESTRUNAR LUIS RODRIGUEZ</t>
  </si>
  <si>
    <t>PAGO ALQUILER ANDAMIOS ESTRUNAR LUIS RODRIGUEZ RETE FUENTE 4%</t>
  </si>
  <si>
    <t xml:space="preserve">PAGO ORIGEN COLOMBIA DOTACION </t>
  </si>
  <si>
    <t>PAGO ORIGEN COLOMBIA DOTACION RETE ICA 4*100</t>
  </si>
  <si>
    <t>PAGO GRUPO SOLAIRE</t>
  </si>
  <si>
    <t>PAGO INFORME VIVIANA PATIÑO</t>
  </si>
  <si>
    <t>PAGO TIQUETE ANDREA JARAMILLO</t>
  </si>
  <si>
    <t>PAGO AMARANET ZERO</t>
  </si>
  <si>
    <t xml:space="preserve">PAGO UPME NOVACENTRO </t>
  </si>
  <si>
    <t>PAGO POLIZA UNICENTRO CUMPLIMIENTO</t>
  </si>
  <si>
    <t>PAGO POLIZA UNICENTRO RESPONSABILIDAD CIVIL</t>
  </si>
  <si>
    <t>PAGO RETENCIO EN ICA BIMESTRAL</t>
  </si>
  <si>
    <t>PAGO TIQUETE MIGUE Y JEANCARLO</t>
  </si>
  <si>
    <t>Par de botas caucho y guantesFerreteria FerroMacJeancarlo G Moncayo</t>
  </si>
  <si>
    <t>1/4 aceite 15w40 y juego de brocasFerreteria FerroMacJeancarlo G Moncayo</t>
  </si>
  <si>
    <t>JASON TRANSPORTE UNICENTRO APAGON</t>
  </si>
  <si>
    <t>compra papel higenico</t>
  </si>
  <si>
    <t>compra busos remolino</t>
  </si>
  <si>
    <t>Transporte Oficina surtisurMiguel Enriquez ChMiguel Enriquez Ch</t>
  </si>
  <si>
    <t xml:space="preserve">Surtisur </t>
  </si>
  <si>
    <t>Transporte surtisur oficinaMiguel Enriquez ChMiguel Enriquez Ch</t>
  </si>
  <si>
    <t xml:space="preserve">PAGO CAMARA DE COMERCIO PROPONENTES </t>
  </si>
  <si>
    <t>PAGO LA FERRO CREDITO BANCO</t>
  </si>
  <si>
    <t>Transporte desde terminal de ipiales hasta PastoAuto Panamericano SAEduardo Chana</t>
  </si>
  <si>
    <t>Transporte de taxi desde la merced hasta terminal de IpialesEduardo Chana CalderonEduardo Chana</t>
  </si>
  <si>
    <t>VISITAS COMERCIAL TAXISJEISON JULIAN IPAILES Jeison Julian Ipiales</t>
  </si>
  <si>
    <t>VISITA GD GUCHCUAL- IPIALESJEISON JULIAN IPAILES Jeison Julian Ipiales</t>
  </si>
  <si>
    <t>aceite 15 w 40 x 2 para mezcladora y plantaFerreteria FerroMacJeancarlo G Moncayo</t>
  </si>
  <si>
    <t>Diesel para mezcladoraEDS Rio MayoJeancarlo G Moncayo</t>
  </si>
  <si>
    <t>Reparacion de red numatica en polipropileno de Batericars</t>
  </si>
  <si>
    <t xml:space="preserve">Torta 3 leches SULERNA LAS CUADRAS NARVAEZ C SASStefanya Lasso </t>
  </si>
  <si>
    <t xml:space="preserve">2 Gaseosas Stefanya LassoStefanya Lasso </t>
  </si>
  <si>
    <t xml:space="preserve">Vasos y Velas de cumpleañosLA CALI SASStefanya Lasso </t>
  </si>
  <si>
    <t xml:space="preserve">Transporte de ida para 3 personas (Pasto-Yacuanquer)EXPRESO NUEVO TANGUA S.A.SStefanya Lasso </t>
  </si>
  <si>
    <t xml:space="preserve">Transporte de ida para 3 personas (Yacuanquer-Pasto)EXPRESO NUEVO TANGUA S.A.SStefanya Lasso </t>
  </si>
  <si>
    <t>envio materiales estrunar</t>
  </si>
  <si>
    <t xml:space="preserve">PAGO TRANSPORTE WILLIAN BASANTE BANCO </t>
  </si>
  <si>
    <t>WILIAN</t>
  </si>
  <si>
    <t>PAGO TRANSPORTE WILLIAN BASANTE RETENCION 1%</t>
  </si>
  <si>
    <t>PAGO TRANSPORTE WILLIAN BASANTE RETE ICA 6*1000</t>
  </si>
  <si>
    <t>pago reintegri legalizacion jorge quintero</t>
  </si>
  <si>
    <t xml:space="preserve">PAGO KELLY REINTEGRO ESTRUCTURACION </t>
  </si>
  <si>
    <t>PAGO IPS MEDELAB</t>
  </si>
  <si>
    <t>PAGO ARREGLO BATERICARS</t>
  </si>
  <si>
    <t>pago transporte fanco</t>
  </si>
  <si>
    <t xml:space="preserve">PAGO INSDUTRIAS ECTRICOL </t>
  </si>
  <si>
    <t>20 kg chipa 3/8, 15 kg alambre, 13 varillas de 1/2"Ferreteria FerroMacJeancarlo G Moncayo</t>
  </si>
  <si>
    <t>4 pares de guantes de carnazaFerreteria FerroMacJeancarlo G Moncayo</t>
  </si>
  <si>
    <t>50 sacas blancasFerreteria FerroMacJeancarlo G Moncayo</t>
  </si>
  <si>
    <t>10 discos de metal y 6 cajas de puntillasFerreteria FerroMacJeancarlo G Moncayo</t>
  </si>
  <si>
    <t xml:space="preserve">Transporte (Pasto - Remolino) Stefanya LassoStefanya LassoStefanya Lasso </t>
  </si>
  <si>
    <t xml:space="preserve">Transporte (Remolino - Pasto) Stefanya Lasso Stefanya LassoStefanya Lasso </t>
  </si>
  <si>
    <t xml:space="preserve">Transporte (Pasto - Remolino) Camilo ToroCamilo Toro Stefanya Lasso </t>
  </si>
  <si>
    <t xml:space="preserve">Transporte (Remolino - Pasto) Camilo ToroCamilo Toro Stefanya Lasso </t>
  </si>
  <si>
    <t xml:space="preserve">Transporte (Pasto - Remolino) Camila ZambranoCamila ZambranoStefanya Lasso </t>
  </si>
  <si>
    <t xml:space="preserve">Transporte (Remolino - Pasto) Camila ZambranoCamila ZambranoStefanya Lasso </t>
  </si>
  <si>
    <t>ASEO Y CAFETERIA COMPRA ALKOSTO</t>
  </si>
  <si>
    <t>suministro de combustiblre</t>
  </si>
  <si>
    <t>ana milena</t>
  </si>
  <si>
    <t>pago peaje placer</t>
  </si>
  <si>
    <t>pago de almuerzos</t>
  </si>
  <si>
    <t>caffeto reunion para aliados financieros</t>
  </si>
  <si>
    <t xml:space="preserve">PAGO JULIOI BELANCAZAR REINTEGRO </t>
  </si>
  <si>
    <t xml:space="preserve">PAGO BAÑOS DELTA </t>
  </si>
  <si>
    <t xml:space="preserve">PAGO AURA MIREY PEQUEÑO MATERIAÑL </t>
  </si>
  <si>
    <t>PAGO HUMBERTO ROSERO</t>
  </si>
  <si>
    <t xml:space="preserve">PAGO MILTON SANTIAGO PUBENZA </t>
  </si>
  <si>
    <t xml:space="preserve">PAGO CORRETA GILBERTO LOPEZ </t>
  </si>
  <si>
    <t>PAGO TOTALIZADOR VALENITNA FIGUEROA</t>
  </si>
  <si>
    <t xml:space="preserve">INGRESO SEGUROS GENERALES </t>
  </si>
  <si>
    <t>INGRESO NAOS 2</t>
  </si>
  <si>
    <t>PAGO QUINCENAJEANCARLO GUILLERMO MONCAYO ANDRADE</t>
  </si>
  <si>
    <t>PAGO QUINCENAJUAN FERNANDO PANIAGUA OSORIO</t>
  </si>
  <si>
    <t>PAGO QUINCENASEGUNDO MARCIAL GELPUD BOTINA</t>
  </si>
  <si>
    <t>PAGO QUINCENAMANUEL RODRIGO CORDOBA ORDOÑEZ</t>
  </si>
  <si>
    <t>PAGO QUINCENAJHOANA MARCELA GERMAN REYES</t>
  </si>
  <si>
    <t>PAGO QUINCENAJOSE ALVEIRO CUSIS HERNANDEZ</t>
  </si>
  <si>
    <t>PAGO QUINCENAJUAN MANUEL ESPAÑA FORERO</t>
  </si>
  <si>
    <t>PAGO QUINCENADANIEL FERNANDO MEDINA GUERRERO</t>
  </si>
  <si>
    <t>PAGO QUINCENAHERMANN SOUZA CUBIDES</t>
  </si>
  <si>
    <t>PAGO QUINCENASANDRA CAROLINA PATASCOY BOTINA</t>
  </si>
  <si>
    <t>PAGO QUINCENAIVAN DARIO CAICEDO CALVACHE</t>
  </si>
  <si>
    <t>PAGO QUINCENALEIBNITZ EDUARDO CHANA CALDERON</t>
  </si>
  <si>
    <t>PAGO QUINCENAJASON STEVEN DIAZ GUEVARA </t>
  </si>
  <si>
    <t>PAGO QUINCENAOSCAR ANDRES CASTRO BOTINA</t>
  </si>
  <si>
    <t>PAGO QUINCENAMIGUEL ALEJANDRO ENRIQUEZ CHAMORRO</t>
  </si>
  <si>
    <t>PAGO QUINCENAKELLY TATIANA ALVAREZ GARCIA</t>
  </si>
  <si>
    <t>PAGO QUINCENAYULY ANDREA JARAMILLO GUERRERO</t>
  </si>
  <si>
    <t>PAGO QUINCENADANNA STEFANYA LASSO GUERRA</t>
  </si>
  <si>
    <t>PAGO QUINCENALOREN ALEJANDRA DIAZ YAMPUEZAN</t>
  </si>
  <si>
    <t xml:space="preserve">PAGO QUINCENAMARIA FERNANDA CHAMORRO </t>
  </si>
  <si>
    <t>PAGO QUINCENAVERONICA LILIANA SANTACRUZ MENZA</t>
  </si>
  <si>
    <t>PAGO QUINCENAALBEIRO ORLANDO ESPAÑA HERNANDEZ</t>
  </si>
  <si>
    <t>PAGO QUINCENAJHONSIN ARLEY ARIAS CEBALLOS</t>
  </si>
  <si>
    <t xml:space="preserve">PAGO QUINCENAPABLO FERNANDO BENAVIDES CHAVES </t>
  </si>
  <si>
    <t xml:space="preserve">PAGO QUINCENAJHON ALEXANDER GELPUD ZAMORA </t>
  </si>
  <si>
    <t xml:space="preserve">PAGO QUINCENARUBEN DARIO ESPINOSA PARRA </t>
  </si>
  <si>
    <t>PAGO QUINCENAMARIO ALEXANDER CUSIS HERNANDEZ</t>
  </si>
  <si>
    <t>PAGO QUINCENAJEISON JULIAN IPIALES BENAVIDES</t>
  </si>
  <si>
    <t>PAGO QUINCENACRISTHIAN DUMAR MORENO VILLARREAL</t>
  </si>
  <si>
    <t>PAGO QUINCENAEDILFONSO ROSERO CASTILLO</t>
  </si>
  <si>
    <t>PAGO QUINCENAJIMMI ALEXANDER BURGOS GUERRERO</t>
  </si>
  <si>
    <t>PAGO QUINCENAJAVIER SEBASTIÁN LUCENA VILLARREAL</t>
  </si>
  <si>
    <t>PAGO QUINCENAIVAN CAMILO MENESES ORDOÑEZ</t>
  </si>
  <si>
    <t xml:space="preserve">PAGO QUINCENAJHONNY FRANCISCO CEBALLOS BURBANO </t>
  </si>
  <si>
    <t>PAGO QUINCENAEDWAR AMILCAR CHAGUEZA GOMEZ</t>
  </si>
  <si>
    <t>PAGO QUINCENARUBEN DARIO SILVA RODRIGUEZ</t>
  </si>
  <si>
    <t xml:space="preserve">PAGO QUINCENAJUAN ESTEBAN BLANCO QUIROGA </t>
  </si>
  <si>
    <t>PAGO QUINCENALUZ IRMA ORTEGA CIFUENTES</t>
  </si>
  <si>
    <t>PAGO QUINCENARODRIGO QUINTERO DIAZ</t>
  </si>
  <si>
    <t>PAGO QUINCENAJEFERSON VERGARA MUÑOZ</t>
  </si>
  <si>
    <t xml:space="preserve">PAGO QUINCENAVICTOR ALEXANDER RUIZ </t>
  </si>
  <si>
    <t>PAGO QUINCENAJORGE ANDRES BARRERA YANDAR</t>
  </si>
  <si>
    <t>PAGO QUINCENAEDWIN LEONARDO MARTINEZ YAQUENO</t>
  </si>
  <si>
    <t>PAGO QUINCENAJOY JAMIT MOSQUERA ORDOÑEZ</t>
  </si>
  <si>
    <t xml:space="preserve">PAGO QUINCENACARLOS ANDRES CERON PAREDES </t>
  </si>
  <si>
    <t xml:space="preserve">PAGO QUINCENAJORGE ANDRES QUINTERO PEÑA </t>
  </si>
  <si>
    <t>PAGO QUINCENAANDRES FELIPE DELGADO ZUTTA</t>
  </si>
  <si>
    <t>PAGO QUINCENAANA MILENA HENAO GONZALEZ</t>
  </si>
  <si>
    <t>PAGO QUINCENAJORGE ANDRES MUÑOZ MARTINEZ</t>
  </si>
  <si>
    <t xml:space="preserve">PAGO QUINCENAJOSE ESTEBAN RODRIGUEZ QUINTERO </t>
  </si>
  <si>
    <t>PAGO QUINCENAHERNAN DARIO CABRERA QUITIAQUEZ</t>
  </si>
  <si>
    <t>PAGO QUINCENAYALINER ILVIRA FIGUEROA</t>
  </si>
  <si>
    <t>PAGO QUINCENAANDRES WILFREDY BASTIDAS GALINDEZ</t>
  </si>
  <si>
    <t>PAGO QUINCENAEYDER QUINTERO DIAZ</t>
  </si>
  <si>
    <t>PAGO QUINCENAALBERT FIGUEROA</t>
  </si>
  <si>
    <t>PAGO QUINCENACAROLINA CARDONA PAREJA</t>
  </si>
  <si>
    <t>PAGO QUINCENAJULIO BELALCAZAR MURILLO</t>
  </si>
  <si>
    <t>PAGO QUINCENACRISTINA LASSO</t>
  </si>
  <si>
    <t>PAGO QUINCENAANA MILENA BOLAÑOS FIGUEROA</t>
  </si>
  <si>
    <t xml:space="preserve">PAGO QUINCENAESTEBAN ALEJANDRO MARTINEZ FIGUEROA </t>
  </si>
  <si>
    <t>PAGO QUINCENAJOSE MAURICIO PAZ JURADO</t>
  </si>
  <si>
    <t>PAGO QUINCENALUIS ALBERTO ALMEIDA MATABAJOY</t>
  </si>
  <si>
    <t xml:space="preserve">PAGO QUINCENADIEGO ANDRES ARAUJO NARVAEZ </t>
  </si>
  <si>
    <t>PAGO QUINCENARUBEN LOPEZ MUÑOZ</t>
  </si>
  <si>
    <t>PAGO QUINCENAROYER IDELVER LOPEZ SOLARTE</t>
  </si>
  <si>
    <t>PAGO QUINCENAWILSON HARLEY MALES CUASPUD</t>
  </si>
  <si>
    <t>PAGO QUINCENADIANA CAMILA ZAMBRANO ORTEGA</t>
  </si>
  <si>
    <t>PAGO QUINCENAWIILLIAM ALBERTO AZA CRIOLLO</t>
  </si>
  <si>
    <t xml:space="preserve">PAGO QUINCENADILBER  MAURICIO PAZ ALMEIDA </t>
  </si>
  <si>
    <t>PAGO QUINCENAWILLIAMS ALFREDO VILLAR MORA</t>
  </si>
  <si>
    <t>PAGO QUINCENAYOHN ANDERSON LOPEZ JAIMEZ</t>
  </si>
  <si>
    <t>PAGO QUINCENADIYER DELGADO NARVAEZ</t>
  </si>
  <si>
    <t>PAGO QUINCENAYOHN JAIRO BENAVIDES CHAMORRO</t>
  </si>
  <si>
    <t xml:space="preserve">Check </t>
  </si>
  <si>
    <t xml:space="preserve">PAGO TIQUETE ANA HENAO </t>
  </si>
  <si>
    <t>PAGO INTERESES NATALIA SEGURA</t>
  </si>
  <si>
    <t>PAGO AC MONTAJES MANTENIMEINTO DOSPROPAN</t>
  </si>
  <si>
    <t>PAGO ESTRUCTURAS DE NARIÑO</t>
  </si>
  <si>
    <t>VISITA COMERCIAL TAXIS SANFERNANDOJEISON JULIAN IPAILES Jeison Julian Ipiales</t>
  </si>
  <si>
    <t>Transporte Oficina CaffetoMiguel Enriquez ChMiguel Enriquez Ch</t>
  </si>
  <si>
    <t>Transporte Caffeto- CedenarMiguel Enriquez ChMiguel Enriquez Ch</t>
  </si>
  <si>
    <t>caja experimento salida</t>
  </si>
  <si>
    <t>pago derecho de medidor</t>
  </si>
  <si>
    <t>pago liquidacion camilo melo</t>
  </si>
  <si>
    <t>pago ferresol</t>
  </si>
  <si>
    <t xml:space="preserve">INGRESO CLUB COLOMBIA </t>
  </si>
  <si>
    <t>sirios</t>
  </si>
  <si>
    <t>compra pañales tena, athos coco, toa conten wilson leonidas</t>
  </si>
  <si>
    <t>legalziacion miguel</t>
  </si>
  <si>
    <t>legalizacion viviana</t>
  </si>
  <si>
    <t>misa Harley</t>
  </si>
  <si>
    <t>pejaes Andrea</t>
  </si>
  <si>
    <t>Compra 4 botellones de agua con contenidoBERTHA ORTEGA</t>
  </si>
  <si>
    <t>carolina</t>
  </si>
  <si>
    <t>Envio de botellones de agua Pasto - RemolinoORLANDO GUERRERO</t>
  </si>
  <si>
    <t>Carrera piaggio, transporte materiales de costrucción , La Ferro- San RafaelRODRIGO TULCÁNCAROLINA PATASCOY</t>
  </si>
  <si>
    <t>Carrera Uber, San Rafael - OficinaRODRIGO TULCÁNCAROLINA PATASCOY</t>
  </si>
  <si>
    <t>LapiceroPAPELERÍA ESCOBARCAROLINA PATASCOY</t>
  </si>
  <si>
    <t>Recibos de caja menorPAPELERÍA ESCOBARCAROLINA PATASCOY</t>
  </si>
  <si>
    <t>Pintura poliuretanoCOLPINTURASCAROLINA PATASCOY</t>
  </si>
  <si>
    <t>Gasolina mezcladoraEDS SERVISUR SASCAROLINA PATASCOY</t>
  </si>
  <si>
    <t>Carreras taxi, Oficina - Campos de Aragón, Campos de Aragón - Banco de BogotáRICHAR DUCAR CHACUACAROLINA PATASCOY</t>
  </si>
  <si>
    <t>Carrera taxi Distribuciones AC - OficinaOLMEDO PAZCAROLINA PATASCOY</t>
  </si>
  <si>
    <t>Botellón de aguaMERKAHORROCAROLINA PATASCOY</t>
  </si>
  <si>
    <t>Termoencogible negroSOLUCIONES ELECTRICAS T Y CCAROLINA PATASCOY</t>
  </si>
  <si>
    <t>Terminales tipo pin amarilloKUTINCAROLINA PATASCOY</t>
  </si>
  <si>
    <t>Termoencogible amarillo, azul, rojoCASA ELECTRICACAROLINA PATASCOY</t>
  </si>
  <si>
    <t>Terminales tipo ojo amarilloORELCAROLINA PATASCOY</t>
  </si>
  <si>
    <t>Roscas tubosEL NIPLECAROLINA PATASCOY</t>
  </si>
  <si>
    <t>Botellón de aguaTIGRE DE LA REBAJACAROLINA PATASCOY</t>
  </si>
  <si>
    <t>Cable UTP CAT5ECASA ELECTRICACAROLINA PATASCOY</t>
  </si>
  <si>
    <t>cable</t>
  </si>
  <si>
    <t>Carrera taxi Oficina - San RafaelGUSTAVO SALGADOCAROLINA PATASCOY</t>
  </si>
  <si>
    <t>Carreras taxi, Oficina - Casa eléctrica, Casa eléctrica - Tigre de la rebaja AV. Santander, Tigre de la rebaja AV. Santander - OficinaLUIS GARCÍACAROLINA PATASCOY</t>
  </si>
  <si>
    <t>compra silvato camila la cali simulacro</t>
  </si>
  <si>
    <t xml:space="preserve">envio documentos </t>
  </si>
  <si>
    <t>Distribuidora Puyo</t>
  </si>
  <si>
    <t>pago humberto rosero estructura naos 2</t>
  </si>
  <si>
    <t>ingreso pago campos de aragon</t>
  </si>
  <si>
    <t>pago celular</t>
  </si>
  <si>
    <t>pago papeleria erenia josefina</t>
  </si>
  <si>
    <t>pago electricos del valle fusibles</t>
  </si>
  <si>
    <t xml:space="preserve">pago medidor </t>
  </si>
  <si>
    <t>pago sitck solaire</t>
  </si>
  <si>
    <t xml:space="preserve">pago reir it certifica </t>
  </si>
  <si>
    <t>pago of contrucciones arena</t>
  </si>
  <si>
    <t xml:space="preserve">pago saca nucleo victor sanchez </t>
  </si>
  <si>
    <t>pago rehubicacion posttes</t>
  </si>
  <si>
    <t xml:space="preserve">pago transporte harrison lopez </t>
  </si>
  <si>
    <t>pago total cerramiento ferremallas</t>
  </si>
  <si>
    <t>pago hotel marcela</t>
  </si>
  <si>
    <t>pago improinde inversor</t>
  </si>
  <si>
    <t>Sotavento</t>
  </si>
  <si>
    <t xml:space="preserve">pago estructura solardeport </t>
  </si>
  <si>
    <t>pago tramites latam</t>
  </si>
  <si>
    <t>pago upme sotavento</t>
  </si>
  <si>
    <t>pago juliana enriquez tramites actualizaion rup</t>
  </si>
  <si>
    <t xml:space="preserve">pago examen de ingreso </t>
  </si>
  <si>
    <t>pago alimentacion naos 3</t>
  </si>
  <si>
    <t xml:space="preserve">pago pc industrial </t>
  </si>
  <si>
    <t xml:space="preserve">pago tiquete Daniel Medina </t>
  </si>
  <si>
    <t>Transporte Pasto - Puerto Remolino: visita a granjas solares Naos, Delta y PolarisCooperativa de transporte y 
turismo de chachaguí Ltda</t>
  </si>
  <si>
    <t>Danna</t>
  </si>
  <si>
    <t xml:space="preserve">pago wework </t>
  </si>
  <si>
    <t xml:space="preserve">pago examen de ingreso unicentro </t>
  </si>
  <si>
    <t>pago aprovechamiento forestal (nebula)</t>
  </si>
  <si>
    <t>Estudio Invenitario Forestal</t>
  </si>
  <si>
    <t>pago juliana enriquez rup</t>
  </si>
  <si>
    <t xml:space="preserve">pago uniforce sala de juntas </t>
  </si>
  <si>
    <t xml:space="preserve">pago comisiones julio belelzacar </t>
  </si>
  <si>
    <t>Hidratación para visita a granjas solares Naos, Delta y Polaris.Danna Armero Rosero</t>
  </si>
  <si>
    <t>pago anticipo marti gumajoa</t>
  </si>
  <si>
    <t>pago planillas seguridad social administrativo</t>
  </si>
  <si>
    <t>pago planilla seguridad social operativo remolino</t>
  </si>
  <si>
    <t>pago ali comunicaciones admon</t>
  </si>
  <si>
    <t>pago origen dotacion</t>
  </si>
  <si>
    <t xml:space="preserve">como esta es una inversión en la sociedad Delta </t>
  </si>
  <si>
    <t xml:space="preserve">pago reintegro andrea jaramillo </t>
  </si>
  <si>
    <t>pago poliza compañía munidal de seguros</t>
  </si>
  <si>
    <t xml:space="preserve">anticipo unicentro </t>
  </si>
  <si>
    <t xml:space="preserve">ingreso batericars </t>
  </si>
  <si>
    <t>COMPRA INTL GOOGLE ADS549867</t>
  </si>
  <si>
    <t>COMPRA EN LA BARRA N</t>
  </si>
  <si>
    <t>COMPRA INTL MSFT E0100TO85U</t>
  </si>
  <si>
    <t>COMPRA EN DUNKIN DONUTS</t>
  </si>
  <si>
    <t xml:space="preserve">curso de alturas cali </t>
  </si>
  <si>
    <t>Splendor</t>
  </si>
  <si>
    <t>pago uniformes remolino</t>
  </si>
  <si>
    <t xml:space="preserve">pago of construcciones </t>
  </si>
  <si>
    <t xml:space="preserve">pago donacion fuindacion </t>
  </si>
  <si>
    <t xml:space="preserve">pago dotacion cali </t>
  </si>
  <si>
    <t>pago cuota leasing</t>
  </si>
  <si>
    <t>Almuerzo: visita a granjas solares Naos, Delta y Polaris.Danna Armero Rosero</t>
  </si>
  <si>
    <t>pago equirent cambio de camioneta</t>
  </si>
  <si>
    <t>Transporte Puerto Remolino - Pasto: visita a granjas solares Naos, Delta y Polaris.Danna Armero Rosero</t>
  </si>
  <si>
    <t>DEVOLUCION DONACION FUNDACION</t>
  </si>
  <si>
    <t xml:space="preserve">solar altair </t>
  </si>
  <si>
    <t>Transporte oficina-caffetoMiguel Enriquez ChMiguel Enriquez Ch</t>
  </si>
  <si>
    <t>Cadenilla motosierraFERRETERÍA CHAVES LEÓNCAROLINA PATASCOY</t>
  </si>
  <si>
    <t>MatafiloEMPAQUETADURAS Y CAUCHOS NARIÑOCAROLINA PATASCOY</t>
  </si>
  <si>
    <t>Impresión planosSERVIPLOTTERCAROLINA PATASCOY</t>
  </si>
  <si>
    <t>PaneladasVIVERES SAN MARTINCAROLINA PATASCOY</t>
  </si>
  <si>
    <t>Cable soldador #4DISTRIBUCIONES ACCAROLINA PATASCOY</t>
  </si>
  <si>
    <t>Envío materiales ORLANDO GUERREROCAROLINA PATASCOY</t>
  </si>
  <si>
    <t>3 cajas de paneladaDISTRIDAMCAROLINA PATASCOY</t>
  </si>
  <si>
    <t>Abrazadera ajustableDISTRIBUCIONES ACCAROLINA PATASCOY</t>
  </si>
  <si>
    <t>Terminales de coraza 1/2"CASA ELÉCTRICACAROLINA PATASCOY</t>
  </si>
  <si>
    <t>Taxi aeropuerto Cali</t>
  </si>
  <si>
    <t>Desayuno Tuluá</t>
  </si>
  <si>
    <t xml:space="preserve">Taxi </t>
  </si>
  <si>
    <t>Taxi Cali-Yumbo</t>
  </si>
  <si>
    <t xml:space="preserve">transporte camilo pinasaco </t>
  </si>
  <si>
    <t>Ida y regreso de transporte publico a Surtisur para realizar actualización de inversores fotovoltaicosEduardo Chana CalderonEduardo Chana</t>
  </si>
  <si>
    <t>Arreglo cargador pilas taladro molécula ManuelDISEÑOS INDUSTRIALESCAROLINA PATASCOY</t>
  </si>
  <si>
    <t>Pilas timbre entrada casa EvoltiRADIO SANYOCAROLINA PATASCOY</t>
  </si>
  <si>
    <t>Envases plásticosMERQUIMICOS SUPERANDINOSCAROLINA PATASCOY</t>
  </si>
  <si>
    <t>Envío herramienta molécula CaliTRANSPRENSACAROLINA PATASCOY</t>
  </si>
  <si>
    <t>Abrazadera ajustable 3"DISTRIBUCIONES ACCAROLINA PATASCOY</t>
  </si>
  <si>
    <t>Thiner, brocha, vaselina, discos de corte, pintura de tráficoLA FERROCAROLINA PATASCOY</t>
  </si>
  <si>
    <t>Aisladores tipo yoyoSOLUCIONES ELECTRICAS T Y CCAROLINA PATASCOY</t>
  </si>
  <si>
    <t>Terminales #8, conectores rectos de coraza, aisladores tipo yoyoCASA ELECTRICACAROLINA PATASCOY</t>
  </si>
  <si>
    <t>Carrera taxi, Oficina - SurtisurJOSÉ ARTEAGACAROLINA PATASCOY</t>
  </si>
  <si>
    <t>Carrera taxi, Surtisur - OficinaMANUEL CÓRDOBACAROLINA PATASCOY</t>
  </si>
  <si>
    <t>Carrera taxi, La Ferro - OficinaMilton CórdobaCAROLINA PATASCOY</t>
  </si>
  <si>
    <t>Carreras taxi: Terminal mixto - La ferro, la ferro - Hospital san rafael, hospital san rafael - diseños industriales.CAMILO ORTEGACAROLINA PATASCOY</t>
  </si>
  <si>
    <t>Carrera taxi, Oficina - distribuciones ACVICTOR IBARRACAROLINA PATASCOY</t>
  </si>
  <si>
    <t>Carrera piaggio, La ferro - OficinaEDGAR BENAVIDESCAROLINA PATASCOY</t>
  </si>
  <si>
    <t>Carrera taxi, Casa Pinasaco - OficinaMANUEL CÓRDOBACAROLINA PATASCOY</t>
  </si>
  <si>
    <t>Estuco plástico, sikafill, lijas, brocas, chazos, discos de corteLA FERROCAROLINA PATASCOY</t>
  </si>
  <si>
    <t>Carrera piaggio, Oficina - UnicentroBRAYAN PINTACAROLINA PATASCOY</t>
  </si>
  <si>
    <t>Correa industrial prorroyalALMACENES 1000 MANGUERASCAROLINA PATASCOY</t>
  </si>
  <si>
    <t>Envio de banda para mezcladora pasto- remolinoRODRIGO GUERREROCAROLINA PATASCOY</t>
  </si>
  <si>
    <t>Carrera taxi, la ferro- terminal mixtoMIGUEL TORREGROZACAROLINA PATASCOY</t>
  </si>
  <si>
    <t>Transporte pulidora para mantenimiento, REMOLINO- PASTOLUIS HUMBERTO GILONCAROLINA PATASCOY</t>
  </si>
  <si>
    <t>Envío camilla, botiquín y paneladasJESÚS ROMOCAROLINA PATASCOY</t>
  </si>
  <si>
    <t>pago de tiquete terrestre pasto ipiales</t>
  </si>
  <si>
    <t>pago de tiquete terrestre ipiales pasto</t>
  </si>
  <si>
    <t>pago transporte publico</t>
  </si>
  <si>
    <t>pago almuerzos</t>
  </si>
  <si>
    <t>Transporte Pasto - TaminangoCOOTRANSTAMGDANNA ARMERO ROSERO</t>
  </si>
  <si>
    <t>AlmuerzoDanna ArmeroDANNA ARMERO ROSERO</t>
  </si>
  <si>
    <t>HidrataciónDanna ArmeroDANNA ARMERO ROSERO</t>
  </si>
  <si>
    <t>HospedajeLisbeth RodriguezDANNA ARMERO ROSERO</t>
  </si>
  <si>
    <t>CenaTexas ChickenDANNA ARMERO ROSERO</t>
  </si>
  <si>
    <t>Transporte  Taminango - Pasto COOTRANSTAMGDANNA ARMERO ROSERO</t>
  </si>
  <si>
    <t>1 Galón de ACPMESTACION DE SERVICIO SERVICENTRO PANAMERICANACAROLINA PATASCOY</t>
  </si>
  <si>
    <t>Pago envío computadoresESTELAR EXPRESSCAROLINA PATASCOY</t>
  </si>
  <si>
    <t>2 Botellones de agua, 1 para oficina, 1 para UnicentroMERKAHORROCAROLINA PATASCOY</t>
  </si>
  <si>
    <t>Carrera Piaggio, La ferro - UnicentroARMANDO CHAÑACAROLINA PATASCOY</t>
  </si>
  <si>
    <t>Carrera taxi, Unicentro - OficinaARMANDO CHAÑACAROLINA PATASCOY</t>
  </si>
  <si>
    <t>1 Botellón de aguaANDRÉS ENRÍQUEZCAROLINA PATASCOY</t>
  </si>
  <si>
    <t>Tornillos tropicalizados, tuercas, arandelas, wasasTODO TORNILLOCAROLINA PATASCOY</t>
  </si>
  <si>
    <t>Bolsas para basuraLA FERROCAROLINA PATASCOY</t>
  </si>
  <si>
    <t>CandadoLA FERROCAROLINA PATASCOY</t>
  </si>
  <si>
    <t>Bloqueador solarLA CALICAROLINA PATASCOY</t>
  </si>
  <si>
    <t>Bornas 3/0 cuCASA ELÉCTRICACAROLINA PATASCOY</t>
  </si>
  <si>
    <t>Carrera Piaggio, La ferro - San RafaelVÍCTOR PAZCAROLINA PATASCOY</t>
  </si>
  <si>
    <t>Bornas 3/0 cuDISTRIBUCIONES ACCAROLINA PATASCOY</t>
  </si>
  <si>
    <t>Breaker bipolar 15ADISTRIBUCIONES ACCAROLINA PATASCOY</t>
  </si>
  <si>
    <t>Mantenimiento pulidora grandeDISEÑOS INDUSTRIALESCAROLINA PATASCOY</t>
  </si>
  <si>
    <t>Transporte pulidora y dotaciónDANIEL ROJASCAROLINA PATASCOY</t>
  </si>
  <si>
    <t>transpore wiliam basante</t>
  </si>
  <si>
    <t>Aseo habitaciones semana del 23 al 28 de septiembreViviana EnriquezJeancarlo G Moncayo</t>
  </si>
  <si>
    <t>Lavada alistada camioneta naosSpa lavautosJeancarlo G Moncayo</t>
  </si>
  <si>
    <t>Acpm camioneta naosEDS Rio MayoJeancarlo G Moncayo</t>
  </si>
  <si>
    <t>Pago Alvaro Usama por bombeo de agua a NaosJeancarlo MoncayoJeancarlo G Moncayo</t>
  </si>
  <si>
    <t>Puntillas 3", 3 varillas de 1/2"Ferreteria FerroMacJeancarlo G Moncayo</t>
  </si>
  <si>
    <t>3 Botellones de aguaDeposito FigueroaJeancarlo G Moncayo</t>
  </si>
  <si>
    <t>4 tablones de pinoFerreteria FerroMacJeancarlo G Moncayo</t>
  </si>
  <si>
    <t>3 puntillas 2 y 1/2"Ferreteria FerroMacJeancarlo G Moncayo</t>
  </si>
  <si>
    <t>Marcador Sharpie x 4Jeancarlo MoncayoJeancarlo G Moncayo</t>
  </si>
  <si>
    <t>Impresión contratos nuevo personal y copiaJeancarlo MoncayoJeancarlo G Moncayo</t>
  </si>
  <si>
    <t>Limpido y FabDeposito FigueroaJeancarlo G Moncayo</t>
  </si>
  <si>
    <t>2 cintas aislantes Ferreteria FerroMacJeancarlo G Moncayo</t>
  </si>
  <si>
    <t>Viaticos transporte Remolino - Pasto - RemolinoJimmy BurgosJeancarlo G Moncayo</t>
  </si>
  <si>
    <t>Viaticos transporte Remolino - Pasto - RemolinoEdilfonso RoseroJeancarlo G Moncayo</t>
  </si>
  <si>
    <t>Sandia x 3 Jeancarlo MoncayoJeancarlo G Moncayo</t>
  </si>
  <si>
    <t>Arreglo llantaTaller y vulcanizadora el desvareJeancarlo G Moncayo</t>
  </si>
  <si>
    <t>2 Botellones de aguaDeposito FigueroaJeancarlo G Moncayo</t>
  </si>
  <si>
    <t>Acpm camioneta naosEDS Corporacion RemolinoJeancarlo G Moncayo</t>
  </si>
  <si>
    <t>Peaje remolino - pastoPeaje CanoJeancarlo G Moncayo</t>
  </si>
  <si>
    <t>Aseo habitaciones semana del 30 de sep al 5 de OctViviana EnriquezJeancarlo G Moncayo</t>
  </si>
  <si>
    <t>Transporte Remolino - Cali (Recoger camioneta Delta)Transipiales SAJeancarlo G Moncayo</t>
  </si>
  <si>
    <t>Transporte Uber Ciudad 2000 a Barrio pilote CaliJeancarlo MoncayoJeancarlo G Moncayo</t>
  </si>
  <si>
    <t>Hotel Plaza norte Cali 1 noche (Recoger camioneta delta)Hotel plaza norte CaliJeancarlo G Moncayo</t>
  </si>
  <si>
    <t>Cena 7 de octubre cali Pizza crocanteJeancarlo G Moncayo</t>
  </si>
  <si>
    <t>Hotel Plaza norte Cali 2 noches (Recoger camioneta delta)Hotel plaza norte CaliJeancarlo G Moncayo</t>
  </si>
  <si>
    <t>Almuerzo Completo cali - octubre 8Panaderia norte ricurasJeancarlo G Moncayo</t>
  </si>
  <si>
    <t>Desayuno cali - octubre 9Panaderia norte ricurasJeancarlo G Moncayo</t>
  </si>
  <si>
    <t>Peaje villa rica cauca (Recoger camioneta Delta)Rutas del valleJeancarlo G Moncayo</t>
  </si>
  <si>
    <t>ACPM Camioneta viaje Cali - PastoEDS Casa la magdalena SASJeancarlo G Moncayo</t>
  </si>
  <si>
    <t>Peaje el bordo caucaPeaje el bordoJeancarlo G Moncayo</t>
  </si>
  <si>
    <t>Peaje Cano Peaje CanoJeancarlo G Moncayo</t>
  </si>
  <si>
    <t>Carro cisterna de agua riego NAOS 3 compactarLeonel Hernan Rosero IbarraJeancarlo G Moncayo</t>
  </si>
  <si>
    <t>Gasolina para ahoyadoraEDS Rio MayoJeancarlo G Moncayo</t>
  </si>
  <si>
    <t xml:space="preserve">LEGALIZACION ANA MILENA BOLAÑOS </t>
  </si>
  <si>
    <t xml:space="preserve">lealizaicion veronica transportes </t>
  </si>
  <si>
    <t>pago a2censo</t>
  </si>
  <si>
    <t>pago liquidacion diana camila zambrano sst</t>
  </si>
  <si>
    <t xml:space="preserve">pago reintegro andre tiquete daniiel </t>
  </si>
  <si>
    <t>pago vilum oficina</t>
  </si>
  <si>
    <t>pago arriendo polaris</t>
  </si>
  <si>
    <t xml:space="preserve">pago hotel andrea </t>
  </si>
  <si>
    <t>pago hotel ana milena henao</t>
  </si>
  <si>
    <t xml:space="preserve">pago ayc dotaciones y suministros </t>
  </si>
  <si>
    <t>pago carnets admon</t>
  </si>
  <si>
    <t xml:space="preserve">pago memoria usb ingenieria </t>
  </si>
  <si>
    <t>pago modem sotavento</t>
  </si>
  <si>
    <t>Comunicaciones</t>
  </si>
  <si>
    <t>pago solaire inversor</t>
  </si>
  <si>
    <t xml:space="preserve">pago alimentacion naos2 </t>
  </si>
  <si>
    <t xml:space="preserve">pago cedernar </t>
  </si>
  <si>
    <t>pago arriendo malliesa admon</t>
  </si>
  <si>
    <t>pago neyla teguedor estructura solar unicentro</t>
  </si>
  <si>
    <t>pago polizas administracion</t>
  </si>
  <si>
    <t xml:space="preserve">pago certificado libertad y estructuracion </t>
  </si>
  <si>
    <t>Estudios legales</t>
  </si>
  <si>
    <t>pago impecol admon</t>
  </si>
  <si>
    <t>pago de of contrucciones</t>
  </si>
  <si>
    <t>pago aura mirey arena</t>
  </si>
  <si>
    <t>pago transporte delta harrison lopez</t>
  </si>
  <si>
    <t xml:space="preserve">pago gabinete electricos boyaca incubadora </t>
  </si>
  <si>
    <t xml:space="preserve">PAGO SUNEO </t>
  </si>
  <si>
    <t xml:space="preserve">PAGO TIQUETE DANIEL MEDINA </t>
  </si>
  <si>
    <t>pago retención en la fuente Dian</t>
  </si>
  <si>
    <t>pago reteiva admon</t>
  </si>
  <si>
    <t>pago legalizacion golberto lopez estructuracion</t>
  </si>
  <si>
    <t>pago anderson contuccion linea mt</t>
  </si>
  <si>
    <t xml:space="preserve">pago ideal esalera </t>
  </si>
  <si>
    <t>pago transporte harrison</t>
  </si>
  <si>
    <t xml:space="preserve">pago set civil ferromac </t>
  </si>
  <si>
    <t xml:space="preserve">pago equipos de altura </t>
  </si>
  <si>
    <t>pago legalizacion juan manuel</t>
  </si>
  <si>
    <t>pago upme splendor</t>
  </si>
  <si>
    <t>PAGO QUINCENA ANDRES FERNANDO ESPINOSA GUACALES</t>
  </si>
  <si>
    <t>PAGO QUINCENA CRISTIAN MAURICIO DELGADO VILLOTA</t>
  </si>
  <si>
    <t>PAGO QUINCENA JHORDY STEVEN TRUJILLO GALEANDO</t>
  </si>
  <si>
    <t>PAGO QUINCENA JOHAN LEYDER CHAPAL VILLOTA</t>
  </si>
  <si>
    <t xml:space="preserve">PAGO QUINCENA JOHAN SEBASTIAN OVIEDO NIÑAN </t>
  </si>
  <si>
    <t xml:space="preserve">PAGO QUINCENA RUBEN ESTEBAN ESPINOSA GUACALES </t>
  </si>
  <si>
    <t>PAGO QUINCENA JOSE RAFAEL RUEDA HERRERA</t>
  </si>
  <si>
    <t>PAGO QUINCENA JERSON ALEXIS GOMEZ ACOSTA</t>
  </si>
  <si>
    <t>PAGO QUINCENA VIVIANA ANDRES AYALA PICHINA</t>
  </si>
  <si>
    <t xml:space="preserve">PAGO QUINCENA JOSE MANUEL LOPEZ OBANDO </t>
  </si>
  <si>
    <t>PAGO QUINCENA OSWALDO NARVAEZ</t>
  </si>
  <si>
    <t xml:space="preserve">PAGO QUINCENA JUAN DAVID GRANADA ALVAREZ </t>
  </si>
  <si>
    <t>pago cursos praxis academia admon</t>
  </si>
  <si>
    <t>pago viaticos jean y miguel</t>
  </si>
  <si>
    <t>Compra aceite quemado para motosierra  Yohn J Benavidez</t>
  </si>
  <si>
    <t>Compra de gasolina para motosierra Yohn J Benavidez</t>
  </si>
  <si>
    <t>Compra de aceite motosierra para limpieza del terrenoYohn J Benavidez</t>
  </si>
  <si>
    <t>Devolucion anticipo Hermann caja menor</t>
  </si>
  <si>
    <t>Compra de garrafón de agua para hidratación del personalYohn J Benavidez</t>
  </si>
  <si>
    <t>Compra de cuaderno para bitácoraYohn J Benavidez</t>
  </si>
  <si>
    <t>Desbate de machetesYohn J Benavidez</t>
  </si>
  <si>
    <t>Compra de cemento, ladrillo, zinc, perfiles, amarras, etc para adecuación de cerramiento de protección y campamentoYohn J Benavidez</t>
  </si>
  <si>
    <t>Compra de bugi, guaduas,  listones, tablas, limas redondas, candado, cancamos y candado.Yohn J Benavidez</t>
  </si>
  <si>
    <t>Compra de colbón Yohn J Benavidez</t>
  </si>
  <si>
    <t xml:space="preserve">Almuerzo Completo + Sopa RESTAURANTE Y ASADERO BLANQUITAStefanya Lasso </t>
  </si>
  <si>
    <t xml:space="preserve">Transporte Uber (Splendor-Hotel)Stefanya LassoStefanya Lasso </t>
  </si>
  <si>
    <t xml:space="preserve">Transporte Uber (Hotel- Splendor)Stefanya LassoStefanya Lasso </t>
  </si>
  <si>
    <t xml:space="preserve">Alquiler escalera 10 pasos por 3 díasRuben Dario Calvo Galvis Stefanya Lasso </t>
  </si>
  <si>
    <t xml:space="preserve">Transporte Bryan Camilo Toro , impresión planos licencia DeltaBryan Camilo Toro GuerraStefanya Lasso </t>
  </si>
  <si>
    <t xml:space="preserve">Impresión planos licencia Delta ArquimaquetasStefanya Lasso </t>
  </si>
  <si>
    <t xml:space="preserve">Impresión diseño estructural y diseño de suelos ArquimaquetasStefanya Lasso </t>
  </si>
  <si>
    <t>transporte pendiente discriminar según legalizacion</t>
  </si>
  <si>
    <t xml:space="preserve">Traslado de material a proyecto Ferro MACStefanya Lasso </t>
  </si>
  <si>
    <t xml:space="preserve">Impresión planos Sotavento Bryan Camilo Toro GuerraStefanya Lasso </t>
  </si>
  <si>
    <t xml:space="preserve">Transporte (Oficina-Sotavento)Bryan Camilo Toro GuerraStefanya Lasso </t>
  </si>
  <si>
    <t xml:space="preserve">Transporte /Sotavento - Oficina)Bryan Camilo Toro GuerraStefanya Lasso </t>
  </si>
  <si>
    <t xml:space="preserve">Transporte (Oficina-Arquimaquetas-Oficina) Recoger impresión diseños DeltaBryan Camilo Toro GuerraStefanya Lasso </t>
  </si>
  <si>
    <t xml:space="preserve">pago donacion fundacion </t>
  </si>
  <si>
    <t xml:space="preserve">pago estructura y paneles </t>
  </si>
  <si>
    <t>translado que se hizo de Delta a evolti</t>
  </si>
  <si>
    <t>translado de naos 2 a evolti</t>
  </si>
  <si>
    <t>devolucion quincena johan chapal</t>
  </si>
  <si>
    <t>ingreso Happina</t>
  </si>
  <si>
    <t xml:space="preserve">pao paneles solaire </t>
  </si>
  <si>
    <t>translado a polaris desde evolti</t>
  </si>
  <si>
    <t>translado de delta</t>
  </si>
  <si>
    <t>compra en asotaba</t>
  </si>
  <si>
    <t>ingreso lacteos andinos</t>
  </si>
  <si>
    <t xml:space="preserve">legalizacion Hermann </t>
  </si>
  <si>
    <t xml:space="preserve">tramites camara de comercio </t>
  </si>
  <si>
    <t xml:space="preserve">PAGO PLANILLA WILLIAM ALBERTO AZA CRIOLLO </t>
  </si>
  <si>
    <t xml:space="preserve">PAGO PLANILLA DANNA STEFANIA LASSO </t>
  </si>
  <si>
    <t>PAGO PLANILLA MIGUEL ENRIQUEZ</t>
  </si>
  <si>
    <t>PAGO PLANILLA JUAN FERNANDO PANIAGUA</t>
  </si>
  <si>
    <t>PAGO PLANILLA JORGE QUINTERO</t>
  </si>
  <si>
    <t xml:space="preserve">PAGO PLANILLA ANDRES DELGADO </t>
  </si>
  <si>
    <t xml:space="preserve">PAGO PLANILLA SEBASTIAN LUCENA </t>
  </si>
  <si>
    <t>PAGO PLANILA EDUARDO CHANA</t>
  </si>
  <si>
    <t>PAGO PLANILLA JOSE RODRIGUEZ</t>
  </si>
  <si>
    <t>PAGO PLANILLA ANA HENAO</t>
  </si>
  <si>
    <t>pago reintegro andrea tiquete daniel</t>
  </si>
  <si>
    <t>envio papeleria medellin-pasto</t>
  </si>
  <si>
    <t>Transporte Oficina - Cafetto (Visita RETIE)JAVIER SEBASTIAN LUCENA VILLARREAL</t>
  </si>
  <si>
    <t>transporte Cafetto - Oficina (Visita RETIE)JAVIER SEBASTIAN LUCENA VILLARREAL</t>
  </si>
  <si>
    <t>Transporte Oficina - Casa Pabon (Visita OR)JAVIER SEBASTIAN LUCENA VILLARREAL</t>
  </si>
  <si>
    <t>transporte Casa Pabon - Oficina (Visita OR)JAVIER SEBASTIAN LUCENA VILLARREAL</t>
  </si>
  <si>
    <t>compra aseo y cafeteria alkosto (colombiana de comercio)</t>
  </si>
  <si>
    <t>TornillosTODO TORNILLOCAROLINA PATASCOY</t>
  </si>
  <si>
    <t>Cable vehicular #16CASA ELÉCTRICACAROLINA PATASCOY</t>
  </si>
  <si>
    <t>Paral drywall LA FERROCAROLINA PATASCOY</t>
  </si>
  <si>
    <t>Sikafill, tornillos autoperforantesLA FERROCAROLINA PATASCOY</t>
  </si>
  <si>
    <t>Cable vehicular #16, conduletas, estañoCASA ELÉCTRICACAROLINA PATASCOY</t>
  </si>
  <si>
    <t>Logos EvoltiBORDADOS RUBÉN DARÍOCAROLINA PATASCOY</t>
  </si>
  <si>
    <t>Uniones EMT, terminales EMT, prensaestopasDISTRIBUCIONES ACCAROLINA PATASCOY</t>
  </si>
  <si>
    <t>1 Copa 8mmLA FERROCAROLINA PATASCOY</t>
  </si>
  <si>
    <t>1 conduleta LR 3/4"CASA ELÉCTRICACAROLINA PATASCOY</t>
  </si>
  <si>
    <t>Carrera piaggio La Ferro - UnicentroLUIS EDUARDO PORTILLACAROLINA PATASCOY</t>
  </si>
  <si>
    <t>Carrera uber Unicentro - OficinaLUIS EDUARDO PORTILLACAROLINA PATASCOY</t>
  </si>
  <si>
    <t>Tablas y tornillosLA FERROCAROLINA PATASCOY</t>
  </si>
  <si>
    <t>Abrazaderas para rielDISTRIBUCIONES ACCAROLINA PATASCOY</t>
  </si>
  <si>
    <t>Riel chanelDEFACAROLINA PATASCOY</t>
  </si>
  <si>
    <t>Envío dotación y cable fvJESÚS AGREDACAROLINA PATASCOY</t>
  </si>
  <si>
    <t>Envío materiales Pasto - RemolinoLUIS BOLAÑOSCAROLINA PATASCOY</t>
  </si>
  <si>
    <t>Cable encauchetado, cable siliconado, prensaestopasCASA ELÉCTRICACAROLINA PATASCOY</t>
  </si>
  <si>
    <t>Caja de paso para intemperie 10x10DEFACAROLINA PATASCOY</t>
  </si>
  <si>
    <t>Break para riel 2x16DISTRIBUCIONES ACCAROLINA PATASCOY</t>
  </si>
  <si>
    <t xml:space="preserve">Jhon gelpud transporte remolino </t>
  </si>
  <si>
    <t xml:space="preserve">dotacion marce el templo de la moda </t>
  </si>
  <si>
    <t>pago tigo admon</t>
  </si>
  <si>
    <t xml:space="preserve">pago quincena jose gansasoy </t>
  </si>
  <si>
    <t>pago quincena juan granada</t>
  </si>
  <si>
    <t>pago martin sossa cal</t>
  </si>
  <si>
    <t>pago credito la ferro</t>
  </si>
  <si>
    <t>pago vallamax remolino</t>
  </si>
  <si>
    <t xml:space="preserve">pagpo seguridades del sur </t>
  </si>
  <si>
    <t xml:space="preserve">pago empopasto emas </t>
  </si>
  <si>
    <t>pago broker carlos arboleda</t>
  </si>
  <si>
    <t>pago segumieto viviana patiño</t>
  </si>
  <si>
    <t>pago mezcladora rocio del carmen</t>
  </si>
  <si>
    <t xml:space="preserve">pago asesoria juliet rojas </t>
  </si>
  <si>
    <t>pago cancelacion bono incentivo comercial terrenos</t>
  </si>
  <si>
    <t>pago total videos daniel riascos</t>
  </si>
  <si>
    <t xml:space="preserve">pago milenio pc </t>
  </si>
  <si>
    <t>pago profesional social viviana</t>
  </si>
  <si>
    <t>pago credito distribuciones ac</t>
  </si>
  <si>
    <t>pago transpore harrison lopez</t>
  </si>
  <si>
    <t>pago dotacion origen colombia pasto</t>
  </si>
  <si>
    <t>pagoo david dias estructuracion anticipo 50%</t>
  </si>
  <si>
    <t>pago señalizacion jairo martinez</t>
  </si>
  <si>
    <t xml:space="preserve">pago certificado libertad y tradicion </t>
  </si>
  <si>
    <t>pago reintegro juan manueñ</t>
  </si>
  <si>
    <t>Almuerzos visita Yotoco (Julio Belalcazar, Jorge Quintero) CAROL ANDREA LOURIDO BETANCURJorge Andrés Quintero Peña</t>
  </si>
  <si>
    <t>jorge</t>
  </si>
  <si>
    <t>Desayunos visitas Popayán (Julio Belalcazar, Jorge Quintero)DELY SORPRESAJorge Andrés Quintero Peña</t>
  </si>
  <si>
    <t>Almuerzos visitas Popayán (Julio Belalcazar, Jorge Quintero, 
delegada Banco de Occidente)FUNDACIÓN ESCUELA TALLER POPAYANJorge Andrés Quintero Peña</t>
  </si>
  <si>
    <t>Cenas visitas Popayán (Julio Belalcazar, Jorge Quintero)LA MAZORCA ESPECIAL ANA DELIA 
GOMEZ TAFURJorge Andrés Quintero Peña</t>
  </si>
  <si>
    <t>Bolsas para protección de tablonesD1 SASJorge Andrés Quintero Peña</t>
  </si>
  <si>
    <t>COMPRA VYNIPEL PARA EMBALAJE DE MATERIALHOMECENTERJorge Andrés Quintero Peña</t>
  </si>
  <si>
    <t>COMPRA SEIS (6) TERMINALES PONCHABLE 1/0EL COMERCIO ELÉCTRICO SASJorge Andrés Quintero Peña</t>
  </si>
  <si>
    <t>VIATICOS DESAYUNO: VISITAS TULUÁ 
(JULIO BELALCAZAR Y JORGE QUINTERO)KIKIRIMUU LA 40Jorge Andrés Quintero Peña</t>
  </si>
  <si>
    <t>VIATICOS ALMUERZO: VISITAS TULUÁ 
(JULIO BELALCAZAR Y JORGE QUINTERO)TIPYKOS AL HORNOJorge Andrés Quintero Peña</t>
  </si>
  <si>
    <t>legalizacion julio</t>
  </si>
  <si>
    <t>pago alia viteri entrevistar sst</t>
  </si>
  <si>
    <t>pago avial legal</t>
  </si>
  <si>
    <t>Estudio de Suelos</t>
  </si>
  <si>
    <t>pago busos delta leidy lopez</t>
  </si>
  <si>
    <t xml:space="preserve">pago hospedaje naos </t>
  </si>
  <si>
    <t>pago liquidacion jhoonny ceballos</t>
  </si>
  <si>
    <t xml:space="preserve">pago jennifer benavbides </t>
  </si>
  <si>
    <t>pago pliza delta</t>
  </si>
  <si>
    <t xml:space="preserve">pago tag marketinj </t>
  </si>
  <si>
    <t>pago valentina figueroa gabinete</t>
  </si>
  <si>
    <t>pago medidor suneo</t>
  </si>
  <si>
    <t xml:space="preserve">pago guantes soligic </t>
  </si>
  <si>
    <t>AZ Carta, Separador Plàstico, Perforadora dos huecosPAPELERIA UNIVERSAL DISTR SASDiana A Mera</t>
  </si>
  <si>
    <t>diana</t>
  </si>
  <si>
    <t>Plàstico negro, 8 tipos de brocas, guantesSODIMAC COLOMBIA S.A. (HOMECENTER)Diana A Mera</t>
  </si>
  <si>
    <t>Un botellòn de aguaD1 SASDiana A Mera</t>
  </si>
  <si>
    <t>Transporte escalera triple 3X7 (desde el centro hasta Splendor)JHON CARMONADiana A Mera</t>
  </si>
  <si>
    <t>Resma, Protector Carta, Grapadora, GrapasPAPELERIA UNIVERSAL DISTR SASDiana A Mera</t>
  </si>
  <si>
    <t>Corriente GasolinaROBENHEIM Y CIA SASDiana A Mera</t>
  </si>
  <si>
    <t>Transporte 9 tablonesJHON CARMONADiana A Mera</t>
  </si>
  <si>
    <t xml:space="preserve">pago ferromacc </t>
  </si>
  <si>
    <t>pago arquilplott vallas</t>
  </si>
  <si>
    <t>pago martin gumajoa</t>
  </si>
  <si>
    <t xml:space="preserve">anticipo naos 2 </t>
  </si>
  <si>
    <t>anticipo naos 3</t>
  </si>
  <si>
    <t xml:space="preserve">ingreso ARTE SOLUCIONES </t>
  </si>
  <si>
    <t>INGRESO NOMINA CAMILO MELO</t>
  </si>
  <si>
    <t xml:space="preserve">INGRESO INTERESES </t>
  </si>
  <si>
    <t xml:space="preserve">ingreso sanitas incapacidad Maria Fernanda Chamorro </t>
  </si>
  <si>
    <t xml:space="preserve">INGRESO PLATINUM </t>
  </si>
  <si>
    <t>PAGO GD DEL REMOLINO</t>
  </si>
  <si>
    <t>ANTICIPO CLINICA MORASURCO</t>
  </si>
  <si>
    <t>clinica morasurco</t>
  </si>
  <si>
    <t xml:space="preserve">devolucion nomina </t>
  </si>
  <si>
    <t>ingreso prov sociedad v 15</t>
  </si>
  <si>
    <t xml:space="preserve">Ingreso visita jeison </t>
  </si>
  <si>
    <t>Trayecto ida y regreso de transporte publico a Surtisur. Revisión e inspección de modem y tomacorientes del sistema fovoltaicoEduardo Chana Calderon</t>
  </si>
  <si>
    <t>ramos Harley Decoflores</t>
  </si>
  <si>
    <t>transporte Herman casa Harley</t>
  </si>
  <si>
    <t xml:space="preserve">transporte jhon y carlos </t>
  </si>
  <si>
    <t>Carrera taxi Unicentro - OficinaLUIS ALFONSO CABRERACAROLINA PATASCOY</t>
  </si>
  <si>
    <t>Carrera taxi Oficina - CentroCARLOS AZACAROLINA PATASCOY</t>
  </si>
  <si>
    <t>Carrera taxi La ferro - UnicentroLUIS SANCHEZCAROLINA PATASCOY</t>
  </si>
  <si>
    <t>Carrera taxi Unicentro - La ferroOSCAR CORDOBACAROLINA PATASCOY</t>
  </si>
  <si>
    <t>Carrera piaggio La Ferro - San RafaelLIBAN PARRACAROLINA PATASCOY</t>
  </si>
  <si>
    <t>Carrera taxi San Rafael - La ferroLIBAN PARRACAROLINA PATASCOY</t>
  </si>
  <si>
    <t>Carreras taxis, La ferro - Unicentro, Unicentro - San Rafael, San Rafael - Oficina.MILTON ROSEROCAROLINA PATASCOY</t>
  </si>
  <si>
    <t>Tornillos, tomacorrienteDISTRIBUCIONES ABCAROLINA PATASCOY</t>
  </si>
  <si>
    <t>Tornillos, arandelasLAFERROCAROLINA PATASCOY</t>
  </si>
  <si>
    <t>Abrazaderas ajustablesDISTRIBUCIONES ACCAROLINA PATASCOY</t>
  </si>
  <si>
    <t>Canaleta ranurada, grapa doble ala, riel chanelDEFACAROLINA PATASCOY</t>
  </si>
  <si>
    <t>Tubo EMT, union EMT, caja Rawelt, tapa ciega, riel chanelDEFACAROLINA PATASCOY</t>
  </si>
  <si>
    <t>Soldadura 6011FERREPISCINAS LMCAROLINA PATASCOY</t>
  </si>
  <si>
    <t>Llaves hexagonales en L 6mmLA FERROCAROLINA PATASCOY</t>
  </si>
  <si>
    <t>Carrera taxi Oficina - San rafaelNELSON ORTEGACAROLINA PATASCOY</t>
  </si>
  <si>
    <t>Carrera taxi San rafael - OficinaJOSÉ ARLEY MAIGUALCAROLINA PATASCOY</t>
  </si>
  <si>
    <t>Carrera taxi Oficina - Balcobes de PubenzaNANCY IMBAJOACAROLINA PATASCOY</t>
  </si>
  <si>
    <t>Carrera taxi Balcobes de Pubenza - OficinaROBERT MORALESCAROLINA PATASCOY</t>
  </si>
  <si>
    <t>A-Z Carta, sharpies, lápices, ganchos para cosedora, acetatosPAPELERÍA BUENDÍACAROLINA PATASCOY</t>
  </si>
  <si>
    <t>Mantenimiento pulidoraDISEÑOS INDUSTRIALESCAROLINA PATASCOY</t>
  </si>
  <si>
    <t>Lata sprayFERRETERIA SAN PEDRO LA 16CAROLINA PATASCOY</t>
  </si>
  <si>
    <t>Envío bandejas malla Pasto - RemolinoHÉCTOR CORALCAROLINA PATASCOY</t>
  </si>
  <si>
    <t>Envío dotación y documentos, Remolino - PastoDIEGO ROBLESCAROLINA PATASCOY</t>
  </si>
  <si>
    <t xml:space="preserve">recibe envio radios </t>
  </si>
  <si>
    <t>transporte ruben, jhon, carlos, jorge</t>
  </si>
  <si>
    <t>Terminales bimetálicas, de cobre, cable vehicularCASA ELÉCTRICACAROLINA PATASCOY</t>
  </si>
  <si>
    <t>Recibos de caja menorLA CALICAROLINA PATASCOY</t>
  </si>
  <si>
    <t>Unión IMC 3/4"DEFACAROLINA PATASCOY</t>
  </si>
  <si>
    <t>Tornillos para barrajeTODO TORNILLOCAROLINA PATASCOY</t>
  </si>
  <si>
    <t>Espuma expansivaMADECENTROCAROLINA PATASCOY</t>
  </si>
  <si>
    <t>Envío materiales Pasto - RemolinoFREDY ARIASCAROLINA PATASCOY</t>
  </si>
  <si>
    <t>Arbol para jardín CallenoCENTRO ARTESANAL MUNDO NATURALCAROLINA PATASCOY</t>
  </si>
  <si>
    <t>Prensa estopa, conector recto corazaDISTRIBUCIONES ACCAROLINA PATASCOY</t>
  </si>
  <si>
    <t>AerosolesFERRETERÍA SAN PEDRO LA 16CAROLINA PATASCOY</t>
  </si>
  <si>
    <t>Brochas y pincelDISTRIBUCIONES ABCAROLINA PATASCOY</t>
  </si>
  <si>
    <t>Carrera taxi, Oficina - TerminalMICHAEL SUÁREZCAROLINA PATASCOY</t>
  </si>
  <si>
    <t>Carrera taxi, Oficina - UnicentroPEDRO CERÓNCAROLINA PATASCOY</t>
  </si>
  <si>
    <t>Carrera taxi, Oficina - UnicentroGIOVANNI RIASCOSCAROLINA PATASCOY</t>
  </si>
  <si>
    <t>trasnsporte william basante</t>
  </si>
  <si>
    <t>retencion 1% william bansante</t>
  </si>
  <si>
    <t>legalizacion miguel</t>
  </si>
  <si>
    <t>Taxis marcela unicentro</t>
  </si>
  <si>
    <t>legalizacion jean carlos viaje medellin</t>
  </si>
  <si>
    <t>Compra de Tabla Legajadora Plástica OfficeDANNA ARMERO ROSERODANNA EVELYN ARMERO ROSERO</t>
  </si>
  <si>
    <t>danna</t>
  </si>
  <si>
    <t>Transporte a TerminalDANNA ARMERO ROSERODANNA EVELYN ARMERO ROSERO</t>
  </si>
  <si>
    <t>Transporte Pasto - El Remolino: visita a granjas solares Naos, Delta DANNA ARMERO ROSERODANNA EVELYN ARMERO ROSERO</t>
  </si>
  <si>
    <t>Hidratación para visita a granjas solares Naos, Delta y Polaris.DANNA ARMERO ROSERODANNA EVELYN ARMERO ROSERO</t>
  </si>
  <si>
    <t>Compra de bonbonbum capacitacion operariosDANNA ARMERO ROSERODANNA EVELYN ARMERO ROSERO</t>
  </si>
  <si>
    <t>Transporte El Remolino - Pasto: visita a granjas solares Naos, Delta COOTRANARDANNA EVELYN ARMERO ROSERO</t>
  </si>
  <si>
    <t>Transporte Pasto RemolinoMiguel Enriquez CHMiguel Enriquez Ch</t>
  </si>
  <si>
    <t>HidratacionMiguel Enriquez CHMiguel Enriquez Ch</t>
  </si>
  <si>
    <t>Transport Remolino- PastoMiguel Enriquez CHMiguel Enriquez Ch</t>
  </si>
  <si>
    <t>Trasnporte Remolino-PastoMiguel Enriquez CHMiguel Enriquez Ch</t>
  </si>
  <si>
    <t xml:space="preserve">legalizacion miguel </t>
  </si>
  <si>
    <t>Envío monitor, Remolino - PastoHERMES VASQUEZCAROLINA PATASCOY</t>
  </si>
  <si>
    <t>Bloqueadores solaresLA CALICAROLINA PATASCOY</t>
  </si>
  <si>
    <t>pago poliza 7626015 splendor</t>
  </si>
  <si>
    <t xml:space="preserve">pago poliza 7626075 unicentro </t>
  </si>
  <si>
    <t>pago poliza empresaria</t>
  </si>
  <si>
    <t xml:space="preserve">pago planilla seguridad social </t>
  </si>
  <si>
    <t>pago legalizaicion ana maria henao</t>
  </si>
  <si>
    <t>pago legalizacion daniel medina</t>
  </si>
  <si>
    <t>pago milton rivera carnets</t>
  </si>
  <si>
    <t>pago marcos ojeda alimentacion</t>
  </si>
  <si>
    <t xml:space="preserve">pago la ferro melba </t>
  </si>
  <si>
    <t xml:space="preserve">pago ab y ar </t>
  </si>
  <si>
    <t xml:space="preserve">pago maria jose </t>
  </si>
  <si>
    <t xml:space="preserve">pago of contrucciones </t>
  </si>
  <si>
    <t>pago dotasol lineas de vida</t>
  </si>
  <si>
    <t xml:space="preserve">pago liquidacion harley males </t>
  </si>
  <si>
    <t xml:space="preserve">pago curso fenalco </t>
  </si>
  <si>
    <t>pago comisiones polaris paola ramos</t>
  </si>
  <si>
    <t>pago mesa de juntas jacil munares</t>
  </si>
  <si>
    <t>pago legalizacion andrea jaramillo</t>
  </si>
  <si>
    <t>pago agrico</t>
  </si>
  <si>
    <t>pago tiquete hermann souza bogota</t>
  </si>
  <si>
    <t xml:space="preserve">pago fabio loboa investigacion at </t>
  </si>
  <si>
    <t>pago lean case otro si admon</t>
  </si>
  <si>
    <t>pago aura dlgado donacion</t>
  </si>
  <si>
    <t>pago tranportadoder maxwell</t>
  </si>
  <si>
    <t>transformadores</t>
  </si>
  <si>
    <t>pago compra camara de comercito</t>
  </si>
  <si>
    <t>pago teie it certifica casa pinasaco 22</t>
  </si>
  <si>
    <t>pago ferresumisnitros</t>
  </si>
  <si>
    <t>pago humberto rosero cubierta metalica</t>
  </si>
  <si>
    <t xml:space="preserve">pago andres lopez vallas </t>
  </si>
  <si>
    <t>pago deuda esteban</t>
  </si>
  <si>
    <t>translado de GD de remolino</t>
  </si>
  <si>
    <t>ingreso v15 consultorios</t>
  </si>
  <si>
    <t>ingreso sanitas Hermann Souza</t>
  </si>
  <si>
    <t>pago poliza novacentro</t>
  </si>
  <si>
    <t xml:space="preserve">pago asesoria daniel </t>
  </si>
  <si>
    <t>Casa Pinasaco Francisco Gutierrez</t>
  </si>
  <si>
    <t>translado realizado de polaris</t>
  </si>
  <si>
    <t>pago intereses esteban</t>
  </si>
  <si>
    <t>translado</t>
  </si>
  <si>
    <t>ingreso jugos naturales</t>
  </si>
  <si>
    <t>Jugos Daniel Gracia</t>
  </si>
  <si>
    <t>COMPRA INTL MSFT E0100U0WDZ</t>
  </si>
  <si>
    <t>COMPRA INTL MSFT E0100U0WR0</t>
  </si>
  <si>
    <t xml:space="preserve">pago paneles solaire </t>
  </si>
  <si>
    <t>CANVA</t>
  </si>
  <si>
    <t>Hotel CaliJuan F Paniagua</t>
  </si>
  <si>
    <t>Compra materiales homecenterJuan F Paniagua</t>
  </si>
  <si>
    <t>Compra materiales HomecenterJuan F Paniagua</t>
  </si>
  <si>
    <t>Portaherramientas (2) y rodillera plastico (3)Diana A Mera</t>
  </si>
  <si>
    <t>Polea (1), mosqueton (1) y absorbica 60 cm (1)Diana A Mera</t>
  </si>
  <si>
    <t>Compra de lona, guaduas, puntillas y herramienta menor para adecuación de cerramiento de protección y campamentoYohn J Benavidez</t>
  </si>
  <si>
    <t xml:space="preserve">compra papel higenico </t>
  </si>
  <si>
    <t>legalizacion transporte miguel pollos ruano</t>
  </si>
  <si>
    <t>Compra de agua en botellón para hidratación de personalDepósito FigueroaJeancarlo G Moncayo</t>
  </si>
  <si>
    <t>Calibración de aire en llantasTaller y Vulcaniuzadora El DesvareJeancarlo G Moncayo</t>
  </si>
  <si>
    <t>Materiales para cortes de estructura de mesasFerretería Ferro MacJeancarlo G Moncayo</t>
  </si>
  <si>
    <t>Compra de manguera para nivel de cajas de paso (Naos 3)Ferretería Ferro MacJeancarlo G Moncayo</t>
  </si>
  <si>
    <t>Compra de madera para formaletas de cajas (Naos 3)Ferretería Ferro MacJeancarlo G Moncayo</t>
  </si>
  <si>
    <t>Materiales subestación NAOS IIFerretería Ferro MacJeancarlo G Moncayo</t>
  </si>
  <si>
    <t>Combustible planta eléctrica para corte de estructuraEstación de servicio Terpel Río MayoJeancarlo G Moncayo</t>
  </si>
  <si>
    <t>Viáticos Segundo GelpudSegundo GelpudJeancarlo G Moncayo</t>
  </si>
  <si>
    <t>Aseo habitaciones 7 al 12 de octubreViviana EnriquezJeancarlo G Moncayo</t>
  </si>
  <si>
    <t>Tanqueo camionetaEstación de servicio Corporación RemolinoJeancarlo G Moncayo</t>
  </si>
  <si>
    <t>Soldadura tubería conduitFerretería Ferro MacJeancarlo G Moncayo</t>
  </si>
  <si>
    <t>Viáticos Jimmy Burgos para recoger camioneta PastoJimmy BurgosJeancarlo G Moncayo</t>
  </si>
  <si>
    <t>Viáticos Jimmy BurgosJimmy BurgosJeancarlo G Moncayo</t>
  </si>
  <si>
    <t>Viáticos Edilfonso RoseroEdilfonso RoseroJeancarlo G Moncayo</t>
  </si>
  <si>
    <t>Brocas para perforar perfiles de mesasFerretería Ferro MacJeancarlo G Moncayo</t>
  </si>
  <si>
    <t>Alquiler y transporte de andamios desde 12/10/24 x 5 días hasta 17/10/24, lápices NAOS II.Jeancarlo MoncayoJeancarlo G Moncayo</t>
  </si>
  <si>
    <t>Aseo habitaciones 14 al 19 de octubreViviana EnriquezJeancarlo G Moncayo</t>
  </si>
  <si>
    <t>Tanqueo camionetaEstación de servicio Terpel Río MayoJeancarlo G Moncayo</t>
  </si>
  <si>
    <t>Compra de cizalla #36 (Naos 3)Ferretería Ferro MacJeancarlo G Moncayo</t>
  </si>
  <si>
    <t>Aceite quemado para formaletas NAOS 3Almacén y Taller WilliamsJeancarlo G Moncayo</t>
  </si>
  <si>
    <t>Compra de tornillos 3/8 x 2" para trompoAlmacén y Taller WilliamsJeancarlo G Moncayo</t>
  </si>
  <si>
    <t>Peaje Pasto - Remolino Peaje CanoJeancarlo G Moncayo</t>
  </si>
  <si>
    <t>Puntillas para armado de formaletas de cajas de paso NAOS 3Ferretería Ferro MacJeancarlo G Moncayo</t>
  </si>
  <si>
    <t>Materiales para fundación cajas de paso NAOS 3Ferretería Ferro MacJeancarlo G Moncayo</t>
  </si>
  <si>
    <t>Combustible para guadaña, limpieza NAOS 2Estación de servicio Terpel Río MayoJeancarlo G Moncayo</t>
  </si>
  <si>
    <t>Hidratacion descargue paneles (camiones y montacargas)Tiendas D1Jeancarlo G Moncayo</t>
  </si>
  <si>
    <t>Viáticos Transporte Jeancarlo MoncayoJeancarlo MoncayoJeancarlo G Moncayo</t>
  </si>
  <si>
    <t>Pala, cabo y limaFerretería Ferro MacJeancarlo G Moncayo</t>
  </si>
  <si>
    <t>Gasolina Saltarin (Naos 3)Estación de servicio Terpel Río MayoJeancarlo G Moncayo</t>
  </si>
  <si>
    <t>Bombeo agua motobomba por dos semanas Alvaro UsamaJeancarlo MoncayoJeancarlo G Moncayo</t>
  </si>
  <si>
    <t>Aseo habitaciones 21 al 26 de octubreViviana EnriquezJeancarlo G Moncayo</t>
  </si>
  <si>
    <t>ACPM mezcladora (Naos 3)Estación de servicio Terpel Río MayoJeancarlo G Moncayo</t>
  </si>
  <si>
    <t>Peaje Remolino - Pasto Peaje CanoJeancarlo G Moncayo</t>
  </si>
  <si>
    <t>Lavada camioneta ColoradoDakar Spa automotrizJeancarlo G Moncayo</t>
  </si>
  <si>
    <t>Tanqueo camioneta ColoradoEstación de servicio Terpel Río MayoJeancarlo G Moncayo</t>
  </si>
  <si>
    <t>Arreglo llanta camioneta coloradoTaller y Vulcaniuzadora El DesvareJeancarlo G Moncayo</t>
  </si>
  <si>
    <t>Compra de agua 6 botellónes para hidratación de personalDepósito FigueroaJeancarlo G Moncayo</t>
  </si>
  <si>
    <t>retencio 1% wiliam basante</t>
  </si>
  <si>
    <t>Brocas para metalLA FERROCAROLINA PATASCOY</t>
  </si>
  <si>
    <t>Carrera taxi, Batericars - OficinaTANNIA CAICEDOCAROLINA PATASCOY</t>
  </si>
  <si>
    <t>Carrera taxi, Oficina - BatericarsJOSÉ BASTIDASCAROLINA PATASCOY</t>
  </si>
  <si>
    <t>Adaptador de copa para taladroFERRETERÍA FERROREPUESTOS LA 20CAROLINA PATASCOY</t>
  </si>
  <si>
    <t>Terminales cobre, cable de poder, aisladores tipo yoyoCASA ELÉCTRICACAROLINA PATASCOY</t>
  </si>
  <si>
    <t>Convertidor HDMI-VGAKUTINCAROLINA PATASCOY</t>
  </si>
  <si>
    <t>Cuchillas bisturí, cinta peligroDISTRIBUCIONES ABCAROLINA PATASCOY</t>
  </si>
  <si>
    <t>Envío materiales Pasto - RemolinoHERMES DAZACAROLINA PATASCOY</t>
  </si>
  <si>
    <t>Pago envío contraentrega ENVÍACAROLINA PATASCOY</t>
  </si>
  <si>
    <t>Pago envío bateríaTRANSPRENSACAROLINA PATASCOY</t>
  </si>
  <si>
    <t>Compra de amarras, bisagras y soporte canal FERRETARÍA FERROMACYohn J Benavidez</t>
  </si>
  <si>
    <t>yohn</t>
  </si>
  <si>
    <t>Compra de canal metálico, perfil metálico, mesa, sillas, soporte canal, guaduas, nivel de mano, tornillos, etcFERRETARÍA FERROMACYohn J Benavidez</t>
  </si>
  <si>
    <t>compra amarras, tubo sanitario y accesorios, broca 1/4, FERRETARÍA FERROMACYohn J Benavidez</t>
  </si>
  <si>
    <t>compra de 2 botellones de aguaDEPOSITO FIGUEROAYohn J Benavidez</t>
  </si>
  <si>
    <t>stefania legalizacion</t>
  </si>
  <si>
    <t xml:space="preserve">recxarga sim card naos 2 </t>
  </si>
  <si>
    <t xml:space="preserve">dotacion maria fernanda </t>
  </si>
  <si>
    <t>Taxi hacia terminal mixto de Pasto DANNA EVELYN ARMERO ROSERODANNA EVELYN ARMERO ROSERO</t>
  </si>
  <si>
    <t>Transporte trayeto El Remolino - PastoDANNA EVELYN ARMERO ROSERODANNA EVELYN ARMERO ROSERO</t>
  </si>
  <si>
    <t>AlmuerzoRESTAURANTE LOPEZ MELENDEZDANNA EVELYN ARMERO ROSERO</t>
  </si>
  <si>
    <t>HidrataciónDANNA EVELYN ARMERO ROSERODANNA EVELYN ARMERO ROSERO</t>
  </si>
  <si>
    <t>26/20/2024</t>
  </si>
  <si>
    <t>Transporte trayeto Pasto - El RemolinoDANNA EVELYN ARMERO ROSERODANNA EVELYN ARMERO ROSERO</t>
  </si>
  <si>
    <t>PAGO ANTICIPO TABLESA</t>
  </si>
  <si>
    <t xml:space="preserve">pago reintegro yohn particular </t>
  </si>
  <si>
    <t xml:space="preserve">proponente servicio publico </t>
  </si>
  <si>
    <t>PAGO QUINCENAJEANCARLO</t>
  </si>
  <si>
    <t>delta</t>
  </si>
  <si>
    <t>PAGO QUINCENAJUAN F. PANIAGUA</t>
  </si>
  <si>
    <t>PAGO QUINCENASEGUNDO MARCIAL</t>
  </si>
  <si>
    <t>PAGO QUINCENAMARCELA GERMAN</t>
  </si>
  <si>
    <t>PAGO QUINCENAALVEIRO CUSIS</t>
  </si>
  <si>
    <t>PAGO QUINCENAJUAN MANUEL ESPAÑA</t>
  </si>
  <si>
    <t>PAGO QUINCENADANIEL MEDINA</t>
  </si>
  <si>
    <t>PAGO QUINCENAHERMANN SOUZA</t>
  </si>
  <si>
    <t xml:space="preserve">PAGO QUINCENACAROLINA PATASCOY </t>
  </si>
  <si>
    <t>PAGO QUINCENAIVAN CAICEDO</t>
  </si>
  <si>
    <t>PAGO QUINCENAEDUARDO CHANA</t>
  </si>
  <si>
    <t>PAGO QUINCENAJASON DIAZ</t>
  </si>
  <si>
    <t>PAGO QUINCENAIVAN MENESES</t>
  </si>
  <si>
    <t>PAGO QUINCENAOSCAR CASTRO</t>
  </si>
  <si>
    <t>PAGO QUINCENAMIGUEL ENRIQUEZ</t>
  </si>
  <si>
    <t>PAGO QUINCENAKELLY ALVAREZ</t>
  </si>
  <si>
    <t>PAGO QUINCENAANDREA JARAMILLO</t>
  </si>
  <si>
    <t>PAGO QUINCENASTEFANYA LASSO</t>
  </si>
  <si>
    <t xml:space="preserve">PAGO QUINCENALOREN DIAZ </t>
  </si>
  <si>
    <t>PAGO QUINCENAVERONICA SANTACRUZ</t>
  </si>
  <si>
    <t>PAGO QUINCENACAROLINA PAREJA</t>
  </si>
  <si>
    <t>PAGO QUINCENAALBEIRO ESPAÑA</t>
  </si>
  <si>
    <t>PAGO QUINCENAJHONSIN ARIAS</t>
  </si>
  <si>
    <t>PAGO QUINCENAJHON GELPUD</t>
  </si>
  <si>
    <t>PAGO QUINCENARUBEN ESPINOSA</t>
  </si>
  <si>
    <t>PAGO QUINCENAMARIO CUSIS</t>
  </si>
  <si>
    <t>PAGO QUINCENAJEISON IPIALES</t>
  </si>
  <si>
    <t>PAGO QUINCENACRISTHIAN DUOMAR</t>
  </si>
  <si>
    <t>PAGO QUINCENAEDILFONSO ROSERO</t>
  </si>
  <si>
    <t>PAGO QUINCENAJIMMI BURGOS</t>
  </si>
  <si>
    <t>PAGO QUINCENAEDWAR CHAGUEZA</t>
  </si>
  <si>
    <t>PAGO QUINCENARUBEN SILVA</t>
  </si>
  <si>
    <t>PAGO QUINCENAJUAN BLANCO</t>
  </si>
  <si>
    <t>PAGO QUINCENALUZ ORTEGA</t>
  </si>
  <si>
    <t>PAGO QUINCENARODRIGO QUINTERO</t>
  </si>
  <si>
    <t>PAGO QUINCENAJEFERSON VERGARA</t>
  </si>
  <si>
    <t>PAGO QUINCENAMARIA F CHAMORRO</t>
  </si>
  <si>
    <t>PAGO QUINCENAANDRES DELGADO</t>
  </si>
  <si>
    <t>PAGO QUINCENAVICTOR RUIZ</t>
  </si>
  <si>
    <t>PAGO QUINCENAJORGE BARRERA</t>
  </si>
  <si>
    <t>PAGO QUINCENAEDWIN MARTINEZ</t>
  </si>
  <si>
    <t>PAGO QUINCENAJOY MOSQUERA</t>
  </si>
  <si>
    <t>PAGO QUINCENACARLOS CERON</t>
  </si>
  <si>
    <t>PAGO QUINCENAJORGE QUINTERO</t>
  </si>
  <si>
    <t>PAGO QUINCENAANA HENAO</t>
  </si>
  <si>
    <t>PAGO QUINCENAJORGE MUÑOZ</t>
  </si>
  <si>
    <t>PAGO QUINCENAJOSE RODRIGUEZ</t>
  </si>
  <si>
    <t>PAGO QUINCENAHERNAN CABRERA</t>
  </si>
  <si>
    <t>PAGO QUINCENAYALINER FIGUEROA</t>
  </si>
  <si>
    <t>PAGO QUINCENAANDRES BASTIDAS</t>
  </si>
  <si>
    <t>PAGO QUINCENAEYDER QUINTERO</t>
  </si>
  <si>
    <t>PAGO QUINCENAJULIO BELALCAZAR</t>
  </si>
  <si>
    <t>PAGO QUINCENAANA BOLAÑOS</t>
  </si>
  <si>
    <t>PAGO QUINCENAESTEBAN MARTINEZ</t>
  </si>
  <si>
    <t>PAGO QUINCENAJOSE PAZ</t>
  </si>
  <si>
    <t>PAGO QUINCENALUIS ALMEIDA</t>
  </si>
  <si>
    <t>PAGO QUINCENADIEGO ARAUJO</t>
  </si>
  <si>
    <t>PAGO QUINCENARUBEN LOPEZ</t>
  </si>
  <si>
    <t>PAGO QUINCENAROYER LOPEZ</t>
  </si>
  <si>
    <t>PAGO QUINCENAWILLIAM AZA</t>
  </si>
  <si>
    <t>PAGO QUINCENADILBER PAZ</t>
  </si>
  <si>
    <t>PAGO QUINCENAWILLIAMS VILLAR</t>
  </si>
  <si>
    <t>PAGO QUINCENAYOHN LOPEZ</t>
  </si>
  <si>
    <t>PAGO QUINCENADIYER DELGADO</t>
  </si>
  <si>
    <t>PAGO QUINCENAYOHN BENAVIDES</t>
  </si>
  <si>
    <t>PAGO QUINCENAANDRES ESPINOSA</t>
  </si>
  <si>
    <t>PAGO QUINCENACRISTIAN DELGADO</t>
  </si>
  <si>
    <t>PAGO QUINCENAJHORDY TRUJILLO</t>
  </si>
  <si>
    <t>PAGO QUINCENAJOHAN CHAPAL</t>
  </si>
  <si>
    <t>PAGO QUINCENAJOHAN OVIEDO</t>
  </si>
  <si>
    <t>PAGO QUINCENARUBEN ESPINOSA GUACALES</t>
  </si>
  <si>
    <t>PAGO QUINCENAJOSE RUEDA</t>
  </si>
  <si>
    <t>PAGO QUINCENAJERSON GOMEZ</t>
  </si>
  <si>
    <t>PAGO QUINCENAVIVIANA AYALA</t>
  </si>
  <si>
    <t>PAGO QUINCENAJOSE LOPEZ</t>
  </si>
  <si>
    <t>PAGO QUINCENAOSWALDO NARVAEZ</t>
  </si>
  <si>
    <t>PAGO QUINCENAJUAN GRANADA</t>
  </si>
  <si>
    <t>PAGO QUINCENAJOSE GANSASOY</t>
  </si>
  <si>
    <t>PAGO QUINCENAMARTIN SOSSA</t>
  </si>
  <si>
    <t>PAGO QUINCENAJUAN CAÑAR</t>
  </si>
  <si>
    <t>PAGO QUINCENARUBIEÑA RAMOS</t>
  </si>
  <si>
    <t>PAGO QUINCENADANNA ARMERO</t>
  </si>
  <si>
    <t>PAGO QUINCENADIANA MERA</t>
  </si>
  <si>
    <t>PAGO QUINCENAsebastian lucena</t>
  </si>
  <si>
    <t>PAGO LIQUIDACION MANUEL CORDOBA</t>
  </si>
  <si>
    <t>PAGO LIQUIDACION PABLO BENAVIDES</t>
  </si>
  <si>
    <t>PAGO NOMINA YOHN BENAVIDES</t>
  </si>
  <si>
    <t>PAGO LEGALIZACION NAOS 3</t>
  </si>
  <si>
    <t xml:space="preserve">pago fundacion ecosocial </t>
  </si>
  <si>
    <t xml:space="preserve">pago credito ac </t>
  </si>
  <si>
    <t>pagp brokers gilberto lopez</t>
  </si>
  <si>
    <t>pago reintegro juan manuel</t>
  </si>
  <si>
    <t>pago entrevistas alia viteri</t>
  </si>
  <si>
    <t>pago video tianshi santiago</t>
  </si>
  <si>
    <t>pago dotacion punto ecologico</t>
  </si>
  <si>
    <t xml:space="preserve">pago montacargas naos 2 unicentro </t>
  </si>
  <si>
    <t>pago surtiequipos</t>
  </si>
  <si>
    <t>pago servicios pago tecnologia solar</t>
  </si>
  <si>
    <t>pago licencia de contrucciones</t>
  </si>
  <si>
    <t xml:space="preserve">pago poliza naos </t>
  </si>
  <si>
    <t>pago auxilio movilidad diana mera</t>
  </si>
  <si>
    <t>pago afiliaciomes aa florez</t>
  </si>
  <si>
    <t>pago legalizacion jorge quintero</t>
  </si>
  <si>
    <t>pag legalizacion julio belalcaar</t>
  </si>
  <si>
    <t>pago nomina johan chapal</t>
  </si>
  <si>
    <t>ingreso vivarium</t>
  </si>
  <si>
    <t>ingreso fundacion halu</t>
  </si>
  <si>
    <t>ingreso hito</t>
  </si>
  <si>
    <t>devolucion nomuna johan chapal</t>
  </si>
  <si>
    <t xml:space="preserve">devolucion nomina jose omar </t>
  </si>
  <si>
    <t>translado gd de remolino</t>
  </si>
  <si>
    <t xml:space="preserve">pago cartera leasing </t>
  </si>
  <si>
    <t>COMPRA INTL FACEBK 8LSQBF4NE</t>
  </si>
  <si>
    <t>COMPRA EN BURGER KIN</t>
  </si>
  <si>
    <t>COMPRA EN BOLD*Touri</t>
  </si>
  <si>
    <t>COMPRA EN BURGER BAR</t>
  </si>
  <si>
    <t>COMPRA EN ASOC EGRES</t>
  </si>
  <si>
    <t>COMPRA EN BOLD*Club</t>
  </si>
  <si>
    <t>VERONICA LILIANA MENZA SANTACRUZ PLANILLA</t>
  </si>
  <si>
    <t>ANA MILENA BOLAÑOS PLANILLA</t>
  </si>
  <si>
    <t>JULIO HERNANDO BELALCAZAR PLANILLA</t>
  </si>
  <si>
    <t>HERMANN SOUZA PLANILLA</t>
  </si>
  <si>
    <t>JUAN MANUEL ESPAÑA PLANILLA</t>
  </si>
  <si>
    <t>ANDREA JARAMILOO PLANILLA</t>
  </si>
  <si>
    <t>JEISON IPIALES PLANILLA</t>
  </si>
  <si>
    <t>CRISTHIAN MORENO PLANILLA</t>
  </si>
  <si>
    <t>MARCELA GERMAN PLANILLA</t>
  </si>
  <si>
    <t xml:space="preserve">LOREN DIAZ PLANILLA </t>
  </si>
  <si>
    <t>MARIA FERNANDA CHAMORRO PLANILLA</t>
  </si>
  <si>
    <t>CRISTINA LASSO PLANILLA</t>
  </si>
  <si>
    <t>CAMILA ZAMBRANO PLANILLA</t>
  </si>
  <si>
    <t>pago comisiones Veronica</t>
  </si>
  <si>
    <t xml:space="preserve">pago hotel Juan Fernando </t>
  </si>
  <si>
    <t xml:space="preserve">pago transporte loren diaz </t>
  </si>
  <si>
    <t>Envío aislador escalonado</t>
  </si>
  <si>
    <t>Carrera taxi, trayecto Oficina - La ferro</t>
  </si>
  <si>
    <t>Impresión planos tamaño carta y cuartos</t>
  </si>
  <si>
    <t>Repuesto de sello para gato troquelador</t>
  </si>
  <si>
    <t>Carreras taxi, trayecto Oficina - Unicentro, Unicentro - Oficina</t>
  </si>
  <si>
    <t>Soldadura exotérmica 90gr., tapa ciega Rawelt 2x4</t>
  </si>
  <si>
    <t>Impresión planos tamaño carta</t>
  </si>
  <si>
    <t>termoencogible</t>
  </si>
  <si>
    <t>brochas y thinner</t>
  </si>
  <si>
    <t>Impresión planos tamaño A2</t>
  </si>
  <si>
    <t>Gastos administrativos</t>
  </si>
  <si>
    <t>Envío lona y escalera, trayecto: Pasto - Remolino</t>
  </si>
  <si>
    <t>Llaves mixtas, copas, rachets</t>
  </si>
  <si>
    <t>Juego de broca escalonada</t>
  </si>
  <si>
    <t>Envío brocas escalonadas, trayecto: Pasto - Remolino</t>
  </si>
  <si>
    <t>sandwch reunion davivienda</t>
  </si>
  <si>
    <t>transporte juan camilo sotavento</t>
  </si>
  <si>
    <t>Lapiceros y lápices rojos</t>
  </si>
  <si>
    <t>Tiza blanca</t>
  </si>
  <si>
    <t>Gasas, alcohol, suero fisiológico, sika flex</t>
  </si>
  <si>
    <t>Piola</t>
  </si>
  <si>
    <t>aislador tipo yoyo</t>
  </si>
  <si>
    <t>Carreto manila 13mm</t>
  </si>
  <si>
    <t>Aislador escalonado, bornas #8</t>
  </si>
  <si>
    <t>Mineral azul</t>
  </si>
  <si>
    <t>Terminales tipo pin</t>
  </si>
  <si>
    <t>Tiza industrial</t>
  </si>
  <si>
    <t>Envío saltarín, trayecto: Remolino - Pasto</t>
  </si>
  <si>
    <t xml:space="preserve">andres recarga naos </t>
  </si>
  <si>
    <t>Transporte Oficina-Batericars</t>
  </si>
  <si>
    <t>camilo toro</t>
  </si>
  <si>
    <t>transporte Batericars-Oficina</t>
  </si>
  <si>
    <t>Transporte Oficina-Pinasaco</t>
  </si>
  <si>
    <t>transporte Oficina-Batericars</t>
  </si>
  <si>
    <t>Transporte Batericars-Oficina</t>
  </si>
  <si>
    <t>Tranporte Oficina-Pinasaco</t>
  </si>
  <si>
    <t>Transporte Pinasaco-ART+ (cesmag)</t>
  </si>
  <si>
    <t>21/10/72024</t>
  </si>
  <si>
    <t>Transporte Pinasaco-Oficina</t>
  </si>
  <si>
    <t>Impresión Planos</t>
  </si>
  <si>
    <t>Impresión documentos</t>
  </si>
  <si>
    <t>Impresión de documentos</t>
  </si>
  <si>
    <t>Pago caja en acrilico</t>
  </si>
  <si>
    <t>Transporte Sotavento - Oficina</t>
  </si>
  <si>
    <t>Impresión de planos</t>
  </si>
  <si>
    <t>transporte aeropuesto pasto chachagui</t>
  </si>
  <si>
    <t>hermann</t>
  </si>
  <si>
    <t>transporte casa a desayno bogota</t>
  </si>
  <si>
    <t>transporte coctel del trabajo a la caasa</t>
  </si>
  <si>
    <t>transporte a aeropuerto bogota</t>
  </si>
  <si>
    <t>comida crepes y wafles</t>
  </si>
  <si>
    <t xml:space="preserve">Impresiones para capacitación </t>
  </si>
  <si>
    <t>Chocolates premio concurso de capacitación</t>
  </si>
  <si>
    <t xml:space="preserve">Transporte terminal mixto de Pasto </t>
  </si>
  <si>
    <t>Transporte trayeto Pasto - El Remolino</t>
  </si>
  <si>
    <t>Tablones (9)PROMADERAS ANDRADE S.A.SDiana A Mera</t>
  </si>
  <si>
    <t>DIANA</t>
  </si>
  <si>
    <t>Un botellon de aguaD1 SASDiana A Mera</t>
  </si>
  <si>
    <t>Dos botellas de aguaD1 SASDiana A Mera</t>
  </si>
  <si>
    <t>1 paquete de bolsa negraD1 SASDiana A Mera</t>
  </si>
  <si>
    <t>Tornillos (16), Tuercas (16), Arandela (20)SURTIMATERIALES ARROYOHONDODiana A Mera</t>
  </si>
  <si>
    <t>Breaker 112-160A REGULABLE SIEMENSELECTRICOS DEL VALLEDiana A Mera</t>
  </si>
  <si>
    <t>Aseo oficina: varsol y paño absorbenteD1 SASDIANA ALEJANDRA MERA MUÑOZ</t>
  </si>
  <si>
    <t>pago triturado of construcciones</t>
  </si>
  <si>
    <t xml:space="preserve">pago retie it certifica </t>
  </si>
  <si>
    <t>pago memebresia el sur e smi norte</t>
  </si>
  <si>
    <t xml:space="preserve">pago jp mercadeo </t>
  </si>
  <si>
    <t>pago humberto rosero set civil</t>
  </si>
  <si>
    <t>pago ferromac set civil</t>
  </si>
  <si>
    <t xml:space="preserve">pago fainco transporte </t>
  </si>
  <si>
    <t xml:space="preserve">pago anticipo 50% tablesa tableros </t>
  </si>
  <si>
    <t>pago equirent</t>
  </si>
  <si>
    <t xml:space="preserve">pago electricos del valle 50% </t>
  </si>
  <si>
    <t xml:space="preserve">pago jose gansoy </t>
  </si>
  <si>
    <t>DELTA</t>
  </si>
  <si>
    <t>Tres desayunos en Pradera (Julio, Jorge y Diana).La Casa del PandebonoDIANA ALEJANDRA MERA MUÑOZ</t>
  </si>
  <si>
    <t>Transporte de paneles desde la bodega 6 hasta el parqueadero donde se izaban los paneles.Ruben Dario Calvo GalvisDIANA ALEJANDRA MERA MUÑOZ</t>
  </si>
  <si>
    <t>ingreso carton</t>
  </si>
  <si>
    <t>anticipo naos a evolti</t>
  </si>
  <si>
    <t xml:space="preserve">antico </t>
  </si>
  <si>
    <t>Brocas SDS (3) + Punta pala para rotomartillo (1)HomecenterDIANA ALEJANDRA MERA MUÑOZ</t>
  </si>
  <si>
    <t xml:space="preserve">pago 50% rymel transformador 1,5m </t>
  </si>
  <si>
    <t>pago weworkin</t>
  </si>
  <si>
    <t xml:space="preserve">pago video pedro riascos </t>
  </si>
  <si>
    <t>pago vallas aquiplott</t>
  </si>
  <si>
    <t>pago tableros ectricol</t>
  </si>
  <si>
    <t>pago milton rivera pendon y lana</t>
  </si>
  <si>
    <t>pago melba moncayo</t>
  </si>
  <si>
    <t xml:space="preserve">pago it certifica retie </t>
  </si>
  <si>
    <t>pago investigacion AT</t>
  </si>
  <si>
    <t>pago hotel loto naos 2</t>
  </si>
  <si>
    <t xml:space="preserve">pago tigo ventas </t>
  </si>
  <si>
    <t>pago tecnlogia solar</t>
  </si>
  <si>
    <t xml:space="preserve">pagoseguridad del sur monitoreo </t>
  </si>
  <si>
    <t xml:space="preserve">pago tramites notaria 4 </t>
  </si>
  <si>
    <t>pago emcali</t>
  </si>
  <si>
    <t xml:space="preserve">paago maderas del pacifico pequeño </t>
  </si>
  <si>
    <t>pago lios patiño</t>
  </si>
  <si>
    <t xml:space="preserve">pgo gee renovable comunicaciones </t>
  </si>
  <si>
    <t>pago dictamen ef 2023 astris lopera</t>
  </si>
  <si>
    <t>pago alquiler volqueta campos</t>
  </si>
  <si>
    <t>inicio de obra</t>
  </si>
  <si>
    <t xml:space="preserve">pago ascenso </t>
  </si>
  <si>
    <t>pago camara de comericio sitio</t>
  </si>
  <si>
    <t>pago camara de comercio orion</t>
  </si>
  <si>
    <t>orion</t>
  </si>
  <si>
    <t>pago camara de comercio nebula</t>
  </si>
  <si>
    <t>nebula</t>
  </si>
  <si>
    <t>pago camara de comercio altair</t>
  </si>
  <si>
    <t>altair</t>
  </si>
  <si>
    <t>pago examen ingreso</t>
  </si>
  <si>
    <t>pago alimentacion marco ojeda</t>
  </si>
  <si>
    <t>canalizaciones</t>
  </si>
  <si>
    <t xml:space="preserve">gingreso gran avenida </t>
  </si>
  <si>
    <t xml:space="preserve">inversion evolti a polaris </t>
  </si>
  <si>
    <t>inversion evolti en delta</t>
  </si>
  <si>
    <t>granja solar canopues</t>
  </si>
  <si>
    <t>anticipo minigranja</t>
  </si>
  <si>
    <t xml:space="preserve">pago electrciol 30% </t>
  </si>
  <si>
    <t xml:space="preserve">pago carlos arboleda broker </t>
  </si>
  <si>
    <t>pago auxilio de movilidad veronica</t>
  </si>
  <si>
    <t xml:space="preserve">pago  solaire </t>
  </si>
  <si>
    <t>pago reintegrio andrea tiquete daniel medina</t>
  </si>
  <si>
    <t>pago of contrucciones</t>
  </si>
  <si>
    <t xml:space="preserve">pago milton rivera </t>
  </si>
  <si>
    <t>Tornillo Hexagonal para tuerca mordaza (6) y Llave combinada 15mm (2)HomecenterDIANA ALEJANDRA MERA MUÑOZ</t>
  </si>
  <si>
    <t>polaris 3</t>
  </si>
  <si>
    <t>Peaje MDEjuan manuel</t>
  </si>
  <si>
    <t>Taxijuan manuel</t>
  </si>
  <si>
    <t>Taxi aeropuerto Calijuan manuel</t>
  </si>
  <si>
    <t>Taxi aeropuerto Pastojuan manuel</t>
  </si>
  <si>
    <t>Taxisjuan manuel</t>
  </si>
  <si>
    <t>Desayunojuan manuel</t>
  </si>
  <si>
    <t>Parqueaderojuan manuel</t>
  </si>
  <si>
    <t>Peajejuan manuel</t>
  </si>
  <si>
    <t>Taxi aeropuertojuan manuel</t>
  </si>
  <si>
    <t>Cenajuan manuel</t>
  </si>
  <si>
    <t>desayunojuan manuel</t>
  </si>
  <si>
    <t>Ponquecitos para final de capacitación personal</t>
  </si>
  <si>
    <t>logística Recursos Humanos</t>
  </si>
  <si>
    <t xml:space="preserve">danna </t>
  </si>
  <si>
    <t>Transporte a terminal mixto de Pasto</t>
  </si>
  <si>
    <t>Logistica Viáticos</t>
  </si>
  <si>
    <t>Transporte Pasto - El Remolino</t>
  </si>
  <si>
    <t>Tornillos drywall</t>
  </si>
  <si>
    <t>Impresión planos</t>
  </si>
  <si>
    <t>Vaselina, tiza industrial</t>
  </si>
  <si>
    <t>Jabón líquido</t>
  </si>
  <si>
    <t>Envío modulo de comunicación, trayecto: Pasto - Ipiales</t>
  </si>
  <si>
    <t>Carrera taxi, trayecto: Oficina - Sotavento</t>
  </si>
  <si>
    <t>Tablas</t>
  </si>
  <si>
    <t>Botellón de agua</t>
  </si>
  <si>
    <t>Mineral azul y verde, timbre Mercury</t>
  </si>
  <si>
    <t>Galón de tinner</t>
  </si>
  <si>
    <t>Envío escalera de extensión, trayecto: Bogotá - Pasto</t>
  </si>
  <si>
    <t>Carrera taxi, trayecto: Oficina - Unicentro</t>
  </si>
  <si>
    <t>Carrera piaggio, trayecto: Maderas del Pacífico - Sotavento</t>
  </si>
  <si>
    <t>Varengas</t>
  </si>
  <si>
    <t>Tuercas, arandelas, tornillos, soldadura PVC, matafilo</t>
  </si>
  <si>
    <t>compra cable para computador contabilidad</t>
  </si>
  <si>
    <t>retencion 6*1000 oscar</t>
  </si>
  <si>
    <t>copia llaves caja fuerte</t>
  </si>
  <si>
    <t>compra disco duro equipo naos</t>
  </si>
  <si>
    <t>Chazos, arandelas y tuercas.</t>
  </si>
  <si>
    <t>Envío material y botes de basura, Pasto - Remolino</t>
  </si>
  <si>
    <t>Cinta peligro</t>
  </si>
  <si>
    <t>retencion 6*1000 wilian basante</t>
  </si>
  <si>
    <t>juan camilo</t>
  </si>
  <si>
    <t>transporte juan camilo el troje</t>
  </si>
  <si>
    <t>transporte juan camilo unicentro</t>
  </si>
  <si>
    <t xml:space="preserve">Compra desayunos juan manuel </t>
  </si>
  <si>
    <t>compra botas de seguridad para juan camilo</t>
  </si>
  <si>
    <t xml:space="preserve">compra elmentos de aseo oficina </t>
  </si>
  <si>
    <t>pago solardepor dispropan</t>
  </si>
  <si>
    <t>pago polizas sura casa pinasaco</t>
  </si>
  <si>
    <t>pago polizas sura sotavento</t>
  </si>
  <si>
    <t xml:space="preserve"> ingreso asociasion para el desarrollo campesino jose vicente revelo salazar contrato epc</t>
  </si>
  <si>
    <t>Desarrollo Campesino</t>
  </si>
  <si>
    <t>Pago grupo sst spledor</t>
  </si>
  <si>
    <t>pago humberto rosero refuerzo estructuracion</t>
  </si>
  <si>
    <t>pago solaire estructura</t>
  </si>
  <si>
    <t>pago feromac naos 3</t>
  </si>
  <si>
    <t>pago el dorado</t>
  </si>
  <si>
    <t>pago solubaños portatiles</t>
  </si>
  <si>
    <t xml:space="preserve">pago yohnny ceballos inicio obra </t>
  </si>
  <si>
    <t>pago credito melba ligia naos 2</t>
  </si>
  <si>
    <t>pago credito melba ligia delta</t>
  </si>
  <si>
    <t>pago servicios publicos cedenar</t>
  </si>
  <si>
    <t>pago credito grupo defa</t>
  </si>
  <si>
    <t xml:space="preserve">pago credito casa andina </t>
  </si>
  <si>
    <t>retencion ica 5*1000 andina</t>
  </si>
  <si>
    <t>pago deuda GD del remolino</t>
  </si>
  <si>
    <t>Consulta Min Interior</t>
  </si>
  <si>
    <t>pago video pedro riascos</t>
  </si>
  <si>
    <t>pago servicios publicos tigo</t>
  </si>
  <si>
    <t>pago servicios publicos empopasto</t>
  </si>
  <si>
    <t>QUINCENAJOSE ALVEIRO CUSIS HERNANDEZ</t>
  </si>
  <si>
    <t>QUINCENASANDRA CAROLINA PATASCOY BOTINA</t>
  </si>
  <si>
    <t>QUINCENAIVAN DARIO CAICEDO CALVACHE</t>
  </si>
  <si>
    <t>QUINCENALEIBNITZ EDUARDO CHANA CALDERON</t>
  </si>
  <si>
    <t>QUINCENAJASON STEVEN DIAZ GUEVARA </t>
  </si>
  <si>
    <t>QUINCENAOSCAR ANDRES CASTRO BOTINA</t>
  </si>
  <si>
    <t>QUINCENAYULY ANDREA JARAMILLO GUERRERO</t>
  </si>
  <si>
    <t>QUINCENALOREN ALEJANDRA DIAZ YAMPUEZAN</t>
  </si>
  <si>
    <t>QUINCENACAROLINA CARDONA PAREJA</t>
  </si>
  <si>
    <t>QUINCENAALBEIRO ORLANDO ESPAÑA HERNANDEZ</t>
  </si>
  <si>
    <t>QUINCENAJHONSIN ARLEY ARIAS CEBALLOS</t>
  </si>
  <si>
    <t xml:space="preserve">QUINCENAJHON ALEXANDER GELPUD ZAMORA </t>
  </si>
  <si>
    <t xml:space="preserve">QUINCENARUBEN DARIO ESPINOSA PARRA </t>
  </si>
  <si>
    <t>QUINCENAMARIO ALEXANDER CUSIS HERNANDEZ</t>
  </si>
  <si>
    <t>QUINCENAEDILFONSO ROSERO CASTILLO</t>
  </si>
  <si>
    <t>QUINCENAJIMMI ALEXANDER BURGOS GUERRERO</t>
  </si>
  <si>
    <t>QUINCENAIVAN CAMILO MENESES ORDOÑEZ</t>
  </si>
  <si>
    <t>QUINCENARUBEN DARIO SILVA RODRIGUEZ</t>
  </si>
  <si>
    <t xml:space="preserve">QUINCENAJUAN ESTEBAN BLANCO QUIROGA </t>
  </si>
  <si>
    <t>QUINCENALUZ IRMA ORTEGA CIFUENTES</t>
  </si>
  <si>
    <t>QUINCENARODRIGO QUINTERO DIAZ</t>
  </si>
  <si>
    <t>QUINCENAJEFERSON VERGARA MUÑOZ</t>
  </si>
  <si>
    <t xml:space="preserve">QUINCENAMARIA FERNANDA CHAMORRO CARLOSAMA </t>
  </si>
  <si>
    <t>QUINCENAANDRES FELIPE DELGADO ZUTTA</t>
  </si>
  <si>
    <t xml:space="preserve">QUINCENAVICTOR ALEXANDER RUIZ </t>
  </si>
  <si>
    <t>QUINCENAJORGE ANDRES BARRERA YANDAR</t>
  </si>
  <si>
    <t>QUINCENAEDWIN LEONARDO MARTINEZ YAQUENO</t>
  </si>
  <si>
    <t>QUINCENAJOY JAMIT MOSQUERA ORDOÑEZ</t>
  </si>
  <si>
    <t xml:space="preserve">QUINCENACARLOS ANDRES CERON PAREDES </t>
  </si>
  <si>
    <t>QUINCENAYALINER ILVIRA FIGUEROA</t>
  </si>
  <si>
    <t>QUINCENAANDRES WILFREDY BASTIDAS GALINDEZ</t>
  </si>
  <si>
    <t>QUINCENAEYDER QUINTERO DIAZ</t>
  </si>
  <si>
    <t>QUINCENAALBERT FIGUEROA</t>
  </si>
  <si>
    <t xml:space="preserve">QUINCENAESTEBAN ALEJANDRO MARTINEZ FIGUEROA </t>
  </si>
  <si>
    <t>QUINCENAJOSE MAURICIO PAZ JURADO</t>
  </si>
  <si>
    <t>QUINCENALUIS ALBERTO ALMEIDA MATABAJOY</t>
  </si>
  <si>
    <t xml:space="preserve">QUINCENADIEGO ANDRES ARAUJO NARVAEZ </t>
  </si>
  <si>
    <t>QUINCENARUBEN LOPEZ MUÑOZ</t>
  </si>
  <si>
    <t>QUINCENAROYER IDELVER LOPEZ SOLARTE</t>
  </si>
  <si>
    <t>QUINCENAWIILLIAM ALBERTO AZA CRIOLLO</t>
  </si>
  <si>
    <t xml:space="preserve">QUINCENADILBER  MAURICIO PAZ ALMEIDA </t>
  </si>
  <si>
    <t>QUINCENAWILLIAMS ALFREDO VILLAR MORA</t>
  </si>
  <si>
    <t>QUINCENAYOHN ANDERSON LOPEZ JAIMEZ</t>
  </si>
  <si>
    <t>QUINCENADIYER DELGADO NARVAEZ</t>
  </si>
  <si>
    <t>QUINCENAANDRES FERNANDO ESPINOSA GUACALES</t>
  </si>
  <si>
    <t>QUINCENACRISTIAN MAURICIO DELGADO VILLOTA</t>
  </si>
  <si>
    <t>QUINCENAJHORDY STEVEN TRUJILLO GALEANDO</t>
  </si>
  <si>
    <t>QUINCENAJOHAN LEYDER CHAPAL VILLOTA</t>
  </si>
  <si>
    <t xml:space="preserve">QUINCENAJOHAN SEBASTIAN OVIEDO NIÑAN </t>
  </si>
  <si>
    <t xml:space="preserve">QUINCENARUBEN ESTEBAN ESPINOSA GUACALES </t>
  </si>
  <si>
    <t>QUINCENAJOSE RAFAEL RUEDA HERRERA</t>
  </si>
  <si>
    <t>QUINCENAJERSON ALEXIS GOMEZ ACOSTA</t>
  </si>
  <si>
    <t>QUINCENAVIVIANA ANDRES AYALA PICHINA</t>
  </si>
  <si>
    <t xml:space="preserve">QUINCENAJOSE MANUEL LOPEZ OBANDO </t>
  </si>
  <si>
    <t>QUINCENAOSWALDO NARVAEZ</t>
  </si>
  <si>
    <t xml:space="preserve">QUINCENAJUAN DAVID GRANADA ALVAREZ </t>
  </si>
  <si>
    <t>QUINCENAJOSE OMAR GANSASOY CASTILLO</t>
  </si>
  <si>
    <t xml:space="preserve">QUINCENAMARTIN ALONSO SOSSA AGUIRRE </t>
  </si>
  <si>
    <t>QUINCENAJUAN JOSE NARVEAEZ</t>
  </si>
  <si>
    <t>QUINCENAJUAN CAMILO GARCIA SOUZA</t>
  </si>
  <si>
    <t>QUINCENACINDY JOHANA CARLOSAMA HERNANDEZ</t>
  </si>
  <si>
    <t>QUINCENAJUAN ESTEBAN IBARRA CAMUES</t>
  </si>
  <si>
    <t>QUINCENAJUAN CARLOS CAÑAR POTOSI</t>
  </si>
  <si>
    <t xml:space="preserve">pago sodimac naos </t>
  </si>
  <si>
    <t xml:space="preserve">pago dotacion </t>
  </si>
  <si>
    <t>TRANSPORTE VISITA COMERCIAL IPIALES</t>
  </si>
  <si>
    <t>alimentacion VISITA COMERCIAL IPIALES</t>
  </si>
  <si>
    <t>ingreso solticio</t>
  </si>
  <si>
    <t>Impresiones para escrituras de proyecto</t>
  </si>
  <si>
    <t xml:space="preserve">Compra de Memoria USB para envio de Informes </t>
  </si>
  <si>
    <t>Transporte (Pasto-La Unión)</t>
  </si>
  <si>
    <t>Transporte taxi (Terminal la Unión - Restaurante tulipan)</t>
  </si>
  <si>
    <t xml:space="preserve">Transporte (La Unión - Pasto) </t>
  </si>
  <si>
    <t>pago pantalon dril juan camilo</t>
  </si>
  <si>
    <t xml:space="preserve">compra 8 agendas para polaris </t>
  </si>
  <si>
    <t xml:space="preserve">pago flete </t>
  </si>
  <si>
    <t>Envío materiales, Pasto - Remolino</t>
  </si>
  <si>
    <t>Rieles de pandala</t>
  </si>
  <si>
    <t>Envío rieles de pandala, Pasto - Remolino</t>
  </si>
  <si>
    <t>Envío cajas con colas fv, Pasto - Remolino</t>
  </si>
  <si>
    <t>Pago envío equipo, Bogotá  - Pasto</t>
  </si>
  <si>
    <t>Mini breakers, 1x16, 2x16</t>
  </si>
  <si>
    <t>Careta anticorte</t>
  </si>
  <si>
    <t>8m cable #8 Cu</t>
  </si>
  <si>
    <t>Anticorrosivo, tornillo autoperforaqnte, discos de corte</t>
  </si>
  <si>
    <t>Sika flex, chazo mariposa</t>
  </si>
  <si>
    <t>Cepillo de alambre</t>
  </si>
  <si>
    <t>Cosedora</t>
  </si>
  <si>
    <t>Tornillos</t>
  </si>
  <si>
    <t>fabricacion e instalacion lamina mdf oficina</t>
  </si>
  <si>
    <t>Anticipo Granja Solar Polaris</t>
  </si>
  <si>
    <t>pago martin gamajoa</t>
  </si>
  <si>
    <t>pago a electricos del valle</t>
  </si>
  <si>
    <t>pago computadores milenio</t>
  </si>
  <si>
    <t>retencion milenio 4%</t>
  </si>
  <si>
    <t>pago placas fereandina</t>
  </si>
  <si>
    <t>pago tableros naos 2</t>
  </si>
  <si>
    <t>retencion compras 2,5%</t>
  </si>
  <si>
    <t>pago restaurante hotel cuellar</t>
  </si>
  <si>
    <t>pago reserva reunion fin de año cali</t>
  </si>
  <si>
    <t>retencion 4% bolo club</t>
  </si>
  <si>
    <t>pago montaje electrico electroservicios</t>
  </si>
  <si>
    <t>montaje electrico</t>
  </si>
  <si>
    <t xml:space="preserve">pago impuesto </t>
  </si>
  <si>
    <t xml:space="preserve">PRETAMO GD REMOLINO </t>
  </si>
  <si>
    <t>ALIMENTACION  JUAN MANUEL</t>
  </si>
  <si>
    <t>Pago honorarios</t>
  </si>
  <si>
    <t>abono gd del remolino</t>
  </si>
  <si>
    <t>pago unicentro</t>
  </si>
  <si>
    <t>devolucion prestado para pagar SIIGO y Hotel cuellar</t>
  </si>
  <si>
    <t xml:space="preserve">intereses gd del remolino </t>
  </si>
  <si>
    <t>pago fra balcones de pubenza</t>
  </si>
  <si>
    <t>pago siigo nomina</t>
  </si>
  <si>
    <t>pago retencion iva</t>
  </si>
  <si>
    <t>devolucion de nomina Johan Chapal</t>
  </si>
  <si>
    <t xml:space="preserve">Devolucion de nomina Jose gansasoy y practicante </t>
  </si>
  <si>
    <t>Carrera taxi, trayecto: Sotavento - Oficina</t>
  </si>
  <si>
    <t>Carrera taxi, trayecto: Oficina - Terminal</t>
  </si>
  <si>
    <t>Carrera taxi, trayecto: Terminal - Oficina</t>
  </si>
  <si>
    <t>Compra tiquete viaje Pasto - Remolino</t>
  </si>
  <si>
    <t>Envío modém Pasto - Remolino</t>
  </si>
  <si>
    <t>Envío gabinete Pasto - Yumbo</t>
  </si>
  <si>
    <t>Mantenimiento pistola de calor</t>
  </si>
  <si>
    <t>Impresión planos, 1/4 de pliego</t>
  </si>
  <si>
    <t>Bolsillo para catálogo</t>
  </si>
  <si>
    <t>Afilado de cinceles</t>
  </si>
  <si>
    <t>Mineral rojo</t>
  </si>
  <si>
    <t>Caneca de aceite quemado</t>
  </si>
  <si>
    <t>Brocha, alambre de amarre</t>
  </si>
  <si>
    <t>compra sillas rimax para oficina</t>
  </si>
  <si>
    <t>compra arreglo floral camilo</t>
  </si>
  <si>
    <t>Carrera piaggio, El Troje - Oficina</t>
  </si>
  <si>
    <t>Disco corte madera, punta estrella, tornillo drywall</t>
  </si>
  <si>
    <t>A-Z Carta</t>
  </si>
  <si>
    <t>Galón de aceite quemado</t>
  </si>
  <si>
    <t>Tornillos y tuercas</t>
  </si>
  <si>
    <t>Pieza de sacabocado</t>
  </si>
  <si>
    <t>Clavos</t>
  </si>
  <si>
    <t>Tornillo placa</t>
  </si>
  <si>
    <t>Acrolatex, thinner</t>
  </si>
  <si>
    <t>Acrolatex</t>
  </si>
  <si>
    <t>Trasnporte Pasto - Incubadora del Sur</t>
  </si>
  <si>
    <t>Trasnporte Incubadora del Sur - Pasto</t>
  </si>
  <si>
    <t xml:space="preserve">Hidratacion </t>
  </si>
  <si>
    <t xml:space="preserve">Alimentacion - Almuerzo </t>
  </si>
  <si>
    <t>Trayecto ida y regreso Terminal de Ipiales - Restaurante La Merced Transporte público</t>
  </si>
  <si>
    <t xml:space="preserve">Almuerzo </t>
  </si>
  <si>
    <t>Trayecto de Terminal de Ipiales - Pasto</t>
  </si>
  <si>
    <t>Dulces para capacitación NAOS</t>
  </si>
  <si>
    <t>Alimentación - Cena - El Remolino</t>
  </si>
  <si>
    <t>transporte taxi san diego a terminal</t>
  </si>
  <si>
    <t>Rubiela</t>
  </si>
  <si>
    <t>transporte visita a delta</t>
  </si>
  <si>
    <t xml:space="preserve">transporte visita naos </t>
  </si>
  <si>
    <t>transporte taxi sotavento</t>
  </si>
  <si>
    <t xml:space="preserve">transporte taxis el troje </t>
  </si>
  <si>
    <t xml:space="preserve">envio carreto a remolino </t>
  </si>
  <si>
    <t>pago envio sprays galvanizado cali pasto</t>
  </si>
  <si>
    <t>peaje cano bajo</t>
  </si>
  <si>
    <t>jean carlos</t>
  </si>
  <si>
    <t>compra 2 botellones de agua hidratacion</t>
  </si>
  <si>
    <t>pago 14000 litros de agua humectar terreno</t>
  </si>
  <si>
    <t>Preparativos Previos Inicio de Obras</t>
  </si>
  <si>
    <t>compra 500 m cinta de precaucion guantes, lima, gafas y tapabocas</t>
  </si>
  <si>
    <t>compra acpm camioneta LHR730</t>
  </si>
  <si>
    <t>compra 3 botellones de agua hidratacion</t>
  </si>
  <si>
    <t xml:space="preserve">desvaste y sacado de filos de picos </t>
  </si>
  <si>
    <t>compra de herramienta (picas) mangueras</t>
  </si>
  <si>
    <t xml:space="preserve">compra de rrollo de manguera union, manguera, abrazadera y cabo para pico </t>
  </si>
  <si>
    <t xml:space="preserve">compra de tornillos para instalacion de señalizacion vertical </t>
  </si>
  <si>
    <t xml:space="preserve">compra de plastico y accesorios para reservorio de agua </t>
  </si>
  <si>
    <t xml:space="preserve">pago a señal grafica </t>
  </si>
  <si>
    <t>pago asopatia naos</t>
  </si>
  <si>
    <t>compensacion ambiental</t>
  </si>
  <si>
    <t>pago asopatia naos 2</t>
  </si>
  <si>
    <t>pago asopatia naos 3</t>
  </si>
  <si>
    <t>pago asopatia delta</t>
  </si>
  <si>
    <t>retencion ica 6*1000 asopatia</t>
  </si>
  <si>
    <t>retencion 2,5% asopatia</t>
  </si>
  <si>
    <t>pago campo portillo inicio obra delta</t>
  </si>
  <si>
    <t>pago cuyquer fiesta fin de año</t>
  </si>
  <si>
    <t>retencion 4% campo portilla</t>
  </si>
  <si>
    <t>retencion 6*1000 campo portilla</t>
  </si>
  <si>
    <t>c. canalizaciones</t>
  </si>
  <si>
    <t>pago electricos del valle mantenimiento</t>
  </si>
  <si>
    <t>pago Humberto rosero naos 2</t>
  </si>
  <si>
    <t>set civil</t>
  </si>
  <si>
    <t>pago Humberto rosero unicentro</t>
  </si>
  <si>
    <t>retencion 2% humberto rosero</t>
  </si>
  <si>
    <t>retencion 6*1000 humberto rosero</t>
  </si>
  <si>
    <t>retencion 5*1000 la ferro</t>
  </si>
  <si>
    <t>pago solaire unicentro</t>
  </si>
  <si>
    <t>pago solaire jugos naturales</t>
  </si>
  <si>
    <t>apgo tiquete jean carlos</t>
  </si>
  <si>
    <t>apgo tiquete herman popayan-medellin</t>
  </si>
  <si>
    <t>apgo tiquete marcela pasto-cali</t>
  </si>
  <si>
    <t>apgo tiquete herman y marcel medellin-pasto</t>
  </si>
  <si>
    <t>pago electricol naos 2</t>
  </si>
  <si>
    <t>pago electricol naos 3</t>
  </si>
  <si>
    <t>pago anticipo 50 % david esteban</t>
  </si>
  <si>
    <t xml:space="preserve">pago megamoto arreglo scuter </t>
  </si>
  <si>
    <t xml:space="preserve">pago paola coral </t>
  </si>
  <si>
    <t xml:space="preserve">pago mc solar </t>
  </si>
  <si>
    <t>retencion 4% mc4 solar</t>
  </si>
  <si>
    <t>pago anticipo fundacion ecosocial 50%</t>
  </si>
  <si>
    <t>pago legalizacion jorge quintero Transporte personal</t>
  </si>
  <si>
    <t>jorge quintero</t>
  </si>
  <si>
    <t>pago legalizacion jorge quintero pequeño material</t>
  </si>
  <si>
    <t>pago hotel vaneza muñoz</t>
  </si>
  <si>
    <t>viaticaje en obra</t>
  </si>
  <si>
    <t>retencion 3,5% hotel vanesa muñoz</t>
  </si>
  <si>
    <t>pago it certifica inspecciones tecnicas</t>
  </si>
  <si>
    <t>retenciones hon 11% it certifica</t>
  </si>
  <si>
    <t>pago marcos ojeda naos 2</t>
  </si>
  <si>
    <t>retencion 3,5 % marcos ojeda</t>
  </si>
  <si>
    <t>retenciones 2,5 % ferromac</t>
  </si>
  <si>
    <t>pago johnny ceballos</t>
  </si>
  <si>
    <t>inicio de obras</t>
  </si>
  <si>
    <t>retencion 1% johnny ceballos</t>
  </si>
  <si>
    <t>retencion 6*1000 johnny ceballos</t>
  </si>
  <si>
    <t>pago fainco transporte</t>
  </si>
  <si>
    <t>retencion 1% fainco</t>
  </si>
  <si>
    <t>retencion 6*1000 fainco</t>
  </si>
  <si>
    <t>pago avialegal</t>
  </si>
  <si>
    <t>retencion hon 11% avialegal</t>
  </si>
  <si>
    <t xml:space="preserve">pago anchetas metropolis </t>
  </si>
  <si>
    <t xml:space="preserve">retencion 2,5 % metropolis </t>
  </si>
  <si>
    <t xml:space="preserve">retencion 6*1000 metropolis </t>
  </si>
  <si>
    <t xml:space="preserve">pago tramites y compraventa </t>
  </si>
  <si>
    <t>estudios legales</t>
  </si>
  <si>
    <t xml:space="preserve">pago tiquete jean carlos </t>
  </si>
  <si>
    <t>PLANILLA SEGURIDAD SOCIAL ALBEIRO ORLANDO ESPAÑA HERNANDEZ</t>
  </si>
  <si>
    <t>PLANILLA SEGURIDAD SOCIAL ALBERT FIGUEROA</t>
  </si>
  <si>
    <t>PLANILLA SEGURIDAD SOCIAL ANDRES WILFREDY BASTIDAS GALINDEZ</t>
  </si>
  <si>
    <t xml:space="preserve">PLANILLA SEGURIDAD SOCIAL DIEGO ANDRES ARAUJO NARVAEZ </t>
  </si>
  <si>
    <t xml:space="preserve">PLANILLA SEGURIDAD SOCIAL DILBER  MAURICIO PAZ ALMEIDA </t>
  </si>
  <si>
    <t>PLANILLA SEGURIDAD SOCIAL DIYER DELGADO NARVAEZ</t>
  </si>
  <si>
    <t>PLANILLA SEGURIDAD SOCIAL EDILFONSO ROSERO CASTILLO</t>
  </si>
  <si>
    <t>PLANILLA SEGURIDAD SOCIAL EDWAR AMILCAR CHAGUEZA GOMEZ</t>
  </si>
  <si>
    <t xml:space="preserve">PLANILLA SEGURIDAD SOCIAL ESTEBAN ALEJANDRO MARTINEZ FIGUEROA </t>
  </si>
  <si>
    <t>PLANILLA SEGURIDAD SOCIAL EYDER QUINTERO DIAZ</t>
  </si>
  <si>
    <t>PLANILLA SEGURIDAD SOCIAL IVAN CAMILO MENESES ORDOÑEZ</t>
  </si>
  <si>
    <t>PLANILLA SEGURIDAD SOCIAL JEANCARLO GUILLERMO MONCAYO ANDRADE</t>
  </si>
  <si>
    <t>PLANILLA SEGURIDAD SOCIAL JEFERSON VERGARA MUÑOZ</t>
  </si>
  <si>
    <t xml:space="preserve">PLANILLA SEGURIDAD SOCIAL JHONNY FRANCISCO CEBALLOS BURBANO </t>
  </si>
  <si>
    <t>PLANILLA SEGURIDAD SOCIAL JHONSIN ARLEY ARIAS CEBALLOS</t>
  </si>
  <si>
    <t>PLANILLA SEGURIDAD SOCIAL JIMMI ALEXANDER BURGOS GUERRERO</t>
  </si>
  <si>
    <t xml:space="preserve">PLANILLA SEGURIDAD SOCIAL JOSE MANUEL LOPEZ OBANDO </t>
  </si>
  <si>
    <t>PLANILLA SEGURIDAD SOCIAL JOSE MAURICIO PAZ JURADO</t>
  </si>
  <si>
    <t>PLANILLA SEGURIDAD SOCIAL JOSE OMAR GANSASOY CASTILLO</t>
  </si>
  <si>
    <t xml:space="preserve">PLANILLA SEGURIDAD SOCIAL JUAN DAVID GRANADA ALVAREZ </t>
  </si>
  <si>
    <t xml:space="preserve">PLANILLA SEGURIDAD SOCIAL JUAN ESTEBAN BLANCO QUIROGA </t>
  </si>
  <si>
    <t>PLANILLA SEGURIDAD SOCIAL LUIS ALBERTO ALMEIDA MATABAJOY</t>
  </si>
  <si>
    <t>PLANILLA SEGURIDAD SOCIAL LUZ IRMA ORTEGA CIFUENTES</t>
  </si>
  <si>
    <t>PLANILLA SEGURIDAD SOCIAL OSWALDO NARVAEZ</t>
  </si>
  <si>
    <t>PLANILLA SEGURIDAD SOCIAL RODRIGO QUINTERO DIAZ</t>
  </si>
  <si>
    <t>PLANILLA SEGURIDAD SOCIAL ROYER IDELVER LOPEZ SOLARTE</t>
  </si>
  <si>
    <t>PLANILLA SEGURIDAD SOCIAL RUBEN DARIO SILVA RODRIGUEZ</t>
  </si>
  <si>
    <t>PLANILLA SEGURIDAD SOCIAL RUBEN LOPEZ MUÑOZ</t>
  </si>
  <si>
    <t>PLANILLA SEGURIDAD SOCIAL SEGUNDO MARCIAL GELPUD BOTINA</t>
  </si>
  <si>
    <t>PLANILLA SEGURIDAD SOCIAL VIVIANA ANDRES AYALA PICHINA</t>
  </si>
  <si>
    <t>PLANILLA SEGURIDAD SOCIAL WILLIAMS ALFREDO VILLAR MORA</t>
  </si>
  <si>
    <t>PLANILLA SEGURIDAD SOCIAL YALINER ILVIRA FIGUEROA</t>
  </si>
  <si>
    <t>PLANILLA SEGURIDAD SOCIAL YOHN ANDERSON LOPEZ JAIMEZ</t>
  </si>
  <si>
    <t>PLANILLA SEGURIDAD SOCIAL YOHN JAIRO BENAVIDES CHAMORRO</t>
  </si>
  <si>
    <t>PLANILLA SEGURIDAD SOCIAL JERSON ALEXIS GOMEZ ACOSTA</t>
  </si>
  <si>
    <t>PLANILLA SEGURIDAD SOCIAL JOSE RAFAEL RUEDA HERRERA</t>
  </si>
  <si>
    <t xml:space="preserve">PLANILLA SEGURIDAD SOCIAL MARTIN ALONSO SOSSA AGUIRRE </t>
  </si>
  <si>
    <t>PLANILLA SEGURIDAD SOCIAL ANA MILENA BOLAÑOS FIGUEROA</t>
  </si>
  <si>
    <t>PLANILLA SEGURIDAD SOCIAL CRISTHIAN DUMAR MORENO VILLARREAL</t>
  </si>
  <si>
    <t>PLANILLA SEGURIDAD SOCIAL CRISTINA LASSO</t>
  </si>
  <si>
    <t>PLANILLA SEGURIDAD SOCIAL DIANA CAMILA ZAMBRANO ORTEGA</t>
  </si>
  <si>
    <t>PLANILLA SEGURIDAD SOCIAL HERMANN SOUZA CUBIDES</t>
  </si>
  <si>
    <t>PLANILLA SEGURIDAD SOCIAL JEISON JULIAN IPIALES BENAVIDES</t>
  </si>
  <si>
    <t>PLANILLA SEGURIDAD SOCIAL JHOANA MARCELA GERMAN REYES</t>
  </si>
  <si>
    <t>PLANILLA SEGURIDAD SOCIAL JUAN CARLOS CAÑAR POTOSI</t>
  </si>
  <si>
    <t>PLANILLA SEGURIDAD SOCIAL JUAN MANUEL ESPAÑA FORERO</t>
  </si>
  <si>
    <t>PLANILLA SEGURIDAD SOCIAL JULIO BELALCAZAR MURILLO</t>
  </si>
  <si>
    <t>PLANILLA SEGURIDAD SOCIAL LOREN ALEJANDRA DIAZ YAMPUEZAN</t>
  </si>
  <si>
    <t xml:space="preserve">PLANILLA SEGURIDAD SOCIAL MARIA FERNANDA CHAMORRO CARLOSAMA </t>
  </si>
  <si>
    <t>PLANILLA SEGURIDAD SOCIAL RUBIELA DEL SOCORRO RAMOS PARRA</t>
  </si>
  <si>
    <t>PLANILLA SEGURIDAD SOCIAL VERONICA LILIANA SANTACRUZ MENZA</t>
  </si>
  <si>
    <t>PLANILLA SEGURIDAD SOCIAL YULY ANDREA JARAMILLO GUERRERO</t>
  </si>
  <si>
    <t>PLANILLA SEGURIDAD SOCIAL ANA MILENA HENAO GONZALEZ</t>
  </si>
  <si>
    <t>PLANILLA SEGURIDAD SOCIAL DANIEL FERNANDO MEDINA GUERRERO</t>
  </si>
  <si>
    <t xml:space="preserve">PLANILLA SEGURIDAD SOCIAL JOSE ESTEBAN RODRIGUEZ QUINTERO </t>
  </si>
  <si>
    <t>PLANILLA SEGURIDAD SOCIAL KELLY TATIANA ALVAREZ GARCIA</t>
  </si>
  <si>
    <t>PLANILLA SEGURIDAD SOCIAL CAROLINA CARDONA PAREJA</t>
  </si>
  <si>
    <t>PLANILLA SEGURIDAD SOCIAL ANDRES FERNANDO ESPINOSA GUACALES</t>
  </si>
  <si>
    <t xml:space="preserve">PLANILLA SEGURIDAD SOCIAL CARLOS ANDRES CERON PAREDES </t>
  </si>
  <si>
    <t>PLANILLA SEGURIDAD SOCIAL CHRISTIAN MAURICIO DELGADO VILLOTA</t>
  </si>
  <si>
    <t>PLANILLA SEGURIDAD SOCIAL EDWIN LEONARDO MARTINEZ YAQUENO</t>
  </si>
  <si>
    <t>PLANILLA SEGURIDAD SOCIAL IVAN DARIO CAICEDO CALVACHE</t>
  </si>
  <si>
    <t>PLANILLA SEGURIDAD SOCIAL JASON STEVEN DIAZ GUEVARA </t>
  </si>
  <si>
    <t xml:space="preserve">PLANILLA SEGURIDAD SOCIAL JHON ALEXANDER GELPUD ZAMORA </t>
  </si>
  <si>
    <t>PLANILLA SEGURIDAD SOCIAL JHORDY STEVEN TRUJILLO GALEANDO</t>
  </si>
  <si>
    <t>PLANILLA SEGURIDAD SOCIAL JOHAN LEYDER CHAPAL VILLOTA</t>
  </si>
  <si>
    <t xml:space="preserve">PLANILLA SEGURIDAD SOCIAL JOHAN SEBASTIAN OVIEDO NIÑAN </t>
  </si>
  <si>
    <t>PLANILLA SEGURIDAD SOCIAL JORGE ANDRES BARRERA YANDAR</t>
  </si>
  <si>
    <t>PLANILLA SEGURIDAD SOCIAL JOSE ALVEIRO CUSIS HERNANDEZ</t>
  </si>
  <si>
    <t>PLANILLA SEGURIDAD SOCIAL JOY JAMIT MOSQUERA ORDOÑEZ</t>
  </si>
  <si>
    <t>PLANILLA SEGURIDAD SOCIAL MANUEL RODRIGO CORDOBA ORDOÑEZ</t>
  </si>
  <si>
    <t>PLANILLA SEGURIDAD SOCIAL MARIO ALEXANDER CUSIS HERNANDEZ</t>
  </si>
  <si>
    <t>PLANILLA SEGURIDAD SOCIAL OSCAR ANDRES CASTRO BOTINA</t>
  </si>
  <si>
    <t xml:space="preserve">PLANILLA SEGURIDAD SOCIAL PABLO FERNANDO BENAVIDES CHAVES </t>
  </si>
  <si>
    <t xml:space="preserve">PLANILLA SEGURIDAD SOCIAL RUBEN DARIO ESPINOSA PARRA </t>
  </si>
  <si>
    <t xml:space="preserve">PLANILLA SEGURIDAD SOCIAL RUBEN ESTEBAN ESPINOSA GUACALES </t>
  </si>
  <si>
    <t>PLANILLA SEGURIDAD SOCIAL SANDRA CAROLINA PATASCOY BOTINA</t>
  </si>
  <si>
    <t xml:space="preserve">PLANILLA SEGURIDAD SOCIAL VICTOR ALEXANDER RUIZ </t>
  </si>
  <si>
    <t>PLANILLA SEGURIDAD SOCIAL WIILLIAM ALBERTO AZA CRIOLLO</t>
  </si>
  <si>
    <t>PLANILLA SEGURIDAD SOCIAL WILSON HARLKEY MALES CUASPUD</t>
  </si>
  <si>
    <t>PLANILLA SEGURIDAD SOCIAL ANDRES FELIPE DELGADO ZUTTA</t>
  </si>
  <si>
    <t>PLANILLA SEGURIDAD SOCIAL DANNA EVELYN ARMERO ROSERO</t>
  </si>
  <si>
    <t>PLANILLA SEGURIDAD SOCIAL DANNA STEFANYA LASSO GUERRA</t>
  </si>
  <si>
    <t>PLANILLA SEGURIDAD SOCIAL DIANA ALEJANDRA MERA MUÑOZ</t>
  </si>
  <si>
    <t>PLANILLA SEGURIDAD SOCIAL HERNAN DARIO CABRERA QUITIAQUEZ</t>
  </si>
  <si>
    <t>PLANILLA SEGURIDAD SOCIAL JAVIER SEBASTIÁN LUCENA VILLARREAL</t>
  </si>
  <si>
    <t>PLANILLA SEGURIDAD SOCIAL JORGE ANDRES MUÑOZ MARTINEZ</t>
  </si>
  <si>
    <t xml:space="preserve">PLANILLA SEGURIDAD SOCIAL JORGE ANDRES QUINTERO PEÑA </t>
  </si>
  <si>
    <t>PLANILLA SEGURIDAD SOCIAL JUAN FERNANDO PANIAGUA OSORIO</t>
  </si>
  <si>
    <t>PLANILLA SEGURIDAD SOCIAL LEIBNITZ EDUARDO CHANA CALDERON</t>
  </si>
  <si>
    <t>PLANILLA SEGURIDAD SOCIAL MIGUEL ALEJANDRO ENRIQUEZ CHAMORRO</t>
  </si>
  <si>
    <t>pago vallamax jesus benavidez</t>
  </si>
  <si>
    <t>pago juan rodriguez</t>
  </si>
  <si>
    <t>pago grupo solaire</t>
  </si>
  <si>
    <t>retencion 2,5% solaire</t>
  </si>
  <si>
    <t xml:space="preserve">pago dc electricos </t>
  </si>
  <si>
    <t>retencion 2,5% dc electricos</t>
  </si>
  <si>
    <t xml:space="preserve">pago electrico boyaca </t>
  </si>
  <si>
    <t>set electrico</t>
  </si>
  <si>
    <t>retencion ica 5*1000 distribuciones electricas</t>
  </si>
  <si>
    <t>reintegro juan manuel vuelos pasto medellin</t>
  </si>
  <si>
    <t>reintegro juan manuel vuelos cali medellin juan herman y marcela</t>
  </si>
  <si>
    <t>reintegro juan manuel vuelos medellin-cali juan, herman y marcela</t>
  </si>
  <si>
    <t>reintegro juan manuel por legalizacion</t>
  </si>
  <si>
    <t>reintegro trnasporte viaje a quito</t>
  </si>
  <si>
    <t>reintegro juan manuel hotel quito</t>
  </si>
  <si>
    <t>pago transporte juan a rumichaca</t>
  </si>
  <si>
    <t>Compra Fab y Limpido Aseo Hospedaje</t>
  </si>
  <si>
    <t>Viáticos transporte Remolino - Pasto - Remolino (Legalizacion)</t>
  </si>
  <si>
    <t>Viáticos transporte Remolino - Pasto - Remolino</t>
  </si>
  <si>
    <t xml:space="preserve">Tornillos y amarras </t>
  </si>
  <si>
    <t>Aseo habitaciones Semana 20 de oct a 2 de nov de 2024</t>
  </si>
  <si>
    <t>Combustible diesel camioneta KYY 983</t>
  </si>
  <si>
    <t>Pago peajes Cano Remolino - Remolino - Pasto</t>
  </si>
  <si>
    <t>Pago peajes Cano Remolino - Pasto - Remolino</t>
  </si>
  <si>
    <t>Materiales subestación NAOS III</t>
  </si>
  <si>
    <t>SET (Civil)</t>
  </si>
  <si>
    <t>Decámetro para medir cable DC</t>
  </si>
  <si>
    <t>Montaje eléctrico</t>
  </si>
  <si>
    <t>Combustible diesel camioneta KYY 983 y poma para mezcladora</t>
  </si>
  <si>
    <t>Aseo habitaciones Semana 4 de nov a 9 de nov de 2024</t>
  </si>
  <si>
    <t xml:space="preserve">Pago peajes Cano Remolino - Pasto </t>
  </si>
  <si>
    <t>Viáticos transporte Remolino  Remolino - Pasto</t>
  </si>
  <si>
    <t>Pago peajes Cano  Pasto - Remolino</t>
  </si>
  <si>
    <t>Combustible corriente para guadaña</t>
  </si>
  <si>
    <t>Materiales para cajas de paso vigilancia NAOS I</t>
  </si>
  <si>
    <t>Instalación de tuberías AC, DC y Tierra</t>
  </si>
  <si>
    <t>Materiales para excavación huecos NAOS III</t>
  </si>
  <si>
    <t>Armado mesas FV</t>
  </si>
  <si>
    <t>Soldadura PVC tubería de vigilancia</t>
  </si>
  <si>
    <t>Tapón 3" PVC para tubería hídrica.</t>
  </si>
  <si>
    <t>Implementos para pintar subestación NAOS II</t>
  </si>
  <si>
    <t>Materiales para construcción de bodega para herramientas</t>
  </si>
  <si>
    <t>Impresión liquidación Edwar Chagueza + Sobre manila</t>
  </si>
  <si>
    <t>Sharpies x 4 marcacion cinta para strings</t>
  </si>
  <si>
    <t>2 Uniones santiarias 32</t>
  </si>
  <si>
    <t>Cajas de paso</t>
  </si>
  <si>
    <t>ACPM Cajas de grasas</t>
  </si>
  <si>
    <t>ACPM poma mezcladora y planta</t>
  </si>
  <si>
    <t>Aseo habitaciones Semana 11 de nov a 16 de nov de 2024</t>
  </si>
  <si>
    <t>Lavada general Camioneta KYY 983</t>
  </si>
  <si>
    <t>Puntillas, punta taladro, flexosmteros y llaves</t>
  </si>
  <si>
    <t>ACPM camioenta kyy983</t>
  </si>
  <si>
    <t>Cinta de enmascarar</t>
  </si>
  <si>
    <t xml:space="preserve">pago superintendencia de notariado </t>
  </si>
  <si>
    <t>Tuercas y arandelas</t>
  </si>
  <si>
    <t>Corte y perforación platina aluminio</t>
  </si>
  <si>
    <t>Rosca platina aluminio</t>
  </si>
  <si>
    <t>Galón de gasolina</t>
  </si>
  <si>
    <t>Escoba y recogedor</t>
  </si>
  <si>
    <t>Tuercas 3/8"</t>
  </si>
  <si>
    <t>Envío material, trayecto: Pasto- Remolino</t>
  </si>
  <si>
    <t>Prensaestopas 11/4"</t>
  </si>
  <si>
    <t>Reflectores 20w</t>
  </si>
  <si>
    <t>Lámparas herméticas</t>
  </si>
  <si>
    <t>pago tiquete latam juan fernando fiesta foin de año</t>
  </si>
  <si>
    <t>reintegro alquiler maquina para hacer huecos construcciones w</t>
  </si>
  <si>
    <t>pago transporte juan camilo unicentro</t>
  </si>
  <si>
    <t>COMPRA DULCES PARA EVENTO PONENCIA HOSPITAL</t>
  </si>
  <si>
    <t>pago anticipo naos</t>
  </si>
  <si>
    <t>ingreso pago la cali</t>
  </si>
  <si>
    <t>mantenimeinto  dron vanessa moncayo</t>
  </si>
  <si>
    <t>pago saldo flux</t>
  </si>
  <si>
    <t>sonarplas</t>
  </si>
  <si>
    <t>Pago liquidacion edwar changueza</t>
  </si>
  <si>
    <t>pagos de caja de paso</t>
  </si>
  <si>
    <t>materiales</t>
  </si>
  <si>
    <t>pago tigre de la rebaja</t>
  </si>
  <si>
    <t>pago happina</t>
  </si>
  <si>
    <t>pago internet corporativo</t>
  </si>
  <si>
    <t xml:space="preserve">pago fac meico </t>
  </si>
  <si>
    <t>pago bowling group sas</t>
  </si>
  <si>
    <t>retencion en la fuente 4%</t>
  </si>
  <si>
    <t>pago refuerzo estrucutra sotavento</t>
  </si>
  <si>
    <t>pago ectricol naos 2</t>
  </si>
  <si>
    <t>pago ectricol naos 3</t>
  </si>
  <si>
    <t>pago nomina primera quincena rechazado empleado jhoan leider chapal villota</t>
  </si>
  <si>
    <t>pago nomina primera quincena rechazado empleado jose omar jansasoy castillo</t>
  </si>
  <si>
    <t>pago dominio hubspot inc</t>
  </si>
  <si>
    <t xml:space="preserve">pago alimentacion juan manuel </t>
  </si>
  <si>
    <t>pago intl microsofft</t>
  </si>
  <si>
    <t>COMPRA LIMPIADOR DE PISOS</t>
  </si>
  <si>
    <t>compra limpido para oficina</t>
  </si>
  <si>
    <t>pago flete envio de solardeport para pinassaco</t>
  </si>
  <si>
    <t xml:space="preserve">transporte juan camilo a unicentro ida y vuelta </t>
  </si>
  <si>
    <t>transporte juan camilo a unicentro</t>
  </si>
  <si>
    <t xml:space="preserve">transporte juan camilo a sotavento </t>
  </si>
  <si>
    <t xml:space="preserve">transporte personal wilian andres basante </t>
  </si>
  <si>
    <t xml:space="preserve">retencion transporte ica 6*1000 wilian basante </t>
  </si>
  <si>
    <t xml:space="preserve">retencion transporte en la fuente 1% wilian basante </t>
  </si>
  <si>
    <t xml:space="preserve">transporte personal Oscar Mauricio Morales  </t>
  </si>
  <si>
    <t>retencion transporte ica 6*1000 Oscar Mauricio Morales</t>
  </si>
  <si>
    <t xml:space="preserve">retencion transporte en la fuente 1% Oscar Mauricio Morales </t>
  </si>
  <si>
    <t>Envío barras 2m, trayecto: Pasto - Remolino</t>
  </si>
  <si>
    <t>Envío barras 2m motor mezcladora, banda, trayecto: Pasto - Remolino</t>
  </si>
  <si>
    <t>compra banda para naos 2</t>
  </si>
  <si>
    <t>Envío rotomartillo Remolino - Pasto</t>
  </si>
  <si>
    <t>Carreras piaggio, trayectos: Oficina - Terminal mixto - Terminal mixto - Oficina</t>
  </si>
  <si>
    <t>Cincel pala y punta para rotomartillo</t>
  </si>
  <si>
    <t>Tubería SCH-40, monopolar 1x16a</t>
  </si>
  <si>
    <t>Corte lámina MDF</t>
  </si>
  <si>
    <t>Carreras piaggio, trayectos: Oficina - Maderas San Pedro, Maderas San Pedro - Oficina</t>
  </si>
  <si>
    <t>Tapatornillo adhesivo, arandelas, tuercas, deslizador rectangular</t>
  </si>
  <si>
    <t>GASOLINA</t>
  </si>
  <si>
    <t>Terminales #2, #4</t>
  </si>
  <si>
    <t>Hub 4 puertos</t>
  </si>
  <si>
    <t>Sacabocado en juego</t>
  </si>
  <si>
    <t>Escuadras y tornillos drywall</t>
  </si>
  <si>
    <t>Acrílico y marquillas PVC</t>
  </si>
  <si>
    <t>Canaleta portacables 12x5</t>
  </si>
  <si>
    <t>Planos tamaño carta</t>
  </si>
  <si>
    <t>Combustible  viaje dos dias Pasto - La unión - Pasto</t>
  </si>
  <si>
    <t>Transportes</t>
  </si>
  <si>
    <t>Jean carlos</t>
  </si>
  <si>
    <t>Almuerzo 20 de noviembre</t>
  </si>
  <si>
    <t xml:space="preserve">Parqueadero </t>
  </si>
  <si>
    <t>Almuerzo 22 de noviembre</t>
  </si>
  <si>
    <t>Carreras piaggios, trayectos: Oficina - Pinasaco, Pinasaco - Oficina</t>
  </si>
  <si>
    <t>Carrera uber, trayecto: El troje - Oficina</t>
  </si>
  <si>
    <t>Mechas de tejo</t>
  </si>
  <si>
    <t>Empaques manguera</t>
  </si>
  <si>
    <t>Bombillo LED</t>
  </si>
  <si>
    <t>Collar hawaiano, sombrero vallenato</t>
  </si>
  <si>
    <t>Carrera uber, trayecto: Pinasaco - Oficina</t>
  </si>
  <si>
    <t>Carrera taxi, trayecto: Unicentro - Oficina</t>
  </si>
  <si>
    <t>2 bidones de agua para Sotavento, 2 bidones para Unicentro</t>
  </si>
  <si>
    <t>Carrera taxi, varios trayectos</t>
  </si>
  <si>
    <t>Tuercas, arandelas, tirnillos, clavijas</t>
  </si>
  <si>
    <t>Terminal PVC 3"</t>
  </si>
  <si>
    <t>Terminal PVC 1/2"</t>
  </si>
  <si>
    <t>Caja plástica 2x4, tapa plástica</t>
  </si>
  <si>
    <t>Envío acrilico y marquillas, trayecto: Pasto - Cali</t>
  </si>
  <si>
    <t>compra caneleta plastica y cable para remodelacion en oficina pasto</t>
  </si>
  <si>
    <t xml:space="preserve">compra led riel para remodelacion oficina </t>
  </si>
  <si>
    <t>Envio materiales trayecto pasto-remolino</t>
  </si>
  <si>
    <t>tornillos, tuercas, arandelas, wasas</t>
  </si>
  <si>
    <t>prensa estopa</t>
  </si>
  <si>
    <t>grapa doble ala curvas emt</t>
  </si>
  <si>
    <t>pego envio soda electrica</t>
  </si>
  <si>
    <t>carrera taxi varios trayectos</t>
  </si>
  <si>
    <t>compra riel chanel</t>
  </si>
  <si>
    <t xml:space="preserve">Hidratacion danna armero viaje delta </t>
  </si>
  <si>
    <t>danna armero</t>
  </si>
  <si>
    <t xml:space="preserve">Hidratacion danna armero viaje naos </t>
  </si>
  <si>
    <t>transporte terminal mixto viaje naos</t>
  </si>
  <si>
    <t xml:space="preserve">pago peaje viaje a delta danna armero </t>
  </si>
  <si>
    <t xml:space="preserve">transporte personal oscar mauricio morales </t>
  </si>
  <si>
    <t xml:space="preserve">retencion 6*1000 oscar mauricio morales </t>
  </si>
  <si>
    <t xml:space="preserve">retencion 1% oscar mauricio morales </t>
  </si>
  <si>
    <t xml:space="preserve">Dinero cambiado a dolares para viaje herman a quito </t>
  </si>
  <si>
    <t>transporte personal Jennifer chamorro</t>
  </si>
  <si>
    <t xml:space="preserve">retencion 6*1000 Jennifer chamorro </t>
  </si>
  <si>
    <t>retencion 1% Jennifer chamorro</t>
  </si>
  <si>
    <t xml:space="preserve">pago asesoria PHC DELTA </t>
  </si>
  <si>
    <t xml:space="preserve">retencion honorarios phc </t>
  </si>
  <si>
    <t xml:space="preserve">Pago ips salud integral examern ingreso Moises Ruiz </t>
  </si>
  <si>
    <t>pago campo portillo delta</t>
  </si>
  <si>
    <t>retencion ica 6*1000 campo portilla</t>
  </si>
  <si>
    <t>retencion fte 1% campo portilla</t>
  </si>
  <si>
    <t>pago protecto sas admon</t>
  </si>
  <si>
    <t>pago caffeto desayunos reunion ventas</t>
  </si>
  <si>
    <t>retencion ica 6*1000 caffeto</t>
  </si>
  <si>
    <t>retencion fte 3,5% caffeto</t>
  </si>
  <si>
    <t>pago une epm telecomunicaciones</t>
  </si>
  <si>
    <t>pago liquidacion jorge quintero</t>
  </si>
  <si>
    <t>pago a casa andina para unicentro</t>
  </si>
  <si>
    <t>pago creditos la ferro naos 2</t>
  </si>
  <si>
    <t>pago creditos la ferro sotavento</t>
  </si>
  <si>
    <t>pago creditos la ferro unicentro</t>
  </si>
  <si>
    <t>pago creditos la ferro admon</t>
  </si>
  <si>
    <t xml:space="preserve">retencion ica 5*1000 la ferro </t>
  </si>
  <si>
    <t>retencion fte 2,5% la ferro</t>
  </si>
  <si>
    <t>Pago carlos arboleda</t>
  </si>
  <si>
    <t>pago tecnacel curso de alturas</t>
  </si>
  <si>
    <t>retencion honorarios tecnacel 11%</t>
  </si>
  <si>
    <t>pago corporacion autonoma de atlantico</t>
  </si>
  <si>
    <t xml:space="preserve">pago alcomax </t>
  </si>
  <si>
    <t>pago anticipo tiba delta</t>
  </si>
  <si>
    <t>pago marcos ojeda</t>
  </si>
  <si>
    <t xml:space="preserve">Viaticaje en obra </t>
  </si>
  <si>
    <t>pago ferramac delta</t>
  </si>
  <si>
    <t xml:space="preserve">retencion fte 2,5 ferromac </t>
  </si>
  <si>
    <t>Pago básico contrato broker de tierras Cauca</t>
  </si>
  <si>
    <t>Alimentación</t>
  </si>
  <si>
    <t>Gilberto</t>
  </si>
  <si>
    <t xml:space="preserve">Papeleria </t>
  </si>
  <si>
    <t>Transporte</t>
  </si>
  <si>
    <t xml:space="preserve">pago sebastian meneses </t>
  </si>
  <si>
    <t>pago electricos boyaca carvajal</t>
  </si>
  <si>
    <t>C. Canalizaciones</t>
  </si>
  <si>
    <t xml:space="preserve">compra tiquete juan fernando medellin cali </t>
  </si>
  <si>
    <t>pago ferremallas delta</t>
  </si>
  <si>
    <t>Cerramiento Perimetral</t>
  </si>
  <si>
    <t>Pago intereses Natalia</t>
  </si>
  <si>
    <t xml:space="preserve">compra tiquete Julio pasto cali </t>
  </si>
  <si>
    <t>pag uniforce tableros unicentro</t>
  </si>
  <si>
    <t xml:space="preserve">compra tiquete Julio cali pasto </t>
  </si>
  <si>
    <t>2 Desayunos</t>
  </si>
  <si>
    <t>diana mera</t>
  </si>
  <si>
    <t>2 Almuerzos</t>
  </si>
  <si>
    <t>2 paquetes de amarras (30 cm c/u)</t>
  </si>
  <si>
    <t>2 paquetes de amarras (35 cm c/u)</t>
  </si>
  <si>
    <t>Tornillo + Broca + Tapa Doble</t>
  </si>
  <si>
    <t xml:space="preserve">Disco de Corte </t>
  </si>
  <si>
    <t>Conector MC4 (10 unidades)</t>
  </si>
  <si>
    <t>Cinta Aislante</t>
  </si>
  <si>
    <t>Peaje Cali - Palmira (Peaje Estambul)</t>
  </si>
  <si>
    <t>Peaje Palmira - Cali (Peaje CIAT)</t>
  </si>
  <si>
    <t>Desayuno (Jorge y Diana)</t>
  </si>
  <si>
    <t>Almuerzo Jorge</t>
  </si>
  <si>
    <t>Almuerzo Diana</t>
  </si>
  <si>
    <t>Uniones tubulares y bornas</t>
  </si>
  <si>
    <t>Cintas Temflex</t>
  </si>
  <si>
    <t>Tornillos + Tuercas</t>
  </si>
  <si>
    <t>Tubo EMT 3/4" + Conector 3/4" + Caja EMT 3/4" + Adhesivos</t>
  </si>
  <si>
    <t>pago suneo tableros casa pinassaco</t>
  </si>
  <si>
    <t>Compra para refrigerio compensación Reforestación #2</t>
  </si>
  <si>
    <t>Cobro de peaje Pasto - Taminango</t>
  </si>
  <si>
    <t>Cobro de peaje Taminango - Pasto</t>
  </si>
  <si>
    <t>Hidratación personal de apoyo en reforestación #2</t>
  </si>
  <si>
    <t>Hidratación acompañantes apoyo en reforestación #2</t>
  </si>
  <si>
    <t>Hidratación personal</t>
  </si>
  <si>
    <t>Tanqueo transporte Pasto - Taminango - Pasto</t>
  </si>
  <si>
    <t xml:space="preserve">ingreso dev compra cargador ipiales miguel </t>
  </si>
  <si>
    <t>Cargador Libardo Benavides</t>
  </si>
  <si>
    <t>QUINCENACHRISTIAN MAURICIO DELGADO VILLOTA</t>
  </si>
  <si>
    <t>QUINCENAANA MILENA BOLAÑOS FIGUEROA</t>
  </si>
  <si>
    <t>QUINCENACRISTINA LASSO</t>
  </si>
  <si>
    <t xml:space="preserve">QUINCENAMARIA FERNANDA CHAMORRO </t>
  </si>
  <si>
    <t>QUINCENAVERONICA LILIANA SANTACRUZ MENZA</t>
  </si>
  <si>
    <t>QUINCENAHERMANN SOUZA CUBIDES</t>
  </si>
  <si>
    <t>QUINCENAJUAN MANUEL ESPAÑA FORERO</t>
  </si>
  <si>
    <t>QUINCENAJEISON JULIAN IPIALES BENAVIDES</t>
  </si>
  <si>
    <t>QUINCENAJHOANA MARCELA GERMAN REYES</t>
  </si>
  <si>
    <t>QUINCENAJULIO BELALCAZAR MURILLO</t>
  </si>
  <si>
    <t>QUINCENARUBIELA DEL SOCORRO RAMOS PARRA</t>
  </si>
  <si>
    <t>QUINCENAKELLY TATIANA ALVAREZ GARCIA</t>
  </si>
  <si>
    <t>QUINCENAANA MILENA HENAO GONZALEZ</t>
  </si>
  <si>
    <t xml:space="preserve">QUINCENAJOSE ESTEBAN RODRIGUEZ QUINTERO </t>
  </si>
  <si>
    <t>QUINCENAJEANCARLO GUILLERMO MONCAYO ANDRADE</t>
  </si>
  <si>
    <t>QUINCENAYOHN JAIRO BENAVIDES CHAMORRO</t>
  </si>
  <si>
    <t>QUINCENAIVAN DANIEL MONTILLA CORAL</t>
  </si>
  <si>
    <t xml:space="preserve">ESTRUCTURACION </t>
  </si>
  <si>
    <t>QUINCENAMOISES RUIZ AYALA</t>
  </si>
  <si>
    <t>QUINCENAJUAN FERNANDO PANIAGUA OSORIO</t>
  </si>
  <si>
    <t>QUINCENAMIGUEL ALEJANDRO ENRIQUEZ CHAMORRO</t>
  </si>
  <si>
    <t>QUINCENADANNA STEFANYA LASSO GUERRA</t>
  </si>
  <si>
    <t>QUINCENAJAVIER SEBASTIÁN LUCENA VILLARREAL</t>
  </si>
  <si>
    <t>QUINCENAJORGE ANDRES MUÑOZ MARTINEZ</t>
  </si>
  <si>
    <t>QUINCENAHERNAN DARIO CABRERA QUITIAQUEZ</t>
  </si>
  <si>
    <t>QUINCENADANNA EVELYN ARMERO ROSERO</t>
  </si>
  <si>
    <t>QUINCENADIANA ALEJANDRA MERA MUÑOZ</t>
  </si>
  <si>
    <t>Agropecuaria San rafael</t>
  </si>
  <si>
    <t>pago tesla transformador delta</t>
  </si>
  <si>
    <t>C. Transformador 1,25MVA</t>
  </si>
  <si>
    <t xml:space="preserve">pago liquidacion daniel medina </t>
  </si>
  <si>
    <t xml:space="preserve">tiquete juan fernando medellin cali </t>
  </si>
  <si>
    <t xml:space="preserve">pago orit municipio de la union </t>
  </si>
  <si>
    <t>pago mr hornado fiesta fin de año remolino</t>
  </si>
  <si>
    <t>Sierra copa bimetal 11/4" a 6"</t>
  </si>
  <si>
    <t>Mandril 3/8 + Empalme tubular para cable #8 AWG</t>
  </si>
  <si>
    <t>Papel contact naranja y azul (3 metros c/u) + tijera</t>
  </si>
  <si>
    <t>Eslinga de posicion</t>
  </si>
  <si>
    <t>Rectificacion de rosca en un tubo IMC 2"</t>
  </si>
  <si>
    <t>Envio - Equipo de proteccion personal</t>
  </si>
  <si>
    <t>Tuerca mordaza + tornillo ( cant. 10 c/u)</t>
  </si>
  <si>
    <t>Soga Polipropileno N</t>
  </si>
  <si>
    <t>3 paquetes de amarras</t>
  </si>
  <si>
    <t>Tuerca mordaza + tornillo ( cant. 15 c/u)</t>
  </si>
  <si>
    <t xml:space="preserve">pago congelados de nariño </t>
  </si>
  <si>
    <t>pago factura hotel cuellar</t>
  </si>
  <si>
    <t>recepcin abono delta</t>
  </si>
  <si>
    <t>recepcion abono naos</t>
  </si>
  <si>
    <t>naos</t>
  </si>
  <si>
    <t>anticipo hotel adamo</t>
  </si>
  <si>
    <t>Hotel Adamo</t>
  </si>
  <si>
    <t>pago clinica pabon agosto, septiembre y octubre</t>
  </si>
  <si>
    <t xml:space="preserve">pago rumichaca pasto juan manuel y herman </t>
  </si>
  <si>
    <t>transporte personal</t>
  </si>
  <si>
    <t>pago monica mora el troje</t>
  </si>
  <si>
    <t>cables</t>
  </si>
  <si>
    <t>pago monica mora casa fransico</t>
  </si>
  <si>
    <t>Compra certificado de libertad y tradicion</t>
  </si>
  <si>
    <t>Compra certificado mininterior</t>
  </si>
  <si>
    <t>pago hotel v1501</t>
  </si>
  <si>
    <t>Compra en optidi</t>
  </si>
  <si>
    <t>pago Yhonni ceballos inicio de obras delta</t>
  </si>
  <si>
    <t>pago reteica bimestral</t>
  </si>
  <si>
    <t>pago abel francisco coronado</t>
  </si>
  <si>
    <t>pago phc suscripcion</t>
  </si>
  <si>
    <t xml:space="preserve">alimetacion juan manuel </t>
  </si>
  <si>
    <t>pago acuagen</t>
  </si>
  <si>
    <t>pago edf grn avenida</t>
  </si>
  <si>
    <t>ingreso libardo benavides instalacion cargador</t>
  </si>
  <si>
    <t>ingreso ziljko por mantenimiento</t>
  </si>
  <si>
    <t xml:space="preserve">anuncios en linkend </t>
  </si>
  <si>
    <t xml:space="preserve">pago hotel herman y marcela </t>
  </si>
  <si>
    <t xml:space="preserve">retencion jesus enriquez transporte herman </t>
  </si>
  <si>
    <t xml:space="preserve">retencion ica 6*1000 jesus enriquez transporte herman </t>
  </si>
  <si>
    <t xml:space="preserve">retencion dte 3,5% mr hornado fiesta fin de año remolino </t>
  </si>
  <si>
    <t xml:space="preserve">retencion ica 6*1000 mr hornado fiesta fin de año remolino </t>
  </si>
  <si>
    <t>retencion 2,5 % alcohomax</t>
  </si>
  <si>
    <t>retencion 3,5% marcos ojeda</t>
  </si>
  <si>
    <t>Naos3</t>
  </si>
  <si>
    <t>retencion 2,5% casa andina compra unicentro</t>
  </si>
  <si>
    <t>retencion 6*1000 casa andina compra unicentro</t>
  </si>
  <si>
    <t>retencion fte 1% jhonny ceballos inicio de obra</t>
  </si>
  <si>
    <t>retencion ica 6*1000 jhonny ceballos inicio de obra</t>
  </si>
  <si>
    <t xml:space="preserve">retencion fte 1% abel coronado </t>
  </si>
  <si>
    <t xml:space="preserve">pago luis patiño proyecto delta </t>
  </si>
  <si>
    <t>Línea MT aérea</t>
  </si>
  <si>
    <t>pago a grupo enpresarial silver</t>
  </si>
  <si>
    <t>pago transformador en indelec</t>
  </si>
  <si>
    <t>pago tablesa para naos 2</t>
  </si>
  <si>
    <t>C. Celdas MT</t>
  </si>
  <si>
    <t>pago tablesa para naos 3</t>
  </si>
  <si>
    <t>pago transporte tablesa naos 2</t>
  </si>
  <si>
    <t>pago mano de obra a jimmy burgos</t>
  </si>
  <si>
    <t>pago a servimeters</t>
  </si>
  <si>
    <t>pago a vlentina figueroa</t>
  </si>
  <si>
    <t>pago proveedor grupo defa</t>
  </si>
  <si>
    <t>Pago anderson verdugo set electrico</t>
  </si>
  <si>
    <t>SET (electrico)</t>
  </si>
  <si>
    <t>Polaris</t>
  </si>
  <si>
    <t>Pago anderson verdugo transporte</t>
  </si>
  <si>
    <t>pago martin guamajoa cuarto electrico</t>
  </si>
  <si>
    <t>transporte juan camilo pinassaco</t>
  </si>
  <si>
    <t>transporte juan camilo sotaveno</t>
  </si>
  <si>
    <t>Inicio de obra</t>
  </si>
  <si>
    <t>pago surtiequipos san rafael</t>
  </si>
  <si>
    <t>pago surtiequipos naos3</t>
  </si>
  <si>
    <t xml:space="preserve">pago inversiones recrear </t>
  </si>
  <si>
    <t>ingreso epc guillermo eraso 50%</t>
  </si>
  <si>
    <t>Guillermo Erazo</t>
  </si>
  <si>
    <t>pago arboleda octubre</t>
  </si>
  <si>
    <t>pago a casa electrica</t>
  </si>
  <si>
    <t xml:space="preserve">pago credito solaire </t>
  </si>
  <si>
    <t>pago devolucion de iva solaire</t>
  </si>
  <si>
    <t>Devolucion iva</t>
  </si>
  <si>
    <t>Tianshi</t>
  </si>
  <si>
    <t xml:space="preserve">se transporte personal wilian basante </t>
  </si>
  <si>
    <t>retencion rfte wilian basante transporte personal</t>
  </si>
  <si>
    <t>Chazo plástico para instalación cajas eléctricas</t>
  </si>
  <si>
    <t>Naos2</t>
  </si>
  <si>
    <t>jorge muñoz</t>
  </si>
  <si>
    <t>Materiales para aplicar anticorrosivo a estructura.</t>
  </si>
  <si>
    <t>Anticorrosivo y espuma para repello caja de paso trampa aceite</t>
  </si>
  <si>
    <t>Insumos para mantenimiento planta y mezclador.</t>
  </si>
  <si>
    <t>Líquido de frenos para camioneta KYY983</t>
  </si>
  <si>
    <t>Combustible para planta y mezclador.</t>
  </si>
  <si>
    <t>Marcadores Sharpie para identificar conductores DC</t>
  </si>
  <si>
    <t>Soldadura epoxi para arreglo tanque ahoyadora.</t>
  </si>
  <si>
    <t>Combustible corriente para ahoyadora (Reforestación)</t>
  </si>
  <si>
    <t xml:space="preserve">Hidratación </t>
  </si>
  <si>
    <t>Materiales para casetas de inversores</t>
  </si>
  <si>
    <t>Materiales para instalación tubería de lluvias.</t>
  </si>
  <si>
    <t>Viáticos Segundo Gelpud</t>
  </si>
  <si>
    <t>Materiales NAOS III (excavación y subestación)</t>
  </si>
  <si>
    <t xml:space="preserve">Peaje cano </t>
  </si>
  <si>
    <t>Visita alcaldía municipio de Taminango (Resolución Licencia construcción)</t>
  </si>
  <si>
    <t>Licencia de construcción</t>
  </si>
  <si>
    <t xml:space="preserve">Materiales para instalación equipos en subestación NAOS II </t>
  </si>
  <si>
    <t>Materiales Subestación NAOS III</t>
  </si>
  <si>
    <t>Equipo para excavación huecos NAOS III</t>
  </si>
  <si>
    <t xml:space="preserve">Marcadores Sharpie (soldadura y marquillas) </t>
  </si>
  <si>
    <t>Saco estuco relleno NAOS III (Subestación)</t>
  </si>
  <si>
    <t>Insumo para Subestación NAOS III</t>
  </si>
  <si>
    <t>Casetas inversores NAOS II</t>
  </si>
  <si>
    <t>Transporte peronal a puyo oficina puyo</t>
  </si>
  <si>
    <t xml:space="preserve">transporte taxi terminal mixto a san diego </t>
  </si>
  <si>
    <t>rubiela</t>
  </si>
  <si>
    <t xml:space="preserve">peaje visist delta </t>
  </si>
  <si>
    <t>pasaje visita naos2</t>
  </si>
  <si>
    <t xml:space="preserve">compra browne para capacitacion </t>
  </si>
  <si>
    <t>Gastos talento humano</t>
  </si>
  <si>
    <t xml:space="preserve">compra agua para hidrtacion </t>
  </si>
  <si>
    <t xml:space="preserve">transporte taxi a proyecto oficina-sotavento-oficina </t>
  </si>
  <si>
    <t>transporte taxi sst a oficina por fumigacion</t>
  </si>
  <si>
    <t>compra terminal EMT 4</t>
  </si>
  <si>
    <t>Abono talonario</t>
  </si>
  <si>
    <t>Uniones y curvas EMT</t>
  </si>
  <si>
    <t>Recibos de caja menor</t>
  </si>
  <si>
    <t>Tapón auditivo</t>
  </si>
  <si>
    <t>Tapa ciega rawelt 2x4</t>
  </si>
  <si>
    <t>Conectores rectos de coraza</t>
  </si>
  <si>
    <t>Grapas, unión IMC, curva IMC</t>
  </si>
  <si>
    <t>Hojas sierra caladora</t>
  </si>
  <si>
    <t>Disco corte metl, clavija macho y hembra, arandelas, tuercas, alambre de amarre</t>
  </si>
  <si>
    <t>Terminal #6 cu</t>
  </si>
  <si>
    <t>Unión bandeja malla</t>
  </si>
  <si>
    <t>Cinta malla, pliegos lija</t>
  </si>
  <si>
    <t>Rollo nylon</t>
  </si>
  <si>
    <t>Riel chanel</t>
  </si>
  <si>
    <t>Varilla roscada, tuerca, arandela, brocas</t>
  </si>
  <si>
    <t>Curva SCH-40</t>
  </si>
  <si>
    <t>pago mantenimiento de motor mezcladora en naos 2 a wilian basante</t>
  </si>
  <si>
    <t xml:space="preserve">Yohn jairo </t>
  </si>
  <si>
    <t>compra 5 botellones de agua para hidratacion del personal</t>
  </si>
  <si>
    <t xml:space="preserve">compra de polisombra para proteccion del personal de rediacion solar </t>
  </si>
  <si>
    <t>Compra papel higienico para oficina</t>
  </si>
  <si>
    <t>Transporte juan camilo zousa sotavento</t>
  </si>
  <si>
    <t>Pago flete por compra en dc electricos para carvajal</t>
  </si>
  <si>
    <t xml:space="preserve">transporte a incubadora del sur </t>
  </si>
  <si>
    <t xml:space="preserve">tansporte miguel ipiales </t>
  </si>
  <si>
    <t>alimentacion miguel viaje ipiales</t>
  </si>
  <si>
    <t xml:space="preserve">pago tiquetes tuquerres </t>
  </si>
  <si>
    <t>ana</t>
  </si>
  <si>
    <t>taxis en guahucal y pasto</t>
  </si>
  <si>
    <t xml:space="preserve">almuerzo ana </t>
  </si>
  <si>
    <t>transporte veronica hospital infantil</t>
  </si>
  <si>
    <t>compra desayunos hospital infantil</t>
  </si>
  <si>
    <t xml:space="preserve">transporte marcel a reunion sena </t>
  </si>
  <si>
    <t>recarga datos naos 1</t>
  </si>
  <si>
    <t xml:space="preserve">gastos notariales gd del remolino </t>
  </si>
  <si>
    <t xml:space="preserve">transporte oscar mauricio </t>
  </si>
  <si>
    <t>retencion fte 1% oscar mauricio</t>
  </si>
  <si>
    <t>retencion ica 6*1000 oscar mauricio</t>
  </si>
  <si>
    <t>Tuercas, arandelas, mineral azul</t>
  </si>
  <si>
    <t>Tornillos placa</t>
  </si>
  <si>
    <t>Copias de llave</t>
  </si>
  <si>
    <t>Vinipel, cinta de empaque</t>
  </si>
  <si>
    <t>Tornillo drywall</t>
  </si>
  <si>
    <t>Envío cámara termográfica</t>
  </si>
  <si>
    <t>Puntas taladro, hojas de segueta</t>
  </si>
  <si>
    <t>Bolsas para basura</t>
  </si>
  <si>
    <t>Terminales SCH-40</t>
  </si>
  <si>
    <t>pago transporte wilian basante</t>
  </si>
  <si>
    <t>gasolina para transporte ipiales nava</t>
  </si>
  <si>
    <t>estefanial lasso</t>
  </si>
  <si>
    <t>paje el placer viaje ipiales nava</t>
  </si>
  <si>
    <t>almuerzo ipiales nava</t>
  </si>
  <si>
    <t>peaje el placer ipiales</t>
  </si>
  <si>
    <t>pasaje ipiales hotel adamo</t>
  </si>
  <si>
    <t xml:space="preserve">taxis en ipiales </t>
  </si>
  <si>
    <t>taxis en ipiales comercializadora nava</t>
  </si>
  <si>
    <t xml:space="preserve">almuerzo viaje a ipiales </t>
  </si>
  <si>
    <t>transporte marcela para llevar hornados</t>
  </si>
  <si>
    <t>Pago Melba Ligia materiales sotavento RM1 3851</t>
  </si>
  <si>
    <t>Pago Melba Ligia materiales  set electrico RM1 3846</t>
  </si>
  <si>
    <t xml:space="preserve">Retencion ica melba ligia compra sotavento </t>
  </si>
  <si>
    <t>Retencion ica melba ligia compra naos2</t>
  </si>
  <si>
    <t>pago papeleria el dorado para oficina</t>
  </si>
  <si>
    <t>pago fundacion ecosocial fac FERS 5</t>
  </si>
  <si>
    <t>Pago a valentina figueroa tabaleros REMISION 651( cable,tablero)</t>
  </si>
  <si>
    <t>pago upme jugis naturales</t>
  </si>
  <si>
    <t>pago upme francisco g</t>
  </si>
  <si>
    <t>pago Harrison lopez transporte</t>
  </si>
  <si>
    <t>retencion transporte pago Harrison lopez transporte</t>
  </si>
  <si>
    <t>pago revisora fiscal maria acosta</t>
  </si>
  <si>
    <t>pago tablesa para polaris 1</t>
  </si>
  <si>
    <t>C. Tableros BT</t>
  </si>
  <si>
    <t>pago tablesa para Naos3</t>
  </si>
  <si>
    <t>pago tablesa para delta</t>
  </si>
  <si>
    <t>pago solaire inversores solares</t>
  </si>
  <si>
    <t>retencion 2,5 %pago solaire inversores solares</t>
  </si>
  <si>
    <t xml:space="preserve">pago set electrico a seguridad del sur </t>
  </si>
  <si>
    <t>pago reintegro tiquete juan manuel</t>
  </si>
  <si>
    <t>pago protecto sas admon naos 2</t>
  </si>
  <si>
    <t>pago protecto sas admon naos3</t>
  </si>
  <si>
    <t>pago protecto sas admon delta</t>
  </si>
  <si>
    <t>pago polizas compañía mundial de seguros polaris</t>
  </si>
  <si>
    <t>pago polizas compañía mundial de seguros delta</t>
  </si>
  <si>
    <t>pago mora cargador tobar electricos moara</t>
  </si>
  <si>
    <t xml:space="preserve">pago abogada maria Cardenas </t>
  </si>
  <si>
    <t xml:space="preserve">retencion fte 10% pago abogada maria Cardenas </t>
  </si>
  <si>
    <t xml:space="preserve">pago video Juan Rodriguez publicidad </t>
  </si>
  <si>
    <t>pago video Juan Rodriguez publicidad</t>
  </si>
  <si>
    <t>Uniones, curvas, cemento y arena</t>
  </si>
  <si>
    <t>Caja 3/4 + Bornas #2 + Bornas #4/0</t>
  </si>
  <si>
    <t>Cajas, grapas, tapa ciega y prensa est.</t>
  </si>
  <si>
    <t>Termoencogible</t>
  </si>
  <si>
    <t>Guante Dielectrico</t>
  </si>
  <si>
    <t>Cintas de colores, soldaduras, etc</t>
  </si>
  <si>
    <t>Cintas de color blanca</t>
  </si>
  <si>
    <t>Sharpie</t>
  </si>
  <si>
    <t>Linterna y Kit Reflector</t>
  </si>
  <si>
    <t>Organizador P/Cables</t>
  </si>
  <si>
    <t>Pago johnni ceballos inicio de obra delta</t>
  </si>
  <si>
    <t>retencion fte 1% Pago johnni ceballos inicio de obra delta</t>
  </si>
  <si>
    <t>retencion ica 6*1000 Pago johnni ceballos inicio de obra delta</t>
  </si>
  <si>
    <t>pago asesoria JORGE ATEHORTUA</t>
  </si>
  <si>
    <t>pago humberto rosero mataeriales refuerzo estructura</t>
  </si>
  <si>
    <t>pago humberto rosero naos2</t>
  </si>
  <si>
    <t>pago humberto rosero caja de paso naos 3</t>
  </si>
  <si>
    <t>pago hotel jean carlos viajes fin de año</t>
  </si>
  <si>
    <t>pago transporte equirent delta bg01 106122</t>
  </si>
  <si>
    <t>pago transporte equirent naos 2 bg01 106121 noviembre</t>
  </si>
  <si>
    <t>pago transporte equirent naos 3 bg01 106121 noviembre</t>
  </si>
  <si>
    <t>pago electricos boyaca tableros de distribucion</t>
  </si>
  <si>
    <t xml:space="preserve">pago tableros de distribucion electricos del valle </t>
  </si>
  <si>
    <t xml:space="preserve">pago a electricol fletes equipos naos 2 </t>
  </si>
  <si>
    <t>pago a electricol fletes equipos naos 3</t>
  </si>
  <si>
    <t>retencion 1% pago a electricol fletes equipos naos 3</t>
  </si>
  <si>
    <t>pago defa para casa pinasaco FEDP 66273</t>
  </si>
  <si>
    <t>Retencion ica pago defa para casa pinasaco FEDP 66273</t>
  </si>
  <si>
    <t>pago melba ligia moncayo oc 158</t>
  </si>
  <si>
    <t>retencin fte pago melba ligia moncayo oc 158</t>
  </si>
  <si>
    <t>retencion ica*1000 pago melba ligia moncayo oc 158</t>
  </si>
  <si>
    <t>pago a cinergy estudio de conexión FE 328 FE 337</t>
  </si>
  <si>
    <t>Pago carnets milton Rivera</t>
  </si>
  <si>
    <t>pago cajas de paso a campo portillo delta</t>
  </si>
  <si>
    <t xml:space="preserve">retencion ica campo portillo cajas de paso </t>
  </si>
  <si>
    <t>Pago Credito Asenso</t>
  </si>
  <si>
    <t>pago martin gamajoa st civil cta cobro primer anticipo cuarto electrico</t>
  </si>
  <si>
    <t>pago electricol tableros de distribucion unicentro</t>
  </si>
  <si>
    <t xml:space="preserve">pago ancehatas fin de año metropolis </t>
  </si>
  <si>
    <t>pago alimentacion naos a marcos ojeda noviembre</t>
  </si>
  <si>
    <t>retencion fte pago alimentacion naos a marcos ojeda noviembre</t>
  </si>
  <si>
    <t xml:space="preserve">pago hotel a comercial cristhian ibara Juan Fernando </t>
  </si>
  <si>
    <t>compra tablesa tableros de distribucion</t>
  </si>
  <si>
    <t>pago a melba ligia moncayo FAC</t>
  </si>
  <si>
    <t>RETENCIN FTE 2,5 %MELBA LIGIA PAGO PARA DELTA</t>
  </si>
  <si>
    <t>RETENCIN ICA 5*1000 MELBA LIGIA PAGO PARA DELTA</t>
  </si>
  <si>
    <t>Pago a ferromac materiales inicio de obra delta</t>
  </si>
  <si>
    <t>Pago a ferromac materiales  delta</t>
  </si>
  <si>
    <t>ABONO GD DEL REMOLINO</t>
  </si>
  <si>
    <t>NAOS</t>
  </si>
  <si>
    <t>Pago consultorio V1501 mes de octubre</t>
  </si>
  <si>
    <t>pago centro comercial platinum</t>
  </si>
  <si>
    <t>pago intel chat gpt</t>
  </si>
  <si>
    <t>alimentacion varietale juan manuel</t>
  </si>
  <si>
    <t>alimentacion juan manuel</t>
  </si>
  <si>
    <t>alimentacion juan manuel hotel cuellar</t>
  </si>
  <si>
    <t>alimentacion juan manuel V1501</t>
  </si>
  <si>
    <t>Compra celular para comercial</t>
  </si>
  <si>
    <t>pago francisco dispropan</t>
  </si>
  <si>
    <t>inversion evolti en polaris</t>
  </si>
  <si>
    <t>Inversión polaris</t>
  </si>
  <si>
    <t>pago maquinagro MEZCLADORA CAPACIDAD DE 1 BULTO CON MOTOR POWER TITAN DIESEL DE 10 HP</t>
  </si>
  <si>
    <t>Seguros Generales Suramericana polizas 7625772</t>
  </si>
  <si>
    <t>Seguros Generales Suramericana polizas 7626524</t>
  </si>
  <si>
    <t>pago delta</t>
  </si>
  <si>
    <t>anticipo de importación para paneles Longi</t>
  </si>
  <si>
    <t>concepto importación paneles Longi</t>
  </si>
  <si>
    <t>INGRESO MINIGRANJAS DELTA</t>
  </si>
  <si>
    <t xml:space="preserve">ANTICIPO AGROPRODUCTORA SAN RAFAEL </t>
  </si>
  <si>
    <t>INGRESO DEVOLUCION SOLARDEPOT</t>
  </si>
  <si>
    <t xml:space="preserve">INGRESO CAMPOS DE ARAGON OCTUBRE </t>
  </si>
  <si>
    <t xml:space="preserve">alquiler videobeam reunion trabajadores hotel cuellar </t>
  </si>
  <si>
    <t>transporte terminal mixto para viaje a naos 2</t>
  </si>
  <si>
    <t>transporte pasto-remolino para viaje a naos 2</t>
  </si>
  <si>
    <t>hidratacion danna visita naos2</t>
  </si>
  <si>
    <t>almuerzo danna visita delta</t>
  </si>
  <si>
    <t xml:space="preserve">transporte remolino-pasto danna </t>
  </si>
  <si>
    <t>Terminales</t>
  </si>
  <si>
    <t>Pinzas pelacables</t>
  </si>
  <si>
    <t>Cable UTP, conectrores rectos coraza</t>
  </si>
  <si>
    <t>Tornillos, tuercas, wasas, arandelas</t>
  </si>
  <si>
    <t>Mantenimiento taladro inalámbrico</t>
  </si>
  <si>
    <t xml:space="preserve">terminal de ojo amarillo </t>
  </si>
  <si>
    <t>capaceta 4" union imc</t>
  </si>
  <si>
    <t>Gasolina viaje a la union nariño ida y regreso pasto</t>
  </si>
  <si>
    <t>almuerzo y parqueadero</t>
  </si>
  <si>
    <t xml:space="preserve">pago impuesto orit la union </t>
  </si>
  <si>
    <t>Dos horas de carreras en taxi</t>
  </si>
  <si>
    <t>Carreras piaggio, trayectos: Oficina - AC, AC - DEFA, DEFA -AC, AC - Oficina</t>
  </si>
  <si>
    <t>Carreras piaggio, trayectos: Pinasaco - Mapachico, Mapachico Oficina, Oficina - Mapachico</t>
  </si>
  <si>
    <t>Riel para bandeja malla</t>
  </si>
  <si>
    <t>Cinta bandy, terminales, unión EMT</t>
  </si>
  <si>
    <t>Cabezote Samsung, cable datos tipo C</t>
  </si>
  <si>
    <t>Marcadores y lápices</t>
  </si>
  <si>
    <t>Broca 1/2" para metal</t>
  </si>
  <si>
    <t>Abrazaderas, broca, tornillo, tuerca, arandela, wasa</t>
  </si>
  <si>
    <t>Bombillo, abrazadera para riel</t>
  </si>
  <si>
    <t>Conectores antifraude</t>
  </si>
  <si>
    <t>Conectores de coraza, clavija de caucho, curva PVC,  aisladores tipo yoyo, grapa doble ala</t>
  </si>
  <si>
    <t>Arandela, wasa, tuerca</t>
  </si>
  <si>
    <t>2m cable #2 Al</t>
  </si>
  <si>
    <t>Envío protecciones, trayecto: Remolino - Pasto</t>
  </si>
  <si>
    <t>Envío materiales, trayecto: Pasto - Remolino</t>
  </si>
  <si>
    <t>Cinta aislante violeta</t>
  </si>
  <si>
    <t>Lima media caña, copas,</t>
  </si>
  <si>
    <t>Transporte personal wilian andres basante</t>
  </si>
  <si>
    <t>retencion fte 1%Transporte personal wilian andres basante</t>
  </si>
  <si>
    <t>retencion ica 6*1000 Transporte personal wilian andres basante</t>
  </si>
  <si>
    <t xml:space="preserve">Transporte personal oscar mauricio </t>
  </si>
  <si>
    <t>Protector solar</t>
  </si>
  <si>
    <t>Carolina</t>
  </si>
  <si>
    <t>Conector bimetálico</t>
  </si>
  <si>
    <t>Conector bimetálico, caja de paso 20x20 intemperie</t>
  </si>
  <si>
    <t>Roscas tubo IMC 3"</t>
  </si>
  <si>
    <t>Riel chanel 2x4, conector recto coraza 2"</t>
  </si>
  <si>
    <t>Conectores RJ45</t>
  </si>
  <si>
    <t>Terminal #4</t>
  </si>
  <si>
    <t>Roscas tubo IMC 1/2"</t>
  </si>
  <si>
    <t>Sika flex, disco corte metal</t>
  </si>
  <si>
    <t>Terminal EMT, unión EMT</t>
  </si>
  <si>
    <t>Termoencogible 1m</t>
  </si>
  <si>
    <t>Bornas #2/0, bornas #4, caja rawelt 2x4, tapa ciega 2x4</t>
  </si>
  <si>
    <t>transporte marcela para domicilio san alejo</t>
  </si>
  <si>
    <t>transporte rubiela sotavento</t>
  </si>
  <si>
    <t>transporte rubiela unicentro</t>
  </si>
  <si>
    <t>transporte rubiela oficina</t>
  </si>
  <si>
    <t>Transporte juan camilo cargador libardo</t>
  </si>
  <si>
    <t>pago burro vegetariano evento fin de año</t>
  </si>
  <si>
    <t>pago hornado para fiesta fin de año remolino</t>
  </si>
  <si>
    <t>pago a milenio computadores admon</t>
  </si>
  <si>
    <t xml:space="preserve">Pago a wework arrendamiento </t>
  </si>
  <si>
    <t>Pago a Rymel por concepto de co tranformador 1250 KVA 13800/800 Naos2</t>
  </si>
  <si>
    <t>Pago a Rymel por concepto de co tranformador 1250 KVA 13800/800 Naos3</t>
  </si>
  <si>
    <t>pago a caracol radio para publicidad carnavales 2025</t>
  </si>
  <si>
    <t>publicidad</t>
  </si>
  <si>
    <t>Pago a Rymel por concepto transporte tranformador 1250 KVA 13800/800 Naos2</t>
  </si>
  <si>
    <t>Pago a Rymel por concepto transporte tranformador 1250 KVA 13800/800 Naos3</t>
  </si>
  <si>
    <t>pago a electricos boyaca medidor para proyec carvajal</t>
  </si>
  <si>
    <t>pago a electricos boyaca tableros para proyec carvajal</t>
  </si>
  <si>
    <t>Retenecion ica 3*1000 pago a electricos boyaca medidor para proyec carvajal</t>
  </si>
  <si>
    <t>pago a fenalco por comision</t>
  </si>
  <si>
    <t>Cotizacion N° SO-674858 pago electricos del valle</t>
  </si>
  <si>
    <t>pago solaire inversores solares de clinica morasurco</t>
  </si>
  <si>
    <t>Retencion fte 2,5%pago solaire inversores solares de clinica morasurco</t>
  </si>
  <si>
    <t xml:space="preserve">pago a grupo defa para fransisco dispropan </t>
  </si>
  <si>
    <t>pago a dotasol para compra set elec naos2</t>
  </si>
  <si>
    <t>Retencion fte 2,5 % pago a dotasol para compra set elec naos2</t>
  </si>
  <si>
    <t>Retencion ica 6*1000 pago a dotasol para compra set elec naos2</t>
  </si>
  <si>
    <t xml:space="preserve">Pago a grupo sst  para splendor </t>
  </si>
  <si>
    <t xml:space="preserve">Retencion fte 2,5%Pago a grupo sst  para splendor </t>
  </si>
  <si>
    <t>pago arriendo a malliesa admon</t>
  </si>
  <si>
    <t>pago a Luis Patño Linea Mt Naos3</t>
  </si>
  <si>
    <t>Pago servicios publicos a impecol</t>
  </si>
  <si>
    <t>pago a milton rivera compra placa batericars</t>
  </si>
  <si>
    <t>pago anticipo 50% david diaz por estudio de suelos</t>
  </si>
  <si>
    <t xml:space="preserve">pago fac tigo une epm </t>
  </si>
  <si>
    <t xml:space="preserve">pago servicios publico de energia a cedenar noviembre </t>
  </si>
  <si>
    <t>pago servicio de recoleccion de basura emas</t>
  </si>
  <si>
    <t>pago servicio de acueducto empopasto</t>
  </si>
  <si>
    <t>pago retencion en la fte bimestral</t>
  </si>
  <si>
    <t>Retencion en la fuente</t>
  </si>
  <si>
    <t>Pago servicio de vigilancia naos a seguridada del sur</t>
  </si>
  <si>
    <t>Vigilancia Materiales</t>
  </si>
  <si>
    <t>Pago FRA899 Benaequipos proyect sotavento</t>
  </si>
  <si>
    <t xml:space="preserve">Reteiva 15% benaequipos </t>
  </si>
  <si>
    <t>Pago cta de cobro N3 Viviana marcel Enriquez</t>
  </si>
  <si>
    <t>Pago credito a distribuciones naos2</t>
  </si>
  <si>
    <t>Pago credito a distribuciones AC naos 2</t>
  </si>
  <si>
    <t>Retencion fte 2,5% distribuciones AC</t>
  </si>
  <si>
    <t>Retencion ICA 6*1000 distribuciones AC</t>
  </si>
  <si>
    <t>Pago credito grupo Defa materiales para unicentro</t>
  </si>
  <si>
    <t>Pago electricol OF CO N° OV 42576 V0 polaris</t>
  </si>
  <si>
    <t>Pago electricol OF CO N° OV 42576 V0 DELTA</t>
  </si>
  <si>
    <t>Pago a electricos del valle cables agropeucaria san rafael</t>
  </si>
  <si>
    <t>Pago a electricos del valle cables clinica morasurco</t>
  </si>
  <si>
    <t>Pago FE 271 Campo Portillo para delta (materiales)</t>
  </si>
  <si>
    <t>Retefte 1% Pago FE 271 Campo Portillo para delta (materiales)</t>
  </si>
  <si>
    <t>reteica 6*1000 Pago FE 271 Campo Portillo para delta (materiales)</t>
  </si>
  <si>
    <t>Pago electricos boyaca tableros para clinica morasurco</t>
  </si>
  <si>
    <t>Pago comision Maria Camila Huertas</t>
  </si>
  <si>
    <t xml:space="preserve">pago examenes de ingreso ips bienestar laboral </t>
  </si>
  <si>
    <t xml:space="preserve">retefte 2% pago examenes de ingreso ips bienestar laboral </t>
  </si>
  <si>
    <t xml:space="preserve">reteica 6*1000 pago examenes de ingreso ips bienestar laboral </t>
  </si>
  <si>
    <t>Pago cotizacion FR-SIG-06 gee renovables</t>
  </si>
  <si>
    <t>pago COTIZACION: TA757-24 tablesa</t>
  </si>
  <si>
    <t>Pago alimentacion diciembre marcos ojeda</t>
  </si>
  <si>
    <t>Retencion fte 3,5% marcos ojeda</t>
  </si>
  <si>
    <t>Pago cotizacion 169230 servimeters naos3</t>
  </si>
  <si>
    <t>Pago cotizacion emsi C022 1571</t>
  </si>
  <si>
    <t>Nava del sur</t>
  </si>
  <si>
    <t>Edificio IPK</t>
  </si>
  <si>
    <t>Retencion fte 2,5 %Pago cotizacion emsi C022 1571</t>
  </si>
  <si>
    <t>Terminales 2/0 (10 unid) + Cintas (3)</t>
  </si>
  <si>
    <t>Diana mera</t>
  </si>
  <si>
    <t>Tornillos (15 unid)</t>
  </si>
  <si>
    <t>Pollo Especial Frisby</t>
  </si>
  <si>
    <t>Brocas (3)</t>
  </si>
  <si>
    <t>Botas de seguridad</t>
  </si>
  <si>
    <t>Cable #16 + Breaker 3x6AMP</t>
  </si>
  <si>
    <t>Ploteada de planos</t>
  </si>
  <si>
    <t>Transporte Juanse</t>
  </si>
  <si>
    <t>Transporte Didi</t>
  </si>
  <si>
    <t>Transporte Tulua // Agropecuaria</t>
  </si>
  <si>
    <t>Abono de reserva de hotel en Popayan (valido 1 año)</t>
  </si>
  <si>
    <t>Cinta doble</t>
  </si>
  <si>
    <t>Pintura, rodillo, cinta de enmascarar</t>
  </si>
  <si>
    <t>Peaje Cali - Palmira</t>
  </si>
  <si>
    <t>Julio comercial</t>
  </si>
  <si>
    <t>Transporte Aeropuerto - Hotel - Pasto</t>
  </si>
  <si>
    <t xml:space="preserve">Alimentacion Hotel Loto Azul Julio Belalcazar </t>
  </si>
  <si>
    <t>Parqueadero Aeropuerto  x 4 Dias</t>
  </si>
  <si>
    <t>Peaje Palmira - Cali</t>
  </si>
  <si>
    <t>pago transporte para compensacion ambiental</t>
  </si>
  <si>
    <t xml:space="preserve">logistica viaticaje </t>
  </si>
  <si>
    <t>Pago alimentacion actividad compensacion ambiental</t>
  </si>
  <si>
    <t>Pago lean case delta</t>
  </si>
  <si>
    <t xml:space="preserve">Pago soluciones electricas tableros frnciscog </t>
  </si>
  <si>
    <t>Pago soluciones electricas cargador libardo</t>
  </si>
  <si>
    <t xml:space="preserve">pago trabajo wilian basante </t>
  </si>
  <si>
    <t xml:space="preserve">retefuente 6%pago trabajo wilian basante </t>
  </si>
  <si>
    <t xml:space="preserve">reteica 6*1000 pago trabajo wilian basante </t>
  </si>
  <si>
    <t xml:space="preserve"> Abono factura Naos 2</t>
  </si>
  <si>
    <t>pago enertotal medidor carvajal</t>
  </si>
  <si>
    <t>pago poliza todo riesgo proyect san rafael</t>
  </si>
  <si>
    <t>pago poliza todo riesgo proyect incubadora del sur</t>
  </si>
  <si>
    <t>pago fac happina</t>
  </si>
  <si>
    <t>pago esdificio gran avenida</t>
  </si>
  <si>
    <t>compra la cali moño para innauguracion batericars</t>
  </si>
  <si>
    <t>compra d1 refrigerio para innauguracion batericars</t>
  </si>
  <si>
    <t>pago upme delta</t>
  </si>
  <si>
    <t>upme</t>
  </si>
  <si>
    <t>pago compra tierra en el cesar orion</t>
  </si>
  <si>
    <t>Orion</t>
  </si>
  <si>
    <t>Pago comision compra de tierras cesar</t>
  </si>
  <si>
    <t>pago gd del remolino</t>
  </si>
  <si>
    <t xml:space="preserve">Compra dominio en adobe </t>
  </si>
  <si>
    <t>CONSTITUCION SOCIEDADES, MATRIULA,EXISTENCIA, FORMULARIO,IMPUESTO ESTAMPILLA, IMPUESTO REGISTRO SIN CUANTIA, MICROEMPRESA</t>
  </si>
  <si>
    <t>compra repuesto para equipo Web CamAcer FHD 2MP
ACR100</t>
  </si>
  <si>
    <t>Compra intl openai</t>
  </si>
  <si>
    <t>alimentacion juan manuel en restaurante palmira</t>
  </si>
  <si>
    <t>alimentacion juan manuel en bolo club</t>
  </si>
  <si>
    <t>compra en aparta hotel juan manuel</t>
  </si>
  <si>
    <t>alimentacion juan manuel en carbon y parrilla</t>
  </si>
  <si>
    <t>pago taxis juan manuel</t>
  </si>
  <si>
    <t>alimentacion juan manuel en dunkin donas</t>
  </si>
  <si>
    <t>compra juan manuel alimentacion</t>
  </si>
  <si>
    <t>pago fac interees dos constructores sas gd remolino</t>
  </si>
  <si>
    <t>Transporte personal oscar mauricio</t>
  </si>
  <si>
    <t>Retencion ica 6*1000 oscar mauricio</t>
  </si>
  <si>
    <t>Retencin fte 1% oscar mauricio</t>
  </si>
  <si>
    <t xml:space="preserve">Transporte personal Wilina Basante </t>
  </si>
  <si>
    <t xml:space="preserve">Retefte 1% wilian Basante </t>
  </si>
  <si>
    <t xml:space="preserve">retica *1000 wilian Basante </t>
  </si>
  <si>
    <t>Transporte personal jennifer chamorro</t>
  </si>
  <si>
    <t>Retefte 1% Jennifer Chamorro Portilla</t>
  </si>
  <si>
    <t>Retefte 6*1000 Jennifer Chamorro Portilla</t>
  </si>
  <si>
    <t>Conmpra cable HDMI computador danna armero</t>
  </si>
  <si>
    <t xml:space="preserve">Compra remesa para oficina en alkosto </t>
  </si>
  <si>
    <t xml:space="preserve">Compra detergente el polvo para oficina </t>
  </si>
  <si>
    <t>Transporte Juan Camilo Garcia</t>
  </si>
  <si>
    <t>Transporte personal Rubiela Ramos</t>
  </si>
  <si>
    <t>Envío TC´s, trayecto: Pasto -  Yumbo</t>
  </si>
  <si>
    <t>Curvas, uniones, terminales, cinta bandy, hebillas</t>
  </si>
  <si>
    <t>Terminales de ojo #14</t>
  </si>
  <si>
    <t>Chazo de expansión 5/16" y 3/8"</t>
  </si>
  <si>
    <t>Cajas de paso plásticas</t>
  </si>
  <si>
    <t>Tubo conduit PVC 1", 3 curvas PVC 1"</t>
  </si>
  <si>
    <t>Conector recto de coraza 3/4"</t>
  </si>
  <si>
    <t>Abrazadera riel chanel 3/4", conduleta LR 3/4" roscada</t>
  </si>
  <si>
    <t>Terminales de ojo #6 y #8</t>
  </si>
  <si>
    <t>Chazos plásticos 5/16"</t>
  </si>
  <si>
    <t>Medio bulto de arena</t>
  </si>
  <si>
    <t>Caja de paso, caja de inspección</t>
  </si>
  <si>
    <t>Tornillos, tuercas, arandelas, wasas</t>
  </si>
  <si>
    <t>Cafetera italiana</t>
  </si>
  <si>
    <t>Canaleta ranurada 40x40</t>
  </si>
  <si>
    <t>abrazadera riel chanel 3/4</t>
  </si>
  <si>
    <t>Estuco, cemento, hojas de bisturí</t>
  </si>
  <si>
    <t>Hojas de segueta, disco de corte metal, sika flex, punta estrellas</t>
  </si>
  <si>
    <t xml:space="preserve">Dos horas de carreras en taxi </t>
  </si>
  <si>
    <t>Pinturas en spray blanca y amarilla</t>
  </si>
  <si>
    <t>Cinta bandy y hebillas</t>
  </si>
  <si>
    <t>Tomacorriente naranja</t>
  </si>
  <si>
    <t>Cable de poder</t>
  </si>
  <si>
    <t>Envío cable de poder, trayecto: Pasto - Remolino</t>
  </si>
  <si>
    <t>Transporte oficina-el troje (visista Retie)</t>
  </si>
  <si>
    <t>javier</t>
  </si>
  <si>
    <t>Transporte el troje-oficina (visista Retie)</t>
  </si>
  <si>
    <t>Transporte pasto-remolino</t>
  </si>
  <si>
    <t>Transporte remolino-pasto</t>
  </si>
  <si>
    <t>Hidratacion</t>
  </si>
  <si>
    <t>Pago peaje terrestre pasto ipiales</t>
  </si>
  <si>
    <t>Pago peaje terrestre ipiales pasto</t>
  </si>
  <si>
    <t>pago de combustible</t>
  </si>
  <si>
    <t>Pago de servicio parqueadero</t>
  </si>
  <si>
    <t>Pago de servicio restaurante</t>
  </si>
  <si>
    <t>Transporte terminal mixto pasto</t>
  </si>
  <si>
    <t>Transporte pasto-puerto remolino</t>
  </si>
  <si>
    <t>hidratacion</t>
  </si>
  <si>
    <t>almurzo Danna</t>
  </si>
  <si>
    <t>Transporte puerto remolino-pasto</t>
  </si>
  <si>
    <t>Transporte a concexin chachagui</t>
  </si>
  <si>
    <t>Transporte a concexin chachagui-pasto</t>
  </si>
  <si>
    <t>Almuerzo aeropuerto</t>
  </si>
  <si>
    <t>Marcela</t>
  </si>
  <si>
    <t>Cena Lunes</t>
  </si>
  <si>
    <t>almuerzo wework</t>
  </si>
  <si>
    <t>Compra Wisky clientes unicentro</t>
  </si>
  <si>
    <t>Eduardo</t>
  </si>
  <si>
    <t>Compra cinta para moño clientes unicentro</t>
  </si>
  <si>
    <t xml:space="preserve">Compra de polisombra, palín, plomadas, manguera nivel </t>
  </si>
  <si>
    <t>Compra de 5 botellones de agua para hidratación del personal</t>
  </si>
  <si>
    <t>Compra de ACPM camioneta LHR730</t>
  </si>
  <si>
    <t>Compra de varillas de acero, baldes construcción, puntillas, cinta peligro</t>
  </si>
  <si>
    <t>Compra de guadua para campamento</t>
  </si>
  <si>
    <t>Compra de gasolina para Saltarín</t>
  </si>
  <si>
    <t>Compra de plastico * 6 m</t>
  </si>
  <si>
    <t>Compra de cinta transparente para proteger ductos, flexometro, Fosforera y tornillos</t>
  </si>
  <si>
    <t>Compra de tablas, disco de corte, plastico *4 metros</t>
  </si>
  <si>
    <t>QUINCENA SEGUNDO MARCIAL GELPUD BOTINA</t>
  </si>
  <si>
    <t>QUINCENA JOSE ALVEIRO CUSIS HERNANDEZ</t>
  </si>
  <si>
    <t>QUINCENA SANDRA CAROLINA PATASCOY BOTINA</t>
  </si>
  <si>
    <t>QUINCENA IVAN DARIO CAICEDO CALVACHE</t>
  </si>
  <si>
    <t>QUINCENA JASON STEVEN DIAZ GUEVARA </t>
  </si>
  <si>
    <t>QUINCENA OSCAR ANDRES CASTRO BOTINA</t>
  </si>
  <si>
    <t>QUINCENA YULY ANDREA JARAMILLO GUERRERO</t>
  </si>
  <si>
    <t>QUINCENA LOREN ALEJANDRA DIAZ YAMPUEZAN</t>
  </si>
  <si>
    <t>QUINCENA CAROLINA CARDONA PAREJA</t>
  </si>
  <si>
    <t>QUINCENA ALBEIRO ORLANDO ESPAÑA HERNANDEZ</t>
  </si>
  <si>
    <t>QUINCENA JHONSIN ARLEY ARIAS CEBALLOS</t>
  </si>
  <si>
    <t xml:space="preserve">QUINCENA JHON ALEXANDER GELPUD ZAMORA </t>
  </si>
  <si>
    <t>QUINCENA MARIO ALEXANDER CUSIS HERNANDEZ</t>
  </si>
  <si>
    <t>QUINCENA EDILFONSO ROSERO CASTILLO</t>
  </si>
  <si>
    <t>QUINCENA JIMMI ALEXANDER BURGOS GUERRERO</t>
  </si>
  <si>
    <t>QUINCENA IVAN CAMILO MENESES ORDOÑEZ</t>
  </si>
  <si>
    <t>QUINCENA RUBEN DARIO SILVA RODRIGUEZ</t>
  </si>
  <si>
    <t xml:space="preserve">QUINCENA JUAN ESTEBAN BLANCO QUIROGA </t>
  </si>
  <si>
    <t>QUINCENA LUZ IRMA ORTEGA CIFUENTES</t>
  </si>
  <si>
    <t>QUINCENA RODRIGO QUINTERO DIAZ</t>
  </si>
  <si>
    <t>QUINCENA JEFERSON VERGARA MUÑOZ</t>
  </si>
  <si>
    <t xml:space="preserve">QUINCENA MARIA FERNANDA CHAMORRO CARLOSAMA </t>
  </si>
  <si>
    <t xml:space="preserve">QUINCENA VICTOR ALEXANDER RUIZ </t>
  </si>
  <si>
    <t>QUINCENA JORGE ANDRES BARRERA YANDAR</t>
  </si>
  <si>
    <t>QUINCENA JOY JAMIT MOSQUERA ORDOÑEZ</t>
  </si>
  <si>
    <t xml:space="preserve">QUINCENA CARLOS ANDRES CERON PAREDES </t>
  </si>
  <si>
    <t>QUINCENA ANDRES WILFREDY BASTIDAS GALINDEZ</t>
  </si>
  <si>
    <t>QUINCENA EYDER QUINTERO DIAZ</t>
  </si>
  <si>
    <t>QUINCENA ALBERT FIGUEROA</t>
  </si>
  <si>
    <t xml:space="preserve">QUINCENA ESTEBAN ALEJANDRO MARTINEZ FIGUEROA </t>
  </si>
  <si>
    <t>QUINCENA JOSE MAURICIO PAZ JURADO</t>
  </si>
  <si>
    <t>QUINCENA LUIS ALBERTO ALMEIDA MATABAJOY</t>
  </si>
  <si>
    <t xml:space="preserve">QUINCENA DIEGO ANDRES ARAUJO NARVAEZ </t>
  </si>
  <si>
    <t>QUINCENA RUBEN LOPEZ MUÑOZ</t>
  </si>
  <si>
    <t>QUINCENA ROYER IDELVER LOPEZ SOLARTE</t>
  </si>
  <si>
    <t>QUINCENA WIILLIAM ALBERTO AZA CRIOLLO</t>
  </si>
  <si>
    <t xml:space="preserve">QUINCENA DILBER  MAURICIO PAZ ALMEIDA </t>
  </si>
  <si>
    <t>QUINCENA WILLIAMS ALFREDO VILLAR MORA</t>
  </si>
  <si>
    <t>QUINCENA YOHN ANDERSON LOPEZ JAIMEZ</t>
  </si>
  <si>
    <t>QUINCENA DIYER DELGADO NARVAEZ</t>
  </si>
  <si>
    <t>QUINCENA ANDRES FERNANDO ESPINOSA GUACALES</t>
  </si>
  <si>
    <t>QUINCENA CRISTIAN MAURICIO DELGADO VILLOTA</t>
  </si>
  <si>
    <t>QUINCENA JHORDY STEVEN TRUJILLO GALEANDO</t>
  </si>
  <si>
    <t>QUINCENA JOHAN LEYDER CHAPAL VILLOTA</t>
  </si>
  <si>
    <t xml:space="preserve">QUINCENA JOHAN SEBASTIAN OVIEDO NIÑAN </t>
  </si>
  <si>
    <t xml:space="preserve">QUINCENA RUBEN ESTEBAN ESPINOSA GUACALES </t>
  </si>
  <si>
    <t>QUINCENA JOSE RAFAEL RUEDA HERRERA</t>
  </si>
  <si>
    <t>QUINCENA JERSON ALEXIS GOMEZ ACOSTA</t>
  </si>
  <si>
    <t>QUINCENA VIVIANA ANDRES AYALA PICHINA</t>
  </si>
  <si>
    <t xml:space="preserve">QUINCENA JOSE MANUEL LOPEZ OBANDO </t>
  </si>
  <si>
    <t>QUINCENA OSWALDO NARVAEZ</t>
  </si>
  <si>
    <t xml:space="preserve">QUINCENA JUAN DAVID GRANADA ALVAREZ </t>
  </si>
  <si>
    <t>QUINCENA JOSE OMAR GANSASOY CASTILLO</t>
  </si>
  <si>
    <t xml:space="preserve">QUINCENA MARTIN ALONSO SOSSA AGUIRRE </t>
  </si>
  <si>
    <t>QUINCENA JUAN JOSE NARVEAEZ</t>
  </si>
  <si>
    <t>QUINCENA JUAN CAMILO GARCIA SOUZA</t>
  </si>
  <si>
    <t>QUINCENA CINDY JOHANA CARLOSAMA HERNANDEZ</t>
  </si>
  <si>
    <t>QUINCENA JUAN ESTEBAN IBARRA CAMUES</t>
  </si>
  <si>
    <t>QUINCENA JUAN CARLOS CAÑAR POTOSI</t>
  </si>
  <si>
    <t xml:space="preserve">QUINCENA RUBEN DARIO ESPINOSA PARRA </t>
  </si>
  <si>
    <t>QUINCENA EDWIN LEONARDO MARTINEZ YAQUENO</t>
  </si>
  <si>
    <t>QUINCENA YALINER ILVIRA FIGUEROA</t>
  </si>
  <si>
    <t>QUINCENA LEIBNITZ EDUARDO CHANA CALDERON</t>
  </si>
  <si>
    <t>QUINCENA ANDRES FELIPE DELGADO ZUTTA</t>
  </si>
  <si>
    <t>LIQUIDACION PRIMAJEANCARLO GUILLERMO MONCAYO ANDRADE</t>
  </si>
  <si>
    <t>LIQUIDACION PRIMAJUAN FERNANDO PANIAGUA OSORIO</t>
  </si>
  <si>
    <t>LIQUIDACION PRIMAJHOANA MARCELA GERMAN REYES</t>
  </si>
  <si>
    <t>LIQUIDACION PRIMAJUAN MANUEL ESPAÑA FORERO</t>
  </si>
  <si>
    <t>LIQUIDACION PRIMAHERMANN SOUZA CUBIDES</t>
  </si>
  <si>
    <t>LIQUIDACION PRIMASEGUNDO MARCIAL GELPUD BOTINA</t>
  </si>
  <si>
    <t>LIQUIDACION PRIMAJOSE ALVEIRO CUSIS HERNANDEZ</t>
  </si>
  <si>
    <t>LIQUIDACION PRIMASANDRA CAROLINA PATASCOY BOTINA</t>
  </si>
  <si>
    <t>LIQUIDACION PRIMAIVAN DARIO CAICEDO CALVACHE</t>
  </si>
  <si>
    <t>LIQUIDACION PRIMALEIBNITZ EDUARDO CHANA CALDERON</t>
  </si>
  <si>
    <t>LIQUIDACION PRIMAJASON STEVEN DIAZ GUEVARA </t>
  </si>
  <si>
    <t>LIQUIDACION PRIMAOSCAR ANDRES CASTRO BOTINA</t>
  </si>
  <si>
    <t>LIQUIDACION PRIMAMIGUEL ALEJANDRO ENRIQUEZ CHAMORRO</t>
  </si>
  <si>
    <t>LIQUIDACION PRIMAKELLY TATIANA ALVAREZ GARCIA</t>
  </si>
  <si>
    <t>LIQUIDACION PRIMAYULY ANDREA JARAMILLO GUERRERO</t>
  </si>
  <si>
    <t>LIQUIDACION PRIMADANNA STEFANYA LASSO GUERRA</t>
  </si>
  <si>
    <t>LIQUIDACION PRIMAVERONICA LILIANA SANTACRUZ MENZA</t>
  </si>
  <si>
    <t>LIQUIDACION PRIMALOREN ALEJANDRA DIAZ YAMPUEZAN</t>
  </si>
  <si>
    <t xml:space="preserve">LIQUIDACION PRIMARUBEN DARIO ESPINOSA PARRA </t>
  </si>
  <si>
    <t xml:space="preserve">LIQUIDACION PRIMAJHON ALEXANDER GELPUD ZAMORA </t>
  </si>
  <si>
    <t>LIQUIDACION PRIMAJHONSIN ARLEY ARIAS CEBALLOS</t>
  </si>
  <si>
    <t>LIQUIDACION PRIMAALBEIRO ORLANDO ESPAÑA HERNANDEZ</t>
  </si>
  <si>
    <t>LIQUIDACION PRIMAMARIO ALEXANDER CUSIS HERNANDEZ</t>
  </si>
  <si>
    <t>LIQUIDACION PRIMAJEISON JULIAN IPIALES BENAVIDES</t>
  </si>
  <si>
    <t>LIQUIDACION PRIMAJAVIER SEBASTIÁN LUCENA VILLARREAL</t>
  </si>
  <si>
    <t>LIQUIDACION PRIMAJIMMI ALEXANDER BURGOS GUERRERO</t>
  </si>
  <si>
    <t>LIQUIDACION PRIMAEDILFONSO ROSERO CASTILLO</t>
  </si>
  <si>
    <t>LIQUIDACION PRIMAIVAN CAMILO MENESES ORDOÑEZ</t>
  </si>
  <si>
    <t>LIQUIDACION PRIMARUBEN DARIO SILVA RODRIGUEZ</t>
  </si>
  <si>
    <t xml:space="preserve">LIQUIDACION PRIMAJUAN ESTEBAN BLANCO QUIROGA </t>
  </si>
  <si>
    <t>LIQUIDACION PRIMARODRIGO QUINTERO DIAZ</t>
  </si>
  <si>
    <t>LIQUIDACION PRIMALUZ IRMA ORTEGA CIFUENTES</t>
  </si>
  <si>
    <t>LIQUIDACION PRIMAJEFERSON VERGARA MUÑOZ</t>
  </si>
  <si>
    <t>LIQUIDACION PRIMAMARIA FERNANDA CHAMORRO CARLOSAMA</t>
  </si>
  <si>
    <t xml:space="preserve">LIQUIDACION PRIMAVICTOR ALEXANDER RUIZ </t>
  </si>
  <si>
    <t>LIQUIDACION PRIMAJOY JAMIT MOSQUERA ORDOÑEZ</t>
  </si>
  <si>
    <t>LIQUIDACION PRIMAJORGE ANDRES BARRERA YANDAR</t>
  </si>
  <si>
    <t>LIQUIDACION PRIMAEDWIN LEONARDO MARTINEZ YAQUENO</t>
  </si>
  <si>
    <t xml:space="preserve">LIQUIDACION PRIMACARLOS ANDRES CERON PAREDES </t>
  </si>
  <si>
    <t>LIQUIDACION PRIMAANDRES FELIPE DELGADO ZUTTA</t>
  </si>
  <si>
    <t>LIQUIDACION PRIMAJORGE ANDRES MUÑOZ MARTINEZ</t>
  </si>
  <si>
    <t>LIQUIDACION PRIMAANA MILENA HENAO GONZALEZ</t>
  </si>
  <si>
    <t xml:space="preserve">LIQUIDACION PRIMAJOSE ESTEBAN RODRIGUEZ QUINTERO </t>
  </si>
  <si>
    <t>LIQUIDACION PRIMAHERNAN DARIO CABRERA QUITIAQUEZ</t>
  </si>
  <si>
    <t>LIQUIDACION PRIMAYALINER ILVIRA FIGUEROA</t>
  </si>
  <si>
    <t>LIQUIDACION PRIMAEYDER QUINTERO DIAZ</t>
  </si>
  <si>
    <t>LIQUIDACION PRIMAANDRES WILFREDY BASTIDAS GALINDEZ</t>
  </si>
  <si>
    <t>LIQUIDACION PRIMAALBERT FIGUEROA</t>
  </si>
  <si>
    <t>LIQUIDACION PRIMACRISTINA LASSO</t>
  </si>
  <si>
    <t>LIQUIDACION PRIMAJULIO BELALCAZAR MURILLO</t>
  </si>
  <si>
    <t>LIQUIDACION PRIMAANA MILENA BOLAÑOS FIGUEROA</t>
  </si>
  <si>
    <t xml:space="preserve">LIQUIDACION PRIMAESTEBAN ALEJANDRO MARTINEZ FIGUEROA </t>
  </si>
  <si>
    <t>LIQUIDACION PRIMAJOSE MAURICIO PAZ JURADO</t>
  </si>
  <si>
    <t>LIQUIDACION PRIMALUIS ALBERTO ALMEIDA MATABAJOY</t>
  </si>
  <si>
    <t xml:space="preserve">LIQUIDACION PRIMADIEGO ANDRES ARAUJO NARVAEZ </t>
  </si>
  <si>
    <t>LIQUIDACION PRIMARUBEN LOPEZ MUÑOZ</t>
  </si>
  <si>
    <t>LIQUIDACION PRIMAROYER IDELVER LOPEZ SOLARTE</t>
  </si>
  <si>
    <t>LIQUIDACION PRIMAWIILLIAM ALBERTO AZA CRIOLLO</t>
  </si>
  <si>
    <t xml:space="preserve">LIQUIDACION PRIMADILBER  MAURICIO PAZ ALMEIDA </t>
  </si>
  <si>
    <t>LIQUIDACION PRIMAWILLIAMS ALFREDO VILLAR MORA</t>
  </si>
  <si>
    <t>LIQUIDACION PRIMAYOHN ANDERSON LOPEZ JAIMEZ</t>
  </si>
  <si>
    <t>LIQUIDACION PRIMADIYER DELGADO NARVAEZ</t>
  </si>
  <si>
    <t>LIQUIDACION PRIMAYOHN JAIRO BENAVIDES CHAMORRO</t>
  </si>
  <si>
    <t>LIQUIDACION PRIMAANDRES FERNANDO ESPINOSA GUACALES</t>
  </si>
  <si>
    <t>LIQUIDACION PRIMACHRISTIAN MAURICIO DELGADO VILLOTA</t>
  </si>
  <si>
    <t xml:space="preserve">LIQUIDACION PRIMAJHORDY STEVEN TRUJILLO GALEANO </t>
  </si>
  <si>
    <t>LIQUIDACION PRIMAJOHAN LEYDER CHAPAL VILLOTA</t>
  </si>
  <si>
    <t>LIQUIDACION PRIMAJOHAN SEBASTIAN OVIEDO NIÑAN</t>
  </si>
  <si>
    <t>LIQUIDACION PRIMARUBEN ESTEBAN ESPINOSA GUACALES</t>
  </si>
  <si>
    <t>LIQUIDACION PRIMAJOSE RAFAEL RUEDA  HERRERA</t>
  </si>
  <si>
    <t>LIQUIDACION PRIMAJERSON ALEXIS GOMEZ ACOSTA</t>
  </si>
  <si>
    <t>LIQUIDACION PRIMADANNA EVELYN ARMERO ROSERO</t>
  </si>
  <si>
    <t>LIQUIDACION PRIMAMARTIN ALONSO SOSSA AGUIRRE</t>
  </si>
  <si>
    <t>LIQUIDACION PRIMAVIVIANA ANDREA AYALA PICHINA</t>
  </si>
  <si>
    <t>LIQUIDACION PRIMAJOSE MANUEL LOPEZ OBANDO</t>
  </si>
  <si>
    <t>LIQUIDACION PRIMAOSWALDO NARVAEZ</t>
  </si>
  <si>
    <t>LIQUIDACION PRIMAJUAN DAVID GRANADA ALVAREZ</t>
  </si>
  <si>
    <t>LIQUIDACION PRIMAJOSE OMAR GANSASOY CASTILLO</t>
  </si>
  <si>
    <t>LIQUIDACION PRIMADIANA ALEJANDRA MERA MUÑOZ</t>
  </si>
  <si>
    <t>LIQUIDACION PRIMAJUAN CARLOS CAÑAR POTOSI</t>
  </si>
  <si>
    <t>LIQUIDACION PRIMARUBIELA DEL SOCORRO RAMOS PARRA</t>
  </si>
  <si>
    <t>LIQUIDACION PRIMAJUAN CAMILO GARCIA SOUZA</t>
  </si>
  <si>
    <t>LIQUIDACION PRIMACINDY JOHANA CARLOSAMA HERNANDEZ</t>
  </si>
  <si>
    <t>LIQUIDACION PRIMAJUAN ESTEBAN IBARRA CAMUES</t>
  </si>
  <si>
    <t>LIQUIDACION PRIMAIVAN DANIEL MONTILLA CORAL</t>
  </si>
  <si>
    <t>LIQUIDACION PRIMAMOISES RUIZ AYALA</t>
  </si>
  <si>
    <t>LIQUIDACION PRIMAJUAN SEBASTIAN GOMEZ LEAL</t>
  </si>
  <si>
    <t>Pago arrendamiento wework dicimbre</t>
  </si>
  <si>
    <t>Pago tiquete pasto-cali estefania lasso</t>
  </si>
  <si>
    <t>Pago tiquete cali-pasto estefania lasso</t>
  </si>
  <si>
    <t>Pago tiquete medellin-cali Juan fernando</t>
  </si>
  <si>
    <t>Pago tiquete cali-medellin Juan Fernando</t>
  </si>
  <si>
    <t>Pago examen de ingreso agro san rafael</t>
  </si>
  <si>
    <t>Pago a ferromac ct 1406</t>
  </si>
  <si>
    <t>Pago upme cliNica morasurco</t>
  </si>
  <si>
    <t>Pago tiquetes marcela y jean carlos cesar</t>
  </si>
  <si>
    <t>Pago tiquete medellin-valledupar Juan Fernando</t>
  </si>
  <si>
    <t>pago poliza a sura proyecto estrunar</t>
  </si>
  <si>
    <t>pago Ferremallas cerramiento delta</t>
  </si>
  <si>
    <t xml:space="preserve">pago fra solaire estructura clinica morasurco </t>
  </si>
  <si>
    <t>pago video daniel para unicentro</t>
  </si>
  <si>
    <t>pago fra solubaños ser para delta</t>
  </si>
  <si>
    <t>naos2</t>
  </si>
  <si>
    <t>Baños portátiles</t>
  </si>
  <si>
    <t>pago fra solubaños ser para Naos2</t>
  </si>
  <si>
    <t>Retefte fra solubaños delta</t>
  </si>
  <si>
    <t>reteica fra solunbaños delta</t>
  </si>
  <si>
    <t>Retefte fra solubaños Naos2</t>
  </si>
  <si>
    <t>Reteica fra solubaños Naos2</t>
  </si>
  <si>
    <t xml:space="preserve">Pago cta de cobro 29 humberto rosero </t>
  </si>
  <si>
    <t xml:space="preserve">retefte Pago cta de cobro 29 humberto rosero </t>
  </si>
  <si>
    <t xml:space="preserve">reteica Pago cta de cobro 29 humberto rosero </t>
  </si>
  <si>
    <t>Pago a melba ligia cot 3869</t>
  </si>
  <si>
    <t>Pago a melba ligia cot 3862</t>
  </si>
  <si>
    <t>Retica melba ligia 3869</t>
  </si>
  <si>
    <t>Retica melba ligia 3862</t>
  </si>
  <si>
    <t xml:space="preserve">pago distribuciones AC </t>
  </si>
  <si>
    <t>pago ste electrico grupo defa</t>
  </si>
  <si>
    <t>Reteica 3*1000 grupo defa</t>
  </si>
  <si>
    <t>Pago asesoria Avia Legal fra 10110132</t>
  </si>
  <si>
    <t>retefte hono 11% avia legal</t>
  </si>
  <si>
    <t>pago COTCOL10309 colsein</t>
  </si>
  <si>
    <t>julio</t>
  </si>
  <si>
    <t>Peaje Cerrito - Cali</t>
  </si>
  <si>
    <t>Pago navia cujar para naos 2</t>
  </si>
  <si>
    <t>Pago navia cujar para naos 3</t>
  </si>
  <si>
    <t>Pago protecto C-1-929</t>
  </si>
  <si>
    <t>retencion ica c-1-929</t>
  </si>
  <si>
    <t>Pago tableros de distribucion bicolor</t>
  </si>
  <si>
    <t xml:space="preserve">Pago a suelos y diseño </t>
  </si>
  <si>
    <t>Pago hotel VANEZA MUÑOZ naos 2</t>
  </si>
  <si>
    <t>Pago hotel VANEZA MUÑOZ naos 3</t>
  </si>
  <si>
    <t>Retefte 3,5% hotel vnessa muñoz</t>
  </si>
  <si>
    <t>Pago Jhon Guerrero naos 2</t>
  </si>
  <si>
    <t>Pago Jhon Guerrero naos 3</t>
  </si>
  <si>
    <t>Retefte 4% jhon guerrero naos2</t>
  </si>
  <si>
    <t>Retefte 6*1000 jhon guerrero naos2</t>
  </si>
  <si>
    <t>Pago asesoria JUAN MANUEL MUÑOZ</t>
  </si>
  <si>
    <t>Pago Martin Gumajoa set civil</t>
  </si>
  <si>
    <t>Pago . FE 274 campo portillo</t>
  </si>
  <si>
    <t xml:space="preserve">pago credito meico </t>
  </si>
  <si>
    <t>Pago tiquete andrea medellin-pasto</t>
  </si>
  <si>
    <t>Pago tiquete andrea pasto-medellin</t>
  </si>
  <si>
    <t>Pago a electro edgar pequño material</t>
  </si>
  <si>
    <t>Pago Cotizacion N° SO-679565 desarrollo campesino</t>
  </si>
  <si>
    <t xml:space="preserve">Pago electricos del valle </t>
  </si>
  <si>
    <t>Pago ANGIE VALENCIA ROSERO fve 864</t>
  </si>
  <si>
    <t>Descargues</t>
  </si>
  <si>
    <t>Rtefte 1% Pago ANGIE VALENCIA ROSERO fve 864</t>
  </si>
  <si>
    <t>Retfte 6*1000 Pago ANGIE VALENCIA ROSERO fve 864</t>
  </si>
  <si>
    <t>pago distribuciones AC sotavento</t>
  </si>
  <si>
    <t>pago distribuciones AC carvaja</t>
  </si>
  <si>
    <t>pago distribuciones AC carvajal</t>
  </si>
  <si>
    <t>Refte ica 6*1000 pago distribuciones AC sotavento</t>
  </si>
  <si>
    <t xml:space="preserve">Pago alimentacio Marcos Ojeda </t>
  </si>
  <si>
    <t>Pago defa proyect sotavento</t>
  </si>
  <si>
    <t>Pago a bicolor poryt naos2</t>
  </si>
  <si>
    <t>Rtica 6*1000 Pago a bicolor poryt naos2</t>
  </si>
  <si>
    <t xml:space="preserve">Pago tiquete Luisa Fernanda Obando </t>
  </si>
  <si>
    <t>Pago Arriendo el sur es mi norte nov y dic</t>
  </si>
  <si>
    <t xml:space="preserve">Pago asesoria a Daniel Martinez </t>
  </si>
  <si>
    <t>Pago asesoria a Janely marques</t>
  </si>
  <si>
    <t>Pago plan celular comercial</t>
  </si>
  <si>
    <t>Pago servicios tpograficos David Diaz</t>
  </si>
  <si>
    <t>pago retfte 10% servicios tpograficos David diaz</t>
  </si>
  <si>
    <t>Pago humberto rosero potosi naos2</t>
  </si>
  <si>
    <t>Pago humberto rosero potosi agropecuaria san rafael</t>
  </si>
  <si>
    <t>Refte  Pago humberto rosero potosi naos2</t>
  </si>
  <si>
    <t>Rteica Pago humberto rosero potosi naos2</t>
  </si>
  <si>
    <t>Rfete Pago humberto rosero potosi agropecuaria san rafael</t>
  </si>
  <si>
    <t>Reteica Pago humberto rosero potosi agropecuaria san rafael</t>
  </si>
  <si>
    <t>Pago campo portillo preparacion inicio de obra Naos2</t>
  </si>
  <si>
    <t>Pago campo portillo preparacion inicio de obra Naos3</t>
  </si>
  <si>
    <t>Pago Anderson arley verdugo toro Naos2</t>
  </si>
  <si>
    <t>Pago Anderson arley verdugo toro Naos3</t>
  </si>
  <si>
    <t>Rtfte Pago Anderson arley verdugo toro Naos3</t>
  </si>
  <si>
    <t>rteica Pago Anderson arley verdugo toro Naos3</t>
  </si>
  <si>
    <t xml:space="preserve">Pago cuenta de cobro Jimmi Alexander </t>
  </si>
  <si>
    <t>Topografía</t>
  </si>
  <si>
    <t xml:space="preserve">Rfte Pago cuenta de cobro Jimmi Alexander </t>
  </si>
  <si>
    <t xml:space="preserve">ica Pago cuenta de cobro Jimmi Alexander </t>
  </si>
  <si>
    <t>Pago fra surtiequipos sotavento</t>
  </si>
  <si>
    <t>Retfte Pago fra surtiequipos sotavento</t>
  </si>
  <si>
    <t>ica Pago fra surtiequipos sotavento</t>
  </si>
  <si>
    <t>Pago laboratiorio Adilab examanes de ingreso</t>
  </si>
  <si>
    <t>Pago fra pendiente octubre alai comunicaciones</t>
  </si>
  <si>
    <t>Pago upm asociacion para el desarrollo campesino</t>
  </si>
  <si>
    <t xml:space="preserve">Pago comision tierras cesar </t>
  </si>
  <si>
    <t>Nebula</t>
  </si>
  <si>
    <t>Comisión Tierras</t>
  </si>
  <si>
    <t>Transporte Remolino-pasto</t>
  </si>
  <si>
    <t>Andres</t>
  </si>
  <si>
    <t>Transporte terminal Mixto pasto</t>
  </si>
  <si>
    <t>Transporte pasto-Remolino</t>
  </si>
  <si>
    <t>Transporte terminal mixta</t>
  </si>
  <si>
    <t>compra cajas 4*4 curvas conduit discos concreto</t>
  </si>
  <si>
    <t>compra varillas roscadas, tuercas,tornillos etc</t>
  </si>
  <si>
    <t>compra acpm  mezcladora</t>
  </si>
  <si>
    <t>Compra gasolina para saltarin</t>
  </si>
  <si>
    <t>Compra de botellones de agua</t>
  </si>
  <si>
    <t>Compra de nylon</t>
  </si>
  <si>
    <t>C. Material micropilotaje</t>
  </si>
  <si>
    <t>Compra varillas 3/8, broca 3/8</t>
  </si>
  <si>
    <t xml:space="preserve">Recuperacion de medidor de energia </t>
  </si>
  <si>
    <t>Limpieza y lavado camioneta LHR730</t>
  </si>
  <si>
    <t>Viaje de sub base para relleno</t>
  </si>
  <si>
    <t>Compra de tabla, polisombra,extencion, costalesetc</t>
  </si>
  <si>
    <t>Peaje cano bajo</t>
  </si>
  <si>
    <t xml:space="preserve">Viaticos remolino-pasto--remolino </t>
  </si>
  <si>
    <t>Aseo habitaciones nov 25-nov30</t>
  </si>
  <si>
    <t>compra acpm camioneta KYY983</t>
  </si>
  <si>
    <t>grasa para fondear cable y para engrase equipos</t>
  </si>
  <si>
    <t>Discospara corte metal</t>
  </si>
  <si>
    <t>Combustible para planta electrica</t>
  </si>
  <si>
    <t>Material para pintar NaosIII</t>
  </si>
  <si>
    <t>Refrigeracion</t>
  </si>
  <si>
    <t>Aseo habitaciones DIC2-DIC7</t>
  </si>
  <si>
    <t>Guantes para excavacion de huecos</t>
  </si>
  <si>
    <t>Materiales de excavacion y medicion de huecos</t>
  </si>
  <si>
    <t>andamiios NaosIII</t>
  </si>
  <si>
    <t>Materiales subestacion naosIII</t>
  </si>
  <si>
    <t>Aseo habitaciones dic9-dic14</t>
  </si>
  <si>
    <t>Materiales para marcar distancias de seguridad</t>
  </si>
  <si>
    <t>sacas para rellenar arena</t>
  </si>
  <si>
    <t>aseo habitaciones dic16-dic21</t>
  </si>
  <si>
    <t>Transporte de materiales y herramientas desde Splendor hasta la Agropecuaria</t>
  </si>
  <si>
    <t>Dotaciòn</t>
  </si>
  <si>
    <t>Uniones IMC 1/2"</t>
  </si>
  <si>
    <t>Sika Boom</t>
  </si>
  <si>
    <t>Disco para pulidera (3)</t>
  </si>
  <si>
    <t>Uber hasta Splendor</t>
  </si>
  <si>
    <t>Planos</t>
  </si>
  <si>
    <t>Barraje</t>
  </si>
  <si>
    <t>PLANILLA SEGURIDAD SOCIALALBEIRO ORLANDO ESPAÑA HERNANDEZ</t>
  </si>
  <si>
    <t>PLANILLA SEGURIDAD SOCIALALBERT FIGUEROA</t>
  </si>
  <si>
    <t>PLANILLA SEGURIDAD SOCIALANDRES WILFREDY BASTIDAS GALINDEZ</t>
  </si>
  <si>
    <t xml:space="preserve">PLANILLA SEGURIDAD SOCIALDIEGO ANDRES ARAUJO NARVAEZ </t>
  </si>
  <si>
    <t xml:space="preserve">PLANILLA SEGURIDAD SOCIALDILBER  MAURICIO PAZ ALMEIDA </t>
  </si>
  <si>
    <t>PLANILLA SEGURIDAD SOCIALDIYER DELGADO NARVAEZ</t>
  </si>
  <si>
    <t>PLANILLA SEGURIDAD SOCIALEDILFONSO ROSERO CASTILLO</t>
  </si>
  <si>
    <t>PLANILLA SEGURIDAD SOCIALEDWAR AMILKAR CHAGUEZA GOMEZ</t>
  </si>
  <si>
    <t xml:space="preserve">PLANILLA SEGURIDAD SOCIALESTEBAN ALEJANDRO MARTINEZ FIGUEROA </t>
  </si>
  <si>
    <t>PLANILLA SEGURIDAD SOCIALEYDER QUINTERO DIAZ</t>
  </si>
  <si>
    <t>PLANILLA SEGURIDAD SOCIALIVAN CAMILO MENESES ORDOÑEZ</t>
  </si>
  <si>
    <t>PLANILLA SEGURIDAD SOCIALJEANCARLO GUILLERMO MONCAYO ANDRADE</t>
  </si>
  <si>
    <t>PLANILLA SEGURIDAD SOCIALJEFERSON VERGARA MUÑOZ</t>
  </si>
  <si>
    <t>PLANILLA SEGURIDAD SOCIALJHONSIN ARLEY ARIAS CEBALLOS</t>
  </si>
  <si>
    <t>PLANILLA SEGURIDAD SOCIALJIMMI ALEXANDER BURGOS GUERRERO</t>
  </si>
  <si>
    <t xml:space="preserve">PLANILLA SEGURIDAD SOCIALJOSE MANUEL LOPEZ OBANDO </t>
  </si>
  <si>
    <t>PLANILLA SEGURIDAD SOCIALJOSE MAURICIO PAZ JURADO</t>
  </si>
  <si>
    <t>PLANILLA SEGURIDAD SOCIALJOSE OMAR GANSASOY CASTILLO</t>
  </si>
  <si>
    <t xml:space="preserve">PLANILLA SEGURIDAD SOCIALJUAN DAVID GRANADA ALVAREZ </t>
  </si>
  <si>
    <t xml:space="preserve">PLANILLA SEGURIDAD SOCIALJUAN ESTEBAN BLANCO QUIROGA </t>
  </si>
  <si>
    <t>PLANILLA SEGURIDAD SOCIALLUIS ALBERTO ALMEIDA MATABAJOY</t>
  </si>
  <si>
    <t>PLANILLA SEGURIDAD SOCIALLUZ IRMA ORTEGA CIFUENTES</t>
  </si>
  <si>
    <t>PLANILLA SEGURIDAD SOCIALOSWALDO NARVAEZ</t>
  </si>
  <si>
    <t>PLANILLA SEGURIDAD SOCIALRODRIGO QUINTERO DIAZ</t>
  </si>
  <si>
    <t>PLANILLA SEGURIDAD SOCIALROYER IDELVER LOPEZ SOLARTE</t>
  </si>
  <si>
    <t>PLANILLA SEGURIDAD SOCIALRUBEN DARIO SILVA RODRIGUEZ</t>
  </si>
  <si>
    <t>PLANILLA SEGURIDAD SOCIALRUBEN LOPEZ MUÑOZ</t>
  </si>
  <si>
    <t>PLANILLA SEGURIDAD SOCIALSEGUNDO MARCIAL GELPUD BOTINA</t>
  </si>
  <si>
    <t>PLANILLA SEGURIDAD SOCIALVIVIANA ANDRES AYALA PICHINA</t>
  </si>
  <si>
    <t>PLANILLA SEGURIDAD SOCIALWILLIAMS ALFREDO VILLAR MORA</t>
  </si>
  <si>
    <t>PLANILLA SEGURIDAD SOCIALYALINER ILVIRA FIGUEROA</t>
  </si>
  <si>
    <t>PLANILLA SEGURIDAD SOCIALYOHN ANDERSON LOPEZ JAIMEZ</t>
  </si>
  <si>
    <t>PLANILLA SEGURIDAD SOCIALYOHN JAIRO BENAVIDES CHAMORRO</t>
  </si>
  <si>
    <t>PLANILLA SEGURIDAD SOCIALANA MILENA BOLAÑOS FIGUEROA</t>
  </si>
  <si>
    <t>PLANILLA SEGURIDAD SOCIALCRISTINA LASSO</t>
  </si>
  <si>
    <t>PLANILLA SEGURIDAD SOCIALHERMANN SOUZA CUBIDES</t>
  </si>
  <si>
    <t>PLANILLA SEGURIDAD SOCIALJEISON JULIAN IPIALES BENAVIDES</t>
  </si>
  <si>
    <t>PLANILLA SEGURIDAD SOCIALJHOANA MARCELA GERMAN REYES</t>
  </si>
  <si>
    <t>PLANILLA SEGURIDAD SOCIALJUAN CARLOS CAÑAR POTOSI</t>
  </si>
  <si>
    <t>PLANILLA SEGURIDAD SOCIALJUAN ESTEBAN IBARRA CAMUEZ</t>
  </si>
  <si>
    <t>PLANILLA SEGURIDAD SOCIALJUAN MANUEL ESPAÑA FORERO</t>
  </si>
  <si>
    <t>PLANILLA SEGURIDAD SOCIALJULIO BELALCAZAR MURILLO</t>
  </si>
  <si>
    <t>PLANILLA SEGURIDAD SOCIALLOREN ALEJANDRA DIAZ YAMPUEZAN</t>
  </si>
  <si>
    <t xml:space="preserve">PLANILLA SEGURIDAD SOCIALMARIA FERNANDA CHAMORRO CARLOSAMA </t>
  </si>
  <si>
    <t>PLANILLA SEGURIDAD SOCIALRUBIELA DEL SOCORRO RAMOS PARRA</t>
  </si>
  <si>
    <t>PLANILLA SEGURIDAD SOCIALVERONICA LILIANA SANTACRUZ MENZA</t>
  </si>
  <si>
    <t>PLANILLA SEGURIDAD SOCIALYULY ANDREA JARAMILLO GUERRERO</t>
  </si>
  <si>
    <t>PLANILLA SEGURIDAD SOCIALCINDY JOHANA CARLOSAMA HERNANDEZ</t>
  </si>
  <si>
    <t>PLANILLA SEGURIDAD SOCIALANA MILENA HENAO GONZALEZ</t>
  </si>
  <si>
    <t>PLANILLA SEGURIDAD SOCIALDANIEL FERNANDO MEDINA GUERRERO</t>
  </si>
  <si>
    <t xml:space="preserve">PLANILLA SEGURIDAD SOCIALJOSE ESTEBAN RODRIGUEZ QUINTERO </t>
  </si>
  <si>
    <t>PLANILLA SEGURIDAD SOCIALKELLY TATIANA ALVAREZ GARCIA</t>
  </si>
  <si>
    <t>PLANILLA SEGURIDAD SOCIALCAROLINA CARDONA PAREJA</t>
  </si>
  <si>
    <t>PLANILLA SEGURIDAD SOCIALJERSON ALEXIS GOMEZ ACOSTA</t>
  </si>
  <si>
    <t>PLANILLA SEGURIDAD SOCIALJOSE RAFAEL RUEDA HERRERA</t>
  </si>
  <si>
    <t xml:space="preserve">PLANILLA SEGURIDAD SOCIALMARTIN ALONSO SOSSA AGUIRRE </t>
  </si>
  <si>
    <t>PLANILLA SEGURIDAD SOCIALANDRES FELIPE DELGADO ZUTTA</t>
  </si>
  <si>
    <t>PLANILLA SEGURIDAD SOCIALDANNA EVELYN ARMERO ROSERO</t>
  </si>
  <si>
    <t>PLANILLA SEGURIDAD SOCIALDANNA STEFANYA LASSO GUERRA</t>
  </si>
  <si>
    <t>PLANILLA SEGURIDAD SOCIALDIANA ALEJANDRA MERA MUÑOZ</t>
  </si>
  <si>
    <t>PLANILLA SEGURIDAD SOCIALHERNAN DARIO CABRERA QUITIAQUEZ</t>
  </si>
  <si>
    <t>PLANILLA SEGURIDAD SOCIALJAVIER SEBASTIÁN LUCENA VILLARREAL</t>
  </si>
  <si>
    <t>PLANILLA SEGURIDAD SOCIALJORGE ANDRES MUÑOZ MARTINEZ</t>
  </si>
  <si>
    <t xml:space="preserve">PLANILLA SEGURIDAD SOCIALJORGE ANDRES QUINTERO PEÑA </t>
  </si>
  <si>
    <t>PLANILLA SEGURIDAD SOCIALJUAN FERNANDO PANIAGUA OSORIO</t>
  </si>
  <si>
    <t>PLANILLA SEGURIDAD SOCIALLEIBNITZ EDUARDO CHANA CALDERON</t>
  </si>
  <si>
    <t>PLANILLA SEGURIDAD SOCIALMIGUEL ALEJANDRO ENRIQUEZ CHAMORRO</t>
  </si>
  <si>
    <t>PLANILLA SEGURIDAD SOCIALIVAN DANIEL MONTILLA CORAL</t>
  </si>
  <si>
    <t>PLANILLA SEGURIDAD SOCIALMOISES RUIZ AYALA</t>
  </si>
  <si>
    <t>PLANILLA SEGURIDAD SOCIALANDRES FERNANDO ESPINOSA GUACALES</t>
  </si>
  <si>
    <t xml:space="preserve">PLANILLA SEGURIDAD SOCIALCARLOS ANDRES CERON PAREDES </t>
  </si>
  <si>
    <t>PLANILLA SEGURIDAD SOCIALCHRISTIAN MAURICIO DELGADO VILLOTA</t>
  </si>
  <si>
    <t>PLANILLA SEGURIDAD SOCIALEDWIN LEONARDO MARTINEZ YAQUENO</t>
  </si>
  <si>
    <t>PLANILLA SEGURIDAD SOCIALJUAN CAMILO GARCIA SOUZA</t>
  </si>
  <si>
    <t>PLANILLA SEGURIDAD SOCIALIVAN DARIO CAICEDO CALVACHE</t>
  </si>
  <si>
    <t>PLANILLA SEGURIDAD SOCIALJASON STEVEN DIAZ GUEVARA </t>
  </si>
  <si>
    <t xml:space="preserve">PLANILLA SEGURIDAD SOCIALJHON ALEXANDER GELPUD ZAMORA </t>
  </si>
  <si>
    <t>PLANILLA SEGURIDAD SOCIALJHORDY STEVEN TRUJILLO GALEANDO</t>
  </si>
  <si>
    <t>PLANILLA SEGURIDAD SOCIALJOHAN LEYDER CHAPAL VILLOTA</t>
  </si>
  <si>
    <t xml:space="preserve">PLANILLA SEGURIDAD SOCIALJOHAN SEBASTIAN OVIEDO NIÑAN </t>
  </si>
  <si>
    <t>PLANILLA SEGURIDAD SOCIALJORGE ANDRES BARRERA YANDAR</t>
  </si>
  <si>
    <t>PLANILLA SEGURIDAD SOCIALJOSE ALVEIRO CUSIS HERNANDEZ</t>
  </si>
  <si>
    <t>PLANILLA SEGURIDAD SOCIALJOY JAMIT MOSQUERA ORDOÑEZ</t>
  </si>
  <si>
    <t>PLANILLA SEGURIDAD SOCIALMARIO ALEXANDER CUSIS HERNANDEZ</t>
  </si>
  <si>
    <t>PLANILLA SEGURIDAD SOCIALOSCAR ANDRES CASTRO BOTINA</t>
  </si>
  <si>
    <t xml:space="preserve">PLANILLA SEGURIDAD SOCIALRUBEN DARIO ESPINOSA PARRA </t>
  </si>
  <si>
    <t xml:space="preserve">PLANILLA SEGURIDAD SOCIALRUBEN ESTEBAN ESPINOSA GUACALES </t>
  </si>
  <si>
    <t>PLANILLA SEGURIDAD SOCIALSANDRA CAROLINA PATASCOY BOTINA</t>
  </si>
  <si>
    <t xml:space="preserve">PLANILLA SEGURIDAD SOCIALVICTOR ALEXANDER RUIZ </t>
  </si>
  <si>
    <t>PLANILLA SEGURIDAD SOCIALWIILLIAM ALBERTO AZA CRIOLLO</t>
  </si>
  <si>
    <t xml:space="preserve">Asesoria Mariana saldarriaga </t>
  </si>
  <si>
    <t>Recepcion pago vivarium</t>
  </si>
  <si>
    <t>Recepcion pago enertotal</t>
  </si>
  <si>
    <t>Recepcion pago congelados de nariño</t>
  </si>
  <si>
    <t xml:space="preserve">devolucion retenciones peroveedor </t>
  </si>
  <si>
    <t>Recepcion pago novacentro</t>
  </si>
  <si>
    <t>Recepcion pago hotel cuellar</t>
  </si>
  <si>
    <t xml:space="preserve">Recepcion anticipo contrato federico rojas </t>
  </si>
  <si>
    <t>Federico Rojas</t>
  </si>
  <si>
    <t>Recepcion anticipo anticipo delta</t>
  </si>
  <si>
    <t>anticipo granjas</t>
  </si>
  <si>
    <t>Pago fra casa del topografo cot 00000905</t>
  </si>
  <si>
    <t>polaris2</t>
  </si>
  <si>
    <t>Delta2</t>
  </si>
  <si>
    <t>Pago fra malliesa arriendo</t>
  </si>
  <si>
    <t>Pago cuenta de cobro andres lopez para publicidad</t>
  </si>
  <si>
    <t>Pago fra protecto elmentos de sst</t>
  </si>
  <si>
    <t>retefte pago fra protecto elementos sst</t>
  </si>
  <si>
    <t>reteica pago fra protecto elementos sst</t>
  </si>
  <si>
    <t>pago diseño rede a luis patiño</t>
  </si>
  <si>
    <t xml:space="preserve">Pago arrendamiento computadores milenio </t>
  </si>
  <si>
    <t>Pago asesoria SEBASTIAN MENESES</t>
  </si>
  <si>
    <t xml:space="preserve">pago fra cedito melba ligia </t>
  </si>
  <si>
    <t xml:space="preserve">Pago mano de obra Juan Camacho </t>
  </si>
  <si>
    <t>Pago servicio publicidad JESUS BENAVIDES</t>
  </si>
  <si>
    <t xml:space="preserve">Pago fra a ips bienestra laboral noviembre </t>
  </si>
  <si>
    <t>Pago de servicios publicos admon</t>
  </si>
  <si>
    <t xml:space="preserve">Peajes visita juanfer a pasto noviembre </t>
  </si>
  <si>
    <t>Reintegro compra vuelo juanfer visita noviembre</t>
  </si>
  <si>
    <t>Pago fra defa pequeño material</t>
  </si>
  <si>
    <t>Pago C022 1589 Emsi</t>
  </si>
  <si>
    <t xml:space="preserve">Inversion polaris </t>
  </si>
  <si>
    <t>Anticipo granja NAOS</t>
  </si>
  <si>
    <t>Anticipo Granja Polaris</t>
  </si>
  <si>
    <t xml:space="preserve">Recepcion pago hotel V1501 </t>
  </si>
  <si>
    <t>Recepcion pago consultroios v1501</t>
  </si>
  <si>
    <t>Pago recibido de enerplenitud</t>
  </si>
  <si>
    <t>Pago recibido de enerplenitud dev retenciones</t>
  </si>
  <si>
    <t xml:space="preserve">Pago recibido de enerplenitud </t>
  </si>
  <si>
    <t>Pago licencia microsooft</t>
  </si>
  <si>
    <t>Pago licencia intel olding</t>
  </si>
  <si>
    <t xml:space="preserve">pago a pro linkend </t>
  </si>
  <si>
    <t>compra en intel hubpost</t>
  </si>
  <si>
    <t>Pago en camara de comercio medellin</t>
  </si>
  <si>
    <t>pago parqueadero juan manuel</t>
  </si>
  <si>
    <t xml:space="preserve">pago licencia adobe </t>
  </si>
  <si>
    <t>Pago dispropan noviembre</t>
  </si>
  <si>
    <t>pago Edificio solsticio noviembre</t>
  </si>
  <si>
    <t>pago EDIFICIO LA ARBOLEDA PROPIEDAD HORIZONTAL</t>
  </si>
  <si>
    <t>Pago upme polaris</t>
  </si>
  <si>
    <t>Pago certificado de libertad y tradicion estructuracion</t>
  </si>
  <si>
    <t>Pago tiquete al cesar marcela</t>
  </si>
  <si>
    <t>Pago tiquete al cesar JEAN CARLOS</t>
  </si>
  <si>
    <t xml:space="preserve">Pago tiquete al cesar Juanfer </t>
  </si>
  <si>
    <t>Pago tiquete ana enao medellin-pereira</t>
  </si>
  <si>
    <t>5 Almuerzos (Martin, Jersson, Jose, Juan David, Sebastian)</t>
  </si>
  <si>
    <t>Juan sebastian Gomez</t>
  </si>
  <si>
    <t xml:space="preserve">Tanqueo de Gasolina Martin sossa </t>
  </si>
  <si>
    <t>Productos de higiene</t>
  </si>
  <si>
    <t>5 Cenas (Martin, Jersson, Jose, Juan David, Sebastian)</t>
  </si>
  <si>
    <t>5 Desayunos (Martin, Jersson, Jose, Juan David, Sebastian)</t>
  </si>
  <si>
    <t>Tanqueo Gasolina Juan David Lopez</t>
  </si>
  <si>
    <t>Tanqueo Gasolina Jerson Gomez</t>
  </si>
  <si>
    <t>Bulto de cal</t>
  </si>
  <si>
    <t>20 metros Manguera Nivel</t>
  </si>
  <si>
    <t>Alimentacion Cenas del 17 y 18</t>
  </si>
  <si>
    <t>Roscas para tubo IMC, varios diámetros</t>
  </si>
  <si>
    <t>Roscas para tubo IMC 11/2"</t>
  </si>
  <si>
    <t>Pago factura a crédito PF72258</t>
  </si>
  <si>
    <t>Matafilo</t>
  </si>
  <si>
    <t>Pistola de silicona, barras de silicona, pegante PVC, acetato careta de esmerilar, sika flex construction</t>
  </si>
  <si>
    <t>Uniones IMC, terminales EMT, conduletas LR</t>
  </si>
  <si>
    <t>8m termoencogible #40</t>
  </si>
  <si>
    <t>Arena y triturado</t>
  </si>
  <si>
    <t>Abrazadera para riel, unión EMT, terminal EMT, prensaestopa, curva IMC</t>
  </si>
  <si>
    <t>Abrazadera para riel, unión EMT, terminal EMT, prensaestopa, curva EMT</t>
  </si>
  <si>
    <t>Conduletas LL</t>
  </si>
  <si>
    <t>Pago de facturas a crédito FV-13-270891 y FV-20-270922</t>
  </si>
  <si>
    <t>Novacentro</t>
  </si>
  <si>
    <t>Envío saltarín, trayecto: Pasto - Remolino</t>
  </si>
  <si>
    <t>Envío material, trayecto: Pasto - Remolino</t>
  </si>
  <si>
    <t>Terminales estañados 1/0</t>
  </si>
  <si>
    <t>Envio motori mezcladora, trayecto remolino-pasto</t>
  </si>
  <si>
    <t>Pago anchetas para personal de medellin</t>
  </si>
  <si>
    <t xml:space="preserve">Pago sebastian gaviria hotel medellin herman </t>
  </si>
  <si>
    <t> </t>
  </si>
  <si>
    <t>PAGO FRA VIGILANCIA OFICINA MES DE NOVIEMBRE</t>
  </si>
  <si>
    <t>PAGO FRA VIGILANCIA NAOS OCTUBRE</t>
  </si>
  <si>
    <t>PAGO FRA VIGILANCIA NAOS NOVIEMBRE</t>
  </si>
  <si>
    <t>PAGO FRA VIGILANCIA DELTA OCTUBRE</t>
  </si>
  <si>
    <t>PAGO FRA VIGILANCIA DELTA NOVIEMBRE</t>
  </si>
  <si>
    <t>PAGO FRA VIGILANCIA DELTA DICIEMBRE</t>
  </si>
  <si>
    <t>Pago fra tables set electricos naos 2</t>
  </si>
  <si>
    <t>Pago liquidcion Yeison ventas</t>
  </si>
  <si>
    <t>Pago libretas Juan camilo</t>
  </si>
  <si>
    <t>pago fra dotacion LEIDY DUFRANY
LOPEZ ROSERO</t>
  </si>
  <si>
    <t>Pago a gilberto lopez</t>
  </si>
  <si>
    <t>pago fra electricos del valle</t>
  </si>
  <si>
    <t>Legalizacion</t>
  </si>
  <si>
    <t>Transporte Pereira-Cartago</t>
  </si>
  <si>
    <t>Transporte Cartago-Pereira</t>
  </si>
  <si>
    <t xml:space="preserve">Transporte Pereira- Supía </t>
  </si>
  <si>
    <t>Sin facturas
Transporte Uber Casa- Exposiciones Medellín: 9.800
Transporte Exposiciones- Aeropuerto Medellín: 23.000
Transporte Aeropuerto Pereira - Terminal: 20.000
Transporte Cartago-Ansermanuevo: 5.000
Transporte Ansermanuevo-Cartago: 5.000</t>
  </si>
  <si>
    <t>pago recibido de PLATINUM INVESTMENTS S.A.S.</t>
  </si>
  <si>
    <t>pago factura proyecto</t>
  </si>
  <si>
    <t>platinum</t>
  </si>
  <si>
    <t xml:space="preserve">pago factura hito noviembre y diciembre </t>
  </si>
  <si>
    <t>Paqo anticipo proyecto apto las cuadras</t>
  </si>
  <si>
    <t>Apartamento los cuadras</t>
  </si>
  <si>
    <t>Pago la cali fac diciembre</t>
  </si>
  <si>
    <t xml:space="preserve">gen </t>
  </si>
  <si>
    <t>pago recibido de balcones de pubenza</t>
  </si>
  <si>
    <t>pago anticipo hotel liliana alpala</t>
  </si>
  <si>
    <t>Lliana alpala</t>
  </si>
  <si>
    <t>Borna 2/0</t>
  </si>
  <si>
    <t>Pizza Dominos</t>
  </si>
  <si>
    <t>Gaseosa</t>
  </si>
  <si>
    <t>Pago servicio de agua pormonte Naos3</t>
  </si>
  <si>
    <t>Pago servicio de agua pormonte Naos2</t>
  </si>
  <si>
    <t>Pago flete compra en electro edgar para unicentro</t>
  </si>
  <si>
    <t>Pago flete compra en electro edgar para cargador libardo</t>
  </si>
  <si>
    <t>Pago a camara de comercio matricula mercantil</t>
  </si>
  <si>
    <t xml:space="preserve">Pago a departamento de nariño constitucion de sociedad </t>
  </si>
  <si>
    <t>Compra combustible marcela tramites fin de año fra 119409</t>
  </si>
  <si>
    <t>Compra combustible marcela tramites fin de año fra 119643</t>
  </si>
  <si>
    <t>compra alimentacion marcela fiesta fin de año fra1331</t>
  </si>
  <si>
    <t>Compra combustible marcela tramites finb de año fra 2893</t>
  </si>
  <si>
    <t>pago flete ennvio regalos a comercial cali</t>
  </si>
  <si>
    <t>Pgo hotel en remolino fiesta fin de año</t>
  </si>
  <si>
    <t>jeancarlos</t>
  </si>
  <si>
    <t>3 almuerzos (juan fernando,estefanya) aeropuerto cali</t>
  </si>
  <si>
    <t>Stefanya</t>
  </si>
  <si>
    <t>transporte 2 personas (aeropuerto-terminal cali)</t>
  </si>
  <si>
    <t>Tranporte (Cali-Tulua)</t>
  </si>
  <si>
    <t>Taxi (terminal Tulua-hotel)</t>
  </si>
  <si>
    <t>2 Desayunos (juan fernando,estefanya)</t>
  </si>
  <si>
    <t>Transporte (Tulua-La marina)</t>
  </si>
  <si>
    <t>8 almuerzos restaurante Bar blanco y negro cm</t>
  </si>
  <si>
    <t>Transporte (La marina-Tulua)</t>
  </si>
  <si>
    <t>Compra de herramienta y material para proyecto</t>
  </si>
  <si>
    <t>Taxi (Hotel-Casa molecula)</t>
  </si>
  <si>
    <t>Taxi (Casa molecula-restaurante)</t>
  </si>
  <si>
    <t xml:space="preserve">Cena 2 personas </t>
  </si>
  <si>
    <t>Taxi (Restaurante-Hotel)</t>
  </si>
  <si>
    <t>2 Habitaciones de hotel</t>
  </si>
  <si>
    <t>4 Almuerzos (Juan,Estefanya,Sebastian,Juan David)</t>
  </si>
  <si>
    <t>Transporte Tulua-La marina</t>
  </si>
  <si>
    <t>Transporte La Marina-Tulua</t>
  </si>
  <si>
    <t>Transporte (Tulua-Andalucia)</t>
  </si>
  <si>
    <t>3 Desayunos (Juan Fernando, Stefanya, Sebastian)</t>
  </si>
  <si>
    <t>Trnsporte (Andalucia-Tulua)</t>
  </si>
  <si>
    <t>Transporte (La Marina-Tulua)</t>
  </si>
  <si>
    <t>Cena 4 personas (Sebastian, Juan David, Sefanya, Jose)</t>
  </si>
  <si>
    <t>Pago Habitacion Hotel</t>
  </si>
  <si>
    <t>Taxi (Hotel-Terminal)</t>
  </si>
  <si>
    <t>Expreso Tulua-Aeropuerto</t>
  </si>
  <si>
    <t>Transporte Colectivo Aeropuerto chachagui-pasto</t>
  </si>
  <si>
    <t>PAGO LICENCIA PROGRAMA CANVA</t>
  </si>
  <si>
    <t>QUINCENAJUAN SEBASTIAN GOMEZ LEAL</t>
  </si>
  <si>
    <t>QUINCENARAUL BARBENLEY CASTRO RIVERA</t>
  </si>
  <si>
    <t xml:space="preserve">Recepcion pago supermercados el tigre de la rebaja </t>
  </si>
  <si>
    <t xml:space="preserve">Recepcion pago casa francisco dispropan </t>
  </si>
  <si>
    <t>Recepcion anticipo 20% productos la villa</t>
  </si>
  <si>
    <t>Productos la villa</t>
  </si>
  <si>
    <t>Pago planilla Juan Jose Narvaez practicante</t>
  </si>
  <si>
    <t xml:space="preserve">pago fra construenergy </t>
  </si>
  <si>
    <t xml:space="preserve">Hospedaje Cali juan fernando </t>
  </si>
  <si>
    <t xml:space="preserve">Anticipo minigranjas polaris </t>
  </si>
  <si>
    <t>Pago fra de prevent salud examanes de ingreso</t>
  </si>
  <si>
    <t xml:space="preserve">Pago cta de cobro Alia Hosni Viteri entrevistas </t>
  </si>
  <si>
    <t xml:space="preserve">Pago a fundacion ecosocial  Propuesta comercial de los servicios profesionales de los Informes técnicos de
evaluación de aptitud del suelo, Plan de aprovechamiento forestal, Plan de compensación
ambiental, al predio rural Villa Mary, predio rural Buena Vista lote No. 6, ubicados en
Municipio de San diego – Cesar.    </t>
  </si>
  <si>
    <t xml:space="preserve">Pago intereses Natalia Segura Rojas </t>
  </si>
  <si>
    <t>Intereses</t>
  </si>
  <si>
    <t>Pago intereses Juan Pablo Sumarraga</t>
  </si>
  <si>
    <t>Pago maletas avianca viaje julio pasto cali</t>
  </si>
  <si>
    <t>cristina</t>
  </si>
  <si>
    <t>Pago tiquetes viaje juan fer medellin-cali</t>
  </si>
  <si>
    <t>Pago tiquetes viaje juan fer cali-medellin</t>
  </si>
  <si>
    <t xml:space="preserve">pago tiquetes viaje pasto calidanna </t>
  </si>
  <si>
    <t xml:space="preserve">pago tiquetes viaje pasto cali danna </t>
  </si>
  <si>
    <t>pago tiquete viaje juan fer medellin -cali</t>
  </si>
  <si>
    <t xml:space="preserve">pago intereses tarjeta crsitina </t>
  </si>
  <si>
    <t>confitería ejercicio integración equipo Medellin</t>
  </si>
  <si>
    <t>juan fernanado</t>
  </si>
  <si>
    <t>Billetes didácticos integración equipo medellín</t>
  </si>
  <si>
    <t>papelería integración equipo Medellín</t>
  </si>
  <si>
    <t>cemento y varilla para instalación de estructura de paneles</t>
  </si>
  <si>
    <t>Ahoyadora a gasolina</t>
  </si>
  <si>
    <t>Pago registro en departamento de nariño</t>
  </si>
  <si>
    <t>Pago cuenta de cobro a ALEXANDER AGUDELO VELÁSQUEZ</t>
  </si>
  <si>
    <t xml:space="preserve">Pago poliza todo riesgo minigranja polaris </t>
  </si>
  <si>
    <t xml:space="preserve">Pago poliza todo riesgo agropecuaria san rafael </t>
  </si>
  <si>
    <t>Pago a JOSEFINA JUDITH ARZUAGA RIVADENEIRA co tierras prestamo nebula</t>
  </si>
  <si>
    <t xml:space="preserve">Nebula </t>
  </si>
  <si>
    <t>Pago poliza todo riesgo proyecto casa fransisco</t>
  </si>
  <si>
    <t>Pago poliza todo riesgo proyecto san rafael</t>
  </si>
  <si>
    <t>Pago asesoria JORGE HERNÁN ATEHORTUA RAMIREZ</t>
  </si>
  <si>
    <t>PAGO A JUAN SEBASTIAN BARRERA DOMINGUEZ</t>
  </si>
  <si>
    <t xml:space="preserve">Pago alquiler equipo para delta a surtiequipos </t>
  </si>
  <si>
    <t>Pago a JAIRO LOPEZ (electricos boyaca)</t>
  </si>
  <si>
    <t>Pao alimentacion personal marcos ojeda diciembre</t>
  </si>
  <si>
    <t>pago cotización servicios profesionales, Inventario forestal y trámite de aprovechamiento.</t>
  </si>
  <si>
    <t>Pago cuenta de cobro  DISEÑO DE DOCUMENTOS Y ARREGLOS PAGINA WEB</t>
  </si>
  <si>
    <t>pago a electricos del valle proyecto unicentro</t>
  </si>
  <si>
    <t>pago a electricos del valle proyecto Naos2</t>
  </si>
  <si>
    <t>pago a electricos del valle proyecto Delta</t>
  </si>
  <si>
    <t>pago a electricos del valle proyecto Jugos naturales</t>
  </si>
  <si>
    <t xml:space="preserve">Pago a Maria Cristina Gonzales Villota compra de 20 anchetas para clientes </t>
  </si>
  <si>
    <t>Pago montacarga fra 867 desscargue paneles unicentro</t>
  </si>
  <si>
    <t>Pago montacarga fra 868 desscargue paneles naos2</t>
  </si>
  <si>
    <t>Pago montacarga fra 868 desscargue paneles polaris</t>
  </si>
  <si>
    <t>Pago montacarga fra 868 desscargue paneles naos1</t>
  </si>
  <si>
    <t>Pago montacarga fra 869 desscargue paneles delta1</t>
  </si>
  <si>
    <t>Pago montacarga fra 869 desscargue paneles delta2</t>
  </si>
  <si>
    <t xml:space="preserve">Ingreso dev retenciones casa del topografo </t>
  </si>
  <si>
    <t>pago fra diciembre corporacion club colombia</t>
  </si>
  <si>
    <t xml:space="preserve">Compra papel vinilo para puera oficina </t>
  </si>
  <si>
    <t>Compra espatulas para colocar papel puerta oficina</t>
  </si>
  <si>
    <t>Transporte para compra papel y materiales para colocr papel en puerta oficina</t>
  </si>
  <si>
    <t>Transporte Andres oficina-el troje</t>
  </si>
  <si>
    <t>Transporte Andres el troje-oficina</t>
  </si>
  <si>
    <t>Pago arrendamiento a wework</t>
  </si>
  <si>
    <t>Tranferencia a juan fernando para viaticos viaje a valledupar</t>
  </si>
  <si>
    <t>Pago vacaciones veronica santacruz</t>
  </si>
  <si>
    <t>Pago honorarios Alba Mariela Revelo</t>
  </si>
  <si>
    <t>pago solaire - NAOS 3 estructura</t>
  </si>
  <si>
    <t>Working</t>
  </si>
  <si>
    <t>NAOS 3</t>
  </si>
  <si>
    <t>Pago solaire - Incubadora Remolino - Solis</t>
  </si>
  <si>
    <t>Pago solaire - Incubadora Remolino - CTS Solis</t>
  </si>
  <si>
    <t>Pago solaire - Incubadora del sur - cable</t>
  </si>
  <si>
    <t>Pago solaire - Incubadora Remolino - Ingal</t>
  </si>
  <si>
    <t>Pago solaire Troje - smart power</t>
  </si>
  <si>
    <t>Pago solaire Variedades Carvajal - estructura</t>
  </si>
  <si>
    <t>Pago solaire Variedades Carvajal - cable</t>
  </si>
  <si>
    <t>Pago Solaire Variedades Carvajal - cable</t>
  </si>
  <si>
    <t>Pago solaire - Paneles NAOS 3</t>
  </si>
  <si>
    <t>Paneles</t>
  </si>
  <si>
    <t>Pago solaire - Inversor</t>
  </si>
  <si>
    <t xml:space="preserve">Devolucion IVA - Saldo a favor </t>
  </si>
  <si>
    <t xml:space="preserve">Devolucion Saldo a favor </t>
  </si>
  <si>
    <t>Presupuestos Administrativos sin Salarios</t>
  </si>
  <si>
    <t>ERP</t>
  </si>
  <si>
    <t xml:space="preserve">Gastos legales </t>
  </si>
  <si>
    <t xml:space="preserve">viaticos Talento Humano </t>
  </si>
  <si>
    <t>cierre de año</t>
  </si>
  <si>
    <t xml:space="preserve">viaticos comercial </t>
  </si>
  <si>
    <t xml:space="preserve">viaticos Juan Manuel </t>
  </si>
  <si>
    <t>Presupuesto</t>
  </si>
  <si>
    <t>Ejecutado Administrativos</t>
  </si>
  <si>
    <t>Licencia de Construcción</t>
  </si>
  <si>
    <t>Dif</t>
  </si>
  <si>
    <t>TIPO</t>
  </si>
  <si>
    <t>Costos</t>
  </si>
  <si>
    <t>Ingreso por venta de energia</t>
  </si>
  <si>
    <t>Costos por venta de energía</t>
  </si>
  <si>
    <t>Intereses GD</t>
  </si>
  <si>
    <t>Ingresos OPEX granjas</t>
  </si>
  <si>
    <t>Utilidad Bruta</t>
  </si>
  <si>
    <t>Gastos administrativos, intereses, ventas Autogeneración PPAS</t>
  </si>
  <si>
    <t>Gastos adminitrativos financiero</t>
  </si>
  <si>
    <t>Gastos intereses</t>
  </si>
  <si>
    <t>Gasto de ventas</t>
  </si>
  <si>
    <t>Utilidad Operacional con beneficio depreciación</t>
  </si>
  <si>
    <t>Impuestos de Renta</t>
  </si>
  <si>
    <t>Impuesto ICA</t>
  </si>
  <si>
    <t xml:space="preserve">Beneficio de Renta </t>
  </si>
  <si>
    <t>NOPLAT</t>
  </si>
  <si>
    <t>Depreciación beneficios tributarios + amort</t>
  </si>
  <si>
    <t>Flujo de Caja operacional</t>
  </si>
  <si>
    <t>Δ CAPEX Credito NAOS</t>
  </si>
  <si>
    <t>Δ Inversión DELTA</t>
  </si>
  <si>
    <t>Δ Inversión POLARIS</t>
  </si>
  <si>
    <t>Capex</t>
  </si>
  <si>
    <t>Δ CAPEX PPAS</t>
  </si>
  <si>
    <t>mano de obra</t>
  </si>
  <si>
    <t>ingenieria</t>
  </si>
  <si>
    <t>Δ CAPEX SALARIO OPERATIVO</t>
  </si>
  <si>
    <t>Δ INVERSIÓN MINI GRANJAS</t>
  </si>
  <si>
    <t>Δ SALARIO OPERATIVO</t>
  </si>
  <si>
    <t>Δ INVENTARIO</t>
  </si>
  <si>
    <t>Δ ANTICIPOS GRANJAS</t>
  </si>
  <si>
    <t>Δ ANTICIPOS PROYECTOS</t>
  </si>
  <si>
    <t>Δ IMPUESTOS RETENCIONES</t>
  </si>
  <si>
    <t>Flujo de Caja Libre</t>
  </si>
  <si>
    <t>Δ Deuda</t>
  </si>
  <si>
    <t>Flujo de Caja del accionista</t>
  </si>
  <si>
    <t>Δ Capital y superhavit de capital</t>
  </si>
  <si>
    <t>Δ Capital y superhavit de capital de ENERGAS</t>
  </si>
  <si>
    <t xml:space="preserve"> - Dividendos</t>
  </si>
  <si>
    <t>Flujo de Caja neto</t>
  </si>
  <si>
    <t>Caja Inicial</t>
  </si>
  <si>
    <t>Caja Final</t>
  </si>
  <si>
    <t>Comisión</t>
  </si>
  <si>
    <t>Comision</t>
  </si>
  <si>
    <t>Iva Comisión</t>
  </si>
  <si>
    <t>GMF</t>
  </si>
  <si>
    <t>Cuota de manejo</t>
  </si>
  <si>
    <t>rendimiento financiero</t>
  </si>
  <si>
    <t>mes</t>
  </si>
  <si>
    <t>Iva comisión</t>
  </si>
  <si>
    <t>impuestos</t>
  </si>
  <si>
    <t>descuadre</t>
  </si>
  <si>
    <t>comision</t>
  </si>
  <si>
    <t>DAVIVIENDA</t>
  </si>
  <si>
    <t xml:space="preserve">ajuste de compras </t>
  </si>
  <si>
    <t>Retencion Rendimientos</t>
  </si>
  <si>
    <t>correccion impuesto</t>
  </si>
  <si>
    <t>cuota de manejo</t>
  </si>
  <si>
    <t>bbva</t>
  </si>
  <si>
    <t>abono gmf</t>
  </si>
  <si>
    <t>Mes</t>
  </si>
  <si>
    <t>Tipo</t>
  </si>
  <si>
    <t>generacion distribuida</t>
  </si>
  <si>
    <t>Generacion distribuida</t>
  </si>
  <si>
    <t xml:space="preserve">Cinar sistemas </t>
  </si>
  <si>
    <t xml:space="preserve">Multicarnes la lujosa </t>
  </si>
  <si>
    <t>paneles</t>
  </si>
  <si>
    <t>Vidrios Centro</t>
  </si>
  <si>
    <t>Vidrios Centenario</t>
  </si>
  <si>
    <t>Flete de equipos</t>
  </si>
  <si>
    <t>inversores</t>
  </si>
  <si>
    <t>casa Humberto</t>
  </si>
  <si>
    <t>Balcones de Pubenza</t>
  </si>
  <si>
    <t>CARNES LA LUJOSA</t>
  </si>
  <si>
    <t>Tableros de distribucion</t>
  </si>
  <si>
    <t>HITO</t>
  </si>
  <si>
    <t xml:space="preserve">Naos 2 </t>
  </si>
  <si>
    <t>Naos 3</t>
  </si>
  <si>
    <t>pago servicio de grua transporte retencion 1%</t>
  </si>
  <si>
    <t>lacteos andino</t>
  </si>
  <si>
    <t>CASA HUMBERTO</t>
  </si>
  <si>
    <t>vivarium</t>
  </si>
  <si>
    <t>SAN RAFAEL</t>
  </si>
  <si>
    <t>bellatriz</t>
  </si>
  <si>
    <t>NOVACENTRO</t>
  </si>
  <si>
    <t>Transporte Persona</t>
  </si>
  <si>
    <t>BATERICARS</t>
  </si>
  <si>
    <t>la merced</t>
  </si>
  <si>
    <t>dispropan</t>
  </si>
  <si>
    <t>batericars</t>
  </si>
  <si>
    <t>merced</t>
  </si>
  <si>
    <t>caffeto</t>
  </si>
  <si>
    <t>pabon</t>
  </si>
  <si>
    <t>naos 2</t>
  </si>
  <si>
    <t>san rafael</t>
  </si>
  <si>
    <t>RETENCION</t>
  </si>
  <si>
    <t>CARVAJAL</t>
  </si>
  <si>
    <t xml:space="preserve">incubadora del sur </t>
  </si>
  <si>
    <t>estrunar</t>
  </si>
  <si>
    <t xml:space="preserve">pequeño material </t>
  </si>
  <si>
    <t xml:space="preserve">UNICENTRO </t>
  </si>
  <si>
    <t xml:space="preserve">transporte personal </t>
  </si>
  <si>
    <t>incubadora del sur</t>
  </si>
  <si>
    <t>transporte persona</t>
  </si>
  <si>
    <t>el troje</t>
  </si>
  <si>
    <t xml:space="preserve">retencion 1% jesus enriquez transporte herman </t>
  </si>
  <si>
    <t>inprevistos</t>
  </si>
  <si>
    <t>Cargador Libardo</t>
  </si>
  <si>
    <t>25 de octubre 2024%</t>
  </si>
  <si>
    <t>8 de noviembre 2024</t>
  </si>
  <si>
    <t>15 de noviembre 2024</t>
  </si>
  <si>
    <t>22 de noviembre 2024</t>
  </si>
  <si>
    <t>30 de noviembre 2024</t>
  </si>
  <si>
    <t>Δ Anticipo granjas</t>
  </si>
  <si>
    <t>COLABORADORES</t>
  </si>
  <si>
    <t>CARGO</t>
  </si>
  <si>
    <t>Area</t>
  </si>
  <si>
    <t>Cesantias</t>
  </si>
  <si>
    <t>Prima</t>
  </si>
  <si>
    <t>Salud</t>
  </si>
  <si>
    <t>Pension trabajador</t>
  </si>
  <si>
    <t>Pension</t>
  </si>
  <si>
    <t>ARL</t>
  </si>
  <si>
    <t>Caja</t>
  </si>
  <si>
    <t>DIRECTOR EJECUTIVO</t>
  </si>
  <si>
    <t>DIRECTOR DE NEGOCIO</t>
  </si>
  <si>
    <t>HERMANN DAVID SOUZA CUBIDES</t>
  </si>
  <si>
    <t>DIRECTOR DE CRECIMIENTO</t>
  </si>
  <si>
    <t>CONTADORA PUBLICA</t>
  </si>
  <si>
    <t>ANALISTA DE CULTURA</t>
  </si>
  <si>
    <t>AUXILIAR CONTABLE</t>
  </si>
  <si>
    <t>Nueva Contratación</t>
  </si>
  <si>
    <t>Revisor Fiscal</t>
  </si>
  <si>
    <t>GERENTE DE PROYECTOS</t>
  </si>
  <si>
    <t>Ingenieria</t>
  </si>
  <si>
    <t>INGENIERO DE PROYECTOS CIVIL</t>
  </si>
  <si>
    <t>INGENIERO DE PROYECTOS</t>
  </si>
  <si>
    <t>INGENIERO RESIDENTE</t>
  </si>
  <si>
    <t>ANALISTA DE ESTRATEGIA</t>
  </si>
  <si>
    <t>INGENIERO JUNIOR</t>
  </si>
  <si>
    <t>COORDINADOR DE ALTURAS</t>
  </si>
  <si>
    <t xml:space="preserve">JOSE ALVEIRO CUSIS HERNANDEZ </t>
  </si>
  <si>
    <t xml:space="preserve">AUXILIAR LOGISTICO </t>
  </si>
  <si>
    <t>INSTALADOR ENERGIA RENOVABLE</t>
  </si>
  <si>
    <t>JASON STEVEN DIAZ GUEVARA</t>
  </si>
  <si>
    <t xml:space="preserve">OSCAR ANDRES CASTRO BOTINA </t>
  </si>
  <si>
    <t>STEVEN ALEXANDER VALLEJOS PANTOJA</t>
  </si>
  <si>
    <t>OLIVER GUTIERRES MARTINEZ</t>
  </si>
  <si>
    <t>MAURICIO GUTIERRES MARTINEZ</t>
  </si>
  <si>
    <t>KEVIN ALEXANDER ORTIZ VALDEZ</t>
  </si>
  <si>
    <t>JOSE YEFERSON ORDOÑEZ ANCHICHA</t>
  </si>
  <si>
    <t>YEISON ADRIAN FERNANDEZ MARTINEZ</t>
  </si>
  <si>
    <t>VERONICA SANCHEZ</t>
  </si>
  <si>
    <t>DIRECTORA COMERCIAL</t>
  </si>
  <si>
    <t>JASON IPIALES</t>
  </si>
  <si>
    <t>INGENIERO COMERCIAL</t>
  </si>
  <si>
    <t>PRACTICANTE DISEÑO</t>
  </si>
  <si>
    <t>Seguridad Social</t>
  </si>
  <si>
    <t xml:space="preserve">Intereses </t>
  </si>
  <si>
    <t>Total Fijo admon</t>
  </si>
  <si>
    <t>Total fijo Ventas</t>
  </si>
  <si>
    <t>Total Admon</t>
  </si>
  <si>
    <t>Total Proyectos</t>
  </si>
  <si>
    <t>TOTAL</t>
  </si>
  <si>
    <t xml:space="preserve">Total </t>
  </si>
  <si>
    <t>EPC</t>
  </si>
  <si>
    <t>Flujo Neto</t>
  </si>
  <si>
    <t>PPA</t>
  </si>
  <si>
    <t>MG</t>
  </si>
  <si>
    <t>UNICENTRO</t>
  </si>
  <si>
    <t>Ingresos</t>
  </si>
  <si>
    <t>Salidas</t>
  </si>
  <si>
    <t>Jugos Naturales</t>
  </si>
  <si>
    <t>Agropecuaria San</t>
  </si>
  <si>
    <t>Clinica Morasurco</t>
  </si>
  <si>
    <t>Hospital Infantil</t>
  </si>
  <si>
    <t>Casa francisco Gutierrez</t>
  </si>
  <si>
    <t>Casa Guillermo</t>
  </si>
  <si>
    <t>Estacion de Servicio Andalucia</t>
  </si>
  <si>
    <t>Apartamentos Tatiana Jimenez</t>
  </si>
  <si>
    <t>Panificadora la Villa</t>
  </si>
  <si>
    <t>Lacteos tulua</t>
  </si>
  <si>
    <t>CAFETTO</t>
  </si>
  <si>
    <t>Variedades carvajal</t>
  </si>
  <si>
    <t>Bas ingenieria SA</t>
  </si>
  <si>
    <t xml:space="preserve">EMILIO </t>
  </si>
  <si>
    <t>Maria Fernanda Segura</t>
  </si>
  <si>
    <t>CEMENTOS CAUCA</t>
  </si>
  <si>
    <t>SURTISUR</t>
  </si>
  <si>
    <t>SANTA CLARA CASA</t>
  </si>
  <si>
    <t>SANTA CLARA NEGOCIO</t>
  </si>
  <si>
    <t>VALLE DE ATRIZ</t>
  </si>
  <si>
    <t>ALIANZA MÉDICA SIGLO XXI</t>
  </si>
  <si>
    <t>IPK</t>
  </si>
  <si>
    <t>TURIN</t>
  </si>
  <si>
    <t>SOTAVENTO</t>
  </si>
  <si>
    <t>REFUGIO VALLE DE ATRIZ</t>
  </si>
  <si>
    <t>TROJE</t>
  </si>
  <si>
    <t>Suraguas</t>
  </si>
  <si>
    <t xml:space="preserve">Incubadora </t>
  </si>
  <si>
    <t>Conjunto residencial La Estación</t>
  </si>
  <si>
    <t>POLARIS 1</t>
  </si>
  <si>
    <t>LYRA</t>
  </si>
  <si>
    <t>ORBIS</t>
  </si>
  <si>
    <t>POLARIS 3</t>
  </si>
  <si>
    <t>VEGA</t>
  </si>
  <si>
    <t>EVOLTI GENERACIÓN</t>
  </si>
  <si>
    <t>BELLATRIS / POLARIS 2</t>
  </si>
  <si>
    <t>Inversión</t>
  </si>
  <si>
    <t>POLARIS</t>
  </si>
  <si>
    <t>BVC</t>
  </si>
  <si>
    <t>JP y NAT</t>
  </si>
  <si>
    <t>A2senso 2</t>
  </si>
  <si>
    <t>Amortización</t>
  </si>
  <si>
    <t>Saldos a Diciembre</t>
  </si>
  <si>
    <t xml:space="preserve">Saldos </t>
  </si>
  <si>
    <t>OR</t>
  </si>
  <si>
    <t>Portafolio de Proyectos</t>
  </si>
  <si>
    <t>IPC</t>
  </si>
  <si>
    <t>Año Radicado UPME</t>
  </si>
  <si>
    <t>Estado</t>
  </si>
  <si>
    <t>Proyectos</t>
  </si>
  <si>
    <t>Facturando</t>
  </si>
  <si>
    <t>Tigres de la Rebaja</t>
  </si>
  <si>
    <t>Happina</t>
  </si>
  <si>
    <t>Campos de Aragon</t>
  </si>
  <si>
    <t>Hotel cuellar</t>
  </si>
  <si>
    <t>La Cali</t>
  </si>
  <si>
    <t>Solsticio</t>
  </si>
  <si>
    <t>Fit For all 94</t>
  </si>
  <si>
    <t>Fit For all 127</t>
  </si>
  <si>
    <t>Dispropan Santa Marta</t>
  </si>
  <si>
    <t>Legalización</t>
  </si>
  <si>
    <t>En construcción</t>
  </si>
  <si>
    <t>Edificio V1501</t>
  </si>
  <si>
    <t>Arboleda</t>
  </si>
  <si>
    <t>CENTRO COMERCIAL PLATINUM</t>
  </si>
  <si>
    <t>GRAN AVENIDA</t>
  </si>
  <si>
    <t>CONGENAR</t>
  </si>
  <si>
    <t>PABON</t>
  </si>
  <si>
    <t>BALCONES DE PUVENZA</t>
  </si>
  <si>
    <t>VIVARIUM</t>
  </si>
  <si>
    <t>NUEVOS PROYECTOS 2Q</t>
  </si>
  <si>
    <t>NUEVOS PROYECTOS 3Q</t>
  </si>
  <si>
    <t>NUEVOS PROYECTOS 4Q</t>
  </si>
  <si>
    <t>total anual</t>
  </si>
  <si>
    <t>Costo PPAS firmados</t>
  </si>
  <si>
    <t>Ventas PPAS firmados</t>
  </si>
  <si>
    <t>Ventas PPAs 2024</t>
  </si>
  <si>
    <t>costos 2024</t>
  </si>
  <si>
    <t>Potencia Instalada [kWp]</t>
  </si>
  <si>
    <t>Valor total</t>
  </si>
  <si>
    <t>Nombre del proyecto</t>
  </si>
  <si>
    <t>Hotel Fernando Plaza</t>
  </si>
  <si>
    <t>Centro comercial Platino</t>
  </si>
  <si>
    <t>RECURSOS ENERGAS</t>
  </si>
  <si>
    <t>Demetalicos</t>
  </si>
  <si>
    <t>% instalado de los recursos</t>
  </si>
  <si>
    <t>Proyectos 2022</t>
  </si>
  <si>
    <t>Proyectos 2023</t>
  </si>
  <si>
    <t>Plantas PPAS</t>
  </si>
  <si>
    <t>Plantas PPAS sin Admon</t>
  </si>
  <si>
    <t>Monto utilidad por proyecto PPA</t>
  </si>
  <si>
    <t>Proyección de ventas</t>
  </si>
  <si>
    <t>Ingresos Mini Parques</t>
  </si>
  <si>
    <t>Costos operativos Mini parques</t>
  </si>
  <si>
    <t>% Utilidad Bruta</t>
  </si>
  <si>
    <t>Etapa estructuración y estudios</t>
  </si>
  <si>
    <t>Canopus_1</t>
  </si>
  <si>
    <t>Canopus_2</t>
  </si>
  <si>
    <t>Est_Gral</t>
  </si>
  <si>
    <t>Naos_2</t>
  </si>
  <si>
    <t>Naos_3</t>
  </si>
  <si>
    <t>NCluster_1</t>
  </si>
  <si>
    <t>NCluster_2</t>
  </si>
  <si>
    <t>NCluster_3</t>
  </si>
  <si>
    <t>% Ciclo del producto GD Instalación</t>
  </si>
  <si>
    <t>Proyecto 1</t>
  </si>
  <si>
    <t>Compra Materiales GD Proyecto propio</t>
  </si>
  <si>
    <t>Anticipo de recursos</t>
  </si>
  <si>
    <t>Proyecto 2</t>
  </si>
  <si>
    <t>Proyecto 3</t>
  </si>
  <si>
    <t>Costos operativos GD Proyecto propio</t>
  </si>
  <si>
    <t>Costos operativos GD Proyecto 1</t>
  </si>
  <si>
    <t>Costos operativos GD Proyecto 2</t>
  </si>
  <si>
    <t>Activos corrientes</t>
  </si>
  <si>
    <t xml:space="preserve">Cuenta por pagar </t>
  </si>
  <si>
    <t>Capital de trabajo</t>
  </si>
  <si>
    <t>Salida de Capital</t>
  </si>
  <si>
    <t>Con Container</t>
  </si>
  <si>
    <t>si</t>
  </si>
  <si>
    <t>2Q</t>
  </si>
  <si>
    <t>3Q</t>
  </si>
  <si>
    <t>4Q</t>
  </si>
  <si>
    <t>Condicional</t>
  </si>
  <si>
    <t>Enero</t>
  </si>
  <si>
    <t>mensual</t>
  </si>
  <si>
    <t>Saldo</t>
  </si>
  <si>
    <t>Pago Capital</t>
  </si>
  <si>
    <t>Periodo</t>
  </si>
  <si>
    <t>Febrero</t>
  </si>
  <si>
    <t>Marzo</t>
  </si>
  <si>
    <t>Abril</t>
  </si>
  <si>
    <t>mayo</t>
  </si>
  <si>
    <t>Junio</t>
  </si>
  <si>
    <t>Agosto</t>
  </si>
  <si>
    <t>Septiembre</t>
  </si>
  <si>
    <t>Octubre</t>
  </si>
  <si>
    <t>Noviembre</t>
  </si>
  <si>
    <t>Diciembre</t>
  </si>
  <si>
    <t>Movimientos</t>
  </si>
  <si>
    <t xml:space="preserve">Capital </t>
  </si>
  <si>
    <t>Total movimientos</t>
  </si>
  <si>
    <t>Ingresos EPC</t>
  </si>
  <si>
    <t>Costos operativos EPC</t>
  </si>
  <si>
    <t>% Ciclo del producto EPC</t>
  </si>
  <si>
    <t>Compra Materiales Sep 2023</t>
  </si>
  <si>
    <t>Anticipo clientes sep 2023</t>
  </si>
  <si>
    <t>Compra Materiales oct 2023</t>
  </si>
  <si>
    <t>Anticipo clientes oct 2023</t>
  </si>
  <si>
    <t>Compra Materiales nov 2023</t>
  </si>
  <si>
    <t>Anticipo clientes nov 2023</t>
  </si>
  <si>
    <t>Compra Materiales dic 2023</t>
  </si>
  <si>
    <t>Anticipo clientes dic 2023</t>
  </si>
  <si>
    <t>Compra Materiales ene 2024</t>
  </si>
  <si>
    <t>Anticipo clientes ene 2024</t>
  </si>
  <si>
    <t>Compra Materiales feb 2024</t>
  </si>
  <si>
    <t>Anticipo clientes feb 2024</t>
  </si>
  <si>
    <t>Compra Materiales mar 2024</t>
  </si>
  <si>
    <t>Anticipo clientes mar 2024</t>
  </si>
  <si>
    <t>Compra Materiales abr 2024</t>
  </si>
  <si>
    <t>Anticipo clientes abr 2024</t>
  </si>
  <si>
    <t>Compra Materiales may 2024</t>
  </si>
  <si>
    <t>Anticipo clientes may 2024</t>
  </si>
  <si>
    <t>Compra Materiales jun 2024</t>
  </si>
  <si>
    <t>Anticipo clientes jun 2024</t>
  </si>
  <si>
    <t>Compra Materiales jul 2024</t>
  </si>
  <si>
    <t>Anticipo clientes jul 2024</t>
  </si>
  <si>
    <t>Compra Materiales ago 2024</t>
  </si>
  <si>
    <t>Anticipo clientes ago 2024</t>
  </si>
  <si>
    <t>Compra Materiales sep 2024</t>
  </si>
  <si>
    <t>Anticipo clientes sep 2024</t>
  </si>
  <si>
    <t>Compra Materiales oct 2024</t>
  </si>
  <si>
    <t>Anticipo clientes oct 2024</t>
  </si>
  <si>
    <t>Compra Materiales nov 2024</t>
  </si>
  <si>
    <t>Anticipo clientes nov 2024</t>
  </si>
  <si>
    <t>Compra Materiales dic 2024</t>
  </si>
  <si>
    <t>Anticipo clientes dic 2024</t>
  </si>
  <si>
    <t>Ciclo del producto</t>
  </si>
  <si>
    <t>SWAP</t>
  </si>
  <si>
    <t>SI</t>
  </si>
  <si>
    <t>Ingreso GD NAOS</t>
  </si>
  <si>
    <t>gventas</t>
  </si>
  <si>
    <t>Δ SALARIOS COSTO OPERATIVO PPAS</t>
  </si>
  <si>
    <t>Δ INVERSIÓN ESTRUCTURACIÓN MINI</t>
  </si>
  <si>
    <t>Δ SALARIOS COSTO OPERATIVO EPC</t>
  </si>
  <si>
    <t>Δ CAPITAL DE TRABAJO</t>
  </si>
  <si>
    <t>Δ Deuda Actual</t>
  </si>
  <si>
    <t>Δ Deuda Para PPAs</t>
  </si>
  <si>
    <t>Utilidad Neta</t>
  </si>
  <si>
    <t>Balance General</t>
  </si>
  <si>
    <t>Activos:</t>
  </si>
  <si>
    <t>Efectivo y equivalentes</t>
  </si>
  <si>
    <t>Deudores comerciales</t>
  </si>
  <si>
    <t>Otras Cuentas por Cobrar</t>
  </si>
  <si>
    <t>Otros activos Financieros</t>
  </si>
  <si>
    <t>Inventarios</t>
  </si>
  <si>
    <t>Activos por impuestos corrientes</t>
  </si>
  <si>
    <t>Anticipos y Avances</t>
  </si>
  <si>
    <t>Total activo corriente</t>
  </si>
  <si>
    <t>Propiedades, planta y equipo</t>
  </si>
  <si>
    <t>Total activos no corrientes</t>
  </si>
  <si>
    <t>Total activos</t>
  </si>
  <si>
    <t>Pasivos</t>
  </si>
  <si>
    <t>Obligaciones Financieras (C.P)</t>
  </si>
  <si>
    <t>Beneficios a los empleados</t>
  </si>
  <si>
    <t>Pasivos por impuesto corrientes</t>
  </si>
  <si>
    <t>Ingresos Recibidos por anticipado</t>
  </si>
  <si>
    <t>Total pasivos corrientes</t>
  </si>
  <si>
    <t>Obligaciones financieras LP</t>
  </si>
  <si>
    <t>Pasivos por impuestos diferidos</t>
  </si>
  <si>
    <t>Total pasivos no corrientes</t>
  </si>
  <si>
    <t>Total pasivos</t>
  </si>
  <si>
    <t>Patrimonio</t>
  </si>
  <si>
    <t>Capital aportado</t>
  </si>
  <si>
    <t>Resultados del periodo</t>
  </si>
  <si>
    <t>Resultados acumulados</t>
  </si>
  <si>
    <t>Futuras Capitalizaciones</t>
  </si>
  <si>
    <t>Total patrimonio</t>
  </si>
  <si>
    <t>Total pasivo y patrimonio</t>
  </si>
  <si>
    <t>Total Ingresos</t>
  </si>
  <si>
    <t>Total Costos</t>
  </si>
  <si>
    <t>EPC Techos</t>
  </si>
  <si>
    <t>Unicentro</t>
  </si>
  <si>
    <t>SAN NICOLAS (MARIA FERNANDA ROSAS SEGURA)</t>
  </si>
  <si>
    <t>B.A.S INGENIERIA</t>
  </si>
  <si>
    <t>Apartamentos Gonzalo Jimenez</t>
  </si>
  <si>
    <t>Lacteos Tulua</t>
  </si>
  <si>
    <t>Mini granjas</t>
  </si>
  <si>
    <t>Delta 1</t>
  </si>
  <si>
    <t>Delta 2</t>
  </si>
  <si>
    <t>Polaris 1</t>
  </si>
  <si>
    <t>LYRA 1</t>
  </si>
  <si>
    <t>ORBIS 1</t>
  </si>
  <si>
    <t>Polaris 2</t>
  </si>
  <si>
    <t>Polaris 3</t>
  </si>
  <si>
    <t>NAOS 4</t>
  </si>
  <si>
    <t>Ventas Facturación</t>
  </si>
  <si>
    <t>Working Flujo</t>
  </si>
  <si>
    <t>Nariño</t>
  </si>
  <si>
    <t>Cauca</t>
  </si>
  <si>
    <t>Valle</t>
  </si>
  <si>
    <t>Colombia</t>
  </si>
  <si>
    <t xml:space="preserve">NAOS </t>
  </si>
  <si>
    <t>POLARIS 2</t>
  </si>
  <si>
    <t>EVOLTI</t>
  </si>
  <si>
    <t>TOTAL INGRESOS</t>
  </si>
  <si>
    <t>Seguridad</t>
  </si>
  <si>
    <t>Contador</t>
  </si>
  <si>
    <t>Abogado</t>
  </si>
  <si>
    <t>Técnico</t>
  </si>
  <si>
    <t>Kit Herramientas</t>
  </si>
  <si>
    <t>Fee</t>
  </si>
  <si>
    <t>Fumigación</t>
  </si>
  <si>
    <t>Internet</t>
  </si>
  <si>
    <t>Equipo de Sebas Lucena</t>
  </si>
  <si>
    <t>Mantenimiento</t>
  </si>
  <si>
    <t>NOVA</t>
  </si>
  <si>
    <t>TOTAL GASTOS</t>
  </si>
  <si>
    <t>UTILIDAD BRUTA</t>
  </si>
  <si>
    <t>Julio</t>
  </si>
  <si>
    <t>prestaciones</t>
  </si>
  <si>
    <t>Kit herramientas</t>
  </si>
  <si>
    <t>x granja</t>
  </si>
  <si>
    <t>Semestral</t>
  </si>
  <si>
    <t>x sociedad</t>
  </si>
  <si>
    <t>Mensual</t>
  </si>
  <si>
    <t>Sebas</t>
  </si>
  <si>
    <t>Agua</t>
  </si>
  <si>
    <t>Ene</t>
  </si>
  <si>
    <t>Feb</t>
  </si>
  <si>
    <t>Mar</t>
  </si>
  <si>
    <t>Abr</t>
  </si>
  <si>
    <t>May</t>
  </si>
  <si>
    <t>Jun</t>
  </si>
  <si>
    <t>Jul</t>
  </si>
  <si>
    <t>Ago</t>
  </si>
  <si>
    <t>Sep</t>
  </si>
  <si>
    <t>Oct</t>
  </si>
  <si>
    <t>Nov</t>
  </si>
  <si>
    <t>Dic</t>
  </si>
  <si>
    <t>PPAS</t>
  </si>
  <si>
    <t>HAPINNA</t>
  </si>
  <si>
    <t xml:space="preserve">TIGRE </t>
  </si>
  <si>
    <t>CAMPOS</t>
  </si>
  <si>
    <t>CUELLAR</t>
  </si>
  <si>
    <t>FFA94</t>
  </si>
  <si>
    <t>FFA122</t>
  </si>
  <si>
    <t>SOLSTICIO</t>
  </si>
  <si>
    <t>LA CALI</t>
  </si>
  <si>
    <t>ACUAGEN</t>
  </si>
  <si>
    <t>DISPROPAN</t>
  </si>
  <si>
    <t>V1501</t>
  </si>
  <si>
    <t>ARBOLEDA</t>
  </si>
  <si>
    <t>CONSULTORIOS V1501</t>
  </si>
  <si>
    <t>PLATINUM</t>
  </si>
  <si>
    <t>CLUB COLOMBIA</t>
  </si>
  <si>
    <t>BALCONES DE PUBENZA</t>
  </si>
  <si>
    <t>NOVACENTRO ZC1</t>
  </si>
  <si>
    <t>NOVACENTRO ZC3</t>
  </si>
  <si>
    <t>NOVACENTRO OFICINAS</t>
  </si>
  <si>
    <t>Incubadora del sur</t>
  </si>
  <si>
    <t>TIANSHI</t>
  </si>
  <si>
    <t>ESTRUNAR</t>
  </si>
  <si>
    <t>SPLENDOR</t>
  </si>
  <si>
    <t>Valle de atriz</t>
  </si>
  <si>
    <t>INGRESO GRANJAS</t>
  </si>
  <si>
    <t>COSTOS MANTENIMIENTOS</t>
  </si>
  <si>
    <t>INTERESES</t>
  </si>
  <si>
    <t>AMORTIZACIÓN DEUDA</t>
  </si>
  <si>
    <t>FLUJO NETO</t>
  </si>
  <si>
    <t>BELLATRIZ</t>
  </si>
  <si>
    <t>Ingreso GRANJAS</t>
  </si>
  <si>
    <t>Costo granjas</t>
  </si>
  <si>
    <t xml:space="preserve">Utilidad Operacional </t>
  </si>
  <si>
    <t>INVERSIONES EVOLTI</t>
  </si>
  <si>
    <t>Δ Inversión Granjas</t>
  </si>
  <si>
    <t xml:space="preserve">Δ Inversión EVOLTI PROPIO </t>
  </si>
  <si>
    <t>TECHOS</t>
  </si>
  <si>
    <t>Δ EPC</t>
  </si>
  <si>
    <t>MINI GRANJAS</t>
  </si>
  <si>
    <t>ESTRUCTURACIÓN</t>
  </si>
  <si>
    <t xml:space="preserve">Devolución inventario / impuestos </t>
  </si>
  <si>
    <t xml:space="preserve">Δ Capital de trabajo </t>
  </si>
  <si>
    <t>Crecimiento Ventas EPC y Mini Granjas</t>
  </si>
  <si>
    <t>´100%</t>
  </si>
  <si>
    <t>Crecimiento Ingreso venta de Energia</t>
  </si>
  <si>
    <t xml:space="preserve">Tasa de descuento </t>
  </si>
  <si>
    <t>2024 a hoy</t>
  </si>
  <si>
    <t>2024*</t>
  </si>
  <si>
    <t>%</t>
  </si>
  <si>
    <t>2024 proyectado</t>
  </si>
  <si>
    <t>Ventas EPC y Mini Granjas</t>
  </si>
  <si>
    <t>Ingreso intereses GD el Remolino</t>
  </si>
  <si>
    <t>Costos operativos EPC/PPAS/ Mini granjas</t>
  </si>
  <si>
    <t xml:space="preserve"> Depreciación mas beneficios tributarios</t>
  </si>
  <si>
    <t>Saldo a Favor impuestos de renta</t>
  </si>
  <si>
    <t>Δ ESTRUCTURACIÓN</t>
  </si>
  <si>
    <t>Δ CAPITAL DE TRABAJO EPC</t>
  </si>
  <si>
    <t>Δ CREDITO NAOS</t>
  </si>
  <si>
    <t>Estado de Resultados</t>
  </si>
  <si>
    <t>2024 a hoy USD</t>
  </si>
  <si>
    <t>2024* USD</t>
  </si>
  <si>
    <t>% cumplimiento</t>
  </si>
  <si>
    <t>Generación de Energía</t>
  </si>
  <si>
    <t>Gastos administrativos/ventas/depr</t>
  </si>
  <si>
    <t>Depreciación acelerada con Beneficios</t>
  </si>
  <si>
    <t>Utilidad Operacional</t>
  </si>
  <si>
    <t>Gastos financieros</t>
  </si>
  <si>
    <t>Utilidad antes de impuestos</t>
  </si>
  <si>
    <t xml:space="preserve">Ventas </t>
  </si>
  <si>
    <t>Millones</t>
  </si>
  <si>
    <t>Meta</t>
  </si>
  <si>
    <t>Mini</t>
  </si>
  <si>
    <t>Recurrente</t>
  </si>
  <si>
    <t>Activos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</si>
</sst>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_-;\-* #,##0_-;_-* &quot;-&quot;_-;_-@_-"/>
    <numFmt numFmtId="165" formatCode="_-* #,##0.00_-;\-* #,##0.00_-;_-* &quot;-&quot;??_-;_-@_-"/>
    <numFmt numFmtId="166" formatCode="&quot;$&quot;\ #,##0.00;[Red]\-&quot;$&quot;\ #,##0.00"/>
    <numFmt numFmtId="167" formatCode="_-&quot;$&quot;\ * #,##0_-;\-&quot;$&quot;\ * #,##0_-;_-&quot;$&quot;\ * &quot;-&quot;_-;_-@_-"/>
    <numFmt numFmtId="168" formatCode="_-&quot;$&quot;\ * #,##0.00_-;\-&quot;$&quot;\ * #,##0.00_-;_-&quot;$&quot;\ * &quot;-&quot;??_-;_-@_-"/>
    <numFmt numFmtId="169" formatCode="_-&quot;$&quot;* #,##0_-;\-&quot;$&quot;* #,##0_-;_-&quot;$&quot;* &quot;-&quot;_-;_-@_-"/>
    <numFmt numFmtId="170" formatCode="mmmm\ yyyy"/>
    <numFmt numFmtId="171" formatCode="0.0%"/>
    <numFmt numFmtId="172" formatCode="0.000%"/>
    <numFmt numFmtId="173" formatCode="#,##0\ [$€-1]"/>
    <numFmt numFmtId="174" formatCode="[$ $]#,##0"/>
    <numFmt numFmtId="175" formatCode="_-&quot;$&quot;\ * #,##0_-;\-&quot;$&quot;\ * #,##0_-;_-&quot;$&quot;\ * &quot;-&quot;??_-;_-@"/>
    <numFmt numFmtId="176" formatCode="#,##0.00000000000"/>
    <numFmt numFmtId="177" formatCode="_-* #,##0_-;\-* #,##0_-;_-* &quot;-&quot;??_-;_-@_-"/>
    <numFmt numFmtId="178" formatCode="#,##0.0000000"/>
    <numFmt numFmtId="179" formatCode="_-* #,##0.0000000_-;\-* #,##0.0000000_-;_-* &quot;-&quot;??_-;_-@_-"/>
    <numFmt numFmtId="180" formatCode="_-* #,##0.0000_-;\-* #,##0.0000_-;_-* &quot;-&quot;??_-;_-@_-"/>
    <numFmt numFmtId="181" formatCode="_ * #,##0.00_ ;_ * \-#,##0.00_ ;_ * &quot;-&quot;??_ ;_ @_ "/>
    <numFmt numFmtId="182" formatCode="_ &quot;$&quot;\ * #,##0.00_ ;_ &quot;$&quot;\ * \-#,##0.00_ ;_ &quot;$&quot;\ * &quot;-&quot;??_ ;_ @_ "/>
    <numFmt numFmtId="183" formatCode="_ * #,##0_ ;_ * \-#,##0_ ;_ * &quot;-&quot;_ ;_ @_ "/>
    <numFmt numFmtId="184" formatCode="_(&quot;$&quot;\ * #,##0_);_(&quot;$&quot;\ * \(#,##0\);_(&quot;$&quot;\ * &quot;-&quot;??_);_(@_)"/>
    <numFmt numFmtId="185" formatCode="_-[$$-240A]\ * #,##0.00_-;\-[$$-240A]\ * #,##0.00_-;_-[$$-240A]\ * &quot;-&quot;??_-;_-@_-"/>
    <numFmt numFmtId="186" formatCode="&quot;$&quot;\ #,##0"/>
    <numFmt numFmtId="187" formatCode="_-&quot;$&quot;\ * #,##0_-;\-&quot;$&quot;\ * #,##0_-;_-&quot;$&quot;\ * &quot;-&quot;??_-;_-@_-"/>
  </numFmts>
  <fonts count="75">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0"/>
      <color theme="1"/>
      <name val="Arial"/>
      <family val="2"/>
    </font>
    <font>
      <b/>
      <sz val="10"/>
      <color rgb="FF000000"/>
      <name val="Arial"/>
      <family val="2"/>
    </font>
    <font>
      <b/>
      <sz val="10"/>
      <color theme="0"/>
      <name val="Arial"/>
      <family val="2"/>
    </font>
    <font>
      <sz val="10"/>
      <color theme="1"/>
      <name val="Arial"/>
      <family val="2"/>
    </font>
    <font>
      <sz val="10"/>
      <color rgb="FF000000"/>
      <name val="Arial"/>
      <family val="2"/>
    </font>
    <font>
      <b/>
      <sz val="11"/>
      <color rgb="FF000000"/>
      <name val="Calibri"/>
      <family val="2"/>
    </font>
    <font>
      <sz val="11"/>
      <color rgb="FF000000"/>
      <name val="Calibri"/>
      <family val="2"/>
    </font>
    <font>
      <sz val="11"/>
      <color theme="1"/>
      <name val="Calibri"/>
      <family val="2"/>
    </font>
    <font>
      <sz val="8"/>
      <name val="Arial"/>
      <family val="2"/>
    </font>
    <font>
      <sz val="8"/>
      <name val="Arial"/>
      <family val="2"/>
    </font>
    <font>
      <sz val="10"/>
      <color theme="0"/>
      <name val="Arial"/>
      <family val="2"/>
    </font>
    <font>
      <sz val="10"/>
      <name val="Arial"/>
      <family val="2"/>
    </font>
    <font>
      <b/>
      <sz val="9"/>
      <color indexed="81"/>
      <name val="Tahoma"/>
      <family val="2"/>
    </font>
    <font>
      <sz val="9"/>
      <color indexed="81"/>
      <name val="Tahoma"/>
      <family val="2"/>
    </font>
    <font>
      <sz val="8"/>
      <name val="Arial"/>
      <family val="2"/>
    </font>
    <font>
      <b/>
      <sz val="11"/>
      <color rgb="FF000000"/>
      <name val="Arial"/>
      <family val="2"/>
    </font>
    <font>
      <sz val="10"/>
      <color rgb="FF000000"/>
      <name val="Arial"/>
      <family val="2"/>
    </font>
    <font>
      <sz val="11"/>
      <color rgb="FF000000"/>
      <name val="Arial"/>
      <family val="2"/>
    </font>
    <font>
      <b/>
      <sz val="11"/>
      <color theme="1"/>
      <name val="Arial"/>
      <family val="2"/>
    </font>
    <font>
      <sz val="11"/>
      <color theme="1"/>
      <name val="Arial"/>
      <family val="2"/>
    </font>
    <font>
      <sz val="11"/>
      <color rgb="FF000000"/>
      <name val="Inconsolata"/>
    </font>
    <font>
      <sz val="11"/>
      <color rgb="FF444444"/>
      <name val="Calibri"/>
      <family val="2"/>
      <charset val="1"/>
    </font>
    <font>
      <sz val="10.5"/>
      <color rgb="FF000000"/>
      <name val="Arial"/>
      <family val="2"/>
    </font>
    <font>
      <sz val="10"/>
      <color rgb="FFFF0000"/>
      <name val="Arial"/>
      <family val="2"/>
    </font>
    <font>
      <sz val="11"/>
      <name val="Arial"/>
      <family val="2"/>
    </font>
    <font>
      <sz val="12"/>
      <name val="Arial"/>
      <family val="2"/>
    </font>
    <font>
      <sz val="12"/>
      <color theme="1"/>
      <name val="Arial"/>
      <family val="2"/>
    </font>
    <font>
      <sz val="10"/>
      <color rgb="FF000000"/>
      <name val="Arial"/>
      <family val="2"/>
    </font>
    <font>
      <sz val="9"/>
      <color theme="1"/>
      <name val="Suisse Int'l"/>
      <family val="2"/>
    </font>
    <font>
      <sz val="11"/>
      <color theme="1"/>
      <name val="Calibri"/>
      <family val="2"/>
    </font>
    <font>
      <sz val="11"/>
      <color theme="0"/>
      <name val="Calibri"/>
      <family val="2"/>
      <scheme val="minor"/>
    </font>
    <font>
      <sz val="11"/>
      <color theme="1"/>
      <name val="Calibri"/>
      <family val="2"/>
      <charset val="1"/>
    </font>
    <font>
      <sz val="12"/>
      <color rgb="FF242424"/>
      <name val="Aptos"/>
      <family val="2"/>
    </font>
    <font>
      <sz val="11"/>
      <color rgb="FF242424"/>
      <name val="Inherit"/>
    </font>
    <font>
      <sz val="11"/>
      <color theme="1"/>
      <name val="Calibri"/>
      <family val="2"/>
      <scheme val="minor"/>
    </font>
    <font>
      <sz val="11"/>
      <color rgb="FFFF0000"/>
      <name val="Arial"/>
      <family val="2"/>
    </font>
    <font>
      <sz val="11"/>
      <color theme="1"/>
      <name val="Bahnschrift SemiLight"/>
      <family val="2"/>
    </font>
    <font>
      <b/>
      <sz val="12"/>
      <color theme="1"/>
      <name val="Arial"/>
      <family val="2"/>
    </font>
    <font>
      <sz val="12"/>
      <color rgb="FF000000"/>
      <name val="Arial"/>
      <family val="2"/>
    </font>
    <font>
      <sz val="12"/>
      <color rgb="FF000000"/>
      <name val="Aptos"/>
      <family val="2"/>
    </font>
    <font>
      <sz val="11"/>
      <color rgb="FF000000"/>
      <name val="Aptos"/>
      <family val="2"/>
    </font>
    <font>
      <b/>
      <sz val="11"/>
      <name val="Arial"/>
      <family val="2"/>
    </font>
    <font>
      <sz val="11"/>
      <name val="Calibri"/>
      <family val="2"/>
      <scheme val="minor"/>
    </font>
    <font>
      <sz val="14"/>
      <color rgb="FF000000"/>
      <name val="Arial"/>
      <family val="2"/>
    </font>
    <font>
      <sz val="11"/>
      <name val="Calibri"/>
      <family val="2"/>
    </font>
    <font>
      <sz val="12"/>
      <name val="Calibri"/>
      <family val="2"/>
    </font>
    <font>
      <sz val="11"/>
      <color rgb="FF000000"/>
      <name val="Aptos Narrow"/>
      <family val="2"/>
    </font>
    <font>
      <sz val="12"/>
      <name val="Calibri"/>
      <family val="2"/>
      <scheme val="minor"/>
    </font>
    <font>
      <sz val="9"/>
      <color rgb="FF000000"/>
      <name val="Arial"/>
      <family val="2"/>
    </font>
    <font>
      <sz val="11"/>
      <color rgb="FF242424"/>
      <name val="Aptos Narrow"/>
      <family val="2"/>
    </font>
    <font>
      <sz val="12"/>
      <color rgb="FF000000"/>
      <name val="Calibri"/>
      <family val="2"/>
    </font>
    <font>
      <b/>
      <sz val="10"/>
      <color rgb="FFFFFFFF"/>
      <name val="Arial"/>
      <family val="2"/>
    </font>
    <font>
      <sz val="10"/>
      <color rgb="FFFFFFFF"/>
      <name val="Arial"/>
      <family val="2"/>
    </font>
    <font>
      <sz val="10"/>
      <color rgb="FF000000"/>
      <name val="Arial"/>
      <family val="2"/>
    </font>
    <font>
      <b/>
      <sz val="8"/>
      <color rgb="FF000000"/>
      <name val="Arial"/>
      <family val="2"/>
    </font>
    <font>
      <sz val="13"/>
      <color rgb="FF000000"/>
      <name val="Arial"/>
      <family val="2"/>
    </font>
    <font>
      <b/>
      <sz val="13"/>
      <color theme="0"/>
      <name val="Arial"/>
      <family val="2"/>
    </font>
    <font>
      <sz val="13"/>
      <color theme="1"/>
      <name val="Arial"/>
      <family val="2"/>
    </font>
    <font>
      <b/>
      <sz val="13"/>
      <color theme="1"/>
      <name val="Arial"/>
      <family val="2"/>
    </font>
    <font>
      <b/>
      <sz val="13"/>
      <color rgb="FF000000"/>
      <name val="Arial"/>
      <family val="2"/>
    </font>
    <font>
      <sz val="13"/>
      <color theme="0"/>
      <name val="Arial"/>
      <family val="2"/>
    </font>
    <font>
      <b/>
      <sz val="12"/>
      <color theme="1"/>
      <name val="Calibri"/>
      <family val="2"/>
      <scheme val="minor"/>
    </font>
    <font>
      <b/>
      <sz val="12"/>
      <color rgb="FF000000"/>
      <name val="Arial"/>
      <family val="2"/>
    </font>
    <font>
      <b/>
      <sz val="14"/>
      <color rgb="FF000000"/>
      <name val="Arial"/>
      <family val="2"/>
    </font>
    <font>
      <b/>
      <sz val="12"/>
      <color theme="0"/>
      <name val="Arial"/>
      <family val="2"/>
    </font>
  </fonts>
  <fills count="74">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0"/>
        <bgColor rgb="FFFFFF00"/>
      </patternFill>
    </fill>
    <fill>
      <patternFill patternType="solid">
        <fgColor rgb="FFFFFF00"/>
        <bgColor rgb="FF00B050"/>
      </patternFill>
    </fill>
    <fill>
      <patternFill patternType="solid">
        <fgColor theme="1"/>
        <bgColor rgb="FF00B050"/>
      </patternFill>
    </fill>
    <fill>
      <patternFill patternType="solid">
        <fgColor theme="2"/>
        <bgColor theme="0"/>
      </patternFill>
    </fill>
    <fill>
      <patternFill patternType="solid">
        <fgColor rgb="FFFFFF00"/>
        <bgColor rgb="FFFFFF00"/>
      </patternFill>
    </fill>
    <fill>
      <patternFill patternType="solid">
        <fgColor rgb="FF92D050"/>
        <bgColor rgb="FFFF0000"/>
      </patternFill>
    </fill>
    <fill>
      <patternFill patternType="solid">
        <fgColor theme="1"/>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
      <patternFill patternType="solid">
        <fgColor theme="4" tint="-0.499984740745262"/>
        <bgColor indexed="64"/>
      </patternFill>
    </fill>
    <fill>
      <patternFill patternType="solid">
        <fgColor theme="1"/>
        <bgColor theme="0"/>
      </patternFill>
    </fill>
    <fill>
      <patternFill patternType="solid">
        <fgColor theme="9" tint="0.39997558519241921"/>
        <bgColor indexed="64"/>
      </patternFill>
    </fill>
    <fill>
      <patternFill patternType="solid">
        <fgColor theme="1"/>
        <bgColor rgb="FFFFFF00"/>
      </patternFill>
    </fill>
    <fill>
      <patternFill patternType="solid">
        <fgColor rgb="FFFFFF00"/>
        <bgColor theme="0"/>
      </patternFill>
    </fill>
    <fill>
      <patternFill patternType="solid">
        <fgColor theme="0"/>
        <bgColor rgb="FFFFFFFF"/>
      </patternFill>
    </fill>
    <fill>
      <patternFill patternType="solid">
        <fgColor rgb="FFFFFF00"/>
        <bgColor rgb="FFFFFFFF"/>
      </patternFill>
    </fill>
    <fill>
      <patternFill patternType="solid">
        <fgColor theme="5" tint="0.59999389629810485"/>
        <bgColor indexed="64"/>
      </patternFill>
    </fill>
    <fill>
      <patternFill patternType="solid">
        <fgColor theme="0"/>
        <bgColor rgb="FFFF0000"/>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79998168889431442"/>
        <bgColor theme="0"/>
      </patternFill>
    </fill>
    <fill>
      <patternFill patternType="solid">
        <fgColor theme="5" tint="0.79998168889431442"/>
        <bgColor indexed="64"/>
      </patternFill>
    </fill>
    <fill>
      <patternFill patternType="solid">
        <fgColor rgb="FF0070C0"/>
        <bgColor indexed="64"/>
      </patternFill>
    </fill>
    <fill>
      <patternFill patternType="solid">
        <fgColor theme="9" tint="0.59999389629810485"/>
        <bgColor indexed="64"/>
      </patternFill>
    </fill>
    <fill>
      <patternFill patternType="solid">
        <fgColor theme="9" tint="0.59999389629810485"/>
        <bgColor theme="0"/>
      </patternFill>
    </fill>
    <fill>
      <patternFill patternType="solid">
        <fgColor theme="6" tint="0.59999389629810485"/>
        <bgColor indexed="64"/>
      </patternFill>
    </fill>
    <fill>
      <patternFill patternType="solid">
        <fgColor theme="8" tint="0.79998168889431442"/>
        <bgColor indexed="64"/>
      </patternFill>
    </fill>
    <fill>
      <patternFill patternType="solid">
        <fgColor rgb="FF92D050"/>
        <bgColor theme="0"/>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FFFF"/>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1" tint="4.9989318521683403E-2"/>
        <bgColor indexed="64"/>
      </patternFill>
    </fill>
    <fill>
      <patternFill patternType="solid">
        <fgColor rgb="FFFFCCCC"/>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3" tint="0.89999084444715716"/>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2" tint="-9.9978637043366805E-2"/>
        <bgColor theme="0"/>
      </patternFill>
    </fill>
    <fill>
      <patternFill patternType="solid">
        <fgColor theme="8" tint="0.79998168889431442"/>
        <bgColor theme="0"/>
      </patternFill>
    </fill>
    <fill>
      <patternFill patternType="solid">
        <fgColor rgb="FFFF0000"/>
        <bgColor theme="0"/>
      </patternFill>
    </fill>
    <fill>
      <patternFill patternType="solid">
        <fgColor rgb="FFFFCC66"/>
        <bgColor indexed="64"/>
      </patternFill>
    </fill>
    <fill>
      <patternFill patternType="solid">
        <fgColor rgb="FF00B0F0"/>
        <bgColor indexed="64"/>
      </patternFill>
    </fill>
    <fill>
      <patternFill patternType="solid">
        <fgColor theme="5" tint="0.39997558519241921"/>
        <bgColor indexed="64"/>
      </patternFill>
    </fill>
    <fill>
      <patternFill patternType="solid">
        <fgColor rgb="FF7030A0"/>
        <bgColor indexed="64"/>
      </patternFill>
    </fill>
    <fill>
      <patternFill patternType="solid">
        <fgColor theme="3" tint="0.59999389629810485"/>
        <bgColor indexed="64"/>
      </patternFill>
    </fill>
    <fill>
      <patternFill patternType="solid">
        <fgColor theme="2"/>
        <bgColor indexed="64"/>
      </patternFill>
    </fill>
    <fill>
      <patternFill patternType="solid">
        <fgColor theme="7"/>
        <bgColor indexed="64"/>
      </patternFill>
    </fill>
    <fill>
      <patternFill patternType="solid">
        <fgColor theme="8" tint="0.39997558519241921"/>
        <bgColor indexed="64"/>
      </patternFill>
    </fill>
    <fill>
      <patternFill patternType="solid">
        <fgColor rgb="FFCC66FF"/>
        <bgColor indexed="64"/>
      </patternFill>
    </fill>
    <fill>
      <patternFill patternType="solid">
        <fgColor rgb="FFFFC000"/>
        <bgColor indexed="64"/>
      </patternFill>
    </fill>
    <fill>
      <patternFill patternType="solid">
        <fgColor theme="6"/>
        <bgColor indexed="64"/>
      </patternFill>
    </fill>
    <fill>
      <patternFill patternType="solid">
        <fgColor theme="5"/>
        <bgColor indexed="64"/>
      </patternFill>
    </fill>
    <fill>
      <patternFill patternType="solid">
        <fgColor rgb="FF92D050"/>
        <bgColor rgb="FF000000"/>
      </patternFill>
    </fill>
    <fill>
      <patternFill patternType="solid">
        <fgColor rgb="FFED7D31"/>
        <bgColor rgb="FF000000"/>
      </patternFill>
    </fill>
    <fill>
      <patternFill patternType="solid">
        <fgColor rgb="FFFFFFFF"/>
        <bgColor rgb="FF000000"/>
      </patternFill>
    </fill>
    <fill>
      <patternFill patternType="solid">
        <fgColor rgb="FFDDEBF7"/>
        <bgColor rgb="FF000000"/>
      </patternFill>
    </fill>
    <fill>
      <patternFill patternType="solid">
        <fgColor rgb="FF000000"/>
        <bgColor rgb="FF000000"/>
      </patternFill>
    </fill>
    <fill>
      <patternFill patternType="solid">
        <fgColor rgb="FFFFC000"/>
        <bgColor rgb="FF000000"/>
      </patternFill>
    </fill>
    <fill>
      <patternFill patternType="solid">
        <fgColor rgb="FFFFFF00"/>
        <bgColor rgb="FF000000"/>
      </patternFill>
    </fill>
    <fill>
      <patternFill patternType="solid">
        <fgColor theme="0"/>
        <bgColor rgb="FF00B050"/>
      </patternFill>
    </fill>
    <fill>
      <patternFill patternType="solid">
        <fgColor theme="1"/>
        <bgColor rgb="FFFF0000"/>
      </patternFill>
    </fill>
    <fill>
      <patternFill patternType="solid">
        <fgColor theme="4"/>
        <bgColor theme="0"/>
      </patternFill>
    </fill>
    <fill>
      <patternFill patternType="solid">
        <fgColor theme="4"/>
        <bgColor indexed="64"/>
      </patternFill>
    </fill>
    <fill>
      <patternFill patternType="solid">
        <fgColor theme="0" tint="-0.14999847407452621"/>
        <bgColor indexed="64"/>
      </patternFill>
    </fill>
    <fill>
      <patternFill patternType="solid">
        <fgColor theme="0" tint="-0.249977111117893"/>
        <bgColor indexed="64"/>
      </patternFill>
    </fill>
  </fills>
  <borders count="109">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style="thin">
        <color rgb="FF000000"/>
      </top>
      <bottom/>
      <diagonal/>
    </border>
    <border>
      <left style="thin">
        <color indexed="64"/>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indexed="64"/>
      </left>
      <right/>
      <top style="medium">
        <color indexed="64"/>
      </top>
      <bottom style="thin">
        <color indexed="64"/>
      </bottom>
      <diagonal/>
    </border>
    <border>
      <left style="thin">
        <color rgb="FF000000"/>
      </left>
      <right/>
      <top style="thin">
        <color rgb="FF000000"/>
      </top>
      <bottom/>
      <diagonal/>
    </border>
    <border>
      <left/>
      <right/>
      <top/>
      <bottom style="thin">
        <color rgb="FF00000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bottom style="thin">
        <color theme="0"/>
      </bottom>
      <diagonal/>
    </border>
    <border>
      <left style="medium">
        <color rgb="FF000000"/>
      </left>
      <right/>
      <top style="thin">
        <color rgb="FF000000"/>
      </top>
      <bottom style="thin">
        <color rgb="FF000000"/>
      </bottom>
      <diagonal/>
    </border>
    <border>
      <left/>
      <right/>
      <top/>
      <bottom style="thin">
        <color theme="0"/>
      </bottom>
      <diagonal/>
    </border>
    <border>
      <left style="medium">
        <color indexed="64"/>
      </left>
      <right/>
      <top style="thin">
        <color indexed="64"/>
      </top>
      <bottom style="thin">
        <color indexed="64"/>
      </bottom>
      <diagonal/>
    </border>
    <border>
      <left style="thin">
        <color indexed="64"/>
      </left>
      <right style="thin">
        <color indexed="64"/>
      </right>
      <top style="thin">
        <color theme="0"/>
      </top>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top/>
      <bottom style="thin">
        <color theme="0"/>
      </bottom>
      <diagonal/>
    </border>
    <border>
      <left style="thin">
        <color theme="0"/>
      </left>
      <right style="thin">
        <color theme="0"/>
      </right>
      <top/>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indexed="64"/>
      </bottom>
      <diagonal/>
    </border>
    <border>
      <left/>
      <right style="thin">
        <color theme="0"/>
      </right>
      <top style="thin">
        <color theme="0"/>
      </top>
      <bottom style="thin">
        <color indexed="64"/>
      </bottom>
      <diagonal/>
    </border>
    <border>
      <left style="thin">
        <color theme="0"/>
      </left>
      <right style="thin">
        <color theme="0"/>
      </right>
      <top style="thin">
        <color indexed="64"/>
      </top>
      <bottom/>
      <diagonal/>
    </border>
    <border>
      <left/>
      <right style="thin">
        <color theme="0"/>
      </right>
      <top style="thin">
        <color indexed="64"/>
      </top>
      <bottom/>
      <diagonal/>
    </border>
    <border>
      <left style="thin">
        <color theme="0"/>
      </left>
      <right style="thin">
        <color theme="0"/>
      </right>
      <top style="thin">
        <color theme="0"/>
      </top>
      <bottom/>
      <diagonal/>
    </border>
    <border>
      <left style="thin">
        <color indexed="64"/>
      </left>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theme="0"/>
      </left>
      <right style="thin">
        <color indexed="64"/>
      </right>
      <top style="thin">
        <color theme="0"/>
      </top>
      <bottom style="thin">
        <color theme="0"/>
      </bottom>
      <diagonal/>
    </border>
    <border>
      <left style="thin">
        <color indexed="64"/>
      </left>
      <right/>
      <top style="medium">
        <color indexed="64"/>
      </top>
      <bottom/>
      <diagonal/>
    </border>
    <border>
      <left/>
      <right style="thin">
        <color theme="0"/>
      </right>
      <top/>
      <bottom/>
      <diagonal/>
    </border>
    <border>
      <left style="thin">
        <color rgb="FF000000"/>
      </left>
      <right style="thin">
        <color rgb="FF000000"/>
      </right>
      <top/>
      <bottom style="thin">
        <color rgb="FF000000"/>
      </bottom>
      <diagonal/>
    </border>
    <border>
      <left/>
      <right style="thin">
        <color indexed="64"/>
      </right>
      <top style="thin">
        <color theme="0"/>
      </top>
      <bottom/>
      <diagonal/>
    </border>
    <border>
      <left/>
      <right style="thin">
        <color rgb="FF000000"/>
      </right>
      <top/>
      <bottom style="thin">
        <color rgb="FF000000"/>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right style="thin">
        <color rgb="FFFFFFFF"/>
      </right>
      <top/>
      <bottom style="thin">
        <color rgb="FFFFFFFF"/>
      </bottom>
      <diagonal/>
    </border>
    <border>
      <left style="thin">
        <color rgb="FFFFFFFF"/>
      </left>
      <right style="thin">
        <color rgb="FFFFFFFF"/>
      </right>
      <top/>
      <bottom style="thin">
        <color rgb="FFFFFFFF"/>
      </bottom>
      <diagonal/>
    </border>
    <border>
      <left style="medium">
        <color indexed="64"/>
      </left>
      <right/>
      <top style="thin">
        <color indexed="64"/>
      </top>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style="medium">
        <color indexed="64"/>
      </right>
      <top style="thin">
        <color rgb="FF000000"/>
      </top>
      <bottom style="thin">
        <color rgb="FF000000"/>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s>
  <cellStyleXfs count="45">
    <xf numFmtId="0" fontId="0" fillId="0" borderId="0"/>
    <xf numFmtId="0" fontId="7" fillId="0" borderId="0"/>
    <xf numFmtId="0" fontId="6" fillId="0" borderId="0"/>
    <xf numFmtId="9" fontId="26" fillId="0" borderId="0" applyFont="0" applyFill="0" applyBorder="0" applyAlignment="0" applyProtection="0"/>
    <xf numFmtId="0" fontId="14" fillId="0" borderId="0"/>
    <xf numFmtId="165" fontId="14" fillId="0" borderId="0" applyFont="0" applyFill="0" applyBorder="0" applyAlignment="0" applyProtection="0"/>
    <xf numFmtId="0" fontId="5" fillId="0" borderId="0"/>
    <xf numFmtId="168" fontId="14" fillId="0" borderId="0" applyFont="0" applyFill="0" applyBorder="0" applyAlignment="0" applyProtection="0"/>
    <xf numFmtId="165" fontId="37" fillId="0" borderId="0" applyFont="0" applyFill="0" applyBorder="0" applyAlignment="0" applyProtection="0"/>
    <xf numFmtId="0" fontId="4" fillId="0" borderId="0"/>
    <xf numFmtId="0" fontId="39" fillId="0" borderId="0"/>
    <xf numFmtId="0" fontId="44"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8" fontId="3" fillId="0" borderId="0" applyFont="0" applyFill="0" applyBorder="0" applyAlignment="0" applyProtection="0"/>
    <xf numFmtId="169" fontId="3" fillId="0" borderId="0" applyFont="0" applyFill="0" applyBorder="0" applyAlignment="0" applyProtection="0"/>
    <xf numFmtId="0" fontId="21" fillId="0" borderId="0"/>
    <xf numFmtId="181" fontId="21" fillId="0" borderId="0" applyFont="0" applyFill="0" applyBorder="0" applyAlignment="0" applyProtection="0"/>
    <xf numFmtId="182" fontId="21" fillId="0" borderId="0" applyFont="0" applyFill="0" applyBorder="0" applyAlignment="0" applyProtection="0"/>
    <xf numFmtId="183" fontId="21" fillId="0" borderId="0" applyFont="0" applyFill="0" applyBorder="0" applyAlignment="0" applyProtection="0"/>
    <xf numFmtId="9"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4" fontId="2" fillId="0" borderId="0" applyFont="0" applyFill="0" applyBorder="0" applyAlignment="0" applyProtection="0"/>
    <xf numFmtId="181" fontId="21" fillId="0" borderId="0" applyFont="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0" fontId="21" fillId="0" borderId="0"/>
    <xf numFmtId="0" fontId="2" fillId="0" borderId="0"/>
    <xf numFmtId="0" fontId="1" fillId="0" borderId="0"/>
    <xf numFmtId="165" fontId="1" fillId="0" borderId="0" applyFont="0" applyFill="0" applyBorder="0" applyAlignment="0" applyProtection="0"/>
    <xf numFmtId="164" fontId="1" fillId="0" borderId="0" applyFont="0" applyFill="0" applyBorder="0" applyAlignment="0" applyProtection="0"/>
    <xf numFmtId="168"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0" fontId="17" fillId="0" borderId="0"/>
    <xf numFmtId="168" fontId="63" fillId="0" borderId="0" applyFont="0" applyFill="0" applyBorder="0" applyAlignment="0" applyProtection="0"/>
  </cellStyleXfs>
  <cellXfs count="1233">
    <xf numFmtId="0" fontId="0" fillId="0" borderId="0" xfId="0"/>
    <xf numFmtId="0" fontId="0" fillId="2" borderId="0" xfId="0" applyFill="1"/>
    <xf numFmtId="4" fontId="0" fillId="3" borderId="0" xfId="0" applyNumberFormat="1" applyFill="1"/>
    <xf numFmtId="0" fontId="10" fillId="4" borderId="0" xfId="0" applyFont="1" applyFill="1" applyAlignment="1">
      <alignment horizontal="center"/>
    </xf>
    <xf numFmtId="0" fontId="10" fillId="4" borderId="0" xfId="0" applyFont="1" applyFill="1"/>
    <xf numFmtId="4" fontId="10" fillId="4" borderId="0" xfId="0" applyNumberFormat="1" applyFont="1" applyFill="1"/>
    <xf numFmtId="0" fontId="0" fillId="3" borderId="0" xfId="0" applyFill="1"/>
    <xf numFmtId="0" fontId="11" fillId="2" borderId="2" xfId="0" applyFont="1" applyFill="1" applyBorder="1" applyAlignment="1">
      <alignment horizontal="center"/>
    </xf>
    <xf numFmtId="170" fontId="10" fillId="5" borderId="3" xfId="0" applyNumberFormat="1" applyFont="1" applyFill="1" applyBorder="1" applyAlignment="1">
      <alignment horizontal="center" vertical="center"/>
    </xf>
    <xf numFmtId="170" fontId="10" fillId="5" borderId="2" xfId="0" applyNumberFormat="1" applyFont="1" applyFill="1" applyBorder="1" applyAlignment="1">
      <alignment horizontal="center" vertical="center"/>
    </xf>
    <xf numFmtId="170" fontId="12" fillId="6" borderId="2" xfId="0" applyNumberFormat="1" applyFont="1" applyFill="1" applyBorder="1" applyAlignment="1">
      <alignment horizontal="center"/>
    </xf>
    <xf numFmtId="0" fontId="13" fillId="2" borderId="0" xfId="0" applyFont="1" applyFill="1"/>
    <xf numFmtId="4" fontId="13" fillId="2" borderId="0" xfId="0" applyNumberFormat="1" applyFont="1" applyFill="1"/>
    <xf numFmtId="4" fontId="0" fillId="0" borderId="0" xfId="0" applyNumberFormat="1"/>
    <xf numFmtId="4" fontId="0" fillId="2" borderId="0" xfId="0" applyNumberFormat="1" applyFill="1"/>
    <xf numFmtId="0" fontId="10" fillId="2" borderId="4" xfId="0" applyFont="1" applyFill="1" applyBorder="1"/>
    <xf numFmtId="4" fontId="10" fillId="2" borderId="2" xfId="0" applyNumberFormat="1" applyFont="1" applyFill="1" applyBorder="1"/>
    <xf numFmtId="0" fontId="10" fillId="2" borderId="0" xfId="0" applyFont="1" applyFill="1"/>
    <xf numFmtId="4" fontId="10" fillId="2" borderId="3" xfId="0" applyNumberFormat="1" applyFont="1" applyFill="1" applyBorder="1"/>
    <xf numFmtId="4" fontId="10" fillId="2" borderId="5" xfId="0" applyNumberFormat="1" applyFont="1" applyFill="1" applyBorder="1"/>
    <xf numFmtId="4" fontId="10" fillId="2" borderId="4" xfId="0" applyNumberFormat="1" applyFont="1" applyFill="1" applyBorder="1"/>
    <xf numFmtId="4" fontId="13" fillId="7" borderId="0" xfId="0" applyNumberFormat="1" applyFont="1" applyFill="1"/>
    <xf numFmtId="0" fontId="10" fillId="2" borderId="2" xfId="0" applyFont="1" applyFill="1" applyBorder="1"/>
    <xf numFmtId="0" fontId="10" fillId="8" borderId="4" xfId="0" applyFont="1" applyFill="1" applyBorder="1" applyAlignment="1">
      <alignment vertical="center"/>
    </xf>
    <xf numFmtId="4" fontId="10" fillId="8" borderId="2" xfId="0" applyNumberFormat="1" applyFont="1" applyFill="1" applyBorder="1" applyAlignment="1">
      <alignment vertical="center"/>
    </xf>
    <xf numFmtId="0" fontId="10" fillId="4" borderId="0" xfId="0" applyFont="1" applyFill="1" applyAlignment="1">
      <alignment vertical="center"/>
    </xf>
    <xf numFmtId="4" fontId="10" fillId="8" borderId="3" xfId="0" applyNumberFormat="1" applyFont="1" applyFill="1" applyBorder="1" applyAlignment="1">
      <alignment vertical="center"/>
    </xf>
    <xf numFmtId="4" fontId="13" fillId="2" borderId="2" xfId="0" applyNumberFormat="1" applyFont="1" applyFill="1" applyBorder="1"/>
    <xf numFmtId="0" fontId="11" fillId="2" borderId="4" xfId="0" applyFont="1" applyFill="1" applyBorder="1"/>
    <xf numFmtId="4" fontId="11" fillId="2" borderId="2" xfId="0" applyNumberFormat="1" applyFont="1" applyFill="1" applyBorder="1"/>
    <xf numFmtId="0" fontId="11" fillId="2" borderId="0" xfId="0" applyFont="1" applyFill="1"/>
    <xf numFmtId="4" fontId="11" fillId="9" borderId="3" xfId="0" applyNumberFormat="1" applyFont="1" applyFill="1" applyBorder="1"/>
    <xf numFmtId="4" fontId="11" fillId="9" borderId="2" xfId="0" applyNumberFormat="1" applyFont="1" applyFill="1" applyBorder="1"/>
    <xf numFmtId="0" fontId="10" fillId="2" borderId="0" xfId="0" applyFont="1" applyFill="1" applyAlignment="1">
      <alignment horizontal="center"/>
    </xf>
    <xf numFmtId="0" fontId="15" fillId="2" borderId="0" xfId="0" applyFont="1" applyFill="1"/>
    <xf numFmtId="0" fontId="15" fillId="2" borderId="0" xfId="0" applyFont="1" applyFill="1" applyAlignment="1">
      <alignment horizontal="center"/>
    </xf>
    <xf numFmtId="170" fontId="11" fillId="2" borderId="0" xfId="0" applyNumberFormat="1" applyFont="1" applyFill="1"/>
    <xf numFmtId="0" fontId="14" fillId="0" borderId="0" xfId="0" applyFont="1"/>
    <xf numFmtId="4" fontId="16" fillId="2" borderId="0" xfId="0" applyNumberFormat="1" applyFont="1" applyFill="1"/>
    <xf numFmtId="0" fontId="16" fillId="2" borderId="0" xfId="0" applyFont="1" applyFill="1"/>
    <xf numFmtId="0" fontId="11" fillId="0" borderId="2" xfId="0" applyFont="1" applyBorder="1"/>
    <xf numFmtId="4" fontId="15" fillId="2" borderId="2" xfId="0" applyNumberFormat="1" applyFont="1" applyFill="1" applyBorder="1"/>
    <xf numFmtId="4" fontId="15" fillId="2" borderId="3" xfId="0" applyNumberFormat="1" applyFont="1" applyFill="1" applyBorder="1"/>
    <xf numFmtId="4" fontId="15" fillId="2" borderId="0" xfId="0" applyNumberFormat="1" applyFont="1" applyFill="1" applyAlignment="1">
      <alignment horizontal="right"/>
    </xf>
    <xf numFmtId="4" fontId="16" fillId="2" borderId="0" xfId="0" applyNumberFormat="1" applyFont="1" applyFill="1" applyAlignment="1">
      <alignment horizontal="right"/>
    </xf>
    <xf numFmtId="171" fontId="10" fillId="2" borderId="2" xfId="0" applyNumberFormat="1" applyFont="1" applyFill="1" applyBorder="1"/>
    <xf numFmtId="10" fontId="10" fillId="2" borderId="2" xfId="0" applyNumberFormat="1" applyFont="1" applyFill="1" applyBorder="1"/>
    <xf numFmtId="10" fontId="10" fillId="2" borderId="3" xfId="0" applyNumberFormat="1" applyFont="1" applyFill="1" applyBorder="1"/>
    <xf numFmtId="0" fontId="11" fillId="0" borderId="0" xfId="0" applyFont="1"/>
    <xf numFmtId="0" fontId="17" fillId="2" borderId="0" xfId="0" applyFont="1" applyFill="1"/>
    <xf numFmtId="9" fontId="0" fillId="3" borderId="0" xfId="0" applyNumberFormat="1" applyFill="1"/>
    <xf numFmtId="9" fontId="11" fillId="3" borderId="3" xfId="0" applyNumberFormat="1" applyFont="1" applyFill="1" applyBorder="1"/>
    <xf numFmtId="171" fontId="11" fillId="3" borderId="2" xfId="0" applyNumberFormat="1" applyFont="1" applyFill="1" applyBorder="1"/>
    <xf numFmtId="171" fontId="11" fillId="3" borderId="3" xfId="0" applyNumberFormat="1" applyFont="1" applyFill="1" applyBorder="1"/>
    <xf numFmtId="4" fontId="14" fillId="2" borderId="0" xfId="0" applyNumberFormat="1" applyFont="1" applyFill="1"/>
    <xf numFmtId="0" fontId="14" fillId="2" borderId="0" xfId="0" applyFont="1" applyFill="1"/>
    <xf numFmtId="4" fontId="11" fillId="2" borderId="10" xfId="0" applyNumberFormat="1" applyFont="1" applyFill="1" applyBorder="1"/>
    <xf numFmtId="4" fontId="11" fillId="2" borderId="3" xfId="0" applyNumberFormat="1" applyFont="1" applyFill="1" applyBorder="1"/>
    <xf numFmtId="0" fontId="14" fillId="3" borderId="0" xfId="0" applyFont="1" applyFill="1"/>
    <xf numFmtId="10" fontId="11" fillId="2" borderId="3" xfId="0" applyNumberFormat="1" applyFont="1" applyFill="1" applyBorder="1"/>
    <xf numFmtId="10" fontId="11" fillId="2" borderId="2" xfId="0" applyNumberFormat="1" applyFont="1" applyFill="1" applyBorder="1"/>
    <xf numFmtId="4" fontId="15" fillId="2" borderId="0" xfId="0" applyNumberFormat="1" applyFont="1" applyFill="1"/>
    <xf numFmtId="171" fontId="15" fillId="2" borderId="2" xfId="0" applyNumberFormat="1" applyFont="1" applyFill="1" applyBorder="1"/>
    <xf numFmtId="10" fontId="15" fillId="2" borderId="2" xfId="0" applyNumberFormat="1" applyFont="1" applyFill="1" applyBorder="1"/>
    <xf numFmtId="10" fontId="15" fillId="2" borderId="3" xfId="0" applyNumberFormat="1" applyFont="1" applyFill="1" applyBorder="1"/>
    <xf numFmtId="4" fontId="11" fillId="3" borderId="2" xfId="0" applyNumberFormat="1" applyFont="1" applyFill="1" applyBorder="1" applyAlignment="1">
      <alignment horizontal="center" vertical="center"/>
    </xf>
    <xf numFmtId="4" fontId="11" fillId="3" borderId="3" xfId="0" applyNumberFormat="1" applyFont="1" applyFill="1" applyBorder="1" applyAlignment="1">
      <alignment horizontal="center" vertical="center"/>
    </xf>
    <xf numFmtId="4" fontId="0" fillId="0" borderId="2" xfId="0" applyNumberFormat="1" applyBorder="1" applyAlignment="1">
      <alignment horizontal="center" vertical="center"/>
    </xf>
    <xf numFmtId="0" fontId="0" fillId="0" borderId="11" xfId="0" applyBorder="1"/>
    <xf numFmtId="0" fontId="11" fillId="3" borderId="0" xfId="0" applyFont="1" applyFill="1"/>
    <xf numFmtId="17" fontId="0" fillId="3" borderId="0" xfId="0" applyNumberFormat="1" applyFill="1"/>
    <xf numFmtId="0" fontId="7" fillId="0" borderId="0" xfId="1"/>
    <xf numFmtId="4" fontId="7" fillId="0" borderId="0" xfId="1" applyNumberFormat="1"/>
    <xf numFmtId="9" fontId="7" fillId="0" borderId="0" xfId="1" applyNumberFormat="1"/>
    <xf numFmtId="4" fontId="9" fillId="0" borderId="2" xfId="1" applyNumberFormat="1" applyFont="1" applyBorder="1"/>
    <xf numFmtId="4" fontId="7" fillId="0" borderId="2" xfId="1" applyNumberFormat="1" applyBorder="1"/>
    <xf numFmtId="0" fontId="9" fillId="0" borderId="2" xfId="1" applyFont="1" applyBorder="1"/>
    <xf numFmtId="17" fontId="8" fillId="10" borderId="2" xfId="1" applyNumberFormat="1" applyFont="1" applyFill="1" applyBorder="1"/>
    <xf numFmtId="9" fontId="7" fillId="0" borderId="2" xfId="1" applyNumberFormat="1" applyBorder="1"/>
    <xf numFmtId="17" fontId="8" fillId="10" borderId="13" xfId="1" applyNumberFormat="1" applyFont="1" applyFill="1" applyBorder="1"/>
    <xf numFmtId="9" fontId="7" fillId="0" borderId="17" xfId="1" applyNumberFormat="1" applyBorder="1"/>
    <xf numFmtId="0" fontId="0" fillId="0" borderId="2" xfId="0" applyBorder="1"/>
    <xf numFmtId="4" fontId="14" fillId="0" borderId="2" xfId="0" applyNumberFormat="1" applyFont="1" applyBorder="1"/>
    <xf numFmtId="4" fontId="0" fillId="0" borderId="2" xfId="0" applyNumberFormat="1" applyBorder="1"/>
    <xf numFmtId="0" fontId="14" fillId="0" borderId="2" xfId="0" applyFont="1" applyBorder="1"/>
    <xf numFmtId="4" fontId="0" fillId="0" borderId="3" xfId="0" applyNumberFormat="1" applyBorder="1"/>
    <xf numFmtId="4" fontId="0" fillId="0" borderId="12" xfId="0" applyNumberFormat="1" applyBorder="1"/>
    <xf numFmtId="4" fontId="11" fillId="0" borderId="2" xfId="0" applyNumberFormat="1" applyFont="1" applyBorder="1"/>
    <xf numFmtId="0" fontId="0" fillId="0" borderId="2" xfId="0" applyBorder="1" applyAlignment="1">
      <alignment horizontal="center"/>
    </xf>
    <xf numFmtId="10" fontId="0" fillId="0" borderId="0" xfId="0" applyNumberFormat="1"/>
    <xf numFmtId="0" fontId="11" fillId="0" borderId="10" xfId="0" applyFont="1" applyBorder="1"/>
    <xf numFmtId="4" fontId="0" fillId="3" borderId="2" xfId="0" applyNumberFormat="1" applyFill="1" applyBorder="1"/>
    <xf numFmtId="0" fontId="0" fillId="3" borderId="2" xfId="0" applyFill="1" applyBorder="1"/>
    <xf numFmtId="4" fontId="11" fillId="3" borderId="0" xfId="0" applyNumberFormat="1" applyFont="1" applyFill="1"/>
    <xf numFmtId="0" fontId="11" fillId="3" borderId="2" xfId="0" applyFont="1" applyFill="1" applyBorder="1"/>
    <xf numFmtId="4" fontId="11" fillId="3" borderId="2" xfId="0" applyNumberFormat="1" applyFont="1" applyFill="1" applyBorder="1"/>
    <xf numFmtId="9" fontId="7" fillId="0" borderId="34" xfId="1" applyNumberFormat="1" applyBorder="1"/>
    <xf numFmtId="4" fontId="7" fillId="0" borderId="34" xfId="1" applyNumberFormat="1" applyBorder="1"/>
    <xf numFmtId="4" fontId="14" fillId="3" borderId="0" xfId="0" applyNumberFormat="1" applyFont="1" applyFill="1"/>
    <xf numFmtId="4" fontId="11" fillId="3" borderId="0" xfId="0" applyNumberFormat="1" applyFont="1" applyFill="1" applyAlignment="1">
      <alignment horizontal="center" vertical="center"/>
    </xf>
    <xf numFmtId="4" fontId="0" fillId="0" borderId="0" xfId="0" applyNumberFormat="1" applyAlignment="1">
      <alignment horizontal="center" vertical="center"/>
    </xf>
    <xf numFmtId="0" fontId="9" fillId="0" borderId="0" xfId="1" applyFont="1"/>
    <xf numFmtId="0" fontId="7" fillId="3" borderId="0" xfId="1" applyFill="1"/>
    <xf numFmtId="0" fontId="7" fillId="3" borderId="2" xfId="1" applyFill="1" applyBorder="1"/>
    <xf numFmtId="17" fontId="8" fillId="10" borderId="37" xfId="1" applyNumberFormat="1" applyFont="1" applyFill="1" applyBorder="1"/>
    <xf numFmtId="17" fontId="8" fillId="10" borderId="38" xfId="1" applyNumberFormat="1" applyFont="1" applyFill="1" applyBorder="1"/>
    <xf numFmtId="0" fontId="7" fillId="0" borderId="2" xfId="1" applyBorder="1"/>
    <xf numFmtId="0" fontId="0" fillId="10" borderId="0" xfId="0" applyFill="1"/>
    <xf numFmtId="0" fontId="20" fillId="10" borderId="0" xfId="0" applyFont="1" applyFill="1"/>
    <xf numFmtId="0" fontId="0" fillId="3" borderId="0" xfId="0" applyFill="1" applyAlignment="1">
      <alignment horizontal="center"/>
    </xf>
    <xf numFmtId="4" fontId="0" fillId="3" borderId="0" xfId="0" applyNumberFormat="1" applyFill="1" applyAlignment="1">
      <alignment horizontal="center"/>
    </xf>
    <xf numFmtId="0" fontId="20" fillId="10" borderId="2" xfId="0" applyFont="1" applyFill="1" applyBorder="1" applyAlignment="1">
      <alignment horizontal="center"/>
    </xf>
    <xf numFmtId="9" fontId="7" fillId="0" borderId="3" xfId="1" applyNumberFormat="1" applyBorder="1"/>
    <xf numFmtId="0" fontId="9" fillId="0" borderId="0" xfId="1" applyFont="1" applyAlignment="1">
      <alignment horizontal="center" wrapText="1"/>
    </xf>
    <xf numFmtId="0" fontId="9" fillId="0" borderId="10" xfId="1" applyFont="1" applyBorder="1"/>
    <xf numFmtId="4" fontId="7" fillId="0" borderId="3" xfId="1" applyNumberFormat="1" applyBorder="1"/>
    <xf numFmtId="0" fontId="9" fillId="0" borderId="0" xfId="1" applyFont="1" applyAlignment="1">
      <alignment horizontal="center" vertical="center" wrapText="1"/>
    </xf>
    <xf numFmtId="0" fontId="9" fillId="0" borderId="2" xfId="1" applyFont="1" applyBorder="1" applyAlignment="1">
      <alignment horizontal="center" vertical="center" wrapText="1"/>
    </xf>
    <xf numFmtId="0" fontId="20" fillId="10" borderId="2" xfId="0" applyFont="1" applyFill="1" applyBorder="1"/>
    <xf numFmtId="170" fontId="12" fillId="6" borderId="2" xfId="0" applyNumberFormat="1" applyFont="1" applyFill="1" applyBorder="1"/>
    <xf numFmtId="4" fontId="20" fillId="14" borderId="2" xfId="0" applyNumberFormat="1" applyFont="1" applyFill="1" applyBorder="1"/>
    <xf numFmtId="4" fontId="20" fillId="14" borderId="2" xfId="0" applyNumberFormat="1" applyFont="1" applyFill="1" applyBorder="1" applyAlignment="1">
      <alignment horizontal="center"/>
    </xf>
    <xf numFmtId="0" fontId="20" fillId="14" borderId="20" xfId="0" applyFont="1" applyFill="1" applyBorder="1"/>
    <xf numFmtId="0" fontId="20" fillId="14" borderId="2" xfId="0" applyFont="1" applyFill="1" applyBorder="1"/>
    <xf numFmtId="0" fontId="20" fillId="14" borderId="21" xfId="0" applyFont="1" applyFill="1" applyBorder="1"/>
    <xf numFmtId="0" fontId="20" fillId="14" borderId="19" xfId="0" applyFont="1" applyFill="1" applyBorder="1"/>
    <xf numFmtId="0" fontId="14" fillId="3" borderId="2" xfId="0" applyFont="1" applyFill="1" applyBorder="1"/>
    <xf numFmtId="9" fontId="0" fillId="3" borderId="2" xfId="0" applyNumberFormat="1" applyFill="1" applyBorder="1"/>
    <xf numFmtId="0" fontId="11" fillId="3" borderId="0" xfId="0" applyFont="1" applyFill="1" applyAlignment="1">
      <alignment horizontal="center"/>
    </xf>
    <xf numFmtId="0" fontId="20" fillId="10" borderId="6" xfId="0" applyFont="1" applyFill="1" applyBorder="1" applyAlignment="1">
      <alignment horizontal="center"/>
    </xf>
    <xf numFmtId="0" fontId="20" fillId="10" borderId="7" xfId="0" applyFont="1" applyFill="1" applyBorder="1" applyAlignment="1">
      <alignment horizontal="center"/>
    </xf>
    <xf numFmtId="170" fontId="12" fillId="6" borderId="48" xfId="0" applyNumberFormat="1" applyFont="1" applyFill="1" applyBorder="1" applyAlignment="1">
      <alignment horizontal="center" vertical="center"/>
    </xf>
    <xf numFmtId="170" fontId="12" fillId="6" borderId="28" xfId="0" applyNumberFormat="1" applyFont="1" applyFill="1" applyBorder="1" applyAlignment="1">
      <alignment horizontal="center" vertical="center"/>
    </xf>
    <xf numFmtId="170" fontId="12" fillId="6" borderId="28" xfId="0" applyNumberFormat="1" applyFont="1" applyFill="1" applyBorder="1" applyAlignment="1">
      <alignment horizontal="center"/>
    </xf>
    <xf numFmtId="170" fontId="12" fillId="6" borderId="29" xfId="0" applyNumberFormat="1" applyFont="1" applyFill="1" applyBorder="1" applyAlignment="1">
      <alignment horizontal="center"/>
    </xf>
    <xf numFmtId="4" fontId="0" fillId="10" borderId="0" xfId="0" applyNumberFormat="1" applyFill="1"/>
    <xf numFmtId="0" fontId="14" fillId="10" borderId="0" xfId="0" applyFont="1" applyFill="1"/>
    <xf numFmtId="0" fontId="0" fillId="3" borderId="3" xfId="0" applyFill="1" applyBorder="1"/>
    <xf numFmtId="0" fontId="0" fillId="3" borderId="20" xfId="0" applyFill="1" applyBorder="1"/>
    <xf numFmtId="0" fontId="0" fillId="10" borderId="50" xfId="0" applyFill="1" applyBorder="1"/>
    <xf numFmtId="0" fontId="0" fillId="10" borderId="51" xfId="0" applyFill="1" applyBorder="1"/>
    <xf numFmtId="0" fontId="0" fillId="10" borderId="52" xfId="0" applyFill="1" applyBorder="1"/>
    <xf numFmtId="0" fontId="0" fillId="10" borderId="53" xfId="0" applyFill="1" applyBorder="1"/>
    <xf numFmtId="4" fontId="11" fillId="3" borderId="3" xfId="0" applyNumberFormat="1" applyFont="1" applyFill="1" applyBorder="1"/>
    <xf numFmtId="4" fontId="11" fillId="3" borderId="10" xfId="0" applyNumberFormat="1" applyFont="1" applyFill="1" applyBorder="1"/>
    <xf numFmtId="4" fontId="11" fillId="3" borderId="19" xfId="0" applyNumberFormat="1" applyFont="1" applyFill="1" applyBorder="1"/>
    <xf numFmtId="0" fontId="0" fillId="10" borderId="32" xfId="0" applyFill="1" applyBorder="1"/>
    <xf numFmtId="0" fontId="13" fillId="2" borderId="0" xfId="0" applyFont="1" applyFill="1" applyAlignment="1">
      <alignment wrapText="1"/>
    </xf>
    <xf numFmtId="0" fontId="20" fillId="10" borderId="48" xfId="0" applyFont="1" applyFill="1" applyBorder="1" applyAlignment="1">
      <alignment horizontal="center"/>
    </xf>
    <xf numFmtId="0" fontId="12" fillId="15" borderId="29" xfId="0" applyFont="1" applyFill="1" applyBorder="1" applyAlignment="1">
      <alignment horizontal="center"/>
    </xf>
    <xf numFmtId="0" fontId="0" fillId="15" borderId="7" xfId="0" applyFill="1" applyBorder="1"/>
    <xf numFmtId="170" fontId="12" fillId="6" borderId="27" xfId="0" applyNumberFormat="1" applyFont="1" applyFill="1" applyBorder="1" applyAlignment="1">
      <alignment horizontal="center" vertical="center"/>
    </xf>
    <xf numFmtId="0" fontId="11" fillId="10" borderId="52" xfId="0" applyFont="1" applyFill="1" applyBorder="1" applyAlignment="1">
      <alignment horizontal="center"/>
    </xf>
    <xf numFmtId="4" fontId="0" fillId="10" borderId="6" xfId="0" applyNumberFormat="1" applyFill="1" applyBorder="1" applyAlignment="1">
      <alignment horizontal="center"/>
    </xf>
    <xf numFmtId="0" fontId="0" fillId="10" borderId="7" xfId="0" applyFill="1" applyBorder="1"/>
    <xf numFmtId="17" fontId="11" fillId="0" borderId="28" xfId="0" applyNumberFormat="1" applyFont="1" applyBorder="1" applyAlignment="1">
      <alignment horizontal="center"/>
    </xf>
    <xf numFmtId="4" fontId="0" fillId="0" borderId="10" xfId="0" applyNumberFormat="1" applyBorder="1"/>
    <xf numFmtId="0" fontId="0" fillId="0" borderId="12" xfId="0" applyBorder="1"/>
    <xf numFmtId="0" fontId="12" fillId="17" borderId="4" xfId="0" applyFont="1" applyFill="1" applyBorder="1" applyAlignment="1">
      <alignment vertical="center"/>
    </xf>
    <xf numFmtId="4" fontId="12" fillId="17" borderId="2" xfId="0" applyNumberFormat="1" applyFont="1" applyFill="1" applyBorder="1" applyAlignment="1">
      <alignment vertical="center"/>
    </xf>
    <xf numFmtId="0" fontId="12" fillId="15" borderId="2" xfId="0" applyFont="1" applyFill="1" applyBorder="1" applyAlignment="1">
      <alignment horizontal="center"/>
    </xf>
    <xf numFmtId="9" fontId="0" fillId="3" borderId="2" xfId="0" applyNumberFormat="1" applyFill="1" applyBorder="1" applyAlignment="1">
      <alignment horizontal="center" vertical="center"/>
    </xf>
    <xf numFmtId="9" fontId="0" fillId="3" borderId="2" xfId="0" applyNumberFormat="1" applyFill="1" applyBorder="1" applyAlignment="1">
      <alignment horizontal="center"/>
    </xf>
    <xf numFmtId="9" fontId="0" fillId="3" borderId="2" xfId="3" applyFont="1" applyFill="1" applyBorder="1" applyAlignment="1">
      <alignment horizontal="center"/>
    </xf>
    <xf numFmtId="0" fontId="20" fillId="10" borderId="55" xfId="0" applyFont="1" applyFill="1" applyBorder="1"/>
    <xf numFmtId="0" fontId="27" fillId="3" borderId="0" xfId="4" applyFont="1" applyFill="1"/>
    <xf numFmtId="0" fontId="29" fillId="3" borderId="0" xfId="4" applyFont="1" applyFill="1"/>
    <xf numFmtId="0" fontId="28" fillId="2" borderId="2" xfId="4" applyFont="1" applyFill="1" applyBorder="1" applyAlignment="1">
      <alignment horizontal="center"/>
    </xf>
    <xf numFmtId="173" fontId="28" fillId="2" borderId="2" xfId="4" applyNumberFormat="1" applyFont="1" applyFill="1" applyBorder="1" applyAlignment="1">
      <alignment horizontal="center"/>
    </xf>
    <xf numFmtId="2" fontId="28" fillId="2" borderId="2" xfId="5" applyNumberFormat="1" applyFont="1" applyFill="1" applyBorder="1" applyAlignment="1">
      <alignment horizontal="center"/>
    </xf>
    <xf numFmtId="0" fontId="28" fillId="2" borderId="2" xfId="4" applyFont="1" applyFill="1" applyBorder="1"/>
    <xf numFmtId="17" fontId="29" fillId="2" borderId="39" xfId="4" applyNumberFormat="1" applyFont="1" applyFill="1" applyBorder="1"/>
    <xf numFmtId="4" fontId="30" fillId="2" borderId="39" xfId="4" applyNumberFormat="1" applyFont="1" applyFill="1" applyBorder="1"/>
    <xf numFmtId="17" fontId="13" fillId="2" borderId="2" xfId="4" applyNumberFormat="1" applyFont="1" applyFill="1" applyBorder="1"/>
    <xf numFmtId="0" fontId="14" fillId="2" borderId="2" xfId="4" applyFill="1" applyBorder="1"/>
    <xf numFmtId="0" fontId="14" fillId="19" borderId="0" xfId="4" applyFill="1"/>
    <xf numFmtId="14" fontId="13" fillId="2" borderId="39" xfId="4" applyNumberFormat="1" applyFont="1" applyFill="1" applyBorder="1"/>
    <xf numFmtId="0" fontId="13" fillId="2" borderId="39" xfId="4" applyFont="1" applyFill="1" applyBorder="1"/>
    <xf numFmtId="173" fontId="13" fillId="19" borderId="39" xfId="4" applyNumberFormat="1" applyFont="1" applyFill="1" applyBorder="1"/>
    <xf numFmtId="17" fontId="13" fillId="2" borderId="39" xfId="4" applyNumberFormat="1" applyFont="1" applyFill="1" applyBorder="1"/>
    <xf numFmtId="0" fontId="14" fillId="2" borderId="0" xfId="4" applyFill="1"/>
    <xf numFmtId="4" fontId="14" fillId="2" borderId="0" xfId="4" applyNumberFormat="1" applyFill="1"/>
    <xf numFmtId="0" fontId="14" fillId="3" borderId="0" xfId="4" applyFill="1"/>
    <xf numFmtId="4" fontId="30" fillId="4" borderId="39" xfId="4" applyNumberFormat="1" applyFont="1" applyFill="1" applyBorder="1"/>
    <xf numFmtId="14" fontId="13" fillId="19" borderId="39" xfId="4" applyNumberFormat="1" applyFont="1" applyFill="1" applyBorder="1"/>
    <xf numFmtId="0" fontId="13" fillId="19" borderId="39" xfId="4" applyFont="1" applyFill="1" applyBorder="1"/>
    <xf numFmtId="9" fontId="14" fillId="2" borderId="0" xfId="4" applyNumberFormat="1" applyFill="1"/>
    <xf numFmtId="166" fontId="14" fillId="2" borderId="0" xfId="4" applyNumberFormat="1" applyFill="1"/>
    <xf numFmtId="0" fontId="13" fillId="19" borderId="0" xfId="4" applyFont="1" applyFill="1"/>
    <xf numFmtId="166" fontId="14" fillId="3" borderId="0" xfId="4" applyNumberFormat="1" applyFill="1"/>
    <xf numFmtId="14" fontId="14" fillId="2" borderId="2" xfId="4" applyNumberFormat="1" applyFill="1" applyBorder="1"/>
    <xf numFmtId="4" fontId="14" fillId="2" borderId="2" xfId="4" applyNumberFormat="1" applyFill="1" applyBorder="1"/>
    <xf numFmtId="17" fontId="14" fillId="2" borderId="2" xfId="4" applyNumberFormat="1" applyFill="1" applyBorder="1"/>
    <xf numFmtId="173" fontId="13" fillId="19" borderId="4" xfId="4" applyNumberFormat="1" applyFont="1" applyFill="1" applyBorder="1"/>
    <xf numFmtId="0" fontId="14" fillId="2" borderId="4" xfId="4" applyFill="1" applyBorder="1"/>
    <xf numFmtId="0" fontId="14" fillId="2" borderId="39" xfId="4" applyFill="1" applyBorder="1"/>
    <xf numFmtId="0" fontId="13" fillId="19" borderId="45" xfId="4" applyFont="1" applyFill="1" applyBorder="1"/>
    <xf numFmtId="17" fontId="13" fillId="2" borderId="40" xfId="4" applyNumberFormat="1" applyFont="1" applyFill="1" applyBorder="1"/>
    <xf numFmtId="4" fontId="13" fillId="2" borderId="0" xfId="4" applyNumberFormat="1" applyFont="1" applyFill="1"/>
    <xf numFmtId="4" fontId="14" fillId="3" borderId="0" xfId="4" applyNumberFormat="1" applyFill="1"/>
    <xf numFmtId="0" fontId="14" fillId="3" borderId="2" xfId="4" applyFill="1" applyBorder="1"/>
    <xf numFmtId="0" fontId="14" fillId="0" borderId="2" xfId="4" applyBorder="1"/>
    <xf numFmtId="0" fontId="14" fillId="0" borderId="0" xfId="4"/>
    <xf numFmtId="0" fontId="14" fillId="13" borderId="0" xfId="4" applyFill="1"/>
    <xf numFmtId="0" fontId="29" fillId="3" borderId="2" xfId="4" applyFont="1" applyFill="1" applyBorder="1" applyAlignment="1">
      <alignment vertical="center" wrapText="1"/>
    </xf>
    <xf numFmtId="14" fontId="27" fillId="3" borderId="2" xfId="4" applyNumberFormat="1" applyFont="1" applyFill="1" applyBorder="1"/>
    <xf numFmtId="0" fontId="27" fillId="3" borderId="2" xfId="4" applyFont="1" applyFill="1" applyBorder="1"/>
    <xf numFmtId="17" fontId="27" fillId="3" borderId="2" xfId="4" applyNumberFormat="1" applyFont="1" applyFill="1" applyBorder="1"/>
    <xf numFmtId="0" fontId="27" fillId="0" borderId="2" xfId="4" applyFont="1" applyBorder="1"/>
    <xf numFmtId="0" fontId="27" fillId="0" borderId="0" xfId="4" applyFont="1"/>
    <xf numFmtId="4" fontId="27" fillId="3" borderId="2" xfId="5" applyNumberFormat="1" applyFont="1" applyFill="1" applyBorder="1"/>
    <xf numFmtId="4" fontId="27" fillId="0" borderId="2" xfId="5" applyNumberFormat="1" applyFont="1" applyFill="1" applyBorder="1"/>
    <xf numFmtId="17" fontId="27" fillId="0" borderId="2" xfId="4" applyNumberFormat="1" applyFont="1" applyBorder="1"/>
    <xf numFmtId="0" fontId="20" fillId="10" borderId="38" xfId="0" applyFont="1" applyFill="1" applyBorder="1"/>
    <xf numFmtId="4" fontId="11" fillId="0" borderId="2" xfId="0" applyNumberFormat="1" applyFont="1" applyBorder="1" applyAlignment="1">
      <alignment horizontal="center"/>
    </xf>
    <xf numFmtId="4" fontId="11" fillId="3" borderId="2" xfId="0" applyNumberFormat="1" applyFont="1" applyFill="1" applyBorder="1" applyAlignment="1">
      <alignment horizontal="center"/>
    </xf>
    <xf numFmtId="4" fontId="0" fillId="12" borderId="0" xfId="0" applyNumberFormat="1" applyFill="1"/>
    <xf numFmtId="9" fontId="11" fillId="0" borderId="43" xfId="0" applyNumberFormat="1" applyFont="1" applyBorder="1" applyAlignment="1">
      <alignment horizontal="center"/>
    </xf>
    <xf numFmtId="4" fontId="11" fillId="0" borderId="44" xfId="0" applyNumberFormat="1" applyFont="1" applyBorder="1" applyAlignment="1">
      <alignment horizontal="center"/>
    </xf>
    <xf numFmtId="14" fontId="20" fillId="10" borderId="55" xfId="0" applyNumberFormat="1" applyFont="1" applyFill="1" applyBorder="1"/>
    <xf numFmtId="4" fontId="11" fillId="2" borderId="0" xfId="0" applyNumberFormat="1" applyFont="1" applyFill="1"/>
    <xf numFmtId="4" fontId="11" fillId="22" borderId="0" xfId="0" applyNumberFormat="1" applyFont="1" applyFill="1"/>
    <xf numFmtId="14" fontId="14" fillId="0" borderId="2" xfId="4" applyNumberFormat="1" applyBorder="1"/>
    <xf numFmtId="0" fontId="35" fillId="0" borderId="2" xfId="0" applyFont="1" applyBorder="1" applyAlignment="1" applyProtection="1">
      <alignment horizontal="left" vertical="center" wrapText="1"/>
      <protection locked="0"/>
    </xf>
    <xf numFmtId="0" fontId="28" fillId="0" borderId="2" xfId="4" applyFont="1" applyBorder="1" applyAlignment="1">
      <alignment horizontal="center"/>
    </xf>
    <xf numFmtId="0" fontId="20" fillId="10" borderId="59" xfId="0" applyFont="1" applyFill="1" applyBorder="1"/>
    <xf numFmtId="176" fontId="20" fillId="10" borderId="0" xfId="0" applyNumberFormat="1" applyFont="1" applyFill="1"/>
    <xf numFmtId="0" fontId="20" fillId="12" borderId="55" xfId="0" applyFont="1" applyFill="1" applyBorder="1"/>
    <xf numFmtId="177" fontId="20" fillId="10" borderId="55" xfId="0" applyNumberFormat="1" applyFont="1" applyFill="1" applyBorder="1"/>
    <xf numFmtId="177" fontId="20" fillId="10" borderId="60" xfId="0" applyNumberFormat="1" applyFont="1" applyFill="1" applyBorder="1"/>
    <xf numFmtId="177" fontId="20" fillId="10" borderId="61" xfId="0" applyNumberFormat="1" applyFont="1" applyFill="1" applyBorder="1"/>
    <xf numFmtId="178" fontId="20" fillId="10" borderId="0" xfId="0" applyNumberFormat="1" applyFont="1" applyFill="1"/>
    <xf numFmtId="177" fontId="20" fillId="10" borderId="0" xfId="0" applyNumberFormat="1" applyFont="1" applyFill="1"/>
    <xf numFmtId="0" fontId="20" fillId="10" borderId="55" xfId="0" applyFont="1" applyFill="1" applyBorder="1" applyAlignment="1">
      <alignment horizontal="center"/>
    </xf>
    <xf numFmtId="179" fontId="20" fillId="10" borderId="0" xfId="0" applyNumberFormat="1" applyFont="1" applyFill="1"/>
    <xf numFmtId="4" fontId="0" fillId="3" borderId="31" xfId="0" applyNumberFormat="1" applyFill="1" applyBorder="1"/>
    <xf numFmtId="4" fontId="0" fillId="3" borderId="33" xfId="0" applyNumberFormat="1" applyFill="1" applyBorder="1"/>
    <xf numFmtId="4" fontId="0" fillId="3" borderId="41" xfId="0" applyNumberFormat="1" applyFill="1" applyBorder="1"/>
    <xf numFmtId="4" fontId="0" fillId="3" borderId="42" xfId="0" applyNumberFormat="1" applyFill="1" applyBorder="1"/>
    <xf numFmtId="17" fontId="11" fillId="0" borderId="44" xfId="0" applyNumberFormat="1" applyFont="1" applyBorder="1" applyAlignment="1">
      <alignment horizontal="center"/>
    </xf>
    <xf numFmtId="0" fontId="0" fillId="0" borderId="34" xfId="0" applyBorder="1"/>
    <xf numFmtId="177" fontId="0" fillId="0" borderId="34" xfId="8" applyNumberFormat="1" applyFont="1" applyBorder="1"/>
    <xf numFmtId="177" fontId="0" fillId="0" borderId="2" xfId="8" applyNumberFormat="1" applyFont="1" applyBorder="1"/>
    <xf numFmtId="177" fontId="0" fillId="0" borderId="0" xfId="0" applyNumberFormat="1"/>
    <xf numFmtId="177" fontId="33" fillId="0" borderId="34" xfId="8" applyNumberFormat="1" applyFont="1" applyBorder="1"/>
    <xf numFmtId="177" fontId="33" fillId="0" borderId="2" xfId="8" applyNumberFormat="1" applyFont="1" applyBorder="1"/>
    <xf numFmtId="165" fontId="0" fillId="0" borderId="0" xfId="8" applyFont="1"/>
    <xf numFmtId="165" fontId="0" fillId="0" borderId="0" xfId="0" applyNumberFormat="1"/>
    <xf numFmtId="9" fontId="0" fillId="0" borderId="0" xfId="3" applyFont="1"/>
    <xf numFmtId="177" fontId="33" fillId="0" borderId="56" xfId="8" applyNumberFormat="1" applyFont="1" applyBorder="1"/>
    <xf numFmtId="165" fontId="0" fillId="0" borderId="2" xfId="0" applyNumberFormat="1" applyBorder="1"/>
    <xf numFmtId="17" fontId="11" fillId="0" borderId="2" xfId="0" applyNumberFormat="1" applyFont="1" applyBorder="1" applyAlignment="1">
      <alignment horizontal="center" wrapText="1"/>
    </xf>
    <xf numFmtId="10" fontId="0" fillId="0" borderId="2" xfId="0" applyNumberFormat="1" applyBorder="1"/>
    <xf numFmtId="9" fontId="0" fillId="0" borderId="0" xfId="0" applyNumberFormat="1"/>
    <xf numFmtId="17" fontId="11" fillId="0" borderId="2" xfId="0" applyNumberFormat="1" applyFont="1" applyBorder="1" applyAlignment="1">
      <alignment horizontal="center"/>
    </xf>
    <xf numFmtId="17" fontId="11" fillId="0" borderId="2" xfId="0" applyNumberFormat="1" applyFont="1" applyBorder="1"/>
    <xf numFmtId="165" fontId="0" fillId="0" borderId="10" xfId="0" applyNumberFormat="1" applyBorder="1"/>
    <xf numFmtId="165" fontId="0" fillId="0" borderId="12" xfId="0" applyNumberFormat="1" applyBorder="1"/>
    <xf numFmtId="4" fontId="14" fillId="0" borderId="20" xfId="0" applyNumberFormat="1" applyFont="1" applyBorder="1"/>
    <xf numFmtId="4" fontId="0" fillId="0" borderId="19" xfId="0" applyNumberFormat="1" applyBorder="1"/>
    <xf numFmtId="0" fontId="14" fillId="0" borderId="12" xfId="0" applyFont="1" applyBorder="1"/>
    <xf numFmtId="0" fontId="11" fillId="13" borderId="12" xfId="0" applyFont="1" applyFill="1" applyBorder="1"/>
    <xf numFmtId="0" fontId="11" fillId="3" borderId="2" xfId="0" applyFont="1" applyFill="1" applyBorder="1" applyAlignment="1">
      <alignment horizontal="left"/>
    </xf>
    <xf numFmtId="0" fontId="11" fillId="3" borderId="0" xfId="0" applyFont="1" applyFill="1" applyAlignment="1">
      <alignment horizontal="left"/>
    </xf>
    <xf numFmtId="17" fontId="11" fillId="3" borderId="2" xfId="0" applyNumberFormat="1" applyFont="1" applyFill="1" applyBorder="1"/>
    <xf numFmtId="0" fontId="0" fillId="3" borderId="2" xfId="0" applyFill="1" applyBorder="1" applyAlignment="1">
      <alignment horizontal="left"/>
    </xf>
    <xf numFmtId="0" fontId="0" fillId="3" borderId="10" xfId="0" applyFill="1" applyBorder="1" applyAlignment="1">
      <alignment horizontal="left"/>
    </xf>
    <xf numFmtId="0" fontId="11" fillId="3" borderId="34" xfId="0" applyFont="1" applyFill="1" applyBorder="1"/>
    <xf numFmtId="0" fontId="0" fillId="3" borderId="31" xfId="0" applyFill="1" applyBorder="1"/>
    <xf numFmtId="0" fontId="0" fillId="3" borderId="41" xfId="0" applyFill="1" applyBorder="1"/>
    <xf numFmtId="0" fontId="11" fillId="3" borderId="17" xfId="0" applyFont="1" applyFill="1" applyBorder="1"/>
    <xf numFmtId="0" fontId="0" fillId="3" borderId="33" xfId="0" applyFill="1" applyBorder="1"/>
    <xf numFmtId="0" fontId="0" fillId="3" borderId="42" xfId="0" applyFill="1" applyBorder="1"/>
    <xf numFmtId="0" fontId="0" fillId="3" borderId="49" xfId="0" applyFill="1" applyBorder="1"/>
    <xf numFmtId="14" fontId="0" fillId="2" borderId="2" xfId="4" applyNumberFormat="1" applyFont="1" applyFill="1" applyBorder="1"/>
    <xf numFmtId="0" fontId="0" fillId="2" borderId="2" xfId="4" applyFont="1" applyFill="1" applyBorder="1"/>
    <xf numFmtId="165" fontId="13" fillId="0" borderId="39" xfId="4" applyNumberFormat="1" applyFont="1" applyBorder="1"/>
    <xf numFmtId="165" fontId="14" fillId="0" borderId="39" xfId="4" applyNumberFormat="1" applyBorder="1"/>
    <xf numFmtId="165" fontId="10" fillId="0" borderId="39" xfId="4" applyNumberFormat="1" applyFont="1" applyBorder="1"/>
    <xf numFmtId="165" fontId="14" fillId="0" borderId="40" xfId="4" applyNumberFormat="1" applyBorder="1"/>
    <xf numFmtId="17" fontId="11" fillId="3" borderId="2" xfId="0" applyNumberFormat="1" applyFont="1" applyFill="1" applyBorder="1" applyAlignment="1">
      <alignment horizontal="center"/>
    </xf>
    <xf numFmtId="0" fontId="20" fillId="14" borderId="3" xfId="0" applyFont="1" applyFill="1" applyBorder="1"/>
    <xf numFmtId="166" fontId="0" fillId="0" borderId="2" xfId="0" applyNumberFormat="1" applyBorder="1"/>
    <xf numFmtId="0" fontId="0" fillId="0" borderId="3" xfId="0" applyBorder="1"/>
    <xf numFmtId="4" fontId="0" fillId="3" borderId="3" xfId="0" applyNumberFormat="1" applyFill="1" applyBorder="1"/>
    <xf numFmtId="4" fontId="11" fillId="0" borderId="3" xfId="0" applyNumberFormat="1" applyFont="1" applyBorder="1"/>
    <xf numFmtId="9" fontId="0" fillId="0" borderId="2" xfId="0" applyNumberFormat="1" applyBorder="1"/>
    <xf numFmtId="0" fontId="0" fillId="13" borderId="0" xfId="4" applyFont="1" applyFill="1"/>
    <xf numFmtId="0" fontId="0" fillId="21" borderId="0" xfId="4" applyFont="1" applyFill="1"/>
    <xf numFmtId="0" fontId="0" fillId="0" borderId="0" xfId="4" applyFont="1"/>
    <xf numFmtId="4" fontId="27" fillId="0" borderId="0" xfId="5" applyNumberFormat="1" applyFont="1" applyFill="1" applyBorder="1"/>
    <xf numFmtId="4" fontId="14" fillId="0" borderId="2" xfId="4" applyNumberFormat="1" applyBorder="1"/>
    <xf numFmtId="0" fontId="14" fillId="2" borderId="2" xfId="0" applyFont="1" applyFill="1" applyBorder="1"/>
    <xf numFmtId="4" fontId="14" fillId="25" borderId="2" xfId="4" applyNumberFormat="1" applyFill="1" applyBorder="1"/>
    <xf numFmtId="14" fontId="13" fillId="2" borderId="40" xfId="4" applyNumberFormat="1" applyFont="1" applyFill="1" applyBorder="1"/>
    <xf numFmtId="173" fontId="13" fillId="19" borderId="40" xfId="4" applyNumberFormat="1" applyFont="1" applyFill="1" applyBorder="1"/>
    <xf numFmtId="165" fontId="13" fillId="0" borderId="40" xfId="4" applyNumberFormat="1" applyFont="1" applyBorder="1"/>
    <xf numFmtId="14" fontId="13" fillId="2" borderId="2" xfId="4" applyNumberFormat="1" applyFont="1" applyFill="1" applyBorder="1"/>
    <xf numFmtId="0" fontId="13" fillId="19" borderId="2" xfId="4" applyFont="1" applyFill="1" applyBorder="1"/>
    <xf numFmtId="173" fontId="13" fillId="19" borderId="2" xfId="4" applyNumberFormat="1" applyFont="1" applyFill="1" applyBorder="1"/>
    <xf numFmtId="165" fontId="13" fillId="0" borderId="2" xfId="4" applyNumberFormat="1" applyFont="1" applyBorder="1"/>
    <xf numFmtId="165" fontId="20" fillId="10" borderId="55" xfId="0" applyNumberFormat="1" applyFont="1" applyFill="1" applyBorder="1"/>
    <xf numFmtId="0" fontId="20" fillId="10" borderId="10" xfId="0" applyFont="1" applyFill="1" applyBorder="1"/>
    <xf numFmtId="0" fontId="20" fillId="10" borderId="65" xfId="0" applyFont="1" applyFill="1" applyBorder="1"/>
    <xf numFmtId="0" fontId="20" fillId="10" borderId="12" xfId="0" applyFont="1" applyFill="1" applyBorder="1"/>
    <xf numFmtId="0" fontId="20" fillId="10" borderId="20" xfId="0" applyFont="1" applyFill="1" applyBorder="1"/>
    <xf numFmtId="0" fontId="20" fillId="10" borderId="66" xfId="0" applyFont="1" applyFill="1" applyBorder="1"/>
    <xf numFmtId="0" fontId="20" fillId="10" borderId="67" xfId="0" applyFont="1" applyFill="1" applyBorder="1"/>
    <xf numFmtId="0" fontId="20" fillId="10" borderId="69" xfId="0" applyFont="1" applyFill="1" applyBorder="1"/>
    <xf numFmtId="0" fontId="20" fillId="10" borderId="68" xfId="0" applyFont="1" applyFill="1" applyBorder="1"/>
    <xf numFmtId="0" fontId="20" fillId="10" borderId="70" xfId="0" applyFont="1" applyFill="1" applyBorder="1"/>
    <xf numFmtId="0" fontId="20" fillId="10" borderId="71" xfId="0" applyFont="1" applyFill="1" applyBorder="1"/>
    <xf numFmtId="0" fontId="20" fillId="10" borderId="72" xfId="0" applyFont="1" applyFill="1" applyBorder="1"/>
    <xf numFmtId="0" fontId="20" fillId="10" borderId="73" xfId="0" applyFont="1" applyFill="1" applyBorder="1"/>
    <xf numFmtId="0" fontId="20" fillId="10" borderId="75" xfId="0" applyFont="1" applyFill="1" applyBorder="1"/>
    <xf numFmtId="0" fontId="20" fillId="10" borderId="76" xfId="0" applyFont="1" applyFill="1" applyBorder="1"/>
    <xf numFmtId="0" fontId="20" fillId="10" borderId="60" xfId="0" applyFont="1" applyFill="1" applyBorder="1"/>
    <xf numFmtId="177" fontId="20" fillId="10" borderId="0" xfId="8" applyNumberFormat="1" applyFont="1" applyFill="1"/>
    <xf numFmtId="177" fontId="20" fillId="10" borderId="60" xfId="8" applyNumberFormat="1" applyFont="1" applyFill="1" applyBorder="1" applyAlignment="1">
      <alignment horizontal="center"/>
    </xf>
    <xf numFmtId="177" fontId="20" fillId="10" borderId="2" xfId="8" applyNumberFormat="1" applyFont="1" applyFill="1" applyBorder="1"/>
    <xf numFmtId="177" fontId="20" fillId="10" borderId="60" xfId="8" applyNumberFormat="1" applyFont="1" applyFill="1" applyBorder="1"/>
    <xf numFmtId="177" fontId="20" fillId="10" borderId="10" xfId="8" applyNumberFormat="1" applyFont="1" applyFill="1" applyBorder="1"/>
    <xf numFmtId="177" fontId="20" fillId="10" borderId="72" xfId="8" applyNumberFormat="1" applyFont="1" applyFill="1" applyBorder="1"/>
    <xf numFmtId="177" fontId="20" fillId="10" borderId="74" xfId="8" applyNumberFormat="1" applyFont="1" applyFill="1" applyBorder="1"/>
    <xf numFmtId="177" fontId="20" fillId="10" borderId="55" xfId="8" applyNumberFormat="1" applyFont="1" applyFill="1" applyBorder="1"/>
    <xf numFmtId="177" fontId="20" fillId="10" borderId="11" xfId="8" applyNumberFormat="1" applyFont="1" applyFill="1" applyBorder="1"/>
    <xf numFmtId="177" fontId="20" fillId="10" borderId="71" xfId="8" applyNumberFormat="1" applyFont="1" applyFill="1" applyBorder="1"/>
    <xf numFmtId="177" fontId="20" fillId="10" borderId="38" xfId="8" applyNumberFormat="1" applyFont="1" applyFill="1" applyBorder="1"/>
    <xf numFmtId="3" fontId="20" fillId="14" borderId="20" xfId="0" applyNumberFormat="1" applyFont="1" applyFill="1" applyBorder="1" applyAlignment="1">
      <alignment horizontal="center"/>
    </xf>
    <xf numFmtId="3" fontId="20" fillId="14" borderId="20" xfId="0" applyNumberFormat="1" applyFont="1" applyFill="1" applyBorder="1"/>
    <xf numFmtId="172" fontId="0" fillId="0" borderId="2" xfId="0" applyNumberFormat="1" applyBorder="1"/>
    <xf numFmtId="4" fontId="14" fillId="0" borderId="0" xfId="0" applyNumberFormat="1" applyFont="1"/>
    <xf numFmtId="4" fontId="0" fillId="2" borderId="10" xfId="0" applyNumberFormat="1" applyFill="1" applyBorder="1"/>
    <xf numFmtId="0" fontId="0" fillId="2" borderId="12" xfId="0" applyFill="1" applyBorder="1"/>
    <xf numFmtId="0" fontId="0" fillId="3" borderId="31" xfId="0" applyFill="1" applyBorder="1" applyAlignment="1">
      <alignment horizontal="center"/>
    </xf>
    <xf numFmtId="0" fontId="0" fillId="3" borderId="33" xfId="0" applyFill="1" applyBorder="1" applyAlignment="1">
      <alignment horizontal="center"/>
    </xf>
    <xf numFmtId="4" fontId="0" fillId="3" borderId="54" xfId="0" applyNumberFormat="1" applyFill="1" applyBorder="1"/>
    <xf numFmtId="14" fontId="11" fillId="22" borderId="0" xfId="0" applyNumberFormat="1" applyFont="1" applyFill="1" applyAlignment="1">
      <alignment horizontal="center"/>
    </xf>
    <xf numFmtId="0" fontId="0" fillId="2" borderId="2" xfId="0" applyFill="1" applyBorder="1"/>
    <xf numFmtId="17" fontId="11" fillId="3" borderId="12" xfId="0" applyNumberFormat="1" applyFont="1" applyFill="1" applyBorder="1" applyAlignment="1">
      <alignment horizontal="center"/>
    </xf>
    <xf numFmtId="0" fontId="11" fillId="3" borderId="77" xfId="0" applyFont="1" applyFill="1" applyBorder="1"/>
    <xf numFmtId="0" fontId="11" fillId="3" borderId="56" xfId="0" applyFont="1" applyFill="1" applyBorder="1"/>
    <xf numFmtId="17" fontId="11" fillId="3" borderId="14" xfId="0" applyNumberFormat="1" applyFont="1" applyFill="1" applyBorder="1" applyAlignment="1">
      <alignment horizontal="center"/>
    </xf>
    <xf numFmtId="17" fontId="11" fillId="3" borderId="15" xfId="0" applyNumberFormat="1" applyFont="1" applyFill="1" applyBorder="1" applyAlignment="1">
      <alignment horizontal="center"/>
    </xf>
    <xf numFmtId="4" fontId="0" fillId="3" borderId="26" xfId="0" applyNumberFormat="1" applyFill="1" applyBorder="1"/>
    <xf numFmtId="4" fontId="0" fillId="3" borderId="64" xfId="0" applyNumberFormat="1" applyFill="1" applyBorder="1"/>
    <xf numFmtId="4" fontId="0" fillId="3" borderId="15" xfId="0" applyNumberFormat="1" applyFill="1" applyBorder="1"/>
    <xf numFmtId="4" fontId="0" fillId="3" borderId="30" xfId="0" applyNumberFormat="1" applyFill="1" applyBorder="1"/>
    <xf numFmtId="4" fontId="0" fillId="3" borderId="78" xfId="0" applyNumberFormat="1" applyFill="1" applyBorder="1"/>
    <xf numFmtId="4" fontId="0" fillId="3" borderId="77" xfId="0" applyNumberFormat="1" applyFill="1" applyBorder="1"/>
    <xf numFmtId="4" fontId="0" fillId="3" borderId="18" xfId="0" applyNumberFormat="1" applyFill="1" applyBorder="1"/>
    <xf numFmtId="4" fontId="0" fillId="3" borderId="32" xfId="0" applyNumberFormat="1" applyFill="1" applyBorder="1"/>
    <xf numFmtId="4" fontId="11" fillId="3" borderId="34" xfId="0" applyNumberFormat="1" applyFont="1" applyFill="1" applyBorder="1"/>
    <xf numFmtId="4" fontId="11" fillId="3" borderId="35" xfId="0" applyNumberFormat="1" applyFont="1" applyFill="1" applyBorder="1"/>
    <xf numFmtId="0" fontId="12" fillId="15" borderId="0" xfId="0" applyFont="1" applyFill="1" applyAlignment="1">
      <alignment horizontal="center"/>
    </xf>
    <xf numFmtId="4" fontId="14" fillId="0" borderId="21" xfId="0" applyNumberFormat="1" applyFont="1" applyBorder="1"/>
    <xf numFmtId="4" fontId="14" fillId="0" borderId="19" xfId="0" applyNumberFormat="1" applyFont="1" applyBorder="1"/>
    <xf numFmtId="0" fontId="14" fillId="0" borderId="10" xfId="0" applyFont="1" applyBorder="1"/>
    <xf numFmtId="177" fontId="0" fillId="0" borderId="12" xfId="0" applyNumberFormat="1" applyBorder="1"/>
    <xf numFmtId="0" fontId="11" fillId="0" borderId="12" xfId="0" applyFont="1" applyBorder="1"/>
    <xf numFmtId="0" fontId="11" fillId="13" borderId="2" xfId="0" applyFont="1" applyFill="1" applyBorder="1"/>
    <xf numFmtId="4" fontId="11" fillId="13" borderId="2" xfId="0" applyNumberFormat="1" applyFont="1" applyFill="1" applyBorder="1"/>
    <xf numFmtId="4" fontId="11" fillId="0" borderId="0" xfId="0" applyNumberFormat="1" applyFont="1"/>
    <xf numFmtId="0" fontId="20" fillId="28" borderId="0" xfId="0" applyFont="1" applyFill="1"/>
    <xf numFmtId="177" fontId="20" fillId="28" borderId="0" xfId="8" applyNumberFormat="1" applyFont="1" applyFill="1"/>
    <xf numFmtId="0" fontId="11" fillId="2" borderId="0" xfId="0" applyFont="1" applyFill="1" applyAlignment="1">
      <alignment horizontal="center"/>
    </xf>
    <xf numFmtId="9" fontId="0" fillId="3" borderId="0" xfId="0" applyNumberFormat="1" applyFill="1" applyAlignment="1">
      <alignment horizontal="center"/>
    </xf>
    <xf numFmtId="0" fontId="14" fillId="2" borderId="12" xfId="0" applyFont="1" applyFill="1" applyBorder="1"/>
    <xf numFmtId="0" fontId="20" fillId="10" borderId="3" xfId="0" applyFont="1" applyFill="1" applyBorder="1"/>
    <xf numFmtId="177" fontId="20" fillId="10" borderId="84" xfId="8" applyNumberFormat="1" applyFont="1" applyFill="1" applyBorder="1"/>
    <xf numFmtId="0" fontId="20" fillId="10" borderId="9" xfId="0" applyFont="1" applyFill="1" applyBorder="1"/>
    <xf numFmtId="0" fontId="0" fillId="13" borderId="3" xfId="0" applyFill="1" applyBorder="1"/>
    <xf numFmtId="9" fontId="0" fillId="3" borderId="31" xfId="0" applyNumberFormat="1" applyFill="1" applyBorder="1" applyAlignment="1">
      <alignment horizontal="center" vertical="center"/>
    </xf>
    <xf numFmtId="9" fontId="11" fillId="3" borderId="2" xfId="0" applyNumberFormat="1" applyFont="1" applyFill="1" applyBorder="1"/>
    <xf numFmtId="0" fontId="14" fillId="3" borderId="2" xfId="0" applyFont="1" applyFill="1" applyBorder="1" applyAlignment="1">
      <alignment horizontal="left"/>
    </xf>
    <xf numFmtId="0" fontId="9" fillId="0" borderId="2" xfId="1" applyFont="1" applyBorder="1" applyAlignment="1">
      <alignment horizontal="center"/>
    </xf>
    <xf numFmtId="4" fontId="0" fillId="3" borderId="49" xfId="0" applyNumberFormat="1" applyFill="1" applyBorder="1"/>
    <xf numFmtId="9" fontId="0" fillId="3" borderId="33" xfId="0" applyNumberFormat="1" applyFill="1" applyBorder="1" applyAlignment="1">
      <alignment vertical="center"/>
    </xf>
    <xf numFmtId="4" fontId="10" fillId="2" borderId="20" xfId="0" applyNumberFormat="1" applyFont="1" applyFill="1" applyBorder="1"/>
    <xf numFmtId="4" fontId="13" fillId="2" borderId="20" xfId="0" applyNumberFormat="1" applyFont="1" applyFill="1" applyBorder="1"/>
    <xf numFmtId="4" fontId="11" fillId="3" borderId="54" xfId="0" applyNumberFormat="1" applyFont="1" applyFill="1" applyBorder="1"/>
    <xf numFmtId="4" fontId="14" fillId="3" borderId="8" xfId="0" applyNumberFormat="1" applyFont="1" applyFill="1" applyBorder="1" applyAlignment="1">
      <alignment horizontal="center" vertical="center"/>
    </xf>
    <xf numFmtId="10" fontId="0" fillId="3" borderId="0" xfId="0" applyNumberFormat="1" applyFill="1" applyAlignment="1">
      <alignment horizontal="center" vertical="center"/>
    </xf>
    <xf numFmtId="9" fontId="11" fillId="0" borderId="14" xfId="0" applyNumberFormat="1" applyFont="1" applyBorder="1" applyAlignment="1">
      <alignment horizontal="center"/>
    </xf>
    <xf numFmtId="9" fontId="11" fillId="0" borderId="16" xfId="0" applyNumberFormat="1" applyFont="1" applyBorder="1" applyAlignment="1">
      <alignment horizontal="center"/>
    </xf>
    <xf numFmtId="4" fontId="20" fillId="2" borderId="0" xfId="0" applyNumberFormat="1" applyFont="1" applyFill="1" applyAlignment="1">
      <alignment vertical="center"/>
    </xf>
    <xf numFmtId="17" fontId="40" fillId="10" borderId="0" xfId="1" applyNumberFormat="1" applyFont="1" applyFill="1"/>
    <xf numFmtId="0" fontId="9" fillId="10" borderId="0" xfId="1" applyFont="1" applyFill="1" applyAlignment="1">
      <alignment horizontal="center" wrapText="1"/>
    </xf>
    <xf numFmtId="0" fontId="9" fillId="10" borderId="10" xfId="1" applyFont="1" applyFill="1" applyBorder="1"/>
    <xf numFmtId="9" fontId="7" fillId="10" borderId="10" xfId="1" applyNumberFormat="1" applyFill="1" applyBorder="1"/>
    <xf numFmtId="9" fontId="7" fillId="10" borderId="22" xfId="1" applyNumberFormat="1" applyFill="1" applyBorder="1"/>
    <xf numFmtId="0" fontId="7" fillId="10" borderId="0" xfId="1" applyFill="1"/>
    <xf numFmtId="4" fontId="9" fillId="0" borderId="2" xfId="1" applyNumberFormat="1" applyFont="1" applyBorder="1" applyAlignment="1">
      <alignment horizontal="center"/>
    </xf>
    <xf numFmtId="0" fontId="14" fillId="3" borderId="2" xfId="0" applyFont="1" applyFill="1" applyBorder="1" applyAlignment="1">
      <alignment horizontal="center"/>
    </xf>
    <xf numFmtId="0" fontId="11" fillId="3" borderId="2" xfId="0" applyFont="1" applyFill="1" applyBorder="1" applyAlignment="1">
      <alignment horizontal="center"/>
    </xf>
    <xf numFmtId="0" fontId="0" fillId="3" borderId="32" xfId="0" applyFill="1" applyBorder="1"/>
    <xf numFmtId="4" fontId="0" fillId="3" borderId="2" xfId="0" applyNumberFormat="1" applyFill="1" applyBorder="1" applyAlignment="1">
      <alignment horizontal="center"/>
    </xf>
    <xf numFmtId="0" fontId="0" fillId="3" borderId="6" xfId="0" applyFill="1" applyBorder="1"/>
    <xf numFmtId="4" fontId="0" fillId="3" borderId="3" xfId="0" applyNumberFormat="1" applyFill="1" applyBorder="1" applyAlignment="1">
      <alignment horizontal="center"/>
    </xf>
    <xf numFmtId="9" fontId="0" fillId="3" borderId="30" xfId="0" applyNumberFormat="1" applyFill="1" applyBorder="1" applyAlignment="1">
      <alignment horizontal="center"/>
    </xf>
    <xf numFmtId="9" fontId="0" fillId="3" borderId="26" xfId="0" applyNumberFormat="1" applyFill="1" applyBorder="1" applyAlignment="1">
      <alignment horizontal="center"/>
    </xf>
    <xf numFmtId="9" fontId="0" fillId="3" borderId="32" xfId="0" applyNumberFormat="1" applyFill="1" applyBorder="1" applyAlignment="1">
      <alignment horizontal="center"/>
    </xf>
    <xf numFmtId="4" fontId="14" fillId="29" borderId="2" xfId="4" applyNumberFormat="1" applyFill="1" applyBorder="1"/>
    <xf numFmtId="9" fontId="0" fillId="3" borderId="0" xfId="0" applyNumberFormat="1" applyFill="1" applyAlignment="1">
      <alignment horizontal="center" vertical="center"/>
    </xf>
    <xf numFmtId="14" fontId="14" fillId="30" borderId="2" xfId="4" applyNumberFormat="1" applyFill="1" applyBorder="1"/>
    <xf numFmtId="0" fontId="14" fillId="30" borderId="2" xfId="4" applyFill="1" applyBorder="1"/>
    <xf numFmtId="0" fontId="11" fillId="2" borderId="3" xfId="0" applyFont="1" applyFill="1" applyBorder="1" applyAlignment="1">
      <alignment horizontal="center"/>
    </xf>
    <xf numFmtId="0" fontId="11" fillId="2" borderId="12" xfId="0" applyFont="1" applyFill="1" applyBorder="1" applyAlignment="1">
      <alignment horizontal="center"/>
    </xf>
    <xf numFmtId="9" fontId="13" fillId="2" borderId="0" xfId="0" applyNumberFormat="1" applyFont="1" applyFill="1"/>
    <xf numFmtId="4" fontId="14" fillId="31" borderId="2" xfId="4" applyNumberFormat="1" applyFill="1" applyBorder="1"/>
    <xf numFmtId="180" fontId="20" fillId="10" borderId="70" xfId="0" applyNumberFormat="1" applyFont="1" applyFill="1" applyBorder="1"/>
    <xf numFmtId="4" fontId="0" fillId="2" borderId="2" xfId="0" applyNumberFormat="1" applyFill="1" applyBorder="1"/>
    <xf numFmtId="4" fontId="11" fillId="0" borderId="20" xfId="0" applyNumberFormat="1" applyFont="1" applyBorder="1"/>
    <xf numFmtId="4" fontId="11" fillId="0" borderId="21" xfId="0" applyNumberFormat="1" applyFont="1" applyBorder="1"/>
    <xf numFmtId="166" fontId="11" fillId="13" borderId="21" xfId="0" applyNumberFormat="1" applyFont="1" applyFill="1" applyBorder="1"/>
    <xf numFmtId="0" fontId="11" fillId="0" borderId="2" xfId="0" applyFont="1" applyBorder="1" applyAlignment="1">
      <alignment horizontal="center"/>
    </xf>
    <xf numFmtId="4" fontId="14" fillId="3" borderId="31" xfId="0" applyNumberFormat="1" applyFont="1" applyFill="1" applyBorder="1"/>
    <xf numFmtId="0" fontId="20" fillId="16" borderId="0" xfId="0" applyFont="1" applyFill="1"/>
    <xf numFmtId="177" fontId="20" fillId="16" borderId="0" xfId="8" applyNumberFormat="1" applyFont="1" applyFill="1"/>
    <xf numFmtId="177" fontId="20" fillId="10" borderId="86" xfId="0" applyNumberFormat="1" applyFont="1" applyFill="1" applyBorder="1"/>
    <xf numFmtId="0" fontId="20" fillId="10" borderId="86" xfId="0" applyFont="1" applyFill="1" applyBorder="1"/>
    <xf numFmtId="0" fontId="0" fillId="0" borderId="9" xfId="0" applyBorder="1"/>
    <xf numFmtId="0" fontId="14" fillId="0" borderId="3" xfId="0" applyFont="1" applyBorder="1"/>
    <xf numFmtId="0" fontId="14" fillId="13" borderId="2" xfId="0" applyFont="1" applyFill="1" applyBorder="1"/>
    <xf numFmtId="177" fontId="14" fillId="0" borderId="2" xfId="8" applyNumberFormat="1" applyFont="1" applyBorder="1"/>
    <xf numFmtId="4" fontId="14" fillId="0" borderId="10" xfId="4" applyNumberFormat="1" applyBorder="1"/>
    <xf numFmtId="0" fontId="27" fillId="3" borderId="0" xfId="4" applyFont="1" applyFill="1" applyAlignment="1">
      <alignment vertical="center"/>
    </xf>
    <xf numFmtId="14" fontId="14" fillId="2" borderId="10" xfId="4" applyNumberFormat="1" applyFill="1" applyBorder="1"/>
    <xf numFmtId="0" fontId="14" fillId="3" borderId="10" xfId="4" applyFill="1" applyBorder="1"/>
    <xf numFmtId="17" fontId="14" fillId="2" borderId="10" xfId="4" applyNumberFormat="1" applyFill="1" applyBorder="1"/>
    <xf numFmtId="0" fontId="11" fillId="3" borderId="0" xfId="0" applyFont="1" applyFill="1" applyAlignment="1">
      <alignment horizontal="center" vertical="center"/>
    </xf>
    <xf numFmtId="0" fontId="11" fillId="3" borderId="0" xfId="0" applyFont="1" applyFill="1" applyAlignment="1">
      <alignment horizontal="center" vertical="center" wrapText="1"/>
    </xf>
    <xf numFmtId="9" fontId="13" fillId="15" borderId="0" xfId="0" applyNumberFormat="1" applyFont="1" applyFill="1"/>
    <xf numFmtId="9" fontId="20" fillId="15" borderId="0" xfId="0" applyNumberFormat="1" applyFont="1" applyFill="1"/>
    <xf numFmtId="9" fontId="13" fillId="2" borderId="0" xfId="0" applyNumberFormat="1" applyFont="1" applyFill="1" applyAlignment="1">
      <alignment horizontal="center"/>
    </xf>
    <xf numFmtId="9" fontId="10" fillId="2" borderId="2" xfId="0" applyNumberFormat="1" applyFont="1" applyFill="1" applyBorder="1" applyAlignment="1">
      <alignment horizontal="center"/>
    </xf>
    <xf numFmtId="9" fontId="11" fillId="2" borderId="3" xfId="0" applyNumberFormat="1" applyFont="1" applyFill="1" applyBorder="1" applyAlignment="1">
      <alignment horizontal="center"/>
    </xf>
    <xf numFmtId="4" fontId="0" fillId="13" borderId="0" xfId="0" applyNumberFormat="1" applyFill="1"/>
    <xf numFmtId="0" fontId="20" fillId="13" borderId="0" xfId="0" applyFont="1" applyFill="1"/>
    <xf numFmtId="177" fontId="20" fillId="13" borderId="0" xfId="8" applyNumberFormat="1" applyFont="1" applyFill="1"/>
    <xf numFmtId="14" fontId="0" fillId="0" borderId="2" xfId="0" applyNumberFormat="1" applyBorder="1"/>
    <xf numFmtId="0" fontId="14" fillId="2" borderId="10" xfId="4" applyFill="1" applyBorder="1"/>
    <xf numFmtId="0" fontId="29" fillId="3" borderId="10" xfId="4" applyFont="1" applyFill="1" applyBorder="1" applyAlignment="1">
      <alignment vertical="center" wrapText="1"/>
    </xf>
    <xf numFmtId="165" fontId="13" fillId="13" borderId="39" xfId="4" applyNumberFormat="1" applyFont="1" applyFill="1" applyBorder="1"/>
    <xf numFmtId="165" fontId="14" fillId="13" borderId="39" xfId="4" applyNumberFormat="1" applyFill="1" applyBorder="1"/>
    <xf numFmtId="165" fontId="14" fillId="13" borderId="40" xfId="4" applyNumberFormat="1" applyFill="1" applyBorder="1"/>
    <xf numFmtId="165" fontId="0" fillId="0" borderId="40" xfId="4" applyNumberFormat="1" applyFont="1" applyBorder="1"/>
    <xf numFmtId="4" fontId="13" fillId="33" borderId="0" xfId="0" applyNumberFormat="1" applyFont="1" applyFill="1"/>
    <xf numFmtId="3" fontId="0" fillId="3" borderId="0" xfId="0" applyNumberFormat="1" applyFill="1" applyAlignment="1">
      <alignment horizontal="center"/>
    </xf>
    <xf numFmtId="0" fontId="20" fillId="10" borderId="0" xfId="0" applyFont="1" applyFill="1" applyAlignment="1">
      <alignment horizontal="center"/>
    </xf>
    <xf numFmtId="4" fontId="27" fillId="0" borderId="2" xfId="5" applyNumberFormat="1" applyFont="1" applyBorder="1"/>
    <xf numFmtId="0" fontId="27" fillId="13" borderId="0" xfId="4" applyFont="1" applyFill="1"/>
    <xf numFmtId="0" fontId="20" fillId="35" borderId="0" xfId="0" applyFont="1" applyFill="1"/>
    <xf numFmtId="177" fontId="20" fillId="35" borderId="0" xfId="8" applyNumberFormat="1" applyFont="1" applyFill="1"/>
    <xf numFmtId="0" fontId="27" fillId="21" borderId="0" xfId="4" applyFont="1" applyFill="1"/>
    <xf numFmtId="0" fontId="27" fillId="29" borderId="0" xfId="4" applyFont="1" applyFill="1"/>
    <xf numFmtId="17" fontId="27" fillId="3" borderId="10" xfId="4" applyNumberFormat="1" applyFont="1" applyFill="1" applyBorder="1"/>
    <xf numFmtId="14" fontId="47" fillId="0" borderId="2" xfId="0" applyNumberFormat="1" applyFont="1" applyBorder="1" applyAlignment="1">
      <alignment horizontal="center" vertical="center"/>
    </xf>
    <xf numFmtId="0" fontId="27" fillId="3" borderId="12" xfId="4" applyFont="1" applyFill="1" applyBorder="1"/>
    <xf numFmtId="0" fontId="27" fillId="27" borderId="0" xfId="4" applyFont="1" applyFill="1"/>
    <xf numFmtId="0" fontId="0" fillId="2" borderId="4" xfId="4" applyFont="1" applyFill="1" applyBorder="1"/>
    <xf numFmtId="165" fontId="0" fillId="0" borderId="2" xfId="4" applyNumberFormat="1" applyFont="1" applyBorder="1"/>
    <xf numFmtId="0" fontId="27" fillId="31" borderId="2" xfId="4" applyFont="1" applyFill="1" applyBorder="1"/>
    <xf numFmtId="0" fontId="27" fillId="34" borderId="0" xfId="4" applyFont="1" applyFill="1"/>
    <xf numFmtId="0" fontId="27" fillId="36" borderId="0" xfId="4" applyFont="1" applyFill="1"/>
    <xf numFmtId="177" fontId="20" fillId="10" borderId="70" xfId="0" applyNumberFormat="1" applyFont="1" applyFill="1" applyBorder="1"/>
    <xf numFmtId="0" fontId="27" fillId="37" borderId="0" xfId="4" applyFont="1" applyFill="1"/>
    <xf numFmtId="0" fontId="27" fillId="38" borderId="0" xfId="4" applyFont="1" applyFill="1"/>
    <xf numFmtId="14" fontId="27" fillId="0" borderId="2" xfId="4" applyNumberFormat="1" applyFont="1" applyBorder="1"/>
    <xf numFmtId="0" fontId="20" fillId="24" borderId="0" xfId="0" applyFont="1" applyFill="1"/>
    <xf numFmtId="177" fontId="20" fillId="24" borderId="0" xfId="8" applyNumberFormat="1" applyFont="1" applyFill="1"/>
    <xf numFmtId="17" fontId="27" fillId="36" borderId="2" xfId="4" applyNumberFormat="1" applyFont="1" applyFill="1" applyBorder="1"/>
    <xf numFmtId="0" fontId="20" fillId="39" borderId="0" xfId="0" applyFont="1" applyFill="1"/>
    <xf numFmtId="0" fontId="27" fillId="24" borderId="0" xfId="4" applyFont="1" applyFill="1"/>
    <xf numFmtId="0" fontId="27" fillId="32" borderId="0" xfId="4" applyFont="1" applyFill="1"/>
    <xf numFmtId="0" fontId="27" fillId="25" borderId="2" xfId="4" applyFont="1" applyFill="1" applyBorder="1"/>
    <xf numFmtId="0" fontId="27" fillId="23" borderId="0" xfId="4" applyFont="1" applyFill="1"/>
    <xf numFmtId="0" fontId="27" fillId="43" borderId="0" xfId="4" applyFont="1" applyFill="1"/>
    <xf numFmtId="165" fontId="14" fillId="29" borderId="39" xfId="4" applyNumberFormat="1" applyFill="1" applyBorder="1"/>
    <xf numFmtId="165" fontId="14" fillId="27" borderId="39" xfId="4" applyNumberFormat="1" applyFill="1" applyBorder="1"/>
    <xf numFmtId="165" fontId="0" fillId="45" borderId="40" xfId="4" applyNumberFormat="1" applyFont="1" applyFill="1" applyBorder="1"/>
    <xf numFmtId="165" fontId="14" fillId="45" borderId="39" xfId="4" applyNumberFormat="1" applyFill="1" applyBorder="1"/>
    <xf numFmtId="165" fontId="13" fillId="41" borderId="39" xfId="4" applyNumberFormat="1" applyFont="1" applyFill="1" applyBorder="1"/>
    <xf numFmtId="165" fontId="13" fillId="42" borderId="39" xfId="4" applyNumberFormat="1" applyFont="1" applyFill="1" applyBorder="1"/>
    <xf numFmtId="177" fontId="20" fillId="10" borderId="0" xfId="0" applyNumberFormat="1" applyFont="1" applyFill="1" applyAlignment="1">
      <alignment horizontal="center"/>
    </xf>
    <xf numFmtId="177" fontId="20" fillId="21" borderId="0" xfId="8" applyNumberFormat="1" applyFont="1" applyFill="1"/>
    <xf numFmtId="0" fontId="20" fillId="21" borderId="0" xfId="0" applyFont="1" applyFill="1"/>
    <xf numFmtId="165" fontId="0" fillId="27" borderId="39" xfId="4" applyNumberFormat="1" applyFont="1" applyFill="1" applyBorder="1"/>
    <xf numFmtId="165" fontId="0" fillId="29" borderId="39" xfId="4" applyNumberFormat="1" applyFont="1" applyFill="1" applyBorder="1"/>
    <xf numFmtId="165" fontId="0" fillId="45" borderId="39" xfId="4" applyNumberFormat="1" applyFont="1" applyFill="1" applyBorder="1"/>
    <xf numFmtId="4" fontId="10" fillId="2" borderId="0" xfId="0" applyNumberFormat="1" applyFont="1" applyFill="1"/>
    <xf numFmtId="9" fontId="20" fillId="10" borderId="0" xfId="0" applyNumberFormat="1" applyFont="1" applyFill="1" applyAlignment="1">
      <alignment horizontal="center"/>
    </xf>
    <xf numFmtId="3" fontId="20" fillId="10" borderId="0" xfId="0" applyNumberFormat="1" applyFont="1" applyFill="1" applyAlignment="1">
      <alignment horizontal="center"/>
    </xf>
    <xf numFmtId="0" fontId="20" fillId="3" borderId="0" xfId="0" applyFont="1" applyFill="1" applyAlignment="1">
      <alignment horizontal="center"/>
    </xf>
    <xf numFmtId="3" fontId="20" fillId="3" borderId="0" xfId="0" applyNumberFormat="1" applyFont="1" applyFill="1" applyAlignment="1">
      <alignment horizontal="center"/>
    </xf>
    <xf numFmtId="9" fontId="0" fillId="2" borderId="0" xfId="0" applyNumberFormat="1" applyFill="1"/>
    <xf numFmtId="17" fontId="11" fillId="13" borderId="2" xfId="0" applyNumberFormat="1" applyFont="1" applyFill="1" applyBorder="1"/>
    <xf numFmtId="4" fontId="0" fillId="13" borderId="2" xfId="0" applyNumberFormat="1" applyFill="1" applyBorder="1"/>
    <xf numFmtId="4" fontId="27" fillId="45" borderId="2" xfId="5" applyNumberFormat="1" applyFont="1" applyFill="1" applyBorder="1"/>
    <xf numFmtId="0" fontId="27" fillId="45" borderId="0" xfId="4" applyFont="1" applyFill="1"/>
    <xf numFmtId="0" fontId="20" fillId="10" borderId="55" xfId="0" applyFont="1" applyFill="1" applyBorder="1" applyAlignment="1">
      <alignment horizontal="center" wrapText="1"/>
    </xf>
    <xf numFmtId="3" fontId="27" fillId="0" borderId="2" xfId="5" applyNumberFormat="1" applyFont="1" applyFill="1" applyBorder="1"/>
    <xf numFmtId="0" fontId="0" fillId="47" borderId="0" xfId="0" applyFill="1"/>
    <xf numFmtId="4" fontId="14" fillId="2" borderId="10" xfId="0" applyNumberFormat="1" applyFont="1" applyFill="1" applyBorder="1"/>
    <xf numFmtId="0" fontId="20" fillId="10" borderId="88" xfId="0" applyFont="1" applyFill="1" applyBorder="1"/>
    <xf numFmtId="180" fontId="20" fillId="10" borderId="86" xfId="0" applyNumberFormat="1" applyFont="1" applyFill="1" applyBorder="1"/>
    <xf numFmtId="4" fontId="11" fillId="48" borderId="3" xfId="0" applyNumberFormat="1" applyFont="1" applyFill="1" applyBorder="1"/>
    <xf numFmtId="0" fontId="12" fillId="2" borderId="0" xfId="0" applyFont="1" applyFill="1"/>
    <xf numFmtId="177" fontId="20" fillId="49" borderId="0" xfId="8" applyNumberFormat="1" applyFont="1" applyFill="1"/>
    <xf numFmtId="0" fontId="20" fillId="49" borderId="0" xfId="0" applyFont="1" applyFill="1"/>
    <xf numFmtId="0" fontId="20" fillId="10" borderId="55" xfId="0" applyFont="1" applyFill="1" applyBorder="1" applyAlignment="1">
      <alignment horizontal="left" wrapText="1"/>
    </xf>
    <xf numFmtId="0" fontId="1" fillId="0" borderId="36" xfId="1" applyFont="1" applyBorder="1"/>
    <xf numFmtId="0" fontId="1" fillId="0" borderId="82" xfId="1" applyFont="1" applyBorder="1"/>
    <xf numFmtId="4" fontId="1" fillId="0" borderId="34" xfId="1" applyNumberFormat="1" applyFont="1" applyBorder="1"/>
    <xf numFmtId="0" fontId="1" fillId="0" borderId="14" xfId="1" applyFont="1" applyBorder="1"/>
    <xf numFmtId="0" fontId="1" fillId="0" borderId="20" xfId="1" applyFont="1" applyBorder="1"/>
    <xf numFmtId="4" fontId="1" fillId="0" borderId="2" xfId="1" applyNumberFormat="1" applyFont="1" applyBorder="1"/>
    <xf numFmtId="0" fontId="1" fillId="0" borderId="16" xfId="1" applyFont="1" applyBorder="1"/>
    <xf numFmtId="0" fontId="1" fillId="0" borderId="83" xfId="1" applyFont="1" applyBorder="1"/>
    <xf numFmtId="9" fontId="1" fillId="0" borderId="17" xfId="1" applyNumberFormat="1" applyFont="1" applyBorder="1"/>
    <xf numFmtId="0" fontId="1" fillId="0" borderId="0" xfId="1" applyFont="1"/>
    <xf numFmtId="4" fontId="1" fillId="0" borderId="3" xfId="1" applyNumberFormat="1" applyFont="1" applyBorder="1"/>
    <xf numFmtId="9" fontId="1" fillId="0" borderId="0" xfId="1" applyNumberFormat="1" applyFont="1"/>
    <xf numFmtId="9" fontId="1" fillId="0" borderId="2" xfId="1" applyNumberFormat="1" applyFont="1" applyBorder="1"/>
    <xf numFmtId="0" fontId="1" fillId="0" borderId="2" xfId="1" applyFont="1" applyBorder="1"/>
    <xf numFmtId="9" fontId="1" fillId="10" borderId="10" xfId="1" applyNumberFormat="1" applyFont="1" applyFill="1" applyBorder="1"/>
    <xf numFmtId="4" fontId="25" fillId="0" borderId="2" xfId="5" applyNumberFormat="1" applyFont="1" applyFill="1" applyBorder="1"/>
    <xf numFmtId="0" fontId="14" fillId="38" borderId="2" xfId="0" applyFont="1" applyFill="1" applyBorder="1"/>
    <xf numFmtId="177" fontId="0" fillId="38" borderId="2" xfId="0" applyNumberFormat="1" applyFill="1" applyBorder="1"/>
    <xf numFmtId="0" fontId="20" fillId="36" borderId="0" xfId="0" applyFont="1" applyFill="1"/>
    <xf numFmtId="177" fontId="20" fillId="36" borderId="0" xfId="8" applyNumberFormat="1" applyFont="1" applyFill="1"/>
    <xf numFmtId="177" fontId="12" fillId="10" borderId="60" xfId="0" applyNumberFormat="1" applyFont="1" applyFill="1" applyBorder="1"/>
    <xf numFmtId="4" fontId="0" fillId="41" borderId="0" xfId="0" applyNumberFormat="1" applyFill="1"/>
    <xf numFmtId="0" fontId="27" fillId="41" borderId="0" xfId="4" applyFont="1" applyFill="1"/>
    <xf numFmtId="4" fontId="0" fillId="27" borderId="0" xfId="0" applyNumberFormat="1" applyFill="1"/>
    <xf numFmtId="4" fontId="13" fillId="26" borderId="0" xfId="0" applyNumberFormat="1" applyFont="1" applyFill="1"/>
    <xf numFmtId="14" fontId="13" fillId="18" borderId="39" xfId="4" applyNumberFormat="1" applyFont="1" applyFill="1" applyBorder="1"/>
    <xf numFmtId="0" fontId="13" fillId="20" borderId="39" xfId="4" applyFont="1" applyFill="1" applyBorder="1"/>
    <xf numFmtId="173" fontId="13" fillId="20" borderId="39" xfId="4" applyNumberFormat="1" applyFont="1" applyFill="1" applyBorder="1"/>
    <xf numFmtId="17" fontId="13" fillId="18" borderId="39" xfId="4" applyNumberFormat="1" applyFont="1" applyFill="1" applyBorder="1"/>
    <xf numFmtId="0" fontId="13" fillId="18" borderId="39" xfId="4" applyFont="1" applyFill="1" applyBorder="1"/>
    <xf numFmtId="0" fontId="13" fillId="20" borderId="45" xfId="4" applyFont="1" applyFill="1" applyBorder="1"/>
    <xf numFmtId="0" fontId="14" fillId="18" borderId="4" xfId="4" applyFill="1" applyBorder="1"/>
    <xf numFmtId="17" fontId="13" fillId="18" borderId="2" xfId="4" applyNumberFormat="1" applyFont="1" applyFill="1" applyBorder="1"/>
    <xf numFmtId="0" fontId="0" fillId="18" borderId="4" xfId="4" applyFont="1" applyFill="1" applyBorder="1"/>
    <xf numFmtId="165" fontId="0" fillId="13" borderId="39" xfId="4" applyNumberFormat="1" applyFont="1" applyFill="1" applyBorder="1"/>
    <xf numFmtId="0" fontId="14" fillId="18" borderId="39" xfId="4" applyFill="1" applyBorder="1"/>
    <xf numFmtId="173" fontId="13" fillId="20" borderId="4" xfId="4" applyNumberFormat="1" applyFont="1" applyFill="1" applyBorder="1"/>
    <xf numFmtId="173" fontId="13" fillId="20" borderId="2" xfId="4" applyNumberFormat="1" applyFont="1" applyFill="1" applyBorder="1"/>
    <xf numFmtId="165" fontId="13" fillId="13" borderId="2" xfId="4" applyNumberFormat="1" applyFont="1" applyFill="1" applyBorder="1"/>
    <xf numFmtId="0" fontId="13" fillId="20" borderId="2" xfId="4" applyFont="1" applyFill="1" applyBorder="1"/>
    <xf numFmtId="0" fontId="12" fillId="10" borderId="55" xfId="0" applyFont="1" applyFill="1" applyBorder="1"/>
    <xf numFmtId="0" fontId="12" fillId="10" borderId="59" xfId="0" applyFont="1" applyFill="1" applyBorder="1"/>
    <xf numFmtId="177" fontId="12" fillId="10" borderId="61" xfId="0" applyNumberFormat="1" applyFont="1" applyFill="1" applyBorder="1"/>
    <xf numFmtId="177" fontId="12" fillId="10" borderId="55" xfId="0" applyNumberFormat="1" applyFont="1" applyFill="1" applyBorder="1"/>
    <xf numFmtId="0" fontId="12" fillId="10" borderId="69" xfId="0" applyFont="1" applyFill="1" applyBorder="1"/>
    <xf numFmtId="4" fontId="20" fillId="10" borderId="0" xfId="0" applyNumberFormat="1" applyFont="1" applyFill="1"/>
    <xf numFmtId="165" fontId="20" fillId="10" borderId="0" xfId="0" applyNumberFormat="1" applyFont="1" applyFill="1"/>
    <xf numFmtId="0" fontId="25" fillId="23" borderId="0" xfId="4" applyFont="1" applyFill="1"/>
    <xf numFmtId="9" fontId="14" fillId="0" borderId="0" xfId="3" applyFont="1"/>
    <xf numFmtId="0" fontId="27" fillId="40" borderId="0" xfId="4" applyFont="1" applyFill="1"/>
    <xf numFmtId="0" fontId="27" fillId="42" borderId="0" xfId="4" applyFont="1" applyFill="1"/>
    <xf numFmtId="0" fontId="29" fillId="13" borderId="0" xfId="4" applyFont="1" applyFill="1"/>
    <xf numFmtId="0" fontId="27" fillId="50" borderId="0" xfId="4" applyFont="1" applyFill="1"/>
    <xf numFmtId="4" fontId="27" fillId="0" borderId="0" xfId="4" applyNumberFormat="1" applyFont="1"/>
    <xf numFmtId="4" fontId="14" fillId="0" borderId="0" xfId="4" applyNumberFormat="1"/>
    <xf numFmtId="9" fontId="27" fillId="0" borderId="0" xfId="4" applyNumberFormat="1" applyFont="1"/>
    <xf numFmtId="4" fontId="28" fillId="0" borderId="0" xfId="4" applyNumberFormat="1" applyFont="1"/>
    <xf numFmtId="0" fontId="28" fillId="0" borderId="39" xfId="4" applyFont="1" applyBorder="1"/>
    <xf numFmtId="0" fontId="28" fillId="0" borderId="2" xfId="4" applyFont="1" applyBorder="1" applyAlignment="1">
      <alignment horizontal="center" vertical="center"/>
    </xf>
    <xf numFmtId="173" fontId="28" fillId="0" borderId="2" xfId="4" applyNumberFormat="1" applyFont="1" applyBorder="1" applyAlignment="1">
      <alignment horizontal="center" vertical="center"/>
    </xf>
    <xf numFmtId="0" fontId="28" fillId="0" borderId="2" xfId="4" applyFont="1" applyBorder="1" applyAlignment="1">
      <alignment vertical="center"/>
    </xf>
    <xf numFmtId="0" fontId="25" fillId="0" borderId="2" xfId="4" applyFont="1" applyBorder="1" applyAlignment="1">
      <alignment vertical="center"/>
    </xf>
    <xf numFmtId="0" fontId="27" fillId="0" borderId="0" xfId="4" applyFont="1" applyAlignment="1">
      <alignment vertical="center"/>
    </xf>
    <xf numFmtId="17" fontId="29" fillId="0" borderId="39" xfId="4" applyNumberFormat="1" applyFont="1" applyBorder="1" applyAlignment="1">
      <alignment vertical="center"/>
    </xf>
    <xf numFmtId="4" fontId="30" fillId="0" borderId="39" xfId="4" applyNumberFormat="1" applyFont="1" applyBorder="1" applyAlignment="1">
      <alignment vertical="center"/>
    </xf>
    <xf numFmtId="17" fontId="13" fillId="0" borderId="39" xfId="4" applyNumberFormat="1" applyFont="1" applyBorder="1"/>
    <xf numFmtId="4" fontId="30" fillId="0" borderId="39" xfId="4" applyNumberFormat="1" applyFont="1" applyBorder="1"/>
    <xf numFmtId="4" fontId="34" fillId="0" borderId="2" xfId="5" applyNumberFormat="1" applyFont="1" applyFill="1" applyBorder="1"/>
    <xf numFmtId="17" fontId="29" fillId="0" borderId="39" xfId="4" applyNumberFormat="1" applyFont="1" applyBorder="1"/>
    <xf numFmtId="0" fontId="14" fillId="0" borderId="39" xfId="4" applyBorder="1"/>
    <xf numFmtId="0" fontId="13" fillId="0" borderId="0" xfId="4" applyFont="1"/>
    <xf numFmtId="166" fontId="14" fillId="0" borderId="39" xfId="4" applyNumberFormat="1" applyBorder="1"/>
    <xf numFmtId="4" fontId="14" fillId="0" borderId="39" xfId="4" applyNumberFormat="1" applyBorder="1"/>
    <xf numFmtId="166" fontId="14" fillId="0" borderId="0" xfId="4" applyNumberFormat="1"/>
    <xf numFmtId="17" fontId="13" fillId="0" borderId="0" xfId="4" applyNumberFormat="1" applyFont="1"/>
    <xf numFmtId="4" fontId="30" fillId="0" borderId="0" xfId="4" applyNumberFormat="1" applyFont="1"/>
    <xf numFmtId="9" fontId="14" fillId="0" borderId="0" xfId="4" applyNumberFormat="1"/>
    <xf numFmtId="0" fontId="36" fillId="0" borderId="2" xfId="0" applyFont="1" applyBorder="1" applyAlignment="1">
      <alignment vertical="center"/>
    </xf>
    <xf numFmtId="4" fontId="13" fillId="0" borderId="0" xfId="4" applyNumberFormat="1" applyFont="1"/>
    <xf numFmtId="0" fontId="35" fillId="0" borderId="39" xfId="0" applyFont="1" applyBorder="1" applyAlignment="1" applyProtection="1">
      <alignment horizontal="left" vertical="center" wrapText="1"/>
      <protection locked="0"/>
    </xf>
    <xf numFmtId="0" fontId="27" fillId="0" borderId="39" xfId="4" applyFont="1" applyBorder="1"/>
    <xf numFmtId="4" fontId="0" fillId="0" borderId="2" xfId="4" applyNumberFormat="1" applyFont="1" applyBorder="1"/>
    <xf numFmtId="0" fontId="13" fillId="0" borderId="2" xfId="4" applyFont="1" applyBorder="1"/>
    <xf numFmtId="175" fontId="14" fillId="0" borderId="2" xfId="4" applyNumberFormat="1" applyBorder="1"/>
    <xf numFmtId="14" fontId="27" fillId="0" borderId="62" xfId="4" applyNumberFormat="1" applyFont="1" applyBorder="1"/>
    <xf numFmtId="14" fontId="36" fillId="0" borderId="62" xfId="0" applyNumberFormat="1" applyFont="1" applyBorder="1" applyAlignment="1">
      <alignment horizontal="right" vertical="center"/>
    </xf>
    <xf numFmtId="14" fontId="14" fillId="0" borderId="62" xfId="4" applyNumberFormat="1" applyBorder="1"/>
    <xf numFmtId="14" fontId="36" fillId="0" borderId="2" xfId="0" applyNumberFormat="1" applyFont="1" applyBorder="1" applyAlignment="1">
      <alignment horizontal="right" vertical="center"/>
    </xf>
    <xf numFmtId="14" fontId="38" fillId="0" borderId="2" xfId="0" applyNumberFormat="1" applyFont="1" applyBorder="1" applyAlignment="1">
      <alignment horizontal="right" vertical="center"/>
    </xf>
    <xf numFmtId="14" fontId="13" fillId="0" borderId="2" xfId="0" applyNumberFormat="1" applyFont="1" applyBorder="1" applyAlignment="1">
      <alignment horizontal="right" vertical="center"/>
    </xf>
    <xf numFmtId="0" fontId="0" fillId="0" borderId="2" xfId="4" applyFont="1" applyBorder="1"/>
    <xf numFmtId="0" fontId="14" fillId="0" borderId="2" xfId="4" applyBorder="1" applyAlignment="1">
      <alignment wrapText="1"/>
    </xf>
    <xf numFmtId="14" fontId="21" fillId="0" borderId="2" xfId="4" applyNumberFormat="1" applyFont="1" applyBorder="1"/>
    <xf numFmtId="0" fontId="21" fillId="0" borderId="2" xfId="4" applyFont="1" applyBorder="1"/>
    <xf numFmtId="14" fontId="0" fillId="0" borderId="2" xfId="4" applyNumberFormat="1" applyFont="1" applyBorder="1"/>
    <xf numFmtId="3" fontId="0" fillId="0" borderId="2" xfId="4" applyNumberFormat="1" applyFont="1" applyBorder="1"/>
    <xf numFmtId="17" fontId="29" fillId="0" borderId="0" xfId="4" applyNumberFormat="1" applyFont="1"/>
    <xf numFmtId="4" fontId="21" fillId="0" borderId="2" xfId="4" applyNumberFormat="1" applyFont="1" applyBorder="1"/>
    <xf numFmtId="17" fontId="34" fillId="0" borderId="2" xfId="4" applyNumberFormat="1" applyFont="1" applyBorder="1"/>
    <xf numFmtId="14" fontId="14" fillId="0" borderId="64" xfId="4" applyNumberFormat="1" applyBorder="1"/>
    <xf numFmtId="14" fontId="0" fillId="0" borderId="64" xfId="4" applyNumberFormat="1" applyFont="1" applyBorder="1"/>
    <xf numFmtId="14" fontId="13" fillId="0" borderId="64" xfId="0" applyNumberFormat="1" applyFont="1" applyBorder="1" applyAlignment="1">
      <alignment horizontal="right" vertical="center"/>
    </xf>
    <xf numFmtId="0" fontId="21" fillId="0" borderId="0" xfId="4" applyFont="1"/>
    <xf numFmtId="0" fontId="29" fillId="0" borderId="2" xfId="4" applyFont="1" applyBorder="1" applyAlignment="1">
      <alignment vertical="center" wrapText="1"/>
    </xf>
    <xf numFmtId="0" fontId="14" fillId="0" borderId="2" xfId="0" applyFont="1" applyBorder="1" applyAlignment="1">
      <alignment vertical="center"/>
    </xf>
    <xf numFmtId="10" fontId="14" fillId="0" borderId="2" xfId="4" applyNumberFormat="1" applyBorder="1"/>
    <xf numFmtId="4" fontId="11" fillId="0" borderId="0" xfId="4" applyNumberFormat="1" applyFont="1"/>
    <xf numFmtId="10" fontId="14" fillId="0" borderId="0" xfId="4" applyNumberFormat="1"/>
    <xf numFmtId="17" fontId="14" fillId="0" borderId="2" xfId="4" applyNumberFormat="1" applyBorder="1"/>
    <xf numFmtId="0" fontId="41" fillId="0" borderId="2" xfId="4" applyFont="1" applyBorder="1"/>
    <xf numFmtId="0" fontId="14" fillId="0" borderId="20" xfId="4" applyBorder="1"/>
    <xf numFmtId="0" fontId="33" fillId="0" borderId="2" xfId="4" applyFont="1" applyBorder="1"/>
    <xf numFmtId="0" fontId="31" fillId="0" borderId="2" xfId="4" applyFont="1" applyBorder="1"/>
    <xf numFmtId="0" fontId="43" fillId="0" borderId="2" xfId="0" applyFont="1" applyBorder="1" applyAlignment="1">
      <alignment horizontal="left" vertical="center" wrapText="1"/>
    </xf>
    <xf numFmtId="0" fontId="16" fillId="0" borderId="2" xfId="0" applyFont="1" applyBorder="1" applyAlignment="1">
      <alignment horizontal="left" vertical="center" wrapText="1"/>
    </xf>
    <xf numFmtId="0" fontId="42" fillId="0" borderId="2" xfId="0" applyFont="1" applyBorder="1" applyAlignment="1">
      <alignment horizontal="left" vertical="center" wrapText="1"/>
    </xf>
    <xf numFmtId="0" fontId="29" fillId="0" borderId="2" xfId="4" applyFont="1" applyBorder="1" applyAlignment="1">
      <alignment vertical="center"/>
    </xf>
    <xf numFmtId="0" fontId="14" fillId="0" borderId="3" xfId="4" applyBorder="1"/>
    <xf numFmtId="0" fontId="11" fillId="0" borderId="2" xfId="0" applyFont="1" applyBorder="1" applyAlignment="1">
      <alignment horizontal="left"/>
    </xf>
    <xf numFmtId="0" fontId="29" fillId="0" borderId="2" xfId="4" applyFont="1" applyBorder="1" applyAlignment="1">
      <alignment horizontal="left" vertical="center"/>
    </xf>
    <xf numFmtId="14" fontId="0" fillId="0" borderId="0" xfId="0" applyNumberFormat="1"/>
    <xf numFmtId="0" fontId="32" fillId="0" borderId="2" xfId="4" applyFont="1" applyBorder="1"/>
    <xf numFmtId="0" fontId="14" fillId="0" borderId="2" xfId="0" applyFont="1" applyBorder="1" applyAlignment="1">
      <alignment horizontal="left"/>
    </xf>
    <xf numFmtId="0" fontId="14" fillId="0" borderId="12" xfId="4" applyBorder="1"/>
    <xf numFmtId="0" fontId="45" fillId="0" borderId="2" xfId="4" applyFont="1" applyBorder="1"/>
    <xf numFmtId="17" fontId="0" fillId="0" borderId="2" xfId="4" applyNumberFormat="1" applyFont="1" applyBorder="1"/>
    <xf numFmtId="0" fontId="27" fillId="0" borderId="87" xfId="4" applyFont="1" applyBorder="1"/>
    <xf numFmtId="0" fontId="27" fillId="0" borderId="12" xfId="4" applyFont="1" applyBorder="1"/>
    <xf numFmtId="0" fontId="27" fillId="0" borderId="57" xfId="4" applyFont="1" applyBorder="1"/>
    <xf numFmtId="17" fontId="0" fillId="0" borderId="0" xfId="4" applyNumberFormat="1" applyFont="1"/>
    <xf numFmtId="0" fontId="27" fillId="0" borderId="3" xfId="4" applyFont="1" applyBorder="1"/>
    <xf numFmtId="184" fontId="46" fillId="0" borderId="2" xfId="0" applyNumberFormat="1" applyFont="1" applyBorder="1" applyAlignment="1">
      <alignment vertical="center"/>
    </xf>
    <xf numFmtId="184" fontId="46" fillId="0" borderId="2" xfId="0" applyNumberFormat="1" applyFont="1" applyBorder="1" applyAlignment="1">
      <alignment vertical="center" wrapText="1"/>
    </xf>
    <xf numFmtId="184" fontId="46" fillId="0" borderId="2" xfId="0" applyNumberFormat="1" applyFont="1" applyBorder="1" applyAlignment="1">
      <alignment horizontal="left" vertical="center"/>
    </xf>
    <xf numFmtId="184" fontId="46" fillId="0" borderId="2" xfId="0" applyNumberFormat="1" applyFont="1" applyBorder="1" applyAlignment="1">
      <alignment horizontal="left" vertical="center" wrapText="1"/>
    </xf>
    <xf numFmtId="0" fontId="35" fillId="0" borderId="0" xfId="0" applyFont="1" applyAlignment="1" applyProtection="1">
      <alignment horizontal="left" vertical="center"/>
      <protection locked="0"/>
    </xf>
    <xf numFmtId="14" fontId="27" fillId="0" borderId="64" xfId="4" applyNumberFormat="1" applyFont="1" applyBorder="1"/>
    <xf numFmtId="0" fontId="35" fillId="0" borderId="0" xfId="0" applyFont="1" applyAlignment="1" applyProtection="1">
      <alignment horizontal="left" vertical="center" wrapText="1"/>
      <protection locked="0"/>
    </xf>
    <xf numFmtId="0" fontId="35" fillId="0" borderId="39" xfId="0" applyFont="1" applyBorder="1" applyAlignment="1" applyProtection="1">
      <alignment horizontal="left" vertical="center"/>
      <protection locked="0"/>
    </xf>
    <xf numFmtId="0" fontId="27" fillId="0" borderId="22" xfId="4" applyFont="1" applyBorder="1"/>
    <xf numFmtId="0" fontId="36" fillId="0" borderId="0" xfId="0" applyFont="1"/>
    <xf numFmtId="14" fontId="28" fillId="0" borderId="2" xfId="0" applyNumberFormat="1" applyFont="1" applyBorder="1" applyAlignment="1">
      <alignment horizontal="center" vertical="center"/>
    </xf>
    <xf numFmtId="17" fontId="27" fillId="0" borderId="20" xfId="4" applyNumberFormat="1" applyFont="1" applyBorder="1"/>
    <xf numFmtId="0" fontId="34" fillId="0" borderId="2" xfId="4" applyFont="1" applyBorder="1"/>
    <xf numFmtId="0" fontId="27" fillId="0" borderId="10" xfId="4" applyFont="1" applyBorder="1"/>
    <xf numFmtId="0" fontId="35" fillId="0" borderId="87" xfId="0" applyFont="1" applyBorder="1" applyAlignment="1" applyProtection="1">
      <alignment horizontal="left" vertical="center" wrapText="1"/>
      <protection locked="0"/>
    </xf>
    <xf numFmtId="0" fontId="36" fillId="0" borderId="39" xfId="0" applyFont="1" applyBorder="1" applyAlignment="1">
      <alignment horizontal="left" wrapText="1"/>
    </xf>
    <xf numFmtId="4" fontId="27" fillId="0" borderId="2" xfId="4" applyNumberFormat="1" applyFont="1" applyBorder="1"/>
    <xf numFmtId="0" fontId="34" fillId="0" borderId="12" xfId="4" applyFont="1" applyBorder="1"/>
    <xf numFmtId="0" fontId="29" fillId="0" borderId="22" xfId="0" applyFont="1" applyBorder="1" applyAlignment="1">
      <alignment vertical="center" wrapText="1"/>
    </xf>
    <xf numFmtId="0" fontId="29" fillId="0" borderId="2" xfId="0" applyFont="1" applyBorder="1"/>
    <xf numFmtId="0" fontId="29" fillId="0" borderId="2" xfId="0" applyFont="1" applyBorder="1" applyAlignment="1">
      <alignment vertical="center" wrapText="1"/>
    </xf>
    <xf numFmtId="14" fontId="29" fillId="0" borderId="2" xfId="0" applyNumberFormat="1" applyFont="1" applyBorder="1" applyAlignment="1">
      <alignment vertical="center"/>
    </xf>
    <xf numFmtId="0" fontId="29" fillId="0" borderId="10" xfId="0" applyFont="1" applyBorder="1"/>
    <xf numFmtId="0" fontId="35" fillId="0" borderId="22" xfId="0" applyFont="1" applyBorder="1" applyAlignment="1" applyProtection="1">
      <alignment horizontal="left" vertical="center" wrapText="1"/>
      <protection locked="0"/>
    </xf>
    <xf numFmtId="0" fontId="35" fillId="0" borderId="40" xfId="0" applyFont="1" applyBorder="1" applyAlignment="1" applyProtection="1">
      <alignment horizontal="left" vertical="center" wrapText="1"/>
      <protection locked="0"/>
    </xf>
    <xf numFmtId="14" fontId="27" fillId="0" borderId="0" xfId="4" applyNumberFormat="1" applyFont="1"/>
    <xf numFmtId="0" fontId="35" fillId="0" borderId="39" xfId="0" applyFont="1" applyBorder="1" applyAlignment="1" applyProtection="1">
      <alignment horizontal="center" vertical="center" wrapText="1"/>
      <protection locked="0"/>
    </xf>
    <xf numFmtId="14" fontId="34" fillId="0" borderId="2" xfId="4" applyNumberFormat="1" applyFont="1" applyBorder="1"/>
    <xf numFmtId="14" fontId="29" fillId="0" borderId="2" xfId="4" applyNumberFormat="1" applyFont="1" applyBorder="1"/>
    <xf numFmtId="0" fontId="29" fillId="0" borderId="2" xfId="4" applyFont="1" applyBorder="1"/>
    <xf numFmtId="4" fontId="29" fillId="0" borderId="2" xfId="5" applyNumberFormat="1" applyFont="1" applyFill="1" applyBorder="1"/>
    <xf numFmtId="0" fontId="34" fillId="0" borderId="39" xfId="0" applyFont="1" applyBorder="1" applyAlignment="1" applyProtection="1">
      <alignment horizontal="left" vertical="center" wrapText="1"/>
      <protection locked="0"/>
    </xf>
    <xf numFmtId="4" fontId="27" fillId="0" borderId="12" xfId="4" applyNumberFormat="1" applyFont="1" applyBorder="1"/>
    <xf numFmtId="4" fontId="51" fillId="0" borderId="2" xfId="5" applyNumberFormat="1" applyFont="1" applyFill="1" applyBorder="1"/>
    <xf numFmtId="14" fontId="27" fillId="0" borderId="3" xfId="4" applyNumberFormat="1" applyFont="1" applyBorder="1"/>
    <xf numFmtId="0" fontId="27" fillId="0" borderId="20" xfId="4" applyFont="1" applyBorder="1"/>
    <xf numFmtId="0" fontId="0" fillId="0" borderId="10" xfId="0" applyBorder="1"/>
    <xf numFmtId="165" fontId="29" fillId="0" borderId="0" xfId="8" applyFont="1" applyFill="1"/>
    <xf numFmtId="4" fontId="27" fillId="0" borderId="2" xfId="5" applyNumberFormat="1" applyFont="1" applyFill="1" applyBorder="1" applyAlignment="1">
      <alignment horizontal="left" indent="3"/>
    </xf>
    <xf numFmtId="0" fontId="34" fillId="0" borderId="2" xfId="0" applyFont="1" applyBorder="1" applyAlignment="1" applyProtection="1">
      <alignment horizontal="left" vertical="center" wrapText="1"/>
      <protection locked="0"/>
    </xf>
    <xf numFmtId="165" fontId="27" fillId="0" borderId="2" xfId="8" applyFont="1" applyFill="1" applyBorder="1"/>
    <xf numFmtId="0" fontId="34" fillId="0" borderId="0" xfId="4" applyFont="1"/>
    <xf numFmtId="0" fontId="25" fillId="0" borderId="2" xfId="4" applyFont="1" applyBorder="1"/>
    <xf numFmtId="0" fontId="49" fillId="0" borderId="2" xfId="0" applyFont="1" applyBorder="1"/>
    <xf numFmtId="165" fontId="27" fillId="0" borderId="2" xfId="4" applyNumberFormat="1" applyFont="1" applyBorder="1"/>
    <xf numFmtId="0" fontId="50" fillId="0" borderId="2" xfId="0" applyFont="1" applyBorder="1"/>
    <xf numFmtId="0" fontId="34" fillId="0" borderId="87" xfId="0" applyFont="1" applyBorder="1" applyAlignment="1" applyProtection="1">
      <alignment horizontal="left" vertical="center" wrapText="1"/>
      <protection locked="0"/>
    </xf>
    <xf numFmtId="14" fontId="25" fillId="0" borderId="2" xfId="4" applyNumberFormat="1" applyFont="1" applyBorder="1"/>
    <xf numFmtId="0" fontId="25" fillId="0" borderId="0" xfId="4" applyFont="1"/>
    <xf numFmtId="0" fontId="34" fillId="0" borderId="39" xfId="43" applyFont="1" applyBorder="1" applyAlignment="1" applyProtection="1">
      <alignment horizontal="left" vertical="center" wrapText="1"/>
      <protection locked="0"/>
    </xf>
    <xf numFmtId="0" fontId="29" fillId="0" borderId="0" xfId="4" applyFont="1"/>
    <xf numFmtId="17" fontId="29" fillId="0" borderId="2" xfId="4" applyNumberFormat="1" applyFont="1" applyBorder="1"/>
    <xf numFmtId="14" fontId="47" fillId="0" borderId="64" xfId="0" applyNumberFormat="1" applyFont="1" applyBorder="1" applyAlignment="1">
      <alignment horizontal="center" vertical="center"/>
    </xf>
    <xf numFmtId="165" fontId="27" fillId="0" borderId="0" xfId="4" applyNumberFormat="1" applyFont="1"/>
    <xf numFmtId="0" fontId="10" fillId="0" borderId="39" xfId="4" applyFont="1" applyBorder="1"/>
    <xf numFmtId="0" fontId="28" fillId="0" borderId="39" xfId="4" applyFont="1" applyBorder="1" applyAlignment="1">
      <alignment horizontal="center"/>
    </xf>
    <xf numFmtId="173" fontId="28" fillId="0" borderId="39" xfId="4" applyNumberFormat="1" applyFont="1" applyBorder="1" applyAlignment="1">
      <alignment horizontal="center"/>
    </xf>
    <xf numFmtId="165" fontId="28" fillId="0" borderId="39" xfId="4" applyNumberFormat="1" applyFont="1" applyBorder="1" applyAlignment="1">
      <alignment horizontal="center"/>
    </xf>
    <xf numFmtId="174" fontId="28" fillId="0" borderId="39" xfId="4" applyNumberFormat="1" applyFont="1" applyBorder="1" applyAlignment="1">
      <alignment horizontal="center"/>
    </xf>
    <xf numFmtId="14" fontId="13" fillId="0" borderId="39" xfId="4" applyNumberFormat="1" applyFont="1" applyBorder="1"/>
    <xf numFmtId="0" fontId="13" fillId="0" borderId="45" xfId="4" applyFont="1" applyBorder="1"/>
    <xf numFmtId="173" fontId="13" fillId="0" borderId="39" xfId="4" applyNumberFormat="1" applyFont="1" applyBorder="1"/>
    <xf numFmtId="0" fontId="13" fillId="0" borderId="39" xfId="4" applyFont="1" applyBorder="1"/>
    <xf numFmtId="173" fontId="13" fillId="0" borderId="4" xfId="4" applyNumberFormat="1" applyFont="1" applyBorder="1"/>
    <xf numFmtId="0" fontId="14" fillId="0" borderId="4" xfId="4" applyBorder="1"/>
    <xf numFmtId="11" fontId="14" fillId="0" borderId="0" xfId="4" applyNumberFormat="1"/>
    <xf numFmtId="17" fontId="13" fillId="0" borderId="2" xfId="4" applyNumberFormat="1" applyFont="1" applyBorder="1"/>
    <xf numFmtId="0" fontId="0" fillId="0" borderId="4" xfId="4" applyFont="1" applyBorder="1"/>
    <xf numFmtId="0" fontId="0" fillId="0" borderId="39" xfId="4" applyFont="1" applyBorder="1"/>
    <xf numFmtId="165" fontId="0" fillId="0" borderId="39" xfId="4" applyNumberFormat="1" applyFont="1" applyBorder="1"/>
    <xf numFmtId="173" fontId="13" fillId="0" borderId="2" xfId="4" applyNumberFormat="1" applyFont="1" applyBorder="1"/>
    <xf numFmtId="0" fontId="27" fillId="51" borderId="2" xfId="4" applyFont="1" applyFill="1" applyBorder="1"/>
    <xf numFmtId="0" fontId="52" fillId="0" borderId="2" xfId="0" applyFont="1" applyBorder="1" applyAlignment="1" applyProtection="1">
      <alignment horizontal="left" vertical="center" wrapText="1"/>
      <protection locked="0"/>
    </xf>
    <xf numFmtId="177" fontId="33" fillId="10" borderId="55" xfId="8" applyNumberFormat="1" applyFont="1" applyFill="1" applyBorder="1"/>
    <xf numFmtId="177" fontId="20" fillId="52" borderId="0" xfId="8" applyNumberFormat="1" applyFont="1" applyFill="1"/>
    <xf numFmtId="0" fontId="20" fillId="52" borderId="0" xfId="0" applyFont="1" applyFill="1"/>
    <xf numFmtId="4" fontId="27" fillId="13" borderId="2" xfId="5" applyNumberFormat="1" applyFont="1" applyFill="1" applyBorder="1"/>
    <xf numFmtId="0" fontId="34" fillId="3" borderId="2" xfId="4" applyFont="1" applyFill="1" applyBorder="1"/>
    <xf numFmtId="0" fontId="27" fillId="13" borderId="2" xfId="4" applyFont="1" applyFill="1" applyBorder="1"/>
    <xf numFmtId="185" fontId="0" fillId="0" borderId="0" xfId="0" applyNumberFormat="1"/>
    <xf numFmtId="0" fontId="27" fillId="0" borderId="2" xfId="0" applyFont="1" applyBorder="1"/>
    <xf numFmtId="0" fontId="48" fillId="0" borderId="2" xfId="0" applyFont="1" applyBorder="1"/>
    <xf numFmtId="0" fontId="53" fillId="0" borderId="2" xfId="0" applyFont="1" applyBorder="1"/>
    <xf numFmtId="0" fontId="27" fillId="37" borderId="2" xfId="4" applyFont="1" applyFill="1" applyBorder="1"/>
    <xf numFmtId="4" fontId="27" fillId="37" borderId="2" xfId="5" applyNumberFormat="1" applyFont="1" applyFill="1" applyBorder="1"/>
    <xf numFmtId="17" fontId="27" fillId="13" borderId="2" xfId="4" applyNumberFormat="1" applyFont="1" applyFill="1" applyBorder="1"/>
    <xf numFmtId="14" fontId="27" fillId="3" borderId="3" xfId="4" applyNumberFormat="1" applyFont="1" applyFill="1" applyBorder="1"/>
    <xf numFmtId="0" fontId="27" fillId="13" borderId="20" xfId="4" applyFont="1" applyFill="1" applyBorder="1"/>
    <xf numFmtId="4" fontId="27" fillId="40" borderId="2" xfId="5" applyNumberFormat="1" applyFont="1" applyFill="1" applyBorder="1"/>
    <xf numFmtId="4" fontId="27" fillId="27" borderId="2" xfId="5" applyNumberFormat="1" applyFont="1" applyFill="1" applyBorder="1"/>
    <xf numFmtId="0" fontId="54" fillId="0" borderId="2" xfId="0" applyFont="1" applyBorder="1" applyAlignment="1">
      <alignment wrapText="1"/>
    </xf>
    <xf numFmtId="0" fontId="54" fillId="0" borderId="12" xfId="0" applyFont="1" applyBorder="1" applyAlignment="1">
      <alignment wrapText="1"/>
    </xf>
    <xf numFmtId="0" fontId="55" fillId="0" borderId="12" xfId="0" applyFont="1" applyBorder="1" applyAlignment="1">
      <alignment wrapText="1"/>
    </xf>
    <xf numFmtId="0" fontId="56" fillId="0" borderId="0" xfId="0" applyFont="1"/>
    <xf numFmtId="0" fontId="0" fillId="0" borderId="39" xfId="0" applyBorder="1"/>
    <xf numFmtId="4" fontId="27" fillId="11" borderId="2" xfId="5" applyNumberFormat="1" applyFont="1" applyFill="1" applyBorder="1"/>
    <xf numFmtId="0" fontId="57" fillId="0" borderId="2" xfId="0" applyFont="1" applyBorder="1" applyAlignment="1" applyProtection="1">
      <alignment horizontal="left" vertical="center" wrapText="1"/>
      <protection locked="0"/>
    </xf>
    <xf numFmtId="0" fontId="27" fillId="0" borderId="39" xfId="0" applyFont="1" applyBorder="1"/>
    <xf numFmtId="0" fontId="27" fillId="0" borderId="12" xfId="0" applyFont="1" applyBorder="1"/>
    <xf numFmtId="0" fontId="49" fillId="0" borderId="0" xfId="0" applyFont="1"/>
    <xf numFmtId="0" fontId="49" fillId="0" borderId="40" xfId="0" applyFont="1" applyBorder="1"/>
    <xf numFmtId="14" fontId="27" fillId="34" borderId="2" xfId="4" applyNumberFormat="1" applyFont="1" applyFill="1" applyBorder="1"/>
    <xf numFmtId="0" fontId="57" fillId="34" borderId="2" xfId="0" applyFont="1" applyFill="1" applyBorder="1" applyAlignment="1" applyProtection="1">
      <alignment horizontal="left" vertical="center" wrapText="1"/>
      <protection locked="0"/>
    </xf>
    <xf numFmtId="0" fontId="27" fillId="34" borderId="2" xfId="4" applyFont="1" applyFill="1" applyBorder="1"/>
    <xf numFmtId="4" fontId="27" fillId="34" borderId="2" xfId="5" applyNumberFormat="1" applyFont="1" applyFill="1" applyBorder="1"/>
    <xf numFmtId="17" fontId="27" fillId="34" borderId="2" xfId="4" applyNumberFormat="1" applyFont="1" applyFill="1" applyBorder="1"/>
    <xf numFmtId="14" fontId="16" fillId="0" borderId="2" xfId="0" applyNumberFormat="1" applyFont="1" applyBorder="1"/>
    <xf numFmtId="14" fontId="16" fillId="0" borderId="12" xfId="0" applyNumberFormat="1" applyFont="1" applyBorder="1"/>
    <xf numFmtId="0" fontId="56" fillId="0" borderId="46" xfId="0" applyFont="1" applyBorder="1"/>
    <xf numFmtId="0" fontId="58" fillId="0" borderId="2" xfId="4" applyFont="1" applyBorder="1"/>
    <xf numFmtId="4" fontId="27" fillId="35" borderId="2" xfId="5" applyNumberFormat="1" applyFont="1" applyFill="1" applyBorder="1"/>
    <xf numFmtId="0" fontId="27" fillId="3" borderId="3" xfId="4" applyFont="1" applyFill="1" applyBorder="1"/>
    <xf numFmtId="0" fontId="27" fillId="3" borderId="10" xfId="4" applyFont="1" applyFill="1" applyBorder="1"/>
    <xf numFmtId="0" fontId="59" fillId="0" borderId="0" xfId="0" applyFont="1"/>
    <xf numFmtId="14" fontId="27" fillId="25" borderId="2" xfId="4" applyNumberFormat="1" applyFont="1" applyFill="1" applyBorder="1"/>
    <xf numFmtId="4" fontId="27" fillId="25" borderId="2" xfId="5" applyNumberFormat="1" applyFont="1" applyFill="1" applyBorder="1"/>
    <xf numFmtId="17" fontId="27" fillId="25" borderId="2" xfId="4" applyNumberFormat="1" applyFont="1" applyFill="1" applyBorder="1"/>
    <xf numFmtId="0" fontId="27" fillId="25" borderId="0" xfId="4" applyFont="1" applyFill="1"/>
    <xf numFmtId="4" fontId="27" fillId="53" borderId="2" xfId="5" applyNumberFormat="1" applyFont="1" applyFill="1" applyBorder="1"/>
    <xf numFmtId="4" fontId="27" fillId="31" borderId="2" xfId="5" applyNumberFormat="1" applyFont="1" applyFill="1" applyBorder="1"/>
    <xf numFmtId="4" fontId="27" fillId="16" borderId="2" xfId="5" applyNumberFormat="1" applyFont="1" applyFill="1" applyBorder="1"/>
    <xf numFmtId="4" fontId="27" fillId="54" borderId="2" xfId="5" applyNumberFormat="1" applyFont="1" applyFill="1" applyBorder="1"/>
    <xf numFmtId="4" fontId="27" fillId="42" borderId="2" xfId="5" applyNumberFormat="1" applyFont="1" applyFill="1" applyBorder="1"/>
    <xf numFmtId="14" fontId="27" fillId="42" borderId="2" xfId="4" applyNumberFormat="1" applyFont="1" applyFill="1" applyBorder="1"/>
    <xf numFmtId="0" fontId="27" fillId="42" borderId="2" xfId="4" applyFont="1" applyFill="1" applyBorder="1"/>
    <xf numFmtId="17" fontId="27" fillId="42" borderId="2" xfId="4" applyNumberFormat="1" applyFont="1" applyFill="1" applyBorder="1"/>
    <xf numFmtId="0" fontId="27" fillId="55" borderId="2" xfId="4" applyFont="1" applyFill="1" applyBorder="1"/>
    <xf numFmtId="14" fontId="27" fillId="55" borderId="2" xfId="4" applyNumberFormat="1" applyFont="1" applyFill="1" applyBorder="1"/>
    <xf numFmtId="0" fontId="0" fillId="55" borderId="39" xfId="0" applyFill="1" applyBorder="1"/>
    <xf numFmtId="4" fontId="27" fillId="55" borderId="2" xfId="5" applyNumberFormat="1" applyFont="1" applyFill="1" applyBorder="1"/>
    <xf numFmtId="17" fontId="27" fillId="55" borderId="2" xfId="4" applyNumberFormat="1" applyFont="1" applyFill="1" applyBorder="1"/>
    <xf numFmtId="0" fontId="0" fillId="55" borderId="0" xfId="0" applyFill="1"/>
    <xf numFmtId="0" fontId="27" fillId="3" borderId="20" xfId="4" applyFont="1" applyFill="1" applyBorder="1"/>
    <xf numFmtId="0" fontId="60" fillId="0" borderId="2" xfId="0" applyFont="1" applyBorder="1"/>
    <xf numFmtId="0" fontId="56" fillId="0" borderId="39" xfId="0" applyFont="1" applyBorder="1"/>
    <xf numFmtId="14" fontId="27" fillId="56" borderId="2" xfId="4" applyNumberFormat="1" applyFont="1" applyFill="1" applyBorder="1"/>
    <xf numFmtId="0" fontId="27" fillId="56" borderId="2" xfId="4" applyFont="1" applyFill="1" applyBorder="1"/>
    <xf numFmtId="17" fontId="27" fillId="56" borderId="2" xfId="4" applyNumberFormat="1" applyFont="1" applyFill="1" applyBorder="1"/>
    <xf numFmtId="0" fontId="27" fillId="56" borderId="0" xfId="4" applyFont="1" applyFill="1"/>
    <xf numFmtId="4" fontId="27" fillId="57" borderId="2" xfId="5" applyNumberFormat="1" applyFont="1" applyFill="1" applyBorder="1"/>
    <xf numFmtId="165" fontId="14" fillId="11" borderId="39" xfId="4" applyNumberFormat="1" applyFill="1" applyBorder="1"/>
    <xf numFmtId="165" fontId="0" fillId="11" borderId="39" xfId="4" applyNumberFormat="1" applyFont="1" applyFill="1" applyBorder="1"/>
    <xf numFmtId="4" fontId="27" fillId="36" borderId="2" xfId="5" applyNumberFormat="1" applyFont="1" applyFill="1" applyBorder="1"/>
    <xf numFmtId="4" fontId="27" fillId="36" borderId="2" xfId="4" applyNumberFormat="1" applyFont="1" applyFill="1" applyBorder="1"/>
    <xf numFmtId="4" fontId="25" fillId="36" borderId="2" xfId="5" applyNumberFormat="1" applyFont="1" applyFill="1" applyBorder="1"/>
    <xf numFmtId="0" fontId="14" fillId="0" borderId="39" xfId="0" applyFont="1" applyBorder="1"/>
    <xf numFmtId="177" fontId="20" fillId="50" borderId="0" xfId="8" applyNumberFormat="1" applyFont="1" applyFill="1"/>
    <xf numFmtId="0" fontId="20" fillId="50" borderId="0" xfId="0" applyFont="1" applyFill="1"/>
    <xf numFmtId="0" fontId="27" fillId="40" borderId="2" xfId="4" applyFont="1" applyFill="1" applyBorder="1"/>
    <xf numFmtId="14" fontId="36" fillId="0" borderId="64" xfId="0" applyNumberFormat="1" applyFont="1" applyBorder="1" applyAlignment="1">
      <alignment horizontal="right" vertical="center"/>
    </xf>
    <xf numFmtId="14" fontId="14" fillId="3" borderId="2" xfId="4" applyNumberFormat="1" applyFill="1" applyBorder="1"/>
    <xf numFmtId="4" fontId="14" fillId="0" borderId="2" xfId="5" applyNumberFormat="1" applyFont="1" applyFill="1" applyBorder="1"/>
    <xf numFmtId="17" fontId="14" fillId="3" borderId="2" xfId="4" applyNumberFormat="1" applyFill="1" applyBorder="1"/>
    <xf numFmtId="14" fontId="27" fillId="13" borderId="2" xfId="4" applyNumberFormat="1" applyFont="1" applyFill="1" applyBorder="1"/>
    <xf numFmtId="170" fontId="10" fillId="5" borderId="0" xfId="0" applyNumberFormat="1" applyFont="1" applyFill="1" applyAlignment="1">
      <alignment horizontal="center" vertical="center"/>
    </xf>
    <xf numFmtId="4" fontId="10" fillId="8" borderId="0" xfId="0" applyNumberFormat="1" applyFont="1" applyFill="1" applyAlignment="1">
      <alignment vertical="center"/>
    </xf>
    <xf numFmtId="4" fontId="11" fillId="9" borderId="0" xfId="0" applyNumberFormat="1" applyFont="1" applyFill="1"/>
    <xf numFmtId="14" fontId="14" fillId="3" borderId="0" xfId="0" applyNumberFormat="1" applyFont="1" applyFill="1"/>
    <xf numFmtId="4" fontId="0" fillId="13" borderId="2" xfId="4" applyNumberFormat="1" applyFont="1" applyFill="1" applyBorder="1"/>
    <xf numFmtId="4" fontId="25" fillId="13" borderId="2" xfId="5" applyNumberFormat="1" applyFont="1" applyFill="1" applyBorder="1"/>
    <xf numFmtId="3" fontId="27" fillId="13" borderId="2" xfId="5" applyNumberFormat="1" applyFont="1" applyFill="1" applyBorder="1"/>
    <xf numFmtId="14" fontId="45" fillId="3" borderId="2" xfId="4" applyNumberFormat="1" applyFont="1" applyFill="1" applyBorder="1"/>
    <xf numFmtId="0" fontId="45" fillId="3" borderId="2" xfId="4" applyFont="1" applyFill="1" applyBorder="1"/>
    <xf numFmtId="17" fontId="45" fillId="3" borderId="2" xfId="4" applyNumberFormat="1" applyFont="1" applyFill="1" applyBorder="1"/>
    <xf numFmtId="0" fontId="45" fillId="3" borderId="0" xfId="4" applyFont="1" applyFill="1"/>
    <xf numFmtId="14" fontId="27" fillId="31" borderId="2" xfId="4" applyNumberFormat="1" applyFont="1" applyFill="1" applyBorder="1"/>
    <xf numFmtId="0" fontId="27" fillId="31" borderId="0" xfId="4" applyFont="1" applyFill="1"/>
    <xf numFmtId="17" fontId="27" fillId="31" borderId="2" xfId="4" applyNumberFormat="1" applyFont="1" applyFill="1" applyBorder="1"/>
    <xf numFmtId="0" fontId="27" fillId="21" borderId="2" xfId="4" applyFont="1" applyFill="1" applyBorder="1"/>
    <xf numFmtId="4" fontId="27" fillId="58" borderId="2" xfId="5" applyNumberFormat="1" applyFont="1" applyFill="1" applyBorder="1"/>
    <xf numFmtId="4" fontId="45" fillId="58" borderId="2" xfId="5" applyNumberFormat="1" applyFont="1" applyFill="1" applyBorder="1"/>
    <xf numFmtId="17" fontId="27" fillId="58" borderId="2" xfId="4" applyNumberFormat="1" applyFont="1" applyFill="1" applyBorder="1"/>
    <xf numFmtId="0" fontId="27" fillId="58" borderId="2" xfId="4" applyFont="1" applyFill="1" applyBorder="1"/>
    <xf numFmtId="17" fontId="0" fillId="3" borderId="2" xfId="4" applyNumberFormat="1" applyFont="1" applyFill="1" applyBorder="1"/>
    <xf numFmtId="4" fontId="0" fillId="0" borderId="2" xfId="5" applyNumberFormat="1" applyFont="1" applyBorder="1"/>
    <xf numFmtId="14" fontId="29" fillId="3" borderId="2" xfId="4" applyNumberFormat="1" applyFont="1" applyFill="1" applyBorder="1"/>
    <xf numFmtId="0" fontId="29" fillId="3" borderId="2" xfId="4" applyFont="1" applyFill="1" applyBorder="1"/>
    <xf numFmtId="17" fontId="29" fillId="3" borderId="2" xfId="4" applyNumberFormat="1" applyFont="1" applyFill="1" applyBorder="1"/>
    <xf numFmtId="4" fontId="27" fillId="59" borderId="2" xfId="5" applyNumberFormat="1" applyFont="1" applyFill="1" applyBorder="1"/>
    <xf numFmtId="0" fontId="0" fillId="0" borderId="0" xfId="0" pivotButton="1"/>
    <xf numFmtId="14" fontId="27" fillId="50" borderId="2" xfId="4" applyNumberFormat="1" applyFont="1" applyFill="1" applyBorder="1"/>
    <xf numFmtId="0" fontId="27" fillId="50" borderId="2" xfId="4" applyFont="1" applyFill="1" applyBorder="1"/>
    <xf numFmtId="4" fontId="27" fillId="50" borderId="2" xfId="5" applyNumberFormat="1" applyFont="1" applyFill="1" applyBorder="1"/>
    <xf numFmtId="17" fontId="29" fillId="50" borderId="2" xfId="4" applyNumberFormat="1" applyFont="1" applyFill="1" applyBorder="1"/>
    <xf numFmtId="0" fontId="0" fillId="50" borderId="2" xfId="0" applyFill="1" applyBorder="1"/>
    <xf numFmtId="15" fontId="27" fillId="3" borderId="2" xfId="4" applyNumberFormat="1" applyFont="1" applyFill="1" applyBorder="1"/>
    <xf numFmtId="14" fontId="27" fillId="3" borderId="12" xfId="4" applyNumberFormat="1" applyFont="1" applyFill="1" applyBorder="1"/>
    <xf numFmtId="14" fontId="27" fillId="60" borderId="2" xfId="4" applyNumberFormat="1" applyFont="1" applyFill="1" applyBorder="1"/>
    <xf numFmtId="0" fontId="27" fillId="60" borderId="2" xfId="4" applyFont="1" applyFill="1" applyBorder="1"/>
    <xf numFmtId="0" fontId="27" fillId="60" borderId="23" xfId="4" applyFont="1" applyFill="1" applyBorder="1"/>
    <xf numFmtId="17" fontId="27" fillId="60" borderId="2" xfId="4" applyNumberFormat="1" applyFont="1" applyFill="1" applyBorder="1"/>
    <xf numFmtId="4" fontId="27" fillId="11" borderId="12" xfId="5" applyNumberFormat="1" applyFont="1" applyFill="1" applyBorder="1"/>
    <xf numFmtId="4" fontId="27" fillId="51" borderId="2" xfId="5" applyNumberFormat="1" applyFont="1" applyFill="1" applyBorder="1"/>
    <xf numFmtId="4" fontId="29" fillId="11" borderId="2" xfId="5" applyNumberFormat="1" applyFont="1" applyFill="1" applyBorder="1"/>
    <xf numFmtId="14" fontId="27" fillId="61" borderId="2" xfId="0" applyNumberFormat="1" applyFont="1" applyFill="1" applyBorder="1"/>
    <xf numFmtId="0" fontId="27" fillId="61" borderId="20" xfId="0" applyFont="1" applyFill="1" applyBorder="1"/>
    <xf numFmtId="4" fontId="27" fillId="62" borderId="20" xfId="0" applyNumberFormat="1" applyFont="1" applyFill="1" applyBorder="1"/>
    <xf numFmtId="17" fontId="27" fillId="61" borderId="20" xfId="0" applyNumberFormat="1" applyFont="1" applyFill="1" applyBorder="1"/>
    <xf numFmtId="0" fontId="27" fillId="63" borderId="12" xfId="0" applyFont="1" applyFill="1" applyBorder="1"/>
    <xf numFmtId="14" fontId="27" fillId="63" borderId="12" xfId="0" applyNumberFormat="1" applyFont="1" applyFill="1" applyBorder="1"/>
    <xf numFmtId="0" fontId="27" fillId="0" borderId="21" xfId="0" applyFont="1" applyBorder="1"/>
    <xf numFmtId="0" fontId="27" fillId="63" borderId="21" xfId="0" applyFont="1" applyFill="1" applyBorder="1"/>
    <xf numFmtId="4" fontId="27" fillId="62" borderId="21" xfId="0" applyNumberFormat="1" applyFont="1" applyFill="1" applyBorder="1"/>
    <xf numFmtId="17" fontId="27" fillId="63" borderId="21" xfId="0" applyNumberFormat="1" applyFont="1" applyFill="1" applyBorder="1"/>
    <xf numFmtId="0" fontId="27" fillId="0" borderId="21" xfId="0" applyFont="1" applyBorder="1" applyAlignment="1">
      <alignment wrapText="1"/>
    </xf>
    <xf numFmtId="4" fontId="27" fillId="64" borderId="21" xfId="0" applyNumberFormat="1" applyFont="1" applyFill="1" applyBorder="1"/>
    <xf numFmtId="0" fontId="27" fillId="63" borderId="0" xfId="0" applyFont="1" applyFill="1"/>
    <xf numFmtId="0" fontId="27" fillId="0" borderId="20" xfId="0" applyFont="1" applyBorder="1"/>
    <xf numFmtId="4" fontId="27" fillId="0" borderId="21" xfId="0" applyNumberFormat="1" applyFont="1" applyBorder="1"/>
    <xf numFmtId="14" fontId="14" fillId="0" borderId="87" xfId="0" applyNumberFormat="1" applyFont="1" applyBorder="1"/>
    <xf numFmtId="0" fontId="14" fillId="0" borderId="89" xfId="0" applyFont="1" applyBorder="1"/>
    <xf numFmtId="0" fontId="14" fillId="0" borderId="58" xfId="0" applyFont="1" applyBorder="1"/>
    <xf numFmtId="17" fontId="14" fillId="0" borderId="89" xfId="0" applyNumberFormat="1" applyFont="1" applyBorder="1"/>
    <xf numFmtId="3" fontId="61" fillId="65" borderId="90" xfId="0" applyNumberFormat="1" applyFont="1" applyFill="1" applyBorder="1"/>
    <xf numFmtId="14" fontId="27" fillId="63" borderId="2" xfId="0" applyNumberFormat="1" applyFont="1" applyFill="1" applyBorder="1"/>
    <xf numFmtId="0" fontId="27" fillId="63" borderId="20" xfId="0" applyFont="1" applyFill="1" applyBorder="1"/>
    <xf numFmtId="4" fontId="27" fillId="0" borderId="20" xfId="0" applyNumberFormat="1" applyFont="1" applyBorder="1"/>
    <xf numFmtId="17" fontId="27" fillId="0" borderId="20" xfId="0" applyNumberFormat="1" applyFont="1" applyBorder="1"/>
    <xf numFmtId="17" fontId="27" fillId="0" borderId="21" xfId="0" applyNumberFormat="1" applyFont="1" applyBorder="1"/>
    <xf numFmtId="3" fontId="62" fillId="65" borderId="91" xfId="0" applyNumberFormat="1" applyFont="1" applyFill="1" applyBorder="1"/>
    <xf numFmtId="0" fontId="62" fillId="65" borderId="90" xfId="0" applyFont="1" applyFill="1" applyBorder="1"/>
    <xf numFmtId="3" fontId="62" fillId="65" borderId="90" xfId="0" applyNumberFormat="1" applyFont="1" applyFill="1" applyBorder="1"/>
    <xf numFmtId="0" fontId="62" fillId="65" borderId="92" xfId="0" applyFont="1" applyFill="1" applyBorder="1"/>
    <xf numFmtId="3" fontId="62" fillId="65" borderId="92" xfId="0" applyNumberFormat="1" applyFont="1" applyFill="1" applyBorder="1"/>
    <xf numFmtId="0" fontId="62" fillId="65" borderId="93" xfId="0" applyFont="1" applyFill="1" applyBorder="1"/>
    <xf numFmtId="17" fontId="27" fillId="63" borderId="20" xfId="0" applyNumberFormat="1" applyFont="1" applyFill="1" applyBorder="1"/>
    <xf numFmtId="4" fontId="27" fillId="3" borderId="20" xfId="0" applyNumberFormat="1" applyFont="1" applyFill="1" applyBorder="1"/>
    <xf numFmtId="4" fontId="27" fillId="66" borderId="20" xfId="0" applyNumberFormat="1" applyFont="1" applyFill="1" applyBorder="1"/>
    <xf numFmtId="0" fontId="27" fillId="0" borderId="0" xfId="0" applyFont="1"/>
    <xf numFmtId="0" fontId="27" fillId="67" borderId="21" xfId="0" applyFont="1" applyFill="1" applyBorder="1"/>
    <xf numFmtId="0" fontId="27" fillId="67" borderId="20" xfId="0" applyFont="1" applyFill="1" applyBorder="1"/>
    <xf numFmtId="14" fontId="27" fillId="23" borderId="2" xfId="4" applyNumberFormat="1" applyFont="1" applyFill="1" applyBorder="1"/>
    <xf numFmtId="0" fontId="27" fillId="23" borderId="2" xfId="4" applyFont="1" applyFill="1" applyBorder="1"/>
    <xf numFmtId="4" fontId="27" fillId="23" borderId="2" xfId="5" applyNumberFormat="1" applyFont="1" applyFill="1" applyBorder="1"/>
    <xf numFmtId="17" fontId="29" fillId="23" borderId="2" xfId="4" applyNumberFormat="1" applyFont="1" applyFill="1" applyBorder="1"/>
    <xf numFmtId="0" fontId="20" fillId="11" borderId="0" xfId="0" applyFont="1" applyFill="1"/>
    <xf numFmtId="177" fontId="20" fillId="11" borderId="0" xfId="0" applyNumberFormat="1" applyFont="1" applyFill="1"/>
    <xf numFmtId="177" fontId="20" fillId="11" borderId="0" xfId="8" applyNumberFormat="1" applyFont="1" applyFill="1"/>
    <xf numFmtId="17" fontId="0" fillId="0" borderId="89" xfId="0" applyNumberFormat="1" applyBorder="1"/>
    <xf numFmtId="0" fontId="0" fillId="0" borderId="89" xfId="0" applyBorder="1"/>
    <xf numFmtId="0" fontId="0" fillId="0" borderId="58" xfId="0" applyBorder="1"/>
    <xf numFmtId="0" fontId="59" fillId="0" borderId="2" xfId="0" applyFont="1" applyBorder="1"/>
    <xf numFmtId="0" fontId="14" fillId="3" borderId="79" xfId="0" applyFont="1" applyFill="1" applyBorder="1" applyAlignment="1">
      <alignment horizontal="center" vertical="center" wrapText="1"/>
    </xf>
    <xf numFmtId="4" fontId="11" fillId="3" borderId="10" xfId="0" applyNumberFormat="1" applyFont="1" applyFill="1" applyBorder="1" applyAlignment="1">
      <alignment horizontal="center"/>
    </xf>
    <xf numFmtId="4" fontId="0" fillId="3" borderId="80" xfId="0" applyNumberFormat="1" applyFill="1" applyBorder="1"/>
    <xf numFmtId="4" fontId="14" fillId="3" borderId="56" xfId="0" applyNumberFormat="1" applyFont="1" applyFill="1" applyBorder="1"/>
    <xf numFmtId="4" fontId="33" fillId="3" borderId="0" xfId="0" applyNumberFormat="1" applyFont="1" applyFill="1"/>
    <xf numFmtId="4" fontId="11" fillId="0" borderId="12" xfId="0" applyNumberFormat="1" applyFont="1" applyBorder="1"/>
    <xf numFmtId="17" fontId="0" fillId="0" borderId="6" xfId="0" applyNumberFormat="1" applyBorder="1"/>
    <xf numFmtId="17" fontId="0" fillId="0" borderId="7" xfId="0" applyNumberFormat="1" applyBorder="1"/>
    <xf numFmtId="17" fontId="0" fillId="0" borderId="8" xfId="0" applyNumberFormat="1" applyBorder="1"/>
    <xf numFmtId="4" fontId="0" fillId="2" borderId="22" xfId="0" applyNumberFormat="1" applyFill="1" applyBorder="1"/>
    <xf numFmtId="0" fontId="14" fillId="2" borderId="25" xfId="0" applyFont="1" applyFill="1" applyBorder="1"/>
    <xf numFmtId="0" fontId="11" fillId="3" borderId="99" xfId="0" applyFont="1" applyFill="1" applyBorder="1"/>
    <xf numFmtId="0" fontId="11" fillId="3" borderId="54" xfId="0" applyFont="1" applyFill="1" applyBorder="1"/>
    <xf numFmtId="0" fontId="14" fillId="3" borderId="0" xfId="0" applyFont="1" applyFill="1" applyAlignment="1">
      <alignment horizontal="center" vertical="center" wrapText="1"/>
    </xf>
    <xf numFmtId="0" fontId="14" fillId="3" borderId="0" xfId="0" applyFont="1" applyFill="1" applyAlignment="1">
      <alignment horizontal="center"/>
    </xf>
    <xf numFmtId="0" fontId="14" fillId="3" borderId="54" xfId="0" applyFont="1" applyFill="1" applyBorder="1" applyAlignment="1">
      <alignment horizontal="center" vertical="center" wrapText="1"/>
    </xf>
    <xf numFmtId="165" fontId="0" fillId="3" borderId="77" xfId="8" applyFont="1" applyFill="1" applyBorder="1"/>
    <xf numFmtId="165" fontId="0" fillId="3" borderId="31" xfId="8" applyFont="1" applyFill="1" applyBorder="1"/>
    <xf numFmtId="4" fontId="0" fillId="3" borderId="101" xfId="0" applyNumberFormat="1" applyFill="1" applyBorder="1"/>
    <xf numFmtId="0" fontId="11" fillId="3" borderId="82" xfId="0" applyFont="1" applyFill="1" applyBorder="1"/>
    <xf numFmtId="0" fontId="11" fillId="3" borderId="83" xfId="0" applyFont="1" applyFill="1" applyBorder="1"/>
    <xf numFmtId="0" fontId="11" fillId="3" borderId="101" xfId="0" applyFont="1" applyFill="1" applyBorder="1"/>
    <xf numFmtId="17" fontId="0" fillId="3" borderId="10" xfId="0" applyNumberFormat="1" applyFill="1" applyBorder="1"/>
    <xf numFmtId="4" fontId="14" fillId="3" borderId="2" xfId="0" applyNumberFormat="1" applyFont="1" applyFill="1" applyBorder="1"/>
    <xf numFmtId="10" fontId="0" fillId="3" borderId="0" xfId="0" applyNumberFormat="1" applyFill="1"/>
    <xf numFmtId="170" fontId="10" fillId="68" borderId="3" xfId="0" applyNumberFormat="1" applyFont="1" applyFill="1" applyBorder="1" applyAlignment="1">
      <alignment horizontal="center" vertical="center"/>
    </xf>
    <xf numFmtId="170" fontId="10" fillId="68" borderId="2" xfId="0" applyNumberFormat="1" applyFont="1" applyFill="1" applyBorder="1" applyAlignment="1">
      <alignment horizontal="center" vertical="center"/>
    </xf>
    <xf numFmtId="0" fontId="65" fillId="2" borderId="0" xfId="0" applyFont="1" applyFill="1"/>
    <xf numFmtId="170" fontId="66" fillId="6" borderId="9" xfId="0" applyNumberFormat="1" applyFont="1" applyFill="1" applyBorder="1" applyAlignment="1">
      <alignment horizontal="center" vertical="center"/>
    </xf>
    <xf numFmtId="170" fontId="66" fillId="6" borderId="3" xfId="0" applyNumberFormat="1" applyFont="1" applyFill="1" applyBorder="1" applyAlignment="1">
      <alignment horizontal="center" vertical="center"/>
    </xf>
    <xf numFmtId="170" fontId="66" fillId="6" borderId="2" xfId="0" applyNumberFormat="1" applyFont="1" applyFill="1" applyBorder="1" applyAlignment="1">
      <alignment horizontal="center" vertical="center"/>
    </xf>
    <xf numFmtId="0" fontId="65" fillId="3" borderId="0" xfId="0" applyFont="1" applyFill="1"/>
    <xf numFmtId="170" fontId="66" fillId="6" borderId="54" xfId="0" applyNumberFormat="1" applyFont="1" applyFill="1" applyBorder="1" applyAlignment="1">
      <alignment horizontal="center" vertical="center"/>
    </xf>
    <xf numFmtId="0" fontId="67" fillId="2" borderId="0" xfId="0" applyFont="1" applyFill="1"/>
    <xf numFmtId="3" fontId="65" fillId="3" borderId="0" xfId="0" applyNumberFormat="1" applyFont="1" applyFill="1"/>
    <xf numFmtId="0" fontId="66" fillId="15" borderId="4" xfId="0" applyFont="1" applyFill="1" applyBorder="1"/>
    <xf numFmtId="0" fontId="68" fillId="2" borderId="0" xfId="0" applyFont="1" applyFill="1"/>
    <xf numFmtId="4" fontId="65" fillId="2" borderId="0" xfId="0" applyNumberFormat="1" applyFont="1" applyFill="1"/>
    <xf numFmtId="0" fontId="67" fillId="2" borderId="0" xfId="0" applyFont="1" applyFill="1" applyAlignment="1">
      <alignment wrapText="1"/>
    </xf>
    <xf numFmtId="0" fontId="68" fillId="2" borderId="4" xfId="0" applyFont="1" applyFill="1" applyBorder="1"/>
    <xf numFmtId="0" fontId="65" fillId="3" borderId="0" xfId="4" applyFont="1" applyFill="1"/>
    <xf numFmtId="3" fontId="65" fillId="2" borderId="0" xfId="0" applyNumberFormat="1" applyFont="1" applyFill="1"/>
    <xf numFmtId="0" fontId="69" fillId="2" borderId="4" xfId="0" applyFont="1" applyFill="1" applyBorder="1"/>
    <xf numFmtId="0" fontId="69" fillId="2" borderId="0" xfId="0" applyFont="1" applyFill="1"/>
    <xf numFmtId="4" fontId="69" fillId="22" borderId="0" xfId="0" applyNumberFormat="1" applyFont="1" applyFill="1"/>
    <xf numFmtId="0" fontId="11" fillId="3" borderId="35" xfId="0" applyFont="1" applyFill="1" applyBorder="1"/>
    <xf numFmtId="0" fontId="11" fillId="3" borderId="18" xfId="0" applyFont="1" applyFill="1" applyBorder="1"/>
    <xf numFmtId="17" fontId="11" fillId="3" borderId="102" xfId="0" applyNumberFormat="1" applyFont="1" applyFill="1" applyBorder="1" applyAlignment="1">
      <alignment horizontal="center"/>
    </xf>
    <xf numFmtId="17" fontId="11" fillId="3" borderId="10" xfId="0" applyNumberFormat="1" applyFont="1" applyFill="1" applyBorder="1" applyAlignment="1">
      <alignment horizontal="center"/>
    </xf>
    <xf numFmtId="4" fontId="11" fillId="3" borderId="36" xfId="0" applyNumberFormat="1" applyFont="1" applyFill="1" applyBorder="1" applyAlignment="1">
      <alignment horizontal="center"/>
    </xf>
    <xf numFmtId="165" fontId="0" fillId="3" borderId="0" xfId="8" applyFont="1" applyFill="1" applyBorder="1"/>
    <xf numFmtId="4" fontId="0" fillId="13" borderId="33" xfId="0" applyNumberFormat="1" applyFill="1" applyBorder="1"/>
    <xf numFmtId="4" fontId="0" fillId="13" borderId="31" xfId="0" applyNumberFormat="1" applyFill="1" applyBorder="1"/>
    <xf numFmtId="4" fontId="0" fillId="37" borderId="33" xfId="0" applyNumberFormat="1" applyFill="1" applyBorder="1"/>
    <xf numFmtId="4" fontId="0" fillId="37" borderId="0" xfId="0" applyNumberFormat="1" applyFill="1"/>
    <xf numFmtId="4" fontId="0" fillId="3" borderId="9" xfId="0" applyNumberFormat="1" applyFill="1" applyBorder="1"/>
    <xf numFmtId="4" fontId="0" fillId="3" borderId="20" xfId="0" applyNumberFormat="1" applyFill="1" applyBorder="1"/>
    <xf numFmtId="0" fontId="67" fillId="2" borderId="79" xfId="0" applyFont="1" applyFill="1" applyBorder="1"/>
    <xf numFmtId="0" fontId="67" fillId="2" borderId="80" xfId="0" applyFont="1" applyFill="1" applyBorder="1"/>
    <xf numFmtId="0" fontId="67" fillId="46" borderId="54" xfId="0" applyFont="1" applyFill="1" applyBorder="1"/>
    <xf numFmtId="0" fontId="70" fillId="70" borderId="79" xfId="0" applyFont="1" applyFill="1" applyBorder="1"/>
    <xf numFmtId="0" fontId="70" fillId="70" borderId="54" xfId="0" applyFont="1" applyFill="1" applyBorder="1"/>
    <xf numFmtId="3" fontId="69" fillId="22" borderId="0" xfId="0" applyNumberFormat="1" applyFont="1" applyFill="1"/>
    <xf numFmtId="3" fontId="66" fillId="15" borderId="3" xfId="0" applyNumberFormat="1" applyFont="1" applyFill="1" applyBorder="1"/>
    <xf numFmtId="3" fontId="67" fillId="2" borderId="0" xfId="0" applyNumberFormat="1" applyFont="1" applyFill="1"/>
    <xf numFmtId="3" fontId="68" fillId="2" borderId="48" xfId="0" applyNumberFormat="1" applyFont="1" applyFill="1" applyBorder="1"/>
    <xf numFmtId="3" fontId="67" fillId="7" borderId="0" xfId="0" applyNumberFormat="1" applyFont="1" applyFill="1"/>
    <xf numFmtId="3" fontId="68" fillId="2" borderId="3" xfId="0" applyNumberFormat="1" applyFont="1" applyFill="1" applyBorder="1"/>
    <xf numFmtId="3" fontId="65" fillId="0" borderId="0" xfId="0" applyNumberFormat="1" applyFont="1"/>
    <xf numFmtId="3" fontId="68" fillId="2" borderId="22" xfId="0" applyNumberFormat="1" applyFont="1" applyFill="1" applyBorder="1"/>
    <xf numFmtId="3" fontId="66" fillId="70" borderId="22" xfId="0" applyNumberFormat="1" applyFont="1" applyFill="1" applyBorder="1"/>
    <xf numFmtId="3" fontId="66" fillId="70" borderId="1" xfId="0" applyNumberFormat="1" applyFont="1" applyFill="1" applyBorder="1"/>
    <xf numFmtId="3" fontId="65" fillId="44" borderId="33" xfId="0" applyNumberFormat="1" applyFont="1" applyFill="1" applyBorder="1"/>
    <xf numFmtId="3" fontId="68" fillId="2" borderId="2" xfId="0" applyNumberFormat="1" applyFont="1" applyFill="1" applyBorder="1"/>
    <xf numFmtId="3" fontId="67" fillId="2" borderId="2" xfId="0" applyNumberFormat="1" applyFont="1" applyFill="1" applyBorder="1"/>
    <xf numFmtId="3" fontId="69" fillId="9" borderId="2" xfId="0" applyNumberFormat="1" applyFont="1" applyFill="1" applyBorder="1"/>
    <xf numFmtId="3" fontId="65" fillId="10" borderId="0" xfId="0" applyNumberFormat="1" applyFont="1" applyFill="1"/>
    <xf numFmtId="3" fontId="67" fillId="15" borderId="0" xfId="0" applyNumberFormat="1" applyFont="1" applyFill="1"/>
    <xf numFmtId="3" fontId="68" fillId="15" borderId="48" xfId="0" applyNumberFormat="1" applyFont="1" applyFill="1" applyBorder="1"/>
    <xf numFmtId="3" fontId="68" fillId="2" borderId="29" xfId="0" applyNumberFormat="1" applyFont="1" applyFill="1" applyBorder="1"/>
    <xf numFmtId="3" fontId="68" fillId="15" borderId="3" xfId="0" applyNumberFormat="1" applyFont="1" applyFill="1" applyBorder="1"/>
    <xf numFmtId="3" fontId="68" fillId="2" borderId="24" xfId="0" applyNumberFormat="1" applyFont="1" applyFill="1" applyBorder="1"/>
    <xf numFmtId="3" fontId="68" fillId="2" borderId="10" xfId="0" applyNumberFormat="1" applyFont="1" applyFill="1" applyBorder="1"/>
    <xf numFmtId="3" fontId="68" fillId="15" borderId="10" xfId="0" applyNumberFormat="1" applyFont="1" applyFill="1" applyBorder="1"/>
    <xf numFmtId="3" fontId="66" fillId="70" borderId="24" xfId="0" applyNumberFormat="1" applyFont="1" applyFill="1" applyBorder="1"/>
    <xf numFmtId="3" fontId="66" fillId="70" borderId="19" xfId="0" applyNumberFormat="1" applyFont="1" applyFill="1" applyBorder="1"/>
    <xf numFmtId="3" fontId="66" fillId="70" borderId="79" xfId="0" applyNumberFormat="1" applyFont="1" applyFill="1" applyBorder="1"/>
    <xf numFmtId="3" fontId="66" fillId="70" borderId="0" xfId="0" applyNumberFormat="1" applyFont="1" applyFill="1"/>
    <xf numFmtId="3" fontId="66" fillId="70" borderId="11" xfId="0" applyNumberFormat="1" applyFont="1" applyFill="1" applyBorder="1"/>
    <xf numFmtId="3" fontId="66" fillId="70" borderId="52" xfId="0" applyNumberFormat="1" applyFont="1" applyFill="1" applyBorder="1"/>
    <xf numFmtId="3" fontId="65" fillId="10" borderId="33" xfId="0" applyNumberFormat="1" applyFont="1" applyFill="1" applyBorder="1"/>
    <xf numFmtId="3" fontId="65" fillId="44" borderId="80" xfId="0" applyNumberFormat="1" applyFont="1" applyFill="1" applyBorder="1"/>
    <xf numFmtId="3" fontId="65" fillId="3" borderId="31" xfId="0" applyNumberFormat="1" applyFont="1" applyFill="1" applyBorder="1"/>
    <xf numFmtId="3" fontId="65" fillId="3" borderId="33" xfId="0" applyNumberFormat="1" applyFont="1" applyFill="1" applyBorder="1"/>
    <xf numFmtId="3" fontId="66" fillId="4" borderId="0" xfId="0" applyNumberFormat="1" applyFont="1" applyFill="1" applyAlignment="1">
      <alignment vertical="center"/>
    </xf>
    <xf numFmtId="3" fontId="68" fillId="15" borderId="2" xfId="0" applyNumberFormat="1" applyFont="1" applyFill="1" applyBorder="1"/>
    <xf numFmtId="3" fontId="68" fillId="2" borderId="20" xfId="0" applyNumberFormat="1" applyFont="1" applyFill="1" applyBorder="1"/>
    <xf numFmtId="3" fontId="68" fillId="2" borderId="0" xfId="0" applyNumberFormat="1" applyFont="1" applyFill="1"/>
    <xf numFmtId="3" fontId="67" fillId="2" borderId="20" xfId="0" applyNumberFormat="1" applyFont="1" applyFill="1" applyBorder="1"/>
    <xf numFmtId="3" fontId="67" fillId="15" borderId="2" xfId="0" applyNumberFormat="1" applyFont="1" applyFill="1" applyBorder="1"/>
    <xf numFmtId="3" fontId="69" fillId="69" borderId="2" xfId="0" applyNumberFormat="1" applyFont="1" applyFill="1" applyBorder="1"/>
    <xf numFmtId="3" fontId="70" fillId="3" borderId="0" xfId="0" applyNumberFormat="1" applyFont="1" applyFill="1"/>
    <xf numFmtId="0" fontId="66" fillId="4" borderId="0" xfId="0" applyFont="1" applyFill="1" applyAlignment="1">
      <alignment vertical="center"/>
    </xf>
    <xf numFmtId="0" fontId="69" fillId="3" borderId="6" xfId="4" applyFont="1" applyFill="1" applyBorder="1"/>
    <xf numFmtId="0" fontId="67" fillId="46" borderId="80" xfId="0" applyFont="1" applyFill="1" applyBorder="1"/>
    <xf numFmtId="0" fontId="66" fillId="17" borderId="80" xfId="0" applyFont="1" applyFill="1" applyBorder="1" applyAlignment="1">
      <alignment vertical="center"/>
    </xf>
    <xf numFmtId="3" fontId="66" fillId="17" borderId="1" xfId="0" applyNumberFormat="1" applyFont="1" applyFill="1" applyBorder="1" applyAlignment="1">
      <alignment vertical="center"/>
    </xf>
    <xf numFmtId="3" fontId="65" fillId="3" borderId="22" xfId="0" applyNumberFormat="1" applyFont="1" applyFill="1" applyBorder="1"/>
    <xf numFmtId="3" fontId="65" fillId="2" borderId="24" xfId="0" applyNumberFormat="1" applyFont="1" applyFill="1" applyBorder="1"/>
    <xf numFmtId="3" fontId="65" fillId="15" borderId="24" xfId="0" applyNumberFormat="1" applyFont="1" applyFill="1" applyBorder="1"/>
    <xf numFmtId="3" fontId="65" fillId="2" borderId="19" xfId="0" applyNumberFormat="1" applyFont="1" applyFill="1" applyBorder="1"/>
    <xf numFmtId="3" fontId="65" fillId="3" borderId="1" xfId="0" applyNumberFormat="1" applyFont="1" applyFill="1" applyBorder="1"/>
    <xf numFmtId="3" fontId="65" fillId="15" borderId="0" xfId="0" applyNumberFormat="1" applyFont="1" applyFill="1"/>
    <xf numFmtId="3" fontId="65" fillId="2" borderId="11" xfId="0" applyNumberFormat="1" applyFont="1" applyFill="1" applyBorder="1"/>
    <xf numFmtId="3" fontId="65" fillId="44" borderId="99" xfId="0" applyNumberFormat="1" applyFont="1" applyFill="1" applyBorder="1"/>
    <xf numFmtId="3" fontId="65" fillId="44" borderId="105" xfId="0" applyNumberFormat="1" applyFont="1" applyFill="1" applyBorder="1"/>
    <xf numFmtId="3" fontId="65" fillId="3" borderId="85" xfId="0" applyNumberFormat="1" applyFont="1" applyFill="1" applyBorder="1"/>
    <xf numFmtId="3" fontId="65" fillId="3" borderId="104" xfId="0" applyNumberFormat="1" applyFont="1" applyFill="1" applyBorder="1"/>
    <xf numFmtId="3" fontId="65" fillId="3" borderId="99" xfId="0" applyNumberFormat="1" applyFont="1" applyFill="1" applyBorder="1"/>
    <xf numFmtId="3" fontId="65" fillId="3" borderId="105" xfId="0" applyNumberFormat="1" applyFont="1" applyFill="1" applyBorder="1"/>
    <xf numFmtId="3" fontId="65" fillId="3" borderId="11" xfId="0" applyNumberFormat="1" applyFont="1" applyFill="1" applyBorder="1"/>
    <xf numFmtId="3" fontId="66" fillId="17" borderId="38" xfId="0" applyNumberFormat="1" applyFont="1" applyFill="1" applyBorder="1" applyAlignment="1">
      <alignment vertical="center"/>
    </xf>
    <xf numFmtId="3" fontId="66" fillId="71" borderId="80" xfId="0" applyNumberFormat="1" applyFont="1" applyFill="1" applyBorder="1"/>
    <xf numFmtId="3" fontId="66" fillId="71" borderId="25" xfId="0" applyNumberFormat="1" applyFont="1" applyFill="1" applyBorder="1"/>
    <xf numFmtId="3" fontId="66" fillId="71" borderId="23" xfId="0" applyNumberFormat="1" applyFont="1" applyFill="1" applyBorder="1"/>
    <xf numFmtId="3" fontId="66" fillId="71" borderId="21" xfId="0" applyNumberFormat="1" applyFont="1" applyFill="1" applyBorder="1"/>
    <xf numFmtId="3" fontId="65" fillId="3" borderId="54" xfId="0" applyNumberFormat="1" applyFont="1" applyFill="1" applyBorder="1"/>
    <xf numFmtId="3" fontId="68" fillId="2" borderId="50" xfId="0" applyNumberFormat="1" applyFont="1" applyFill="1" applyBorder="1"/>
    <xf numFmtId="3" fontId="65" fillId="3" borderId="51" xfId="0" applyNumberFormat="1" applyFont="1" applyFill="1" applyBorder="1"/>
    <xf numFmtId="3" fontId="68" fillId="2" borderId="96" xfId="0" applyNumberFormat="1" applyFont="1" applyFill="1" applyBorder="1"/>
    <xf numFmtId="3" fontId="65" fillId="3" borderId="79" xfId="0" applyNumberFormat="1" applyFont="1" applyFill="1" applyBorder="1"/>
    <xf numFmtId="3" fontId="66" fillId="17" borderId="80" xfId="0" applyNumberFormat="1" applyFont="1" applyFill="1" applyBorder="1" applyAlignment="1">
      <alignment vertical="center"/>
    </xf>
    <xf numFmtId="3" fontId="68" fillId="2" borderId="7" xfId="0" applyNumberFormat="1" applyFont="1" applyFill="1" applyBorder="1"/>
    <xf numFmtId="4" fontId="69" fillId="2" borderId="6" xfId="0" applyNumberFormat="1" applyFont="1" applyFill="1" applyBorder="1" applyAlignment="1">
      <alignment vertical="center"/>
    </xf>
    <xf numFmtId="0" fontId="68" fillId="2" borderId="54" xfId="0" applyFont="1" applyFill="1" applyBorder="1"/>
    <xf numFmtId="0" fontId="67" fillId="2" borderId="52" xfId="0" applyFont="1" applyFill="1" applyBorder="1"/>
    <xf numFmtId="0" fontId="68" fillId="2" borderId="106" xfId="0" applyFont="1" applyFill="1" applyBorder="1"/>
    <xf numFmtId="0" fontId="68" fillId="2" borderId="96" xfId="0" applyFont="1" applyFill="1" applyBorder="1"/>
    <xf numFmtId="3" fontId="0" fillId="3" borderId="0" xfId="0" applyNumberFormat="1" applyFill="1"/>
    <xf numFmtId="168" fontId="9" fillId="3" borderId="1" xfId="0" applyNumberFormat="1" applyFont="1" applyFill="1" applyBorder="1" applyAlignment="1">
      <alignment horizontal="center"/>
    </xf>
    <xf numFmtId="0" fontId="9" fillId="3" borderId="95" xfId="0" applyFont="1" applyFill="1" applyBorder="1"/>
    <xf numFmtId="186" fontId="9" fillId="3" borderId="50" xfId="0" applyNumberFormat="1" applyFont="1" applyFill="1" applyBorder="1"/>
    <xf numFmtId="168" fontId="0" fillId="3" borderId="82" xfId="44" applyFont="1" applyFill="1" applyBorder="1"/>
    <xf numFmtId="168" fontId="0" fillId="3" borderId="36" xfId="44" applyFont="1" applyFill="1" applyBorder="1"/>
    <xf numFmtId="168" fontId="0" fillId="3" borderId="50" xfId="44" applyFont="1" applyFill="1" applyBorder="1"/>
    <xf numFmtId="0" fontId="9" fillId="3" borderId="64" xfId="0" applyFont="1" applyFill="1" applyBorder="1"/>
    <xf numFmtId="186" fontId="9" fillId="3" borderId="51" xfId="0" applyNumberFormat="1" applyFont="1" applyFill="1" applyBorder="1"/>
    <xf numFmtId="168" fontId="0" fillId="3" borderId="20" xfId="44" applyFont="1" applyFill="1" applyBorder="1"/>
    <xf numFmtId="168" fontId="0" fillId="3" borderId="14" xfId="44" applyFont="1" applyFill="1" applyBorder="1"/>
    <xf numFmtId="168" fontId="0" fillId="3" borderId="51" xfId="44" applyFont="1" applyFill="1" applyBorder="1"/>
    <xf numFmtId="187" fontId="0" fillId="3" borderId="20" xfId="0" applyNumberFormat="1" applyFill="1" applyBorder="1"/>
    <xf numFmtId="187" fontId="0" fillId="3" borderId="14" xfId="0" applyNumberFormat="1" applyFill="1" applyBorder="1"/>
    <xf numFmtId="187" fontId="0" fillId="3" borderId="51" xfId="0" applyNumberFormat="1" applyFill="1" applyBorder="1"/>
    <xf numFmtId="168" fontId="0" fillId="3" borderId="20" xfId="0" applyNumberFormat="1" applyFill="1" applyBorder="1"/>
    <xf numFmtId="168" fontId="0" fillId="3" borderId="14" xfId="0" applyNumberFormat="1" applyFill="1" applyBorder="1"/>
    <xf numFmtId="168" fontId="0" fillId="3" borderId="51" xfId="0" applyNumberFormat="1" applyFill="1" applyBorder="1"/>
    <xf numFmtId="0" fontId="9" fillId="3" borderId="94" xfId="0" applyFont="1" applyFill="1" applyBorder="1"/>
    <xf numFmtId="0" fontId="0" fillId="3" borderId="51" xfId="0" applyFill="1" applyBorder="1"/>
    <xf numFmtId="0" fontId="0" fillId="3" borderId="15" xfId="0" applyFill="1" applyBorder="1"/>
    <xf numFmtId="0" fontId="9" fillId="3" borderId="78" xfId="0" applyFont="1" applyFill="1" applyBorder="1"/>
    <xf numFmtId="4" fontId="0" fillId="3" borderId="53" xfId="0" applyNumberFormat="1" applyFill="1" applyBorder="1"/>
    <xf numFmtId="168" fontId="0" fillId="3" borderId="83" xfId="0" applyNumberFormat="1" applyFill="1" applyBorder="1"/>
    <xf numFmtId="0" fontId="0" fillId="3" borderId="17" xfId="0" applyFill="1" applyBorder="1"/>
    <xf numFmtId="0" fontId="9" fillId="3" borderId="10" xfId="0" applyFont="1" applyFill="1" applyBorder="1" applyAlignment="1">
      <alignment horizontal="center"/>
    </xf>
    <xf numFmtId="0" fontId="11" fillId="3" borderId="6" xfId="0" applyFont="1" applyFill="1" applyBorder="1"/>
    <xf numFmtId="168" fontId="9" fillId="3" borderId="28" xfId="0" applyNumberFormat="1" applyFont="1" applyFill="1" applyBorder="1" applyAlignment="1">
      <alignment horizontal="center"/>
    </xf>
    <xf numFmtId="168" fontId="9" fillId="3" borderId="29" xfId="0" applyNumberFormat="1" applyFont="1" applyFill="1" applyBorder="1" applyAlignment="1">
      <alignment horizontal="center"/>
    </xf>
    <xf numFmtId="17" fontId="11" fillId="3" borderId="10" xfId="0" applyNumberFormat="1" applyFont="1" applyFill="1" applyBorder="1"/>
    <xf numFmtId="0" fontId="36" fillId="2" borderId="0" xfId="0" applyFont="1" applyFill="1"/>
    <xf numFmtId="0" fontId="48" fillId="3" borderId="0" xfId="0" applyFont="1" applyFill="1"/>
    <xf numFmtId="0" fontId="71" fillId="3" borderId="10" xfId="0" applyFont="1" applyFill="1" applyBorder="1" applyAlignment="1">
      <alignment horizontal="center"/>
    </xf>
    <xf numFmtId="0" fontId="72" fillId="3" borderId="79" xfId="0" applyFont="1" applyFill="1" applyBorder="1"/>
    <xf numFmtId="187" fontId="71" fillId="3" borderId="107" xfId="0" applyNumberFormat="1" applyFont="1" applyFill="1" applyBorder="1" applyAlignment="1">
      <alignment horizontal="center"/>
    </xf>
    <xf numFmtId="187" fontId="71" fillId="3" borderId="28" xfId="0" applyNumberFormat="1" applyFont="1" applyFill="1" applyBorder="1" applyAlignment="1">
      <alignment horizontal="center"/>
    </xf>
    <xf numFmtId="187" fontId="71" fillId="3" borderId="29" xfId="0" applyNumberFormat="1" applyFont="1" applyFill="1" applyBorder="1" applyAlignment="1">
      <alignment horizontal="center"/>
    </xf>
    <xf numFmtId="0" fontId="72" fillId="3" borderId="96" xfId="0" applyFont="1" applyFill="1" applyBorder="1"/>
    <xf numFmtId="187" fontId="71" fillId="3" borderId="104" xfId="0" applyNumberFormat="1" applyFont="1" applyFill="1" applyBorder="1" applyAlignment="1">
      <alignment horizontal="center"/>
    </xf>
    <xf numFmtId="187" fontId="71" fillId="3" borderId="44" xfId="0" applyNumberFormat="1" applyFont="1" applyFill="1" applyBorder="1" applyAlignment="1">
      <alignment horizontal="center"/>
    </xf>
    <xf numFmtId="187" fontId="71" fillId="3" borderId="108" xfId="0" applyNumberFormat="1" applyFont="1" applyFill="1" applyBorder="1" applyAlignment="1">
      <alignment horizontal="center"/>
    </xf>
    <xf numFmtId="0" fontId="48" fillId="3" borderId="2" xfId="0" applyFont="1" applyFill="1" applyBorder="1"/>
    <xf numFmtId="187" fontId="48" fillId="3" borderId="2" xfId="0" applyNumberFormat="1" applyFont="1" applyFill="1" applyBorder="1"/>
    <xf numFmtId="187" fontId="71" fillId="3" borderId="2" xfId="0" applyNumberFormat="1" applyFont="1" applyFill="1" applyBorder="1" applyAlignment="1">
      <alignment horizontal="center"/>
    </xf>
    <xf numFmtId="0" fontId="72" fillId="3" borderId="52" xfId="0" applyFont="1" applyFill="1" applyBorder="1"/>
    <xf numFmtId="187" fontId="71" fillId="3" borderId="105" xfId="0" applyNumberFormat="1" applyFont="1" applyFill="1" applyBorder="1" applyAlignment="1">
      <alignment horizontal="center"/>
    </xf>
    <xf numFmtId="187" fontId="71" fillId="3" borderId="98" xfId="0" applyNumberFormat="1" applyFont="1" applyFill="1" applyBorder="1" applyAlignment="1">
      <alignment horizontal="center"/>
    </xf>
    <xf numFmtId="187" fontId="71" fillId="3" borderId="103" xfId="0" applyNumberFormat="1" applyFont="1" applyFill="1" applyBorder="1" applyAlignment="1">
      <alignment horizontal="center"/>
    </xf>
    <xf numFmtId="0" fontId="72" fillId="3" borderId="53" xfId="0" applyFont="1" applyFill="1" applyBorder="1"/>
    <xf numFmtId="187" fontId="48" fillId="3" borderId="0" xfId="0" applyNumberFormat="1" applyFont="1" applyFill="1"/>
    <xf numFmtId="0" fontId="72" fillId="3" borderId="2" xfId="0" applyFont="1" applyFill="1" applyBorder="1"/>
    <xf numFmtId="187" fontId="48" fillId="12" borderId="2" xfId="0" applyNumberFormat="1" applyFont="1" applyFill="1" applyBorder="1"/>
    <xf numFmtId="187" fontId="48" fillId="11" borderId="2" xfId="0" applyNumberFormat="1" applyFont="1" applyFill="1" applyBorder="1"/>
    <xf numFmtId="0" fontId="73" fillId="3" borderId="2" xfId="0" applyFont="1" applyFill="1" applyBorder="1"/>
    <xf numFmtId="0" fontId="0" fillId="13" borderId="0" xfId="0" applyFill="1"/>
    <xf numFmtId="0" fontId="14" fillId="3" borderId="34" xfId="0" applyFont="1" applyFill="1" applyBorder="1"/>
    <xf numFmtId="0" fontId="14" fillId="3" borderId="10" xfId="0" applyFont="1" applyFill="1" applyBorder="1"/>
    <xf numFmtId="4" fontId="11" fillId="3" borderId="17" xfId="0" applyNumberFormat="1" applyFont="1" applyFill="1" applyBorder="1"/>
    <xf numFmtId="4" fontId="0" fillId="3" borderId="34" xfId="0" applyNumberFormat="1" applyFill="1" applyBorder="1"/>
    <xf numFmtId="4" fontId="0" fillId="3" borderId="35" xfId="0" applyNumberFormat="1" applyFill="1" applyBorder="1"/>
    <xf numFmtId="0" fontId="74" fillId="10" borderId="10" xfId="0" applyFont="1" applyFill="1" applyBorder="1"/>
    <xf numFmtId="3" fontId="74" fillId="10" borderId="10" xfId="0" applyNumberFormat="1" applyFont="1" applyFill="1" applyBorder="1"/>
    <xf numFmtId="0" fontId="74" fillId="10" borderId="0" xfId="0" applyFont="1" applyFill="1"/>
    <xf numFmtId="3" fontId="74" fillId="10" borderId="0" xfId="0" applyNumberFormat="1" applyFont="1" applyFill="1"/>
    <xf numFmtId="0" fontId="20" fillId="3" borderId="0" xfId="0" applyFont="1" applyFill="1"/>
    <xf numFmtId="0" fontId="74" fillId="3" borderId="0" xfId="0" applyFont="1" applyFill="1"/>
    <xf numFmtId="3" fontId="74" fillId="3" borderId="0" xfId="0" applyNumberFormat="1" applyFont="1" applyFill="1"/>
    <xf numFmtId="3" fontId="0" fillId="0" borderId="0" xfId="0" applyNumberFormat="1"/>
    <xf numFmtId="165" fontId="0" fillId="3" borderId="0" xfId="0" applyNumberFormat="1" applyFill="1"/>
    <xf numFmtId="4" fontId="0" fillId="16" borderId="31" xfId="0" applyNumberFormat="1" applyFill="1" applyBorder="1"/>
    <xf numFmtId="4" fontId="0" fillId="16" borderId="0" xfId="0" applyNumberFormat="1" applyFill="1"/>
    <xf numFmtId="4" fontId="0" fillId="16" borderId="33" xfId="0" applyNumberFormat="1" applyFill="1" applyBorder="1"/>
    <xf numFmtId="4" fontId="14" fillId="16" borderId="31" xfId="0" applyNumberFormat="1" applyFont="1" applyFill="1" applyBorder="1"/>
    <xf numFmtId="0" fontId="0" fillId="23" borderId="0" xfId="0" applyFill="1"/>
    <xf numFmtId="17" fontId="20" fillId="10" borderId="63" xfId="0" applyNumberFormat="1" applyFont="1" applyFill="1" applyBorder="1" applyAlignment="1">
      <alignment horizontal="center"/>
    </xf>
    <xf numFmtId="0" fontId="25" fillId="0" borderId="40" xfId="4" applyFont="1" applyBorder="1" applyAlignment="1">
      <alignment horizontal="center" vertical="center"/>
    </xf>
    <xf numFmtId="0" fontId="25" fillId="0" borderId="57" xfId="4" applyFont="1" applyBorder="1" applyAlignment="1">
      <alignment horizontal="center" vertical="center"/>
    </xf>
    <xf numFmtId="0" fontId="11" fillId="3" borderId="3" xfId="0" applyFont="1" applyFill="1" applyBorder="1" applyAlignment="1">
      <alignment horizontal="center"/>
    </xf>
    <xf numFmtId="0" fontId="11" fillId="3" borderId="9" xfId="0" applyFont="1" applyFill="1" applyBorder="1" applyAlignment="1">
      <alignment horizontal="center"/>
    </xf>
    <xf numFmtId="0" fontId="11" fillId="3" borderId="20" xfId="0" applyFont="1" applyFill="1" applyBorder="1" applyAlignment="1">
      <alignment horizontal="center"/>
    </xf>
    <xf numFmtId="0" fontId="11" fillId="3" borderId="2" xfId="0" applyFont="1" applyFill="1" applyBorder="1" applyAlignment="1">
      <alignment horizontal="center"/>
    </xf>
    <xf numFmtId="0" fontId="10" fillId="8" borderId="3" xfId="0" applyFont="1" applyFill="1" applyBorder="1" applyAlignment="1">
      <alignment horizontal="center" vertical="center"/>
    </xf>
    <xf numFmtId="0" fontId="10" fillId="8" borderId="20" xfId="0" applyFont="1" applyFill="1" applyBorder="1" applyAlignment="1">
      <alignment horizontal="center" vertical="center"/>
    </xf>
    <xf numFmtId="0" fontId="25" fillId="0" borderId="47" xfId="4" applyFont="1" applyBorder="1" applyAlignment="1">
      <alignment horizontal="center" vertical="center"/>
    </xf>
    <xf numFmtId="0" fontId="25" fillId="0" borderId="46" xfId="4" applyFont="1" applyBorder="1" applyAlignment="1">
      <alignment horizontal="center" vertical="center"/>
    </xf>
    <xf numFmtId="0" fontId="25" fillId="0" borderId="58" xfId="4" applyFont="1" applyBorder="1" applyAlignment="1">
      <alignment horizontal="center" vertical="center"/>
    </xf>
    <xf numFmtId="0" fontId="28" fillId="0" borderId="58" xfId="4" applyFont="1" applyBorder="1"/>
    <xf numFmtId="0" fontId="11" fillId="0" borderId="44" xfId="0" applyFont="1" applyBorder="1" applyAlignment="1">
      <alignment horizontal="center" vertical="center" wrapText="1"/>
    </xf>
    <xf numFmtId="0" fontId="11" fillId="0" borderId="38" xfId="0" applyFont="1" applyBorder="1" applyAlignment="1">
      <alignment horizontal="center" vertical="center" wrapText="1"/>
    </xf>
    <xf numFmtId="0" fontId="11" fillId="0" borderId="98" xfId="0" applyFont="1" applyBorder="1" applyAlignment="1">
      <alignment horizontal="center" vertical="center" wrapText="1"/>
    </xf>
    <xf numFmtId="0" fontId="11" fillId="3" borderId="36" xfId="0" applyFont="1" applyFill="1" applyBorder="1" applyAlignment="1">
      <alignment horizontal="center" vertical="center"/>
    </xf>
    <xf numFmtId="0" fontId="11" fillId="3" borderId="37" xfId="0" applyFont="1" applyFill="1" applyBorder="1" applyAlignment="1">
      <alignment horizontal="center" vertical="center"/>
    </xf>
    <xf numFmtId="0" fontId="11" fillId="3" borderId="16" xfId="0" applyFont="1" applyFill="1" applyBorder="1" applyAlignment="1">
      <alignment horizontal="center" vertical="center"/>
    </xf>
    <xf numFmtId="0" fontId="11" fillId="3" borderId="44" xfId="0" applyFont="1" applyFill="1" applyBorder="1" applyAlignment="1">
      <alignment horizontal="center" vertical="center" wrapText="1"/>
    </xf>
    <xf numFmtId="0" fontId="11" fillId="3" borderId="38" xfId="0" applyFont="1" applyFill="1" applyBorder="1" applyAlignment="1">
      <alignment horizontal="center" vertical="center" wrapText="1"/>
    </xf>
    <xf numFmtId="0" fontId="11" fillId="3" borderId="98" xfId="0" applyFont="1" applyFill="1" applyBorder="1" applyAlignment="1">
      <alignment horizontal="center" vertical="center" wrapText="1"/>
    </xf>
    <xf numFmtId="0" fontId="11" fillId="3" borderId="50" xfId="0" applyFont="1" applyFill="1" applyBorder="1" applyAlignment="1">
      <alignment horizontal="center" vertical="center"/>
    </xf>
    <xf numFmtId="0" fontId="11" fillId="3" borderId="52" xfId="0" applyFont="1" applyFill="1" applyBorder="1" applyAlignment="1">
      <alignment horizontal="center" vertical="center"/>
    </xf>
    <xf numFmtId="0" fontId="11" fillId="3" borderId="53" xfId="0" applyFont="1" applyFill="1" applyBorder="1" applyAlignment="1">
      <alignment horizontal="center" vertic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11" fillId="3" borderId="51" xfId="0" applyFont="1" applyFill="1" applyBorder="1" applyAlignment="1">
      <alignment horizontal="center" vertical="center"/>
    </xf>
    <xf numFmtId="0" fontId="11" fillId="3" borderId="20" xfId="0" applyFont="1" applyFill="1" applyBorder="1" applyAlignment="1">
      <alignment horizontal="center" vertical="center" wrapText="1"/>
    </xf>
    <xf numFmtId="0" fontId="11" fillId="3" borderId="11" xfId="0" applyFont="1" applyFill="1" applyBorder="1" applyAlignment="1">
      <alignment horizontal="center" vertical="center" wrapText="1"/>
    </xf>
    <xf numFmtId="0" fontId="11" fillId="3" borderId="82" xfId="0" applyFont="1" applyFill="1" applyBorder="1" applyAlignment="1">
      <alignment horizontal="center" vertical="center" wrapText="1"/>
    </xf>
    <xf numFmtId="0" fontId="11" fillId="3" borderId="83" xfId="0" applyFont="1" applyFill="1" applyBorder="1" applyAlignment="1">
      <alignment horizontal="center" vertical="center" wrapText="1"/>
    </xf>
    <xf numFmtId="0" fontId="11" fillId="3" borderId="7" xfId="0" applyFont="1" applyFill="1" applyBorder="1" applyAlignment="1">
      <alignment horizontal="center"/>
    </xf>
    <xf numFmtId="0" fontId="11" fillId="3" borderId="8" xfId="0" applyFont="1" applyFill="1" applyBorder="1" applyAlignment="1">
      <alignment horizontal="center"/>
    </xf>
    <xf numFmtId="0" fontId="14" fillId="3" borderId="81" xfId="0" applyFont="1" applyFill="1" applyBorder="1" applyAlignment="1">
      <alignment horizontal="center"/>
    </xf>
    <xf numFmtId="0" fontId="14" fillId="3" borderId="82" xfId="0" applyFont="1" applyFill="1" applyBorder="1" applyAlignment="1">
      <alignment horizontal="center"/>
    </xf>
    <xf numFmtId="0" fontId="11" fillId="3" borderId="6" xfId="0" applyFont="1" applyFill="1" applyBorder="1" applyAlignment="1">
      <alignment horizontal="center"/>
    </xf>
    <xf numFmtId="0" fontId="64" fillId="3" borderId="44" xfId="0" applyFont="1" applyFill="1" applyBorder="1" applyAlignment="1">
      <alignment horizontal="center" vertical="center" wrapText="1"/>
    </xf>
    <xf numFmtId="0" fontId="64" fillId="3" borderId="38" xfId="0" applyFont="1" applyFill="1" applyBorder="1" applyAlignment="1">
      <alignment horizontal="center" vertical="center" wrapText="1"/>
    </xf>
    <xf numFmtId="0" fontId="64" fillId="3" borderId="98" xfId="0" applyFont="1" applyFill="1" applyBorder="1" applyAlignment="1">
      <alignment horizontal="center" vertical="center" wrapText="1"/>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0" borderId="85" xfId="0" applyFont="1" applyBorder="1" applyAlignment="1">
      <alignment horizontal="center" vertical="center" wrapText="1"/>
    </xf>
    <xf numFmtId="0" fontId="11" fillId="3" borderId="21" xfId="0" applyFont="1" applyFill="1" applyBorder="1" applyAlignment="1">
      <alignment horizontal="center" vertical="center" wrapText="1"/>
    </xf>
    <xf numFmtId="0" fontId="11" fillId="3" borderId="97" xfId="0" applyFont="1" applyFill="1" applyBorder="1" applyAlignment="1">
      <alignment horizontal="center" vertical="center"/>
    </xf>
    <xf numFmtId="0" fontId="11" fillId="3" borderId="96" xfId="0" applyFont="1" applyFill="1" applyBorder="1" applyAlignment="1">
      <alignment horizontal="center" vertical="center"/>
    </xf>
    <xf numFmtId="0" fontId="11" fillId="3" borderId="19" xfId="0" applyFont="1" applyFill="1" applyBorder="1" applyAlignment="1">
      <alignment horizontal="center" vertical="center" wrapText="1"/>
    </xf>
    <xf numFmtId="0" fontId="11" fillId="3" borderId="79" xfId="0" applyFont="1" applyFill="1" applyBorder="1" applyAlignment="1">
      <alignment horizontal="center" vertical="center" wrapText="1"/>
    </xf>
    <xf numFmtId="0" fontId="11" fillId="3" borderId="52" xfId="0" applyFont="1" applyFill="1" applyBorder="1" applyAlignment="1">
      <alignment horizontal="center" vertical="center" wrapText="1"/>
    </xf>
    <xf numFmtId="0" fontId="11" fillId="3" borderId="80" xfId="0" applyFont="1" applyFill="1" applyBorder="1" applyAlignment="1">
      <alignment horizontal="center" vertical="center" wrapText="1"/>
    </xf>
    <xf numFmtId="0" fontId="11" fillId="3" borderId="50" xfId="0" applyFont="1" applyFill="1" applyBorder="1" applyAlignment="1">
      <alignment horizontal="center" vertical="center" wrapText="1"/>
    </xf>
    <xf numFmtId="0" fontId="11" fillId="3" borderId="53" xfId="0" applyFont="1" applyFill="1" applyBorder="1" applyAlignment="1">
      <alignment horizontal="center" vertical="center" wrapText="1"/>
    </xf>
    <xf numFmtId="0" fontId="11" fillId="3" borderId="97" xfId="0" applyFont="1" applyFill="1" applyBorder="1" applyAlignment="1">
      <alignment horizontal="center" vertical="center" wrapText="1"/>
    </xf>
    <xf numFmtId="0" fontId="11" fillId="3" borderId="96" xfId="0" applyFont="1" applyFill="1" applyBorder="1" applyAlignment="1">
      <alignment horizontal="center" vertical="center" wrapText="1"/>
    </xf>
    <xf numFmtId="0" fontId="11" fillId="3" borderId="51" xfId="0" applyFont="1" applyFill="1" applyBorder="1" applyAlignment="1">
      <alignment horizontal="center" vertical="center" wrapText="1"/>
    </xf>
    <xf numFmtId="0" fontId="11" fillId="0" borderId="2" xfId="0" applyFont="1" applyBorder="1" applyAlignment="1">
      <alignment horizontal="center"/>
    </xf>
    <xf numFmtId="0" fontId="11" fillId="0" borderId="10" xfId="0" applyFont="1" applyBorder="1" applyAlignment="1">
      <alignment horizontal="center"/>
    </xf>
    <xf numFmtId="0" fontId="11" fillId="0" borderId="22" xfId="0" applyFont="1" applyBorder="1" applyAlignment="1">
      <alignment horizontal="center" vertical="center"/>
    </xf>
    <xf numFmtId="0" fontId="11" fillId="0" borderId="24" xfId="0" applyFont="1" applyBorder="1" applyAlignment="1">
      <alignment horizontal="center" vertical="center"/>
    </xf>
    <xf numFmtId="0" fontId="11" fillId="0" borderId="19" xfId="0" applyFont="1" applyBorder="1" applyAlignment="1">
      <alignment horizontal="center" vertical="center"/>
    </xf>
    <xf numFmtId="0" fontId="11" fillId="0" borderId="25" xfId="0" applyFont="1" applyBorder="1" applyAlignment="1">
      <alignment horizontal="center" vertical="center"/>
    </xf>
    <xf numFmtId="0" fontId="11" fillId="0" borderId="23" xfId="0" applyFont="1" applyBorder="1" applyAlignment="1">
      <alignment horizontal="center" vertical="center"/>
    </xf>
    <xf numFmtId="0" fontId="11" fillId="0" borderId="21" xfId="0" applyFont="1" applyBorder="1" applyAlignment="1">
      <alignment horizontal="center" vertical="center"/>
    </xf>
    <xf numFmtId="4" fontId="0" fillId="0" borderId="19" xfId="0" applyNumberFormat="1" applyBorder="1" applyAlignment="1">
      <alignment horizontal="center" vertical="center"/>
    </xf>
    <xf numFmtId="0" fontId="0" fillId="0" borderId="11" xfId="0" applyBorder="1" applyAlignment="1">
      <alignment horizontal="center" vertical="center"/>
    </xf>
    <xf numFmtId="4" fontId="0" fillId="3" borderId="10" xfId="0" applyNumberFormat="1" applyFill="1" applyBorder="1" applyAlignment="1">
      <alignment horizontal="center" vertical="center"/>
    </xf>
    <xf numFmtId="4" fontId="0" fillId="3" borderId="38" xfId="0" applyNumberFormat="1" applyFill="1" applyBorder="1" applyAlignment="1">
      <alignment horizontal="center" vertical="center"/>
    </xf>
    <xf numFmtId="4" fontId="0" fillId="3" borderId="12" xfId="0" applyNumberFormat="1" applyFill="1" applyBorder="1" applyAlignment="1">
      <alignment horizontal="center" vertical="center"/>
    </xf>
    <xf numFmtId="9" fontId="0" fillId="3" borderId="10" xfId="0" applyNumberFormat="1" applyFill="1" applyBorder="1" applyAlignment="1">
      <alignment horizontal="center" vertical="center"/>
    </xf>
    <xf numFmtId="9" fontId="0" fillId="3" borderId="38" xfId="0" applyNumberFormat="1" applyFill="1" applyBorder="1" applyAlignment="1">
      <alignment horizontal="center" vertical="center"/>
    </xf>
    <xf numFmtId="9" fontId="0" fillId="3" borderId="12" xfId="0" applyNumberFormat="1" applyFill="1" applyBorder="1" applyAlignment="1">
      <alignment horizontal="center" vertical="center"/>
    </xf>
    <xf numFmtId="0" fontId="12" fillId="10" borderId="6"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9" fontId="11" fillId="3" borderId="22" xfId="0" applyNumberFormat="1" applyFont="1" applyFill="1" applyBorder="1" applyAlignment="1">
      <alignment horizontal="center" vertical="center" wrapText="1"/>
    </xf>
    <xf numFmtId="9" fontId="11" fillId="3" borderId="24" xfId="0" applyNumberFormat="1" applyFont="1" applyFill="1" applyBorder="1" applyAlignment="1">
      <alignment horizontal="center" vertical="center" wrapText="1"/>
    </xf>
    <xf numFmtId="9" fontId="11" fillId="3" borderId="19" xfId="0" applyNumberFormat="1" applyFont="1" applyFill="1" applyBorder="1" applyAlignment="1">
      <alignment horizontal="center" vertical="center" wrapText="1"/>
    </xf>
    <xf numFmtId="9" fontId="11" fillId="3" borderId="1" xfId="0" applyNumberFormat="1" applyFont="1" applyFill="1" applyBorder="1" applyAlignment="1">
      <alignment horizontal="center" vertical="center" wrapText="1"/>
    </xf>
    <xf numFmtId="9" fontId="11" fillId="3" borderId="0" xfId="0" applyNumberFormat="1" applyFont="1" applyFill="1" applyAlignment="1">
      <alignment horizontal="center" vertical="center" wrapText="1"/>
    </xf>
    <xf numFmtId="9" fontId="11" fillId="3" borderId="11" xfId="0" applyNumberFormat="1" applyFont="1" applyFill="1" applyBorder="1" applyAlignment="1">
      <alignment horizontal="center" vertical="center" wrapText="1"/>
    </xf>
    <xf numFmtId="9" fontId="11" fillId="3" borderId="25" xfId="0" applyNumberFormat="1" applyFont="1" applyFill="1" applyBorder="1" applyAlignment="1">
      <alignment horizontal="center" vertical="center" wrapText="1"/>
    </xf>
    <xf numFmtId="9" fontId="11" fillId="3" borderId="23" xfId="0" applyNumberFormat="1" applyFont="1" applyFill="1" applyBorder="1" applyAlignment="1">
      <alignment horizontal="center" vertical="center" wrapText="1"/>
    </xf>
    <xf numFmtId="9" fontId="11" fillId="3" borderId="21" xfId="0" applyNumberFormat="1" applyFont="1" applyFill="1" applyBorder="1" applyAlignment="1">
      <alignment horizontal="center" vertical="center" wrapText="1"/>
    </xf>
    <xf numFmtId="0" fontId="9" fillId="0" borderId="10" xfId="1" applyFont="1" applyBorder="1" applyAlignment="1">
      <alignment horizontal="center" wrapText="1"/>
    </xf>
    <xf numFmtId="0" fontId="9" fillId="0" borderId="12" xfId="1" applyFont="1" applyBorder="1" applyAlignment="1">
      <alignment horizontal="center" wrapText="1"/>
    </xf>
    <xf numFmtId="0" fontId="9" fillId="0" borderId="3" xfId="1" applyFont="1" applyBorder="1" applyAlignment="1">
      <alignment horizontal="center"/>
    </xf>
    <xf numFmtId="0" fontId="9" fillId="0" borderId="9" xfId="1" applyFont="1" applyBorder="1" applyAlignment="1">
      <alignment horizontal="center"/>
    </xf>
    <xf numFmtId="0" fontId="9" fillId="0" borderId="6" xfId="1" applyFont="1" applyBorder="1" applyAlignment="1">
      <alignment horizontal="center"/>
    </xf>
    <xf numFmtId="0" fontId="9" fillId="0" borderId="7" xfId="1" applyFont="1" applyBorder="1" applyAlignment="1">
      <alignment horizontal="center"/>
    </xf>
    <xf numFmtId="0" fontId="9" fillId="0" borderId="2" xfId="1" applyFont="1" applyBorder="1" applyAlignment="1">
      <alignment horizontal="center"/>
    </xf>
    <xf numFmtId="0" fontId="9" fillId="0" borderId="2" xfId="1" applyFont="1" applyBorder="1" applyAlignment="1">
      <alignment horizontal="center" wrapText="1"/>
    </xf>
    <xf numFmtId="0" fontId="15" fillId="2" borderId="0" xfId="0" applyFont="1" applyFill="1" applyAlignment="1">
      <alignment horizontal="center"/>
    </xf>
    <xf numFmtId="0" fontId="11" fillId="3" borderId="34" xfId="0" applyFont="1" applyFill="1" applyBorder="1" applyAlignment="1">
      <alignment horizontal="center" vertical="center" wrapText="1"/>
    </xf>
    <xf numFmtId="0" fontId="11" fillId="3" borderId="17" xfId="0" applyFont="1" applyFill="1" applyBorder="1" applyAlignment="1">
      <alignment horizontal="center" vertical="center" wrapText="1"/>
    </xf>
    <xf numFmtId="4" fontId="11" fillId="3" borderId="34" xfId="0" applyNumberFormat="1" applyFont="1" applyFill="1" applyBorder="1" applyAlignment="1">
      <alignment horizontal="center" vertical="center" wrapText="1"/>
    </xf>
    <xf numFmtId="4" fontId="11" fillId="3" borderId="17" xfId="0" applyNumberFormat="1" applyFont="1" applyFill="1" applyBorder="1" applyAlignment="1">
      <alignment horizontal="center" vertical="center" wrapText="1"/>
    </xf>
    <xf numFmtId="0" fontId="11" fillId="44" borderId="36" xfId="0" applyFont="1" applyFill="1" applyBorder="1" applyAlignment="1">
      <alignment horizontal="center" vertical="center"/>
    </xf>
    <xf numFmtId="0" fontId="11" fillId="44" borderId="16" xfId="0" applyFont="1" applyFill="1" applyBorder="1" applyAlignment="1">
      <alignment horizontal="center" vertical="center"/>
    </xf>
    <xf numFmtId="0" fontId="11" fillId="44" borderId="34" xfId="0" applyFont="1" applyFill="1" applyBorder="1" applyAlignment="1">
      <alignment horizontal="center" vertical="center" wrapText="1"/>
    </xf>
    <xf numFmtId="0" fontId="11" fillId="44" borderId="17" xfId="0" applyFont="1" applyFill="1" applyBorder="1" applyAlignment="1">
      <alignment horizontal="center" vertical="center" wrapText="1"/>
    </xf>
    <xf numFmtId="0" fontId="11" fillId="44" borderId="44" xfId="0" applyFont="1" applyFill="1" applyBorder="1" applyAlignment="1">
      <alignment horizontal="center" vertical="center" wrapText="1"/>
    </xf>
    <xf numFmtId="0" fontId="11" fillId="44" borderId="98" xfId="0" applyFont="1" applyFill="1" applyBorder="1" applyAlignment="1">
      <alignment horizontal="center" vertical="center" wrapText="1"/>
    </xf>
    <xf numFmtId="0" fontId="11" fillId="3" borderId="43" xfId="0" applyFont="1" applyFill="1" applyBorder="1" applyAlignment="1">
      <alignment horizontal="center" vertical="center"/>
    </xf>
    <xf numFmtId="0" fontId="11" fillId="3" borderId="100" xfId="0" applyFont="1" applyFill="1" applyBorder="1" applyAlignment="1">
      <alignment horizontal="center" vertical="center"/>
    </xf>
    <xf numFmtId="0" fontId="11" fillId="0" borderId="30" xfId="0" applyFont="1" applyBorder="1" applyAlignment="1">
      <alignment horizontal="center"/>
    </xf>
    <xf numFmtId="0" fontId="11" fillId="3" borderId="31" xfId="0" applyFont="1" applyFill="1" applyBorder="1" applyAlignment="1">
      <alignment horizontal="center"/>
    </xf>
    <xf numFmtId="0" fontId="11" fillId="3" borderId="41" xfId="0" applyFont="1" applyFill="1" applyBorder="1" applyAlignment="1">
      <alignment horizontal="center"/>
    </xf>
    <xf numFmtId="4" fontId="11" fillId="44" borderId="34" xfId="0" applyNumberFormat="1" applyFont="1" applyFill="1" applyBorder="1" applyAlignment="1">
      <alignment horizontal="center" vertical="center" wrapText="1"/>
    </xf>
    <xf numFmtId="4" fontId="11" fillId="44" borderId="17" xfId="0" applyNumberFormat="1" applyFont="1" applyFill="1" applyBorder="1" applyAlignment="1">
      <alignment horizontal="center" vertical="center" wrapText="1"/>
    </xf>
    <xf numFmtId="4" fontId="11" fillId="73" borderId="34" xfId="0" applyNumberFormat="1" applyFont="1" applyFill="1" applyBorder="1" applyAlignment="1">
      <alignment horizontal="center" vertical="center" wrapText="1"/>
    </xf>
    <xf numFmtId="4" fontId="11" fillId="73" borderId="17" xfId="0" applyNumberFormat="1" applyFont="1" applyFill="1" applyBorder="1" applyAlignment="1">
      <alignment horizontal="center" vertical="center" wrapText="1"/>
    </xf>
    <xf numFmtId="0" fontId="11" fillId="73" borderId="36" xfId="0" applyFont="1" applyFill="1" applyBorder="1" applyAlignment="1">
      <alignment horizontal="center" vertical="center"/>
    </xf>
    <xf numFmtId="0" fontId="11" fillId="73" borderId="16" xfId="0" applyFont="1" applyFill="1" applyBorder="1" applyAlignment="1">
      <alignment horizontal="center" vertical="center"/>
    </xf>
    <xf numFmtId="0" fontId="11" fillId="73" borderId="34" xfId="0" applyFont="1" applyFill="1" applyBorder="1" applyAlignment="1">
      <alignment horizontal="center" vertical="center" wrapText="1"/>
    </xf>
    <xf numFmtId="0" fontId="11" fillId="73" borderId="17" xfId="0" applyFont="1" applyFill="1" applyBorder="1" applyAlignment="1">
      <alignment horizontal="center" vertical="center" wrapText="1"/>
    </xf>
    <xf numFmtId="0" fontId="11" fillId="72" borderId="36" xfId="0" applyFont="1" applyFill="1" applyBorder="1" applyAlignment="1">
      <alignment horizontal="center" vertical="center"/>
    </xf>
    <xf numFmtId="0" fontId="11" fillId="72" borderId="16" xfId="0" applyFont="1" applyFill="1" applyBorder="1" applyAlignment="1">
      <alignment horizontal="center" vertical="center"/>
    </xf>
    <xf numFmtId="0" fontId="11" fillId="72" borderId="34" xfId="0" applyFont="1" applyFill="1" applyBorder="1" applyAlignment="1">
      <alignment horizontal="center" vertical="center" wrapText="1"/>
    </xf>
    <xf numFmtId="0" fontId="11" fillId="72" borderId="17" xfId="0" applyFont="1" applyFill="1" applyBorder="1" applyAlignment="1">
      <alignment horizontal="center" vertical="center" wrapText="1"/>
    </xf>
    <xf numFmtId="4" fontId="11" fillId="72" borderId="34" xfId="0" applyNumberFormat="1" applyFont="1" applyFill="1" applyBorder="1" applyAlignment="1">
      <alignment horizontal="center" vertical="center" wrapText="1"/>
    </xf>
    <xf numFmtId="4" fontId="11" fillId="72" borderId="17" xfId="0" applyNumberFormat="1" applyFont="1" applyFill="1" applyBorder="1" applyAlignment="1">
      <alignment horizontal="center" vertical="center" wrapText="1"/>
    </xf>
    <xf numFmtId="4" fontId="11" fillId="44" borderId="44" xfId="0" applyNumberFormat="1" applyFont="1" applyFill="1" applyBorder="1" applyAlignment="1">
      <alignment horizontal="center" vertical="center" wrapText="1"/>
    </xf>
    <xf numFmtId="4" fontId="11" fillId="44" borderId="98" xfId="0" applyNumberFormat="1" applyFont="1" applyFill="1" applyBorder="1" applyAlignment="1">
      <alignment horizontal="center" vertical="center" wrapText="1"/>
    </xf>
    <xf numFmtId="0" fontId="14" fillId="3" borderId="43" xfId="0" applyFont="1" applyFill="1" applyBorder="1" applyAlignment="1">
      <alignment horizontal="center" vertical="center"/>
    </xf>
    <xf numFmtId="0" fontId="0" fillId="3" borderId="37" xfId="0" applyFill="1" applyBorder="1" applyAlignment="1">
      <alignment horizontal="center" vertical="center"/>
    </xf>
    <xf numFmtId="0" fontId="0" fillId="3" borderId="100" xfId="0" applyFill="1" applyBorder="1" applyAlignment="1">
      <alignment horizontal="center" vertical="center"/>
    </xf>
    <xf numFmtId="4" fontId="69" fillId="2" borderId="30" xfId="0" applyNumberFormat="1" applyFont="1" applyFill="1" applyBorder="1" applyAlignment="1">
      <alignment horizontal="center" vertical="center"/>
    </xf>
    <xf numFmtId="4" fontId="69" fillId="2" borderId="32" xfId="0" applyNumberFormat="1" applyFont="1" applyFill="1" applyBorder="1" applyAlignment="1">
      <alignment horizontal="center" vertical="center"/>
    </xf>
    <xf numFmtId="4" fontId="66" fillId="70" borderId="30" xfId="0" applyNumberFormat="1" applyFont="1" applyFill="1" applyBorder="1" applyAlignment="1">
      <alignment horizontal="center" vertical="center" wrapText="1"/>
    </xf>
    <xf numFmtId="4" fontId="66" fillId="70" borderId="26" xfId="0" applyNumberFormat="1" applyFont="1" applyFill="1" applyBorder="1" applyAlignment="1">
      <alignment horizontal="center" vertical="center" wrapText="1"/>
    </xf>
    <xf numFmtId="0" fontId="12" fillId="15" borderId="0" xfId="0" applyFont="1" applyFill="1" applyAlignment="1">
      <alignment horizontal="center"/>
    </xf>
    <xf numFmtId="0" fontId="0" fillId="3" borderId="2" xfId="0" applyFill="1" applyBorder="1" applyAlignment="1">
      <alignment horizontal="center"/>
    </xf>
    <xf numFmtId="0" fontId="12" fillId="17" borderId="1" xfId="0" applyFont="1" applyFill="1" applyBorder="1" applyAlignment="1">
      <alignment horizontal="center" vertical="center"/>
    </xf>
    <xf numFmtId="0" fontId="12" fillId="17" borderId="0" xfId="0" applyFont="1" applyFill="1" applyAlignment="1">
      <alignment horizontal="center" vertical="center"/>
    </xf>
    <xf numFmtId="0" fontId="12" fillId="15" borderId="0" xfId="0" applyFont="1" applyFill="1" applyAlignment="1">
      <alignment horizontal="center" vertical="center"/>
    </xf>
    <xf numFmtId="0" fontId="20" fillId="10" borderId="0" xfId="0" applyFont="1" applyFill="1" applyAlignment="1">
      <alignment horizontal="center"/>
    </xf>
  </cellXfs>
  <cellStyles count="45">
    <cellStyle name="Comma" xfId="8" builtinId="3"/>
    <cellStyle name="Currency" xfId="44" builtinId="4"/>
    <cellStyle name="Millares [0] 2" xfId="18" xr:uid="{68D36ABC-6C8C-4D73-85DC-B334092184E2}"/>
    <cellStyle name="Millares [0] 3" xfId="25" xr:uid="{3A8F6189-C291-4648-BE8E-28DD81720258}"/>
    <cellStyle name="Millares [0] 4" xfId="29" xr:uid="{C76ABB24-6768-4E7D-B5EB-1B33E3C30D83}"/>
    <cellStyle name="Millares [0] 5" xfId="38" xr:uid="{0543F568-0D44-41FD-8300-79D8CA5018CC}"/>
    <cellStyle name="Millares 2" xfId="5" xr:uid="{F2ABF6E3-628E-40B5-9516-CF1F8299F250}"/>
    <cellStyle name="Millares 2 2" xfId="14" xr:uid="{92EECA8C-A7E3-44BE-A52D-185255BEE352}"/>
    <cellStyle name="Millares 2 3" xfId="30" xr:uid="{8FEB008D-053E-47AF-8832-B0482754AF66}"/>
    <cellStyle name="Millares 3" xfId="23" xr:uid="{395FBB7F-5111-44AB-97CB-7F91056F78B9}"/>
    <cellStyle name="Millares 4" xfId="12" xr:uid="{7B1A9EF6-A1FD-456F-95FD-71DA9CD8C19D}"/>
    <cellStyle name="Millares 5" xfId="27" xr:uid="{B72AAD22-F07F-4D28-B063-2AF512FABE50}"/>
    <cellStyle name="Millares 6" xfId="28" xr:uid="{8B96BA84-AEAC-4993-A60C-97424B0DF61E}"/>
    <cellStyle name="Millares 7" xfId="31" xr:uid="{6E41E0AF-BFC3-4307-85C7-0360A1D1718F}"/>
    <cellStyle name="Millares 8" xfId="37" xr:uid="{12038850-123D-4A92-B500-BC4B8874C173}"/>
    <cellStyle name="Millares 9" xfId="41" xr:uid="{647D5AFD-3B00-4097-9FB0-7DC23C078502}"/>
    <cellStyle name="Moneda [0] 2" xfId="21" xr:uid="{0B0F69E2-C9DB-4FE8-BF7A-D05AB2411BED}"/>
    <cellStyle name="Moneda [0] 3" xfId="32" xr:uid="{BA2AFD1F-8EB8-415D-8F0F-D3EF2A0A8C1E}"/>
    <cellStyle name="Moneda [0] 4" xfId="40" xr:uid="{15F423BA-E994-4999-BFA8-551647B9C80B}"/>
    <cellStyle name="Moneda 2" xfId="7" xr:uid="{69928243-17FB-4C21-BFB4-DCFEEC008C06}"/>
    <cellStyle name="Moneda 2 2" xfId="20" xr:uid="{103DD93C-4D8B-4760-948F-5557C438A610}"/>
    <cellStyle name="Moneda 3" xfId="24" xr:uid="{23D7F4F0-C531-4A20-9CB2-603D6E4A7677}"/>
    <cellStyle name="Moneda 4" xfId="33" xr:uid="{834F3B07-1F6A-4DA9-828D-0E9525C45BD1}"/>
    <cellStyle name="Moneda 5" xfId="39" xr:uid="{B034AF39-19ED-4F47-90A0-F15A1CBF5119}"/>
    <cellStyle name="Moneda 6" xfId="42" xr:uid="{2515E3A1-002E-4B99-85AD-66966D0EE4E8}"/>
    <cellStyle name="Normal" xfId="0" builtinId="0"/>
    <cellStyle name="Normal 10" xfId="43" xr:uid="{C6912EB3-61D1-430E-971A-B6F7CE70F95A}"/>
    <cellStyle name="Normal 2" xfId="1" xr:uid="{EC6B160F-5862-48AD-9D52-1EECB1707D51}"/>
    <cellStyle name="Normal 2 2" xfId="9" xr:uid="{ED9D991E-51C4-4EC3-A396-45D4EF935679}"/>
    <cellStyle name="Normal 2 3" xfId="13" xr:uid="{26511299-42A8-4D67-9BDC-CA86B3AC5366}"/>
    <cellStyle name="Normal 2 4" xfId="34" xr:uid="{2A7DC6F7-C23C-421E-8BAF-90A294683A9F}"/>
    <cellStyle name="Normal 3" xfId="4" xr:uid="{8BE68938-26BB-4301-ABB5-A5007A5BCABA}"/>
    <cellStyle name="Normal 3 2" xfId="6" xr:uid="{69A6D5ED-4F0B-4087-BC42-A18697AC18A3}"/>
    <cellStyle name="Normal 4" xfId="2" xr:uid="{9B375687-9FC8-4C05-A634-FB902614E03C}"/>
    <cellStyle name="Normal 4 2" xfId="17" xr:uid="{72AB4CC5-88F5-4C43-9525-8C7ECC6CF334}"/>
    <cellStyle name="Normal 5" xfId="10" xr:uid="{2438A943-58D4-4AB0-A60F-01ABF8FAA34B}"/>
    <cellStyle name="Normal 5 2" xfId="19" xr:uid="{719923FB-D674-40A5-A7BA-79A4965B5BBA}"/>
    <cellStyle name="Normal 6" xfId="22" xr:uid="{4F5755CE-6A55-44C2-A423-EDAE9EDEF72E}"/>
    <cellStyle name="Normal 7" xfId="11" xr:uid="{5F1B101D-6D15-4ADD-864C-F11562BAEF41}"/>
    <cellStyle name="Normal 8" xfId="35" xr:uid="{37EA7231-11CB-4CB2-B396-E3E5F89190C1}"/>
    <cellStyle name="Normal 9" xfId="36" xr:uid="{577E3A2E-C8D0-4446-8B06-1855B8CF01D7}"/>
    <cellStyle name="Percent" xfId="3" builtinId="5"/>
    <cellStyle name="Porcentaje 2" xfId="15" xr:uid="{701F5A44-DE2B-4516-A04E-3736836D925D}"/>
    <cellStyle name="Porcentaje 3" xfId="26" xr:uid="{BD80A0A0-9817-4408-AC21-B2614DB524B0}"/>
    <cellStyle name="Porcentaje 4" xfId="16" xr:uid="{2940F2E7-16B5-445D-86DE-019D3F9E9073}"/>
  </cellStyles>
  <dxfs count="43">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theme="9" tint="-0.24994659260841701"/>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
      <fill>
        <patternFill>
          <bgColor theme="9" tint="-0.24994659260841701"/>
        </patternFill>
      </fill>
    </dxf>
    <dxf>
      <fill>
        <patternFill>
          <bgColor rgb="FF92D050"/>
        </patternFill>
      </fill>
    </dxf>
    <dxf>
      <fill>
        <patternFill>
          <bgColor rgb="FFFF0000"/>
        </patternFill>
      </fill>
    </dxf>
  </dxfs>
  <tableStyles count="0" defaultTableStyle="TableStyleMedium2" defaultPivotStyle="PivotStyleLight16"/>
  <colors>
    <mruColors>
      <color rgb="FFFFCCCC"/>
      <color rgb="FF00FFFF"/>
      <color rgb="FFCC66FF"/>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Ingresos de granjas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barChart>
        <c:barDir val="col"/>
        <c:grouping val="clustered"/>
        <c:varyColors val="0"/>
        <c:ser>
          <c:idx val="0"/>
          <c:order val="0"/>
          <c:tx>
            <c:strRef>
              <c:f>'8, Granjas'!$D$73</c:f>
              <c:strCache>
                <c:ptCount val="1"/>
                <c:pt idx="0">
                  <c:v>TOTAL</c:v>
                </c:pt>
              </c:strCache>
            </c:strRef>
          </c:tx>
          <c:spPr>
            <a:solidFill>
              <a:schemeClr val="tx1"/>
            </a:solidFill>
            <a:ln>
              <a:solidFill>
                <a:schemeClr val="tx1"/>
              </a:solidFill>
            </a:ln>
            <a:effectLst/>
          </c:spPr>
          <c:invertIfNegative val="0"/>
          <c:cat>
            <c:numRef>
              <c:f>'8, Granjas'!$C$74:$C$85</c:f>
              <c:numCache>
                <c:formatCode>mmm\-yy</c:formatCode>
                <c:ptCount val="12"/>
                <c:pt idx="0">
                  <c:v>45658</c:v>
                </c:pt>
                <c:pt idx="1">
                  <c:v>45689</c:v>
                </c:pt>
                <c:pt idx="2">
                  <c:v>45717</c:v>
                </c:pt>
                <c:pt idx="3">
                  <c:v>45748</c:v>
                </c:pt>
                <c:pt idx="4">
                  <c:v>45778</c:v>
                </c:pt>
                <c:pt idx="5">
                  <c:v>45809</c:v>
                </c:pt>
                <c:pt idx="6">
                  <c:v>45839</c:v>
                </c:pt>
                <c:pt idx="7">
                  <c:v>45870</c:v>
                </c:pt>
                <c:pt idx="8">
                  <c:v>45901</c:v>
                </c:pt>
                <c:pt idx="9">
                  <c:v>45931</c:v>
                </c:pt>
                <c:pt idx="10">
                  <c:v>45962</c:v>
                </c:pt>
                <c:pt idx="11">
                  <c:v>45992</c:v>
                </c:pt>
              </c:numCache>
            </c:numRef>
          </c:cat>
          <c:val>
            <c:numRef>
              <c:f>'8, Granjas'!$D$74:$D$85</c:f>
              <c:numCache>
                <c:formatCode>#,##0.00</c:formatCode>
                <c:ptCount val="12"/>
                <c:pt idx="0">
                  <c:v>12.945833333333333</c:v>
                </c:pt>
                <c:pt idx="1">
                  <c:v>12.945833333333333</c:v>
                </c:pt>
                <c:pt idx="2">
                  <c:v>25.837499999999999</c:v>
                </c:pt>
                <c:pt idx="3">
                  <c:v>45.174999999999997</c:v>
                </c:pt>
                <c:pt idx="4">
                  <c:v>45.174999999999997</c:v>
                </c:pt>
                <c:pt idx="5">
                  <c:v>60.62083333333333</c:v>
                </c:pt>
                <c:pt idx="6">
                  <c:v>60.62083333333333</c:v>
                </c:pt>
                <c:pt idx="7">
                  <c:v>86.458333333333329</c:v>
                </c:pt>
                <c:pt idx="8">
                  <c:v>86.458333333333329</c:v>
                </c:pt>
                <c:pt idx="9">
                  <c:v>86.458333333333329</c:v>
                </c:pt>
                <c:pt idx="10">
                  <c:v>288</c:v>
                </c:pt>
                <c:pt idx="11">
                  <c:v>288</c:v>
                </c:pt>
              </c:numCache>
            </c:numRef>
          </c:val>
          <c:extLst>
            <c:ext xmlns:c16="http://schemas.microsoft.com/office/drawing/2014/chart" uri="{C3380CC4-5D6E-409C-BE32-E72D297353CC}">
              <c16:uniqueId val="{00000000-C6A7-48CA-9B2C-0E1ED27743E5}"/>
            </c:ext>
          </c:extLst>
        </c:ser>
        <c:dLbls>
          <c:showLegendKey val="0"/>
          <c:showVal val="0"/>
          <c:showCatName val="0"/>
          <c:showSerName val="0"/>
          <c:showPercent val="0"/>
          <c:showBubbleSize val="0"/>
        </c:dLbls>
        <c:gapWidth val="219"/>
        <c:overlap val="-27"/>
        <c:axId val="2124171967"/>
        <c:axId val="2124169567"/>
      </c:barChart>
      <c:dateAx>
        <c:axId val="212417196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124169567"/>
        <c:crosses val="autoZero"/>
        <c:auto val="1"/>
        <c:lblOffset val="100"/>
        <c:baseTimeUnit val="months"/>
      </c:dateAx>
      <c:valAx>
        <c:axId val="21241695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12417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216354</xdr:colOff>
      <xdr:row>74</xdr:row>
      <xdr:rowOff>125942</xdr:rowOff>
    </xdr:from>
    <xdr:to>
      <xdr:col>10</xdr:col>
      <xdr:colOff>648154</xdr:colOff>
      <xdr:row>94</xdr:row>
      <xdr:rowOff>151343</xdr:rowOff>
    </xdr:to>
    <xdr:graphicFrame macro="">
      <xdr:nvGraphicFramePr>
        <xdr:cNvPr id="3" name="Gráfico 2">
          <a:extLst>
            <a:ext uri="{FF2B5EF4-FFF2-40B4-BE49-F238E27FC236}">
              <a16:creationId xmlns:a16="http://schemas.microsoft.com/office/drawing/2014/main" id="{F403B4F0-A48E-852D-CECF-2E692D011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642.632613310183" createdVersion="8" refreshedVersion="8" minRefreshableVersion="3" recordCount="9312" xr:uid="{8FE2BAEE-D552-4801-BEE2-4C517D58C3E1}">
  <cacheSource type="worksheet">
    <worksheetSource ref="D4:G9314" sheet="Movimientos Reales"/>
  </cacheSource>
  <cacheFields count="6">
    <cacheField name="Monto" numFmtId="0">
      <sharedItems containsSemiMixedTypes="0" containsString="0" containsNumber="1" minValue="-661515814.60000002" maxValue="770000000" count="4019">
        <n v="-398285"/>
        <n v="-2000000"/>
        <n v="-44312665.409999982"/>
        <n v="-661515814.60000002"/>
        <n v="44604522"/>
        <n v="-398783"/>
        <n v="-17000000"/>
        <n v="-22000000"/>
        <n v="-2409709"/>
        <n v="-83815"/>
        <n v="-27880"/>
        <n v="-80000"/>
        <n v="-160000"/>
        <n v="-70656250"/>
        <n v="-231300"/>
        <n v="-693900"/>
        <n v="-113669"/>
        <n v="-586630"/>
        <n v="-60000"/>
        <n v="-202000"/>
        <n v="-3900000"/>
        <n v="-68673358"/>
        <n v="-6261092"/>
        <n v="-597000"/>
        <n v="-120000"/>
        <n v="-95000"/>
        <n v="-472250"/>
        <n v="-3847100"/>
        <n v="-19915"/>
        <n v="-82983"/>
        <n v="-832824"/>
        <n v="-4376"/>
        <n v="-1186800"/>
        <n v="-247600"/>
        <n v="-51600"/>
        <n v="-20000"/>
        <n v="-25000"/>
        <n v="-4400000"/>
        <n v="-2300"/>
        <n v="-9400"/>
        <n v="-42000"/>
        <n v="-6200"/>
        <n v="-18000"/>
        <n v="-30000"/>
        <n v="38667"/>
        <n v="-37900"/>
        <n v="-22500"/>
        <n v="1504718"/>
        <n v="390728"/>
        <n v="2845985"/>
        <n v="-2200"/>
        <n v="-147800"/>
        <n v="-19000"/>
        <n v="-2024000"/>
        <n v="-545940"/>
        <n v="-367570"/>
        <n v="-338820"/>
        <n v="-881400"/>
        <n v="-328700"/>
        <n v="-508330"/>
        <n v="-379100"/>
        <n v="-693950"/>
        <n v="-144244"/>
        <n v="-183000"/>
        <n v="-40182000"/>
        <n v="-541000"/>
        <n v="-380000"/>
        <n v="-50000000"/>
        <n v="-575601"/>
        <n v="-14900"/>
        <n v="-1295434"/>
        <n v="-111500"/>
        <n v="-375600"/>
        <n v="-27915"/>
        <n v="-35136"/>
        <n v="-6000"/>
        <n v="-10000"/>
        <n v="-110200"/>
        <n v="-331124.09999999998"/>
        <n v="-65400"/>
        <n v="-76000"/>
        <n v="-8000"/>
        <n v="-155000"/>
        <n v="-119000"/>
        <n v="-8700000"/>
        <n v="-33000"/>
        <n v="-62790"/>
        <n v="-25500"/>
        <n v="-985612"/>
        <n v="-49857"/>
        <n v="-100060"/>
        <n v="-54480"/>
        <n v="-98900"/>
        <n v="-254572"/>
        <n v="-245100"/>
        <n v="-243000"/>
        <n v="-301450"/>
        <n v="-281850"/>
        <n v="-23300"/>
        <n v="-14000"/>
        <n v="-10800"/>
        <n v="-12000"/>
        <n v="-35000"/>
        <n v="-40000"/>
        <n v="-387000"/>
        <n v="-13000"/>
        <n v="-16500"/>
        <n v="-21090"/>
        <n v="-17080"/>
        <n v="-12500"/>
        <n v="-208950"/>
        <n v="2423230"/>
        <n v="-15500"/>
        <n v="-20627218"/>
        <n v="-28906"/>
        <n v="-24000"/>
        <n v="-44800"/>
        <n v="-130000"/>
        <n v="-7900"/>
        <n v="-19200"/>
        <n v="-155452"/>
        <n v="-1000000"/>
        <n v="-2250000"/>
        <n v="-300000"/>
        <n v="-125800"/>
        <n v="-3246936"/>
        <n v="-21084"/>
        <n v="-245980"/>
        <n v="-1180"/>
        <n v="-123112.15"/>
        <n v="-869500"/>
        <n v="-131300"/>
        <n v="-50000"/>
        <n v="-88000"/>
        <n v="-127400"/>
        <n v="-398650"/>
        <n v="-424600"/>
        <n v="-933453"/>
        <n v="-1889357"/>
        <n v="-30800"/>
        <n v="-29050"/>
        <n v="-22401"/>
        <n v="-27300"/>
        <n v="-1191000"/>
        <n v="3930241.66"/>
        <n v="-1331306"/>
        <n v="-1500000"/>
        <n v="-21000"/>
        <n v="-167600"/>
        <n v="-61800"/>
        <n v="-1877"/>
        <n v="-10565"/>
        <n v="3509942.21"/>
        <n v="-358600"/>
        <n v="-6800"/>
        <n v="-32500"/>
        <n v="-12800"/>
        <n v="-8750"/>
        <n v="-5600"/>
        <n v="-7500"/>
        <n v="-7000"/>
        <n v="-32000"/>
        <n v="-10500"/>
        <n v="-90000"/>
        <n v="-23800"/>
        <n v="-742038.88"/>
        <n v="-15000"/>
        <n v="-11000"/>
        <n v="-28000"/>
        <n v="-9600"/>
        <n v="1377384"/>
        <n v="-4065250"/>
        <n v="-600000"/>
        <n v="-190000"/>
        <n v="-2663677"/>
        <n v="-86922"/>
        <n v="-259364"/>
        <n v="-1241518"/>
        <n v="-32731"/>
        <n v="-2182298.59"/>
        <n v="-48000"/>
        <n v="-1986651.41"/>
        <n v="-149532.71"/>
        <n v="-3118200"/>
        <n v="-6304300"/>
        <n v="-4861600"/>
        <n v="-36000"/>
        <n v="-99750"/>
        <n v="-67185"/>
        <n v="-5862955"/>
        <n v="-15946"/>
        <n v="-6300"/>
        <n v="-6500"/>
        <n v="-125000"/>
        <n v="-504000"/>
        <n v="-56000"/>
        <n v="-28400"/>
        <n v="576805"/>
        <n v="-175260"/>
        <n v="-23900"/>
        <n v="-160036"/>
        <n v="-86000"/>
        <n v="-85000"/>
        <n v="-99800"/>
        <n v="-41204015"/>
        <n v="-233042"/>
        <n v="-1152000"/>
        <n v="-1433000"/>
        <n v="-196000"/>
        <n v="-1200000"/>
        <n v="-33824"/>
        <n v="-36040"/>
        <n v="88889"/>
        <n v="-669000"/>
        <n v="-9498905"/>
        <n v="-1931866.5"/>
        <n v="-1142322"/>
        <n v="-900000"/>
        <n v="-250000"/>
        <n v="-13704300"/>
        <n v="-879505"/>
        <n v="-30944160"/>
        <n v="-4962262.5"/>
        <n v="-3969810"/>
        <n v="-4457"/>
        <n v="-814320"/>
        <n v="-127237.5"/>
        <n v="-101790"/>
        <n v="-176887"/>
        <n v="-41510.5"/>
        <n v="-24567"/>
        <n v="-9000"/>
        <n v="-2500"/>
        <n v="-345750"/>
        <n v="-345000"/>
        <n v="-809200"/>
        <n v="-19240650"/>
        <n v="-493350"/>
        <n v="-8472750"/>
        <n v="-217250"/>
        <n v="-3275730"/>
        <n v="-626357"/>
        <n v="-2481131.25"/>
        <n v="-63618.75"/>
        <n v="-3305250"/>
        <n v="-84750"/>
        <n v="-751331.75"/>
        <n v="-14820.25"/>
        <n v="-1338000"/>
        <n v="-13380"/>
        <n v="-153038"/>
        <n v="118146600"/>
        <n v="-2500000"/>
        <n v="-115000"/>
        <n v="-105000"/>
        <n v="-221867"/>
        <n v="-2147000"/>
        <n v="-75145"/>
        <n v="-10700"/>
        <n v="-57600"/>
        <n v="-168500"/>
        <n v="-8614944"/>
        <n v="-220896"/>
        <n v="-26383266"/>
        <n v="-676494"/>
        <n v="4062323"/>
        <n v="-3196800"/>
        <n v="-368220"/>
        <n v="43710353"/>
        <n v="-10130662"/>
        <n v="-256200"/>
        <n v="-1278000"/>
        <n v="-30000000"/>
        <n v="-4460158"/>
        <n v="-312211"/>
        <n v="-14200"/>
        <n v="-16000"/>
        <n v="-1266655"/>
        <n v="-972000"/>
        <n v="-159400"/>
        <n v="-45400"/>
        <n v="-18600"/>
        <n v="-1900"/>
        <n v="-99000"/>
        <n v="-543600"/>
        <n v="-1730000"/>
        <n v="8325236"/>
        <n v="-828499"/>
        <n v="-411291"/>
        <n v="-841661"/>
        <n v="-448727"/>
        <n v="-659055.5"/>
        <n v="-468224"/>
        <n v="-1540626"/>
        <n v="-922198"/>
        <n v="-726673"/>
        <n v="-2445298"/>
        <n v="-3267000"/>
        <n v="-3129012"/>
        <n v="-1037004"/>
        <n v="-6465404"/>
        <n v="-2051313"/>
        <n v="-3071433"/>
        <n v="-953333"/>
        <n v="-8145962"/>
        <n v="-724267"/>
        <n v="-8359119"/>
        <n v="-3033371"/>
        <n v="-2696459"/>
        <n v="-398938"/>
        <n v="-824487"/>
        <n v="-400000"/>
        <n v="40475010"/>
        <n v="-3094533"/>
        <n v="-7989"/>
        <n v="-486000"/>
        <n v="-49500"/>
        <n v="-279287"/>
        <n v="-2510675"/>
        <n v="233042"/>
        <n v="2202989"/>
        <n v="-33320"/>
        <n v="-25206"/>
        <n v="-2494350"/>
        <n v="-86760"/>
        <n v="-191004"/>
        <n v="-428740"/>
        <n v="-53350"/>
        <n v="-2910"/>
        <n v="-5600000"/>
        <n v="-203109"/>
        <n v="-2100000"/>
        <n v="-48427407"/>
        <n v="-3443371"/>
        <n v="-2238338"/>
        <n v="-1596050"/>
        <n v="-34250"/>
        <n v="-240000"/>
        <n v="-62000"/>
        <n v="-66600"/>
        <n v="-118700"/>
        <n v="-23710"/>
        <n v="-122400"/>
        <n v="-98800"/>
        <n v="-58000"/>
        <n v="-3000"/>
        <n v="-255000"/>
        <n v="-53816"/>
        <n v="-580742"/>
        <n v="-12200000"/>
        <n v="-651000"/>
        <n v="-601012"/>
        <n v="-3628"/>
        <n v="-120928"/>
        <n v="-241100"/>
        <n v="-65000"/>
        <n v="-1100000"/>
        <n v="-176800"/>
        <n v="-630671"/>
        <n v="-1300000"/>
        <n v="-47150"/>
        <n v="-44000"/>
        <n v="2272388"/>
        <n v="1130853"/>
        <n v="-229000"/>
        <n v="-39084.949999999997"/>
        <n v="-493000"/>
        <n v="-94500"/>
        <n v="-2000"/>
        <n v="-43000"/>
        <n v="-13900"/>
        <n v="-160050"/>
        <n v="-40600"/>
        <n v="-238000"/>
        <n v="-93500"/>
        <n v="-131000"/>
        <n v="-27014"/>
        <n v="-3877200"/>
        <n v="-267500"/>
        <n v="-1800000"/>
        <n v="-1422293"/>
        <n v="-7207"/>
        <n v="-128000"/>
        <n v="-173300"/>
        <n v="-339800"/>
        <n v="-54027"/>
        <n v="-106000"/>
        <n v="-1244690"/>
        <n v="-6683"/>
        <n v="-12900"/>
        <n v="-389928"/>
        <n v="-11780"/>
        <n v="-150000"/>
        <n v="-9231329"/>
        <n v="-332500"/>
        <n v="-920336"/>
        <n v="-279400"/>
        <n v="-51875606"/>
        <n v="-1330144"/>
        <n v="-650000"/>
        <n v="-480000"/>
        <n v="-24782815"/>
        <n v="-4663"/>
        <n v="-108670"/>
        <n v="-33100"/>
        <n v="-16575"/>
        <n v="-172360"/>
        <n v="-166960"/>
        <n v="-42900"/>
        <n v="-76245"/>
        <n v="-100000000"/>
        <n v="100000000"/>
        <n v="-24400"/>
        <n v="-5900"/>
        <n v="-1420000"/>
        <n v="-15820"/>
        <n v="-1246350"/>
        <n v="-3150"/>
        <n v="-33800"/>
        <n v="-139825"/>
        <n v="-204280"/>
        <n v="-81100"/>
        <n v="-5000"/>
        <n v="3000000"/>
        <n v="-14700"/>
        <n v="-285000"/>
        <n v="-188000"/>
        <n v="-68000"/>
        <n v="-32900"/>
        <n v="-284074"/>
        <n v="-1240000"/>
        <n v="-640000"/>
        <n v="500000000"/>
        <n v="-11507206"/>
        <n v="-66200"/>
        <n v="-95520"/>
        <n v="-562300"/>
        <n v="-25740"/>
        <n v="-10528"/>
        <n v="-26000"/>
        <n v="-57300"/>
        <n v="-49900"/>
        <n v="-29000"/>
        <n v="-28800"/>
        <n v="-4500"/>
        <n v="-145003"/>
        <n v="-140000"/>
        <n v="-70000"/>
        <n v="-17000"/>
        <n v="-31000"/>
        <n v="-12700"/>
        <n v="-59313"/>
        <n v="-116880"/>
        <n v="-6700000"/>
        <n v="-306130"/>
        <n v="-403576"/>
        <n v="-617900"/>
        <n v="-1440000"/>
        <n v="-62300"/>
        <n v="-7008000"/>
        <n v="-100000"/>
        <n v="-272000"/>
        <n v="-79904"/>
        <n v="-79960"/>
        <n v="-72685"/>
        <n v="-63000"/>
        <n v="-1128370"/>
        <n v="-1125230"/>
        <n v="-975000"/>
        <n v="-372868"/>
        <n v="-72000"/>
        <n v="-165999"/>
        <n v="-64500"/>
        <n v="-10830"/>
        <n v="-16121"/>
        <n v="-24500"/>
        <n v="-6480000"/>
        <n v="-65454"/>
        <n v="-137950"/>
        <n v="-17050"/>
        <n v="-38178873"/>
        <n v="-7421976"/>
        <n v="-470650"/>
        <n v="-9256967"/>
        <n v="-198647"/>
        <n v="-132000"/>
        <n v="-174000"/>
        <n v="-3090"/>
        <n v="-26040"/>
        <n v="-11200"/>
        <n v="2832463"/>
        <n v="-1253116.8085105927"/>
        <n v="-690794.04255319142"/>
        <n v="-756740"/>
        <n v="-1038260"/>
        <n v="-699240"/>
        <n v="-691723.40425531915"/>
        <n v="-763928.72340425535"/>
        <n v="-679000"/>
        <n v="-407400"/>
        <n v="-690000"/>
        <n v="-116553"/>
        <n v="-485202"/>
        <n v="-66000"/>
        <n v="-108349"/>
        <n v="4788887.07"/>
        <n v="-123500"/>
        <n v="-21800"/>
        <n v="-590000"/>
        <n v="-322000"/>
        <n v="-684325"/>
        <n v="-675094"/>
        <n v="-376000"/>
        <n v="-264000"/>
        <n v="-1192800"/>
        <n v="-7200"/>
        <n v="-296400"/>
        <n v="4702071"/>
        <n v="2718825"/>
        <n v="453050"/>
        <n v="-79800"/>
        <n v="-124000"/>
        <n v="-34000"/>
        <n v="-122144.96000000001"/>
        <n v="-1320000"/>
        <n v="-245650"/>
        <n v="-2737786"/>
        <n v="-1203307.53"/>
        <n v="-306898"/>
        <n v="2346827"/>
        <n v="-2288000"/>
        <n v="-4953400"/>
        <n v="-2551000"/>
        <n v="-1275500"/>
        <n v="-2464400"/>
        <n v="-220000"/>
        <n v="-413000"/>
        <n v="-958111"/>
        <n v="-95969"/>
        <n v="-718900"/>
        <n v="-1118300"/>
        <n v="-2878900"/>
        <n v="-1059000"/>
        <n v="-2077010.7200000002"/>
        <n v="-2289470.2799999998"/>
        <n v="-6900"/>
        <n v="-4600000"/>
        <n v="-12400"/>
        <n v="-193750"/>
        <n v="-316860"/>
        <n v="-25800"/>
        <n v="-18700"/>
        <n v="-49000"/>
        <n v="-833128.67"/>
        <n v="-17700"/>
        <n v="232000"/>
        <n v="50000000"/>
        <n v="4098934"/>
        <n v="-1896859"/>
        <n v="-116000"/>
        <n v="-40705"/>
        <n v="-7462350"/>
        <n v="-476000"/>
        <n v="-4000"/>
        <n v="-154062"/>
        <n v="-145000"/>
        <n v="-104000"/>
        <n v="70000"/>
        <n v="-61500"/>
        <n v="-129812"/>
        <n v="-12916"/>
        <n v="-12600"/>
        <n v="-31500"/>
        <n v="-8500"/>
        <n v="-38123"/>
        <n v="-76561"/>
        <n v="-33700"/>
        <n v="-55000"/>
        <n v="-49400"/>
        <n v="-109799"/>
        <n v="-13650"/>
        <n v="-462000"/>
        <n v="-41600"/>
        <n v="-110000"/>
        <n v="-13800"/>
        <n v="-134200"/>
        <n v="-26500"/>
        <n v="-122600"/>
        <n v="-191900"/>
        <n v="-60400"/>
        <n v="-832833.79"/>
        <n v="-370072"/>
        <n v="-909862"/>
        <n v="-33040"/>
        <n v="-39040"/>
        <n v="-7800000"/>
        <n v="-279286"/>
        <n v="-1932000"/>
        <n v="-200900"/>
        <n v="-210000"/>
        <n v="-870000"/>
        <n v="-11490000"/>
        <n v="-456221"/>
        <n v="-79784.78"/>
        <n v="-222000"/>
        <n v="160000"/>
        <n v="-20900"/>
        <n v="-2690402"/>
        <n v="-57734"/>
        <n v="-970000"/>
        <n v="-2815209.9663120657"/>
        <n v="-5842200"/>
        <n v="-1240909.5744680851"/>
        <n v="-2554000"/>
        <n v="-529718"/>
        <n v="-227022"/>
        <n v="-311478"/>
        <n v="-519130"/>
        <n v="-207652"/>
        <n v="-738600"/>
        <n v="-1231000"/>
        <n v="-492400"/>
        <n v="-698085.10638297873"/>
        <n v="-685361.70212765958"/>
        <n v="-543200"/>
        <n v="-135800"/>
        <n v="-17008399"/>
        <n v="-364601"/>
        <n v="-4680000"/>
        <n v="-5570000"/>
        <n v="-95195"/>
        <n v="-510000"/>
        <n v="933415"/>
        <n v="502667"/>
        <n v="647069"/>
        <n v="-10519845"/>
        <n v="-175302"/>
        <n v="-5000905"/>
        <n v="-444666.66666666698"/>
        <n v="-7665962.25"/>
        <n v="-559392"/>
        <n v="-604361.70212765958"/>
        <n v="-264420"/>
        <n v="-440700"/>
        <n v="-176280"/>
        <n v="-573736.17021276557"/>
        <n v="-834360"/>
        <n v="-1390600"/>
        <n v="-506240"/>
        <n v="-1050000"/>
        <n v="-2815200"/>
        <n v="-143434.04255319139"/>
        <n v="-139848"/>
        <n v="-781928"/>
        <n v="-600166.21"/>
        <n v="-23000"/>
        <n v="-39200"/>
        <n v="-79900"/>
        <n v="-56600"/>
        <n v="-471250"/>
        <n v="-18500"/>
        <n v="-70950"/>
        <n v="-22821"/>
        <n v="-117000"/>
        <n v="-104500"/>
        <n v="-191200"/>
        <n v="-2585676"/>
        <n v="-89936"/>
        <n v="-403200"/>
        <n v="-4090000"/>
        <n v="-310000"/>
        <n v="-792000"/>
        <n v="-108000"/>
        <n v="-451420"/>
        <n v="-6600"/>
        <n v="-1980"/>
        <n v="-22854683"/>
        <n v="-3860000"/>
        <n v="-10421990"/>
        <n v="-1456000"/>
        <n v="-1227199"/>
        <n v="-5178"/>
        <n v="-2322000"/>
        <n v="-355700"/>
        <n v="-206000"/>
        <n v="-2600000"/>
        <n v="-18496000"/>
        <n v="-3277500"/>
        <n v="-153000"/>
        <n v="-144720"/>
        <n v="-360000"/>
        <n v="1698353"/>
        <n v="3900000"/>
        <n v="-19500"/>
        <n v="-212932"/>
        <n v="-30600"/>
        <n v="-120015"/>
        <n v="-63100"/>
        <n v="-15225"/>
        <n v="-29749"/>
        <n v="-73300"/>
        <n v="-41200"/>
        <n v="-134515"/>
        <n v="-5499"/>
        <n v="-86200"/>
        <n v="-27000"/>
        <n v="-22000"/>
        <n v="-64000"/>
        <n v="-4620"/>
        <n v="-92700"/>
        <n v="-40980"/>
        <n v="-170604"/>
        <n v="-25600"/>
        <n v="-27600"/>
        <n v="-14500"/>
        <n v="-9440"/>
        <n v="-30300"/>
        <n v="-3787650"/>
        <n v="-6071048"/>
        <n v="-261800"/>
        <n v="-10000000"/>
        <n v="-5750000"/>
        <n v="-31400838"/>
        <n v="-43636775"/>
        <n v="-2380000"/>
        <n v="-2140000"/>
        <n v="-180000"/>
        <n v="-1995000"/>
        <n v="-1073278"/>
        <n v="-52030"/>
        <n v="-114560"/>
        <n v="-1110237"/>
        <n v="-452667"/>
        <n v="-1068972"/>
        <n v="-245000"/>
        <n v="-9958080"/>
        <n v="-3100000"/>
        <n v="-6769000"/>
        <n v="-31506040.799999993"/>
        <n v="-491345"/>
        <n v="-198810"/>
        <n v="-851730"/>
        <n v="-1228700"/>
        <n v="-693840"/>
        <n v="-670082"/>
        <n v="-287178"/>
        <n v="-657400"/>
        <n v="-906944.68085106381"/>
        <n v="-706290.66666666663"/>
        <n v="-673600"/>
        <n v="-633733.33333333337"/>
        <n v="-418600"/>
        <n v="-179400"/>
        <n v="-325000"/>
        <n v="-750000"/>
        <n v="-1449706"/>
        <n v="750000000"/>
        <n v="-1141919"/>
        <n v="30000000"/>
        <n v="139701000"/>
        <n v="3679932"/>
        <n v="2990919"/>
        <n v="-495080"/>
        <n v="-52000"/>
        <n v="4086070.27"/>
        <n v="-4300000"/>
        <n v="-1600000"/>
        <n v="-3200000"/>
        <n v="45000000"/>
        <n v="-2070000"/>
        <n v="-27659"/>
        <n v="-37021"/>
        <n v="-2200000"/>
        <n v="-872798"/>
        <n v="-457300"/>
        <n v="-3057200"/>
        <n v="-2827566"/>
        <n v="-1057791"/>
        <n v="-3366100"/>
        <n v="-2215800"/>
        <n v="-7780000"/>
        <n v="-176000"/>
        <n v="-73800"/>
        <n v="-850000"/>
        <n v="-8039698"/>
        <n v="-3890000"/>
        <n v="-990000"/>
        <n v="-15349030"/>
        <n v="-1844698"/>
        <n v="-2318900"/>
        <n v="-835050"/>
        <n v="-426550"/>
        <n v="-1101600"/>
        <n v="-3106832"/>
        <n v="-67296"/>
        <n v="-6377010"/>
        <n v="-13408737"/>
        <n v="-996204"/>
        <n v="-3105814"/>
        <n v="-713"/>
        <n v="-1116679.4099999999"/>
        <n v="-2535131"/>
        <n v="15000000"/>
        <n v="-1000"/>
        <n v="-43200"/>
        <n v="-67500"/>
        <n v="-75000"/>
        <n v="-92000"/>
        <n v="-170000"/>
        <n v="-38000"/>
        <n v="-265000"/>
        <n v="-98950"/>
        <n v="-1650"/>
        <n v="-3900"/>
        <n v="-1852"/>
        <n v="-53218"/>
        <n v="100000"/>
        <n v="-45000"/>
        <n v="-380300"/>
        <n v="-500000"/>
        <n v="-270000"/>
        <n v="-276242.26"/>
        <n v="-875757.74"/>
        <n v="-655695"/>
        <n v="-777305"/>
        <n v="-2293634.35"/>
        <n v="-345100"/>
        <n v="392852"/>
        <n v="2920566"/>
        <n v="2252967"/>
        <n v="-121816.94"/>
        <n v="-18400"/>
        <n v="-37000"/>
        <n v="-1008369.22"/>
        <n v="-39138.410000000003"/>
        <n v="-645000"/>
        <n v="-37500"/>
        <n v="-30400"/>
        <n v="18000000"/>
        <n v="4215131"/>
        <n v="-81000"/>
        <n v="-475300"/>
        <n v="-5066500"/>
        <n v="-1103674"/>
        <n v="-2272128"/>
        <n v="-181000"/>
        <n v="-637533"/>
        <n v="-34114"/>
        <n v="-177000"/>
        <n v="-3278500"/>
        <n v="-2650000"/>
        <n v="-6272100"/>
        <n v="-606900"/>
        <n v="-222221"/>
        <n v="-12587287.200000005"/>
        <n v="-663616"/>
        <n v="-805000"/>
        <n v="-3623600"/>
        <n v="-3057110"/>
        <n v="19691100"/>
        <n v="2593064"/>
        <n v="40000"/>
        <n v="610436"/>
        <n v="-112000"/>
        <n v="-272800"/>
        <n v="-24800"/>
        <n v="-730528"/>
        <n v="-2117280"/>
        <n v="-4891575.9088226557"/>
        <n v="-95731"/>
        <n v="-2300700"/>
        <n v="-8950228"/>
        <n v="-3134"/>
        <n v="-1832461.2"/>
        <n v="-39988"/>
        <n v="-7997"/>
        <n v="-78400"/>
        <n v="-2443281.6"/>
        <n v="-1458600"/>
        <n v="-2145068.6500000004"/>
        <n v="-123229"/>
        <n v="-2814800"/>
        <n v="-5584350"/>
        <n v="-2856550"/>
        <n v="-1122000"/>
        <n v="-1552700"/>
        <n v="-731183.70212765958"/>
        <n v="-369580"/>
        <n v="-1407680"/>
        <n v="-104773"/>
        <n v="-705817.02127659577"/>
        <n v="-598000"/>
        <n v="-937461.59999999986"/>
        <n v="-793825.4"/>
        <n v="-793550"/>
        <n v="-456770.21276595746"/>
        <n v="-277370.21276595746"/>
        <n v="-2668000"/>
        <n v="-588466.66666666674"/>
        <n v="-899825.33333333337"/>
        <n v="-1209398.1946810484"/>
        <n v="-16715"/>
        <n v="-52500"/>
        <n v="-3160"/>
        <n v="-14800"/>
        <n v="-31981"/>
        <n v="-80600"/>
        <n v="1232300"/>
        <n v="-6523"/>
        <n v="-11603"/>
        <n v="-55206"/>
        <n v="-60628"/>
        <n v="-77500"/>
        <n v="-59400"/>
        <n v="-26584"/>
        <n v="-69000"/>
        <n v="-800"/>
        <n v="-2385600"/>
        <n v="-405000"/>
        <n v="644112"/>
        <n v="230000"/>
        <n v="471921"/>
        <n v="9800305"/>
        <n v="362133"/>
        <n v="67125817"/>
        <n v="15986163"/>
        <n v="19151346"/>
        <n v="9825039.8900000006"/>
        <n v="250000000"/>
        <n v="-13472750"/>
        <n v="-275000"/>
        <n v="-60000000"/>
        <n v="-273448"/>
        <n v="-145928"/>
        <n v="-1290000"/>
        <n v="-904540"/>
        <n v="-2752256"/>
        <n v="-849000"/>
        <n v="-1239866"/>
        <n v="-1855221"/>
        <n v="-425600"/>
        <n v="-330000"/>
        <n v="-633353"/>
        <n v="-22610000"/>
        <n v="-729257"/>
        <n v="-1512985"/>
        <n v="172000000"/>
        <n v="6418089"/>
        <n v="1278379"/>
        <n v="167640000"/>
        <n v="1529205"/>
        <n v="2436225"/>
        <n v="-207000"/>
        <n v="-144000"/>
        <n v="-189510275"/>
        <n v="-173000"/>
        <n v="-1185000"/>
        <n v="-500490"/>
        <n v="-6604500"/>
        <n v="-218532"/>
        <n v="-226000"/>
        <n v="-125708"/>
        <n v="-160400"/>
        <n v="-649000"/>
        <n v="-644112"/>
        <n v="-230000"/>
        <n v="-1136538"/>
        <n v="-1485000"/>
        <n v="-751000"/>
        <n v="-868500"/>
        <n v="-166000"/>
        <n v="-1426333"/>
        <n v="-868760"/>
        <n v="-231433"/>
        <n v="-189000"/>
        <n v="-315000"/>
        <n v="-396000"/>
        <n v="-1215228"/>
        <n v="-1701747"/>
        <n v="-8000000"/>
        <n v="-328149"/>
        <n v="-1780000"/>
        <n v="-1568000"/>
        <n v="-381160"/>
        <n v="-20516000"/>
        <n v="-510150"/>
        <n v="-560000"/>
        <n v="-97000"/>
        <n v="-52434"/>
        <n v="-20300"/>
        <n v="-167623"/>
        <n v="-20700"/>
        <n v="-36518"/>
        <n v="-55966"/>
        <n v="-405300"/>
        <n v="-55870"/>
        <n v="-19800"/>
        <n v="-116590"/>
        <n v="-8600"/>
        <n v="-61154"/>
        <n v="-5500"/>
        <n v="-11600"/>
        <n v="-2550"/>
        <n v="-67378"/>
        <n v="-103000"/>
        <n v="-99600"/>
        <n v="-94232"/>
        <n v="-6971250"/>
        <n v="-228500"/>
        <n v="402650"/>
        <n v="2899487"/>
        <n v="-868759"/>
        <n v="-24996000"/>
        <n v="-4663927"/>
        <n v="-2975000"/>
        <n v="-62940"/>
        <n v="-73000"/>
        <n v="-67000"/>
        <n v="-148000"/>
        <n v="-37700"/>
        <n v="-1700"/>
        <n v="-72700"/>
        <n v="-145500"/>
        <n v="-119126"/>
        <n v="-6720"/>
        <n v="-17500"/>
        <n v="-900"/>
        <n v="-200000"/>
        <n v="-41000"/>
        <n v="-9500"/>
        <n v="-123026.55"/>
        <n v="-149940"/>
        <n v="-11500"/>
        <n v="-40100"/>
        <n v="4141955"/>
        <n v="1164220"/>
        <n v="2603134"/>
        <n v="-117400"/>
        <n v="-2250594"/>
        <n v="-3497368"/>
        <n v="-239784"/>
        <n v="-1513561"/>
        <n v="-4024000"/>
        <n v="-1265000"/>
        <n v="-2010000"/>
        <n v="-3891728"/>
        <n v="-427610"/>
        <n v="-2855060"/>
        <n v="-762496"/>
        <n v="-883766"/>
        <n v="-46000"/>
        <n v="-126000"/>
        <n v="-248000"/>
        <n v="-62500"/>
        <n v="-154000"/>
        <n v="-287000"/>
        <n v="-123000"/>
        <n v="-728308"/>
        <n v="-8654643"/>
        <n v="-362133"/>
        <n v="-3500000"/>
        <n v="2345772"/>
        <n v="-39378.21"/>
        <n v="-1087112.9099999999"/>
        <n v="-76800"/>
        <n v="-13500"/>
        <n v="-76200"/>
        <n v="-42700"/>
        <n v="-78000"/>
        <n v="-137000"/>
        <n v="-16700"/>
        <n v="-2400"/>
        <n v="-24690"/>
        <n v="-21600"/>
        <n v="-5952"/>
        <n v="-130322"/>
        <n v="-17100"/>
        <n v="-78624"/>
        <n v="-249200"/>
        <n v="-13600"/>
        <n v="-7800"/>
        <n v="-3600"/>
        <n v="-450000"/>
        <n v="-2822177"/>
        <n v="-1125284.6399999999"/>
        <n v="-2216988.52"/>
        <n v="-18301140"/>
        <n v="-13890000"/>
        <n v="-38604028"/>
        <n v="-183275"/>
        <n v="-4462500"/>
        <n v="-379856"/>
        <n v="-1770000"/>
        <n v="-427865"/>
        <n v="-752000"/>
        <n v="-1920384.48"/>
        <n v="-685400"/>
        <n v="-372023"/>
        <n v="-377960"/>
        <n v="-43927669"/>
        <n v="-243109"/>
        <n v="-808891"/>
        <n v="-577152.26"/>
        <n v="-1825000"/>
        <n v="-1218984"/>
        <n v="-75500000"/>
        <n v="-1505200"/>
        <n v="-1360000"/>
        <n v="-5400000"/>
        <n v="-225109"/>
        <n v="-512440"/>
        <n v="-1286390"/>
        <n v="-13499000"/>
        <n v="-2510674"/>
        <n v="-855847.74"/>
        <n v="-1024326"/>
        <n v="-237700"/>
        <n v="-698820"/>
        <n v="-104618"/>
        <n v="-178500"/>
        <n v="4266072.62"/>
        <n v="-478266"/>
        <n v="-46866"/>
        <n v="-96066"/>
        <n v="-17466"/>
        <n v="-20366"/>
        <n v="-16566"/>
        <n v="-17800"/>
        <n v="-200600"/>
        <n v="-25592"/>
        <n v="-28664"/>
        <n v="-175000"/>
        <n v="-43500"/>
        <n v="-20514"/>
        <n v="-30110"/>
        <n v="-95540"/>
        <n v="-27352"/>
        <n v="-59949"/>
        <n v="-57000"/>
        <n v="-6508"/>
        <n v="-3500"/>
        <n v="-8800"/>
        <n v="-356200"/>
        <n v="-482300"/>
        <n v="518310"/>
        <n v="-47900"/>
        <n v="-59000"/>
        <n v="-342000"/>
        <n v="-179600"/>
        <n v="-16150"/>
        <n v="-55600"/>
        <n v="-32066"/>
        <n v="-140300"/>
        <n v="-82990"/>
        <n v="-1800"/>
        <n v="1183242"/>
        <n v="-27026840"/>
        <n v="-1826650"/>
        <n v="-420000"/>
        <n v="-6523881"/>
        <n v="-737220"/>
        <n v="-491480"/>
        <n v="-396864"/>
        <n v="-264576"/>
        <n v="-450804"/>
        <n v="-150268"/>
        <n v="-3055816"/>
        <n v="-340000"/>
        <n v="-3387000"/>
        <n v="-12260027"/>
        <n v="-41161595"/>
        <n v="-7979.28"/>
        <n v="-153319"/>
        <n v="-7954.1"/>
        <n v="-35335034"/>
        <n v="-2496267"/>
        <n v="-476500"/>
        <n v="-268000"/>
        <n v="-890000"/>
        <n v="-299051"/>
        <n v="-1984500"/>
        <n v="-9446390"/>
        <n v="-28178898"/>
        <n v="-29604500"/>
        <n v="-247432"/>
        <n v="1765834"/>
        <n v="-446250"/>
        <n v="-3300"/>
        <n v="-761639.14893617015"/>
        <n v="-419544"/>
        <n v="-279696"/>
        <n v="-454044"/>
        <n v="-151348.092"/>
        <n v="-151348.18400000001"/>
        <n v="-665727.19148936169"/>
        <n v="-415304.00000000006"/>
        <n v="-293770.62"/>
        <n v="-293858.76"/>
        <n v="-162519.14893617021"/>
        <n v="-325920"/>
        <n v="-217280"/>
        <n v="-271600"/>
        <n v="-481000"/>
        <n v="-453840.00000000006"/>
        <n v="-253493.3333333334"/>
        <n v="-704446.80851063831"/>
        <n v="-1099361.7021276597"/>
        <n v="-691723.40425531904"/>
        <n v="-362133.33333333337"/>
        <n v="-622956"/>
        <n v="-522231.97872340435"/>
        <n v="-400920"/>
        <n v="-133640"/>
        <n v="-178171.91489361704"/>
        <n v="-404160"/>
        <n v="-269440"/>
        <n v="-938306.16"/>
        <n v="-938587.68000000017"/>
        <n v="-953531.91489361692"/>
        <n v="-901830.80000000016"/>
        <n v="-820584.6"/>
        <n v="-5000000"/>
        <n v="-921723.40425531915"/>
        <n v="-875723.40425531915"/>
        <n v="-882085.10638297873"/>
        <n v="-134720"/>
        <n v="-293865.95744680846"/>
        <n v="-2708995.54"/>
        <n v="-778828.36879432632"/>
        <n v="-422500"/>
        <n v="-1288627.2340425532"/>
        <n v="-600600"/>
        <n v="-800800"/>
        <n v="-520000"/>
        <n v="-346666.66666666674"/>
        <n v="-638924"/>
        <n v="-425949.33333333337"/>
        <n v="-829723.40425531915"/>
        <n v="-836085.10638297873"/>
        <n v="-822628.36879432632"/>
        <n v="-828990.07092198578"/>
        <n v="-4620000"/>
        <n v="-6945000"/>
        <n v="-349109"/>
        <n v="-9085253"/>
        <n v="-350000"/>
        <n v="2216076"/>
        <n v="3631581"/>
        <n v="2900000"/>
        <n v="1192336"/>
        <n v="2065524"/>
        <n v="8242290"/>
        <n v="-48532919.259999998"/>
        <n v="-3692722.12"/>
        <n v="-3956487.98"/>
        <n v="-24266459.629999999"/>
        <n v="177219900"/>
        <n v="-86500"/>
        <n v="-84800"/>
        <n v="-28100"/>
        <n v="-142000"/>
        <n v="-3200"/>
        <n v="-607000"/>
        <n v="-34200"/>
        <n v="-627040"/>
        <n v="-47000"/>
        <n v="-110754"/>
        <n v="-17910"/>
        <n v="-26400"/>
        <n v="-260000"/>
        <n v="-440000"/>
        <n v="-541200"/>
        <n v="800000"/>
        <n v="-88600"/>
        <n v="-124500"/>
        <n v="-73966"/>
        <n v="-507103"/>
        <n v="-66255578"/>
        <n v="-775000"/>
        <n v="-375000"/>
        <n v="-740000"/>
        <n v="-193300"/>
        <n v="-7524000"/>
        <n v="-3006000"/>
        <n v="-144658"/>
        <n v="-833000"/>
        <n v="-922875"/>
        <n v="-725000"/>
        <n v="-1732534"/>
        <n v="-408000"/>
        <n v="-875000"/>
        <n v="-19549783"/>
        <n v="-919700"/>
        <n v="-3603600"/>
        <n v="-36400"/>
        <n v="-1190000"/>
        <n v="-166083"/>
        <n v="-1093500"/>
        <n v="-1561009"/>
        <n v="-2643099"/>
        <n v="4308741"/>
        <n v="-12514.57"/>
        <n v="-19983.45"/>
        <n v="-8330"/>
        <n v="-30128.3"/>
        <n v="-114900"/>
        <n v="-86393"/>
        <n v="2281754"/>
        <n v="459135"/>
        <n v="-28953022"/>
        <n v="-4174000"/>
        <n v="-29993.919999999998"/>
        <n v="-156639.26"/>
        <n v="-386000"/>
        <n v="-50044.76"/>
        <n v="-950000"/>
        <n v="4282790"/>
        <n v="-14181000"/>
        <n v="-425000"/>
        <n v="-2713000"/>
        <n v="-8316000"/>
        <n v="-84000"/>
        <n v="-215000"/>
        <n v="-58590"/>
        <n v="-119310"/>
        <n v="-399920"/>
        <n v="-1603724"/>
        <n v="-2768620"/>
        <n v="-120001"/>
        <n v="-1393800"/>
        <n v="-934800"/>
        <n v="-38288"/>
        <n v="-61000"/>
        <n v="-16200"/>
        <n v="-12200"/>
        <n v="-143000"/>
        <n v="-691600"/>
        <n v="-236656"/>
        <n v="-320000"/>
        <n v="-54200"/>
        <n v="-7892"/>
        <n v="-22430"/>
        <n v="-4600"/>
        <n v="-1159200"/>
        <n v="-4400"/>
        <n v="-3599"/>
        <n v="-69390"/>
        <n v="-83400"/>
        <n v="-196599"/>
        <n v="-5700"/>
        <n v="-190"/>
        <n v="-462600"/>
        <n v="-19400"/>
        <n v="-186800"/>
        <n v="220600"/>
        <n v="-85800"/>
        <n v="-61750"/>
        <n v="3572731"/>
        <n v="13228108"/>
        <n v="4215046"/>
        <n v="1921993"/>
        <n v="-119617.33"/>
        <n v="-180102.89361702127"/>
        <n v="-605392"/>
        <n v="-259565"/>
        <n v="-281131.17021276592"/>
        <n v="-163996.08510638296"/>
        <n v="-550752"/>
        <n v="-800400"/>
        <n v="-792683.6170212765"/>
        <n v="-568646.80851063831"/>
        <n v="-297046.80851063825"/>
        <n v="-380240.00000000006"/>
        <n v="-487500"/>
        <n v="-200000.00000000003"/>
        <n v="-6553800"/>
        <n v="-780200"/>
        <n v="-3735000"/>
        <n v="-522200"/>
        <n v="-24627"/>
        <n v="-4261341"/>
        <n v="-3950703.82"/>
        <n v="-559336"/>
        <n v="-402328"/>
        <n v="-1180000"/>
        <n v="-354000"/>
        <n v="-4939200"/>
        <n v="-210700"/>
        <n v="-2291200"/>
        <n v="-1236100"/>
        <n v="-7584000"/>
        <n v="-1894400"/>
        <n v="-1945200"/>
        <n v="-268100"/>
        <n v="-213500"/>
        <n v="-470680"/>
        <n v="-898170"/>
        <n v="-1925624"/>
        <n v="-468494"/>
        <n v="-1250000"/>
        <n v="-21660000"/>
        <n v="-6013308"/>
        <n v="-666346"/>
        <n v="-161840"/>
        <n v="-3950"/>
        <n v="-39500"/>
        <n v="-5400"/>
        <n v="-9800"/>
        <n v="-40233"/>
        <n v="-195000"/>
        <n v="-62400"/>
        <n v="-32700"/>
        <n v="-103400"/>
        <n v="30000"/>
        <n v="-1440"/>
        <n v="-2900"/>
        <n v="-24900"/>
        <n v="-8200"/>
        <n v="-89160"/>
        <n v="-9078"/>
        <n v="-109000"/>
        <n v="-60800"/>
        <n v="-39400"/>
        <n v="-29980"/>
        <n v="1251701"/>
        <n v="2637318"/>
        <n v="65000000"/>
        <n v="-413020"/>
        <n v="-146200"/>
        <n v="-773500"/>
        <n v="-983980"/>
        <n v="-208500"/>
        <n v="-129380"/>
        <n v="-38514.21"/>
        <n v="-1076251.8899999999"/>
        <n v="133813567"/>
        <n v="2266794"/>
        <n v="2564439"/>
        <n v="3035964"/>
        <n v="-75024.687000000005"/>
        <n v="-2612288"/>
        <n v="-6677328"/>
        <n v="-1089683"/>
        <n v="-423878"/>
        <n v="-4486300"/>
        <n v="-856800"/>
        <n v="-844900"/>
        <n v="-195755"/>
        <n v="-761600"/>
        <n v="-7920000"/>
        <n v="-2344300"/>
        <n v="-25091031"/>
        <n v="-12475579"/>
        <n v="-3534300"/>
        <n v="-11499925"/>
        <n v="-743572"/>
        <n v="-296402"/>
        <n v="-1521196"/>
        <n v="-1057551"/>
        <n v="-1287321"/>
        <n v="-2164015"/>
        <n v="-450320"/>
        <n v="-268048"/>
        <n v="2356410"/>
        <n v="-726552"/>
        <n v="-15119637"/>
        <n v="-313184"/>
        <n v="-1071252"/>
        <n v="-254791"/>
        <n v="-4041240"/>
        <n v="-6288611"/>
        <n v="-5786041"/>
        <n v="-17852768"/>
        <n v="-682183"/>
        <n v="-1305359"/>
        <n v="-1644223"/>
        <n v="-549185"/>
        <n v="2707911"/>
        <n v="-44852"/>
        <n v="-47301"/>
        <n v="-700302"/>
        <n v="-376664"/>
        <n v="-2626635"/>
        <n v="-3051047"/>
        <n v="319872"/>
        <n v="30200"/>
        <n v="-3484500"/>
        <n v="-333529"/>
        <n v="-980567"/>
        <n v="-479804"/>
        <n v="-2967000"/>
        <n v="-1491321"/>
        <n v="-1890"/>
        <n v="-103200"/>
        <n v="-667000"/>
        <n v="-254800"/>
        <n v="-735192"/>
        <n v="-2472500"/>
        <n v="-24418917"/>
        <n v="-1782000"/>
        <n v="-8984482"/>
        <n v="-327400"/>
        <n v="-252380"/>
        <n v="-1677798"/>
        <n v="-3528400"/>
        <n v="-903915"/>
        <n v="-770000"/>
        <n v="-940500"/>
        <n v="-2491060"/>
        <n v="-2210"/>
        <n v="-1326"/>
        <n v="-1858"/>
        <n v="-2885"/>
        <n v="-4433"/>
        <n v="-14355"/>
        <n v="-59811"/>
        <n v="-60928"/>
        <n v="-27100"/>
        <n v="-50400"/>
        <n v="-57500"/>
        <n v="-87000"/>
        <n v="-46608"/>
        <n v="-94400"/>
        <n v="-55400"/>
        <n v="-26800"/>
        <n v="-111960"/>
        <n v="-98000"/>
        <n v="-95200"/>
        <n v="-118464"/>
        <n v="-3700"/>
        <n v="-57882"/>
        <n v="-47630"/>
        <n v="-159000"/>
        <n v="-36726"/>
        <n v="-230800"/>
        <n v="-142980"/>
        <n v="-170500"/>
        <n v="-108900"/>
        <n v="-47600"/>
        <n v="-452000"/>
        <n v="-107500"/>
        <n v="-12750"/>
        <n v="-152000"/>
        <n v="-490000"/>
        <n v="-529000"/>
        <n v="-1753875"/>
        <n v="-2772834"/>
        <n v="-1495328.7234042552"/>
        <n v="-151348"/>
        <n v="-1077717.2340425532"/>
        <n v="-618240"/>
        <n v="-816600"/>
        <n v="-697339.99999999988"/>
        <n v="-174810"/>
        <n v="-489468"/>
        <n v="-34962"/>
        <n v="-169750"/>
        <n v="-33950"/>
        <n v="-703800"/>
        <n v="-281520"/>
        <n v="-422280"/>
        <n v="-2458164"/>
        <n v="-615500"/>
        <n v="-246200"/>
        <n v="-369300"/>
        <n v="-915361.70212765958"/>
        <n v="-863000"/>
        <n v="-869361.70212765958"/>
        <n v="-645050"/>
        <n v="-61941.489361702137"/>
        <n v="-461500"/>
        <n v="-934446.80851063831"/>
        <n v="-1308994.4680851065"/>
        <n v="-667333.33333333337"/>
        <n v="-500000.00000000006"/>
        <n v="-860090"/>
        <n v="-307175"/>
        <n v="-61435"/>
        <n v="-1017288"/>
        <n v="-4864686"/>
        <n v="-8200000"/>
        <n v="553838"/>
        <n v="2408486"/>
        <n v="-43835"/>
        <n v="-40400"/>
        <n v="-11900"/>
        <n v="-24600"/>
        <n v="-9940.9699999999993"/>
        <n v="-17647.150000000001"/>
        <n v="-53600"/>
        <n v="-61600"/>
        <n v="-21400"/>
        <n v="-1329265"/>
        <n v="-722515"/>
        <n v="-235372"/>
        <n v="-700729"/>
        <n v="-202950"/>
        <n v="-756798"/>
        <n v="-11654489"/>
        <n v="-6004800"/>
        <n v="-512847"/>
        <n v="-236505"/>
        <n v="-3681032"/>
        <n v="-6893326"/>
        <n v="-699000"/>
        <n v="-730000"/>
        <n v="-3786375"/>
        <n v="111760852"/>
        <n v="-23299"/>
        <n v="-126300"/>
        <n v="-82500"/>
        <n v="-137700"/>
        <n v="-12100"/>
        <n v="-155430"/>
        <n v="-1474159"/>
        <n v="-84490"/>
        <n v="-821923"/>
        <n v="-3001437"/>
        <n v="-215069"/>
        <n v="-219450"/>
        <n v="-1473553"/>
        <n v="-4100000"/>
        <n v="-1512000"/>
        <n v="-1151279"/>
        <n v="-244000"/>
        <n v="-5362939"/>
        <n v="14400000"/>
        <n v="3905375"/>
        <n v="400000000"/>
        <n v="-237400"/>
        <n v="-289600"/>
        <n v="-94968"/>
        <n v="-3145"/>
        <n v="-1887"/>
        <n v="-94000"/>
        <n v="-70700"/>
        <n v="-204000"/>
        <n v="-525384"/>
        <n v="-8510"/>
        <n v="-5106"/>
        <n v="20000"/>
        <n v="-45900"/>
        <n v="-15200"/>
        <n v="-59600"/>
        <n v="-73336"/>
        <n v="-35700"/>
        <n v="-148148"/>
        <n v="-51000"/>
        <n v="-89328"/>
        <n v="-2920"/>
        <n v="-1752"/>
        <n v="-108864"/>
        <n v="-1960"/>
        <n v="-1176"/>
        <n v="8000"/>
        <n v="-178200"/>
        <n v="-28300"/>
        <n v="-8400"/>
        <n v="-88550"/>
        <n v="-16925"/>
        <n v="-168000"/>
        <n v="-89000"/>
        <n v="-41495"/>
        <n v="-58300"/>
        <n v="-54000"/>
        <n v="-8320"/>
        <n v="-20400"/>
        <n v="-81300"/>
        <n v="-105992"/>
        <n v="-192000"/>
        <n v="-77000"/>
        <n v="-7710"/>
        <n v="-133700"/>
        <n v="-27900"/>
        <n v="-48650"/>
        <n v="-4800"/>
        <n v="-295200"/>
        <n v="-3773056"/>
        <n v="-328941.2"/>
        <n v="-16418"/>
        <n v="-1024856"/>
        <n v="-96435"/>
        <n v="-2702861"/>
        <n v="-800000"/>
        <n v="-610000"/>
        <n v="-2233645"/>
        <n v="-2608992"/>
        <n v="-1362599"/>
        <n v="-153569"/>
        <n v="-308800"/>
        <n v="-1236250"/>
        <n v="-539000"/>
        <n v="-428300"/>
        <n v="-3031"/>
        <n v="-348591"/>
        <n v="-124060"/>
        <n v="-235000"/>
        <n v="-1891400"/>
        <n v="-895070"/>
        <n v="-3106724"/>
        <n v="-881527"/>
        <n v="-210500"/>
        <n v="-392447"/>
        <n v="-4320000"/>
        <n v="-205200"/>
        <n v="-1298562"/>
        <n v="-1018611"/>
        <n v="-1325738"/>
        <n v="-918606"/>
        <n v="-1155111"/>
        <n v="-364545"/>
        <n v="-1428000"/>
        <n v="-628800"/>
        <n v="-32092599"/>
        <n v="-1048920"/>
        <n v="-1136573"/>
        <n v="-1205464"/>
        <n v="-1063472"/>
        <n v="-1017053"/>
        <n v="-1800758"/>
        <n v="-601962"/>
        <n v="-1040730"/>
        <n v="-1005464"/>
        <n v="-1004887"/>
        <n v="-1291624"/>
        <n v="-1761097"/>
        <n v="-1366195"/>
        <n v="-738889"/>
        <n v="-1080689"/>
        <n v="-601692"/>
        <n v="-4224000"/>
        <n v="-1339037"/>
        <n v="-606368"/>
        <n v="-2909320"/>
        <n v="-1596543"/>
        <n v="-19437102"/>
        <n v="-99999.27"/>
        <n v="-184220"/>
        <n v="-60200"/>
        <n v="-209820"/>
        <n v="188391682"/>
        <n v="1281152"/>
        <n v="-50848"/>
        <n v="-1970"/>
        <n v="-1182"/>
        <n v="-133184"/>
        <n v="-1806"/>
        <n v="-3010"/>
        <n v="-24928"/>
        <n v="-1920"/>
        <n v="-1152"/>
        <n v="-320100"/>
        <n v="-59100"/>
        <n v="-34100"/>
        <n v="-28500"/>
        <n v="-42500"/>
        <n v="-141266"/>
        <n v="-50700"/>
        <n v="-31600"/>
        <n v="-380644"/>
        <n v="-336890"/>
        <n v="-689844"/>
        <n v="-429000"/>
        <n v="-525000"/>
        <n v="-779000"/>
        <n v="-3710250"/>
        <n v="-1563394.1800000002"/>
        <n v="-2603138.8199999998"/>
        <n v="-1045079.43"/>
        <n v="-2908949"/>
        <n v="-2242500"/>
        <n v="-15046360"/>
        <n v="-1065000"/>
        <n v="-980000"/>
        <n v="-63800"/>
        <n v="-12797275"/>
        <n v="-225000"/>
        <n v="-570000"/>
        <n v="-1907968"/>
        <n v="-1079330"/>
        <n v="-685500"/>
        <n v="-3058704"/>
        <n v="-6894305.0000000009"/>
        <n v="-3133775"/>
        <n v="-2507020"/>
        <n v="-7355500"/>
        <n v="-3677750"/>
        <n v="-2574425"/>
        <n v="-1103325"/>
        <n v="-403209"/>
        <n v="-3252200"/>
        <n v="-1190814"/>
        <n v="-2591586.4700000002"/>
        <n v="-298750"/>
        <n v="-1591200"/>
        <n v="-1188000"/>
        <n v="-19302014"/>
        <n v="-234700"/>
        <n v="-245500"/>
        <n v="2298528"/>
        <n v="3634520"/>
        <n v="1230913"/>
        <n v="15960427.289999999"/>
        <n v="-2915565.3"/>
        <n v="-1943710.2000000002"/>
        <n v="-4859275.5"/>
        <n v="-9897800"/>
        <n v="4289101"/>
        <n v="2381490"/>
        <n v="-90580"/>
        <n v="2716066.44"/>
        <n v="-34600"/>
        <n v="-36500"/>
        <n v="-68090"/>
        <n v="-41223.79"/>
        <n v="-1199550.8600000001"/>
        <n v="-632900"/>
        <n v="-84400"/>
        <n v="-50800"/>
        <n v="-74000"/>
        <n v="-129694.42"/>
        <n v="-11599"/>
        <n v="-33500"/>
        <n v="-40500"/>
        <n v="-25833"/>
        <n v="-32800"/>
        <n v="-9963"/>
        <n v="-122322"/>
        <n v="-41500"/>
        <n v="-37316"/>
        <n v="-188400"/>
        <n v="-14600"/>
        <n v="-74962"/>
        <n v="129794721.83876953"/>
        <n v="135295869.36123046"/>
        <n v="-2360000"/>
        <n v="-309400"/>
        <n v="-2287894"/>
        <n v="-928200"/>
        <n v="-3367700"/>
        <n v="-16290000"/>
        <n v="-23009364"/>
        <n v="-1606500"/>
        <n v="-189924"/>
        <n v="-9782574"/>
        <n v="-2118200"/>
        <n v="-83300"/>
        <n v="-213010"/>
        <n v="79675550"/>
        <n v="-208250"/>
        <n v="-4081105"/>
        <n v="-3511690"/>
        <n v="-220310839"/>
        <n v="-127400669"/>
        <n v="5731480"/>
        <n v="-59770258"/>
        <n v="-73766"/>
        <n v="-54999"/>
        <n v="-127567"/>
        <n v="-73600"/>
        <n v="-103700"/>
        <n v="-148100"/>
        <n v="-21527"/>
        <n v="-19099"/>
        <n v="-48800"/>
        <n v="-5800"/>
        <n v="-97500"/>
        <n v="-71000"/>
        <n v="-56666"/>
        <n v="-56668"/>
        <n v="-24832"/>
        <n v="-1188"/>
        <n v="-115472"/>
        <n v="-2830"/>
        <n v="-1698"/>
        <n v="-8100"/>
        <n v="-336900"/>
        <n v="-271490"/>
        <n v="-2559328"/>
        <n v="-2808000"/>
        <n v="-4576000"/>
        <n v="-2574596"/>
        <n v="-40900"/>
        <n v="-41100"/>
        <n v="-4494570"/>
        <n v="-357000"/>
        <n v="-896329"/>
        <n v="-685362"/>
        <n v="-8400000"/>
        <n v="-2717280"/>
        <n v="-383600"/>
        <n v="-7665962"/>
        <n v="-1240910"/>
        <n v="-691723"/>
        <n v="-698085"/>
        <n v="-1078994"/>
        <n v="-1301957"/>
        <n v="-2548600"/>
        <n v="-1097325"/>
        <n v="-938400"/>
        <n v="-1228300"/>
        <n v="-705719"/>
        <n v="-569919"/>
        <n v="-715898"/>
        <n v="-1883920"/>
        <n v="-665533.33333333337"/>
        <n v="4730234"/>
        <n v="2070580"/>
        <n v="830270"/>
        <n v="3017845"/>
        <n v="492966"/>
        <n v="1102234"/>
        <n v="1294000"/>
        <n v="679000"/>
        <n v="698085"/>
        <n v="-666680"/>
        <n v="-291300"/>
        <n v="-9522"/>
        <n v="-49814"/>
        <n v="-150042"/>
        <n v="-5300"/>
        <n v="15500"/>
        <n v="-24900000"/>
        <n v="-9680000"/>
        <n v="9680773"/>
        <n v="-6085975"/>
        <n v="-17896"/>
        <n v="-1940"/>
        <n v="-1164"/>
        <n v="-2100"/>
        <n v="-41064"/>
        <n v="-2460"/>
        <n v="-1476"/>
        <n v="-11160"/>
        <n v="-63966"/>
        <n v="-17580"/>
        <n v="-144500"/>
        <n v="-118000"/>
        <n v="-6776"/>
        <n v="-46999"/>
        <n v="-33799"/>
        <n v="-128500"/>
        <n v="-74999"/>
        <n v="-79000"/>
        <n v="-247500"/>
        <n v="-73500"/>
        <n v="-16698"/>
        <n v="-427500"/>
        <n v="-5688361"/>
        <n v="-1003884"/>
        <n v="-4329000"/>
        <n v="-2496232"/>
        <n v="-259004"/>
        <n v="-1706487"/>
        <n v="-1370727"/>
        <n v="-1175417"/>
        <n v="-3125179"/>
        <n v="-1708222"/>
        <n v="-633131"/>
        <n v="-389610"/>
        <n v="-1028538"/>
        <n v="-746218"/>
        <n v="-1296522"/>
        <n v="-230400"/>
        <n v="-4650656"/>
        <n v="-255050"/>
        <n v="-658268.81000000006"/>
        <n v="-4100"/>
        <n v="-2663114.62"/>
        <n v="5800"/>
        <n v="-37200"/>
        <n v="-12600.19"/>
        <n v="-18399.189999999999"/>
        <n v="-30799.19"/>
        <n v="-59999.19"/>
        <n v="-21200"/>
        <n v="-6999"/>
        <n v="-27705"/>
        <n v="-80300.19"/>
        <n v="-71100"/>
        <n v="-181100"/>
        <n v="-15204"/>
        <n v="-384500"/>
        <n v="-79066"/>
        <n v="-19913098"/>
        <n v="887687"/>
        <n v="-225431"/>
        <n v="-141000"/>
        <n v="-153016"/>
        <n v="-46042"/>
        <n v="-59500"/>
        <n v="-286000"/>
        <n v="-141500"/>
        <n v="-54500"/>
        <n v="-29500"/>
        <n v="-160500"/>
        <n v="-684000"/>
        <n v="-175095"/>
        <n v="-36600"/>
        <n v="11401934"/>
        <n v="-74850"/>
        <n v="-18200"/>
        <n v="-7600"/>
        <n v="-111000"/>
        <n v="-250920"/>
        <n v="-3780"/>
        <n v="-330218"/>
        <n v="-58943"/>
        <n v="-64915"/>
        <n v="-378000"/>
        <n v="-368000"/>
        <n v="-40610"/>
        <n v="-12272"/>
        <n v="-96000"/>
        <n v="-188174"/>
        <n v="-40799"/>
        <n v="-14399"/>
        <n v="-60616"/>
        <n v="-124018"/>
        <n v="-14031360"/>
        <n v="-385765"/>
        <n v="-620000"/>
        <n v="-5040327"/>
        <n v="-606998"/>
        <n v="-6319770"/>
        <n v="-1700000"/>
        <n v="-4085150"/>
        <n v="-209200"/>
        <n v="-382210"/>
        <n v="-295000"/>
        <n v="-629888"/>
        <n v="-1096000"/>
        <n v="-1743309"/>
        <n v="-279110"/>
        <n v="-2585950"/>
        <n v="-4262041"/>
        <n v="-8047059"/>
        <n v="-2440718"/>
        <n v="-96001"/>
        <n v="-1350000"/>
        <n v="-2188867"/>
        <n v="-136630"/>
        <n v="-435650"/>
        <n v="-978180"/>
        <n v="-1728000"/>
        <n v="-655531"/>
        <n v="-1153100"/>
        <n v="-101490"/>
        <n v="-336448"/>
        <n v="-278698"/>
        <n v="-293800"/>
        <n v="-233080"/>
        <n v="-719715"/>
        <n v="-606667"/>
        <n v="-843719"/>
        <n v="-252247"/>
        <n v="-252246"/>
        <n v="-780000"/>
        <n v="-1126596"/>
        <n v="-390000"/>
        <n v="36000000"/>
        <n v="6622641"/>
        <n v="-675282"/>
        <n v="-37400"/>
        <n v="-72178"/>
        <n v="-55661000"/>
        <n v="1227000"/>
        <n v="438000"/>
        <n v="-226333"/>
        <n v="-226334"/>
        <n v="-224434"/>
        <n v="467701"/>
        <n v="-9354240"/>
        <n v="-192400"/>
        <n v="-15400"/>
        <n v="-121700"/>
        <n v="-43800"/>
        <n v="14600"/>
        <n v="-38944"/>
        <n v="-1910"/>
        <n v="-1146"/>
        <n v="-102000"/>
        <n v="-262712"/>
        <n v="-7680"/>
        <n v="-4608"/>
        <n v="-25001"/>
        <n v="-165000"/>
        <n v="-31800"/>
        <n v="-38880"/>
        <n v="-5100"/>
        <n v="-253250"/>
        <n v="-31200"/>
        <n v="-79271"/>
        <n v="-11999"/>
        <n v="-836400"/>
        <n v="-3416766"/>
        <n v="-217400"/>
        <n v="-478900"/>
        <n v="-4287510"/>
        <n v="-6229500"/>
        <n v="-26001210"/>
        <n v="-1143450"/>
        <n v="-146424"/>
        <n v="-527000"/>
        <n v="-3060000"/>
        <n v="-24294"/>
        <n v="-76461427"/>
        <n v="-285386"/>
        <n v="-1230000"/>
        <n v="-4049540"/>
        <n v="-6500000"/>
        <n v="-6372000"/>
        <n v="-26227768"/>
        <n v="-4200"/>
        <n v="-613760"/>
        <n v="-1258518"/>
        <n v="-1078730"/>
        <n v="-591430"/>
        <n v="244812011.71875"/>
        <n v="255187988.28125"/>
        <n v="-11111111"/>
        <n v="-176166643"/>
        <n v="318255615.234375"/>
        <n v="331744384.765625"/>
        <n v="3670191"/>
        <n v="399606"/>
        <n v="-150829"/>
        <n v="-124261"/>
        <n v="4640721"/>
        <n v="4410826"/>
        <n v="548506"/>
        <n v="71500"/>
        <n v="-15000.12"/>
        <n v="-11999.88"/>
        <n v="-11000.000016"/>
        <n v="-24999.999999999996"/>
        <n v="-11699.76"/>
        <n v="-586900"/>
        <n v="-2987996"/>
        <n v="-969398.14"/>
        <n v="-2603139"/>
        <n v="-76853261.790000007"/>
        <n v="-232000"/>
        <n v="-1404280"/>
        <n v="-1118224"/>
        <n v="-2053448"/>
        <n v="-6352459"/>
        <n v="-4409384"/>
        <n v="-32524623"/>
        <n v="-516499"/>
        <n v="-500"/>
        <n v="-41999"/>
        <n v="-39000"/>
        <n v="-29550"/>
        <n v="-112800"/>
        <n v="-169496"/>
        <n v="-4690"/>
        <n v="-2814"/>
        <n v="-107758"/>
        <n v="-77799"/>
        <n v="-41940"/>
        <n v="-9300"/>
        <n v="-12199"/>
        <n v="-710378"/>
        <n v="-605040"/>
        <n v="-605039"/>
        <n v="-467000"/>
        <n v="-884588"/>
        <n v="-529659"/>
        <n v="-1592000"/>
        <n v="-217082"/>
        <n v="-710830"/>
        <n v="-315336"/>
        <n v="-1022551"/>
        <n v="-156509"/>
        <n v="-439000"/>
        <n v="-18423529"/>
        <n v="-758688"/>
        <n v="-365960"/>
        <n v="2214669"/>
        <n v="1273943"/>
        <n v="2000000"/>
        <n v="1000000"/>
        <n v="2101074"/>
        <n v="2981513"/>
        <n v="-76499"/>
        <n v="-40569.129999999997"/>
        <n v="-1284216"/>
        <n v="-135546"/>
        <n v="-324000"/>
        <n v="-223690"/>
        <n v="-310940"/>
        <n v="-374529"/>
        <n v="-3443907"/>
        <n v="-1958016"/>
        <n v="-351100"/>
        <n v="-196600"/>
        <n v="-85352"/>
        <n v="-93800"/>
        <n v="-38900"/>
        <n v="-5960"/>
        <n v="-128162"/>
        <n v="-29999"/>
        <n v="-18599"/>
        <n v="-473395"/>
        <n v="-2691887"/>
        <n v="-775166"/>
        <n v="-999799"/>
        <n v="-366766"/>
        <n v="-13854720"/>
        <n v="-801584"/>
        <n v="-1124000"/>
        <n v="-216800"/>
        <n v="-590400"/>
        <n v="-4832000"/>
        <n v="-277168"/>
        <n v="-2450000"/>
        <n v="-1518000"/>
        <n v="-2407524"/>
        <n v="-1915851"/>
        <n v="-62226792"/>
        <n v="-40493"/>
        <n v="-350039"/>
        <n v="-1269400"/>
        <n v="73443603.515625"/>
        <n v="76556396.484375"/>
        <n v="-330000000"/>
        <n v="145350000"/>
        <n v="-19300"/>
        <n v="-474140"/>
        <n v="-27800"/>
        <n v="-907180"/>
        <n v="-26576"/>
        <n v="-28423"/>
        <n v="-149980"/>
        <n v="-9920"/>
        <n v="-114000"/>
        <n v="-106168"/>
        <n v="-4270"/>
        <n v="-2562"/>
        <n v="7700"/>
        <n v="-11400"/>
        <n v="-126900"/>
        <n v="-189600"/>
        <n v="277168"/>
        <n v="-2029800"/>
        <n v="-1562000"/>
        <n v="-169300"/>
        <n v="-637500"/>
        <n v="-387200"/>
        <n v="-318900"/>
        <n v="-318800"/>
        <n v="-414400"/>
        <n v="-315800"/>
        <n v="-891500"/>
        <n v="-2051900"/>
        <n v="-947400"/>
        <n v="-614900"/>
        <n v="-750400"/>
        <n v="-1078600"/>
        <n v="-402500"/>
        <n v="-895100"/>
        <n v="-685600"/>
        <n v="-416500"/>
        <n v="-349000"/>
        <n v="-411700"/>
        <n v="-448200"/>
        <n v="-134600"/>
        <n v="-410100"/>
        <n v="-415500"/>
        <n v="-407000"/>
        <n v="-805500"/>
        <n v="-398300"/>
        <n v="-413300"/>
        <n v="-434300"/>
        <n v="-572000"/>
        <n v="-681100"/>
        <n v="-442600"/>
        <n v="-53900"/>
        <n v="-106400"/>
        <n v="-174500"/>
        <n v="-398400"/>
        <n v="-186400"/>
        <n v="-415200"/>
        <n v="-407100"/>
        <n v="-3680000.0000000005"/>
        <n v="-10434818"/>
        <n v="-1190900"/>
        <n v="-837240"/>
        <n v="-2862230.4"/>
        <n v="-1027460"/>
        <n v="-9054530"/>
        <n v="-252246.66666666672"/>
        <n v="-681200"/>
        <n v="-820666.66666666674"/>
        <n v="-4994330.8871999998"/>
        <n v="-817000"/>
        <n v="-4000000"/>
        <n v="-2002000"/>
        <n v="-619600"/>
        <n v="-538880"/>
        <n v="-226333.33333333331"/>
        <n v="-1313066.6666666665"/>
        <n v="-1315600"/>
        <n v="-316434.36"/>
        <n v="-334300"/>
        <n v="-17600"/>
        <n v="-501500"/>
        <n v="-1778770"/>
        <n v="-1233870"/>
        <n v="-678084"/>
        <n v="-721297"/>
        <n v="-22549368"/>
        <n v="-6265546"/>
        <n v="-1222400"/>
        <n v="-582365.46138940868"/>
        <n v="-166045"/>
        <n v="-756077.72893958318"/>
        <n v="-275742.80967100814"/>
        <n v="-3541672"/>
        <n v="-722800"/>
        <n v="-4387118"/>
        <n v="-554244"/>
        <n v="-181500"/>
        <n v="-58488"/>
        <n v="-7820"/>
        <n v="-4692"/>
        <n v="-59848"/>
        <n v="-92100"/>
        <n v="-783000"/>
        <n v="-420500"/>
        <n v="-51500"/>
        <n v="-90960"/>
        <n v="-39899"/>
        <n v="-56724"/>
        <n v="-75999"/>
        <n v="-24100"/>
        <n v="-40499"/>
        <n v="-4599"/>
        <n v="-646100"/>
        <n v="-374200"/>
        <n v="-629202"/>
        <n v="-864320"/>
        <n v="-64846302"/>
        <n v="-64846301"/>
        <n v="-434449"/>
        <n v="-7381000"/>
        <n v="-3999000"/>
        <n v="-8437813"/>
        <n v="-160021"/>
        <n v="-616990"/>
        <n v="-5559377"/>
        <n v="-790000"/>
        <n v="-1980000"/>
        <n v="-5438567"/>
        <n v="-284938"/>
        <n v="-596490"/>
        <n v="-4220826"/>
        <n v="-1093260"/>
        <n v="-2796720.98"/>
        <n v="-123400"/>
        <n v="-274040"/>
        <n v="-583508"/>
        <n v="-720000"/>
        <n v="-1836000"/>
        <n v="68411603"/>
        <n v="12858000"/>
        <n v="150713346"/>
        <n v="-149992.46"/>
        <n v="-81507.94"/>
        <n v="-463538"/>
        <n v="-45696"/>
        <n v="-27500"/>
        <n v="-22300"/>
        <n v="-89900"/>
        <n v="-128968"/>
        <n v="-139000"/>
        <n v="-5020"/>
        <n v="-3012"/>
        <n v="-84072"/>
        <n v="-1830"/>
        <n v="-1098"/>
        <n v="-17999"/>
        <n v="-6299"/>
        <n v="-2514"/>
        <n v="-59800"/>
        <n v="-49999"/>
        <n v="-167709"/>
        <n v="-182764"/>
        <n v="-26388"/>
        <n v="-51799"/>
        <n v="-4439"/>
        <n v="-58999"/>
        <n v="-11799"/>
        <n v="-54301"/>
        <n v="-5080"/>
        <n v="-94635"/>
        <n v="-17199"/>
        <n v="-4399"/>
        <n v="-24700"/>
        <n v="-600"/>
        <n v="-39900"/>
        <n v="-1479331"/>
        <n v="-2958661"/>
        <n v="-3698296"/>
        <n v="-1161500"/>
        <n v="-73482500"/>
        <n v="-4920000"/>
        <n v="-14672000"/>
        <n v="-2230200"/>
        <n v="-595707"/>
        <n v="-920000"/>
        <n v="-328941"/>
        <n v="-127000"/>
        <n v="-19784000"/>
        <n v="-549993"/>
        <n v="-5029571"/>
        <n v="-80894527"/>
        <n v="-4890000"/>
        <n v="-13300000"/>
        <n v="-2527000"/>
        <n v="465500"/>
        <n v="79800"/>
        <n v="3750000"/>
        <n v="-365095"/>
        <n v="-285877"/>
        <n v="-3691574.9118495439"/>
        <n v="-1719554.8897374396"/>
        <n v="-469846.19841301668"/>
        <n v="-201500"/>
        <n v="-100230"/>
        <n v="-9261907"/>
        <n v="-440650"/>
        <n v="-1395000"/>
        <n v="-771000"/>
        <n v="-31604600"/>
        <n v="8014729"/>
        <n v="-30040812"/>
        <n v="3401688"/>
        <n v="2048460"/>
        <n v="-618000"/>
        <n v="-1594600"/>
        <n v="-19488000"/>
        <n v="-10400000"/>
        <n v="-12248070"/>
        <n v="2325936"/>
        <n v="-38550"/>
        <n v="-96200"/>
        <n v="4374180.9400000004"/>
        <n v="1274110"/>
        <n v="98510000"/>
        <n v="414694"/>
        <n v="4393529"/>
        <n v="464000"/>
        <n v="2521679"/>
        <n v="771000"/>
        <n v="-133400"/>
        <n v="-50050"/>
        <n v="-33900"/>
        <n v="-16950"/>
        <n v="-56200"/>
        <n v="-46799"/>
        <n v="-9499"/>
        <n v="-171500"/>
        <n v="-18999"/>
        <n v="-7599"/>
        <n v="-4799"/>
        <n v="-104124"/>
        <n v="-25699"/>
        <n v="-76150"/>
        <n v="-130800"/>
        <n v="-45576"/>
        <n v="-2140"/>
        <n v="-1284"/>
        <n v="-337500"/>
        <n v="-2998127"/>
        <n v="-45876856"/>
        <n v="-885600"/>
        <n v="-410000"/>
        <n v="-660000"/>
        <n v="-1404000"/>
        <n v="-5940000"/>
        <n v="-696000"/>
        <n v="-1310760"/>
        <n v="-11119667"/>
        <n v="-1550000"/>
        <n v="-2260000"/>
        <n v="-675000"/>
        <n v="-1519362"/>
        <n v="-2710650"/>
        <n v="-52431610"/>
        <n v="-1170000"/>
        <n v="-1651600.3304181856"/>
        <n v="-316782.35519730538"/>
        <n v="-8745230.3143845089"/>
        <n v="-349900"/>
        <n v="-351476"/>
        <n v="2623442"/>
        <n v="1286104"/>
        <n v="2395313"/>
        <n v="1490000"/>
        <n v="1350005"/>
        <n v="443174"/>
        <n v="-957260.00000000012"/>
        <n v="-233126.61600000001"/>
        <n v="-233056.69199999998"/>
        <n v="-353858.76"/>
        <n v="-252297.11600000001"/>
        <n v="-252221.44199999998"/>
        <n v="-1063000"/>
        <n v="-909000"/>
        <n v="-476378.60000000003"/>
        <n v="-226310.69999999998"/>
        <n v="-719300"/>
        <n v="-452666.66666666669"/>
        <n v="-188504.36000000002"/>
        <n v="-188447.81999999998"/>
        <n v="-83334"/>
        <n v="-83333"/>
        <n v="-133334"/>
        <n v="-133333"/>
        <n v="-33334"/>
        <n v="-33333"/>
        <n v="-1238400"/>
        <n v="-3791200"/>
        <n v="-645500"/>
        <n v="-462700"/>
        <n v="-763100"/>
        <n v="-634800"/>
        <n v="-2679900"/>
        <n v="-138766"/>
        <n v="-138767"/>
        <n v="-399800"/>
        <n v="-148333"/>
        <n v="-148334"/>
        <n v="-504500"/>
        <n v="-744300"/>
        <n v="-1079000"/>
        <n v="-258000"/>
        <n v="-2719400"/>
        <n v="-396200"/>
        <n v="-411800"/>
        <n v="-619200"/>
        <n v="-897900"/>
        <n v="-644500"/>
        <n v="-620200"/>
        <n v="-390500"/>
        <n v="-772500"/>
        <n v="-383200"/>
        <n v="-345500"/>
        <n v="-416300"/>
        <n v="-398000"/>
        <n v="-1021700"/>
        <n v="-134166"/>
        <n v="-134167"/>
        <n v="-327200"/>
        <n v="-413100"/>
        <n v="-350700"/>
        <n v="-241200"/>
        <n v="-95700"/>
        <n v="-268500"/>
        <n v="-134400"/>
        <n v="-962629.96"/>
        <n v="-117928"/>
        <n v="-4420"/>
        <n v="-2652"/>
        <n v="17000"/>
        <n v="-28788"/>
        <n v="-67300"/>
        <n v="-48600"/>
        <n v="-33400"/>
        <n v="-135000"/>
        <n v="-432000"/>
        <n v="-17400"/>
        <n v="-93000"/>
        <n v="-39896"/>
        <n v="-52900"/>
        <n v="-803000"/>
        <n v="-183100"/>
        <n v="183100"/>
        <n v="-401000"/>
        <n v="-746991"/>
        <n v="-684899"/>
        <n v="-213438"/>
        <n v="-5120844"/>
        <n v="-2161183"/>
        <n v="-69360"/>
        <n v="-3918584"/>
        <n v="-23787632"/>
        <n v="-5655953"/>
        <n v="-803369"/>
        <n v="-1019638"/>
        <n v="-108831"/>
        <n v="-1148458"/>
        <n v="-1104183"/>
        <n v="-149500"/>
        <n v="-542920"/>
        <n v="-48962403"/>
        <n v="-443601"/>
        <n v="-721301"/>
        <n v="-597266"/>
        <n v="-272738"/>
        <n v="-2325000"/>
        <n v="-722514"/>
        <n v="-1278600"/>
        <n v="-831840"/>
        <n v="-1091128.0000000002"/>
        <n v="-626733.33333333302"/>
        <n v="-313800"/>
        <n v="-250447"/>
        <n v="-250446"/>
        <n v="-1057000"/>
        <n v="-971733"/>
        <n v="-971734"/>
        <n v="-3118800"/>
        <n v="-904000"/>
        <n v="-6000611.4798250003"/>
        <n v="-1258600"/>
        <n v="-734200"/>
        <n v="-2768000"/>
        <n v="-687333"/>
        <n v="-687334"/>
        <n v="-715400"/>
        <n v="-3036000"/>
        <n v="-309666"/>
        <n v="-309667"/>
        <n v="-2462000"/>
        <n v="-5404596.0133333337"/>
        <n v="-2160000"/>
        <n v="-1238733.3333333333"/>
        <n v="-181066.66666666669"/>
        <n v="-257000"/>
        <n v="-9007200"/>
        <n v="-3034800"/>
        <n v="-831600"/>
        <n v="-3080453"/>
        <n v="-820052"/>
        <n v="-108161"/>
        <n v="-278600"/>
        <n v="-5724000"/>
        <n v="-329900"/>
        <n v="-33526486"/>
        <n v="-2269700"/>
        <n v="1613897"/>
        <n v="7235709.1799999997"/>
        <n v="23929677"/>
        <n v="400000"/>
        <n v="48536716"/>
        <n v="-8904819"/>
        <n v="-3672000"/>
        <n v="-9276103"/>
        <n v="-930009"/>
        <n v="-3747545"/>
        <n v="-3108877"/>
        <n v="-510855"/>
        <n v="3859924"/>
        <n v="-42650"/>
        <n v="-125322.69"/>
        <n v="-34730"/>
        <n v="-217608.69"/>
        <n v="-35800"/>
        <n v="-1633787.18"/>
        <n v="-40417.379999999997"/>
        <n v="70530"/>
        <n v="-165871.24"/>
        <n v="-704800"/>
        <n v="-7073.69"/>
        <n v="-460377"/>
        <n v="-11030"/>
        <n v="-8280"/>
        <n v="-28494"/>
        <n v="-25439"/>
        <n v="-35886"/>
        <n v="-19600"/>
        <n v="-53680"/>
        <n v="-15799"/>
        <n v="-134099"/>
        <n v="-8399"/>
        <n v="-26680"/>
        <n v="-77200"/>
        <n v="-17593"/>
        <n v="6200"/>
        <n v="-45552"/>
        <n v="-4030"/>
        <n v="-2418"/>
        <n v="-277200"/>
        <n v="-77199"/>
        <n v="-60892"/>
        <n v="-4099775"/>
        <n v="2227732"/>
        <n v="-5149182"/>
        <n v="-53000"/>
        <n v="-199258"/>
        <n v="-101400"/>
        <n v="-6650"/>
        <n v="-29200"/>
        <n v="-242500"/>
        <n v="-13599"/>
        <n v="-167126"/>
        <n v="-28144"/>
        <n v="-5651600"/>
        <n v="-370500"/>
        <n v="-2961275"/>
        <n v="-2361000"/>
        <n v="-113616"/>
        <n v="-415999"/>
        <n v="-1948415"/>
        <n v="-436178"/>
        <n v="-795966"/>
        <n v="-9100620"/>
        <n v="-1957787"/>
        <n v="-604944"/>
        <n v="-604945"/>
        <n v="-2758216"/>
        <n v="-954682"/>
        <n v="-1394534"/>
        <n v="-1693109"/>
        <n v="-338686"/>
        <n v="-323528"/>
        <n v="-230436"/>
        <n v="-11099"/>
        <n v="-419962"/>
        <n v="-234000"/>
        <n v="-700000"/>
        <n v="-5980000"/>
        <n v="10000000"/>
        <n v="7229716"/>
        <n v="852380"/>
        <n v="-541777"/>
        <n v="-91405"/>
        <n v="-26300"/>
        <n v="-58100"/>
        <n v="-43700"/>
        <n v="-109629"/>
        <n v="-404540"/>
        <n v="-1771194"/>
        <n v="-4008691"/>
        <n v="-84092.72"/>
        <n v="580000000"/>
        <n v="-217000000"/>
        <n v="-28550"/>
        <n v="-63600"/>
        <n v="-39650"/>
        <n v="-3588000"/>
        <n v="-2984520"/>
        <n v="-419877"/>
        <n v="-492785"/>
        <n v="-675400"/>
        <n v="-1749600"/>
        <n v="-513000"/>
        <n v="-1144800"/>
        <n v="-6150000"/>
        <n v="-3674"/>
        <n v="-10490"/>
        <n v="-82000"/>
        <n v="-90464"/>
        <n v="-3460"/>
        <n v="-2076"/>
        <n v="-8360847.7199999997"/>
        <n v="770000000"/>
        <n v="-42888"/>
        <n v="-79200"/>
        <n v="-136500"/>
        <n v="-15466"/>
        <n v="-375425"/>
        <n v="-70000000"/>
        <n v="-213138"/>
        <n v="-149140"/>
        <n v="-149300"/>
        <n v="-47800"/>
        <n v="-256000"/>
        <n v="-17200"/>
        <n v="-7400"/>
        <n v="-189381"/>
        <n v="90000000"/>
        <n v="-3400"/>
        <n v="-186600"/>
        <n v="-75200"/>
        <n v="-998172"/>
        <n v="-181742.48"/>
        <n v="-23750"/>
        <n v="-63604"/>
        <n v="-20050"/>
        <n v="-1225000"/>
        <n v="-7809107"/>
        <n v="-24633000"/>
        <n v="-2425000"/>
        <n v="-70787637"/>
        <n v="-4707107"/>
        <n v="-2991138"/>
        <n v="-2991137"/>
        <n v="-519000"/>
        <n v="-474000"/>
        <n v="-551365"/>
        <n v="-627784"/>
        <n v="-622395"/>
        <n v="-2602335"/>
        <n v="-42964"/>
        <n v="-610522"/>
        <n v="-610523"/>
        <n v="-136400"/>
        <n v="-2317312"/>
        <n v="-6426420"/>
        <n v="-8782329"/>
        <n v="-415898"/>
        <n v="-187200"/>
        <n v="-191642"/>
        <n v="-2284500"/>
        <n v="-1560000"/>
        <n v="-47496379"/>
        <n v="-9938209"/>
        <n v="-695675"/>
        <n v="-1059070"/>
        <n v="-1043000"/>
        <n v="-711500"/>
        <n v="-67900"/>
        <n v="-339500"/>
        <n v="-604000"/>
        <n v="-426900"/>
        <n v="-284600"/>
        <n v="-633735"/>
        <n v="-316866.66666666669"/>
        <n v="550200"/>
        <n v="-423401822.89999998"/>
        <n v="-1200"/>
        <n v="-15600"/>
        <n v="-59603"/>
        <n v="-81900"/>
        <n v="-60700"/>
        <n v="-31900"/>
        <n v="-30500"/>
        <n v="-84500"/>
        <n v="-162190"/>
        <n v="-67909029"/>
        <n v="-690900"/>
        <n v="4942612"/>
        <n v="684750"/>
        <n v="3917454"/>
        <n v="-77206"/>
        <n v="1344077"/>
        <n v="602826"/>
        <n v="3220688"/>
        <n v="2309136"/>
        <n v="-66400"/>
        <n v="-7554"/>
        <n v="-21624"/>
        <n v="-312400"/>
        <n v="-131766"/>
        <n v="-49800"/>
        <n v="-6240"/>
        <n v="-3740"/>
        <n v="-312016"/>
        <n v="-3744"/>
        <n v="-139361"/>
        <n v="-291980"/>
        <n v="-204300"/>
        <n v="-550000"/>
        <n v="-298000"/>
        <n v="-1828323"/>
        <n v="-609900"/>
        <n v="-196350"/>
        <n v="-4867700"/>
        <n v="-910000"/>
        <n v="-1428873"/>
        <n v="-858600"/>
        <n v="200000000"/>
        <n v="264820"/>
        <n v="-288000"/>
        <n v="-199000"/>
        <n v="-33600"/>
        <n v="-21500"/>
        <n v="-224212"/>
        <n v="1441037"/>
        <n v="1006251"/>
        <n v="99559337"/>
        <n v="-586800"/>
        <n v="-100625"/>
        <n v="-39800"/>
        <n v="-421100"/>
        <n v="-103725"/>
        <n v="-83925"/>
        <n v="-193125"/>
        <n v="-126075"/>
        <n v="-159200"/>
        <n v="-168750"/>
        <n v="-506250"/>
        <n v="-207450"/>
        <n v="-301875"/>
        <n v="-659200"/>
        <n v="-579375"/>
        <n v="-378225"/>
        <n v="-451900"/>
        <n v="-1741200"/>
        <n v="-392400"/>
        <n v="-1023100"/>
        <n v="-551800"/>
        <n v="-305900"/>
        <n v="-538800"/>
        <n v="-683966.66666666663"/>
        <n v="-510850"/>
        <n v="-774000"/>
        <n v="-134166.66666666666"/>
        <n v="-137500"/>
        <n v="-717000"/>
        <n v="-163540"/>
        <n v="-39075"/>
        <n v="-1907000"/>
        <n v="-416131"/>
        <n v="-241339"/>
        <n v="-372945"/>
        <n v="-1668542"/>
        <n v="-1785"/>
        <n v="-445536"/>
        <n v="-176482"/>
        <n v="-221500"/>
        <n v="-1237500"/>
        <n v="-3800550"/>
        <n v="-655320"/>
        <n v="-3243600"/>
        <n v="-1543600"/>
        <n v="-831300"/>
        <n v="-809300"/>
        <n v="-613100"/>
        <n v="-404800"/>
        <n v="-789400"/>
        <n v="-370400"/>
        <n v="-433500"/>
        <n v="-451300"/>
        <n v="1498171"/>
        <n v="-399801"/>
        <n v="-11300"/>
        <n v="-26600"/>
        <n v="-44004"/>
        <n v="-40023"/>
        <n v="-150431"/>
        <n v="-62700"/>
        <n v="-2385000"/>
        <n v="-287700"/>
        <n v="4633895"/>
        <n v="5204791"/>
        <n v="19278686"/>
        <n v="-180865.33"/>
        <n v="-41959.75"/>
        <n v="-212000"/>
        <n v="-322075367"/>
        <n v="-635913"/>
        <n v="-31875"/>
        <n v="5659490"/>
        <n v="-68500"/>
        <n v="4030945.01"/>
        <n v="-391490"/>
        <n v="-8960"/>
        <n v="-104419"/>
        <n v="-1610000"/>
        <n v="-1235475"/>
        <n v="-7650"/>
        <n v="-5728000"/>
        <n v="-1654000"/>
        <n v="-3600000"/>
        <n v="-3000000"/>
        <n v="-302400"/>
        <n v="-724433"/>
        <n v="-2443"/>
        <n v="-166100"/>
        <n v="-18571600"/>
        <n v="-1831800"/>
        <n v="-1119937"/>
        <n v="-695800"/>
        <n v="-13156950"/>
        <n v="-718683"/>
        <n v="-74933"/>
        <n v="-4348575"/>
        <n v="-909313"/>
        <n v="-1119000"/>
        <n v="-1152720"/>
        <n v="-36700"/>
        <n v="-277000"/>
        <n v="-3928320"/>
        <n v="-246379"/>
        <n v="-1286012"/>
        <n v="-31979"/>
        <n v="-118377"/>
        <n v="-23675"/>
        <n v="-816300"/>
        <n v="-615640"/>
        <n v="-8350"/>
        <n v="-5010"/>
        <n v="-464899"/>
        <n v="-319500"/>
        <n v="-789681"/>
        <n v="-34203840"/>
        <n v="-8908089"/>
        <n v="-529500"/>
        <n v="-254000"/>
        <n v="-114039"/>
        <n v="-83500"/>
        <n v="-33201"/>
        <n v="-288044"/>
        <n v="-1267600"/>
        <n v="-7992000"/>
        <n v="-208000"/>
        <n v="-757440"/>
        <n v="7685281"/>
        <n v="150000000"/>
        <n v="-6242200"/>
        <n v="-1320700"/>
        <n v="-822240"/>
        <n v="-4936310.4000000004"/>
        <n v="-635800"/>
        <n v="-1016000"/>
        <n v="-688750"/>
        <n v="-630400"/>
        <n v="-5996168.3092749994"/>
        <n v="-970700"/>
        <n v="-1130260"/>
        <n v="-777500"/>
        <n v="-3436000"/>
        <n v="-307866"/>
        <n v="-307867"/>
        <n v="-854000"/>
        <n v="-4180000"/>
        <n v="-2484000"/>
        <n v="-2186000"/>
        <n v="-662800"/>
        <n v="-715170"/>
        <n v="-3588945"/>
        <n v="-2655397"/>
        <n v="-7300712.5899999999"/>
        <n v="-544000"/>
        <n v="-284766"/>
        <n v="-3728711"/>
        <n v="-2577099"/>
        <n v="-248472"/>
        <n v="8439643.1099999994"/>
        <n v="-111900"/>
        <n v="-167000"/>
        <n v="-700"/>
        <n v="-27001"/>
        <n v="-81600"/>
        <n v="-52200"/>
        <n v="-16050"/>
        <n v="-1575000"/>
        <n v="-384109"/>
        <n v="-6580"/>
        <n v="-3948"/>
        <n v="-3849627"/>
        <n v="2682171"/>
        <n v="-255500"/>
        <n v="-2418336"/>
        <n v="-725900"/>
        <n v="-2052000"/>
        <n v="-27536643"/>
        <n v="-617600"/>
        <n v="-15521830"/>
        <n v="-46811682"/>
        <n v="-822226"/>
        <n v="-299880"/>
        <n v="-1540000"/>
        <n v="-1789899"/>
        <n v="-408090"/>
        <n v="-3408618"/>
        <n v="-334000"/>
        <n v="-3833950"/>
        <n v="-537648"/>
        <n v="-160650"/>
        <n v="-1139263"/>
        <n v="-13375300"/>
        <n v="-676303"/>
        <n v="-325500000"/>
        <n v="-314800"/>
        <n v="-268398"/>
        <n v="636092380"/>
        <n v="6210000"/>
        <n v="-423721.4"/>
        <n v="-253440"/>
        <n v="-65556"/>
        <n v="-1960793.79"/>
        <n v="-94600"/>
        <n v="-637200"/>
        <n v="-2624763"/>
        <n v="-5147982"/>
        <n v="-4954969"/>
        <n v="-84332.39"/>
        <n v="-85500"/>
        <n v="-85382"/>
        <n v="-215401"/>
        <n v="-28046"/>
        <n v="-9200"/>
        <n v="-100750"/>
        <n v="-12733"/>
        <n v="-135030"/>
        <n v="-55599"/>
        <n v="-167992.57"/>
        <n v="-9999"/>
        <n v="-21760"/>
        <n v="-67100"/>
        <n v="-38620"/>
        <n v="-41927"/>
        <n v="-347016"/>
        <n v="-7490"/>
        <n v="-4494"/>
        <n v="-88500"/>
        <n v="-60500"/>
        <n v="-163000"/>
        <n v="-107000"/>
        <n v="-15900"/>
        <n v="-8365617.6900000004"/>
        <n v="-1078858"/>
        <n v="-184370"/>
        <n v="-3180320"/>
        <n v="-13788000"/>
        <n v="-791175"/>
        <n v="-436128"/>
        <n v="-55001"/>
        <n v="-419900"/>
        <n v="-19976950"/>
        <n v="-1590000"/>
        <n v="-197690"/>
        <n v="-6393036"/>
        <n v="-2399900"/>
        <n v="-658319"/>
        <n v="-149600"/>
        <n v="-430000"/>
        <n v="-1633772"/>
        <n v="-3123691"/>
        <n v="-623020"/>
        <n v="-34633000"/>
        <n v="-708000"/>
        <n v="-7720808"/>
        <n v="-1673000"/>
        <n v="-1120000"/>
        <n v="-1169000"/>
        <n v="-3549830"/>
        <n v="-700621"/>
        <n v="-32000000"/>
        <n v="-1669159"/>
        <n v="-801046"/>
        <n v="-843865"/>
        <n v="-1048665"/>
        <n v="-732840"/>
        <n v="-1001000"/>
        <n v="-955000"/>
        <n v="-652000"/>
        <n v="-964200"/>
        <n v="-731500"/>
        <n v="-718000"/>
        <n v="-706300"/>
        <n v="-219000"/>
        <n v="-1450000"/>
        <n v="-507515"/>
        <n v="-1629835"/>
        <n v="60000"/>
        <n v="-20800"/>
        <n v="-213999"/>
        <n v="-13300"/>
        <n v="-25400"/>
        <n v="-37401"/>
        <n v="-173754231"/>
        <n v="472850"/>
        <n v="2413303"/>
        <n v="-350000000"/>
        <n v="-208000000"/>
        <n v="-250000000"/>
        <n v="75827687"/>
        <n v="-509200"/>
        <n v="-651500"/>
        <n v="-329800"/>
        <n v="-378700"/>
        <n v="-375700"/>
        <n v="-638600"/>
        <n v="-406000"/>
        <n v="-413700"/>
        <n v="-678800"/>
        <n v="-388300"/>
        <n v="-389200"/>
        <n v="-296967"/>
        <n v="-296966"/>
        <n v="-206400"/>
        <n v="-826500"/>
        <n v="-96300"/>
        <n v="-200500"/>
        <n v="-58080"/>
        <n v="-60920"/>
        <n v="-23287"/>
        <n v="-191300"/>
        <n v="-24931"/>
        <n v="-96400"/>
        <n v="-67942"/>
        <n v="-96162"/>
        <n v="-588467"/>
        <n v="-35391.479999999996"/>
        <n v="-175089.25"/>
        <n v="-15559.55"/>
        <n v="-232224.2"/>
        <n v="-108815.79999999999"/>
        <n v="-6539000"/>
        <n v="-332772.27"/>
        <n v="-591427.73"/>
        <n v="-260470"/>
        <n v="-416084.25"/>
        <n v="-164865.75"/>
        <n v="-234693.5"/>
        <n v="-27076.5"/>
        <n v="-235017.56"/>
        <n v="-202757.06"/>
        <n v="-285555.38"/>
        <n v="-280600"/>
        <n v="-57314.31"/>
        <n v="-365885.74"/>
        <n v="-766974.47"/>
        <n v="-630920.54"/>
        <n v="-144681.08000000002"/>
        <n v="-23396.190000000002"/>
        <n v="-222082.73"/>
        <n v="-133173.22"/>
        <n v="-29803.13"/>
        <n v="-45383.310000000005"/>
        <n v="-146187"/>
        <n v="-2909700"/>
        <n v="-8654644"/>
        <n v="-35224"/>
        <n v="-110650"/>
        <n v="-115200"/>
        <n v="-96250000"/>
        <n v="-3840963"/>
        <n v="-371237"/>
        <n v="-2646000"/>
        <n v="-624379"/>
        <n v="-543366"/>
        <n v="-1470000"/>
        <n v="-789338"/>
        <n v="-12681750"/>
        <n v="-636160"/>
        <n v="-916354"/>
        <n v="-1215980"/>
        <n v="-13980"/>
        <n v="-136100"/>
        <n v="-26210"/>
        <n v="-37800"/>
        <n v="-611188"/>
        <n v="-15120000"/>
        <n v="-1950000"/>
        <n v="-1744640"/>
        <n v="-9204788"/>
        <n v="-2323000"/>
        <n v="-680890"/>
        <n v="-850850"/>
        <n v="-795967"/>
        <n v="-34116"/>
        <n v="-215700"/>
        <n v="-12401"/>
        <n v="-6832800"/>
        <n v="-1181952"/>
        <n v="-3869676"/>
        <n v="20000000"/>
        <n v="2400000"/>
        <n v="675000"/>
        <n v="3884510"/>
        <n v="43333"/>
        <n v="2235009"/>
        <n v="4046320"/>
        <n v="-208887974"/>
        <n v="38093775"/>
        <n v="40611700"/>
        <n v="603690"/>
        <n v="1387061"/>
        <n v="588467"/>
        <n v="-133190.76"/>
        <n v="4813305.1100000003"/>
        <n v="-28599.61"/>
        <n v="-87500"/>
        <n v="-49700"/>
        <n v="-113200"/>
        <n v="-37568"/>
        <n v="-102416"/>
        <n v="-25604"/>
        <n v="-34905"/>
        <n v="-366568"/>
        <n v="-6520"/>
        <n v="-3912"/>
        <n v="-44400"/>
        <n v="-7300"/>
        <n v="-821100"/>
        <n v="-352930"/>
        <n v="-4165000"/>
        <n v="-34525919"/>
        <n v="-522100"/>
        <n v="-343300"/>
        <n v="-1140000"/>
        <n v="-1322378"/>
        <n v="-678700"/>
        <n v="-201143"/>
        <n v="-3434588"/>
        <n v="-8551000"/>
        <n v="-1611886"/>
        <n v="-129000"/>
        <n v="-967141"/>
        <n v="-9590000"/>
        <n v="-1835960"/>
        <n v="-903150"/>
        <n v="-21031688"/>
        <n v="-32134"/>
        <n v="-398880"/>
        <n v="-7378000"/>
        <n v="-8654338"/>
        <n v="-794798"/>
        <n v="-24604050"/>
        <n v="-298500"/>
        <n v="-1191812"/>
        <n v="-8432500"/>
        <n v="-9152000"/>
        <n v="-17635371"/>
        <n v="-3253426"/>
        <n v="2768568"/>
        <n v="216667"/>
        <n v="2719163"/>
        <n v="-1528001"/>
        <n v="-418311"/>
        <n v="2488501"/>
        <n v="2850948"/>
        <n v="7326802"/>
        <n v="1848608"/>
        <n v="4541588"/>
        <n v="1360955"/>
        <n v="-32364628"/>
        <n v="-5970724"/>
        <n v="25000000"/>
        <n v="-42844.85"/>
        <n v="-2066230.6"/>
        <n v="-415411.78"/>
        <n v="-443750"/>
        <n v="-424700"/>
        <n v="-278500"/>
        <n v="-465290"/>
        <n v="-287500"/>
        <n v="-911700"/>
        <n v="-784000"/>
        <n v="-164000"/>
        <n v="-35900"/>
        <n v="-132500"/>
        <n v="-75952"/>
        <n v="-2268"/>
        <n v="-31400"/>
        <n v="-188199.334"/>
        <n v="-10299"/>
        <n v="-80400"/>
        <n v="-370000"/>
        <n v="-31947"/>
        <n v="-3255788"/>
        <n v="-116800"/>
        <n v="-355200"/>
        <n v="-1226666.6666666667"/>
        <n v="-2080733.3333333333"/>
        <n v="-2862230"/>
        <n v="-1089245"/>
        <n v="-936000"/>
        <n v="-692000"/>
        <n v="-2915200"/>
        <n v="-2706600"/>
        <n v="-3345856"/>
        <n v="-710850"/>
        <n v="-929000"/>
        <n v="-668200"/>
        <n v="-2562000"/>
        <n v="-733200"/>
        <n v="-606000"/>
        <n v="-2370000"/>
        <n v="-2428800"/>
        <n v="-2056600"/>
        <n v="-3391333"/>
        <n v="-2756013"/>
        <n v="-1416000"/>
        <n v="-1790000"/>
        <n v="-253942"/>
        <n v="-446045"/>
        <n v="-1383066"/>
        <n v="-8956000"/>
        <n v="-1574400"/>
        <n v="-1118377"/>
        <n v="-1118376"/>
        <n v="-1207500"/>
        <n v="-4265542"/>
        <n v="-161225"/>
        <n v="-180684"/>
        <n v="826841.25"/>
        <n v="15900896.91"/>
        <n v="4304310"/>
        <n v="662800"/>
        <n v="1076497"/>
        <n v="1317790"/>
        <n v="-99886"/>
        <n v="-767600"/>
        <n v="-93417"/>
        <n v="-57798"/>
        <n v="-137011"/>
        <n v="-1739400"/>
        <n v="-539500"/>
        <n v="-1337200"/>
        <n v="-301200"/>
        <n v="-662100"/>
        <n v="-464400"/>
        <n v="-7104905"/>
        <n v="-42300"/>
        <n v="-113700"/>
        <n v="-46200"/>
        <n v="-152999.43"/>
        <n v="-114799"/>
        <n v="-327736"/>
        <n v="-321000"/>
        <n v="-249000"/>
        <n v="-9540"/>
        <n v="-5724"/>
        <n v="-28200"/>
        <n v="-49200"/>
        <n v="-156300"/>
        <n v="-3799.28"/>
        <n v="-4170"/>
        <n v="-77246"/>
        <n v="-8300"/>
        <n v="-24169"/>
        <n v="-64531"/>
        <n v="-171360"/>
        <n v="-56400"/>
        <n v="-748205"/>
        <n v="-7100"/>
        <n v="-5050193"/>
        <n v="-35149335"/>
        <n v="-2403000"/>
        <n v="-5270000"/>
        <n v="-5027816"/>
        <n v="-4716250"/>
        <n v="-760000"/>
        <n v="-30222576"/>
        <n v="-1267894"/>
        <n v="-2948256"/>
        <n v="-19762785"/>
        <n v="-2647036"/>
        <n v="56750"/>
        <n v="-87600"/>
        <n v="-3587999"/>
        <n v="-233928"/>
        <n v="-2539788"/>
        <n v="-238040"/>
        <n v="-3078000"/>
        <n v="-2891674"/>
        <n v="-96322"/>
        <n v="-9083242"/>
        <n v="-2599737"/>
        <n v="-23713166"/>
        <n v="-23713167"/>
        <n v="-2184375"/>
        <n v="-2265750"/>
        <n v="-8370468.6900000004"/>
        <n v="-1570000"/>
        <n v="-28880657"/>
        <n v="-3702784"/>
        <n v="1268760"/>
        <n v="-104000000"/>
        <n v="-97848.35"/>
        <n v="-88588.26"/>
        <n v="-92870993"/>
        <n v="-684845"/>
        <n v="-357200"/>
        <n v="-22572"/>
        <n v="-40200"/>
        <n v="-4640"/>
        <n v="-39100"/>
        <n v="-31300"/>
        <n v="-38500"/>
        <n v="-24199"/>
        <n v="-174349.99"/>
        <n v="-45664"/>
        <n v="-1460"/>
        <n v="-876"/>
        <n v="-117700"/>
        <n v="-33399"/>
        <n v="-55952"/>
        <n v="-91000"/>
        <n v="-2530"/>
        <n v="-1518"/>
        <n v="-73900"/>
        <n v="-34484051"/>
        <n v="13451225"/>
        <n v="8363924.7300000004"/>
        <n v="-3564000"/>
        <n v="-1852933"/>
        <n v="-1045000"/>
        <n v="-309480"/>
        <n v="-972400"/>
        <n v="-4428000"/>
        <n v="-1331320"/>
        <n v="-200780"/>
        <n v="-253700"/>
        <n v="-720508"/>
        <n v="-3040.12"/>
        <n v="-23050266.43"/>
        <n v="-400714"/>
        <n v="-111320"/>
        <n v="-833600"/>
        <n v="-1037000"/>
        <n v="-819000"/>
        <n v="-719000"/>
        <n v="-181067"/>
        <n v="-238333"/>
        <n v="-497933"/>
        <n v="-339000"/>
        <n v="-2314000"/>
        <n v="542864"/>
        <n v="-3800"/>
        <n v="-18900"/>
        <n v="-280000"/>
        <n v="-668400"/>
        <n v="-45480"/>
        <n v="-67120"/>
        <n v="-50686"/>
        <n v="-26900"/>
        <n v="-75799"/>
        <n v="-130799"/>
        <n v="-9299"/>
        <n v="-700033"/>
        <n v="-7500000"/>
        <n v="-884179.5"/>
        <n v="-2453863.2999999998"/>
        <n v="-5460730.1500000004"/>
        <n v="-189938.44"/>
        <n v="-6855285.4100000001"/>
        <n v="-244183.85"/>
        <n v="-569825"/>
        <n v="-19820"/>
        <n v="-55709000"/>
        <n v="-28600"/>
        <n v="-23400"/>
        <n v="-16400"/>
        <n v="-400000000"/>
        <n v="-44936581.200000003"/>
        <n v="381655428"/>
        <n v="2203851"/>
        <n v="6059754"/>
        <n v="1636366"/>
        <n v="-869108"/>
        <n v="917333"/>
        <n v="-49960"/>
        <n v="-11340"/>
        <n v="-607500"/>
        <n v="-30699"/>
        <n v="-29600"/>
        <n v="-143458"/>
        <n v="-108601"/>
        <n v="-323680"/>
        <n v="-18575.88"/>
        <n v="-77399.5"/>
        <n v="-6344100"/>
        <n v="-2760000"/>
        <n v="-266000"/>
        <n v="-3061328.55"/>
        <n v="-226647"/>
        <n v="-521500"/>
        <n v="-4852760"/>
        <n v="-3875000"/>
        <n v="-337300"/>
        <n v="-101190"/>
        <n v="-560780"/>
        <n v="-2960"/>
        <n v="-143880"/>
        <n v="-56137"/>
        <n v="-405790"/>
        <n v="-3884343"/>
        <n v="-248030"/>
        <n v="-423220"/>
        <n v="-273520"/>
        <n v="-777860"/>
        <n v="-61034358.299999997"/>
        <n v="-2997000"/>
        <n v="-6826500"/>
        <n v="-1685000"/>
        <n v="-14816"/>
        <n v="-1825008"/>
        <n v="-66192"/>
        <n v="-35544.080000000002"/>
        <n v="-1948050"/>
        <n v="-49950"/>
        <n v="-6439296"/>
        <n v="-65440"/>
        <n v="-39264"/>
        <n v="-53612256"/>
        <n v="-544840"/>
        <n v="-326904"/>
        <n v="-8100000"/>
        <n v="-825000"/>
        <n v="-3634106.26"/>
        <n v="-84873.98"/>
        <n v="-20369.759999999998"/>
        <n v="-3773300"/>
        <n v="-288470"/>
        <n v="-499900"/>
        <n v="-383800"/>
        <n v="-201300"/>
        <n v="-375900"/>
        <n v="-299800"/>
        <n v="-426100"/>
        <n v="-118600"/>
        <n v="-108400"/>
        <n v="-2537600"/>
        <n v="-760700"/>
        <n v="-170300"/>
        <n v="-980900"/>
        <n v="-315200"/>
        <n v="-185800"/>
        <n v="-3216300"/>
        <n v="-78660"/>
        <n v="-314640"/>
        <n v="-369500"/>
        <n v="-80500"/>
        <n v="-665200"/>
        <n v="-415700"/>
        <n v="-491100"/>
        <n v="-431000"/>
        <n v="-363800"/>
        <n v="-575900"/>
        <n v="-338800"/>
        <n v="-377700"/>
        <n v="-277700"/>
        <n v="-134167.67000000001"/>
        <n v="-247700"/>
        <n v="-272466.67"/>
        <n v="-204966.67"/>
        <n v="-340566.67"/>
        <n v="-683966.67"/>
        <n v="-178333.33"/>
        <n v="-2289600"/>
        <n v="-9368650"/>
        <n v="-237250"/>
        <n v="-3834191.92"/>
        <n v="-82278.78"/>
        <n v="-315350"/>
        <n v="-952018"/>
        <n v="-4016.96"/>
        <n v="-593049.59"/>
        <n v="-287890"/>
        <n v="-674670"/>
        <n v="-373664"/>
        <n v="-15672"/>
        <n v="-1308000"/>
        <n v="-34500"/>
        <n v="-156000"/>
        <n v="-272500"/>
        <n v="-2600"/>
        <n v="-15031"/>
        <n v="-11499"/>
        <n v="-119999"/>
        <n v="-513410"/>
        <n v="3742000"/>
        <n v="869561.88"/>
        <n v="350000000"/>
        <n v="4642828"/>
        <n v="-373600"/>
        <n v="-2775000"/>
        <n v="-2769090"/>
        <n v="3264691"/>
        <n v="533000"/>
        <n v="-26420681"/>
        <n v="-8624730"/>
        <n v="-33669765"/>
        <n v="-30517474"/>
        <n v="-40300869"/>
        <n v="-64838459"/>
        <n v="-568715"/>
        <n v="-22824.44"/>
        <n v="-1818365"/>
        <n v="-139727.29"/>
        <n v="-119130"/>
        <n v="-44233.46"/>
        <n v="-279160"/>
        <n v="-388720"/>
        <n v="-117640"/>
        <n v="-2380"/>
        <n v="-3980"/>
        <n v="-35999"/>
        <n v="-66752"/>
        <n v="-104600"/>
        <n v="-38011"/>
        <n v="-13199"/>
        <n v="-139600"/>
        <n v="-22886"/>
        <n v="-110500"/>
        <n v="-13700"/>
        <n v="-15931.72"/>
        <n v="-51800"/>
        <n v="-34800"/>
        <n v="-52672"/>
        <n v="-1248"/>
        <n v="-2080"/>
        <n v="-1688000"/>
        <n v="-32536"/>
        <n v="-924"/>
        <n v="-1540"/>
        <n v="-9594000"/>
        <n v="-58500"/>
        <n v="-1047369.42"/>
        <n v="-6048.33"/>
        <n v="-35281.93"/>
        <n v="-6085985"/>
        <n v="-8515764"/>
        <n v="-1504771.07"/>
        <n v="-19599.3"/>
        <n v="-437699.85"/>
        <n v="-207200.42"/>
        <n v="-2212197.7200000002"/>
        <n v="-6349.25"/>
        <n v="-47676.68"/>
        <n v="-9535.34"/>
        <n v="-734400"/>
        <n v="-74800"/>
        <n v="-244800"/>
        <n v="-3005700"/>
        <n v="-19366000"/>
        <n v="-1310000"/>
        <n v="-3198975"/>
        <n v="-82025"/>
        <n v="-22100"/>
        <n v="-65100"/>
        <n v="-382585"/>
        <n v="-1623465"/>
        <n v="-340470"/>
        <n v="-96986767"/>
        <n v="-298010"/>
        <n v="-468850.48"/>
        <n v="-161810"/>
        <n v="-43554"/>
        <n v="-46400"/>
        <n v="-12895.56"/>
        <n v="-114395"/>
        <n v="-15700"/>
        <n v="-217457"/>
        <n v="-20500"/>
        <n v="-108650"/>
        <n v="-63225"/>
        <n v="-32189"/>
        <n v="-6750"/>
        <n v="-36996"/>
        <n v="170000"/>
        <n v="-673000"/>
        <n v="-529200"/>
        <n v="-408850"/>
        <n v="-794000"/>
        <n v="-311466.5"/>
        <n v="-2958699"/>
        <n v="-2464000"/>
        <n v="-811600"/>
        <n v="-10819117"/>
        <n v="-2718000"/>
        <n v="-3930000"/>
        <n v="-1818000"/>
        <n v="-3680000"/>
        <n v="-563333"/>
        <n v="-533600"/>
        <n v="-490667"/>
        <n v="-2014067"/>
        <n v="-303800"/>
        <n v="-955067"/>
        <n v="-853333"/>
        <n v="-677333"/>
        <n v="-820667"/>
        <n v="-835533"/>
        <n v="-1078667"/>
        <n v="-114653525"/>
        <n v="-43624357"/>
        <n v="-546360"/>
        <n v="-4186100"/>
        <n v="-26418"/>
        <n v="-119900"/>
        <n v="-57512"/>
        <n v="-24998.33"/>
        <n v="-37497.49"/>
        <n v="831971"/>
        <n v="5164246"/>
        <n v="180000000"/>
        <n v="15529854"/>
        <n v="-282500"/>
        <n v="4698126.67"/>
        <n v="-1415889.77"/>
        <n v="-2494907.0099999998"/>
        <n v="-1729000"/>
        <n v="-9500000"/>
        <n v="1113730"/>
        <n v="1444156"/>
        <n v="2380000"/>
        <n v="494500"/>
        <n v="-144734"/>
        <n v="-201491"/>
        <n v="-2541"/>
        <n v="-1524"/>
        <n v="-27003"/>
        <n v="-4629.82"/>
        <n v="-47512.959999999999"/>
        <n v="-183529.4"/>
        <n v="-36705.879999999997"/>
        <n v="-140800"/>
        <n v="-84480"/>
        <n v="-58747000"/>
        <n v="-1130000"/>
        <n v="-23476915"/>
        <n v="-356881"/>
        <n v="-32423151"/>
        <n v="-2235789"/>
        <n v="-6487200"/>
        <n v="-311559"/>
        <n v="-344400"/>
        <n v="-1616457"/>
        <n v="-62191"/>
        <n v="-146900"/>
        <n v="-516171"/>
        <n v="-214500"/>
        <n v="-1878400"/>
        <n v="-7455086"/>
        <n v="-5437800"/>
        <n v="-932858"/>
        <n v="-680680"/>
        <n v="28763204"/>
        <n v="-3357134"/>
        <n v="1462184"/>
        <n v="-304000"/>
        <n v="-2318350"/>
        <n v="-4320750"/>
        <n v="-1263015"/>
        <n v="-107755780"/>
        <n v="-1316250"/>
        <n v="-1874535"/>
        <n v="-267950"/>
        <n v="-2652210"/>
        <n v="-342205"/>
        <n v="-3937731"/>
        <n v="-310839"/>
        <n v="-2440513"/>
        <n v="-185000"/>
        <n v="-92608"/>
        <n v="-5870"/>
        <n v="-3522"/>
        <n v="-17430"/>
        <n v="-56500"/>
        <n v="-13200"/>
        <n v="-70722"/>
        <n v="-51744"/>
        <n v="-6699"/>
        <n v="-1380"/>
        <n v="-153400"/>
        <n v="-57596"/>
        <n v="-191070"/>
        <n v="-43373"/>
        <n v="-185400"/>
        <n v="-59900"/>
        <n v="-464000"/>
        <n v="-73244"/>
        <n v="-2410"/>
        <n v="-1446"/>
        <n v="-159499.62"/>
        <n v="-11800"/>
        <n v="-22600"/>
        <n v="-113000"/>
        <n v="-293467"/>
        <n v="-583125.44999999995"/>
        <n v="-3657"/>
        <n v="-1487"/>
        <n v="-141891"/>
        <n v="-493400"/>
        <n v="-148500"/>
        <n v="-50422286"/>
        <n v="-4639498"/>
        <n v="-20769225"/>
        <n v="-529475"/>
        <n v="-138040"/>
        <n v="-265080"/>
        <n v="-839510"/>
        <n v="-825266"/>
        <n v="-2373987"/>
        <n v="-2350457"/>
        <n v="-194999"/>
        <n v="-2610000"/>
        <n v="-290000"/>
        <n v="-142844"/>
        <n v="-49043"/>
        <n v="-6148"/>
        <n v="-190638"/>
        <n v="-159600"/>
        <n v="-17367600"/>
        <n v="-176500"/>
        <n v="-105900"/>
        <n v="-1499000"/>
        <n v="-7532000"/>
        <n v="-4495000"/>
        <n v="-1707405"/>
        <n v="-1925000"/>
        <n v="-4954971"/>
        <n v="-546805"/>
        <n v="-255344"/>
        <n v="-2472975.81"/>
        <n v="-72734.59"/>
        <n v="-748302.61"/>
        <n v="-1891.25"/>
        <n v="-2050929"/>
        <n v="-44201"/>
        <n v="-8840.2099999999991"/>
        <n v="-67716000"/>
        <n v="-1113280"/>
        <n v="-8375657.4199999999"/>
        <n v="-4710000"/>
        <n v="-11877452"/>
        <n v="-364158"/>
        <n v="-595000"/>
        <n v="-43160.639999999999"/>
        <n v="-230160"/>
        <n v="-10022064"/>
        <n v="-215992.78"/>
        <n v="-43198.559999999998"/>
        <n v="-4850625"/>
        <n v="-4577650"/>
        <n v="280000000"/>
        <n v="1850895"/>
        <n v="2306700"/>
        <n v="-89270.51"/>
        <n v="-161000"/>
        <n v="-449900"/>
        <n v="1216595"/>
        <n v="2373641"/>
        <n v="-108500000"/>
        <n v="-6265547"/>
        <n v="-577227"/>
        <n v="-5088365"/>
        <n v="-519475282.95999998"/>
        <n v="600000000"/>
        <n v="9568455.6099999994"/>
        <n v="742000"/>
        <n v="50391971"/>
        <n v="12272109"/>
        <n v="1613244"/>
        <n v="2808110"/>
        <n v="-43113.43"/>
        <n v="-267400"/>
        <n v="-19100"/>
        <n v="-85200"/>
        <n v="-76900"/>
        <n v="-175200"/>
        <n v="-18885"/>
        <n v="-89200"/>
        <n v="-45920"/>
        <n v="-195160"/>
        <n v="-7916"/>
        <n v="-21176"/>
        <n v="-104698"/>
        <n v="-592874"/>
        <n v="-8830"/>
        <n v="-5296"/>
        <n v="-77696"/>
        <n v="-2690"/>
        <n v="-1614"/>
        <n v="-6250"/>
        <n v="-3750"/>
        <n v="-77100"/>
        <n v="-172500"/>
        <n v="-113600"/>
        <n v="-198811"/>
        <n v="-152280"/>
        <n v="-1500"/>
        <n v="-126200"/>
        <n v="-5831524"/>
        <n v="-3668500"/>
        <n v="-61750000"/>
        <n v="-5095000"/>
        <n v="-1785000"/>
        <n v="-380656"/>
        <n v="-1929"/>
        <n v="-6588514.8099999996"/>
        <n v="-2380386"/>
        <n v="-788170"/>
        <n v="-2781900"/>
        <n v="-242950"/>
        <n v="-1821286"/>
        <n v="-39285.71"/>
        <n v="-9428.57"/>
        <n v="-3905334"/>
        <n v="-397765.5"/>
        <n v="-3449000"/>
        <n v="-8991000"/>
        <n v="-64001"/>
        <n v="-186510"/>
        <n v="-77290"/>
        <n v="-44390"/>
        <n v="-8519000"/>
        <n v="-75211000"/>
        <n v="-57130670"/>
        <n v="-234646"/>
        <n v="-5757.57"/>
        <n v="-3876692"/>
        <n v="-1438218"/>
        <n v="-83549.399999999994"/>
        <n v="-16709.88"/>
        <n v="-6068.433"/>
        <n v="-125566624"/>
        <n v="-36584935"/>
        <n v="-947151.94"/>
        <n v="-5853982.4699999997"/>
        <n v="-7162047.1299999999"/>
        <n v="-3444000"/>
        <n v="-1452276"/>
        <n v="-305836"/>
        <n v="-6280"/>
        <n v="-1884"/>
        <n v="-619790"/>
        <n v="-3402818"/>
        <n v="-1209270"/>
        <n v="-155700"/>
        <n v="-23100"/>
        <n v="-239900"/>
        <n v="-94719"/>
        <n v="-162600"/>
        <n v="-130500"/>
        <n v="-57200"/>
        <n v="-32829"/>
        <n v="-146666"/>
      </sharedItems>
    </cacheField>
    <cacheField name="MES" numFmtId="17">
      <sharedItems containsSemiMixedTypes="0" containsNonDate="0" containsDate="1" containsString="0" minDate="2024-01-01T00:00:00" maxDate="2024-12-02T00:00:00" count="12">
        <d v="2024-01-01T00:00:00"/>
        <d v="2024-02-01T00:00:00"/>
        <d v="2024-06-01T00:00:00"/>
        <d v="2024-03-01T00:00:00"/>
        <d v="2024-04-01T00:00:00"/>
        <d v="2024-05-01T00:00:00"/>
        <d v="2024-07-01T00:00:00"/>
        <d v="2024-08-01T00:00:00"/>
        <d v="2024-09-01T00:00:00"/>
        <d v="2024-10-01T00:00:00"/>
        <d v="2024-11-01T00:00:00"/>
        <d v="2024-12-01T00:00:00"/>
      </sharedItems>
      <fieldGroup par="5"/>
    </cacheField>
    <cacheField name="Nombre" numFmtId="0">
      <sharedItems count="17">
        <s v="intereses"/>
        <s v="working"/>
        <s v="capex"/>
        <s v="deuda"/>
        <s v="admon"/>
        <s v="gen"/>
        <s v="mantenimiento"/>
        <s v="Dian"/>
        <s v="fiducia"/>
        <s v="Anticipo granjas"/>
        <s v="impuesto ICA"/>
        <s v="ventas"/>
        <s v="inversion"/>
        <s v="GD"/>
        <s v="retenciones"/>
        <s v="delta "/>
        <s v="polaris"/>
      </sharedItems>
    </cacheField>
    <cacheField name="Nombre mitad" numFmtId="0">
      <sharedItems containsBlank="1" count="99">
        <m/>
        <s v="Naos1"/>
        <s v="Clínica Pabón "/>
        <s v="Lacteos Andino"/>
        <s v="admon"/>
        <s v="CS Humberto Portilla"/>
        <s v="CANOPUS"/>
        <s v="Distribuidora vidrios Centro"/>
        <s v="Fundonar"/>
        <s v="Alimentos Nariño"/>
        <s v="Congenar"/>
        <s v="ventas"/>
        <s v="Club Colombia"/>
        <s v="Mantenimiento "/>
        <s v="Sonarplas"/>
        <s v="Carnes Lujosa"/>
        <s v="Distribuidora vidrios Centenario"/>
        <s v="Cinar Sistemas"/>
        <s v="Hito"/>
        <s v="Balcones de pubenza"/>
        <s v="Tigre de la Rebaja Santander"/>
        <s v="Gran avenida"/>
        <s v="Acueducto Pupiales"/>
        <s v="NAOS2"/>
        <s v="NAOS3"/>
        <s v="fiducia"/>
        <s v="novacentro"/>
        <s v="Hotel V1501"/>
        <s v="Ferreandina"/>
        <s v="Platinum"/>
        <s v="Bellatriz"/>
        <s v="Batericars"/>
        <s v="casa medellin"/>
        <s v="Campos de Aragón"/>
        <s v="San Rafael"/>
        <s v="Vivarium"/>
        <s v="Ziklo Alkosto"/>
        <s v="Nutrilacteos"/>
        <s v="La Merced Botana"/>
        <s v="La Merced Ipiales"/>
        <s v="Delta"/>
        <s v="Fit For All 122"/>
        <s v="PLT"/>
        <s v="Caffeto"/>
        <s v="Casa Orion"/>
        <s v="estructuracion"/>
        <s v="Oficina"/>
        <s v="Turin"/>
        <s v="Santa Helena"/>
        <s v="mantenimineto"/>
        <s v="dian"/>
        <s v="Pollos Ruano"/>
        <s v="Casa Miguel Roldán"/>
        <s v="Dispropan"/>
        <s v="tianshi"/>
        <s v="Variedades Carvajal"/>
        <s v="mantenimiento"/>
        <s v="Happina Suites"/>
        <s v="Hotel Cuellar "/>
        <s v="inversiones"/>
        <s v="Terrazas de Pinasaco 1 Casa 22"/>
        <s v="Casa Pabon"/>
        <s v="Incubadora del Sur"/>
        <s v="Estrunar"/>
        <s v="pinasaco"/>
        <s v="polaris 2"/>
        <s v="polaris"/>
        <s v="Cacharreria La Cali "/>
        <s v="Inversión DELTA"/>
        <s v=" CAPEX Credito NAOS"/>
        <s v="polaris "/>
        <s v="Unicentro Pasto"/>
        <s v="El Troje"/>
        <s v="VIDRIOS "/>
        <s v="inverobras"/>
        <s v="Acuagen"/>
        <s v="Surtisur "/>
        <s v="sirios"/>
        <s v="Distribuidora Puyo"/>
        <s v="Sotavento"/>
        <s v="Splendor"/>
        <s v="solar altair "/>
        <s v="clinica morasurco"/>
        <s v="Casa Pinasaco Francisco Gutierrez"/>
        <s v="Jugos Daniel Gracia"/>
        <s v="orion"/>
        <s v="nebula"/>
        <s v="altair"/>
        <s v="polaris 3"/>
        <s v="Desarrollo Campesino"/>
        <s v="Cargador Libardo Benavides"/>
        <s v="ESTRUCTURACION "/>
        <s v="Agropecuaria San rafael"/>
        <s v="naos"/>
        <s v="Hotel Adamo"/>
        <s v="Guillermo Erazo"/>
        <s v="Inversión polaris"/>
        <s v="Nava del sur"/>
        <s v="Edificio IPK"/>
      </sharedItems>
    </cacheField>
    <cacheField name="Días (MES)" numFmtId="0" databaseField="0">
      <fieldGroup base="1">
        <rangePr groupBy="days" startDate="2024-01-01T00:00:00" endDate="2024-12-02T00:00:00"/>
        <groupItems count="368">
          <s v="&lt;1/01/2024"/>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2/12/2024"/>
        </groupItems>
      </fieldGroup>
    </cacheField>
    <cacheField name="Meses (MES)" numFmtId="0" databaseField="0">
      <fieldGroup base="1">
        <rangePr groupBy="months" startDate="2024-01-01T00:00:00" endDate="2024-12-02T00:00:00"/>
        <groupItems count="14">
          <s v="&lt;1/01/2024"/>
          <s v="ene"/>
          <s v="feb"/>
          <s v="mar"/>
          <s v="abr"/>
          <s v="may"/>
          <s v="jun"/>
          <s v="jul"/>
          <s v="ago"/>
          <s v="sep"/>
          <s v="oct"/>
          <s v="nov"/>
          <s v="dic"/>
          <s v="&gt;2/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12">
  <r>
    <x v="0"/>
    <x v="0"/>
    <x v="0"/>
    <x v="0"/>
  </r>
  <r>
    <x v="1"/>
    <x v="0"/>
    <x v="1"/>
    <x v="1"/>
  </r>
  <r>
    <x v="2"/>
    <x v="0"/>
    <x v="2"/>
    <x v="2"/>
  </r>
  <r>
    <x v="3"/>
    <x v="0"/>
    <x v="1"/>
    <x v="1"/>
  </r>
  <r>
    <x v="4"/>
    <x v="0"/>
    <x v="1"/>
    <x v="3"/>
  </r>
  <r>
    <x v="5"/>
    <x v="0"/>
    <x v="0"/>
    <x v="0"/>
  </r>
  <r>
    <x v="6"/>
    <x v="0"/>
    <x v="3"/>
    <x v="0"/>
  </r>
  <r>
    <x v="7"/>
    <x v="0"/>
    <x v="3"/>
    <x v="0"/>
  </r>
  <r>
    <x v="8"/>
    <x v="0"/>
    <x v="4"/>
    <x v="4"/>
  </r>
  <r>
    <x v="9"/>
    <x v="0"/>
    <x v="4"/>
    <x v="4"/>
  </r>
  <r>
    <x v="10"/>
    <x v="0"/>
    <x v="3"/>
    <x v="0"/>
  </r>
  <r>
    <x v="11"/>
    <x v="0"/>
    <x v="1"/>
    <x v="5"/>
  </r>
  <r>
    <x v="12"/>
    <x v="0"/>
    <x v="1"/>
    <x v="5"/>
  </r>
  <r>
    <x v="13"/>
    <x v="0"/>
    <x v="1"/>
    <x v="1"/>
  </r>
  <r>
    <x v="14"/>
    <x v="0"/>
    <x v="1"/>
    <x v="1"/>
  </r>
  <r>
    <x v="14"/>
    <x v="0"/>
    <x v="1"/>
    <x v="1"/>
  </r>
  <r>
    <x v="15"/>
    <x v="0"/>
    <x v="1"/>
    <x v="1"/>
  </r>
  <r>
    <x v="16"/>
    <x v="0"/>
    <x v="4"/>
    <x v="4"/>
  </r>
  <r>
    <x v="17"/>
    <x v="0"/>
    <x v="4"/>
    <x v="4"/>
  </r>
  <r>
    <x v="18"/>
    <x v="0"/>
    <x v="1"/>
    <x v="5"/>
  </r>
  <r>
    <x v="19"/>
    <x v="0"/>
    <x v="1"/>
    <x v="5"/>
  </r>
  <r>
    <x v="20"/>
    <x v="0"/>
    <x v="1"/>
    <x v="6"/>
  </r>
  <r>
    <x v="21"/>
    <x v="0"/>
    <x v="1"/>
    <x v="1"/>
  </r>
  <r>
    <x v="22"/>
    <x v="0"/>
    <x v="1"/>
    <x v="1"/>
  </r>
  <r>
    <x v="23"/>
    <x v="0"/>
    <x v="1"/>
    <x v="1"/>
  </r>
  <r>
    <x v="24"/>
    <x v="0"/>
    <x v="1"/>
    <x v="5"/>
  </r>
  <r>
    <x v="25"/>
    <x v="0"/>
    <x v="1"/>
    <x v="5"/>
  </r>
  <r>
    <x v="26"/>
    <x v="0"/>
    <x v="1"/>
    <x v="1"/>
  </r>
  <r>
    <x v="27"/>
    <x v="0"/>
    <x v="1"/>
    <x v="1"/>
  </r>
  <r>
    <x v="28"/>
    <x v="0"/>
    <x v="1"/>
    <x v="1"/>
  </r>
  <r>
    <x v="29"/>
    <x v="0"/>
    <x v="1"/>
    <x v="1"/>
  </r>
  <r>
    <x v="30"/>
    <x v="0"/>
    <x v="1"/>
    <x v="1"/>
  </r>
  <r>
    <x v="31"/>
    <x v="0"/>
    <x v="1"/>
    <x v="1"/>
  </r>
  <r>
    <x v="32"/>
    <x v="0"/>
    <x v="4"/>
    <x v="4"/>
  </r>
  <r>
    <x v="33"/>
    <x v="0"/>
    <x v="1"/>
    <x v="1"/>
  </r>
  <r>
    <x v="34"/>
    <x v="0"/>
    <x v="4"/>
    <x v="4"/>
  </r>
  <r>
    <x v="34"/>
    <x v="0"/>
    <x v="4"/>
    <x v="4"/>
  </r>
  <r>
    <x v="25"/>
    <x v="0"/>
    <x v="1"/>
    <x v="5"/>
  </r>
  <r>
    <x v="18"/>
    <x v="0"/>
    <x v="1"/>
    <x v="7"/>
  </r>
  <r>
    <x v="35"/>
    <x v="0"/>
    <x v="1"/>
    <x v="8"/>
  </r>
  <r>
    <x v="36"/>
    <x v="0"/>
    <x v="1"/>
    <x v="9"/>
  </r>
  <r>
    <x v="25"/>
    <x v="0"/>
    <x v="1"/>
    <x v="5"/>
  </r>
  <r>
    <x v="37"/>
    <x v="0"/>
    <x v="1"/>
    <x v="1"/>
  </r>
  <r>
    <x v="38"/>
    <x v="0"/>
    <x v="4"/>
    <x v="4"/>
  </r>
  <r>
    <x v="39"/>
    <x v="0"/>
    <x v="1"/>
    <x v="1"/>
  </r>
  <r>
    <x v="40"/>
    <x v="0"/>
    <x v="1"/>
    <x v="9"/>
  </r>
  <r>
    <x v="41"/>
    <x v="0"/>
    <x v="1"/>
    <x v="1"/>
  </r>
  <r>
    <x v="42"/>
    <x v="0"/>
    <x v="1"/>
    <x v="1"/>
  </r>
  <r>
    <x v="43"/>
    <x v="0"/>
    <x v="1"/>
    <x v="1"/>
  </r>
  <r>
    <x v="44"/>
    <x v="0"/>
    <x v="4"/>
    <x v="4"/>
  </r>
  <r>
    <x v="45"/>
    <x v="0"/>
    <x v="4"/>
    <x v="4"/>
  </r>
  <r>
    <x v="46"/>
    <x v="0"/>
    <x v="4"/>
    <x v="4"/>
  </r>
  <r>
    <x v="47"/>
    <x v="0"/>
    <x v="5"/>
    <x v="0"/>
  </r>
  <r>
    <x v="48"/>
    <x v="0"/>
    <x v="5"/>
    <x v="0"/>
  </r>
  <r>
    <x v="49"/>
    <x v="0"/>
    <x v="5"/>
    <x v="0"/>
  </r>
  <r>
    <x v="50"/>
    <x v="0"/>
    <x v="1"/>
    <x v="5"/>
  </r>
  <r>
    <x v="51"/>
    <x v="0"/>
    <x v="1"/>
    <x v="1"/>
  </r>
  <r>
    <x v="52"/>
    <x v="0"/>
    <x v="1"/>
    <x v="5"/>
  </r>
  <r>
    <x v="53"/>
    <x v="0"/>
    <x v="4"/>
    <x v="4"/>
  </r>
  <r>
    <x v="54"/>
    <x v="0"/>
    <x v="4"/>
    <x v="4"/>
  </r>
  <r>
    <x v="55"/>
    <x v="0"/>
    <x v="4"/>
    <x v="4"/>
  </r>
  <r>
    <x v="55"/>
    <x v="0"/>
    <x v="1"/>
    <x v="9"/>
  </r>
  <r>
    <x v="56"/>
    <x v="0"/>
    <x v="4"/>
    <x v="4"/>
  </r>
  <r>
    <x v="56"/>
    <x v="0"/>
    <x v="1"/>
    <x v="9"/>
  </r>
  <r>
    <x v="57"/>
    <x v="0"/>
    <x v="4"/>
    <x v="4"/>
  </r>
  <r>
    <x v="58"/>
    <x v="0"/>
    <x v="1"/>
    <x v="1"/>
  </r>
  <r>
    <x v="58"/>
    <x v="0"/>
    <x v="4"/>
    <x v="4"/>
  </r>
  <r>
    <x v="58"/>
    <x v="0"/>
    <x v="4"/>
    <x v="4"/>
  </r>
  <r>
    <x v="58"/>
    <x v="0"/>
    <x v="1"/>
    <x v="9"/>
  </r>
  <r>
    <x v="59"/>
    <x v="0"/>
    <x v="4"/>
    <x v="4"/>
  </r>
  <r>
    <x v="59"/>
    <x v="0"/>
    <x v="1"/>
    <x v="9"/>
  </r>
  <r>
    <x v="56"/>
    <x v="0"/>
    <x v="1"/>
    <x v="1"/>
  </r>
  <r>
    <x v="56"/>
    <x v="0"/>
    <x v="4"/>
    <x v="4"/>
  </r>
  <r>
    <x v="60"/>
    <x v="0"/>
    <x v="1"/>
    <x v="1"/>
  </r>
  <r>
    <x v="60"/>
    <x v="0"/>
    <x v="4"/>
    <x v="4"/>
  </r>
  <r>
    <x v="58"/>
    <x v="0"/>
    <x v="1"/>
    <x v="1"/>
  </r>
  <r>
    <x v="58"/>
    <x v="0"/>
    <x v="4"/>
    <x v="4"/>
  </r>
  <r>
    <x v="61"/>
    <x v="0"/>
    <x v="1"/>
    <x v="1"/>
  </r>
  <r>
    <x v="61"/>
    <x v="0"/>
    <x v="4"/>
    <x v="4"/>
  </r>
  <r>
    <x v="58"/>
    <x v="0"/>
    <x v="4"/>
    <x v="4"/>
  </r>
  <r>
    <x v="58"/>
    <x v="0"/>
    <x v="1"/>
    <x v="9"/>
  </r>
  <r>
    <x v="62"/>
    <x v="0"/>
    <x v="6"/>
    <x v="0"/>
  </r>
  <r>
    <x v="63"/>
    <x v="0"/>
    <x v="7"/>
    <x v="0"/>
  </r>
  <r>
    <x v="64"/>
    <x v="0"/>
    <x v="7"/>
    <x v="0"/>
  </r>
  <r>
    <x v="65"/>
    <x v="0"/>
    <x v="7"/>
    <x v="0"/>
  </r>
  <r>
    <x v="66"/>
    <x v="0"/>
    <x v="1"/>
    <x v="9"/>
  </r>
  <r>
    <x v="67"/>
    <x v="0"/>
    <x v="3"/>
    <x v="0"/>
  </r>
  <r>
    <x v="68"/>
    <x v="0"/>
    <x v="1"/>
    <x v="1"/>
  </r>
  <r>
    <x v="35"/>
    <x v="0"/>
    <x v="1"/>
    <x v="9"/>
  </r>
  <r>
    <x v="35"/>
    <x v="0"/>
    <x v="1"/>
    <x v="9"/>
  </r>
  <r>
    <x v="69"/>
    <x v="0"/>
    <x v="4"/>
    <x v="4"/>
  </r>
  <r>
    <x v="70"/>
    <x v="0"/>
    <x v="3"/>
    <x v="0"/>
  </r>
  <r>
    <x v="71"/>
    <x v="0"/>
    <x v="1"/>
    <x v="1"/>
  </r>
  <r>
    <x v="72"/>
    <x v="0"/>
    <x v="1"/>
    <x v="1"/>
  </r>
  <r>
    <x v="73"/>
    <x v="0"/>
    <x v="3"/>
    <x v="0"/>
  </r>
  <r>
    <x v="74"/>
    <x v="0"/>
    <x v="1"/>
    <x v="9"/>
  </r>
  <r>
    <x v="75"/>
    <x v="0"/>
    <x v="1"/>
    <x v="9"/>
  </r>
  <r>
    <x v="75"/>
    <x v="0"/>
    <x v="1"/>
    <x v="1"/>
  </r>
  <r>
    <x v="76"/>
    <x v="0"/>
    <x v="4"/>
    <x v="4"/>
  </r>
  <r>
    <x v="75"/>
    <x v="0"/>
    <x v="2"/>
    <x v="10"/>
  </r>
  <r>
    <x v="41"/>
    <x v="0"/>
    <x v="1"/>
    <x v="5"/>
  </r>
  <r>
    <x v="75"/>
    <x v="0"/>
    <x v="2"/>
    <x v="10"/>
  </r>
  <r>
    <x v="77"/>
    <x v="0"/>
    <x v="1"/>
    <x v="1"/>
  </r>
  <r>
    <x v="78"/>
    <x v="0"/>
    <x v="4"/>
    <x v="4"/>
  </r>
  <r>
    <x v="18"/>
    <x v="0"/>
    <x v="1"/>
    <x v="1"/>
  </r>
  <r>
    <x v="35"/>
    <x v="0"/>
    <x v="1"/>
    <x v="1"/>
  </r>
  <r>
    <x v="79"/>
    <x v="0"/>
    <x v="1"/>
    <x v="1"/>
  </r>
  <r>
    <x v="35"/>
    <x v="0"/>
    <x v="1"/>
    <x v="9"/>
  </r>
  <r>
    <x v="80"/>
    <x v="0"/>
    <x v="1"/>
    <x v="1"/>
  </r>
  <r>
    <x v="36"/>
    <x v="0"/>
    <x v="1"/>
    <x v="1"/>
  </r>
  <r>
    <x v="36"/>
    <x v="0"/>
    <x v="4"/>
    <x v="4"/>
  </r>
  <r>
    <x v="81"/>
    <x v="0"/>
    <x v="4"/>
    <x v="4"/>
  </r>
  <r>
    <x v="82"/>
    <x v="0"/>
    <x v="1"/>
    <x v="9"/>
  </r>
  <r>
    <x v="83"/>
    <x v="0"/>
    <x v="6"/>
    <x v="0"/>
  </r>
  <r>
    <x v="84"/>
    <x v="0"/>
    <x v="1"/>
    <x v="1"/>
  </r>
  <r>
    <x v="85"/>
    <x v="0"/>
    <x v="1"/>
    <x v="9"/>
  </r>
  <r>
    <x v="86"/>
    <x v="0"/>
    <x v="1"/>
    <x v="9"/>
  </r>
  <r>
    <x v="87"/>
    <x v="0"/>
    <x v="4"/>
    <x v="4"/>
  </r>
  <r>
    <x v="88"/>
    <x v="0"/>
    <x v="0"/>
    <x v="0"/>
  </r>
  <r>
    <x v="89"/>
    <x v="0"/>
    <x v="1"/>
    <x v="9"/>
  </r>
  <r>
    <x v="90"/>
    <x v="0"/>
    <x v="4"/>
    <x v="4"/>
  </r>
  <r>
    <x v="91"/>
    <x v="0"/>
    <x v="4"/>
    <x v="4"/>
  </r>
  <r>
    <x v="92"/>
    <x v="0"/>
    <x v="4"/>
    <x v="4"/>
  </r>
  <r>
    <x v="93"/>
    <x v="0"/>
    <x v="1"/>
    <x v="9"/>
  </r>
  <r>
    <x v="94"/>
    <x v="0"/>
    <x v="4"/>
    <x v="4"/>
  </r>
  <r>
    <x v="95"/>
    <x v="0"/>
    <x v="1"/>
    <x v="1"/>
  </r>
  <r>
    <x v="41"/>
    <x v="0"/>
    <x v="1"/>
    <x v="9"/>
  </r>
  <r>
    <x v="96"/>
    <x v="0"/>
    <x v="4"/>
    <x v="11"/>
  </r>
  <r>
    <x v="97"/>
    <x v="0"/>
    <x v="4"/>
    <x v="11"/>
  </r>
  <r>
    <x v="98"/>
    <x v="0"/>
    <x v="1"/>
    <x v="9"/>
  </r>
  <r>
    <x v="99"/>
    <x v="0"/>
    <x v="1"/>
    <x v="1"/>
  </r>
  <r>
    <x v="100"/>
    <x v="0"/>
    <x v="2"/>
    <x v="12"/>
  </r>
  <r>
    <x v="75"/>
    <x v="0"/>
    <x v="2"/>
    <x v="12"/>
  </r>
  <r>
    <x v="101"/>
    <x v="0"/>
    <x v="1"/>
    <x v="8"/>
  </r>
  <r>
    <x v="102"/>
    <x v="0"/>
    <x v="1"/>
    <x v="9"/>
  </r>
  <r>
    <x v="103"/>
    <x v="0"/>
    <x v="4"/>
    <x v="4"/>
  </r>
  <r>
    <x v="104"/>
    <x v="0"/>
    <x v="1"/>
    <x v="1"/>
  </r>
  <r>
    <x v="105"/>
    <x v="0"/>
    <x v="1"/>
    <x v="9"/>
  </r>
  <r>
    <x v="11"/>
    <x v="0"/>
    <x v="1"/>
    <x v="1"/>
  </r>
  <r>
    <x v="106"/>
    <x v="0"/>
    <x v="1"/>
    <x v="1"/>
  </r>
  <r>
    <x v="76"/>
    <x v="0"/>
    <x v="1"/>
    <x v="1"/>
  </r>
  <r>
    <x v="107"/>
    <x v="0"/>
    <x v="1"/>
    <x v="1"/>
  </r>
  <r>
    <x v="108"/>
    <x v="0"/>
    <x v="1"/>
    <x v="1"/>
  </r>
  <r>
    <x v="109"/>
    <x v="0"/>
    <x v="1"/>
    <x v="1"/>
  </r>
  <r>
    <x v="36"/>
    <x v="0"/>
    <x v="1"/>
    <x v="1"/>
  </r>
  <r>
    <x v="109"/>
    <x v="0"/>
    <x v="4"/>
    <x v="4"/>
  </r>
  <r>
    <x v="36"/>
    <x v="0"/>
    <x v="4"/>
    <x v="4"/>
  </r>
  <r>
    <x v="110"/>
    <x v="0"/>
    <x v="1"/>
    <x v="1"/>
  </r>
  <r>
    <x v="110"/>
    <x v="0"/>
    <x v="1"/>
    <x v="1"/>
  </r>
  <r>
    <x v="111"/>
    <x v="0"/>
    <x v="5"/>
    <x v="0"/>
  </r>
  <r>
    <x v="76"/>
    <x v="0"/>
    <x v="1"/>
    <x v="9"/>
  </r>
  <r>
    <x v="112"/>
    <x v="0"/>
    <x v="1"/>
    <x v="9"/>
  </r>
  <r>
    <x v="113"/>
    <x v="0"/>
    <x v="1"/>
    <x v="1"/>
  </r>
  <r>
    <x v="114"/>
    <x v="0"/>
    <x v="1"/>
    <x v="9"/>
  </r>
  <r>
    <x v="75"/>
    <x v="0"/>
    <x v="1"/>
    <x v="9"/>
  </r>
  <r>
    <x v="105"/>
    <x v="0"/>
    <x v="4"/>
    <x v="11"/>
  </r>
  <r>
    <x v="115"/>
    <x v="0"/>
    <x v="1"/>
    <x v="1"/>
  </r>
  <r>
    <x v="116"/>
    <x v="0"/>
    <x v="1"/>
    <x v="1"/>
  </r>
  <r>
    <x v="109"/>
    <x v="0"/>
    <x v="1"/>
    <x v="1"/>
  </r>
  <r>
    <x v="36"/>
    <x v="0"/>
    <x v="1"/>
    <x v="1"/>
  </r>
  <r>
    <x v="109"/>
    <x v="0"/>
    <x v="4"/>
    <x v="4"/>
  </r>
  <r>
    <x v="36"/>
    <x v="0"/>
    <x v="4"/>
    <x v="4"/>
  </r>
  <r>
    <x v="117"/>
    <x v="0"/>
    <x v="1"/>
    <x v="9"/>
  </r>
  <r>
    <x v="35"/>
    <x v="0"/>
    <x v="1"/>
    <x v="9"/>
  </r>
  <r>
    <x v="118"/>
    <x v="0"/>
    <x v="1"/>
    <x v="1"/>
  </r>
  <r>
    <x v="119"/>
    <x v="0"/>
    <x v="1"/>
    <x v="1"/>
  </r>
  <r>
    <x v="120"/>
    <x v="0"/>
    <x v="1"/>
    <x v="9"/>
  </r>
  <r>
    <x v="121"/>
    <x v="0"/>
    <x v="1"/>
    <x v="1"/>
  </r>
  <r>
    <x v="121"/>
    <x v="0"/>
    <x v="1"/>
    <x v="1"/>
  </r>
  <r>
    <x v="121"/>
    <x v="0"/>
    <x v="1"/>
    <x v="1"/>
  </r>
  <r>
    <x v="122"/>
    <x v="0"/>
    <x v="1"/>
    <x v="1"/>
  </r>
  <r>
    <x v="123"/>
    <x v="0"/>
    <x v="1"/>
    <x v="1"/>
  </r>
  <r>
    <x v="124"/>
    <x v="0"/>
    <x v="4"/>
    <x v="4"/>
  </r>
  <r>
    <x v="125"/>
    <x v="0"/>
    <x v="0"/>
    <x v="0"/>
  </r>
  <r>
    <x v="126"/>
    <x v="0"/>
    <x v="0"/>
    <x v="0"/>
  </r>
  <r>
    <x v="127"/>
    <x v="0"/>
    <x v="0"/>
    <x v="0"/>
  </r>
  <r>
    <x v="128"/>
    <x v="0"/>
    <x v="1"/>
    <x v="9"/>
  </r>
  <r>
    <x v="75"/>
    <x v="0"/>
    <x v="1"/>
    <x v="9"/>
  </r>
  <r>
    <x v="129"/>
    <x v="0"/>
    <x v="4"/>
    <x v="4"/>
  </r>
  <r>
    <x v="46"/>
    <x v="0"/>
    <x v="4"/>
    <x v="11"/>
  </r>
  <r>
    <x v="130"/>
    <x v="0"/>
    <x v="1"/>
    <x v="1"/>
  </r>
  <r>
    <x v="35"/>
    <x v="0"/>
    <x v="1"/>
    <x v="1"/>
  </r>
  <r>
    <x v="131"/>
    <x v="0"/>
    <x v="1"/>
    <x v="1"/>
  </r>
  <r>
    <x v="132"/>
    <x v="0"/>
    <x v="1"/>
    <x v="1"/>
  </r>
  <r>
    <x v="105"/>
    <x v="0"/>
    <x v="1"/>
    <x v="1"/>
  </r>
  <r>
    <x v="36"/>
    <x v="0"/>
    <x v="1"/>
    <x v="1"/>
  </r>
  <r>
    <x v="109"/>
    <x v="0"/>
    <x v="4"/>
    <x v="4"/>
  </r>
  <r>
    <x v="46"/>
    <x v="0"/>
    <x v="4"/>
    <x v="4"/>
  </r>
  <r>
    <x v="133"/>
    <x v="0"/>
    <x v="4"/>
    <x v="4"/>
  </r>
  <r>
    <x v="134"/>
    <x v="0"/>
    <x v="1"/>
    <x v="9"/>
  </r>
  <r>
    <x v="112"/>
    <x v="0"/>
    <x v="1"/>
    <x v="9"/>
  </r>
  <r>
    <x v="135"/>
    <x v="0"/>
    <x v="6"/>
    <x v="13"/>
  </r>
  <r>
    <x v="136"/>
    <x v="0"/>
    <x v="4"/>
    <x v="4"/>
  </r>
  <r>
    <x v="136"/>
    <x v="0"/>
    <x v="1"/>
    <x v="1"/>
  </r>
  <r>
    <x v="137"/>
    <x v="0"/>
    <x v="1"/>
    <x v="1"/>
  </r>
  <r>
    <x v="138"/>
    <x v="0"/>
    <x v="1"/>
    <x v="14"/>
  </r>
  <r>
    <x v="139"/>
    <x v="0"/>
    <x v="1"/>
    <x v="1"/>
  </r>
  <r>
    <x v="140"/>
    <x v="0"/>
    <x v="1"/>
    <x v="9"/>
  </r>
  <r>
    <x v="141"/>
    <x v="0"/>
    <x v="1"/>
    <x v="8"/>
  </r>
  <r>
    <x v="142"/>
    <x v="0"/>
    <x v="4"/>
    <x v="4"/>
  </r>
  <r>
    <x v="99"/>
    <x v="0"/>
    <x v="1"/>
    <x v="1"/>
  </r>
  <r>
    <x v="99"/>
    <x v="0"/>
    <x v="4"/>
    <x v="4"/>
  </r>
  <r>
    <x v="143"/>
    <x v="0"/>
    <x v="1"/>
    <x v="1"/>
  </r>
  <r>
    <x v="118"/>
    <x v="0"/>
    <x v="4"/>
    <x v="4"/>
  </r>
  <r>
    <x v="144"/>
    <x v="0"/>
    <x v="5"/>
    <x v="0"/>
  </r>
  <r>
    <x v="145"/>
    <x v="0"/>
    <x v="2"/>
    <x v="10"/>
  </r>
  <r>
    <x v="146"/>
    <x v="0"/>
    <x v="1"/>
    <x v="1"/>
  </r>
  <r>
    <x v="147"/>
    <x v="0"/>
    <x v="1"/>
    <x v="8"/>
  </r>
  <r>
    <x v="148"/>
    <x v="0"/>
    <x v="4"/>
    <x v="4"/>
  </r>
  <r>
    <x v="149"/>
    <x v="0"/>
    <x v="1"/>
    <x v="1"/>
  </r>
  <r>
    <x v="150"/>
    <x v="0"/>
    <x v="3"/>
    <x v="0"/>
  </r>
  <r>
    <x v="151"/>
    <x v="0"/>
    <x v="3"/>
    <x v="0"/>
  </r>
  <r>
    <x v="152"/>
    <x v="0"/>
    <x v="5"/>
    <x v="0"/>
  </r>
  <r>
    <x v="153"/>
    <x v="0"/>
    <x v="4"/>
    <x v="4"/>
  </r>
  <r>
    <x v="154"/>
    <x v="0"/>
    <x v="1"/>
    <x v="8"/>
  </r>
  <r>
    <x v="155"/>
    <x v="0"/>
    <x v="1"/>
    <x v="8"/>
  </r>
  <r>
    <x v="156"/>
    <x v="0"/>
    <x v="1"/>
    <x v="9"/>
  </r>
  <r>
    <x v="41"/>
    <x v="0"/>
    <x v="1"/>
    <x v="8"/>
  </r>
  <r>
    <x v="157"/>
    <x v="0"/>
    <x v="1"/>
    <x v="8"/>
  </r>
  <r>
    <x v="158"/>
    <x v="0"/>
    <x v="1"/>
    <x v="9"/>
  </r>
  <r>
    <x v="159"/>
    <x v="0"/>
    <x v="1"/>
    <x v="8"/>
  </r>
  <r>
    <x v="159"/>
    <x v="0"/>
    <x v="1"/>
    <x v="8"/>
  </r>
  <r>
    <x v="160"/>
    <x v="0"/>
    <x v="1"/>
    <x v="8"/>
  </r>
  <r>
    <x v="159"/>
    <x v="0"/>
    <x v="1"/>
    <x v="9"/>
  </r>
  <r>
    <x v="161"/>
    <x v="0"/>
    <x v="1"/>
    <x v="1"/>
  </r>
  <r>
    <x v="162"/>
    <x v="0"/>
    <x v="1"/>
    <x v="1"/>
  </r>
  <r>
    <x v="163"/>
    <x v="0"/>
    <x v="1"/>
    <x v="1"/>
  </r>
  <r>
    <x v="164"/>
    <x v="0"/>
    <x v="1"/>
    <x v="1"/>
  </r>
  <r>
    <x v="81"/>
    <x v="0"/>
    <x v="1"/>
    <x v="1"/>
  </r>
  <r>
    <x v="162"/>
    <x v="0"/>
    <x v="4"/>
    <x v="4"/>
  </r>
  <r>
    <x v="36"/>
    <x v="0"/>
    <x v="4"/>
    <x v="4"/>
  </r>
  <r>
    <x v="165"/>
    <x v="0"/>
    <x v="4"/>
    <x v="4"/>
  </r>
  <r>
    <x v="132"/>
    <x v="0"/>
    <x v="1"/>
    <x v="1"/>
  </r>
  <r>
    <x v="166"/>
    <x v="0"/>
    <x v="4"/>
    <x v="4"/>
  </r>
  <r>
    <x v="36"/>
    <x v="0"/>
    <x v="4"/>
    <x v="4"/>
  </r>
  <r>
    <x v="36"/>
    <x v="0"/>
    <x v="4"/>
    <x v="4"/>
  </r>
  <r>
    <x v="167"/>
    <x v="0"/>
    <x v="1"/>
    <x v="1"/>
  </r>
  <r>
    <x v="167"/>
    <x v="0"/>
    <x v="1"/>
    <x v="1"/>
  </r>
  <r>
    <x v="100"/>
    <x v="0"/>
    <x v="1"/>
    <x v="1"/>
  </r>
  <r>
    <x v="168"/>
    <x v="0"/>
    <x v="1"/>
    <x v="1"/>
  </r>
  <r>
    <x v="18"/>
    <x v="0"/>
    <x v="1"/>
    <x v="1"/>
  </r>
  <r>
    <x v="169"/>
    <x v="0"/>
    <x v="4"/>
    <x v="4"/>
  </r>
  <r>
    <x v="36"/>
    <x v="0"/>
    <x v="4"/>
    <x v="4"/>
  </r>
  <r>
    <x v="170"/>
    <x v="0"/>
    <x v="5"/>
    <x v="0"/>
  </r>
  <r>
    <x v="171"/>
    <x v="0"/>
    <x v="4"/>
    <x v="4"/>
  </r>
  <r>
    <x v="172"/>
    <x v="0"/>
    <x v="1"/>
    <x v="1"/>
  </r>
  <r>
    <x v="173"/>
    <x v="0"/>
    <x v="1"/>
    <x v="8"/>
  </r>
  <r>
    <x v="174"/>
    <x v="0"/>
    <x v="3"/>
    <x v="0"/>
  </r>
  <r>
    <x v="175"/>
    <x v="0"/>
    <x v="3"/>
    <x v="0"/>
  </r>
  <r>
    <x v="176"/>
    <x v="0"/>
    <x v="4"/>
    <x v="4"/>
  </r>
  <r>
    <x v="177"/>
    <x v="0"/>
    <x v="0"/>
    <x v="0"/>
  </r>
  <r>
    <x v="178"/>
    <x v="0"/>
    <x v="0"/>
    <x v="0"/>
  </r>
  <r>
    <x v="179"/>
    <x v="0"/>
    <x v="3"/>
    <x v="0"/>
  </r>
  <r>
    <x v="115"/>
    <x v="0"/>
    <x v="6"/>
    <x v="13"/>
  </r>
  <r>
    <x v="115"/>
    <x v="0"/>
    <x v="1"/>
    <x v="7"/>
  </r>
  <r>
    <x v="180"/>
    <x v="0"/>
    <x v="1"/>
    <x v="9"/>
  </r>
  <r>
    <x v="168"/>
    <x v="0"/>
    <x v="4"/>
    <x v="11"/>
  </r>
  <r>
    <x v="181"/>
    <x v="0"/>
    <x v="0"/>
    <x v="0"/>
  </r>
  <r>
    <x v="182"/>
    <x v="0"/>
    <x v="0"/>
    <x v="0"/>
  </r>
  <r>
    <x v="183"/>
    <x v="0"/>
    <x v="4"/>
    <x v="4"/>
  </r>
  <r>
    <x v="184"/>
    <x v="0"/>
    <x v="4"/>
    <x v="4"/>
  </r>
  <r>
    <x v="185"/>
    <x v="0"/>
    <x v="4"/>
    <x v="4"/>
  </r>
  <r>
    <x v="186"/>
    <x v="0"/>
    <x v="1"/>
    <x v="9"/>
  </r>
  <r>
    <x v="187"/>
    <x v="0"/>
    <x v="4"/>
    <x v="4"/>
  </r>
  <r>
    <x v="188"/>
    <x v="0"/>
    <x v="3"/>
    <x v="0"/>
  </r>
  <r>
    <x v="189"/>
    <x v="0"/>
    <x v="1"/>
    <x v="1"/>
  </r>
  <r>
    <x v="190"/>
    <x v="0"/>
    <x v="1"/>
    <x v="1"/>
  </r>
  <r>
    <x v="101"/>
    <x v="0"/>
    <x v="1"/>
    <x v="9"/>
  </r>
  <r>
    <x v="191"/>
    <x v="0"/>
    <x v="1"/>
    <x v="15"/>
  </r>
  <r>
    <x v="192"/>
    <x v="0"/>
    <x v="1"/>
    <x v="15"/>
  </r>
  <r>
    <x v="192"/>
    <x v="0"/>
    <x v="1"/>
    <x v="15"/>
  </r>
  <r>
    <x v="24"/>
    <x v="0"/>
    <x v="1"/>
    <x v="15"/>
  </r>
  <r>
    <x v="24"/>
    <x v="0"/>
    <x v="1"/>
    <x v="15"/>
  </r>
  <r>
    <x v="193"/>
    <x v="0"/>
    <x v="1"/>
    <x v="1"/>
  </r>
  <r>
    <x v="194"/>
    <x v="0"/>
    <x v="1"/>
    <x v="1"/>
  </r>
  <r>
    <x v="195"/>
    <x v="0"/>
    <x v="1"/>
    <x v="1"/>
  </r>
  <r>
    <x v="196"/>
    <x v="0"/>
    <x v="4"/>
    <x v="11"/>
  </r>
  <r>
    <x v="197"/>
    <x v="0"/>
    <x v="5"/>
    <x v="0"/>
  </r>
  <r>
    <x v="18"/>
    <x v="0"/>
    <x v="1"/>
    <x v="15"/>
  </r>
  <r>
    <x v="198"/>
    <x v="0"/>
    <x v="1"/>
    <x v="15"/>
  </r>
  <r>
    <x v="199"/>
    <x v="0"/>
    <x v="4"/>
    <x v="4"/>
  </r>
  <r>
    <x v="200"/>
    <x v="0"/>
    <x v="1"/>
    <x v="1"/>
  </r>
  <r>
    <x v="201"/>
    <x v="0"/>
    <x v="1"/>
    <x v="1"/>
  </r>
  <r>
    <x v="168"/>
    <x v="0"/>
    <x v="1"/>
    <x v="1"/>
  </r>
  <r>
    <x v="202"/>
    <x v="0"/>
    <x v="1"/>
    <x v="1"/>
  </r>
  <r>
    <x v="203"/>
    <x v="0"/>
    <x v="1"/>
    <x v="1"/>
  </r>
  <r>
    <x v="204"/>
    <x v="0"/>
    <x v="1"/>
    <x v="1"/>
  </r>
  <r>
    <x v="205"/>
    <x v="0"/>
    <x v="1"/>
    <x v="15"/>
  </r>
  <r>
    <x v="206"/>
    <x v="0"/>
    <x v="3"/>
    <x v="0"/>
  </r>
  <r>
    <x v="207"/>
    <x v="0"/>
    <x v="3"/>
    <x v="0"/>
  </r>
  <r>
    <x v="208"/>
    <x v="0"/>
    <x v="4"/>
    <x v="4"/>
  </r>
  <r>
    <x v="209"/>
    <x v="0"/>
    <x v="1"/>
    <x v="1"/>
  </r>
  <r>
    <x v="210"/>
    <x v="0"/>
    <x v="4"/>
    <x v="11"/>
  </r>
  <r>
    <x v="211"/>
    <x v="0"/>
    <x v="4"/>
    <x v="4"/>
  </r>
  <r>
    <x v="160"/>
    <x v="0"/>
    <x v="1"/>
    <x v="15"/>
  </r>
  <r>
    <x v="196"/>
    <x v="0"/>
    <x v="4"/>
    <x v="11"/>
  </r>
  <r>
    <x v="212"/>
    <x v="0"/>
    <x v="4"/>
    <x v="4"/>
  </r>
  <r>
    <x v="139"/>
    <x v="0"/>
    <x v="4"/>
    <x v="4"/>
  </r>
  <r>
    <x v="132"/>
    <x v="0"/>
    <x v="1"/>
    <x v="1"/>
  </r>
  <r>
    <x v="213"/>
    <x v="0"/>
    <x v="1"/>
    <x v="1"/>
  </r>
  <r>
    <x v="214"/>
    <x v="0"/>
    <x v="1"/>
    <x v="15"/>
  </r>
  <r>
    <x v="215"/>
    <x v="0"/>
    <x v="1"/>
    <x v="7"/>
  </r>
  <r>
    <x v="216"/>
    <x v="0"/>
    <x v="1"/>
    <x v="16"/>
  </r>
  <r>
    <x v="217"/>
    <x v="0"/>
    <x v="1"/>
    <x v="15"/>
  </r>
  <r>
    <x v="218"/>
    <x v="0"/>
    <x v="1"/>
    <x v="7"/>
  </r>
  <r>
    <x v="218"/>
    <x v="0"/>
    <x v="1"/>
    <x v="16"/>
  </r>
  <r>
    <x v="219"/>
    <x v="0"/>
    <x v="1"/>
    <x v="15"/>
  </r>
  <r>
    <x v="220"/>
    <x v="0"/>
    <x v="1"/>
    <x v="17"/>
  </r>
  <r>
    <x v="221"/>
    <x v="0"/>
    <x v="1"/>
    <x v="15"/>
  </r>
  <r>
    <x v="222"/>
    <x v="0"/>
    <x v="1"/>
    <x v="7"/>
  </r>
  <r>
    <x v="223"/>
    <x v="0"/>
    <x v="1"/>
    <x v="16"/>
  </r>
  <r>
    <x v="224"/>
    <x v="0"/>
    <x v="1"/>
    <x v="17"/>
  </r>
  <r>
    <x v="225"/>
    <x v="0"/>
    <x v="1"/>
    <x v="15"/>
  </r>
  <r>
    <x v="226"/>
    <x v="0"/>
    <x v="1"/>
    <x v="7"/>
  </r>
  <r>
    <x v="227"/>
    <x v="0"/>
    <x v="1"/>
    <x v="16"/>
  </r>
  <r>
    <x v="228"/>
    <x v="0"/>
    <x v="1"/>
    <x v="15"/>
  </r>
  <r>
    <x v="229"/>
    <x v="0"/>
    <x v="1"/>
    <x v="7"/>
  </r>
  <r>
    <x v="230"/>
    <x v="0"/>
    <x v="1"/>
    <x v="16"/>
  </r>
  <r>
    <x v="231"/>
    <x v="0"/>
    <x v="1"/>
    <x v="15"/>
  </r>
  <r>
    <x v="232"/>
    <x v="0"/>
    <x v="1"/>
    <x v="7"/>
  </r>
  <r>
    <x v="232"/>
    <x v="0"/>
    <x v="1"/>
    <x v="16"/>
  </r>
  <r>
    <x v="233"/>
    <x v="0"/>
    <x v="1"/>
    <x v="15"/>
  </r>
  <r>
    <x v="234"/>
    <x v="0"/>
    <x v="1"/>
    <x v="1"/>
  </r>
  <r>
    <x v="235"/>
    <x v="0"/>
    <x v="4"/>
    <x v="4"/>
  </r>
  <r>
    <x v="173"/>
    <x v="0"/>
    <x v="1"/>
    <x v="8"/>
  </r>
  <r>
    <x v="236"/>
    <x v="0"/>
    <x v="1"/>
    <x v="9"/>
  </r>
  <r>
    <x v="237"/>
    <x v="0"/>
    <x v="1"/>
    <x v="15"/>
  </r>
  <r>
    <x v="238"/>
    <x v="0"/>
    <x v="1"/>
    <x v="9"/>
  </r>
  <r>
    <x v="239"/>
    <x v="0"/>
    <x v="1"/>
    <x v="15"/>
  </r>
  <r>
    <x v="240"/>
    <x v="0"/>
    <x v="1"/>
    <x v="9"/>
  </r>
  <r>
    <x v="241"/>
    <x v="0"/>
    <x v="1"/>
    <x v="15"/>
  </r>
  <r>
    <x v="217"/>
    <x v="0"/>
    <x v="1"/>
    <x v="9"/>
  </r>
  <r>
    <x v="231"/>
    <x v="0"/>
    <x v="1"/>
    <x v="15"/>
  </r>
  <r>
    <x v="242"/>
    <x v="0"/>
    <x v="1"/>
    <x v="5"/>
  </r>
  <r>
    <x v="243"/>
    <x v="0"/>
    <x v="1"/>
    <x v="5"/>
  </r>
  <r>
    <x v="244"/>
    <x v="0"/>
    <x v="1"/>
    <x v="5"/>
  </r>
  <r>
    <x v="245"/>
    <x v="0"/>
    <x v="1"/>
    <x v="5"/>
  </r>
  <r>
    <x v="246"/>
    <x v="0"/>
    <x v="1"/>
    <x v="5"/>
  </r>
  <r>
    <x v="247"/>
    <x v="0"/>
    <x v="1"/>
    <x v="5"/>
  </r>
  <r>
    <x v="248"/>
    <x v="0"/>
    <x v="1"/>
    <x v="5"/>
  </r>
  <r>
    <x v="249"/>
    <x v="0"/>
    <x v="1"/>
    <x v="5"/>
  </r>
  <r>
    <x v="160"/>
    <x v="0"/>
    <x v="1"/>
    <x v="8"/>
  </r>
  <r>
    <x v="250"/>
    <x v="0"/>
    <x v="4"/>
    <x v="11"/>
  </r>
  <r>
    <x v="251"/>
    <x v="0"/>
    <x v="1"/>
    <x v="14"/>
  </r>
  <r>
    <x v="252"/>
    <x v="0"/>
    <x v="3"/>
    <x v="0"/>
  </r>
  <r>
    <x v="253"/>
    <x v="0"/>
    <x v="1"/>
    <x v="15"/>
  </r>
  <r>
    <x v="103"/>
    <x v="0"/>
    <x v="4"/>
    <x v="4"/>
  </r>
  <r>
    <x v="254"/>
    <x v="0"/>
    <x v="1"/>
    <x v="9"/>
  </r>
  <r>
    <x v="255"/>
    <x v="0"/>
    <x v="0"/>
    <x v="0"/>
  </r>
  <r>
    <x v="132"/>
    <x v="0"/>
    <x v="1"/>
    <x v="1"/>
  </r>
  <r>
    <x v="35"/>
    <x v="0"/>
    <x v="1"/>
    <x v="1"/>
  </r>
  <r>
    <x v="35"/>
    <x v="0"/>
    <x v="1"/>
    <x v="1"/>
  </r>
  <r>
    <x v="256"/>
    <x v="0"/>
    <x v="1"/>
    <x v="1"/>
  </r>
  <r>
    <x v="257"/>
    <x v="0"/>
    <x v="3"/>
    <x v="0"/>
  </r>
  <r>
    <x v="36"/>
    <x v="0"/>
    <x v="1"/>
    <x v="1"/>
  </r>
  <r>
    <x v="258"/>
    <x v="0"/>
    <x v="1"/>
    <x v="1"/>
  </r>
  <r>
    <x v="35"/>
    <x v="0"/>
    <x v="1"/>
    <x v="1"/>
  </r>
  <r>
    <x v="157"/>
    <x v="0"/>
    <x v="1"/>
    <x v="1"/>
  </r>
  <r>
    <x v="259"/>
    <x v="0"/>
    <x v="1"/>
    <x v="1"/>
  </r>
  <r>
    <x v="76"/>
    <x v="0"/>
    <x v="1"/>
    <x v="1"/>
  </r>
  <r>
    <x v="260"/>
    <x v="0"/>
    <x v="1"/>
    <x v="1"/>
  </r>
  <r>
    <x v="261"/>
    <x v="0"/>
    <x v="2"/>
    <x v="18"/>
  </r>
  <r>
    <x v="262"/>
    <x v="0"/>
    <x v="2"/>
    <x v="18"/>
  </r>
  <r>
    <x v="263"/>
    <x v="0"/>
    <x v="2"/>
    <x v="19"/>
  </r>
  <r>
    <x v="264"/>
    <x v="0"/>
    <x v="2"/>
    <x v="19"/>
  </r>
  <r>
    <x v="24"/>
    <x v="0"/>
    <x v="1"/>
    <x v="15"/>
  </r>
  <r>
    <x v="265"/>
    <x v="0"/>
    <x v="5"/>
    <x v="0"/>
  </r>
  <r>
    <x v="24"/>
    <x v="0"/>
    <x v="1"/>
    <x v="15"/>
  </r>
  <r>
    <x v="99"/>
    <x v="0"/>
    <x v="1"/>
    <x v="9"/>
  </r>
  <r>
    <x v="133"/>
    <x v="0"/>
    <x v="0"/>
    <x v="0"/>
  </r>
  <r>
    <x v="266"/>
    <x v="0"/>
    <x v="4"/>
    <x v="4"/>
  </r>
  <r>
    <x v="267"/>
    <x v="0"/>
    <x v="4"/>
    <x v="4"/>
  </r>
  <r>
    <x v="268"/>
    <x v="0"/>
    <x v="1"/>
    <x v="9"/>
  </r>
  <r>
    <x v="269"/>
    <x v="0"/>
    <x v="1"/>
    <x v="1"/>
  </r>
  <r>
    <x v="270"/>
    <x v="0"/>
    <x v="1"/>
    <x v="1"/>
  </r>
  <r>
    <x v="35"/>
    <x v="0"/>
    <x v="1"/>
    <x v="1"/>
  </r>
  <r>
    <x v="271"/>
    <x v="0"/>
    <x v="7"/>
    <x v="0"/>
  </r>
  <r>
    <x v="272"/>
    <x v="0"/>
    <x v="3"/>
    <x v="0"/>
  </r>
  <r>
    <x v="273"/>
    <x v="0"/>
    <x v="0"/>
    <x v="0"/>
  </r>
  <r>
    <x v="274"/>
    <x v="0"/>
    <x v="3"/>
    <x v="0"/>
  </r>
  <r>
    <x v="101"/>
    <x v="0"/>
    <x v="1"/>
    <x v="1"/>
  </r>
  <r>
    <x v="161"/>
    <x v="0"/>
    <x v="4"/>
    <x v="11"/>
  </r>
  <r>
    <x v="75"/>
    <x v="0"/>
    <x v="4"/>
    <x v="11"/>
  </r>
  <r>
    <x v="75"/>
    <x v="0"/>
    <x v="4"/>
    <x v="11"/>
  </r>
  <r>
    <x v="75"/>
    <x v="0"/>
    <x v="4"/>
    <x v="11"/>
  </r>
  <r>
    <x v="40"/>
    <x v="0"/>
    <x v="4"/>
    <x v="11"/>
  </r>
  <r>
    <x v="275"/>
    <x v="0"/>
    <x v="4"/>
    <x v="11"/>
  </r>
  <r>
    <x v="276"/>
    <x v="0"/>
    <x v="4"/>
    <x v="11"/>
  </r>
  <r>
    <x v="277"/>
    <x v="0"/>
    <x v="1"/>
    <x v="1"/>
  </r>
  <r>
    <x v="278"/>
    <x v="0"/>
    <x v="4"/>
    <x v="4"/>
  </r>
  <r>
    <x v="118"/>
    <x v="0"/>
    <x v="1"/>
    <x v="1"/>
  </r>
  <r>
    <x v="279"/>
    <x v="0"/>
    <x v="1"/>
    <x v="1"/>
  </r>
  <r>
    <x v="280"/>
    <x v="0"/>
    <x v="1"/>
    <x v="1"/>
  </r>
  <r>
    <x v="232"/>
    <x v="0"/>
    <x v="1"/>
    <x v="1"/>
  </r>
  <r>
    <x v="281"/>
    <x v="0"/>
    <x v="1"/>
    <x v="1"/>
  </r>
  <r>
    <x v="109"/>
    <x v="0"/>
    <x v="1"/>
    <x v="1"/>
  </r>
  <r>
    <x v="282"/>
    <x v="0"/>
    <x v="1"/>
    <x v="1"/>
  </r>
  <r>
    <x v="283"/>
    <x v="0"/>
    <x v="4"/>
    <x v="4"/>
  </r>
  <r>
    <x v="18"/>
    <x v="0"/>
    <x v="4"/>
    <x v="4"/>
  </r>
  <r>
    <x v="284"/>
    <x v="0"/>
    <x v="4"/>
    <x v="4"/>
  </r>
  <r>
    <x v="285"/>
    <x v="0"/>
    <x v="1"/>
    <x v="1"/>
  </r>
  <r>
    <x v="286"/>
    <x v="0"/>
    <x v="1"/>
    <x v="17"/>
  </r>
  <r>
    <x v="99"/>
    <x v="0"/>
    <x v="6"/>
    <x v="20"/>
  </r>
  <r>
    <x v="99"/>
    <x v="0"/>
    <x v="6"/>
    <x v="21"/>
  </r>
  <r>
    <x v="75"/>
    <x v="0"/>
    <x v="1"/>
    <x v="17"/>
  </r>
  <r>
    <x v="166"/>
    <x v="0"/>
    <x v="1"/>
    <x v="1"/>
  </r>
  <r>
    <x v="287"/>
    <x v="0"/>
    <x v="1"/>
    <x v="1"/>
  </r>
  <r>
    <x v="288"/>
    <x v="0"/>
    <x v="1"/>
    <x v="15"/>
  </r>
  <r>
    <x v="288"/>
    <x v="0"/>
    <x v="1"/>
    <x v="9"/>
  </r>
  <r>
    <x v="289"/>
    <x v="0"/>
    <x v="1"/>
    <x v="1"/>
  </r>
  <r>
    <x v="290"/>
    <x v="0"/>
    <x v="1"/>
    <x v="15"/>
  </r>
  <r>
    <x v="290"/>
    <x v="0"/>
    <x v="1"/>
    <x v="9"/>
  </r>
  <r>
    <x v="291"/>
    <x v="0"/>
    <x v="1"/>
    <x v="15"/>
  </r>
  <r>
    <x v="291"/>
    <x v="0"/>
    <x v="1"/>
    <x v="9"/>
  </r>
  <r>
    <x v="292"/>
    <x v="0"/>
    <x v="1"/>
    <x v="15"/>
  </r>
  <r>
    <x v="292"/>
    <x v="0"/>
    <x v="1"/>
    <x v="9"/>
  </r>
  <r>
    <x v="293"/>
    <x v="0"/>
    <x v="1"/>
    <x v="1"/>
  </r>
  <r>
    <x v="294"/>
    <x v="0"/>
    <x v="1"/>
    <x v="1"/>
  </r>
  <r>
    <x v="295"/>
    <x v="0"/>
    <x v="4"/>
    <x v="4"/>
  </r>
  <r>
    <x v="296"/>
    <x v="0"/>
    <x v="1"/>
    <x v="9"/>
  </r>
  <r>
    <x v="297"/>
    <x v="0"/>
    <x v="1"/>
    <x v="1"/>
  </r>
  <r>
    <x v="298"/>
    <x v="0"/>
    <x v="1"/>
    <x v="15"/>
  </r>
  <r>
    <x v="299"/>
    <x v="0"/>
    <x v="4"/>
    <x v="4"/>
  </r>
  <r>
    <x v="300"/>
    <x v="0"/>
    <x v="1"/>
    <x v="1"/>
  </r>
  <r>
    <x v="301"/>
    <x v="0"/>
    <x v="4"/>
    <x v="4"/>
  </r>
  <r>
    <x v="302"/>
    <x v="0"/>
    <x v="4"/>
    <x v="4"/>
  </r>
  <r>
    <x v="303"/>
    <x v="0"/>
    <x v="4"/>
    <x v="4"/>
  </r>
  <r>
    <x v="304"/>
    <x v="0"/>
    <x v="4"/>
    <x v="4"/>
  </r>
  <r>
    <x v="305"/>
    <x v="0"/>
    <x v="4"/>
    <x v="4"/>
  </r>
  <r>
    <x v="306"/>
    <x v="0"/>
    <x v="4"/>
    <x v="4"/>
  </r>
  <r>
    <x v="307"/>
    <x v="0"/>
    <x v="4"/>
    <x v="4"/>
  </r>
  <r>
    <x v="308"/>
    <x v="0"/>
    <x v="4"/>
    <x v="11"/>
  </r>
  <r>
    <x v="304"/>
    <x v="0"/>
    <x v="4"/>
    <x v="4"/>
  </r>
  <r>
    <x v="309"/>
    <x v="0"/>
    <x v="1"/>
    <x v="15"/>
  </r>
  <r>
    <x v="309"/>
    <x v="0"/>
    <x v="1"/>
    <x v="9"/>
  </r>
  <r>
    <x v="310"/>
    <x v="0"/>
    <x v="1"/>
    <x v="1"/>
  </r>
  <r>
    <x v="311"/>
    <x v="0"/>
    <x v="4"/>
    <x v="4"/>
  </r>
  <r>
    <x v="312"/>
    <x v="0"/>
    <x v="1"/>
    <x v="22"/>
  </r>
  <r>
    <x v="313"/>
    <x v="0"/>
    <x v="1"/>
    <x v="15"/>
  </r>
  <r>
    <x v="314"/>
    <x v="0"/>
    <x v="3"/>
    <x v="0"/>
  </r>
  <r>
    <x v="315"/>
    <x v="0"/>
    <x v="4"/>
    <x v="4"/>
  </r>
  <r>
    <x v="316"/>
    <x v="0"/>
    <x v="4"/>
    <x v="4"/>
  </r>
  <r>
    <x v="317"/>
    <x v="0"/>
    <x v="4"/>
    <x v="4"/>
  </r>
  <r>
    <x v="318"/>
    <x v="0"/>
    <x v="6"/>
    <x v="0"/>
  </r>
  <r>
    <x v="24"/>
    <x v="0"/>
    <x v="1"/>
    <x v="15"/>
  </r>
  <r>
    <x v="319"/>
    <x v="0"/>
    <x v="1"/>
    <x v="15"/>
  </r>
  <r>
    <x v="320"/>
    <x v="0"/>
    <x v="5"/>
    <x v="0"/>
  </r>
  <r>
    <x v="321"/>
    <x v="1"/>
    <x v="4"/>
    <x v="4"/>
  </r>
  <r>
    <x v="322"/>
    <x v="1"/>
    <x v="4"/>
    <x v="4"/>
  </r>
  <r>
    <x v="323"/>
    <x v="1"/>
    <x v="4"/>
    <x v="4"/>
  </r>
  <r>
    <x v="324"/>
    <x v="1"/>
    <x v="4"/>
    <x v="4"/>
  </r>
  <r>
    <x v="205"/>
    <x v="1"/>
    <x v="1"/>
    <x v="15"/>
  </r>
  <r>
    <x v="325"/>
    <x v="1"/>
    <x v="1"/>
    <x v="15"/>
  </r>
  <r>
    <x v="326"/>
    <x v="1"/>
    <x v="4"/>
    <x v="4"/>
  </r>
  <r>
    <x v="327"/>
    <x v="1"/>
    <x v="4"/>
    <x v="4"/>
  </r>
  <r>
    <x v="328"/>
    <x v="1"/>
    <x v="4"/>
    <x v="4"/>
  </r>
  <r>
    <x v="329"/>
    <x v="1"/>
    <x v="1"/>
    <x v="1"/>
  </r>
  <r>
    <x v="330"/>
    <x v="1"/>
    <x v="1"/>
    <x v="1"/>
  </r>
  <r>
    <x v="331"/>
    <x v="1"/>
    <x v="1"/>
    <x v="1"/>
  </r>
  <r>
    <x v="332"/>
    <x v="1"/>
    <x v="1"/>
    <x v="1"/>
  </r>
  <r>
    <x v="333"/>
    <x v="1"/>
    <x v="1"/>
    <x v="15"/>
  </r>
  <r>
    <x v="334"/>
    <x v="1"/>
    <x v="1"/>
    <x v="9"/>
  </r>
  <r>
    <x v="335"/>
    <x v="1"/>
    <x v="1"/>
    <x v="15"/>
  </r>
  <r>
    <x v="336"/>
    <x v="1"/>
    <x v="1"/>
    <x v="15"/>
  </r>
  <r>
    <x v="337"/>
    <x v="1"/>
    <x v="1"/>
    <x v="15"/>
  </r>
  <r>
    <x v="338"/>
    <x v="1"/>
    <x v="1"/>
    <x v="1"/>
  </r>
  <r>
    <x v="18"/>
    <x v="1"/>
    <x v="4"/>
    <x v="4"/>
  </r>
  <r>
    <x v="339"/>
    <x v="1"/>
    <x v="1"/>
    <x v="15"/>
  </r>
  <r>
    <x v="340"/>
    <x v="1"/>
    <x v="1"/>
    <x v="15"/>
  </r>
  <r>
    <x v="341"/>
    <x v="1"/>
    <x v="1"/>
    <x v="15"/>
  </r>
  <r>
    <x v="342"/>
    <x v="1"/>
    <x v="1"/>
    <x v="15"/>
  </r>
  <r>
    <x v="343"/>
    <x v="1"/>
    <x v="1"/>
    <x v="15"/>
  </r>
  <r>
    <x v="75"/>
    <x v="1"/>
    <x v="1"/>
    <x v="15"/>
  </r>
  <r>
    <x v="344"/>
    <x v="1"/>
    <x v="4"/>
    <x v="4"/>
  </r>
  <r>
    <x v="41"/>
    <x v="1"/>
    <x v="1"/>
    <x v="15"/>
  </r>
  <r>
    <x v="43"/>
    <x v="1"/>
    <x v="1"/>
    <x v="1"/>
  </r>
  <r>
    <x v="35"/>
    <x v="1"/>
    <x v="1"/>
    <x v="1"/>
  </r>
  <r>
    <x v="11"/>
    <x v="1"/>
    <x v="1"/>
    <x v="1"/>
  </r>
  <r>
    <x v="75"/>
    <x v="1"/>
    <x v="1"/>
    <x v="1"/>
  </r>
  <r>
    <x v="160"/>
    <x v="1"/>
    <x v="1"/>
    <x v="1"/>
  </r>
  <r>
    <x v="345"/>
    <x v="1"/>
    <x v="1"/>
    <x v="1"/>
  </r>
  <r>
    <x v="75"/>
    <x v="1"/>
    <x v="1"/>
    <x v="1"/>
  </r>
  <r>
    <x v="160"/>
    <x v="1"/>
    <x v="1"/>
    <x v="1"/>
  </r>
  <r>
    <x v="346"/>
    <x v="1"/>
    <x v="1"/>
    <x v="1"/>
  </r>
  <r>
    <x v="347"/>
    <x v="1"/>
    <x v="1"/>
    <x v="1"/>
  </r>
  <r>
    <x v="348"/>
    <x v="1"/>
    <x v="1"/>
    <x v="1"/>
  </r>
  <r>
    <x v="349"/>
    <x v="1"/>
    <x v="1"/>
    <x v="1"/>
  </r>
  <r>
    <x v="350"/>
    <x v="1"/>
    <x v="1"/>
    <x v="1"/>
  </r>
  <r>
    <x v="351"/>
    <x v="1"/>
    <x v="1"/>
    <x v="1"/>
  </r>
  <r>
    <x v="352"/>
    <x v="1"/>
    <x v="1"/>
    <x v="1"/>
  </r>
  <r>
    <x v="353"/>
    <x v="1"/>
    <x v="4"/>
    <x v="4"/>
  </r>
  <r>
    <x v="354"/>
    <x v="1"/>
    <x v="4"/>
    <x v="4"/>
  </r>
  <r>
    <x v="355"/>
    <x v="1"/>
    <x v="4"/>
    <x v="4"/>
  </r>
  <r>
    <x v="356"/>
    <x v="1"/>
    <x v="1"/>
    <x v="1"/>
  </r>
  <r>
    <x v="357"/>
    <x v="1"/>
    <x v="1"/>
    <x v="23"/>
  </r>
  <r>
    <x v="357"/>
    <x v="1"/>
    <x v="1"/>
    <x v="24"/>
  </r>
  <r>
    <x v="358"/>
    <x v="1"/>
    <x v="1"/>
    <x v="9"/>
  </r>
  <r>
    <x v="359"/>
    <x v="1"/>
    <x v="1"/>
    <x v="1"/>
  </r>
  <r>
    <x v="360"/>
    <x v="1"/>
    <x v="1"/>
    <x v="1"/>
  </r>
  <r>
    <x v="99"/>
    <x v="1"/>
    <x v="1"/>
    <x v="15"/>
  </r>
  <r>
    <x v="99"/>
    <x v="1"/>
    <x v="1"/>
    <x v="15"/>
  </r>
  <r>
    <x v="160"/>
    <x v="1"/>
    <x v="1"/>
    <x v="1"/>
  </r>
  <r>
    <x v="35"/>
    <x v="1"/>
    <x v="1"/>
    <x v="1"/>
  </r>
  <r>
    <x v="132"/>
    <x v="1"/>
    <x v="1"/>
    <x v="1"/>
  </r>
  <r>
    <x v="160"/>
    <x v="1"/>
    <x v="1"/>
    <x v="1"/>
  </r>
  <r>
    <x v="361"/>
    <x v="1"/>
    <x v="1"/>
    <x v="15"/>
  </r>
  <r>
    <x v="41"/>
    <x v="1"/>
    <x v="1"/>
    <x v="15"/>
  </r>
  <r>
    <x v="35"/>
    <x v="1"/>
    <x v="4"/>
    <x v="4"/>
  </r>
  <r>
    <x v="362"/>
    <x v="1"/>
    <x v="5"/>
    <x v="0"/>
  </r>
  <r>
    <x v="363"/>
    <x v="1"/>
    <x v="5"/>
    <x v="0"/>
  </r>
  <r>
    <x v="35"/>
    <x v="1"/>
    <x v="1"/>
    <x v="1"/>
  </r>
  <r>
    <x v="161"/>
    <x v="1"/>
    <x v="1"/>
    <x v="1"/>
  </r>
  <r>
    <x v="364"/>
    <x v="1"/>
    <x v="1"/>
    <x v="1"/>
  </r>
  <r>
    <x v="365"/>
    <x v="1"/>
    <x v="4"/>
    <x v="4"/>
  </r>
  <r>
    <x v="35"/>
    <x v="1"/>
    <x v="1"/>
    <x v="1"/>
  </r>
  <r>
    <x v="366"/>
    <x v="1"/>
    <x v="1"/>
    <x v="1"/>
  </r>
  <r>
    <x v="75"/>
    <x v="1"/>
    <x v="1"/>
    <x v="1"/>
  </r>
  <r>
    <x v="345"/>
    <x v="1"/>
    <x v="1"/>
    <x v="1"/>
  </r>
  <r>
    <x v="18"/>
    <x v="1"/>
    <x v="1"/>
    <x v="1"/>
  </r>
  <r>
    <x v="161"/>
    <x v="1"/>
    <x v="1"/>
    <x v="1"/>
  </r>
  <r>
    <x v="367"/>
    <x v="1"/>
    <x v="1"/>
    <x v="1"/>
  </r>
  <r>
    <x v="18"/>
    <x v="1"/>
    <x v="1"/>
    <x v="1"/>
  </r>
  <r>
    <x v="75"/>
    <x v="1"/>
    <x v="1"/>
    <x v="1"/>
  </r>
  <r>
    <x v="35"/>
    <x v="1"/>
    <x v="1"/>
    <x v="1"/>
  </r>
  <r>
    <x v="35"/>
    <x v="1"/>
    <x v="1"/>
    <x v="1"/>
  </r>
  <r>
    <x v="368"/>
    <x v="1"/>
    <x v="1"/>
    <x v="1"/>
  </r>
  <r>
    <x v="76"/>
    <x v="1"/>
    <x v="1"/>
    <x v="1"/>
  </r>
  <r>
    <x v="369"/>
    <x v="1"/>
    <x v="1"/>
    <x v="1"/>
  </r>
  <r>
    <x v="24"/>
    <x v="1"/>
    <x v="1"/>
    <x v="1"/>
  </r>
  <r>
    <x v="18"/>
    <x v="1"/>
    <x v="1"/>
    <x v="1"/>
  </r>
  <r>
    <x v="370"/>
    <x v="1"/>
    <x v="1"/>
    <x v="1"/>
  </r>
  <r>
    <x v="371"/>
    <x v="1"/>
    <x v="1"/>
    <x v="1"/>
  </r>
  <r>
    <x v="372"/>
    <x v="1"/>
    <x v="1"/>
    <x v="1"/>
  </r>
  <r>
    <x v="373"/>
    <x v="1"/>
    <x v="1"/>
    <x v="1"/>
  </r>
  <r>
    <x v="374"/>
    <x v="1"/>
    <x v="1"/>
    <x v="1"/>
  </r>
  <r>
    <x v="35"/>
    <x v="1"/>
    <x v="1"/>
    <x v="1"/>
  </r>
  <r>
    <x v="24"/>
    <x v="1"/>
    <x v="1"/>
    <x v="15"/>
  </r>
  <r>
    <x v="105"/>
    <x v="1"/>
    <x v="1"/>
    <x v="1"/>
  </r>
  <r>
    <x v="375"/>
    <x v="1"/>
    <x v="1"/>
    <x v="1"/>
  </r>
  <r>
    <x v="75"/>
    <x v="1"/>
    <x v="1"/>
    <x v="1"/>
  </r>
  <r>
    <x v="103"/>
    <x v="1"/>
    <x v="1"/>
    <x v="1"/>
  </r>
  <r>
    <x v="43"/>
    <x v="1"/>
    <x v="1"/>
    <x v="1"/>
  </r>
  <r>
    <x v="369"/>
    <x v="1"/>
    <x v="1"/>
    <x v="1"/>
  </r>
  <r>
    <x v="105"/>
    <x v="1"/>
    <x v="1"/>
    <x v="1"/>
  </r>
  <r>
    <x v="376"/>
    <x v="1"/>
    <x v="1"/>
    <x v="1"/>
  </r>
  <r>
    <x v="75"/>
    <x v="1"/>
    <x v="6"/>
    <x v="10"/>
  </r>
  <r>
    <x v="99"/>
    <x v="1"/>
    <x v="6"/>
    <x v="21"/>
  </r>
  <r>
    <x v="377"/>
    <x v="1"/>
    <x v="1"/>
    <x v="5"/>
  </r>
  <r>
    <x v="378"/>
    <x v="1"/>
    <x v="1"/>
    <x v="1"/>
  </r>
  <r>
    <x v="379"/>
    <x v="1"/>
    <x v="1"/>
    <x v="23"/>
  </r>
  <r>
    <x v="380"/>
    <x v="1"/>
    <x v="4"/>
    <x v="4"/>
  </r>
  <r>
    <x v="1"/>
    <x v="1"/>
    <x v="1"/>
    <x v="1"/>
  </r>
  <r>
    <x v="381"/>
    <x v="1"/>
    <x v="4"/>
    <x v="4"/>
  </r>
  <r>
    <x v="344"/>
    <x v="1"/>
    <x v="4"/>
    <x v="4"/>
  </r>
  <r>
    <x v="382"/>
    <x v="1"/>
    <x v="2"/>
    <x v="18"/>
  </r>
  <r>
    <x v="383"/>
    <x v="1"/>
    <x v="4"/>
    <x v="4"/>
  </r>
  <r>
    <x v="18"/>
    <x v="1"/>
    <x v="4"/>
    <x v="4"/>
  </r>
  <r>
    <x v="166"/>
    <x v="1"/>
    <x v="1"/>
    <x v="1"/>
  </r>
  <r>
    <x v="81"/>
    <x v="1"/>
    <x v="1"/>
    <x v="1"/>
  </r>
  <r>
    <x v="384"/>
    <x v="1"/>
    <x v="1"/>
    <x v="23"/>
  </r>
  <r>
    <x v="385"/>
    <x v="1"/>
    <x v="1"/>
    <x v="1"/>
  </r>
  <r>
    <x v="386"/>
    <x v="1"/>
    <x v="1"/>
    <x v="1"/>
  </r>
  <r>
    <x v="75"/>
    <x v="1"/>
    <x v="4"/>
    <x v="11"/>
  </r>
  <r>
    <x v="173"/>
    <x v="1"/>
    <x v="4"/>
    <x v="4"/>
  </r>
  <r>
    <x v="387"/>
    <x v="1"/>
    <x v="2"/>
    <x v="18"/>
  </r>
  <r>
    <x v="388"/>
    <x v="1"/>
    <x v="2"/>
    <x v="18"/>
  </r>
  <r>
    <x v="132"/>
    <x v="1"/>
    <x v="1"/>
    <x v="1"/>
  </r>
  <r>
    <x v="103"/>
    <x v="1"/>
    <x v="1"/>
    <x v="1"/>
  </r>
  <r>
    <x v="389"/>
    <x v="1"/>
    <x v="1"/>
    <x v="1"/>
  </r>
  <r>
    <x v="390"/>
    <x v="1"/>
    <x v="4"/>
    <x v="4"/>
  </r>
  <r>
    <x v="391"/>
    <x v="1"/>
    <x v="1"/>
    <x v="1"/>
  </r>
  <r>
    <x v="18"/>
    <x v="1"/>
    <x v="1"/>
    <x v="1"/>
  </r>
  <r>
    <x v="392"/>
    <x v="1"/>
    <x v="1"/>
    <x v="15"/>
  </r>
  <r>
    <x v="393"/>
    <x v="1"/>
    <x v="1"/>
    <x v="1"/>
  </r>
  <r>
    <x v="394"/>
    <x v="1"/>
    <x v="4"/>
    <x v="4"/>
  </r>
  <r>
    <x v="395"/>
    <x v="1"/>
    <x v="4"/>
    <x v="4"/>
  </r>
  <r>
    <x v="396"/>
    <x v="1"/>
    <x v="4"/>
    <x v="11"/>
  </r>
  <r>
    <x v="397"/>
    <x v="1"/>
    <x v="1"/>
    <x v="14"/>
  </r>
  <r>
    <x v="398"/>
    <x v="1"/>
    <x v="1"/>
    <x v="14"/>
  </r>
  <r>
    <x v="399"/>
    <x v="1"/>
    <x v="1"/>
    <x v="8"/>
  </r>
  <r>
    <x v="400"/>
    <x v="1"/>
    <x v="1"/>
    <x v="15"/>
  </r>
  <r>
    <x v="401"/>
    <x v="1"/>
    <x v="1"/>
    <x v="1"/>
  </r>
  <r>
    <x v="402"/>
    <x v="1"/>
    <x v="4"/>
    <x v="4"/>
  </r>
  <r>
    <x v="403"/>
    <x v="1"/>
    <x v="4"/>
    <x v="4"/>
  </r>
  <r>
    <x v="40"/>
    <x v="1"/>
    <x v="2"/>
    <x v="18"/>
  </r>
  <r>
    <x v="404"/>
    <x v="1"/>
    <x v="2"/>
    <x v="18"/>
  </r>
  <r>
    <x v="405"/>
    <x v="1"/>
    <x v="2"/>
    <x v="18"/>
  </r>
  <r>
    <x v="406"/>
    <x v="1"/>
    <x v="2"/>
    <x v="18"/>
  </r>
  <r>
    <x v="407"/>
    <x v="1"/>
    <x v="2"/>
    <x v="18"/>
  </r>
  <r>
    <x v="408"/>
    <x v="1"/>
    <x v="2"/>
    <x v="18"/>
  </r>
  <r>
    <x v="409"/>
    <x v="1"/>
    <x v="2"/>
    <x v="18"/>
  </r>
  <r>
    <x v="410"/>
    <x v="1"/>
    <x v="8"/>
    <x v="25"/>
  </r>
  <r>
    <x v="411"/>
    <x v="1"/>
    <x v="8"/>
    <x v="25"/>
  </r>
  <r>
    <x v="35"/>
    <x v="1"/>
    <x v="1"/>
    <x v="1"/>
  </r>
  <r>
    <x v="163"/>
    <x v="1"/>
    <x v="1"/>
    <x v="1"/>
  </r>
  <r>
    <x v="163"/>
    <x v="1"/>
    <x v="1"/>
    <x v="1"/>
  </r>
  <r>
    <x v="124"/>
    <x v="1"/>
    <x v="4"/>
    <x v="4"/>
  </r>
  <r>
    <x v="412"/>
    <x v="1"/>
    <x v="1"/>
    <x v="15"/>
  </r>
  <r>
    <x v="413"/>
    <x v="1"/>
    <x v="1"/>
    <x v="1"/>
  </r>
  <r>
    <x v="35"/>
    <x v="1"/>
    <x v="1"/>
    <x v="1"/>
  </r>
  <r>
    <x v="414"/>
    <x v="1"/>
    <x v="1"/>
    <x v="1"/>
  </r>
  <r>
    <x v="415"/>
    <x v="1"/>
    <x v="1"/>
    <x v="5"/>
  </r>
  <r>
    <x v="416"/>
    <x v="1"/>
    <x v="2"/>
    <x v="18"/>
  </r>
  <r>
    <x v="417"/>
    <x v="1"/>
    <x v="2"/>
    <x v="18"/>
  </r>
  <r>
    <x v="418"/>
    <x v="1"/>
    <x v="1"/>
    <x v="15"/>
  </r>
  <r>
    <x v="419"/>
    <x v="1"/>
    <x v="2"/>
    <x v="18"/>
  </r>
  <r>
    <x v="420"/>
    <x v="1"/>
    <x v="2"/>
    <x v="18"/>
  </r>
  <r>
    <x v="421"/>
    <x v="1"/>
    <x v="2"/>
    <x v="18"/>
  </r>
  <r>
    <x v="35"/>
    <x v="1"/>
    <x v="2"/>
    <x v="18"/>
  </r>
  <r>
    <x v="36"/>
    <x v="1"/>
    <x v="2"/>
    <x v="18"/>
  </r>
  <r>
    <x v="36"/>
    <x v="1"/>
    <x v="2"/>
    <x v="18"/>
  </r>
  <r>
    <x v="36"/>
    <x v="1"/>
    <x v="2"/>
    <x v="18"/>
  </r>
  <r>
    <x v="422"/>
    <x v="1"/>
    <x v="2"/>
    <x v="18"/>
  </r>
  <r>
    <x v="422"/>
    <x v="1"/>
    <x v="2"/>
    <x v="18"/>
  </r>
  <r>
    <x v="423"/>
    <x v="1"/>
    <x v="5"/>
    <x v="0"/>
  </r>
  <r>
    <x v="424"/>
    <x v="1"/>
    <x v="1"/>
    <x v="1"/>
  </r>
  <r>
    <x v="425"/>
    <x v="1"/>
    <x v="1"/>
    <x v="1"/>
  </r>
  <r>
    <x v="426"/>
    <x v="1"/>
    <x v="1"/>
    <x v="1"/>
  </r>
  <r>
    <x v="103"/>
    <x v="1"/>
    <x v="1"/>
    <x v="1"/>
  </r>
  <r>
    <x v="43"/>
    <x v="1"/>
    <x v="1"/>
    <x v="1"/>
  </r>
  <r>
    <x v="427"/>
    <x v="1"/>
    <x v="1"/>
    <x v="1"/>
  </r>
  <r>
    <x v="76"/>
    <x v="1"/>
    <x v="1"/>
    <x v="1"/>
  </r>
  <r>
    <x v="428"/>
    <x v="1"/>
    <x v="4"/>
    <x v="4"/>
  </r>
  <r>
    <x v="429"/>
    <x v="1"/>
    <x v="4"/>
    <x v="11"/>
  </r>
  <r>
    <x v="430"/>
    <x v="1"/>
    <x v="1"/>
    <x v="1"/>
  </r>
  <r>
    <x v="431"/>
    <x v="1"/>
    <x v="1"/>
    <x v="15"/>
  </r>
  <r>
    <x v="432"/>
    <x v="1"/>
    <x v="9"/>
    <x v="1"/>
  </r>
  <r>
    <x v="101"/>
    <x v="1"/>
    <x v="2"/>
    <x v="18"/>
  </r>
  <r>
    <x v="433"/>
    <x v="1"/>
    <x v="2"/>
    <x v="19"/>
  </r>
  <r>
    <x v="76"/>
    <x v="1"/>
    <x v="1"/>
    <x v="1"/>
  </r>
  <r>
    <x v="118"/>
    <x v="1"/>
    <x v="4"/>
    <x v="4"/>
  </r>
  <r>
    <x v="383"/>
    <x v="1"/>
    <x v="4"/>
    <x v="4"/>
  </r>
  <r>
    <x v="383"/>
    <x v="1"/>
    <x v="4"/>
    <x v="4"/>
  </r>
  <r>
    <x v="434"/>
    <x v="1"/>
    <x v="4"/>
    <x v="4"/>
  </r>
  <r>
    <x v="435"/>
    <x v="1"/>
    <x v="4"/>
    <x v="4"/>
  </r>
  <r>
    <x v="24"/>
    <x v="1"/>
    <x v="1"/>
    <x v="15"/>
  </r>
  <r>
    <x v="436"/>
    <x v="1"/>
    <x v="6"/>
    <x v="0"/>
  </r>
  <r>
    <x v="437"/>
    <x v="1"/>
    <x v="1"/>
    <x v="15"/>
  </r>
  <r>
    <x v="438"/>
    <x v="1"/>
    <x v="1"/>
    <x v="15"/>
  </r>
  <r>
    <x v="24"/>
    <x v="1"/>
    <x v="1"/>
    <x v="15"/>
  </r>
  <r>
    <x v="439"/>
    <x v="1"/>
    <x v="2"/>
    <x v="18"/>
  </r>
  <r>
    <x v="440"/>
    <x v="1"/>
    <x v="1"/>
    <x v="15"/>
  </r>
  <r>
    <x v="441"/>
    <x v="1"/>
    <x v="1"/>
    <x v="15"/>
  </r>
  <r>
    <x v="442"/>
    <x v="1"/>
    <x v="1"/>
    <x v="15"/>
  </r>
  <r>
    <x v="443"/>
    <x v="1"/>
    <x v="1"/>
    <x v="1"/>
  </r>
  <r>
    <x v="43"/>
    <x v="1"/>
    <x v="2"/>
    <x v="18"/>
  </r>
  <r>
    <x v="444"/>
    <x v="1"/>
    <x v="1"/>
    <x v="15"/>
  </r>
  <r>
    <x v="192"/>
    <x v="1"/>
    <x v="1"/>
    <x v="15"/>
  </r>
  <r>
    <x v="75"/>
    <x v="1"/>
    <x v="1"/>
    <x v="15"/>
  </r>
  <r>
    <x v="101"/>
    <x v="1"/>
    <x v="1"/>
    <x v="15"/>
  </r>
  <r>
    <x v="101"/>
    <x v="1"/>
    <x v="1"/>
    <x v="15"/>
  </r>
  <r>
    <x v="35"/>
    <x v="1"/>
    <x v="1"/>
    <x v="1"/>
  </r>
  <r>
    <x v="445"/>
    <x v="1"/>
    <x v="1"/>
    <x v="1"/>
  </r>
  <r>
    <x v="18"/>
    <x v="1"/>
    <x v="1"/>
    <x v="1"/>
  </r>
  <r>
    <x v="11"/>
    <x v="1"/>
    <x v="1"/>
    <x v="1"/>
  </r>
  <r>
    <x v="18"/>
    <x v="1"/>
    <x v="1"/>
    <x v="1"/>
  </r>
  <r>
    <x v="103"/>
    <x v="1"/>
    <x v="1"/>
    <x v="1"/>
  </r>
  <r>
    <x v="446"/>
    <x v="1"/>
    <x v="1"/>
    <x v="1"/>
  </r>
  <r>
    <x v="162"/>
    <x v="1"/>
    <x v="1"/>
    <x v="1"/>
  </r>
  <r>
    <x v="76"/>
    <x v="1"/>
    <x v="1"/>
    <x v="1"/>
  </r>
  <r>
    <x v="103"/>
    <x v="1"/>
    <x v="1"/>
    <x v="1"/>
  </r>
  <r>
    <x v="43"/>
    <x v="1"/>
    <x v="1"/>
    <x v="1"/>
  </r>
  <r>
    <x v="447"/>
    <x v="1"/>
    <x v="1"/>
    <x v="1"/>
  </r>
  <r>
    <x v="448"/>
    <x v="1"/>
    <x v="1"/>
    <x v="1"/>
  </r>
  <r>
    <x v="389"/>
    <x v="1"/>
    <x v="1"/>
    <x v="1"/>
  </r>
  <r>
    <x v="389"/>
    <x v="1"/>
    <x v="1"/>
    <x v="1"/>
  </r>
  <r>
    <x v="449"/>
    <x v="1"/>
    <x v="2"/>
    <x v="18"/>
  </r>
  <r>
    <x v="450"/>
    <x v="1"/>
    <x v="2"/>
    <x v="18"/>
  </r>
  <r>
    <x v="451"/>
    <x v="1"/>
    <x v="4"/>
    <x v="4"/>
  </r>
  <r>
    <x v="118"/>
    <x v="1"/>
    <x v="4"/>
    <x v="4"/>
  </r>
  <r>
    <x v="452"/>
    <x v="1"/>
    <x v="4"/>
    <x v="4"/>
  </r>
  <r>
    <x v="453"/>
    <x v="1"/>
    <x v="1"/>
    <x v="1"/>
  </r>
  <r>
    <x v="454"/>
    <x v="1"/>
    <x v="1"/>
    <x v="15"/>
  </r>
  <r>
    <x v="455"/>
    <x v="1"/>
    <x v="1"/>
    <x v="1"/>
  </r>
  <r>
    <x v="456"/>
    <x v="1"/>
    <x v="1"/>
    <x v="15"/>
  </r>
  <r>
    <x v="457"/>
    <x v="1"/>
    <x v="1"/>
    <x v="1"/>
  </r>
  <r>
    <x v="458"/>
    <x v="1"/>
    <x v="4"/>
    <x v="4"/>
  </r>
  <r>
    <x v="459"/>
    <x v="1"/>
    <x v="7"/>
    <x v="0"/>
  </r>
  <r>
    <x v="460"/>
    <x v="1"/>
    <x v="7"/>
    <x v="0"/>
  </r>
  <r>
    <x v="461"/>
    <x v="1"/>
    <x v="1"/>
    <x v="1"/>
  </r>
  <r>
    <x v="337"/>
    <x v="1"/>
    <x v="1"/>
    <x v="15"/>
  </r>
  <r>
    <x v="462"/>
    <x v="1"/>
    <x v="2"/>
    <x v="18"/>
  </r>
  <r>
    <x v="101"/>
    <x v="1"/>
    <x v="2"/>
    <x v="18"/>
  </r>
  <r>
    <x v="81"/>
    <x v="1"/>
    <x v="1"/>
    <x v="15"/>
  </r>
  <r>
    <x v="463"/>
    <x v="1"/>
    <x v="1"/>
    <x v="15"/>
  </r>
  <r>
    <x v="166"/>
    <x v="1"/>
    <x v="1"/>
    <x v="15"/>
  </r>
  <r>
    <x v="464"/>
    <x v="1"/>
    <x v="1"/>
    <x v="15"/>
  </r>
  <r>
    <x v="35"/>
    <x v="1"/>
    <x v="1"/>
    <x v="15"/>
  </r>
  <r>
    <x v="35"/>
    <x v="1"/>
    <x v="1"/>
    <x v="15"/>
  </r>
  <r>
    <x v="36"/>
    <x v="1"/>
    <x v="1"/>
    <x v="1"/>
  </r>
  <r>
    <x v="465"/>
    <x v="1"/>
    <x v="1"/>
    <x v="1"/>
  </r>
  <r>
    <x v="25"/>
    <x v="1"/>
    <x v="1"/>
    <x v="1"/>
  </r>
  <r>
    <x v="76"/>
    <x v="1"/>
    <x v="1"/>
    <x v="1"/>
  </r>
  <r>
    <x v="62"/>
    <x v="1"/>
    <x v="6"/>
    <x v="0"/>
  </r>
  <r>
    <x v="356"/>
    <x v="1"/>
    <x v="1"/>
    <x v="1"/>
  </r>
  <r>
    <x v="466"/>
    <x v="1"/>
    <x v="3"/>
    <x v="0"/>
  </r>
  <r>
    <x v="467"/>
    <x v="1"/>
    <x v="0"/>
    <x v="0"/>
  </r>
  <r>
    <x v="118"/>
    <x v="1"/>
    <x v="4"/>
    <x v="4"/>
  </r>
  <r>
    <x v="468"/>
    <x v="1"/>
    <x v="1"/>
    <x v="1"/>
  </r>
  <r>
    <x v="469"/>
    <x v="2"/>
    <x v="2"/>
    <x v="26"/>
  </r>
  <r>
    <x v="470"/>
    <x v="1"/>
    <x v="1"/>
    <x v="1"/>
  </r>
  <r>
    <x v="43"/>
    <x v="1"/>
    <x v="6"/>
    <x v="27"/>
  </r>
  <r>
    <x v="166"/>
    <x v="1"/>
    <x v="2"/>
    <x v="18"/>
  </r>
  <r>
    <x v="166"/>
    <x v="1"/>
    <x v="1"/>
    <x v="9"/>
  </r>
  <r>
    <x v="43"/>
    <x v="1"/>
    <x v="4"/>
    <x v="4"/>
  </r>
  <r>
    <x v="460"/>
    <x v="1"/>
    <x v="1"/>
    <x v="15"/>
  </r>
  <r>
    <x v="471"/>
    <x v="1"/>
    <x v="1"/>
    <x v="1"/>
  </r>
  <r>
    <x v="18"/>
    <x v="1"/>
    <x v="1"/>
    <x v="1"/>
  </r>
  <r>
    <x v="472"/>
    <x v="1"/>
    <x v="1"/>
    <x v="15"/>
  </r>
  <r>
    <x v="473"/>
    <x v="1"/>
    <x v="1"/>
    <x v="15"/>
  </r>
  <r>
    <x v="474"/>
    <x v="1"/>
    <x v="1"/>
    <x v="15"/>
  </r>
  <r>
    <x v="103"/>
    <x v="1"/>
    <x v="1"/>
    <x v="15"/>
  </r>
  <r>
    <x v="80"/>
    <x v="1"/>
    <x v="2"/>
    <x v="18"/>
  </r>
  <r>
    <x v="75"/>
    <x v="1"/>
    <x v="1"/>
    <x v="15"/>
  </r>
  <r>
    <x v="167"/>
    <x v="1"/>
    <x v="1"/>
    <x v="15"/>
  </r>
  <r>
    <x v="475"/>
    <x v="1"/>
    <x v="1"/>
    <x v="4"/>
  </r>
  <r>
    <x v="41"/>
    <x v="1"/>
    <x v="1"/>
    <x v="15"/>
  </r>
  <r>
    <x v="476"/>
    <x v="1"/>
    <x v="1"/>
    <x v="1"/>
  </r>
  <r>
    <x v="477"/>
    <x v="1"/>
    <x v="1"/>
    <x v="1"/>
  </r>
  <r>
    <x v="478"/>
    <x v="1"/>
    <x v="4"/>
    <x v="4"/>
  </r>
  <r>
    <x v="479"/>
    <x v="1"/>
    <x v="4"/>
    <x v="4"/>
  </r>
  <r>
    <x v="480"/>
    <x v="1"/>
    <x v="4"/>
    <x v="4"/>
  </r>
  <r>
    <x v="481"/>
    <x v="1"/>
    <x v="4"/>
    <x v="4"/>
  </r>
  <r>
    <x v="482"/>
    <x v="1"/>
    <x v="2"/>
    <x v="18"/>
  </r>
  <r>
    <x v="483"/>
    <x v="1"/>
    <x v="2"/>
    <x v="19"/>
  </r>
  <r>
    <x v="484"/>
    <x v="1"/>
    <x v="2"/>
    <x v="19"/>
  </r>
  <r>
    <x v="195"/>
    <x v="1"/>
    <x v="4"/>
    <x v="11"/>
  </r>
  <r>
    <x v="36"/>
    <x v="1"/>
    <x v="1"/>
    <x v="1"/>
  </r>
  <r>
    <x v="485"/>
    <x v="1"/>
    <x v="1"/>
    <x v="5"/>
  </r>
  <r>
    <x v="346"/>
    <x v="1"/>
    <x v="1"/>
    <x v="15"/>
  </r>
  <r>
    <x v="486"/>
    <x v="1"/>
    <x v="2"/>
    <x v="18"/>
  </r>
  <r>
    <x v="487"/>
    <x v="1"/>
    <x v="2"/>
    <x v="18"/>
  </r>
  <r>
    <x v="488"/>
    <x v="1"/>
    <x v="2"/>
    <x v="18"/>
  </r>
  <r>
    <x v="344"/>
    <x v="1"/>
    <x v="1"/>
    <x v="4"/>
  </r>
  <r>
    <x v="115"/>
    <x v="1"/>
    <x v="4"/>
    <x v="4"/>
  </r>
  <r>
    <x v="35"/>
    <x v="1"/>
    <x v="1"/>
    <x v="9"/>
  </r>
  <r>
    <x v="35"/>
    <x v="1"/>
    <x v="1"/>
    <x v="9"/>
  </r>
  <r>
    <x v="35"/>
    <x v="1"/>
    <x v="2"/>
    <x v="18"/>
  </r>
  <r>
    <x v="489"/>
    <x v="1"/>
    <x v="1"/>
    <x v="23"/>
  </r>
  <r>
    <x v="490"/>
    <x v="1"/>
    <x v="5"/>
    <x v="0"/>
  </r>
  <r>
    <x v="24"/>
    <x v="1"/>
    <x v="1"/>
    <x v="15"/>
  </r>
  <r>
    <x v="491"/>
    <x v="1"/>
    <x v="1"/>
    <x v="1"/>
  </r>
  <r>
    <x v="492"/>
    <x v="1"/>
    <x v="1"/>
    <x v="1"/>
  </r>
  <r>
    <x v="493"/>
    <x v="1"/>
    <x v="1"/>
    <x v="15"/>
  </r>
  <r>
    <x v="494"/>
    <x v="1"/>
    <x v="1"/>
    <x v="15"/>
  </r>
  <r>
    <x v="495"/>
    <x v="1"/>
    <x v="1"/>
    <x v="15"/>
  </r>
  <r>
    <x v="496"/>
    <x v="1"/>
    <x v="1"/>
    <x v="1"/>
  </r>
  <r>
    <x v="57"/>
    <x v="1"/>
    <x v="1"/>
    <x v="15"/>
  </r>
  <r>
    <x v="497"/>
    <x v="1"/>
    <x v="4"/>
    <x v="4"/>
  </r>
  <r>
    <x v="498"/>
    <x v="1"/>
    <x v="1"/>
    <x v="15"/>
  </r>
  <r>
    <x v="496"/>
    <x v="1"/>
    <x v="1"/>
    <x v="1"/>
  </r>
  <r>
    <x v="496"/>
    <x v="1"/>
    <x v="1"/>
    <x v="1"/>
  </r>
  <r>
    <x v="498"/>
    <x v="1"/>
    <x v="1"/>
    <x v="15"/>
  </r>
  <r>
    <x v="53"/>
    <x v="1"/>
    <x v="4"/>
    <x v="4"/>
  </r>
  <r>
    <x v="498"/>
    <x v="1"/>
    <x v="4"/>
    <x v="4"/>
  </r>
  <r>
    <x v="496"/>
    <x v="1"/>
    <x v="1"/>
    <x v="1"/>
  </r>
  <r>
    <x v="496"/>
    <x v="1"/>
    <x v="1"/>
    <x v="1"/>
  </r>
  <r>
    <x v="496"/>
    <x v="1"/>
    <x v="1"/>
    <x v="1"/>
  </r>
  <r>
    <x v="498"/>
    <x v="1"/>
    <x v="2"/>
    <x v="18"/>
  </r>
  <r>
    <x v="498"/>
    <x v="1"/>
    <x v="2"/>
    <x v="18"/>
  </r>
  <r>
    <x v="498"/>
    <x v="1"/>
    <x v="2"/>
    <x v="18"/>
  </r>
  <r>
    <x v="499"/>
    <x v="1"/>
    <x v="2"/>
    <x v="18"/>
  </r>
  <r>
    <x v="399"/>
    <x v="1"/>
    <x v="4"/>
    <x v="4"/>
  </r>
  <r>
    <x v="500"/>
    <x v="1"/>
    <x v="6"/>
    <x v="21"/>
  </r>
  <r>
    <x v="105"/>
    <x v="1"/>
    <x v="2"/>
    <x v="18"/>
  </r>
  <r>
    <x v="501"/>
    <x v="1"/>
    <x v="1"/>
    <x v="15"/>
  </r>
  <r>
    <x v="502"/>
    <x v="1"/>
    <x v="1"/>
    <x v="15"/>
  </r>
  <r>
    <x v="503"/>
    <x v="1"/>
    <x v="1"/>
    <x v="15"/>
  </r>
  <r>
    <x v="202"/>
    <x v="1"/>
    <x v="2"/>
    <x v="18"/>
  </r>
  <r>
    <x v="504"/>
    <x v="1"/>
    <x v="2"/>
    <x v="18"/>
  </r>
  <r>
    <x v="99"/>
    <x v="1"/>
    <x v="2"/>
    <x v="18"/>
  </r>
  <r>
    <x v="422"/>
    <x v="1"/>
    <x v="1"/>
    <x v="15"/>
  </r>
  <r>
    <x v="75"/>
    <x v="1"/>
    <x v="2"/>
    <x v="18"/>
  </r>
  <r>
    <x v="505"/>
    <x v="1"/>
    <x v="5"/>
    <x v="0"/>
  </r>
  <r>
    <x v="506"/>
    <x v="1"/>
    <x v="4"/>
    <x v="4"/>
  </r>
  <r>
    <x v="489"/>
    <x v="1"/>
    <x v="1"/>
    <x v="23"/>
  </r>
  <r>
    <x v="507"/>
    <x v="1"/>
    <x v="4"/>
    <x v="4"/>
  </r>
  <r>
    <x v="192"/>
    <x v="1"/>
    <x v="4"/>
    <x v="4"/>
  </r>
  <r>
    <x v="24"/>
    <x v="1"/>
    <x v="1"/>
    <x v="5"/>
  </r>
  <r>
    <x v="101"/>
    <x v="1"/>
    <x v="4"/>
    <x v="11"/>
  </r>
  <r>
    <x v="75"/>
    <x v="1"/>
    <x v="2"/>
    <x v="18"/>
  </r>
  <r>
    <x v="160"/>
    <x v="1"/>
    <x v="6"/>
    <x v="12"/>
  </r>
  <r>
    <x v="118"/>
    <x v="1"/>
    <x v="1"/>
    <x v="24"/>
  </r>
  <r>
    <x v="508"/>
    <x v="1"/>
    <x v="2"/>
    <x v="18"/>
  </r>
  <r>
    <x v="509"/>
    <x v="1"/>
    <x v="1"/>
    <x v="1"/>
  </r>
  <r>
    <x v="510"/>
    <x v="1"/>
    <x v="1"/>
    <x v="15"/>
  </r>
  <r>
    <x v="511"/>
    <x v="1"/>
    <x v="2"/>
    <x v="18"/>
  </r>
  <r>
    <x v="512"/>
    <x v="1"/>
    <x v="4"/>
    <x v="4"/>
  </r>
  <r>
    <x v="513"/>
    <x v="1"/>
    <x v="1"/>
    <x v="15"/>
  </r>
  <r>
    <x v="399"/>
    <x v="1"/>
    <x v="1"/>
    <x v="6"/>
  </r>
  <r>
    <x v="514"/>
    <x v="1"/>
    <x v="4"/>
    <x v="11"/>
  </r>
  <r>
    <x v="515"/>
    <x v="1"/>
    <x v="4"/>
    <x v="11"/>
  </r>
  <r>
    <x v="516"/>
    <x v="1"/>
    <x v="1"/>
    <x v="23"/>
  </r>
  <r>
    <x v="517"/>
    <x v="1"/>
    <x v="5"/>
    <x v="0"/>
  </r>
  <r>
    <x v="518"/>
    <x v="1"/>
    <x v="5"/>
    <x v="0"/>
  </r>
  <r>
    <x v="519"/>
    <x v="1"/>
    <x v="5"/>
    <x v="0"/>
  </r>
  <r>
    <x v="520"/>
    <x v="1"/>
    <x v="4"/>
    <x v="4"/>
  </r>
  <r>
    <x v="521"/>
    <x v="1"/>
    <x v="4"/>
    <x v="4"/>
  </r>
  <r>
    <x v="192"/>
    <x v="1"/>
    <x v="4"/>
    <x v="4"/>
  </r>
  <r>
    <x v="522"/>
    <x v="1"/>
    <x v="4"/>
    <x v="4"/>
  </r>
  <r>
    <x v="192"/>
    <x v="1"/>
    <x v="4"/>
    <x v="4"/>
  </r>
  <r>
    <x v="523"/>
    <x v="1"/>
    <x v="4"/>
    <x v="4"/>
  </r>
  <r>
    <x v="524"/>
    <x v="1"/>
    <x v="1"/>
    <x v="1"/>
  </r>
  <r>
    <x v="525"/>
    <x v="1"/>
    <x v="4"/>
    <x v="4"/>
  </r>
  <r>
    <x v="526"/>
    <x v="1"/>
    <x v="3"/>
    <x v="0"/>
  </r>
  <r>
    <x v="527"/>
    <x v="1"/>
    <x v="0"/>
    <x v="0"/>
  </r>
  <r>
    <x v="528"/>
    <x v="1"/>
    <x v="1"/>
    <x v="15"/>
  </r>
  <r>
    <x v="192"/>
    <x v="1"/>
    <x v="4"/>
    <x v="4"/>
  </r>
  <r>
    <x v="529"/>
    <x v="1"/>
    <x v="5"/>
    <x v="0"/>
  </r>
  <r>
    <x v="449"/>
    <x v="1"/>
    <x v="4"/>
    <x v="4"/>
  </r>
  <r>
    <x v="43"/>
    <x v="1"/>
    <x v="4"/>
    <x v="4"/>
  </r>
  <r>
    <x v="132"/>
    <x v="1"/>
    <x v="4"/>
    <x v="4"/>
  </r>
  <r>
    <x v="530"/>
    <x v="1"/>
    <x v="4"/>
    <x v="11"/>
  </r>
  <r>
    <x v="101"/>
    <x v="1"/>
    <x v="4"/>
    <x v="11"/>
  </r>
  <r>
    <x v="11"/>
    <x v="1"/>
    <x v="4"/>
    <x v="11"/>
  </r>
  <r>
    <x v="531"/>
    <x v="1"/>
    <x v="4"/>
    <x v="4"/>
  </r>
  <r>
    <x v="532"/>
    <x v="1"/>
    <x v="1"/>
    <x v="1"/>
  </r>
  <r>
    <x v="533"/>
    <x v="1"/>
    <x v="1"/>
    <x v="15"/>
  </r>
  <r>
    <x v="533"/>
    <x v="1"/>
    <x v="2"/>
    <x v="18"/>
  </r>
  <r>
    <x v="534"/>
    <x v="1"/>
    <x v="4"/>
    <x v="4"/>
  </r>
  <r>
    <x v="535"/>
    <x v="1"/>
    <x v="1"/>
    <x v="15"/>
  </r>
  <r>
    <x v="536"/>
    <x v="1"/>
    <x v="1"/>
    <x v="15"/>
  </r>
  <r>
    <x v="537"/>
    <x v="1"/>
    <x v="1"/>
    <x v="15"/>
  </r>
  <r>
    <x v="538"/>
    <x v="1"/>
    <x v="1"/>
    <x v="14"/>
  </r>
  <r>
    <x v="24"/>
    <x v="1"/>
    <x v="1"/>
    <x v="15"/>
  </r>
  <r>
    <x v="337"/>
    <x v="1"/>
    <x v="1"/>
    <x v="15"/>
  </r>
  <r>
    <x v="539"/>
    <x v="1"/>
    <x v="4"/>
    <x v="11"/>
  </r>
  <r>
    <x v="540"/>
    <x v="1"/>
    <x v="1"/>
    <x v="15"/>
  </r>
  <r>
    <x v="540"/>
    <x v="1"/>
    <x v="2"/>
    <x v="18"/>
  </r>
  <r>
    <x v="541"/>
    <x v="1"/>
    <x v="1"/>
    <x v="1"/>
  </r>
  <r>
    <x v="542"/>
    <x v="1"/>
    <x v="1"/>
    <x v="23"/>
  </r>
  <r>
    <x v="543"/>
    <x v="1"/>
    <x v="3"/>
    <x v="0"/>
  </r>
  <r>
    <x v="544"/>
    <x v="1"/>
    <x v="0"/>
    <x v="0"/>
  </r>
  <r>
    <x v="545"/>
    <x v="1"/>
    <x v="4"/>
    <x v="4"/>
  </r>
  <r>
    <x v="318"/>
    <x v="1"/>
    <x v="6"/>
    <x v="0"/>
  </r>
  <r>
    <x v="37"/>
    <x v="1"/>
    <x v="1"/>
    <x v="23"/>
  </r>
  <r>
    <x v="546"/>
    <x v="1"/>
    <x v="1"/>
    <x v="1"/>
  </r>
  <r>
    <x v="75"/>
    <x v="1"/>
    <x v="2"/>
    <x v="18"/>
  </r>
  <r>
    <x v="547"/>
    <x v="1"/>
    <x v="4"/>
    <x v="11"/>
  </r>
  <r>
    <x v="52"/>
    <x v="1"/>
    <x v="2"/>
    <x v="18"/>
  </r>
  <r>
    <x v="548"/>
    <x v="1"/>
    <x v="4"/>
    <x v="4"/>
  </r>
  <r>
    <x v="549"/>
    <x v="1"/>
    <x v="1"/>
    <x v="19"/>
  </r>
  <r>
    <x v="550"/>
    <x v="1"/>
    <x v="1"/>
    <x v="1"/>
  </r>
  <r>
    <x v="551"/>
    <x v="1"/>
    <x v="1"/>
    <x v="1"/>
  </r>
  <r>
    <x v="552"/>
    <x v="1"/>
    <x v="1"/>
    <x v="1"/>
  </r>
  <r>
    <x v="447"/>
    <x v="1"/>
    <x v="1"/>
    <x v="1"/>
  </r>
  <r>
    <x v="553"/>
    <x v="1"/>
    <x v="4"/>
    <x v="4"/>
  </r>
  <r>
    <x v="554"/>
    <x v="1"/>
    <x v="4"/>
    <x v="11"/>
  </r>
  <r>
    <x v="555"/>
    <x v="1"/>
    <x v="4"/>
    <x v="4"/>
  </r>
  <r>
    <x v="556"/>
    <x v="1"/>
    <x v="1"/>
    <x v="28"/>
  </r>
  <r>
    <x v="557"/>
    <x v="1"/>
    <x v="5"/>
    <x v="0"/>
  </r>
  <r>
    <x v="558"/>
    <x v="1"/>
    <x v="2"/>
    <x v="18"/>
  </r>
  <r>
    <x v="559"/>
    <x v="1"/>
    <x v="4"/>
    <x v="4"/>
  </r>
  <r>
    <x v="560"/>
    <x v="1"/>
    <x v="2"/>
    <x v="18"/>
  </r>
  <r>
    <x v="109"/>
    <x v="1"/>
    <x v="4"/>
    <x v="11"/>
  </r>
  <r>
    <x v="253"/>
    <x v="1"/>
    <x v="1"/>
    <x v="1"/>
  </r>
  <r>
    <x v="561"/>
    <x v="1"/>
    <x v="4"/>
    <x v="4"/>
  </r>
  <r>
    <x v="24"/>
    <x v="1"/>
    <x v="1"/>
    <x v="15"/>
  </r>
  <r>
    <x v="42"/>
    <x v="1"/>
    <x v="4"/>
    <x v="11"/>
  </r>
  <r>
    <x v="337"/>
    <x v="1"/>
    <x v="1"/>
    <x v="15"/>
  </r>
  <r>
    <x v="337"/>
    <x v="1"/>
    <x v="1"/>
    <x v="15"/>
  </r>
  <r>
    <x v="24"/>
    <x v="1"/>
    <x v="1"/>
    <x v="15"/>
  </r>
  <r>
    <x v="562"/>
    <x v="1"/>
    <x v="1"/>
    <x v="1"/>
  </r>
  <r>
    <x v="132"/>
    <x v="1"/>
    <x v="1"/>
    <x v="1"/>
  </r>
  <r>
    <x v="76"/>
    <x v="1"/>
    <x v="1"/>
    <x v="1"/>
  </r>
  <r>
    <x v="563"/>
    <x v="1"/>
    <x v="1"/>
    <x v="1"/>
  </r>
  <r>
    <x v="103"/>
    <x v="1"/>
    <x v="1"/>
    <x v="1"/>
  </r>
  <r>
    <x v="163"/>
    <x v="1"/>
    <x v="1"/>
    <x v="1"/>
  </r>
  <r>
    <x v="35"/>
    <x v="1"/>
    <x v="1"/>
    <x v="1"/>
  </r>
  <r>
    <x v="75"/>
    <x v="1"/>
    <x v="1"/>
    <x v="1"/>
  </r>
  <r>
    <x v="564"/>
    <x v="1"/>
    <x v="1"/>
    <x v="1"/>
  </r>
  <r>
    <x v="75"/>
    <x v="1"/>
    <x v="1"/>
    <x v="1"/>
  </r>
  <r>
    <x v="345"/>
    <x v="1"/>
    <x v="1"/>
    <x v="1"/>
  </r>
  <r>
    <x v="76"/>
    <x v="1"/>
    <x v="1"/>
    <x v="1"/>
  </r>
  <r>
    <x v="24"/>
    <x v="1"/>
    <x v="1"/>
    <x v="1"/>
  </r>
  <r>
    <x v="11"/>
    <x v="1"/>
    <x v="1"/>
    <x v="1"/>
  </r>
  <r>
    <x v="11"/>
    <x v="1"/>
    <x v="1"/>
    <x v="1"/>
  </r>
  <r>
    <x v="345"/>
    <x v="1"/>
    <x v="1"/>
    <x v="1"/>
  </r>
  <r>
    <x v="75"/>
    <x v="1"/>
    <x v="1"/>
    <x v="1"/>
  </r>
  <r>
    <x v="24"/>
    <x v="1"/>
    <x v="1"/>
    <x v="1"/>
  </r>
  <r>
    <x v="18"/>
    <x v="1"/>
    <x v="1"/>
    <x v="1"/>
  </r>
  <r>
    <x v="168"/>
    <x v="1"/>
    <x v="1"/>
    <x v="1"/>
  </r>
  <r>
    <x v="166"/>
    <x v="1"/>
    <x v="1"/>
    <x v="1"/>
  </r>
  <r>
    <x v="276"/>
    <x v="1"/>
    <x v="1"/>
    <x v="1"/>
  </r>
  <r>
    <x v="389"/>
    <x v="1"/>
    <x v="1"/>
    <x v="1"/>
  </r>
  <r>
    <x v="447"/>
    <x v="1"/>
    <x v="1"/>
    <x v="1"/>
  </r>
  <r>
    <x v="101"/>
    <x v="1"/>
    <x v="1"/>
    <x v="1"/>
  </r>
  <r>
    <x v="35"/>
    <x v="1"/>
    <x v="1"/>
    <x v="1"/>
  </r>
  <r>
    <x v="99"/>
    <x v="1"/>
    <x v="1"/>
    <x v="1"/>
  </r>
  <r>
    <x v="565"/>
    <x v="1"/>
    <x v="1"/>
    <x v="1"/>
  </r>
  <r>
    <x v="166"/>
    <x v="1"/>
    <x v="1"/>
    <x v="15"/>
  </r>
  <r>
    <x v="566"/>
    <x v="1"/>
    <x v="2"/>
    <x v="18"/>
  </r>
  <r>
    <x v="147"/>
    <x v="1"/>
    <x v="4"/>
    <x v="4"/>
  </r>
  <r>
    <x v="567"/>
    <x v="1"/>
    <x v="2"/>
    <x v="18"/>
  </r>
  <r>
    <x v="105"/>
    <x v="1"/>
    <x v="2"/>
    <x v="18"/>
  </r>
  <r>
    <x v="109"/>
    <x v="1"/>
    <x v="4"/>
    <x v="11"/>
  </r>
  <r>
    <x v="276"/>
    <x v="1"/>
    <x v="1"/>
    <x v="22"/>
  </r>
  <r>
    <x v="276"/>
    <x v="1"/>
    <x v="1"/>
    <x v="22"/>
  </r>
  <r>
    <x v="81"/>
    <x v="1"/>
    <x v="1"/>
    <x v="22"/>
  </r>
  <r>
    <x v="75"/>
    <x v="1"/>
    <x v="1"/>
    <x v="22"/>
  </r>
  <r>
    <x v="75"/>
    <x v="1"/>
    <x v="1"/>
    <x v="22"/>
  </r>
  <r>
    <x v="568"/>
    <x v="1"/>
    <x v="1"/>
    <x v="22"/>
  </r>
  <r>
    <x v="276"/>
    <x v="1"/>
    <x v="1"/>
    <x v="22"/>
  </r>
  <r>
    <x v="276"/>
    <x v="1"/>
    <x v="1"/>
    <x v="22"/>
  </r>
  <r>
    <x v="81"/>
    <x v="1"/>
    <x v="1"/>
    <x v="22"/>
  </r>
  <r>
    <x v="43"/>
    <x v="1"/>
    <x v="1"/>
    <x v="22"/>
  </r>
  <r>
    <x v="232"/>
    <x v="1"/>
    <x v="2"/>
    <x v="18"/>
  </r>
  <r>
    <x v="569"/>
    <x v="1"/>
    <x v="1"/>
    <x v="15"/>
  </r>
  <r>
    <x v="460"/>
    <x v="1"/>
    <x v="1"/>
    <x v="15"/>
  </r>
  <r>
    <x v="231"/>
    <x v="1"/>
    <x v="4"/>
    <x v="4"/>
  </r>
  <r>
    <x v="103"/>
    <x v="1"/>
    <x v="2"/>
    <x v="18"/>
  </r>
  <r>
    <x v="570"/>
    <x v="1"/>
    <x v="1"/>
    <x v="15"/>
  </r>
  <r>
    <x v="571"/>
    <x v="1"/>
    <x v="2"/>
    <x v="19"/>
  </r>
  <r>
    <x v="36"/>
    <x v="1"/>
    <x v="4"/>
    <x v="4"/>
  </r>
  <r>
    <x v="75"/>
    <x v="1"/>
    <x v="2"/>
    <x v="18"/>
  </r>
  <r>
    <x v="422"/>
    <x v="1"/>
    <x v="1"/>
    <x v="15"/>
  </r>
  <r>
    <x v="36"/>
    <x v="1"/>
    <x v="2"/>
    <x v="19"/>
  </r>
  <r>
    <x v="36"/>
    <x v="1"/>
    <x v="2"/>
    <x v="19"/>
  </r>
  <r>
    <x v="35"/>
    <x v="1"/>
    <x v="2"/>
    <x v="18"/>
  </r>
  <r>
    <x v="36"/>
    <x v="1"/>
    <x v="2"/>
    <x v="19"/>
  </r>
  <r>
    <x v="36"/>
    <x v="1"/>
    <x v="2"/>
    <x v="19"/>
  </r>
  <r>
    <x v="439"/>
    <x v="1"/>
    <x v="1"/>
    <x v="9"/>
  </r>
  <r>
    <x v="99"/>
    <x v="1"/>
    <x v="1"/>
    <x v="1"/>
  </r>
  <r>
    <x v="43"/>
    <x v="1"/>
    <x v="6"/>
    <x v="12"/>
  </r>
  <r>
    <x v="572"/>
    <x v="1"/>
    <x v="6"/>
    <x v="10"/>
  </r>
  <r>
    <x v="573"/>
    <x v="1"/>
    <x v="4"/>
    <x v="4"/>
  </r>
  <r>
    <x v="43"/>
    <x v="1"/>
    <x v="2"/>
    <x v="18"/>
  </r>
  <r>
    <x v="43"/>
    <x v="1"/>
    <x v="1"/>
    <x v="15"/>
  </r>
  <r>
    <x v="102"/>
    <x v="1"/>
    <x v="4"/>
    <x v="11"/>
  </r>
  <r>
    <x v="109"/>
    <x v="1"/>
    <x v="2"/>
    <x v="19"/>
  </r>
  <r>
    <x v="81"/>
    <x v="1"/>
    <x v="2"/>
    <x v="18"/>
  </r>
  <r>
    <x v="574"/>
    <x v="1"/>
    <x v="2"/>
    <x v="18"/>
  </r>
  <r>
    <x v="575"/>
    <x v="1"/>
    <x v="1"/>
    <x v="15"/>
  </r>
  <r>
    <x v="576"/>
    <x v="1"/>
    <x v="2"/>
    <x v="18"/>
  </r>
  <r>
    <x v="577"/>
    <x v="1"/>
    <x v="1"/>
    <x v="15"/>
  </r>
  <r>
    <x v="578"/>
    <x v="1"/>
    <x v="2"/>
    <x v="18"/>
  </r>
  <r>
    <x v="579"/>
    <x v="1"/>
    <x v="1"/>
    <x v="22"/>
  </r>
  <r>
    <x v="103"/>
    <x v="1"/>
    <x v="2"/>
    <x v="18"/>
  </r>
  <r>
    <x v="276"/>
    <x v="1"/>
    <x v="4"/>
    <x v="4"/>
  </r>
  <r>
    <x v="75"/>
    <x v="1"/>
    <x v="6"/>
    <x v="21"/>
  </r>
  <r>
    <x v="75"/>
    <x v="1"/>
    <x v="6"/>
    <x v="21"/>
  </r>
  <r>
    <x v="75"/>
    <x v="1"/>
    <x v="1"/>
    <x v="15"/>
  </r>
  <r>
    <x v="166"/>
    <x v="1"/>
    <x v="1"/>
    <x v="15"/>
  </r>
  <r>
    <x v="81"/>
    <x v="1"/>
    <x v="1"/>
    <x v="22"/>
  </r>
  <r>
    <x v="35"/>
    <x v="1"/>
    <x v="1"/>
    <x v="1"/>
  </r>
  <r>
    <x v="218"/>
    <x v="1"/>
    <x v="1"/>
    <x v="1"/>
  </r>
  <r>
    <x v="389"/>
    <x v="1"/>
    <x v="1"/>
    <x v="1"/>
  </r>
  <r>
    <x v="43"/>
    <x v="1"/>
    <x v="1"/>
    <x v="1"/>
  </r>
  <r>
    <x v="345"/>
    <x v="1"/>
    <x v="1"/>
    <x v="1"/>
  </r>
  <r>
    <x v="422"/>
    <x v="1"/>
    <x v="1"/>
    <x v="1"/>
  </r>
  <r>
    <x v="99"/>
    <x v="1"/>
    <x v="1"/>
    <x v="1"/>
  </r>
  <r>
    <x v="580"/>
    <x v="1"/>
    <x v="1"/>
    <x v="1"/>
  </r>
  <r>
    <x v="370"/>
    <x v="1"/>
    <x v="1"/>
    <x v="1"/>
  </r>
  <r>
    <x v="43"/>
    <x v="1"/>
    <x v="1"/>
    <x v="1"/>
  </r>
  <r>
    <x v="581"/>
    <x v="1"/>
    <x v="1"/>
    <x v="1"/>
  </r>
  <r>
    <x v="582"/>
    <x v="1"/>
    <x v="1"/>
    <x v="1"/>
  </r>
  <r>
    <x v="583"/>
    <x v="1"/>
    <x v="1"/>
    <x v="1"/>
  </r>
  <r>
    <x v="103"/>
    <x v="1"/>
    <x v="1"/>
    <x v="1"/>
  </r>
  <r>
    <x v="103"/>
    <x v="1"/>
    <x v="1"/>
    <x v="1"/>
  </r>
  <r>
    <x v="24"/>
    <x v="1"/>
    <x v="1"/>
    <x v="1"/>
  </r>
  <r>
    <x v="103"/>
    <x v="1"/>
    <x v="1"/>
    <x v="1"/>
  </r>
  <r>
    <x v="186"/>
    <x v="1"/>
    <x v="1"/>
    <x v="1"/>
  </r>
  <r>
    <x v="166"/>
    <x v="1"/>
    <x v="1"/>
    <x v="1"/>
  </r>
  <r>
    <x v="24"/>
    <x v="1"/>
    <x v="1"/>
    <x v="1"/>
  </r>
  <r>
    <x v="35"/>
    <x v="1"/>
    <x v="1"/>
    <x v="1"/>
  </r>
  <r>
    <x v="103"/>
    <x v="1"/>
    <x v="1"/>
    <x v="1"/>
  </r>
  <r>
    <x v="209"/>
    <x v="1"/>
    <x v="1"/>
    <x v="1"/>
  </r>
  <r>
    <x v="584"/>
    <x v="1"/>
    <x v="2"/>
    <x v="19"/>
  </r>
  <r>
    <x v="585"/>
    <x v="1"/>
    <x v="2"/>
    <x v="19"/>
  </r>
  <r>
    <x v="586"/>
    <x v="1"/>
    <x v="2"/>
    <x v="19"/>
  </r>
  <r>
    <x v="337"/>
    <x v="1"/>
    <x v="2"/>
    <x v="19"/>
  </r>
  <r>
    <x v="587"/>
    <x v="1"/>
    <x v="2"/>
    <x v="19"/>
  </r>
  <r>
    <x v="43"/>
    <x v="1"/>
    <x v="2"/>
    <x v="19"/>
  </r>
  <r>
    <x v="588"/>
    <x v="1"/>
    <x v="1"/>
    <x v="14"/>
  </r>
  <r>
    <x v="589"/>
    <x v="1"/>
    <x v="1"/>
    <x v="14"/>
  </r>
  <r>
    <x v="160"/>
    <x v="1"/>
    <x v="4"/>
    <x v="4"/>
  </r>
  <r>
    <x v="590"/>
    <x v="1"/>
    <x v="0"/>
    <x v="0"/>
  </r>
  <r>
    <x v="591"/>
    <x v="1"/>
    <x v="3"/>
    <x v="0"/>
  </r>
  <r>
    <x v="592"/>
    <x v="1"/>
    <x v="4"/>
    <x v="11"/>
  </r>
  <r>
    <x v="593"/>
    <x v="1"/>
    <x v="4"/>
    <x v="11"/>
  </r>
  <r>
    <x v="594"/>
    <x v="1"/>
    <x v="4"/>
    <x v="4"/>
  </r>
  <r>
    <x v="430"/>
    <x v="1"/>
    <x v="1"/>
    <x v="1"/>
  </r>
  <r>
    <x v="595"/>
    <x v="1"/>
    <x v="1"/>
    <x v="6"/>
  </r>
  <r>
    <x v="596"/>
    <x v="1"/>
    <x v="4"/>
    <x v="4"/>
  </r>
  <r>
    <x v="597"/>
    <x v="1"/>
    <x v="4"/>
    <x v="4"/>
  </r>
  <r>
    <x v="598"/>
    <x v="1"/>
    <x v="2"/>
    <x v="18"/>
  </r>
  <r>
    <x v="599"/>
    <x v="1"/>
    <x v="2"/>
    <x v="18"/>
  </r>
  <r>
    <x v="600"/>
    <x v="1"/>
    <x v="2"/>
    <x v="18"/>
  </r>
  <r>
    <x v="601"/>
    <x v="1"/>
    <x v="4"/>
    <x v="4"/>
  </r>
  <r>
    <x v="602"/>
    <x v="1"/>
    <x v="1"/>
    <x v="1"/>
  </r>
  <r>
    <x v="603"/>
    <x v="1"/>
    <x v="4"/>
    <x v="4"/>
  </r>
  <r>
    <x v="1"/>
    <x v="1"/>
    <x v="1"/>
    <x v="1"/>
  </r>
  <r>
    <x v="604"/>
    <x v="1"/>
    <x v="1"/>
    <x v="15"/>
  </r>
  <r>
    <x v="12"/>
    <x v="1"/>
    <x v="1"/>
    <x v="16"/>
  </r>
  <r>
    <x v="605"/>
    <x v="1"/>
    <x v="1"/>
    <x v="16"/>
  </r>
  <r>
    <x v="606"/>
    <x v="1"/>
    <x v="4"/>
    <x v="4"/>
  </r>
  <r>
    <x v="606"/>
    <x v="1"/>
    <x v="4"/>
    <x v="4"/>
  </r>
  <r>
    <x v="118"/>
    <x v="1"/>
    <x v="4"/>
    <x v="4"/>
  </r>
  <r>
    <x v="18"/>
    <x v="1"/>
    <x v="4"/>
    <x v="11"/>
  </r>
  <r>
    <x v="607"/>
    <x v="1"/>
    <x v="2"/>
    <x v="19"/>
  </r>
  <r>
    <x v="608"/>
    <x v="1"/>
    <x v="2"/>
    <x v="19"/>
  </r>
  <r>
    <x v="609"/>
    <x v="1"/>
    <x v="4"/>
    <x v="11"/>
  </r>
  <r>
    <x v="610"/>
    <x v="1"/>
    <x v="1"/>
    <x v="1"/>
  </r>
  <r>
    <x v="611"/>
    <x v="1"/>
    <x v="1"/>
    <x v="1"/>
  </r>
  <r>
    <x v="612"/>
    <x v="1"/>
    <x v="1"/>
    <x v="1"/>
  </r>
  <r>
    <x v="495"/>
    <x v="1"/>
    <x v="1"/>
    <x v="1"/>
  </r>
  <r>
    <x v="613"/>
    <x v="1"/>
    <x v="4"/>
    <x v="4"/>
  </r>
  <r>
    <x v="614"/>
    <x v="1"/>
    <x v="1"/>
    <x v="15"/>
  </r>
  <r>
    <x v="615"/>
    <x v="1"/>
    <x v="2"/>
    <x v="19"/>
  </r>
  <r>
    <x v="616"/>
    <x v="1"/>
    <x v="1"/>
    <x v="15"/>
  </r>
  <r>
    <x v="617"/>
    <x v="1"/>
    <x v="2"/>
    <x v="18"/>
  </r>
  <r>
    <x v="618"/>
    <x v="1"/>
    <x v="2"/>
    <x v="19"/>
  </r>
  <r>
    <x v="619"/>
    <x v="1"/>
    <x v="1"/>
    <x v="15"/>
  </r>
  <r>
    <x v="620"/>
    <x v="1"/>
    <x v="2"/>
    <x v="18"/>
  </r>
  <r>
    <x v="621"/>
    <x v="1"/>
    <x v="2"/>
    <x v="19"/>
  </r>
  <r>
    <x v="622"/>
    <x v="1"/>
    <x v="1"/>
    <x v="1"/>
  </r>
  <r>
    <x v="623"/>
    <x v="1"/>
    <x v="1"/>
    <x v="1"/>
  </r>
  <r>
    <x v="623"/>
    <x v="1"/>
    <x v="1"/>
    <x v="1"/>
  </r>
  <r>
    <x v="624"/>
    <x v="1"/>
    <x v="2"/>
    <x v="18"/>
  </r>
  <r>
    <x v="625"/>
    <x v="1"/>
    <x v="2"/>
    <x v="19"/>
  </r>
  <r>
    <x v="624"/>
    <x v="1"/>
    <x v="2"/>
    <x v="18"/>
  </r>
  <r>
    <x v="625"/>
    <x v="1"/>
    <x v="2"/>
    <x v="19"/>
  </r>
  <r>
    <x v="624"/>
    <x v="1"/>
    <x v="2"/>
    <x v="18"/>
  </r>
  <r>
    <x v="625"/>
    <x v="1"/>
    <x v="2"/>
    <x v="19"/>
  </r>
  <r>
    <x v="626"/>
    <x v="1"/>
    <x v="1"/>
    <x v="1"/>
  </r>
  <r>
    <x v="627"/>
    <x v="1"/>
    <x v="1"/>
    <x v="1"/>
  </r>
  <r>
    <x v="628"/>
    <x v="1"/>
    <x v="1"/>
    <x v="1"/>
  </r>
  <r>
    <x v="430"/>
    <x v="1"/>
    <x v="1"/>
    <x v="1"/>
  </r>
  <r>
    <x v="629"/>
    <x v="1"/>
    <x v="1"/>
    <x v="1"/>
  </r>
  <r>
    <x v="630"/>
    <x v="1"/>
    <x v="4"/>
    <x v="4"/>
  </r>
  <r>
    <x v="631"/>
    <x v="1"/>
    <x v="1"/>
    <x v="16"/>
  </r>
  <r>
    <x v="139"/>
    <x v="1"/>
    <x v="4"/>
    <x v="4"/>
  </r>
  <r>
    <x v="24"/>
    <x v="1"/>
    <x v="4"/>
    <x v="4"/>
  </r>
  <r>
    <x v="632"/>
    <x v="1"/>
    <x v="5"/>
    <x v="0"/>
  </r>
  <r>
    <x v="633"/>
    <x v="1"/>
    <x v="4"/>
    <x v="4"/>
  </r>
  <r>
    <x v="634"/>
    <x v="1"/>
    <x v="5"/>
    <x v="0"/>
  </r>
  <r>
    <x v="252"/>
    <x v="1"/>
    <x v="3"/>
    <x v="0"/>
  </r>
  <r>
    <x v="635"/>
    <x v="3"/>
    <x v="2"/>
    <x v="2"/>
  </r>
  <r>
    <x v="636"/>
    <x v="1"/>
    <x v="0"/>
    <x v="0"/>
  </r>
  <r>
    <x v="498"/>
    <x v="1"/>
    <x v="4"/>
    <x v="4"/>
  </r>
  <r>
    <x v="399"/>
    <x v="1"/>
    <x v="4"/>
    <x v="11"/>
  </r>
  <r>
    <x v="637"/>
    <x v="1"/>
    <x v="4"/>
    <x v="11"/>
  </r>
  <r>
    <x v="624"/>
    <x v="1"/>
    <x v="2"/>
    <x v="18"/>
  </r>
  <r>
    <x v="625"/>
    <x v="1"/>
    <x v="2"/>
    <x v="19"/>
  </r>
  <r>
    <x v="638"/>
    <x v="1"/>
    <x v="4"/>
    <x v="11"/>
  </r>
  <r>
    <x v="311"/>
    <x v="1"/>
    <x v="4"/>
    <x v="4"/>
  </r>
  <r>
    <x v="43"/>
    <x v="1"/>
    <x v="4"/>
    <x v="4"/>
  </r>
  <r>
    <x v="639"/>
    <x v="1"/>
    <x v="4"/>
    <x v="4"/>
  </r>
  <r>
    <x v="639"/>
    <x v="1"/>
    <x v="4"/>
    <x v="4"/>
  </r>
  <r>
    <x v="639"/>
    <x v="1"/>
    <x v="4"/>
    <x v="4"/>
  </r>
  <r>
    <x v="640"/>
    <x v="1"/>
    <x v="1"/>
    <x v="15"/>
  </r>
  <r>
    <x v="641"/>
    <x v="1"/>
    <x v="1"/>
    <x v="1"/>
  </r>
  <r>
    <x v="642"/>
    <x v="1"/>
    <x v="1"/>
    <x v="15"/>
  </r>
  <r>
    <x v="643"/>
    <x v="1"/>
    <x v="2"/>
    <x v="18"/>
  </r>
  <r>
    <x v="644"/>
    <x v="1"/>
    <x v="2"/>
    <x v="19"/>
  </r>
  <r>
    <x v="493"/>
    <x v="1"/>
    <x v="4"/>
    <x v="4"/>
  </r>
  <r>
    <x v="645"/>
    <x v="1"/>
    <x v="1"/>
    <x v="15"/>
  </r>
  <r>
    <x v="623"/>
    <x v="1"/>
    <x v="1"/>
    <x v="1"/>
  </r>
  <r>
    <x v="623"/>
    <x v="1"/>
    <x v="1"/>
    <x v="1"/>
  </r>
  <r>
    <x v="646"/>
    <x v="1"/>
    <x v="1"/>
    <x v="15"/>
  </r>
  <r>
    <x v="647"/>
    <x v="1"/>
    <x v="2"/>
    <x v="18"/>
  </r>
  <r>
    <x v="648"/>
    <x v="1"/>
    <x v="2"/>
    <x v="19"/>
  </r>
  <r>
    <x v="649"/>
    <x v="1"/>
    <x v="4"/>
    <x v="11"/>
  </r>
  <r>
    <x v="650"/>
    <x v="1"/>
    <x v="1"/>
    <x v="23"/>
  </r>
  <r>
    <x v="645"/>
    <x v="1"/>
    <x v="1"/>
    <x v="15"/>
  </r>
  <r>
    <x v="651"/>
    <x v="1"/>
    <x v="2"/>
    <x v="19"/>
  </r>
  <r>
    <x v="53"/>
    <x v="1"/>
    <x v="4"/>
    <x v="4"/>
  </r>
  <r>
    <x v="651"/>
    <x v="1"/>
    <x v="2"/>
    <x v="19"/>
  </r>
  <r>
    <x v="652"/>
    <x v="1"/>
    <x v="2"/>
    <x v="19"/>
  </r>
  <r>
    <x v="653"/>
    <x v="1"/>
    <x v="0"/>
    <x v="0"/>
  </r>
  <r>
    <x v="654"/>
    <x v="1"/>
    <x v="3"/>
    <x v="0"/>
  </r>
  <r>
    <x v="542"/>
    <x v="1"/>
    <x v="1"/>
    <x v="24"/>
  </r>
  <r>
    <x v="160"/>
    <x v="3"/>
    <x v="2"/>
    <x v="19"/>
  </r>
  <r>
    <x v="655"/>
    <x v="3"/>
    <x v="4"/>
    <x v="4"/>
  </r>
  <r>
    <x v="160"/>
    <x v="3"/>
    <x v="2"/>
    <x v="19"/>
  </r>
  <r>
    <x v="160"/>
    <x v="3"/>
    <x v="2"/>
    <x v="19"/>
  </r>
  <r>
    <x v="36"/>
    <x v="3"/>
    <x v="2"/>
    <x v="18"/>
  </r>
  <r>
    <x v="656"/>
    <x v="3"/>
    <x v="2"/>
    <x v="18"/>
  </r>
  <r>
    <x v="657"/>
    <x v="3"/>
    <x v="1"/>
    <x v="14"/>
  </r>
  <r>
    <x v="131"/>
    <x v="3"/>
    <x v="1"/>
    <x v="14"/>
  </r>
  <r>
    <x v="161"/>
    <x v="3"/>
    <x v="1"/>
    <x v="14"/>
  </r>
  <r>
    <x v="276"/>
    <x v="3"/>
    <x v="1"/>
    <x v="28"/>
  </r>
  <r>
    <x v="276"/>
    <x v="3"/>
    <x v="1"/>
    <x v="28"/>
  </r>
  <r>
    <x v="276"/>
    <x v="3"/>
    <x v="1"/>
    <x v="28"/>
  </r>
  <r>
    <x v="101"/>
    <x v="3"/>
    <x v="1"/>
    <x v="28"/>
  </r>
  <r>
    <x v="431"/>
    <x v="3"/>
    <x v="1"/>
    <x v="14"/>
  </r>
  <r>
    <x v="75"/>
    <x v="3"/>
    <x v="2"/>
    <x v="19"/>
  </r>
  <r>
    <x v="355"/>
    <x v="3"/>
    <x v="4"/>
    <x v="4"/>
  </r>
  <r>
    <x v="658"/>
    <x v="3"/>
    <x v="4"/>
    <x v="4"/>
  </r>
  <r>
    <x v="659"/>
    <x v="3"/>
    <x v="1"/>
    <x v="14"/>
  </r>
  <r>
    <x v="18"/>
    <x v="3"/>
    <x v="1"/>
    <x v="1"/>
  </r>
  <r>
    <x v="660"/>
    <x v="3"/>
    <x v="4"/>
    <x v="11"/>
  </r>
  <r>
    <x v="158"/>
    <x v="3"/>
    <x v="4"/>
    <x v="4"/>
  </r>
  <r>
    <x v="40"/>
    <x v="3"/>
    <x v="2"/>
    <x v="19"/>
  </r>
  <r>
    <x v="75"/>
    <x v="3"/>
    <x v="1"/>
    <x v="15"/>
  </r>
  <r>
    <x v="101"/>
    <x v="3"/>
    <x v="4"/>
    <x v="4"/>
  </r>
  <r>
    <x v="101"/>
    <x v="3"/>
    <x v="2"/>
    <x v="19"/>
  </r>
  <r>
    <x v="101"/>
    <x v="3"/>
    <x v="2"/>
    <x v="19"/>
  </r>
  <r>
    <x v="115"/>
    <x v="3"/>
    <x v="1"/>
    <x v="3"/>
  </r>
  <r>
    <x v="661"/>
    <x v="3"/>
    <x v="4"/>
    <x v="4"/>
  </r>
  <r>
    <x v="39"/>
    <x v="3"/>
    <x v="4"/>
    <x v="4"/>
  </r>
  <r>
    <x v="231"/>
    <x v="3"/>
    <x v="2"/>
    <x v="19"/>
  </r>
  <r>
    <x v="192"/>
    <x v="3"/>
    <x v="2"/>
    <x v="19"/>
  </r>
  <r>
    <x v="102"/>
    <x v="3"/>
    <x v="2"/>
    <x v="19"/>
  </r>
  <r>
    <x v="662"/>
    <x v="3"/>
    <x v="1"/>
    <x v="1"/>
  </r>
  <r>
    <x v="442"/>
    <x v="3"/>
    <x v="1"/>
    <x v="1"/>
  </r>
  <r>
    <x v="552"/>
    <x v="3"/>
    <x v="2"/>
    <x v="19"/>
  </r>
  <r>
    <x v="663"/>
    <x v="3"/>
    <x v="4"/>
    <x v="4"/>
  </r>
  <r>
    <x v="35"/>
    <x v="3"/>
    <x v="1"/>
    <x v="1"/>
  </r>
  <r>
    <x v="664"/>
    <x v="3"/>
    <x v="4"/>
    <x v="11"/>
  </r>
  <r>
    <x v="99"/>
    <x v="3"/>
    <x v="1"/>
    <x v="16"/>
  </r>
  <r>
    <x v="202"/>
    <x v="3"/>
    <x v="4"/>
    <x v="4"/>
  </r>
  <r>
    <x v="75"/>
    <x v="3"/>
    <x v="2"/>
    <x v="19"/>
  </r>
  <r>
    <x v="43"/>
    <x v="3"/>
    <x v="4"/>
    <x v="11"/>
  </r>
  <r>
    <x v="75"/>
    <x v="3"/>
    <x v="2"/>
    <x v="19"/>
  </r>
  <r>
    <x v="75"/>
    <x v="3"/>
    <x v="4"/>
    <x v="11"/>
  </r>
  <r>
    <x v="592"/>
    <x v="3"/>
    <x v="4"/>
    <x v="11"/>
  </r>
  <r>
    <x v="665"/>
    <x v="3"/>
    <x v="4"/>
    <x v="4"/>
  </r>
  <r>
    <x v="666"/>
    <x v="3"/>
    <x v="4"/>
    <x v="4"/>
  </r>
  <r>
    <x v="667"/>
    <x v="3"/>
    <x v="4"/>
    <x v="4"/>
  </r>
  <r>
    <x v="668"/>
    <x v="3"/>
    <x v="4"/>
    <x v="4"/>
  </r>
  <r>
    <x v="1"/>
    <x v="3"/>
    <x v="1"/>
    <x v="14"/>
  </r>
  <r>
    <x v="669"/>
    <x v="3"/>
    <x v="1"/>
    <x v="1"/>
  </r>
  <r>
    <x v="670"/>
    <x v="3"/>
    <x v="1"/>
    <x v="1"/>
  </r>
  <r>
    <x v="671"/>
    <x v="3"/>
    <x v="1"/>
    <x v="23"/>
  </r>
  <r>
    <x v="672"/>
    <x v="3"/>
    <x v="1"/>
    <x v="23"/>
  </r>
  <r>
    <x v="671"/>
    <x v="3"/>
    <x v="1"/>
    <x v="24"/>
  </r>
  <r>
    <x v="672"/>
    <x v="3"/>
    <x v="1"/>
    <x v="24"/>
  </r>
  <r>
    <x v="673"/>
    <x v="3"/>
    <x v="4"/>
    <x v="4"/>
  </r>
  <r>
    <x v="674"/>
    <x v="3"/>
    <x v="4"/>
    <x v="4"/>
  </r>
  <r>
    <x v="675"/>
    <x v="3"/>
    <x v="4"/>
    <x v="4"/>
  </r>
  <r>
    <x v="524"/>
    <x v="3"/>
    <x v="1"/>
    <x v="1"/>
  </r>
  <r>
    <x v="311"/>
    <x v="3"/>
    <x v="1"/>
    <x v="6"/>
  </r>
  <r>
    <x v="676"/>
    <x v="3"/>
    <x v="1"/>
    <x v="28"/>
  </r>
  <r>
    <x v="677"/>
    <x v="3"/>
    <x v="1"/>
    <x v="14"/>
  </r>
  <r>
    <x v="446"/>
    <x v="3"/>
    <x v="1"/>
    <x v="14"/>
  </r>
  <r>
    <x v="678"/>
    <x v="3"/>
    <x v="1"/>
    <x v="1"/>
  </r>
  <r>
    <x v="679"/>
    <x v="3"/>
    <x v="1"/>
    <x v="14"/>
  </r>
  <r>
    <x v="680"/>
    <x v="3"/>
    <x v="1"/>
    <x v="1"/>
  </r>
  <r>
    <x v="681"/>
    <x v="3"/>
    <x v="1"/>
    <x v="1"/>
  </r>
  <r>
    <x v="682"/>
    <x v="3"/>
    <x v="1"/>
    <x v="15"/>
  </r>
  <r>
    <x v="683"/>
    <x v="3"/>
    <x v="4"/>
    <x v="4"/>
  </r>
  <r>
    <x v="337"/>
    <x v="3"/>
    <x v="2"/>
    <x v="19"/>
  </r>
  <r>
    <x v="684"/>
    <x v="3"/>
    <x v="2"/>
    <x v="19"/>
  </r>
  <r>
    <x v="399"/>
    <x v="3"/>
    <x v="1"/>
    <x v="23"/>
  </r>
  <r>
    <x v="685"/>
    <x v="3"/>
    <x v="4"/>
    <x v="4"/>
  </r>
  <r>
    <x v="686"/>
    <x v="3"/>
    <x v="1"/>
    <x v="1"/>
  </r>
  <r>
    <x v="687"/>
    <x v="3"/>
    <x v="1"/>
    <x v="1"/>
  </r>
  <r>
    <x v="123"/>
    <x v="3"/>
    <x v="4"/>
    <x v="4"/>
  </r>
  <r>
    <x v="688"/>
    <x v="3"/>
    <x v="4"/>
    <x v="4"/>
  </r>
  <r>
    <x v="689"/>
    <x v="3"/>
    <x v="4"/>
    <x v="11"/>
  </r>
  <r>
    <x v="690"/>
    <x v="3"/>
    <x v="4"/>
    <x v="11"/>
  </r>
  <r>
    <x v="691"/>
    <x v="3"/>
    <x v="5"/>
    <x v="0"/>
  </r>
  <r>
    <x v="692"/>
    <x v="3"/>
    <x v="4"/>
    <x v="4"/>
  </r>
  <r>
    <x v="693"/>
    <x v="3"/>
    <x v="4"/>
    <x v="11"/>
  </r>
  <r>
    <x v="694"/>
    <x v="3"/>
    <x v="4"/>
    <x v="4"/>
  </r>
  <r>
    <x v="695"/>
    <x v="3"/>
    <x v="2"/>
    <x v="19"/>
  </r>
  <r>
    <x v="696"/>
    <x v="3"/>
    <x v="1"/>
    <x v="1"/>
  </r>
  <r>
    <x v="697"/>
    <x v="3"/>
    <x v="2"/>
    <x v="19"/>
  </r>
  <r>
    <x v="698"/>
    <x v="3"/>
    <x v="1"/>
    <x v="1"/>
  </r>
  <r>
    <x v="699"/>
    <x v="3"/>
    <x v="1"/>
    <x v="1"/>
  </r>
  <r>
    <x v="700"/>
    <x v="3"/>
    <x v="1"/>
    <x v="1"/>
  </r>
  <r>
    <x v="701"/>
    <x v="3"/>
    <x v="2"/>
    <x v="19"/>
  </r>
  <r>
    <x v="24"/>
    <x v="3"/>
    <x v="1"/>
    <x v="1"/>
  </r>
  <r>
    <x v="448"/>
    <x v="3"/>
    <x v="4"/>
    <x v="4"/>
  </r>
  <r>
    <x v="282"/>
    <x v="3"/>
    <x v="4"/>
    <x v="4"/>
  </r>
  <r>
    <x v="702"/>
    <x v="3"/>
    <x v="2"/>
    <x v="19"/>
  </r>
  <r>
    <x v="345"/>
    <x v="3"/>
    <x v="2"/>
    <x v="19"/>
  </r>
  <r>
    <x v="703"/>
    <x v="3"/>
    <x v="6"/>
    <x v="12"/>
  </r>
  <r>
    <x v="36"/>
    <x v="3"/>
    <x v="1"/>
    <x v="1"/>
  </r>
  <r>
    <x v="704"/>
    <x v="3"/>
    <x v="2"/>
    <x v="19"/>
  </r>
  <r>
    <x v="705"/>
    <x v="3"/>
    <x v="4"/>
    <x v="11"/>
  </r>
  <r>
    <x v="706"/>
    <x v="3"/>
    <x v="2"/>
    <x v="19"/>
  </r>
  <r>
    <x v="156"/>
    <x v="3"/>
    <x v="4"/>
    <x v="11"/>
  </r>
  <r>
    <x v="707"/>
    <x v="3"/>
    <x v="2"/>
    <x v="29"/>
  </r>
  <r>
    <x v="43"/>
    <x v="3"/>
    <x v="2"/>
    <x v="29"/>
  </r>
  <r>
    <x v="99"/>
    <x v="3"/>
    <x v="2"/>
    <x v="29"/>
  </r>
  <r>
    <x v="428"/>
    <x v="3"/>
    <x v="4"/>
    <x v="4"/>
  </r>
  <r>
    <x v="708"/>
    <x v="3"/>
    <x v="1"/>
    <x v="15"/>
  </r>
  <r>
    <x v="709"/>
    <x v="3"/>
    <x v="2"/>
    <x v="18"/>
  </r>
  <r>
    <x v="383"/>
    <x v="3"/>
    <x v="4"/>
    <x v="4"/>
  </r>
  <r>
    <x v="344"/>
    <x v="3"/>
    <x v="4"/>
    <x v="4"/>
  </r>
  <r>
    <x v="710"/>
    <x v="3"/>
    <x v="2"/>
    <x v="19"/>
  </r>
  <r>
    <x v="711"/>
    <x v="3"/>
    <x v="2"/>
    <x v="19"/>
  </r>
  <r>
    <x v="167"/>
    <x v="3"/>
    <x v="4"/>
    <x v="4"/>
  </r>
  <r>
    <x v="160"/>
    <x v="3"/>
    <x v="4"/>
    <x v="4"/>
  </r>
  <r>
    <x v="75"/>
    <x v="3"/>
    <x v="1"/>
    <x v="15"/>
  </r>
  <r>
    <x v="132"/>
    <x v="3"/>
    <x v="2"/>
    <x v="19"/>
  </r>
  <r>
    <x v="99"/>
    <x v="3"/>
    <x v="1"/>
    <x v="1"/>
  </r>
  <r>
    <x v="706"/>
    <x v="3"/>
    <x v="4"/>
    <x v="11"/>
  </r>
  <r>
    <x v="712"/>
    <x v="3"/>
    <x v="2"/>
    <x v="19"/>
  </r>
  <r>
    <x v="186"/>
    <x v="3"/>
    <x v="1"/>
    <x v="15"/>
  </r>
  <r>
    <x v="254"/>
    <x v="3"/>
    <x v="4"/>
    <x v="4"/>
  </r>
  <r>
    <x v="713"/>
    <x v="3"/>
    <x v="2"/>
    <x v="19"/>
  </r>
  <r>
    <x v="76"/>
    <x v="3"/>
    <x v="2"/>
    <x v="19"/>
  </r>
  <r>
    <x v="12"/>
    <x v="3"/>
    <x v="1"/>
    <x v="1"/>
  </r>
  <r>
    <x v="81"/>
    <x v="3"/>
    <x v="1"/>
    <x v="1"/>
  </r>
  <r>
    <x v="18"/>
    <x v="3"/>
    <x v="1"/>
    <x v="1"/>
  </r>
  <r>
    <x v="583"/>
    <x v="3"/>
    <x v="1"/>
    <x v="1"/>
  </r>
  <r>
    <x v="103"/>
    <x v="3"/>
    <x v="1"/>
    <x v="1"/>
  </r>
  <r>
    <x v="714"/>
    <x v="3"/>
    <x v="4"/>
    <x v="4"/>
  </r>
  <r>
    <x v="715"/>
    <x v="3"/>
    <x v="2"/>
    <x v="19"/>
  </r>
  <r>
    <x v="76"/>
    <x v="3"/>
    <x v="1"/>
    <x v="1"/>
  </r>
  <r>
    <x v="75"/>
    <x v="3"/>
    <x v="1"/>
    <x v="1"/>
  </r>
  <r>
    <x v="716"/>
    <x v="3"/>
    <x v="4"/>
    <x v="11"/>
  </r>
  <r>
    <x v="102"/>
    <x v="3"/>
    <x v="4"/>
    <x v="4"/>
  </r>
  <r>
    <x v="717"/>
    <x v="3"/>
    <x v="2"/>
    <x v="18"/>
  </r>
  <r>
    <x v="718"/>
    <x v="3"/>
    <x v="1"/>
    <x v="28"/>
  </r>
  <r>
    <x v="719"/>
    <x v="3"/>
    <x v="2"/>
    <x v="19"/>
  </r>
  <r>
    <x v="720"/>
    <x v="3"/>
    <x v="1"/>
    <x v="1"/>
  </r>
  <r>
    <x v="721"/>
    <x v="3"/>
    <x v="1"/>
    <x v="1"/>
  </r>
  <r>
    <x v="722"/>
    <x v="3"/>
    <x v="1"/>
    <x v="14"/>
  </r>
  <r>
    <x v="723"/>
    <x v="3"/>
    <x v="1"/>
    <x v="1"/>
  </r>
  <r>
    <x v="724"/>
    <x v="3"/>
    <x v="4"/>
    <x v="4"/>
  </r>
  <r>
    <x v="124"/>
    <x v="3"/>
    <x v="4"/>
    <x v="4"/>
  </r>
  <r>
    <x v="725"/>
    <x v="3"/>
    <x v="1"/>
    <x v="1"/>
  </r>
  <r>
    <x v="726"/>
    <x v="3"/>
    <x v="4"/>
    <x v="4"/>
  </r>
  <r>
    <x v="218"/>
    <x v="3"/>
    <x v="1"/>
    <x v="15"/>
  </r>
  <r>
    <x v="727"/>
    <x v="3"/>
    <x v="2"/>
    <x v="19"/>
  </r>
  <r>
    <x v="728"/>
    <x v="3"/>
    <x v="4"/>
    <x v="11"/>
  </r>
  <r>
    <x v="403"/>
    <x v="3"/>
    <x v="4"/>
    <x v="4"/>
  </r>
  <r>
    <x v="729"/>
    <x v="3"/>
    <x v="4"/>
    <x v="4"/>
  </r>
  <r>
    <x v="730"/>
    <x v="3"/>
    <x v="4"/>
    <x v="4"/>
  </r>
  <r>
    <x v="731"/>
    <x v="3"/>
    <x v="3"/>
    <x v="0"/>
  </r>
  <r>
    <x v="430"/>
    <x v="3"/>
    <x v="1"/>
    <x v="1"/>
  </r>
  <r>
    <x v="12"/>
    <x v="3"/>
    <x v="1"/>
    <x v="16"/>
  </r>
  <r>
    <x v="732"/>
    <x v="3"/>
    <x v="1"/>
    <x v="16"/>
  </r>
  <r>
    <x v="733"/>
    <x v="3"/>
    <x v="1"/>
    <x v="28"/>
  </r>
  <r>
    <x v="734"/>
    <x v="3"/>
    <x v="2"/>
    <x v="19"/>
  </r>
  <r>
    <x v="735"/>
    <x v="3"/>
    <x v="1"/>
    <x v="1"/>
  </r>
  <r>
    <x v="62"/>
    <x v="3"/>
    <x v="6"/>
    <x v="0"/>
  </r>
  <r>
    <x v="736"/>
    <x v="3"/>
    <x v="4"/>
    <x v="11"/>
  </r>
  <r>
    <x v="737"/>
    <x v="3"/>
    <x v="7"/>
    <x v="0"/>
  </r>
  <r>
    <x v="439"/>
    <x v="3"/>
    <x v="7"/>
    <x v="0"/>
  </r>
  <r>
    <x v="738"/>
    <x v="3"/>
    <x v="2"/>
    <x v="30"/>
  </r>
  <r>
    <x v="739"/>
    <x v="3"/>
    <x v="1"/>
    <x v="14"/>
  </r>
  <r>
    <x v="740"/>
    <x v="3"/>
    <x v="1"/>
    <x v="1"/>
  </r>
  <r>
    <x v="741"/>
    <x v="3"/>
    <x v="1"/>
    <x v="1"/>
  </r>
  <r>
    <x v="742"/>
    <x v="3"/>
    <x v="1"/>
    <x v="1"/>
  </r>
  <r>
    <x v="743"/>
    <x v="3"/>
    <x v="1"/>
    <x v="1"/>
  </r>
  <r>
    <x v="493"/>
    <x v="3"/>
    <x v="2"/>
    <x v="19"/>
  </r>
  <r>
    <x v="744"/>
    <x v="3"/>
    <x v="1"/>
    <x v="14"/>
  </r>
  <r>
    <x v="745"/>
    <x v="3"/>
    <x v="2"/>
    <x v="18"/>
  </r>
  <r>
    <x v="743"/>
    <x v="3"/>
    <x v="2"/>
    <x v="19"/>
  </r>
  <r>
    <x v="746"/>
    <x v="3"/>
    <x v="2"/>
    <x v="19"/>
  </r>
  <r>
    <x v="747"/>
    <x v="3"/>
    <x v="4"/>
    <x v="4"/>
  </r>
  <r>
    <x v="748"/>
    <x v="3"/>
    <x v="4"/>
    <x v="4"/>
  </r>
  <r>
    <x v="622"/>
    <x v="3"/>
    <x v="2"/>
    <x v="19"/>
  </r>
  <r>
    <x v="749"/>
    <x v="3"/>
    <x v="1"/>
    <x v="1"/>
  </r>
  <r>
    <x v="749"/>
    <x v="3"/>
    <x v="1"/>
    <x v="1"/>
  </r>
  <r>
    <x v="622"/>
    <x v="3"/>
    <x v="1"/>
    <x v="1"/>
  </r>
  <r>
    <x v="53"/>
    <x v="3"/>
    <x v="4"/>
    <x v="4"/>
  </r>
  <r>
    <x v="498"/>
    <x v="3"/>
    <x v="4"/>
    <x v="4"/>
  </r>
  <r>
    <x v="399"/>
    <x v="3"/>
    <x v="4"/>
    <x v="4"/>
  </r>
  <r>
    <x v="498"/>
    <x v="3"/>
    <x v="1"/>
    <x v="1"/>
  </r>
  <r>
    <x v="750"/>
    <x v="3"/>
    <x v="1"/>
    <x v="1"/>
  </r>
  <r>
    <x v="498"/>
    <x v="3"/>
    <x v="1"/>
    <x v="1"/>
  </r>
  <r>
    <x v="498"/>
    <x v="3"/>
    <x v="2"/>
    <x v="19"/>
  </r>
  <r>
    <x v="751"/>
    <x v="3"/>
    <x v="1"/>
    <x v="14"/>
  </r>
  <r>
    <x v="752"/>
    <x v="3"/>
    <x v="2"/>
    <x v="18"/>
  </r>
  <r>
    <x v="751"/>
    <x v="3"/>
    <x v="1"/>
    <x v="14"/>
  </r>
  <r>
    <x v="752"/>
    <x v="3"/>
    <x v="2"/>
    <x v="18"/>
  </r>
  <r>
    <x v="751"/>
    <x v="3"/>
    <x v="1"/>
    <x v="14"/>
  </r>
  <r>
    <x v="752"/>
    <x v="3"/>
    <x v="2"/>
    <x v="18"/>
  </r>
  <r>
    <x v="753"/>
    <x v="3"/>
    <x v="4"/>
    <x v="4"/>
  </r>
  <r>
    <x v="754"/>
    <x v="3"/>
    <x v="1"/>
    <x v="1"/>
  </r>
  <r>
    <x v="755"/>
    <x v="3"/>
    <x v="1"/>
    <x v="14"/>
  </r>
  <r>
    <x v="756"/>
    <x v="3"/>
    <x v="9"/>
    <x v="1"/>
  </r>
  <r>
    <x v="757"/>
    <x v="3"/>
    <x v="0"/>
    <x v="0"/>
  </r>
  <r>
    <x v="758"/>
    <x v="3"/>
    <x v="3"/>
    <x v="0"/>
  </r>
  <r>
    <x v="759"/>
    <x v="3"/>
    <x v="1"/>
    <x v="30"/>
  </r>
  <r>
    <x v="760"/>
    <x v="3"/>
    <x v="5"/>
    <x v="0"/>
  </r>
  <r>
    <x v="761"/>
    <x v="3"/>
    <x v="5"/>
    <x v="0"/>
  </r>
  <r>
    <x v="18"/>
    <x v="3"/>
    <x v="4"/>
    <x v="11"/>
  </r>
  <r>
    <x v="435"/>
    <x v="3"/>
    <x v="4"/>
    <x v="4"/>
  </r>
  <r>
    <x v="762"/>
    <x v="3"/>
    <x v="4"/>
    <x v="11"/>
  </r>
  <r>
    <x v="763"/>
    <x v="3"/>
    <x v="4"/>
    <x v="11"/>
  </r>
  <r>
    <x v="764"/>
    <x v="3"/>
    <x v="5"/>
    <x v="0"/>
  </r>
  <r>
    <x v="218"/>
    <x v="3"/>
    <x v="4"/>
    <x v="11"/>
  </r>
  <r>
    <x v="132"/>
    <x v="3"/>
    <x v="4"/>
    <x v="4"/>
  </r>
  <r>
    <x v="506"/>
    <x v="3"/>
    <x v="4"/>
    <x v="4"/>
  </r>
  <r>
    <x v="765"/>
    <x v="3"/>
    <x v="1"/>
    <x v="1"/>
  </r>
  <r>
    <x v="766"/>
    <x v="3"/>
    <x v="1"/>
    <x v="3"/>
  </r>
  <r>
    <x v="767"/>
    <x v="3"/>
    <x v="1"/>
    <x v="23"/>
  </r>
  <r>
    <x v="356"/>
    <x v="3"/>
    <x v="1"/>
    <x v="1"/>
  </r>
  <r>
    <x v="768"/>
    <x v="3"/>
    <x v="1"/>
    <x v="31"/>
  </r>
  <r>
    <x v="769"/>
    <x v="3"/>
    <x v="1"/>
    <x v="1"/>
  </r>
  <r>
    <x v="770"/>
    <x v="3"/>
    <x v="1"/>
    <x v="22"/>
  </r>
  <r>
    <x v="770"/>
    <x v="3"/>
    <x v="1"/>
    <x v="22"/>
  </r>
  <r>
    <x v="771"/>
    <x v="3"/>
    <x v="1"/>
    <x v="22"/>
  </r>
  <r>
    <x v="597"/>
    <x v="3"/>
    <x v="4"/>
    <x v="4"/>
  </r>
  <r>
    <x v="772"/>
    <x v="3"/>
    <x v="1"/>
    <x v="1"/>
  </r>
  <r>
    <x v="773"/>
    <x v="3"/>
    <x v="1"/>
    <x v="28"/>
  </r>
  <r>
    <x v="774"/>
    <x v="3"/>
    <x v="4"/>
    <x v="4"/>
  </r>
  <r>
    <x v="775"/>
    <x v="3"/>
    <x v="4"/>
    <x v="4"/>
  </r>
  <r>
    <x v="154"/>
    <x v="3"/>
    <x v="4"/>
    <x v="11"/>
  </r>
  <r>
    <x v="531"/>
    <x v="3"/>
    <x v="4"/>
    <x v="4"/>
  </r>
  <r>
    <x v="776"/>
    <x v="3"/>
    <x v="3"/>
    <x v="0"/>
  </r>
  <r>
    <x v="777"/>
    <x v="3"/>
    <x v="1"/>
    <x v="14"/>
  </r>
  <r>
    <x v="778"/>
    <x v="3"/>
    <x v="2"/>
    <x v="18"/>
  </r>
  <r>
    <x v="779"/>
    <x v="3"/>
    <x v="6"/>
    <x v="0"/>
  </r>
  <r>
    <x v="780"/>
    <x v="3"/>
    <x v="2"/>
    <x v="19"/>
  </r>
  <r>
    <x v="781"/>
    <x v="3"/>
    <x v="4"/>
    <x v="4"/>
  </r>
  <r>
    <x v="727"/>
    <x v="3"/>
    <x v="2"/>
    <x v="19"/>
  </r>
  <r>
    <x v="782"/>
    <x v="3"/>
    <x v="4"/>
    <x v="4"/>
  </r>
  <r>
    <x v="783"/>
    <x v="3"/>
    <x v="1"/>
    <x v="1"/>
  </r>
  <r>
    <x v="784"/>
    <x v="3"/>
    <x v="1"/>
    <x v="1"/>
  </r>
  <r>
    <x v="785"/>
    <x v="3"/>
    <x v="1"/>
    <x v="1"/>
  </r>
  <r>
    <x v="786"/>
    <x v="3"/>
    <x v="1"/>
    <x v="1"/>
  </r>
  <r>
    <x v="76"/>
    <x v="3"/>
    <x v="1"/>
    <x v="1"/>
  </r>
  <r>
    <x v="787"/>
    <x v="3"/>
    <x v="1"/>
    <x v="32"/>
  </r>
  <r>
    <x v="788"/>
    <x v="3"/>
    <x v="1"/>
    <x v="14"/>
  </r>
  <r>
    <x v="512"/>
    <x v="3"/>
    <x v="4"/>
    <x v="4"/>
  </r>
  <r>
    <x v="103"/>
    <x v="3"/>
    <x v="4"/>
    <x v="4"/>
  </r>
  <r>
    <x v="789"/>
    <x v="3"/>
    <x v="4"/>
    <x v="4"/>
  </r>
  <r>
    <x v="790"/>
    <x v="3"/>
    <x v="4"/>
    <x v="4"/>
  </r>
  <r>
    <x v="118"/>
    <x v="3"/>
    <x v="4"/>
    <x v="4"/>
  </r>
  <r>
    <x v="791"/>
    <x v="3"/>
    <x v="2"/>
    <x v="19"/>
  </r>
  <r>
    <x v="792"/>
    <x v="3"/>
    <x v="1"/>
    <x v="15"/>
  </r>
  <r>
    <x v="793"/>
    <x v="3"/>
    <x v="2"/>
    <x v="18"/>
  </r>
  <r>
    <x v="794"/>
    <x v="3"/>
    <x v="1"/>
    <x v="15"/>
  </r>
  <r>
    <x v="795"/>
    <x v="3"/>
    <x v="1"/>
    <x v="15"/>
  </r>
  <r>
    <x v="796"/>
    <x v="3"/>
    <x v="2"/>
    <x v="18"/>
  </r>
  <r>
    <x v="797"/>
    <x v="3"/>
    <x v="1"/>
    <x v="1"/>
  </r>
  <r>
    <x v="798"/>
    <x v="3"/>
    <x v="1"/>
    <x v="14"/>
  </r>
  <r>
    <x v="317"/>
    <x v="3"/>
    <x v="4"/>
    <x v="4"/>
  </r>
  <r>
    <x v="799"/>
    <x v="3"/>
    <x v="4"/>
    <x v="4"/>
  </r>
  <r>
    <x v="430"/>
    <x v="3"/>
    <x v="1"/>
    <x v="1"/>
  </r>
  <r>
    <x v="800"/>
    <x v="3"/>
    <x v="0"/>
    <x v="0"/>
  </r>
  <r>
    <x v="801"/>
    <x v="3"/>
    <x v="3"/>
    <x v="0"/>
  </r>
  <r>
    <x v="802"/>
    <x v="3"/>
    <x v="3"/>
    <x v="0"/>
  </r>
  <r>
    <x v="803"/>
    <x v="3"/>
    <x v="4"/>
    <x v="4"/>
  </r>
  <r>
    <x v="804"/>
    <x v="3"/>
    <x v="2"/>
    <x v="26"/>
  </r>
  <r>
    <x v="714"/>
    <x v="3"/>
    <x v="1"/>
    <x v="14"/>
  </r>
  <r>
    <x v="276"/>
    <x v="3"/>
    <x v="1"/>
    <x v="1"/>
  </r>
  <r>
    <x v="43"/>
    <x v="3"/>
    <x v="1"/>
    <x v="1"/>
  </r>
  <r>
    <x v="168"/>
    <x v="3"/>
    <x v="1"/>
    <x v="1"/>
  </r>
  <r>
    <x v="101"/>
    <x v="3"/>
    <x v="1"/>
    <x v="1"/>
  </r>
  <r>
    <x v="160"/>
    <x v="3"/>
    <x v="1"/>
    <x v="1"/>
  </r>
  <r>
    <x v="276"/>
    <x v="3"/>
    <x v="1"/>
    <x v="1"/>
  </r>
  <r>
    <x v="232"/>
    <x v="3"/>
    <x v="1"/>
    <x v="1"/>
  </r>
  <r>
    <x v="43"/>
    <x v="3"/>
    <x v="1"/>
    <x v="1"/>
  </r>
  <r>
    <x v="11"/>
    <x v="3"/>
    <x v="1"/>
    <x v="1"/>
  </r>
  <r>
    <x v="103"/>
    <x v="3"/>
    <x v="1"/>
    <x v="1"/>
  </r>
  <r>
    <x v="805"/>
    <x v="3"/>
    <x v="1"/>
    <x v="1"/>
  </r>
  <r>
    <x v="35"/>
    <x v="3"/>
    <x v="1"/>
    <x v="1"/>
  </r>
  <r>
    <x v="166"/>
    <x v="3"/>
    <x v="1"/>
    <x v="1"/>
  </r>
  <r>
    <x v="43"/>
    <x v="3"/>
    <x v="1"/>
    <x v="1"/>
  </r>
  <r>
    <x v="103"/>
    <x v="3"/>
    <x v="1"/>
    <x v="1"/>
  </r>
  <r>
    <x v="103"/>
    <x v="3"/>
    <x v="1"/>
    <x v="1"/>
  </r>
  <r>
    <x v="43"/>
    <x v="3"/>
    <x v="1"/>
    <x v="1"/>
  </r>
  <r>
    <x v="389"/>
    <x v="3"/>
    <x v="1"/>
    <x v="1"/>
  </r>
  <r>
    <x v="389"/>
    <x v="3"/>
    <x v="1"/>
    <x v="1"/>
  </r>
  <r>
    <x v="806"/>
    <x v="3"/>
    <x v="1"/>
    <x v="1"/>
  </r>
  <r>
    <x v="807"/>
    <x v="3"/>
    <x v="1"/>
    <x v="1"/>
  </r>
  <r>
    <x v="161"/>
    <x v="3"/>
    <x v="1"/>
    <x v="1"/>
  </r>
  <r>
    <x v="808"/>
    <x v="3"/>
    <x v="1"/>
    <x v="1"/>
  </r>
  <r>
    <x v="40"/>
    <x v="3"/>
    <x v="1"/>
    <x v="1"/>
  </r>
  <r>
    <x v="132"/>
    <x v="3"/>
    <x v="1"/>
    <x v="1"/>
  </r>
  <r>
    <x v="655"/>
    <x v="3"/>
    <x v="1"/>
    <x v="1"/>
  </r>
  <r>
    <x v="180"/>
    <x v="3"/>
    <x v="1"/>
    <x v="1"/>
  </r>
  <r>
    <x v="166"/>
    <x v="3"/>
    <x v="1"/>
    <x v="1"/>
  </r>
  <r>
    <x v="132"/>
    <x v="3"/>
    <x v="1"/>
    <x v="1"/>
  </r>
  <r>
    <x v="460"/>
    <x v="3"/>
    <x v="1"/>
    <x v="1"/>
  </r>
  <r>
    <x v="115"/>
    <x v="3"/>
    <x v="1"/>
    <x v="1"/>
  </r>
  <r>
    <x v="43"/>
    <x v="3"/>
    <x v="1"/>
    <x v="1"/>
  </r>
  <r>
    <x v="161"/>
    <x v="3"/>
    <x v="1"/>
    <x v="1"/>
  </r>
  <r>
    <x v="132"/>
    <x v="3"/>
    <x v="1"/>
    <x v="1"/>
  </r>
  <r>
    <x v="563"/>
    <x v="3"/>
    <x v="1"/>
    <x v="1"/>
  </r>
  <r>
    <x v="35"/>
    <x v="3"/>
    <x v="1"/>
    <x v="1"/>
  </r>
  <r>
    <x v="103"/>
    <x v="3"/>
    <x v="1"/>
    <x v="1"/>
  </r>
  <r>
    <x v="43"/>
    <x v="3"/>
    <x v="1"/>
    <x v="1"/>
  </r>
  <r>
    <x v="809"/>
    <x v="3"/>
    <x v="1"/>
    <x v="1"/>
  </r>
  <r>
    <x v="35"/>
    <x v="3"/>
    <x v="1"/>
    <x v="1"/>
  </r>
  <r>
    <x v="115"/>
    <x v="3"/>
    <x v="1"/>
    <x v="1"/>
  </r>
  <r>
    <x v="76"/>
    <x v="3"/>
    <x v="1"/>
    <x v="1"/>
  </r>
  <r>
    <x v="102"/>
    <x v="3"/>
    <x v="1"/>
    <x v="1"/>
  </r>
  <r>
    <x v="42"/>
    <x v="3"/>
    <x v="1"/>
    <x v="1"/>
  </r>
  <r>
    <x v="35"/>
    <x v="3"/>
    <x v="1"/>
    <x v="1"/>
  </r>
  <r>
    <x v="161"/>
    <x v="3"/>
    <x v="1"/>
    <x v="1"/>
  </r>
  <r>
    <x v="103"/>
    <x v="3"/>
    <x v="1"/>
    <x v="1"/>
  </r>
  <r>
    <x v="103"/>
    <x v="3"/>
    <x v="1"/>
    <x v="1"/>
  </r>
  <r>
    <x v="583"/>
    <x v="3"/>
    <x v="1"/>
    <x v="1"/>
  </r>
  <r>
    <x v="42"/>
    <x v="3"/>
    <x v="1"/>
    <x v="1"/>
  </r>
  <r>
    <x v="43"/>
    <x v="3"/>
    <x v="1"/>
    <x v="1"/>
  </r>
  <r>
    <x v="103"/>
    <x v="3"/>
    <x v="1"/>
    <x v="1"/>
  </r>
  <r>
    <x v="103"/>
    <x v="3"/>
    <x v="1"/>
    <x v="1"/>
  </r>
  <r>
    <x v="12"/>
    <x v="3"/>
    <x v="1"/>
    <x v="1"/>
  </r>
  <r>
    <x v="103"/>
    <x v="3"/>
    <x v="1"/>
    <x v="1"/>
  </r>
  <r>
    <x v="35"/>
    <x v="3"/>
    <x v="1"/>
    <x v="15"/>
  </r>
  <r>
    <x v="374"/>
    <x v="3"/>
    <x v="1"/>
    <x v="29"/>
  </r>
  <r>
    <x v="810"/>
    <x v="3"/>
    <x v="1"/>
    <x v="29"/>
  </r>
  <r>
    <x v="811"/>
    <x v="3"/>
    <x v="4"/>
    <x v="4"/>
  </r>
  <r>
    <x v="75"/>
    <x v="3"/>
    <x v="1"/>
    <x v="9"/>
  </r>
  <r>
    <x v="522"/>
    <x v="3"/>
    <x v="4"/>
    <x v="11"/>
  </r>
  <r>
    <x v="166"/>
    <x v="3"/>
    <x v="6"/>
    <x v="33"/>
  </r>
  <r>
    <x v="40"/>
    <x v="3"/>
    <x v="6"/>
    <x v="0"/>
  </r>
  <r>
    <x v="115"/>
    <x v="3"/>
    <x v="1"/>
    <x v="15"/>
  </r>
  <r>
    <x v="812"/>
    <x v="3"/>
    <x v="1"/>
    <x v="15"/>
  </r>
  <r>
    <x v="658"/>
    <x v="3"/>
    <x v="1"/>
    <x v="15"/>
  </r>
  <r>
    <x v="231"/>
    <x v="3"/>
    <x v="1"/>
    <x v="15"/>
  </r>
  <r>
    <x v="35"/>
    <x v="3"/>
    <x v="1"/>
    <x v="14"/>
  </r>
  <r>
    <x v="674"/>
    <x v="3"/>
    <x v="4"/>
    <x v="4"/>
  </r>
  <r>
    <x v="566"/>
    <x v="3"/>
    <x v="1"/>
    <x v="14"/>
  </r>
  <r>
    <x v="163"/>
    <x v="3"/>
    <x v="1"/>
    <x v="1"/>
  </r>
  <r>
    <x v="115"/>
    <x v="3"/>
    <x v="1"/>
    <x v="1"/>
  </r>
  <r>
    <x v="162"/>
    <x v="3"/>
    <x v="1"/>
    <x v="15"/>
  </r>
  <r>
    <x v="813"/>
    <x v="3"/>
    <x v="1"/>
    <x v="15"/>
  </r>
  <r>
    <x v="814"/>
    <x v="3"/>
    <x v="6"/>
    <x v="33"/>
  </r>
  <r>
    <x v="815"/>
    <x v="3"/>
    <x v="6"/>
    <x v="33"/>
  </r>
  <r>
    <x v="522"/>
    <x v="3"/>
    <x v="6"/>
    <x v="33"/>
  </r>
  <r>
    <x v="573"/>
    <x v="3"/>
    <x v="6"/>
    <x v="33"/>
  </r>
  <r>
    <x v="816"/>
    <x v="3"/>
    <x v="4"/>
    <x v="11"/>
  </r>
  <r>
    <x v="447"/>
    <x v="3"/>
    <x v="4"/>
    <x v="11"/>
  </r>
  <r>
    <x v="166"/>
    <x v="3"/>
    <x v="2"/>
    <x v="18"/>
  </r>
  <r>
    <x v="817"/>
    <x v="3"/>
    <x v="1"/>
    <x v="1"/>
  </r>
  <r>
    <x v="817"/>
    <x v="3"/>
    <x v="2"/>
    <x v="19"/>
  </r>
  <r>
    <x v="460"/>
    <x v="3"/>
    <x v="4"/>
    <x v="11"/>
  </r>
  <r>
    <x v="818"/>
    <x v="3"/>
    <x v="2"/>
    <x v="19"/>
  </r>
  <r>
    <x v="819"/>
    <x v="3"/>
    <x v="1"/>
    <x v="14"/>
  </r>
  <r>
    <x v="820"/>
    <x v="3"/>
    <x v="1"/>
    <x v="1"/>
  </r>
  <r>
    <x v="821"/>
    <x v="3"/>
    <x v="3"/>
    <x v="0"/>
  </r>
  <r>
    <x v="822"/>
    <x v="3"/>
    <x v="0"/>
    <x v="0"/>
  </r>
  <r>
    <x v="823"/>
    <x v="3"/>
    <x v="3"/>
    <x v="0"/>
  </r>
  <r>
    <x v="824"/>
    <x v="3"/>
    <x v="0"/>
    <x v="0"/>
  </r>
  <r>
    <x v="825"/>
    <x v="3"/>
    <x v="3"/>
    <x v="0"/>
  </r>
  <r>
    <x v="826"/>
    <x v="3"/>
    <x v="2"/>
    <x v="19"/>
  </r>
  <r>
    <x v="827"/>
    <x v="3"/>
    <x v="5"/>
    <x v="0"/>
  </r>
  <r>
    <x v="828"/>
    <x v="3"/>
    <x v="5"/>
    <x v="0"/>
  </r>
  <r>
    <x v="829"/>
    <x v="3"/>
    <x v="5"/>
    <x v="0"/>
  </r>
  <r>
    <x v="830"/>
    <x v="3"/>
    <x v="4"/>
    <x v="4"/>
  </r>
  <r>
    <x v="831"/>
    <x v="3"/>
    <x v="4"/>
    <x v="4"/>
  </r>
  <r>
    <x v="832"/>
    <x v="3"/>
    <x v="4"/>
    <x v="11"/>
  </r>
  <r>
    <x v="714"/>
    <x v="3"/>
    <x v="4"/>
    <x v="11"/>
  </r>
  <r>
    <x v="833"/>
    <x v="3"/>
    <x v="4"/>
    <x v="4"/>
  </r>
  <r>
    <x v="834"/>
    <x v="3"/>
    <x v="4"/>
    <x v="4"/>
  </r>
  <r>
    <x v="835"/>
    <x v="3"/>
    <x v="4"/>
    <x v="11"/>
  </r>
  <r>
    <x v="836"/>
    <x v="3"/>
    <x v="4"/>
    <x v="4"/>
  </r>
  <r>
    <x v="837"/>
    <x v="3"/>
    <x v="4"/>
    <x v="4"/>
  </r>
  <r>
    <x v="838"/>
    <x v="3"/>
    <x v="1"/>
    <x v="32"/>
  </r>
  <r>
    <x v="839"/>
    <x v="3"/>
    <x v="5"/>
    <x v="0"/>
  </r>
  <r>
    <x v="840"/>
    <x v="3"/>
    <x v="4"/>
    <x v="11"/>
  </r>
  <r>
    <x v="841"/>
    <x v="3"/>
    <x v="1"/>
    <x v="1"/>
  </r>
  <r>
    <x v="842"/>
    <x v="3"/>
    <x v="1"/>
    <x v="1"/>
  </r>
  <r>
    <x v="843"/>
    <x v="3"/>
    <x v="2"/>
    <x v="19"/>
  </r>
  <r>
    <x v="844"/>
    <x v="3"/>
    <x v="1"/>
    <x v="1"/>
  </r>
  <r>
    <x v="845"/>
    <x v="3"/>
    <x v="4"/>
    <x v="4"/>
  </r>
  <r>
    <x v="846"/>
    <x v="3"/>
    <x v="1"/>
    <x v="24"/>
  </r>
  <r>
    <x v="594"/>
    <x v="3"/>
    <x v="4"/>
    <x v="4"/>
  </r>
  <r>
    <x v="847"/>
    <x v="3"/>
    <x v="4"/>
    <x v="11"/>
  </r>
  <r>
    <x v="11"/>
    <x v="3"/>
    <x v="4"/>
    <x v="4"/>
  </r>
  <r>
    <x v="848"/>
    <x v="3"/>
    <x v="4"/>
    <x v="4"/>
  </r>
  <r>
    <x v="392"/>
    <x v="3"/>
    <x v="1"/>
    <x v="1"/>
  </r>
  <r>
    <x v="849"/>
    <x v="3"/>
    <x v="1"/>
    <x v="1"/>
  </r>
  <r>
    <x v="318"/>
    <x v="3"/>
    <x v="6"/>
    <x v="0"/>
  </r>
  <r>
    <x v="850"/>
    <x v="3"/>
    <x v="1"/>
    <x v="23"/>
  </r>
  <r>
    <x v="851"/>
    <x v="3"/>
    <x v="1"/>
    <x v="1"/>
  </r>
  <r>
    <x v="852"/>
    <x v="3"/>
    <x v="2"/>
    <x v="18"/>
  </r>
  <r>
    <x v="460"/>
    <x v="3"/>
    <x v="1"/>
    <x v="22"/>
  </r>
  <r>
    <x v="853"/>
    <x v="3"/>
    <x v="1"/>
    <x v="22"/>
  </r>
  <r>
    <x v="854"/>
    <x v="3"/>
    <x v="2"/>
    <x v="26"/>
  </r>
  <r>
    <x v="123"/>
    <x v="3"/>
    <x v="1"/>
    <x v="1"/>
  </r>
  <r>
    <x v="855"/>
    <x v="3"/>
    <x v="1"/>
    <x v="1"/>
  </r>
  <r>
    <x v="856"/>
    <x v="3"/>
    <x v="4"/>
    <x v="4"/>
  </r>
  <r>
    <x v="121"/>
    <x v="3"/>
    <x v="1"/>
    <x v="1"/>
  </r>
  <r>
    <x v="425"/>
    <x v="3"/>
    <x v="1"/>
    <x v="1"/>
  </r>
  <r>
    <x v="857"/>
    <x v="4"/>
    <x v="4"/>
    <x v="4"/>
  </r>
  <r>
    <x v="858"/>
    <x v="4"/>
    <x v="4"/>
    <x v="4"/>
  </r>
  <r>
    <x v="859"/>
    <x v="3"/>
    <x v="1"/>
    <x v="14"/>
  </r>
  <r>
    <x v="860"/>
    <x v="3"/>
    <x v="5"/>
    <x v="0"/>
  </r>
  <r>
    <x v="861"/>
    <x v="3"/>
    <x v="4"/>
    <x v="11"/>
  </r>
  <r>
    <x v="862"/>
    <x v="3"/>
    <x v="5"/>
    <x v="0"/>
  </r>
  <r>
    <x v="139"/>
    <x v="3"/>
    <x v="4"/>
    <x v="11"/>
  </r>
  <r>
    <x v="863"/>
    <x v="3"/>
    <x v="1"/>
    <x v="1"/>
  </r>
  <r>
    <x v="547"/>
    <x v="3"/>
    <x v="4"/>
    <x v="11"/>
  </r>
  <r>
    <x v="864"/>
    <x v="3"/>
    <x v="1"/>
    <x v="14"/>
  </r>
  <r>
    <x v="865"/>
    <x v="3"/>
    <x v="2"/>
    <x v="19"/>
  </r>
  <r>
    <x v="866"/>
    <x v="3"/>
    <x v="2"/>
    <x v="19"/>
  </r>
  <r>
    <x v="867"/>
    <x v="4"/>
    <x v="1"/>
    <x v="28"/>
  </r>
  <r>
    <x v="868"/>
    <x v="4"/>
    <x v="1"/>
    <x v="1"/>
  </r>
  <r>
    <x v="869"/>
    <x v="4"/>
    <x v="4"/>
    <x v="4"/>
  </r>
  <r>
    <x v="870"/>
    <x v="4"/>
    <x v="4"/>
    <x v="11"/>
  </r>
  <r>
    <x v="871"/>
    <x v="4"/>
    <x v="2"/>
    <x v="18"/>
  </r>
  <r>
    <x v="872"/>
    <x v="4"/>
    <x v="1"/>
    <x v="1"/>
  </r>
  <r>
    <x v="873"/>
    <x v="4"/>
    <x v="1"/>
    <x v="30"/>
  </r>
  <r>
    <x v="874"/>
    <x v="4"/>
    <x v="1"/>
    <x v="1"/>
  </r>
  <r>
    <x v="875"/>
    <x v="4"/>
    <x v="1"/>
    <x v="1"/>
  </r>
  <r>
    <x v="873"/>
    <x v="4"/>
    <x v="2"/>
    <x v="26"/>
  </r>
  <r>
    <x v="876"/>
    <x v="4"/>
    <x v="1"/>
    <x v="14"/>
  </r>
  <r>
    <x v="877"/>
    <x v="4"/>
    <x v="2"/>
    <x v="34"/>
  </r>
  <r>
    <x v="878"/>
    <x v="4"/>
    <x v="1"/>
    <x v="1"/>
  </r>
  <r>
    <x v="154"/>
    <x v="4"/>
    <x v="4"/>
    <x v="4"/>
  </r>
  <r>
    <x v="879"/>
    <x v="3"/>
    <x v="0"/>
    <x v="0"/>
  </r>
  <r>
    <x v="880"/>
    <x v="3"/>
    <x v="3"/>
    <x v="0"/>
  </r>
  <r>
    <x v="252"/>
    <x v="3"/>
    <x v="0"/>
    <x v="0"/>
  </r>
  <r>
    <x v="881"/>
    <x v="3"/>
    <x v="2"/>
    <x v="19"/>
  </r>
  <r>
    <x v="882"/>
    <x v="3"/>
    <x v="1"/>
    <x v="1"/>
  </r>
  <r>
    <x v="883"/>
    <x v="3"/>
    <x v="1"/>
    <x v="14"/>
  </r>
  <r>
    <x v="884"/>
    <x v="3"/>
    <x v="2"/>
    <x v="18"/>
  </r>
  <r>
    <x v="885"/>
    <x v="3"/>
    <x v="4"/>
    <x v="11"/>
  </r>
  <r>
    <x v="650"/>
    <x v="3"/>
    <x v="1"/>
    <x v="1"/>
  </r>
  <r>
    <x v="611"/>
    <x v="3"/>
    <x v="1"/>
    <x v="1"/>
  </r>
  <r>
    <x v="742"/>
    <x v="3"/>
    <x v="1"/>
    <x v="1"/>
  </r>
  <r>
    <x v="495"/>
    <x v="3"/>
    <x v="1"/>
    <x v="1"/>
  </r>
  <r>
    <x v="613"/>
    <x v="3"/>
    <x v="4"/>
    <x v="4"/>
  </r>
  <r>
    <x v="493"/>
    <x v="3"/>
    <x v="2"/>
    <x v="19"/>
  </r>
  <r>
    <x v="886"/>
    <x v="3"/>
    <x v="1"/>
    <x v="14"/>
  </r>
  <r>
    <x v="745"/>
    <x v="3"/>
    <x v="2"/>
    <x v="18"/>
  </r>
  <r>
    <x v="639"/>
    <x v="3"/>
    <x v="4"/>
    <x v="4"/>
  </r>
  <r>
    <x v="887"/>
    <x v="3"/>
    <x v="4"/>
    <x v="4"/>
  </r>
  <r>
    <x v="639"/>
    <x v="3"/>
    <x v="4"/>
    <x v="4"/>
  </r>
  <r>
    <x v="888"/>
    <x v="3"/>
    <x v="4"/>
    <x v="4"/>
  </r>
  <r>
    <x v="639"/>
    <x v="3"/>
    <x v="4"/>
    <x v="4"/>
  </r>
  <r>
    <x v="889"/>
    <x v="3"/>
    <x v="4"/>
    <x v="4"/>
  </r>
  <r>
    <x v="890"/>
    <x v="3"/>
    <x v="2"/>
    <x v="19"/>
  </r>
  <r>
    <x v="891"/>
    <x v="3"/>
    <x v="2"/>
    <x v="19"/>
  </r>
  <r>
    <x v="57"/>
    <x v="3"/>
    <x v="4"/>
    <x v="4"/>
  </r>
  <r>
    <x v="493"/>
    <x v="3"/>
    <x v="4"/>
    <x v="4"/>
  </r>
  <r>
    <x v="498"/>
    <x v="3"/>
    <x v="2"/>
    <x v="19"/>
  </r>
  <r>
    <x v="749"/>
    <x v="3"/>
    <x v="1"/>
    <x v="1"/>
  </r>
  <r>
    <x v="498"/>
    <x v="3"/>
    <x v="1"/>
    <x v="1"/>
  </r>
  <r>
    <x v="892"/>
    <x v="3"/>
    <x v="2"/>
    <x v="19"/>
  </r>
  <r>
    <x v="892"/>
    <x v="3"/>
    <x v="1"/>
    <x v="14"/>
  </r>
  <r>
    <x v="892"/>
    <x v="3"/>
    <x v="2"/>
    <x v="18"/>
  </r>
  <r>
    <x v="650"/>
    <x v="3"/>
    <x v="1"/>
    <x v="1"/>
  </r>
  <r>
    <x v="498"/>
    <x v="3"/>
    <x v="1"/>
    <x v="1"/>
  </r>
  <r>
    <x v="53"/>
    <x v="3"/>
    <x v="4"/>
    <x v="4"/>
  </r>
  <r>
    <x v="893"/>
    <x v="3"/>
    <x v="2"/>
    <x v="19"/>
  </r>
  <r>
    <x v="894"/>
    <x v="3"/>
    <x v="1"/>
    <x v="14"/>
  </r>
  <r>
    <x v="894"/>
    <x v="3"/>
    <x v="2"/>
    <x v="18"/>
  </r>
  <r>
    <x v="498"/>
    <x v="3"/>
    <x v="4"/>
    <x v="4"/>
  </r>
  <r>
    <x v="399"/>
    <x v="3"/>
    <x v="4"/>
    <x v="4"/>
  </r>
  <r>
    <x v="637"/>
    <x v="3"/>
    <x v="4"/>
    <x v="11"/>
  </r>
  <r>
    <x v="498"/>
    <x v="3"/>
    <x v="1"/>
    <x v="1"/>
  </r>
  <r>
    <x v="498"/>
    <x v="3"/>
    <x v="1"/>
    <x v="1"/>
  </r>
  <r>
    <x v="498"/>
    <x v="3"/>
    <x v="1"/>
    <x v="1"/>
  </r>
  <r>
    <x v="498"/>
    <x v="3"/>
    <x v="2"/>
    <x v="19"/>
  </r>
  <r>
    <x v="895"/>
    <x v="3"/>
    <x v="1"/>
    <x v="14"/>
  </r>
  <r>
    <x v="752"/>
    <x v="3"/>
    <x v="2"/>
    <x v="18"/>
  </r>
  <r>
    <x v="751"/>
    <x v="3"/>
    <x v="1"/>
    <x v="14"/>
  </r>
  <r>
    <x v="896"/>
    <x v="3"/>
    <x v="2"/>
    <x v="18"/>
  </r>
  <r>
    <x v="895"/>
    <x v="3"/>
    <x v="1"/>
    <x v="14"/>
  </r>
  <r>
    <x v="752"/>
    <x v="3"/>
    <x v="2"/>
    <x v="18"/>
  </r>
  <r>
    <x v="897"/>
    <x v="3"/>
    <x v="4"/>
    <x v="11"/>
  </r>
  <r>
    <x v="498"/>
    <x v="3"/>
    <x v="1"/>
    <x v="1"/>
  </r>
  <r>
    <x v="498"/>
    <x v="3"/>
    <x v="1"/>
    <x v="1"/>
  </r>
  <r>
    <x v="753"/>
    <x v="3"/>
    <x v="4"/>
    <x v="4"/>
  </r>
  <r>
    <x v="898"/>
    <x v="3"/>
    <x v="1"/>
    <x v="1"/>
  </r>
  <r>
    <x v="899"/>
    <x v="3"/>
    <x v="1"/>
    <x v="1"/>
  </r>
  <r>
    <x v="900"/>
    <x v="3"/>
    <x v="4"/>
    <x v="11"/>
  </r>
  <r>
    <x v="283"/>
    <x v="4"/>
    <x v="2"/>
    <x v="19"/>
  </r>
  <r>
    <x v="901"/>
    <x v="4"/>
    <x v="2"/>
    <x v="19"/>
  </r>
  <r>
    <x v="112"/>
    <x v="4"/>
    <x v="2"/>
    <x v="19"/>
  </r>
  <r>
    <x v="902"/>
    <x v="4"/>
    <x v="2"/>
    <x v="19"/>
  </r>
  <r>
    <x v="52"/>
    <x v="4"/>
    <x v="2"/>
    <x v="19"/>
  </r>
  <r>
    <x v="903"/>
    <x v="4"/>
    <x v="2"/>
    <x v="19"/>
  </r>
  <r>
    <x v="18"/>
    <x v="4"/>
    <x v="2"/>
    <x v="19"/>
  </r>
  <r>
    <x v="24"/>
    <x v="4"/>
    <x v="2"/>
    <x v="19"/>
  </r>
  <r>
    <x v="904"/>
    <x v="4"/>
    <x v="2"/>
    <x v="19"/>
  </r>
  <r>
    <x v="99"/>
    <x v="4"/>
    <x v="2"/>
    <x v="19"/>
  </r>
  <r>
    <x v="180"/>
    <x v="4"/>
    <x v="1"/>
    <x v="1"/>
  </r>
  <r>
    <x v="76"/>
    <x v="4"/>
    <x v="1"/>
    <x v="1"/>
  </r>
  <r>
    <x v="905"/>
    <x v="4"/>
    <x v="1"/>
    <x v="1"/>
  </r>
  <r>
    <x v="906"/>
    <x v="4"/>
    <x v="2"/>
    <x v="19"/>
  </r>
  <r>
    <x v="166"/>
    <x v="4"/>
    <x v="1"/>
    <x v="1"/>
  </r>
  <r>
    <x v="160"/>
    <x v="4"/>
    <x v="6"/>
    <x v="12"/>
  </r>
  <r>
    <x v="160"/>
    <x v="4"/>
    <x v="6"/>
    <x v="12"/>
  </r>
  <r>
    <x v="35"/>
    <x v="4"/>
    <x v="1"/>
    <x v="1"/>
  </r>
  <r>
    <x v="35"/>
    <x v="4"/>
    <x v="1"/>
    <x v="1"/>
  </r>
  <r>
    <x v="35"/>
    <x v="4"/>
    <x v="1"/>
    <x v="1"/>
  </r>
  <r>
    <x v="41"/>
    <x v="4"/>
    <x v="2"/>
    <x v="19"/>
  </r>
  <r>
    <x v="43"/>
    <x v="4"/>
    <x v="4"/>
    <x v="4"/>
  </r>
  <r>
    <x v="99"/>
    <x v="4"/>
    <x v="2"/>
    <x v="19"/>
  </r>
  <r>
    <x v="160"/>
    <x v="4"/>
    <x v="2"/>
    <x v="2"/>
  </r>
  <r>
    <x v="105"/>
    <x v="4"/>
    <x v="2"/>
    <x v="18"/>
  </r>
  <r>
    <x v="99"/>
    <x v="4"/>
    <x v="2"/>
    <x v="19"/>
  </r>
  <r>
    <x v="192"/>
    <x v="4"/>
    <x v="2"/>
    <x v="2"/>
  </r>
  <r>
    <x v="155"/>
    <x v="4"/>
    <x v="2"/>
    <x v="19"/>
  </r>
  <r>
    <x v="503"/>
    <x v="4"/>
    <x v="4"/>
    <x v="11"/>
  </r>
  <r>
    <x v="105"/>
    <x v="4"/>
    <x v="1"/>
    <x v="16"/>
  </r>
  <r>
    <x v="36"/>
    <x v="4"/>
    <x v="6"/>
    <x v="33"/>
  </r>
  <r>
    <x v="447"/>
    <x v="4"/>
    <x v="1"/>
    <x v="5"/>
  </r>
  <r>
    <x v="18"/>
    <x v="4"/>
    <x v="1"/>
    <x v="15"/>
  </r>
  <r>
    <x v="192"/>
    <x v="4"/>
    <x v="2"/>
    <x v="18"/>
  </r>
  <r>
    <x v="907"/>
    <x v="4"/>
    <x v="4"/>
    <x v="4"/>
  </r>
  <r>
    <x v="547"/>
    <x v="4"/>
    <x v="2"/>
    <x v="2"/>
  </r>
  <r>
    <x v="908"/>
    <x v="4"/>
    <x v="1"/>
    <x v="1"/>
  </r>
  <r>
    <x v="909"/>
    <x v="4"/>
    <x v="1"/>
    <x v="1"/>
  </r>
  <r>
    <x v="910"/>
    <x v="4"/>
    <x v="2"/>
    <x v="19"/>
  </r>
  <r>
    <x v="99"/>
    <x v="4"/>
    <x v="2"/>
    <x v="19"/>
  </r>
  <r>
    <x v="584"/>
    <x v="4"/>
    <x v="2"/>
    <x v="2"/>
  </r>
  <r>
    <x v="911"/>
    <x v="4"/>
    <x v="2"/>
    <x v="19"/>
  </r>
  <r>
    <x v="912"/>
    <x v="4"/>
    <x v="2"/>
    <x v="19"/>
  </r>
  <r>
    <x v="83"/>
    <x v="4"/>
    <x v="2"/>
    <x v="18"/>
  </r>
  <r>
    <x v="913"/>
    <x v="4"/>
    <x v="2"/>
    <x v="2"/>
  </r>
  <r>
    <x v="914"/>
    <x v="4"/>
    <x v="2"/>
    <x v="2"/>
  </r>
  <r>
    <x v="915"/>
    <x v="4"/>
    <x v="4"/>
    <x v="4"/>
  </r>
  <r>
    <x v="713"/>
    <x v="4"/>
    <x v="2"/>
    <x v="2"/>
  </r>
  <r>
    <x v="35"/>
    <x v="4"/>
    <x v="2"/>
    <x v="2"/>
  </r>
  <r>
    <x v="41"/>
    <x v="4"/>
    <x v="2"/>
    <x v="2"/>
  </r>
  <r>
    <x v="160"/>
    <x v="4"/>
    <x v="1"/>
    <x v="1"/>
  </r>
  <r>
    <x v="35"/>
    <x v="4"/>
    <x v="2"/>
    <x v="18"/>
  </r>
  <r>
    <x v="35"/>
    <x v="4"/>
    <x v="2"/>
    <x v="2"/>
  </r>
  <r>
    <x v="35"/>
    <x v="4"/>
    <x v="2"/>
    <x v="18"/>
  </r>
  <r>
    <x v="35"/>
    <x v="4"/>
    <x v="2"/>
    <x v="18"/>
  </r>
  <r>
    <x v="160"/>
    <x v="4"/>
    <x v="1"/>
    <x v="1"/>
  </r>
  <r>
    <x v="160"/>
    <x v="4"/>
    <x v="1"/>
    <x v="1"/>
  </r>
  <r>
    <x v="76"/>
    <x v="4"/>
    <x v="1"/>
    <x v="1"/>
  </r>
  <r>
    <x v="103"/>
    <x v="4"/>
    <x v="1"/>
    <x v="1"/>
  </r>
  <r>
    <x v="916"/>
    <x v="4"/>
    <x v="1"/>
    <x v="1"/>
  </r>
  <r>
    <x v="101"/>
    <x v="4"/>
    <x v="2"/>
    <x v="19"/>
  </r>
  <r>
    <x v="75"/>
    <x v="4"/>
    <x v="2"/>
    <x v="2"/>
  </r>
  <r>
    <x v="39"/>
    <x v="4"/>
    <x v="2"/>
    <x v="18"/>
  </r>
  <r>
    <x v="422"/>
    <x v="4"/>
    <x v="6"/>
    <x v="12"/>
  </r>
  <r>
    <x v="160"/>
    <x v="4"/>
    <x v="2"/>
    <x v="2"/>
  </r>
  <r>
    <x v="24"/>
    <x v="4"/>
    <x v="4"/>
    <x v="4"/>
  </r>
  <r>
    <x v="917"/>
    <x v="4"/>
    <x v="4"/>
    <x v="11"/>
  </r>
  <r>
    <x v="918"/>
    <x v="4"/>
    <x v="4"/>
    <x v="4"/>
  </r>
  <r>
    <x v="919"/>
    <x v="4"/>
    <x v="1"/>
    <x v="1"/>
  </r>
  <r>
    <x v="920"/>
    <x v="4"/>
    <x v="1"/>
    <x v="1"/>
  </r>
  <r>
    <x v="921"/>
    <x v="4"/>
    <x v="2"/>
    <x v="18"/>
  </r>
  <r>
    <x v="922"/>
    <x v="4"/>
    <x v="1"/>
    <x v="1"/>
  </r>
  <r>
    <x v="923"/>
    <x v="4"/>
    <x v="4"/>
    <x v="4"/>
  </r>
  <r>
    <x v="924"/>
    <x v="4"/>
    <x v="1"/>
    <x v="15"/>
  </r>
  <r>
    <x v="925"/>
    <x v="4"/>
    <x v="1"/>
    <x v="16"/>
  </r>
  <r>
    <x v="926"/>
    <x v="4"/>
    <x v="1"/>
    <x v="7"/>
  </r>
  <r>
    <x v="927"/>
    <x v="4"/>
    <x v="5"/>
    <x v="0"/>
  </r>
  <r>
    <x v="928"/>
    <x v="4"/>
    <x v="3"/>
    <x v="0"/>
  </r>
  <r>
    <x v="929"/>
    <x v="4"/>
    <x v="3"/>
    <x v="0"/>
  </r>
  <r>
    <x v="819"/>
    <x v="4"/>
    <x v="1"/>
    <x v="28"/>
  </r>
  <r>
    <x v="930"/>
    <x v="4"/>
    <x v="2"/>
    <x v="2"/>
  </r>
  <r>
    <x v="931"/>
    <x v="4"/>
    <x v="1"/>
    <x v="1"/>
  </r>
  <r>
    <x v="932"/>
    <x v="4"/>
    <x v="1"/>
    <x v="1"/>
  </r>
  <r>
    <x v="933"/>
    <x v="4"/>
    <x v="1"/>
    <x v="1"/>
  </r>
  <r>
    <x v="934"/>
    <x v="4"/>
    <x v="2"/>
    <x v="35"/>
  </r>
  <r>
    <x v="935"/>
    <x v="4"/>
    <x v="1"/>
    <x v="1"/>
  </r>
  <r>
    <x v="936"/>
    <x v="4"/>
    <x v="4"/>
    <x v="4"/>
  </r>
  <r>
    <x v="937"/>
    <x v="4"/>
    <x v="1"/>
    <x v="1"/>
  </r>
  <r>
    <x v="938"/>
    <x v="4"/>
    <x v="1"/>
    <x v="1"/>
  </r>
  <r>
    <x v="939"/>
    <x v="4"/>
    <x v="1"/>
    <x v="1"/>
  </r>
  <r>
    <x v="940"/>
    <x v="4"/>
    <x v="1"/>
    <x v="14"/>
  </r>
  <r>
    <x v="941"/>
    <x v="4"/>
    <x v="1"/>
    <x v="1"/>
  </r>
  <r>
    <x v="942"/>
    <x v="4"/>
    <x v="2"/>
    <x v="18"/>
  </r>
  <r>
    <x v="943"/>
    <x v="4"/>
    <x v="1"/>
    <x v="3"/>
  </r>
  <r>
    <x v="944"/>
    <x v="4"/>
    <x v="2"/>
    <x v="2"/>
  </r>
  <r>
    <x v="945"/>
    <x v="4"/>
    <x v="6"/>
    <x v="0"/>
  </r>
  <r>
    <x v="946"/>
    <x v="4"/>
    <x v="1"/>
    <x v="3"/>
  </r>
  <r>
    <x v="947"/>
    <x v="4"/>
    <x v="1"/>
    <x v="3"/>
  </r>
  <r>
    <x v="948"/>
    <x v="4"/>
    <x v="5"/>
    <x v="0"/>
  </r>
  <r>
    <x v="949"/>
    <x v="4"/>
    <x v="3"/>
    <x v="0"/>
  </r>
  <r>
    <x v="950"/>
    <x v="4"/>
    <x v="5"/>
    <x v="0"/>
  </r>
  <r>
    <x v="951"/>
    <x v="4"/>
    <x v="5"/>
    <x v="0"/>
  </r>
  <r>
    <x v="35"/>
    <x v="4"/>
    <x v="1"/>
    <x v="1"/>
  </r>
  <r>
    <x v="166"/>
    <x v="4"/>
    <x v="1"/>
    <x v="1"/>
  </r>
  <r>
    <x v="808"/>
    <x v="4"/>
    <x v="1"/>
    <x v="1"/>
  </r>
  <r>
    <x v="76"/>
    <x v="4"/>
    <x v="1"/>
    <x v="1"/>
  </r>
  <r>
    <x v="75"/>
    <x v="4"/>
    <x v="1"/>
    <x v="1"/>
  </r>
  <r>
    <x v="168"/>
    <x v="4"/>
    <x v="1"/>
    <x v="1"/>
  </r>
  <r>
    <x v="817"/>
    <x v="4"/>
    <x v="1"/>
    <x v="1"/>
  </r>
  <r>
    <x v="132"/>
    <x v="4"/>
    <x v="1"/>
    <x v="1"/>
  </r>
  <r>
    <x v="809"/>
    <x v="4"/>
    <x v="1"/>
    <x v="1"/>
  </r>
  <r>
    <x v="35"/>
    <x v="4"/>
    <x v="1"/>
    <x v="1"/>
  </r>
  <r>
    <x v="952"/>
    <x v="4"/>
    <x v="1"/>
    <x v="1"/>
  </r>
  <r>
    <x v="132"/>
    <x v="4"/>
    <x v="1"/>
    <x v="1"/>
  </r>
  <r>
    <x v="35"/>
    <x v="4"/>
    <x v="1"/>
    <x v="1"/>
  </r>
  <r>
    <x v="953"/>
    <x v="4"/>
    <x v="1"/>
    <x v="1"/>
  </r>
  <r>
    <x v="35"/>
    <x v="4"/>
    <x v="1"/>
    <x v="1"/>
  </r>
  <r>
    <x v="35"/>
    <x v="4"/>
    <x v="1"/>
    <x v="1"/>
  </r>
  <r>
    <x v="132"/>
    <x v="4"/>
    <x v="1"/>
    <x v="1"/>
  </r>
  <r>
    <x v="583"/>
    <x v="4"/>
    <x v="1"/>
    <x v="1"/>
  </r>
  <r>
    <x v="35"/>
    <x v="4"/>
    <x v="1"/>
    <x v="1"/>
  </r>
  <r>
    <x v="35"/>
    <x v="4"/>
    <x v="1"/>
    <x v="1"/>
  </r>
  <r>
    <x v="35"/>
    <x v="4"/>
    <x v="1"/>
    <x v="1"/>
  </r>
  <r>
    <x v="370"/>
    <x v="4"/>
    <x v="1"/>
    <x v="1"/>
  </r>
  <r>
    <x v="345"/>
    <x v="4"/>
    <x v="1"/>
    <x v="1"/>
  </r>
  <r>
    <x v="42"/>
    <x v="4"/>
    <x v="1"/>
    <x v="1"/>
  </r>
  <r>
    <x v="503"/>
    <x v="4"/>
    <x v="1"/>
    <x v="1"/>
  </r>
  <r>
    <x v="103"/>
    <x v="4"/>
    <x v="1"/>
    <x v="1"/>
  </r>
  <r>
    <x v="76"/>
    <x v="4"/>
    <x v="1"/>
    <x v="1"/>
  </r>
  <r>
    <x v="103"/>
    <x v="4"/>
    <x v="1"/>
    <x v="1"/>
  </r>
  <r>
    <x v="43"/>
    <x v="4"/>
    <x v="1"/>
    <x v="1"/>
  </r>
  <r>
    <x v="389"/>
    <x v="4"/>
    <x v="1"/>
    <x v="1"/>
  </r>
  <r>
    <x v="389"/>
    <x v="4"/>
    <x v="1"/>
    <x v="1"/>
  </r>
  <r>
    <x v="369"/>
    <x v="4"/>
    <x v="1"/>
    <x v="1"/>
  </r>
  <r>
    <x v="132"/>
    <x v="4"/>
    <x v="1"/>
    <x v="1"/>
  </r>
  <r>
    <x v="954"/>
    <x v="4"/>
    <x v="1"/>
    <x v="1"/>
  </r>
  <r>
    <x v="955"/>
    <x v="4"/>
    <x v="4"/>
    <x v="4"/>
  </r>
  <r>
    <x v="956"/>
    <x v="4"/>
    <x v="1"/>
    <x v="28"/>
  </r>
  <r>
    <x v="430"/>
    <x v="4"/>
    <x v="1"/>
    <x v="1"/>
  </r>
  <r>
    <x v="957"/>
    <x v="4"/>
    <x v="4"/>
    <x v="4"/>
  </r>
  <r>
    <x v="118"/>
    <x v="4"/>
    <x v="4"/>
    <x v="4"/>
  </r>
  <r>
    <x v="958"/>
    <x v="4"/>
    <x v="1"/>
    <x v="1"/>
  </r>
  <r>
    <x v="606"/>
    <x v="4"/>
    <x v="1"/>
    <x v="6"/>
  </r>
  <r>
    <x v="959"/>
    <x v="4"/>
    <x v="2"/>
    <x v="18"/>
  </r>
  <r>
    <x v="960"/>
    <x v="4"/>
    <x v="2"/>
    <x v="18"/>
  </r>
  <r>
    <x v="961"/>
    <x v="4"/>
    <x v="4"/>
    <x v="4"/>
  </r>
  <r>
    <x v="311"/>
    <x v="4"/>
    <x v="4"/>
    <x v="4"/>
  </r>
  <r>
    <x v="121"/>
    <x v="4"/>
    <x v="1"/>
    <x v="1"/>
  </r>
  <r>
    <x v="962"/>
    <x v="4"/>
    <x v="1"/>
    <x v="6"/>
  </r>
  <r>
    <x v="963"/>
    <x v="4"/>
    <x v="1"/>
    <x v="23"/>
  </r>
  <r>
    <x v="964"/>
    <x v="4"/>
    <x v="1"/>
    <x v="1"/>
  </r>
  <r>
    <x v="965"/>
    <x v="4"/>
    <x v="1"/>
    <x v="1"/>
  </r>
  <r>
    <x v="966"/>
    <x v="4"/>
    <x v="2"/>
    <x v="2"/>
  </r>
  <r>
    <x v="967"/>
    <x v="4"/>
    <x v="1"/>
    <x v="1"/>
  </r>
  <r>
    <x v="968"/>
    <x v="4"/>
    <x v="4"/>
    <x v="4"/>
  </r>
  <r>
    <x v="969"/>
    <x v="4"/>
    <x v="1"/>
    <x v="1"/>
  </r>
  <r>
    <x v="970"/>
    <x v="4"/>
    <x v="4"/>
    <x v="4"/>
  </r>
  <r>
    <x v="971"/>
    <x v="4"/>
    <x v="1"/>
    <x v="1"/>
  </r>
  <r>
    <x v="172"/>
    <x v="4"/>
    <x v="1"/>
    <x v="1"/>
  </r>
  <r>
    <x v="358"/>
    <x v="4"/>
    <x v="2"/>
    <x v="19"/>
  </r>
  <r>
    <x v="783"/>
    <x v="4"/>
    <x v="1"/>
    <x v="28"/>
  </r>
  <r>
    <x v="972"/>
    <x v="4"/>
    <x v="1"/>
    <x v="1"/>
  </r>
  <r>
    <x v="973"/>
    <x v="4"/>
    <x v="4"/>
    <x v="4"/>
  </r>
  <r>
    <x v="964"/>
    <x v="4"/>
    <x v="1"/>
    <x v="1"/>
  </r>
  <r>
    <x v="530"/>
    <x v="4"/>
    <x v="4"/>
    <x v="11"/>
  </r>
  <r>
    <x v="965"/>
    <x v="4"/>
    <x v="1"/>
    <x v="1"/>
  </r>
  <r>
    <x v="974"/>
    <x v="4"/>
    <x v="1"/>
    <x v="1"/>
  </r>
  <r>
    <x v="975"/>
    <x v="4"/>
    <x v="1"/>
    <x v="1"/>
  </r>
  <r>
    <x v="530"/>
    <x v="4"/>
    <x v="4"/>
    <x v="11"/>
  </r>
  <r>
    <x v="976"/>
    <x v="4"/>
    <x v="1"/>
    <x v="28"/>
  </r>
  <r>
    <x v="977"/>
    <x v="4"/>
    <x v="2"/>
    <x v="35"/>
  </r>
  <r>
    <x v="978"/>
    <x v="4"/>
    <x v="2"/>
    <x v="2"/>
  </r>
  <r>
    <x v="979"/>
    <x v="4"/>
    <x v="1"/>
    <x v="1"/>
  </r>
  <r>
    <x v="980"/>
    <x v="4"/>
    <x v="1"/>
    <x v="23"/>
  </r>
  <r>
    <x v="981"/>
    <x v="4"/>
    <x v="1"/>
    <x v="1"/>
  </r>
  <r>
    <x v="430"/>
    <x v="4"/>
    <x v="1"/>
    <x v="1"/>
  </r>
  <r>
    <x v="982"/>
    <x v="4"/>
    <x v="1"/>
    <x v="3"/>
  </r>
  <r>
    <x v="983"/>
    <x v="4"/>
    <x v="1"/>
    <x v="1"/>
  </r>
  <r>
    <x v="984"/>
    <x v="4"/>
    <x v="7"/>
    <x v="0"/>
  </r>
  <r>
    <x v="201"/>
    <x v="4"/>
    <x v="7"/>
    <x v="0"/>
  </r>
  <r>
    <x v="124"/>
    <x v="4"/>
    <x v="1"/>
    <x v="1"/>
  </r>
  <r>
    <x v="512"/>
    <x v="4"/>
    <x v="1"/>
    <x v="1"/>
  </r>
  <r>
    <x v="400"/>
    <x v="4"/>
    <x v="1"/>
    <x v="1"/>
  </r>
  <r>
    <x v="985"/>
    <x v="4"/>
    <x v="1"/>
    <x v="1"/>
  </r>
  <r>
    <x v="392"/>
    <x v="4"/>
    <x v="4"/>
    <x v="4"/>
  </r>
  <r>
    <x v="986"/>
    <x v="4"/>
    <x v="4"/>
    <x v="4"/>
  </r>
  <r>
    <x v="422"/>
    <x v="4"/>
    <x v="6"/>
    <x v="12"/>
  </r>
  <r>
    <x v="987"/>
    <x v="4"/>
    <x v="1"/>
    <x v="1"/>
  </r>
  <r>
    <x v="988"/>
    <x v="4"/>
    <x v="2"/>
    <x v="18"/>
  </r>
  <r>
    <x v="43"/>
    <x v="4"/>
    <x v="2"/>
    <x v="18"/>
  </r>
  <r>
    <x v="25"/>
    <x v="4"/>
    <x v="2"/>
    <x v="18"/>
  </r>
  <r>
    <x v="989"/>
    <x v="4"/>
    <x v="2"/>
    <x v="18"/>
  </r>
  <r>
    <x v="706"/>
    <x v="4"/>
    <x v="2"/>
    <x v="2"/>
  </r>
  <r>
    <x v="990"/>
    <x v="4"/>
    <x v="2"/>
    <x v="2"/>
  </r>
  <r>
    <x v="991"/>
    <x v="4"/>
    <x v="2"/>
    <x v="2"/>
  </r>
  <r>
    <x v="448"/>
    <x v="4"/>
    <x v="1"/>
    <x v="1"/>
  </r>
  <r>
    <x v="231"/>
    <x v="4"/>
    <x v="1"/>
    <x v="15"/>
  </r>
  <r>
    <x v="132"/>
    <x v="4"/>
    <x v="1"/>
    <x v="1"/>
  </r>
  <r>
    <x v="36"/>
    <x v="4"/>
    <x v="1"/>
    <x v="1"/>
  </r>
  <r>
    <x v="160"/>
    <x v="4"/>
    <x v="1"/>
    <x v="28"/>
  </r>
  <r>
    <x v="992"/>
    <x v="4"/>
    <x v="2"/>
    <x v="2"/>
  </r>
  <r>
    <x v="368"/>
    <x v="4"/>
    <x v="4"/>
    <x v="4"/>
  </r>
  <r>
    <x v="806"/>
    <x v="4"/>
    <x v="2"/>
    <x v="18"/>
  </r>
  <r>
    <x v="202"/>
    <x v="4"/>
    <x v="1"/>
    <x v="1"/>
  </r>
  <r>
    <x v="817"/>
    <x v="4"/>
    <x v="2"/>
    <x v="19"/>
  </r>
  <r>
    <x v="503"/>
    <x v="4"/>
    <x v="2"/>
    <x v="2"/>
  </r>
  <r>
    <x v="993"/>
    <x v="4"/>
    <x v="1"/>
    <x v="1"/>
  </r>
  <r>
    <x v="75"/>
    <x v="4"/>
    <x v="4"/>
    <x v="11"/>
  </r>
  <r>
    <x v="994"/>
    <x v="4"/>
    <x v="1"/>
    <x v="1"/>
  </r>
  <r>
    <x v="424"/>
    <x v="4"/>
    <x v="1"/>
    <x v="1"/>
  </r>
  <r>
    <x v="550"/>
    <x v="4"/>
    <x v="1"/>
    <x v="1"/>
  </r>
  <r>
    <x v="995"/>
    <x v="4"/>
    <x v="2"/>
    <x v="2"/>
  </r>
  <r>
    <x v="231"/>
    <x v="4"/>
    <x v="1"/>
    <x v="15"/>
  </r>
  <r>
    <x v="254"/>
    <x v="4"/>
    <x v="2"/>
    <x v="2"/>
  </r>
  <r>
    <x v="996"/>
    <x v="4"/>
    <x v="2"/>
    <x v="2"/>
  </r>
  <r>
    <x v="913"/>
    <x v="4"/>
    <x v="1"/>
    <x v="28"/>
  </r>
  <r>
    <x v="276"/>
    <x v="4"/>
    <x v="1"/>
    <x v="1"/>
  </r>
  <r>
    <x v="817"/>
    <x v="4"/>
    <x v="2"/>
    <x v="2"/>
  </r>
  <r>
    <x v="997"/>
    <x v="4"/>
    <x v="1"/>
    <x v="28"/>
  </r>
  <r>
    <x v="706"/>
    <x v="4"/>
    <x v="1"/>
    <x v="36"/>
  </r>
  <r>
    <x v="160"/>
    <x v="4"/>
    <x v="2"/>
    <x v="2"/>
  </r>
  <r>
    <x v="160"/>
    <x v="4"/>
    <x v="1"/>
    <x v="15"/>
  </r>
  <r>
    <x v="160"/>
    <x v="4"/>
    <x v="1"/>
    <x v="15"/>
  </r>
  <r>
    <x v="160"/>
    <x v="4"/>
    <x v="1"/>
    <x v="15"/>
  </r>
  <r>
    <x v="160"/>
    <x v="4"/>
    <x v="1"/>
    <x v="15"/>
  </r>
  <r>
    <x v="161"/>
    <x v="4"/>
    <x v="1"/>
    <x v="28"/>
  </r>
  <r>
    <x v="43"/>
    <x v="4"/>
    <x v="1"/>
    <x v="28"/>
  </r>
  <r>
    <x v="81"/>
    <x v="4"/>
    <x v="1"/>
    <x v="28"/>
  </r>
  <r>
    <x v="75"/>
    <x v="4"/>
    <x v="1"/>
    <x v="28"/>
  </r>
  <r>
    <x v="75"/>
    <x v="4"/>
    <x v="1"/>
    <x v="28"/>
  </r>
  <r>
    <x v="166"/>
    <x v="4"/>
    <x v="1"/>
    <x v="28"/>
  </r>
  <r>
    <x v="76"/>
    <x v="4"/>
    <x v="1"/>
    <x v="28"/>
  </r>
  <r>
    <x v="448"/>
    <x v="4"/>
    <x v="1"/>
    <x v="28"/>
  </r>
  <r>
    <x v="998"/>
    <x v="4"/>
    <x v="4"/>
    <x v="11"/>
  </r>
  <r>
    <x v="101"/>
    <x v="4"/>
    <x v="2"/>
    <x v="35"/>
  </r>
  <r>
    <x v="192"/>
    <x v="4"/>
    <x v="4"/>
    <x v="11"/>
  </r>
  <r>
    <x v="105"/>
    <x v="4"/>
    <x v="2"/>
    <x v="2"/>
  </r>
  <r>
    <x v="583"/>
    <x v="4"/>
    <x v="4"/>
    <x v="4"/>
  </r>
  <r>
    <x v="24"/>
    <x v="4"/>
    <x v="4"/>
    <x v="4"/>
  </r>
  <r>
    <x v="909"/>
    <x v="4"/>
    <x v="1"/>
    <x v="1"/>
  </r>
  <r>
    <x v="908"/>
    <x v="4"/>
    <x v="1"/>
    <x v="1"/>
  </r>
  <r>
    <x v="18"/>
    <x v="4"/>
    <x v="2"/>
    <x v="28"/>
  </r>
  <r>
    <x v="999"/>
    <x v="4"/>
    <x v="2"/>
    <x v="18"/>
  </r>
  <r>
    <x v="448"/>
    <x v="4"/>
    <x v="2"/>
    <x v="18"/>
  </r>
  <r>
    <x v="714"/>
    <x v="4"/>
    <x v="1"/>
    <x v="1"/>
  </r>
  <r>
    <x v="714"/>
    <x v="4"/>
    <x v="4"/>
    <x v="4"/>
  </r>
  <r>
    <x v="18"/>
    <x v="4"/>
    <x v="2"/>
    <x v="18"/>
  </r>
  <r>
    <x v="132"/>
    <x v="4"/>
    <x v="2"/>
    <x v="18"/>
  </r>
  <r>
    <x v="1000"/>
    <x v="4"/>
    <x v="4"/>
    <x v="4"/>
  </r>
  <r>
    <x v="1001"/>
    <x v="4"/>
    <x v="2"/>
    <x v="2"/>
  </r>
  <r>
    <x v="1002"/>
    <x v="4"/>
    <x v="2"/>
    <x v="28"/>
  </r>
  <r>
    <x v="36"/>
    <x v="4"/>
    <x v="2"/>
    <x v="2"/>
  </r>
  <r>
    <x v="1003"/>
    <x v="4"/>
    <x v="2"/>
    <x v="18"/>
  </r>
  <r>
    <x v="186"/>
    <x v="4"/>
    <x v="2"/>
    <x v="18"/>
  </r>
  <r>
    <x v="1004"/>
    <x v="4"/>
    <x v="4"/>
    <x v="4"/>
  </r>
  <r>
    <x v="448"/>
    <x v="4"/>
    <x v="2"/>
    <x v="18"/>
  </r>
  <r>
    <x v="1005"/>
    <x v="4"/>
    <x v="2"/>
    <x v="18"/>
  </r>
  <r>
    <x v="43"/>
    <x v="4"/>
    <x v="2"/>
    <x v="2"/>
  </r>
  <r>
    <x v="904"/>
    <x v="4"/>
    <x v="2"/>
    <x v="18"/>
  </r>
  <r>
    <x v="166"/>
    <x v="4"/>
    <x v="1"/>
    <x v="28"/>
  </r>
  <r>
    <x v="1006"/>
    <x v="4"/>
    <x v="4"/>
    <x v="4"/>
  </r>
  <r>
    <x v="447"/>
    <x v="4"/>
    <x v="1"/>
    <x v="28"/>
  </r>
  <r>
    <x v="196"/>
    <x v="4"/>
    <x v="1"/>
    <x v="28"/>
  </r>
  <r>
    <x v="43"/>
    <x v="4"/>
    <x v="2"/>
    <x v="18"/>
  </r>
  <r>
    <x v="42"/>
    <x v="4"/>
    <x v="2"/>
    <x v="2"/>
  </r>
  <r>
    <x v="231"/>
    <x v="4"/>
    <x v="4"/>
    <x v="4"/>
  </r>
  <r>
    <x v="39"/>
    <x v="4"/>
    <x v="2"/>
    <x v="18"/>
  </r>
  <r>
    <x v="1007"/>
    <x v="4"/>
    <x v="1"/>
    <x v="22"/>
  </r>
  <r>
    <x v="1008"/>
    <x v="4"/>
    <x v="1"/>
    <x v="28"/>
  </r>
  <r>
    <x v="435"/>
    <x v="4"/>
    <x v="4"/>
    <x v="4"/>
  </r>
  <r>
    <x v="1009"/>
    <x v="4"/>
    <x v="5"/>
    <x v="0"/>
  </r>
  <r>
    <x v="1010"/>
    <x v="4"/>
    <x v="5"/>
    <x v="0"/>
  </r>
  <r>
    <x v="1011"/>
    <x v="4"/>
    <x v="1"/>
    <x v="1"/>
  </r>
  <r>
    <x v="1012"/>
    <x v="4"/>
    <x v="1"/>
    <x v="1"/>
  </r>
  <r>
    <x v="597"/>
    <x v="4"/>
    <x v="4"/>
    <x v="4"/>
  </r>
  <r>
    <x v="1013"/>
    <x v="4"/>
    <x v="1"/>
    <x v="1"/>
  </r>
  <r>
    <x v="1014"/>
    <x v="4"/>
    <x v="1"/>
    <x v="14"/>
  </r>
  <r>
    <x v="62"/>
    <x v="4"/>
    <x v="4"/>
    <x v="4"/>
  </r>
  <r>
    <x v="1015"/>
    <x v="4"/>
    <x v="4"/>
    <x v="4"/>
  </r>
  <r>
    <x v="403"/>
    <x v="4"/>
    <x v="4"/>
    <x v="4"/>
  </r>
  <r>
    <x v="705"/>
    <x v="4"/>
    <x v="1"/>
    <x v="1"/>
  </r>
  <r>
    <x v="1016"/>
    <x v="4"/>
    <x v="2"/>
    <x v="18"/>
  </r>
  <r>
    <x v="447"/>
    <x v="4"/>
    <x v="2"/>
    <x v="2"/>
  </r>
  <r>
    <x v="201"/>
    <x v="4"/>
    <x v="1"/>
    <x v="28"/>
  </r>
  <r>
    <x v="75"/>
    <x v="4"/>
    <x v="2"/>
    <x v="19"/>
  </r>
  <r>
    <x v="101"/>
    <x v="4"/>
    <x v="2"/>
    <x v="19"/>
  </r>
  <r>
    <x v="35"/>
    <x v="4"/>
    <x v="1"/>
    <x v="1"/>
  </r>
  <r>
    <x v="1017"/>
    <x v="4"/>
    <x v="4"/>
    <x v="11"/>
  </r>
  <r>
    <x v="572"/>
    <x v="4"/>
    <x v="2"/>
    <x v="2"/>
  </r>
  <r>
    <x v="547"/>
    <x v="4"/>
    <x v="2"/>
    <x v="2"/>
  </r>
  <r>
    <x v="1018"/>
    <x v="4"/>
    <x v="2"/>
    <x v="35"/>
  </r>
  <r>
    <x v="101"/>
    <x v="4"/>
    <x v="2"/>
    <x v="2"/>
  </r>
  <r>
    <x v="660"/>
    <x v="4"/>
    <x v="2"/>
    <x v="18"/>
  </r>
  <r>
    <x v="109"/>
    <x v="4"/>
    <x v="2"/>
    <x v="2"/>
  </r>
  <r>
    <x v="166"/>
    <x v="4"/>
    <x v="1"/>
    <x v="3"/>
  </r>
  <r>
    <x v="75"/>
    <x v="4"/>
    <x v="2"/>
    <x v="2"/>
  </r>
  <r>
    <x v="816"/>
    <x v="4"/>
    <x v="4"/>
    <x v="4"/>
  </r>
  <r>
    <x v="231"/>
    <x v="4"/>
    <x v="1"/>
    <x v="28"/>
  </r>
  <r>
    <x v="812"/>
    <x v="4"/>
    <x v="1"/>
    <x v="28"/>
  </r>
  <r>
    <x v="180"/>
    <x v="4"/>
    <x v="1"/>
    <x v="1"/>
  </r>
  <r>
    <x v="106"/>
    <x v="4"/>
    <x v="2"/>
    <x v="18"/>
  </r>
  <r>
    <x v="1019"/>
    <x v="4"/>
    <x v="2"/>
    <x v="18"/>
  </r>
  <r>
    <x v="1020"/>
    <x v="4"/>
    <x v="2"/>
    <x v="18"/>
  </r>
  <r>
    <x v="132"/>
    <x v="4"/>
    <x v="2"/>
    <x v="18"/>
  </r>
  <r>
    <x v="1021"/>
    <x v="4"/>
    <x v="1"/>
    <x v="1"/>
  </r>
  <r>
    <x v="1022"/>
    <x v="4"/>
    <x v="2"/>
    <x v="2"/>
  </r>
  <r>
    <x v="1023"/>
    <x v="4"/>
    <x v="2"/>
    <x v="18"/>
  </r>
  <r>
    <x v="1024"/>
    <x v="4"/>
    <x v="2"/>
    <x v="18"/>
  </r>
  <r>
    <x v="1025"/>
    <x v="4"/>
    <x v="4"/>
    <x v="4"/>
  </r>
  <r>
    <x v="160"/>
    <x v="4"/>
    <x v="2"/>
    <x v="18"/>
  </r>
  <r>
    <x v="160"/>
    <x v="4"/>
    <x v="2"/>
    <x v="2"/>
  </r>
  <r>
    <x v="160"/>
    <x v="4"/>
    <x v="1"/>
    <x v="28"/>
  </r>
  <r>
    <x v="75"/>
    <x v="4"/>
    <x v="1"/>
    <x v="28"/>
  </r>
  <r>
    <x v="160"/>
    <x v="4"/>
    <x v="4"/>
    <x v="4"/>
  </r>
  <r>
    <x v="160"/>
    <x v="4"/>
    <x v="1"/>
    <x v="28"/>
  </r>
  <r>
    <x v="35"/>
    <x v="4"/>
    <x v="2"/>
    <x v="18"/>
  </r>
  <r>
    <x v="35"/>
    <x v="4"/>
    <x v="1"/>
    <x v="14"/>
  </r>
  <r>
    <x v="35"/>
    <x v="4"/>
    <x v="1"/>
    <x v="14"/>
  </r>
  <r>
    <x v="35"/>
    <x v="4"/>
    <x v="2"/>
    <x v="18"/>
  </r>
  <r>
    <x v="75"/>
    <x v="4"/>
    <x v="2"/>
    <x v="18"/>
  </r>
  <r>
    <x v="166"/>
    <x v="4"/>
    <x v="1"/>
    <x v="28"/>
  </r>
  <r>
    <x v="1026"/>
    <x v="4"/>
    <x v="4"/>
    <x v="4"/>
  </r>
  <r>
    <x v="101"/>
    <x v="4"/>
    <x v="2"/>
    <x v="2"/>
  </r>
  <r>
    <x v="101"/>
    <x v="4"/>
    <x v="2"/>
    <x v="19"/>
  </r>
  <r>
    <x v="40"/>
    <x v="4"/>
    <x v="2"/>
    <x v="18"/>
  </r>
  <r>
    <x v="1027"/>
    <x v="4"/>
    <x v="4"/>
    <x v="11"/>
  </r>
  <r>
    <x v="1028"/>
    <x v="4"/>
    <x v="1"/>
    <x v="28"/>
  </r>
  <r>
    <x v="99"/>
    <x v="4"/>
    <x v="1"/>
    <x v="1"/>
  </r>
  <r>
    <x v="75"/>
    <x v="4"/>
    <x v="6"/>
    <x v="12"/>
  </r>
  <r>
    <x v="547"/>
    <x v="4"/>
    <x v="2"/>
    <x v="18"/>
  </r>
  <r>
    <x v="35"/>
    <x v="4"/>
    <x v="2"/>
    <x v="18"/>
  </r>
  <r>
    <x v="75"/>
    <x v="4"/>
    <x v="2"/>
    <x v="2"/>
  </r>
  <r>
    <x v="1029"/>
    <x v="4"/>
    <x v="2"/>
    <x v="19"/>
  </r>
  <r>
    <x v="506"/>
    <x v="4"/>
    <x v="4"/>
    <x v="4"/>
  </r>
  <r>
    <x v="1030"/>
    <x v="4"/>
    <x v="4"/>
    <x v="4"/>
  </r>
  <r>
    <x v="1031"/>
    <x v="4"/>
    <x v="4"/>
    <x v="4"/>
  </r>
  <r>
    <x v="1032"/>
    <x v="4"/>
    <x v="4"/>
    <x v="11"/>
  </r>
  <r>
    <x v="1033"/>
    <x v="4"/>
    <x v="4"/>
    <x v="11"/>
  </r>
  <r>
    <x v="1034"/>
    <x v="4"/>
    <x v="5"/>
    <x v="0"/>
  </r>
  <r>
    <x v="1035"/>
    <x v="4"/>
    <x v="5"/>
    <x v="0"/>
  </r>
  <r>
    <x v="1036"/>
    <x v="4"/>
    <x v="5"/>
    <x v="0"/>
  </r>
  <r>
    <x v="1037"/>
    <x v="4"/>
    <x v="4"/>
    <x v="4"/>
  </r>
  <r>
    <x v="649"/>
    <x v="4"/>
    <x v="1"/>
    <x v="1"/>
  </r>
  <r>
    <x v="1038"/>
    <x v="4"/>
    <x v="3"/>
    <x v="0"/>
  </r>
  <r>
    <x v="1039"/>
    <x v="4"/>
    <x v="2"/>
    <x v="35"/>
  </r>
  <r>
    <x v="1040"/>
    <x v="4"/>
    <x v="4"/>
    <x v="4"/>
  </r>
  <r>
    <x v="1041"/>
    <x v="4"/>
    <x v="2"/>
    <x v="35"/>
  </r>
  <r>
    <x v="1042"/>
    <x v="4"/>
    <x v="1"/>
    <x v="1"/>
  </r>
  <r>
    <x v="359"/>
    <x v="4"/>
    <x v="4"/>
    <x v="4"/>
  </r>
  <r>
    <x v="1043"/>
    <x v="4"/>
    <x v="1"/>
    <x v="28"/>
  </r>
  <r>
    <x v="430"/>
    <x v="4"/>
    <x v="1"/>
    <x v="1"/>
  </r>
  <r>
    <x v="1044"/>
    <x v="4"/>
    <x v="1"/>
    <x v="1"/>
  </r>
  <r>
    <x v="682"/>
    <x v="4"/>
    <x v="2"/>
    <x v="19"/>
  </r>
  <r>
    <x v="1045"/>
    <x v="4"/>
    <x v="2"/>
    <x v="35"/>
  </r>
  <r>
    <x v="358"/>
    <x v="4"/>
    <x v="2"/>
    <x v="18"/>
  </r>
  <r>
    <x v="606"/>
    <x v="4"/>
    <x v="1"/>
    <x v="1"/>
  </r>
  <r>
    <x v="1046"/>
    <x v="4"/>
    <x v="1"/>
    <x v="14"/>
  </r>
  <r>
    <x v="531"/>
    <x v="4"/>
    <x v="4"/>
    <x v="4"/>
  </r>
  <r>
    <x v="1047"/>
    <x v="4"/>
    <x v="2"/>
    <x v="18"/>
  </r>
  <r>
    <x v="1048"/>
    <x v="4"/>
    <x v="1"/>
    <x v="28"/>
  </r>
  <r>
    <x v="460"/>
    <x v="4"/>
    <x v="4"/>
    <x v="11"/>
  </r>
  <r>
    <x v="1049"/>
    <x v="4"/>
    <x v="1"/>
    <x v="1"/>
  </r>
  <r>
    <x v="218"/>
    <x v="4"/>
    <x v="1"/>
    <x v="1"/>
  </r>
  <r>
    <x v="1050"/>
    <x v="4"/>
    <x v="1"/>
    <x v="1"/>
  </r>
  <r>
    <x v="1051"/>
    <x v="4"/>
    <x v="1"/>
    <x v="1"/>
  </r>
  <r>
    <x v="43"/>
    <x v="4"/>
    <x v="1"/>
    <x v="1"/>
  </r>
  <r>
    <x v="1052"/>
    <x v="4"/>
    <x v="1"/>
    <x v="1"/>
  </r>
  <r>
    <x v="43"/>
    <x v="4"/>
    <x v="1"/>
    <x v="1"/>
  </r>
  <r>
    <x v="1050"/>
    <x v="4"/>
    <x v="1"/>
    <x v="1"/>
  </r>
  <r>
    <x v="103"/>
    <x v="4"/>
    <x v="1"/>
    <x v="1"/>
  </r>
  <r>
    <x v="583"/>
    <x v="4"/>
    <x v="1"/>
    <x v="1"/>
  </r>
  <r>
    <x v="43"/>
    <x v="4"/>
    <x v="1"/>
    <x v="1"/>
  </r>
  <r>
    <x v="389"/>
    <x v="4"/>
    <x v="1"/>
    <x v="1"/>
  </r>
  <r>
    <x v="76"/>
    <x v="4"/>
    <x v="1"/>
    <x v="1"/>
  </r>
  <r>
    <x v="117"/>
    <x v="4"/>
    <x v="1"/>
    <x v="1"/>
  </r>
  <r>
    <x v="389"/>
    <x v="4"/>
    <x v="1"/>
    <x v="1"/>
  </r>
  <r>
    <x v="43"/>
    <x v="4"/>
    <x v="1"/>
    <x v="1"/>
  </r>
  <r>
    <x v="43"/>
    <x v="4"/>
    <x v="1"/>
    <x v="1"/>
  </r>
  <r>
    <x v="1053"/>
    <x v="4"/>
    <x v="1"/>
    <x v="1"/>
  </r>
  <r>
    <x v="132"/>
    <x v="4"/>
    <x v="1"/>
    <x v="1"/>
  </r>
  <r>
    <x v="43"/>
    <x v="4"/>
    <x v="1"/>
    <x v="1"/>
  </r>
  <r>
    <x v="1054"/>
    <x v="4"/>
    <x v="1"/>
    <x v="1"/>
  </r>
  <r>
    <x v="101"/>
    <x v="4"/>
    <x v="1"/>
    <x v="1"/>
  </r>
  <r>
    <x v="43"/>
    <x v="4"/>
    <x v="1"/>
    <x v="1"/>
  </r>
  <r>
    <x v="254"/>
    <x v="4"/>
    <x v="1"/>
    <x v="1"/>
  </r>
  <r>
    <x v="389"/>
    <x v="4"/>
    <x v="1"/>
    <x v="1"/>
  </r>
  <r>
    <x v="102"/>
    <x v="4"/>
    <x v="1"/>
    <x v="1"/>
  </r>
  <r>
    <x v="422"/>
    <x v="4"/>
    <x v="1"/>
    <x v="1"/>
  </r>
  <r>
    <x v="76"/>
    <x v="4"/>
    <x v="1"/>
    <x v="1"/>
  </r>
  <r>
    <x v="734"/>
    <x v="4"/>
    <x v="1"/>
    <x v="1"/>
  </r>
  <r>
    <x v="655"/>
    <x v="4"/>
    <x v="1"/>
    <x v="1"/>
  </r>
  <r>
    <x v="168"/>
    <x v="4"/>
    <x v="1"/>
    <x v="1"/>
  </r>
  <r>
    <x v="112"/>
    <x v="4"/>
    <x v="1"/>
    <x v="1"/>
  </r>
  <r>
    <x v="1055"/>
    <x v="4"/>
    <x v="1"/>
    <x v="1"/>
  </r>
  <r>
    <x v="1050"/>
    <x v="4"/>
    <x v="1"/>
    <x v="1"/>
  </r>
  <r>
    <x v="422"/>
    <x v="4"/>
    <x v="1"/>
    <x v="1"/>
  </r>
  <r>
    <x v="705"/>
    <x v="4"/>
    <x v="1"/>
    <x v="1"/>
  </r>
  <r>
    <x v="422"/>
    <x v="4"/>
    <x v="1"/>
    <x v="1"/>
  </r>
  <r>
    <x v="35"/>
    <x v="4"/>
    <x v="1"/>
    <x v="1"/>
  </r>
  <r>
    <x v="18"/>
    <x v="4"/>
    <x v="1"/>
    <x v="1"/>
  </r>
  <r>
    <x v="80"/>
    <x v="4"/>
    <x v="1"/>
    <x v="1"/>
  </r>
  <r>
    <x v="186"/>
    <x v="4"/>
    <x v="1"/>
    <x v="1"/>
  </r>
  <r>
    <x v="103"/>
    <x v="4"/>
    <x v="1"/>
    <x v="1"/>
  </r>
  <r>
    <x v="115"/>
    <x v="4"/>
    <x v="1"/>
    <x v="1"/>
  </r>
  <r>
    <x v="81"/>
    <x v="4"/>
    <x v="1"/>
    <x v="1"/>
  </r>
  <r>
    <x v="583"/>
    <x v="4"/>
    <x v="1"/>
    <x v="1"/>
  </r>
  <r>
    <x v="389"/>
    <x v="4"/>
    <x v="1"/>
    <x v="1"/>
  </r>
  <r>
    <x v="132"/>
    <x v="4"/>
    <x v="1"/>
    <x v="1"/>
  </r>
  <r>
    <x v="160"/>
    <x v="4"/>
    <x v="1"/>
    <x v="1"/>
  </r>
  <r>
    <x v="1056"/>
    <x v="4"/>
    <x v="1"/>
    <x v="1"/>
  </r>
  <r>
    <x v="35"/>
    <x v="4"/>
    <x v="1"/>
    <x v="1"/>
  </r>
  <r>
    <x v="1057"/>
    <x v="4"/>
    <x v="4"/>
    <x v="4"/>
  </r>
  <r>
    <x v="1058"/>
    <x v="4"/>
    <x v="1"/>
    <x v="1"/>
  </r>
  <r>
    <x v="1059"/>
    <x v="4"/>
    <x v="1"/>
    <x v="1"/>
  </r>
  <r>
    <x v="1060"/>
    <x v="4"/>
    <x v="1"/>
    <x v="1"/>
  </r>
  <r>
    <x v="1061"/>
    <x v="4"/>
    <x v="5"/>
    <x v="0"/>
  </r>
  <r>
    <x v="356"/>
    <x v="4"/>
    <x v="1"/>
    <x v="1"/>
  </r>
  <r>
    <x v="1062"/>
    <x v="4"/>
    <x v="4"/>
    <x v="4"/>
  </r>
  <r>
    <x v="1063"/>
    <x v="4"/>
    <x v="4"/>
    <x v="4"/>
  </r>
  <r>
    <x v="139"/>
    <x v="4"/>
    <x v="4"/>
    <x v="4"/>
  </r>
  <r>
    <x v="690"/>
    <x v="4"/>
    <x v="1"/>
    <x v="1"/>
  </r>
  <r>
    <x v="1064"/>
    <x v="4"/>
    <x v="4"/>
    <x v="4"/>
  </r>
  <r>
    <x v="573"/>
    <x v="4"/>
    <x v="2"/>
    <x v="19"/>
  </r>
  <r>
    <x v="573"/>
    <x v="4"/>
    <x v="4"/>
    <x v="4"/>
  </r>
  <r>
    <x v="1065"/>
    <x v="4"/>
    <x v="2"/>
    <x v="19"/>
  </r>
  <r>
    <x v="389"/>
    <x v="4"/>
    <x v="2"/>
    <x v="2"/>
  </r>
  <r>
    <x v="1066"/>
    <x v="4"/>
    <x v="4"/>
    <x v="4"/>
  </r>
  <r>
    <x v="848"/>
    <x v="4"/>
    <x v="4"/>
    <x v="4"/>
  </r>
  <r>
    <x v="547"/>
    <x v="4"/>
    <x v="2"/>
    <x v="2"/>
  </r>
  <r>
    <x v="1067"/>
    <x v="4"/>
    <x v="4"/>
    <x v="4"/>
  </r>
  <r>
    <x v="87"/>
    <x v="4"/>
    <x v="4"/>
    <x v="4"/>
  </r>
  <r>
    <x v="584"/>
    <x v="4"/>
    <x v="4"/>
    <x v="4"/>
  </r>
  <r>
    <x v="80"/>
    <x v="4"/>
    <x v="2"/>
    <x v="19"/>
  </r>
  <r>
    <x v="1068"/>
    <x v="4"/>
    <x v="2"/>
    <x v="19"/>
  </r>
  <r>
    <x v="1069"/>
    <x v="4"/>
    <x v="1"/>
    <x v="28"/>
  </r>
  <r>
    <x v="1019"/>
    <x v="4"/>
    <x v="1"/>
    <x v="28"/>
  </r>
  <r>
    <x v="1070"/>
    <x v="4"/>
    <x v="2"/>
    <x v="2"/>
  </r>
  <r>
    <x v="1071"/>
    <x v="4"/>
    <x v="2"/>
    <x v="19"/>
  </r>
  <r>
    <x v="1072"/>
    <x v="4"/>
    <x v="1"/>
    <x v="28"/>
  </r>
  <r>
    <x v="1073"/>
    <x v="4"/>
    <x v="2"/>
    <x v="2"/>
  </r>
  <r>
    <x v="1074"/>
    <x v="4"/>
    <x v="2"/>
    <x v="2"/>
  </r>
  <r>
    <x v="707"/>
    <x v="4"/>
    <x v="4"/>
    <x v="4"/>
  </r>
  <r>
    <x v="168"/>
    <x v="4"/>
    <x v="2"/>
    <x v="19"/>
  </r>
  <r>
    <x v="158"/>
    <x v="4"/>
    <x v="4"/>
    <x v="4"/>
  </r>
  <r>
    <x v="1075"/>
    <x v="4"/>
    <x v="1"/>
    <x v="28"/>
  </r>
  <r>
    <x v="1076"/>
    <x v="4"/>
    <x v="2"/>
    <x v="2"/>
  </r>
  <r>
    <x v="76"/>
    <x v="4"/>
    <x v="2"/>
    <x v="2"/>
  </r>
  <r>
    <x v="1077"/>
    <x v="4"/>
    <x v="1"/>
    <x v="3"/>
  </r>
  <r>
    <x v="192"/>
    <x v="4"/>
    <x v="1"/>
    <x v="30"/>
  </r>
  <r>
    <x v="231"/>
    <x v="4"/>
    <x v="4"/>
    <x v="4"/>
  </r>
  <r>
    <x v="547"/>
    <x v="4"/>
    <x v="2"/>
    <x v="18"/>
  </r>
  <r>
    <x v="1078"/>
    <x v="4"/>
    <x v="4"/>
    <x v="11"/>
  </r>
  <r>
    <x v="1079"/>
    <x v="4"/>
    <x v="4"/>
    <x v="4"/>
  </r>
  <r>
    <x v="75"/>
    <x v="4"/>
    <x v="4"/>
    <x v="4"/>
  </r>
  <r>
    <x v="105"/>
    <x v="4"/>
    <x v="2"/>
    <x v="2"/>
  </r>
  <r>
    <x v="1080"/>
    <x v="4"/>
    <x v="4"/>
    <x v="4"/>
  </r>
  <r>
    <x v="1081"/>
    <x v="4"/>
    <x v="4"/>
    <x v="4"/>
  </r>
  <r>
    <x v="50"/>
    <x v="4"/>
    <x v="4"/>
    <x v="4"/>
  </r>
  <r>
    <x v="199"/>
    <x v="4"/>
    <x v="4"/>
    <x v="4"/>
  </r>
  <r>
    <x v="861"/>
    <x v="4"/>
    <x v="4"/>
    <x v="11"/>
  </r>
  <r>
    <x v="193"/>
    <x v="4"/>
    <x v="2"/>
    <x v="18"/>
  </r>
  <r>
    <x v="36"/>
    <x v="4"/>
    <x v="2"/>
    <x v="18"/>
  </r>
  <r>
    <x v="1082"/>
    <x v="4"/>
    <x v="1"/>
    <x v="1"/>
  </r>
  <r>
    <x v="1083"/>
    <x v="4"/>
    <x v="3"/>
    <x v="0"/>
  </r>
  <r>
    <x v="1084"/>
    <x v="4"/>
    <x v="0"/>
    <x v="0"/>
  </r>
  <r>
    <x v="1085"/>
    <x v="4"/>
    <x v="3"/>
    <x v="4"/>
  </r>
  <r>
    <x v="1086"/>
    <x v="4"/>
    <x v="1"/>
    <x v="1"/>
  </r>
  <r>
    <x v="447"/>
    <x v="4"/>
    <x v="4"/>
    <x v="4"/>
  </r>
  <r>
    <x v="1087"/>
    <x v="4"/>
    <x v="1"/>
    <x v="1"/>
  </r>
  <r>
    <x v="430"/>
    <x v="4"/>
    <x v="1"/>
    <x v="1"/>
  </r>
  <r>
    <x v="1"/>
    <x v="4"/>
    <x v="1"/>
    <x v="1"/>
  </r>
  <r>
    <x v="1088"/>
    <x v="4"/>
    <x v="1"/>
    <x v="1"/>
  </r>
  <r>
    <x v="1089"/>
    <x v="4"/>
    <x v="1"/>
    <x v="1"/>
  </r>
  <r>
    <x v="1090"/>
    <x v="4"/>
    <x v="1"/>
    <x v="1"/>
  </r>
  <r>
    <x v="1091"/>
    <x v="4"/>
    <x v="2"/>
    <x v="2"/>
  </r>
  <r>
    <x v="1092"/>
    <x v="4"/>
    <x v="1"/>
    <x v="1"/>
  </r>
  <r>
    <x v="1093"/>
    <x v="4"/>
    <x v="1"/>
    <x v="1"/>
  </r>
  <r>
    <x v="1094"/>
    <x v="4"/>
    <x v="4"/>
    <x v="4"/>
  </r>
  <r>
    <x v="1095"/>
    <x v="4"/>
    <x v="0"/>
    <x v="4"/>
  </r>
  <r>
    <x v="1096"/>
    <x v="4"/>
    <x v="4"/>
    <x v="4"/>
  </r>
  <r>
    <x v="1097"/>
    <x v="1"/>
    <x v="1"/>
    <x v="1"/>
  </r>
  <r>
    <x v="1098"/>
    <x v="4"/>
    <x v="1"/>
    <x v="3"/>
  </r>
  <r>
    <x v="123"/>
    <x v="4"/>
    <x v="4"/>
    <x v="4"/>
  </r>
  <r>
    <x v="530"/>
    <x v="4"/>
    <x v="4"/>
    <x v="11"/>
  </r>
  <r>
    <x v="986"/>
    <x v="4"/>
    <x v="1"/>
    <x v="1"/>
  </r>
  <r>
    <x v="1099"/>
    <x v="4"/>
    <x v="1"/>
    <x v="1"/>
  </r>
  <r>
    <x v="272"/>
    <x v="4"/>
    <x v="3"/>
    <x v="0"/>
  </r>
  <r>
    <x v="1100"/>
    <x v="4"/>
    <x v="3"/>
    <x v="4"/>
  </r>
  <r>
    <x v="1101"/>
    <x v="4"/>
    <x v="0"/>
    <x v="4"/>
  </r>
  <r>
    <x v="1102"/>
    <x v="4"/>
    <x v="3"/>
    <x v="4"/>
  </r>
  <r>
    <x v="1103"/>
    <x v="4"/>
    <x v="1"/>
    <x v="1"/>
  </r>
  <r>
    <x v="1104"/>
    <x v="4"/>
    <x v="1"/>
    <x v="3"/>
  </r>
  <r>
    <x v="1105"/>
    <x v="4"/>
    <x v="1"/>
    <x v="1"/>
  </r>
  <r>
    <x v="1106"/>
    <x v="4"/>
    <x v="1"/>
    <x v="1"/>
  </r>
  <r>
    <x v="1107"/>
    <x v="4"/>
    <x v="1"/>
    <x v="22"/>
  </r>
  <r>
    <x v="1108"/>
    <x v="4"/>
    <x v="0"/>
    <x v="0"/>
  </r>
  <r>
    <x v="1109"/>
    <x v="4"/>
    <x v="1"/>
    <x v="3"/>
  </r>
  <r>
    <x v="1110"/>
    <x v="4"/>
    <x v="1"/>
    <x v="3"/>
  </r>
  <r>
    <x v="1111"/>
    <x v="4"/>
    <x v="1"/>
    <x v="14"/>
  </r>
  <r>
    <x v="1112"/>
    <x v="4"/>
    <x v="10"/>
    <x v="0"/>
  </r>
  <r>
    <x v="1113"/>
    <x v="4"/>
    <x v="6"/>
    <x v="0"/>
  </r>
  <r>
    <x v="1114"/>
    <x v="4"/>
    <x v="0"/>
    <x v="4"/>
  </r>
  <r>
    <x v="430"/>
    <x v="4"/>
    <x v="1"/>
    <x v="1"/>
  </r>
  <r>
    <x v="1115"/>
    <x v="4"/>
    <x v="2"/>
    <x v="18"/>
  </r>
  <r>
    <x v="1116"/>
    <x v="4"/>
    <x v="1"/>
    <x v="22"/>
  </r>
  <r>
    <x v="1117"/>
    <x v="4"/>
    <x v="4"/>
    <x v="4"/>
  </r>
  <r>
    <x v="1118"/>
    <x v="4"/>
    <x v="1"/>
    <x v="22"/>
  </r>
  <r>
    <x v="583"/>
    <x v="4"/>
    <x v="4"/>
    <x v="4"/>
  </r>
  <r>
    <x v="1119"/>
    <x v="4"/>
    <x v="4"/>
    <x v="11"/>
  </r>
  <r>
    <x v="252"/>
    <x v="4"/>
    <x v="3"/>
    <x v="4"/>
  </r>
  <r>
    <x v="1120"/>
    <x v="4"/>
    <x v="5"/>
    <x v="0"/>
  </r>
  <r>
    <x v="311"/>
    <x v="4"/>
    <x v="1"/>
    <x v="28"/>
  </r>
  <r>
    <x v="105"/>
    <x v="4"/>
    <x v="1"/>
    <x v="28"/>
  </r>
  <r>
    <x v="1121"/>
    <x v="4"/>
    <x v="1"/>
    <x v="28"/>
  </r>
  <r>
    <x v="1122"/>
    <x v="4"/>
    <x v="1"/>
    <x v="28"/>
  </r>
  <r>
    <x v="1004"/>
    <x v="4"/>
    <x v="1"/>
    <x v="28"/>
  </r>
  <r>
    <x v="707"/>
    <x v="4"/>
    <x v="1"/>
    <x v="28"/>
  </r>
  <r>
    <x v="75"/>
    <x v="4"/>
    <x v="1"/>
    <x v="28"/>
  </r>
  <r>
    <x v="707"/>
    <x v="4"/>
    <x v="1"/>
    <x v="28"/>
  </r>
  <r>
    <x v="75"/>
    <x v="4"/>
    <x v="1"/>
    <x v="28"/>
  </r>
  <r>
    <x v="1123"/>
    <x v="4"/>
    <x v="1"/>
    <x v="28"/>
  </r>
  <r>
    <x v="109"/>
    <x v="4"/>
    <x v="1"/>
    <x v="28"/>
  </r>
  <r>
    <x v="1124"/>
    <x v="4"/>
    <x v="1"/>
    <x v="28"/>
  </r>
  <r>
    <x v="1125"/>
    <x v="4"/>
    <x v="1"/>
    <x v="28"/>
  </r>
  <r>
    <x v="1126"/>
    <x v="4"/>
    <x v="1"/>
    <x v="28"/>
  </r>
  <r>
    <x v="109"/>
    <x v="4"/>
    <x v="1"/>
    <x v="28"/>
  </r>
  <r>
    <x v="707"/>
    <x v="4"/>
    <x v="1"/>
    <x v="28"/>
  </r>
  <r>
    <x v="75"/>
    <x v="4"/>
    <x v="1"/>
    <x v="28"/>
  </r>
  <r>
    <x v="1127"/>
    <x v="4"/>
    <x v="1"/>
    <x v="28"/>
  </r>
  <r>
    <x v="707"/>
    <x v="4"/>
    <x v="1"/>
    <x v="28"/>
  </r>
  <r>
    <x v="75"/>
    <x v="4"/>
    <x v="1"/>
    <x v="28"/>
  </r>
  <r>
    <x v="109"/>
    <x v="4"/>
    <x v="1"/>
    <x v="28"/>
  </r>
  <r>
    <x v="706"/>
    <x v="4"/>
    <x v="1"/>
    <x v="28"/>
  </r>
  <r>
    <x v="1128"/>
    <x v="4"/>
    <x v="1"/>
    <x v="28"/>
  </r>
  <r>
    <x v="109"/>
    <x v="4"/>
    <x v="1"/>
    <x v="28"/>
  </r>
  <r>
    <x v="35"/>
    <x v="4"/>
    <x v="1"/>
    <x v="28"/>
  </r>
  <r>
    <x v="109"/>
    <x v="4"/>
    <x v="1"/>
    <x v="28"/>
  </r>
  <r>
    <x v="1129"/>
    <x v="4"/>
    <x v="1"/>
    <x v="28"/>
  </r>
  <r>
    <x v="180"/>
    <x v="4"/>
    <x v="1"/>
    <x v="28"/>
  </r>
  <r>
    <x v="75"/>
    <x v="4"/>
    <x v="1"/>
    <x v="28"/>
  </r>
  <r>
    <x v="105"/>
    <x v="4"/>
    <x v="6"/>
    <x v="37"/>
  </r>
  <r>
    <x v="42"/>
    <x v="4"/>
    <x v="4"/>
    <x v="11"/>
  </r>
  <r>
    <x v="18"/>
    <x v="4"/>
    <x v="4"/>
    <x v="4"/>
  </r>
  <r>
    <x v="1130"/>
    <x v="4"/>
    <x v="1"/>
    <x v="3"/>
  </r>
  <r>
    <x v="147"/>
    <x v="4"/>
    <x v="2"/>
    <x v="2"/>
  </r>
  <r>
    <x v="1131"/>
    <x v="4"/>
    <x v="1"/>
    <x v="3"/>
  </r>
  <r>
    <x v="584"/>
    <x v="4"/>
    <x v="2"/>
    <x v="2"/>
  </r>
  <r>
    <x v="1132"/>
    <x v="4"/>
    <x v="2"/>
    <x v="2"/>
  </r>
  <r>
    <x v="1133"/>
    <x v="4"/>
    <x v="1"/>
    <x v="28"/>
  </r>
  <r>
    <x v="1134"/>
    <x v="4"/>
    <x v="1"/>
    <x v="23"/>
  </r>
  <r>
    <x v="1135"/>
    <x v="4"/>
    <x v="1"/>
    <x v="3"/>
  </r>
  <r>
    <x v="1136"/>
    <x v="4"/>
    <x v="1"/>
    <x v="22"/>
  </r>
  <r>
    <x v="1137"/>
    <x v="4"/>
    <x v="1"/>
    <x v="22"/>
  </r>
  <r>
    <x v="1138"/>
    <x v="4"/>
    <x v="1"/>
    <x v="22"/>
  </r>
  <r>
    <x v="168"/>
    <x v="4"/>
    <x v="1"/>
    <x v="22"/>
  </r>
  <r>
    <x v="1139"/>
    <x v="4"/>
    <x v="1"/>
    <x v="22"/>
  </r>
  <r>
    <x v="18"/>
    <x v="4"/>
    <x v="1"/>
    <x v="22"/>
  </r>
  <r>
    <x v="103"/>
    <x v="4"/>
    <x v="4"/>
    <x v="4"/>
  </r>
  <r>
    <x v="1140"/>
    <x v="4"/>
    <x v="1"/>
    <x v="22"/>
  </r>
  <r>
    <x v="1141"/>
    <x v="4"/>
    <x v="2"/>
    <x v="18"/>
  </r>
  <r>
    <x v="1142"/>
    <x v="4"/>
    <x v="1"/>
    <x v="22"/>
  </r>
  <r>
    <x v="1143"/>
    <x v="4"/>
    <x v="1"/>
    <x v="1"/>
  </r>
  <r>
    <x v="1144"/>
    <x v="4"/>
    <x v="5"/>
    <x v="0"/>
  </r>
  <r>
    <x v="861"/>
    <x v="4"/>
    <x v="4"/>
    <x v="11"/>
  </r>
  <r>
    <x v="861"/>
    <x v="4"/>
    <x v="4"/>
    <x v="11"/>
  </r>
  <r>
    <x v="1145"/>
    <x v="4"/>
    <x v="4"/>
    <x v="4"/>
  </r>
  <r>
    <x v="706"/>
    <x v="4"/>
    <x v="1"/>
    <x v="1"/>
  </r>
  <r>
    <x v="1146"/>
    <x v="4"/>
    <x v="1"/>
    <x v="28"/>
  </r>
  <r>
    <x v="103"/>
    <x v="4"/>
    <x v="1"/>
    <x v="3"/>
  </r>
  <r>
    <x v="1147"/>
    <x v="4"/>
    <x v="1"/>
    <x v="22"/>
  </r>
  <r>
    <x v="706"/>
    <x v="4"/>
    <x v="2"/>
    <x v="2"/>
  </r>
  <r>
    <x v="1148"/>
    <x v="4"/>
    <x v="1"/>
    <x v="22"/>
  </r>
  <r>
    <x v="1149"/>
    <x v="4"/>
    <x v="1"/>
    <x v="22"/>
  </r>
  <r>
    <x v="1150"/>
    <x v="4"/>
    <x v="1"/>
    <x v="1"/>
  </r>
  <r>
    <x v="115"/>
    <x v="4"/>
    <x v="1"/>
    <x v="3"/>
  </r>
  <r>
    <x v="1151"/>
    <x v="4"/>
    <x v="1"/>
    <x v="3"/>
  </r>
  <r>
    <x v="1152"/>
    <x v="4"/>
    <x v="1"/>
    <x v="22"/>
  </r>
  <r>
    <x v="1153"/>
    <x v="4"/>
    <x v="1"/>
    <x v="3"/>
  </r>
  <r>
    <x v="115"/>
    <x v="4"/>
    <x v="4"/>
    <x v="4"/>
  </r>
  <r>
    <x v="43"/>
    <x v="4"/>
    <x v="2"/>
    <x v="18"/>
  </r>
  <r>
    <x v="101"/>
    <x v="4"/>
    <x v="4"/>
    <x v="11"/>
  </r>
  <r>
    <x v="42"/>
    <x v="4"/>
    <x v="2"/>
    <x v="2"/>
  </r>
  <r>
    <x v="186"/>
    <x v="4"/>
    <x v="1"/>
    <x v="22"/>
  </r>
  <r>
    <x v="75"/>
    <x v="4"/>
    <x v="1"/>
    <x v="1"/>
  </r>
  <r>
    <x v="817"/>
    <x v="4"/>
    <x v="1"/>
    <x v="3"/>
  </r>
  <r>
    <x v="192"/>
    <x v="4"/>
    <x v="4"/>
    <x v="11"/>
  </r>
  <r>
    <x v="1154"/>
    <x v="4"/>
    <x v="4"/>
    <x v="4"/>
  </r>
  <r>
    <x v="1155"/>
    <x v="4"/>
    <x v="5"/>
    <x v="0"/>
  </r>
  <r>
    <x v="1156"/>
    <x v="4"/>
    <x v="1"/>
    <x v="1"/>
  </r>
  <r>
    <x v="1157"/>
    <x v="4"/>
    <x v="2"/>
    <x v="19"/>
  </r>
  <r>
    <x v="430"/>
    <x v="4"/>
    <x v="1"/>
    <x v="1"/>
  </r>
  <r>
    <x v="934"/>
    <x v="4"/>
    <x v="1"/>
    <x v="30"/>
  </r>
  <r>
    <x v="1158"/>
    <x v="4"/>
    <x v="1"/>
    <x v="1"/>
  </r>
  <r>
    <x v="649"/>
    <x v="4"/>
    <x v="1"/>
    <x v="1"/>
  </r>
  <r>
    <x v="359"/>
    <x v="4"/>
    <x v="1"/>
    <x v="1"/>
  </r>
  <r>
    <x v="690"/>
    <x v="4"/>
    <x v="4"/>
    <x v="4"/>
  </r>
  <r>
    <x v="650"/>
    <x v="4"/>
    <x v="1"/>
    <x v="1"/>
  </r>
  <r>
    <x v="1159"/>
    <x v="4"/>
    <x v="1"/>
    <x v="1"/>
  </r>
  <r>
    <x v="1160"/>
    <x v="4"/>
    <x v="2"/>
    <x v="18"/>
  </r>
  <r>
    <x v="1161"/>
    <x v="4"/>
    <x v="1"/>
    <x v="3"/>
  </r>
  <r>
    <x v="1162"/>
    <x v="4"/>
    <x v="2"/>
    <x v="18"/>
  </r>
  <r>
    <x v="1163"/>
    <x v="4"/>
    <x v="1"/>
    <x v="3"/>
  </r>
  <r>
    <x v="613"/>
    <x v="4"/>
    <x v="4"/>
    <x v="4"/>
  </r>
  <r>
    <x v="1164"/>
    <x v="4"/>
    <x v="1"/>
    <x v="28"/>
  </r>
  <r>
    <x v="1165"/>
    <x v="4"/>
    <x v="1"/>
    <x v="22"/>
  </r>
  <r>
    <x v="163"/>
    <x v="5"/>
    <x v="4"/>
    <x v="11"/>
  </r>
  <r>
    <x v="1166"/>
    <x v="5"/>
    <x v="4"/>
    <x v="4"/>
  </r>
  <r>
    <x v="1167"/>
    <x v="5"/>
    <x v="1"/>
    <x v="22"/>
  </r>
  <r>
    <x v="1168"/>
    <x v="5"/>
    <x v="1"/>
    <x v="28"/>
  </r>
  <r>
    <x v="1169"/>
    <x v="5"/>
    <x v="1"/>
    <x v="1"/>
  </r>
  <r>
    <x v="1170"/>
    <x v="5"/>
    <x v="3"/>
    <x v="0"/>
  </r>
  <r>
    <x v="146"/>
    <x v="5"/>
    <x v="1"/>
    <x v="1"/>
  </r>
  <r>
    <x v="819"/>
    <x v="5"/>
    <x v="1"/>
    <x v="23"/>
  </r>
  <r>
    <x v="1171"/>
    <x v="5"/>
    <x v="4"/>
    <x v="11"/>
  </r>
  <r>
    <x v="1172"/>
    <x v="5"/>
    <x v="4"/>
    <x v="11"/>
  </r>
  <r>
    <x v="1173"/>
    <x v="5"/>
    <x v="4"/>
    <x v="11"/>
  </r>
  <r>
    <x v="1173"/>
    <x v="5"/>
    <x v="4"/>
    <x v="11"/>
  </r>
  <r>
    <x v="1174"/>
    <x v="5"/>
    <x v="2"/>
    <x v="34"/>
  </r>
  <r>
    <x v="1175"/>
    <x v="5"/>
    <x v="6"/>
    <x v="0"/>
  </r>
  <r>
    <x v="1176"/>
    <x v="5"/>
    <x v="4"/>
    <x v="4"/>
  </r>
  <r>
    <x v="1177"/>
    <x v="5"/>
    <x v="1"/>
    <x v="15"/>
  </r>
  <r>
    <x v="1178"/>
    <x v="5"/>
    <x v="4"/>
    <x v="11"/>
  </r>
  <r>
    <x v="1179"/>
    <x v="5"/>
    <x v="1"/>
    <x v="1"/>
  </r>
  <r>
    <x v="1180"/>
    <x v="5"/>
    <x v="1"/>
    <x v="1"/>
  </r>
  <r>
    <x v="1181"/>
    <x v="5"/>
    <x v="4"/>
    <x v="4"/>
  </r>
  <r>
    <x v="1182"/>
    <x v="5"/>
    <x v="3"/>
    <x v="0"/>
  </r>
  <r>
    <x v="1183"/>
    <x v="5"/>
    <x v="3"/>
    <x v="0"/>
  </r>
  <r>
    <x v="117"/>
    <x v="5"/>
    <x v="3"/>
    <x v="0"/>
  </r>
  <r>
    <x v="817"/>
    <x v="5"/>
    <x v="4"/>
    <x v="11"/>
  </r>
  <r>
    <x v="1184"/>
    <x v="5"/>
    <x v="4"/>
    <x v="4"/>
  </r>
  <r>
    <x v="1185"/>
    <x v="5"/>
    <x v="5"/>
    <x v="0"/>
  </r>
  <r>
    <x v="1165"/>
    <x v="4"/>
    <x v="2"/>
    <x v="19"/>
  </r>
  <r>
    <x v="1186"/>
    <x v="5"/>
    <x v="1"/>
    <x v="1"/>
  </r>
  <r>
    <x v="1000"/>
    <x v="5"/>
    <x v="1"/>
    <x v="1"/>
  </r>
  <r>
    <x v="1187"/>
    <x v="5"/>
    <x v="1"/>
    <x v="1"/>
  </r>
  <r>
    <x v="1188"/>
    <x v="4"/>
    <x v="2"/>
    <x v="18"/>
  </r>
  <r>
    <x v="1161"/>
    <x v="4"/>
    <x v="1"/>
    <x v="3"/>
  </r>
  <r>
    <x v="1189"/>
    <x v="4"/>
    <x v="2"/>
    <x v="18"/>
  </r>
  <r>
    <x v="1190"/>
    <x v="4"/>
    <x v="1"/>
    <x v="3"/>
  </r>
  <r>
    <x v="1191"/>
    <x v="4"/>
    <x v="1"/>
    <x v="28"/>
  </r>
  <r>
    <x v="1192"/>
    <x v="4"/>
    <x v="1"/>
    <x v="22"/>
  </r>
  <r>
    <x v="1193"/>
    <x v="4"/>
    <x v="2"/>
    <x v="19"/>
  </r>
  <r>
    <x v="1194"/>
    <x v="4"/>
    <x v="2"/>
    <x v="2"/>
  </r>
  <r>
    <x v="1195"/>
    <x v="4"/>
    <x v="2"/>
    <x v="26"/>
  </r>
  <r>
    <x v="1189"/>
    <x v="4"/>
    <x v="1"/>
    <x v="28"/>
  </r>
  <r>
    <x v="652"/>
    <x v="4"/>
    <x v="1"/>
    <x v="22"/>
  </r>
  <r>
    <x v="652"/>
    <x v="4"/>
    <x v="2"/>
    <x v="19"/>
  </r>
  <r>
    <x v="749"/>
    <x v="4"/>
    <x v="4"/>
    <x v="4"/>
  </r>
  <r>
    <x v="1196"/>
    <x v="4"/>
    <x v="2"/>
    <x v="18"/>
  </r>
  <r>
    <x v="1196"/>
    <x v="4"/>
    <x v="1"/>
    <x v="3"/>
  </r>
  <r>
    <x v="1197"/>
    <x v="4"/>
    <x v="1"/>
    <x v="28"/>
  </r>
  <r>
    <x v="493"/>
    <x v="4"/>
    <x v="4"/>
    <x v="4"/>
  </r>
  <r>
    <x v="499"/>
    <x v="4"/>
    <x v="1"/>
    <x v="28"/>
  </r>
  <r>
    <x v="625"/>
    <x v="4"/>
    <x v="1"/>
    <x v="22"/>
  </r>
  <r>
    <x v="1198"/>
    <x v="4"/>
    <x v="2"/>
    <x v="19"/>
  </r>
  <r>
    <x v="1199"/>
    <x v="4"/>
    <x v="2"/>
    <x v="18"/>
  </r>
  <r>
    <x v="1200"/>
    <x v="4"/>
    <x v="1"/>
    <x v="3"/>
  </r>
  <r>
    <x v="499"/>
    <x v="4"/>
    <x v="2"/>
    <x v="18"/>
  </r>
  <r>
    <x v="1201"/>
    <x v="4"/>
    <x v="1"/>
    <x v="3"/>
  </r>
  <r>
    <x v="622"/>
    <x v="4"/>
    <x v="1"/>
    <x v="1"/>
  </r>
  <r>
    <x v="53"/>
    <x v="4"/>
    <x v="4"/>
    <x v="4"/>
  </r>
  <r>
    <x v="498"/>
    <x v="4"/>
    <x v="4"/>
    <x v="4"/>
  </r>
  <r>
    <x v="399"/>
    <x v="4"/>
    <x v="4"/>
    <x v="11"/>
  </r>
  <r>
    <x v="496"/>
    <x v="4"/>
    <x v="1"/>
    <x v="1"/>
  </r>
  <r>
    <x v="750"/>
    <x v="4"/>
    <x v="1"/>
    <x v="1"/>
  </r>
  <r>
    <x v="496"/>
    <x v="4"/>
    <x v="1"/>
    <x v="1"/>
  </r>
  <r>
    <x v="499"/>
    <x v="4"/>
    <x v="1"/>
    <x v="28"/>
  </r>
  <r>
    <x v="625"/>
    <x v="4"/>
    <x v="1"/>
    <x v="22"/>
  </r>
  <r>
    <x v="625"/>
    <x v="4"/>
    <x v="2"/>
    <x v="19"/>
  </r>
  <r>
    <x v="1202"/>
    <x v="4"/>
    <x v="2"/>
    <x v="2"/>
  </r>
  <r>
    <x v="1201"/>
    <x v="4"/>
    <x v="2"/>
    <x v="26"/>
  </r>
  <r>
    <x v="1203"/>
    <x v="4"/>
    <x v="2"/>
    <x v="2"/>
  </r>
  <r>
    <x v="1204"/>
    <x v="4"/>
    <x v="2"/>
    <x v="26"/>
  </r>
  <r>
    <x v="1202"/>
    <x v="4"/>
    <x v="2"/>
    <x v="2"/>
  </r>
  <r>
    <x v="1201"/>
    <x v="4"/>
    <x v="2"/>
    <x v="26"/>
  </r>
  <r>
    <x v="496"/>
    <x v="4"/>
    <x v="1"/>
    <x v="1"/>
  </r>
  <r>
    <x v="496"/>
    <x v="4"/>
    <x v="1"/>
    <x v="1"/>
  </r>
  <r>
    <x v="66"/>
    <x v="4"/>
    <x v="4"/>
    <x v="4"/>
  </r>
  <r>
    <x v="1205"/>
    <x v="4"/>
    <x v="1"/>
    <x v="1"/>
  </r>
  <r>
    <x v="1206"/>
    <x v="4"/>
    <x v="1"/>
    <x v="1"/>
  </r>
  <r>
    <x v="496"/>
    <x v="4"/>
    <x v="1"/>
    <x v="1"/>
  </r>
  <r>
    <x v="498"/>
    <x v="4"/>
    <x v="1"/>
    <x v="1"/>
  </r>
  <r>
    <x v="1207"/>
    <x v="4"/>
    <x v="1"/>
    <x v="1"/>
  </r>
  <r>
    <x v="498"/>
    <x v="4"/>
    <x v="1"/>
    <x v="1"/>
  </r>
  <r>
    <x v="496"/>
    <x v="4"/>
    <x v="1"/>
    <x v="1"/>
  </r>
  <r>
    <x v="496"/>
    <x v="4"/>
    <x v="1"/>
    <x v="1"/>
  </r>
  <r>
    <x v="1208"/>
    <x v="4"/>
    <x v="1"/>
    <x v="1"/>
  </r>
  <r>
    <x v="1208"/>
    <x v="4"/>
    <x v="1"/>
    <x v="1"/>
  </r>
  <r>
    <x v="1208"/>
    <x v="4"/>
    <x v="1"/>
    <x v="1"/>
  </r>
  <r>
    <x v="1209"/>
    <x v="4"/>
    <x v="2"/>
    <x v="2"/>
  </r>
  <r>
    <x v="1210"/>
    <x v="4"/>
    <x v="2"/>
    <x v="26"/>
  </r>
  <r>
    <x v="639"/>
    <x v="4"/>
    <x v="4"/>
    <x v="4"/>
  </r>
  <r>
    <x v="639"/>
    <x v="4"/>
    <x v="4"/>
    <x v="4"/>
  </r>
  <r>
    <x v="639"/>
    <x v="4"/>
    <x v="4"/>
    <x v="4"/>
  </r>
  <r>
    <x v="1189"/>
    <x v="4"/>
    <x v="1"/>
    <x v="28"/>
  </r>
  <r>
    <x v="652"/>
    <x v="4"/>
    <x v="1"/>
    <x v="22"/>
  </r>
  <r>
    <x v="652"/>
    <x v="4"/>
    <x v="2"/>
    <x v="19"/>
  </r>
  <r>
    <x v="498"/>
    <x v="4"/>
    <x v="4"/>
    <x v="4"/>
  </r>
  <r>
    <x v="1196"/>
    <x v="4"/>
    <x v="2"/>
    <x v="18"/>
  </r>
  <r>
    <x v="1196"/>
    <x v="4"/>
    <x v="1"/>
    <x v="3"/>
  </r>
  <r>
    <x v="1197"/>
    <x v="4"/>
    <x v="1"/>
    <x v="28"/>
  </r>
  <r>
    <x v="493"/>
    <x v="4"/>
    <x v="4"/>
    <x v="4"/>
  </r>
  <r>
    <x v="1211"/>
    <x v="4"/>
    <x v="1"/>
    <x v="28"/>
  </r>
  <r>
    <x v="1212"/>
    <x v="4"/>
    <x v="1"/>
    <x v="22"/>
  </r>
  <r>
    <x v="1213"/>
    <x v="4"/>
    <x v="2"/>
    <x v="19"/>
  </r>
  <r>
    <x v="1214"/>
    <x v="4"/>
    <x v="2"/>
    <x v="18"/>
  </r>
  <r>
    <x v="1215"/>
    <x v="4"/>
    <x v="1"/>
    <x v="3"/>
  </r>
  <r>
    <x v="499"/>
    <x v="4"/>
    <x v="2"/>
    <x v="18"/>
  </r>
  <r>
    <x v="1201"/>
    <x v="4"/>
    <x v="1"/>
    <x v="3"/>
  </r>
  <r>
    <x v="1216"/>
    <x v="4"/>
    <x v="1"/>
    <x v="22"/>
  </r>
  <r>
    <x v="1216"/>
    <x v="4"/>
    <x v="2"/>
    <x v="19"/>
  </r>
  <r>
    <x v="1217"/>
    <x v="4"/>
    <x v="2"/>
    <x v="2"/>
  </r>
  <r>
    <x v="650"/>
    <x v="4"/>
    <x v="4"/>
    <x v="4"/>
  </r>
  <r>
    <x v="1218"/>
    <x v="4"/>
    <x v="1"/>
    <x v="1"/>
  </r>
  <r>
    <x v="53"/>
    <x v="4"/>
    <x v="4"/>
    <x v="4"/>
  </r>
  <r>
    <x v="1219"/>
    <x v="4"/>
    <x v="2"/>
    <x v="19"/>
  </r>
  <r>
    <x v="1220"/>
    <x v="4"/>
    <x v="2"/>
    <x v="2"/>
  </r>
  <r>
    <x v="1220"/>
    <x v="4"/>
    <x v="2"/>
    <x v="26"/>
  </r>
  <r>
    <x v="498"/>
    <x v="4"/>
    <x v="4"/>
    <x v="4"/>
  </r>
  <r>
    <x v="399"/>
    <x v="4"/>
    <x v="4"/>
    <x v="4"/>
  </r>
  <r>
    <x v="1221"/>
    <x v="4"/>
    <x v="4"/>
    <x v="11"/>
  </r>
  <r>
    <x v="1222"/>
    <x v="4"/>
    <x v="1"/>
    <x v="1"/>
  </r>
  <r>
    <x v="1223"/>
    <x v="4"/>
    <x v="1"/>
    <x v="1"/>
  </r>
  <r>
    <x v="1224"/>
    <x v="4"/>
    <x v="1"/>
    <x v="1"/>
  </r>
  <r>
    <x v="1214"/>
    <x v="4"/>
    <x v="1"/>
    <x v="28"/>
  </r>
  <r>
    <x v="1225"/>
    <x v="4"/>
    <x v="1"/>
    <x v="22"/>
  </r>
  <r>
    <x v="1225"/>
    <x v="4"/>
    <x v="2"/>
    <x v="19"/>
  </r>
  <r>
    <x v="499"/>
    <x v="4"/>
    <x v="2"/>
    <x v="2"/>
  </r>
  <r>
    <x v="1201"/>
    <x v="4"/>
    <x v="2"/>
    <x v="26"/>
  </r>
  <r>
    <x v="499"/>
    <x v="4"/>
    <x v="2"/>
    <x v="2"/>
  </r>
  <r>
    <x v="1201"/>
    <x v="4"/>
    <x v="2"/>
    <x v="26"/>
  </r>
  <r>
    <x v="499"/>
    <x v="4"/>
    <x v="2"/>
    <x v="2"/>
  </r>
  <r>
    <x v="1226"/>
    <x v="4"/>
    <x v="2"/>
    <x v="26"/>
  </r>
  <r>
    <x v="1227"/>
    <x v="4"/>
    <x v="4"/>
    <x v="11"/>
  </r>
  <r>
    <x v="897"/>
    <x v="4"/>
    <x v="4"/>
    <x v="4"/>
  </r>
  <r>
    <x v="1228"/>
    <x v="4"/>
    <x v="1"/>
    <x v="1"/>
  </r>
  <r>
    <x v="1229"/>
    <x v="4"/>
    <x v="4"/>
    <x v="4"/>
  </r>
  <r>
    <x v="1222"/>
    <x v="4"/>
    <x v="1"/>
    <x v="1"/>
  </r>
  <r>
    <x v="1230"/>
    <x v="4"/>
    <x v="1"/>
    <x v="1"/>
  </r>
  <r>
    <x v="1231"/>
    <x v="4"/>
    <x v="2"/>
    <x v="18"/>
  </r>
  <r>
    <x v="1231"/>
    <x v="4"/>
    <x v="2"/>
    <x v="2"/>
  </r>
  <r>
    <x v="1232"/>
    <x v="4"/>
    <x v="1"/>
    <x v="28"/>
  </r>
  <r>
    <x v="1233"/>
    <x v="4"/>
    <x v="4"/>
    <x v="4"/>
  </r>
  <r>
    <x v="1234"/>
    <x v="4"/>
    <x v="1"/>
    <x v="1"/>
  </r>
  <r>
    <x v="1235"/>
    <x v="4"/>
    <x v="2"/>
    <x v="18"/>
  </r>
  <r>
    <x v="1236"/>
    <x v="4"/>
    <x v="1"/>
    <x v="3"/>
  </r>
  <r>
    <x v="1223"/>
    <x v="4"/>
    <x v="1"/>
    <x v="1"/>
  </r>
  <r>
    <x v="1223"/>
    <x v="4"/>
    <x v="1"/>
    <x v="1"/>
  </r>
  <r>
    <x v="1223"/>
    <x v="4"/>
    <x v="1"/>
    <x v="1"/>
  </r>
  <r>
    <x v="1223"/>
    <x v="4"/>
    <x v="1"/>
    <x v="1"/>
  </r>
  <r>
    <x v="1223"/>
    <x v="4"/>
    <x v="1"/>
    <x v="1"/>
  </r>
  <r>
    <x v="1237"/>
    <x v="4"/>
    <x v="1"/>
    <x v="1"/>
  </r>
  <r>
    <x v="1238"/>
    <x v="4"/>
    <x v="1"/>
    <x v="1"/>
  </r>
  <r>
    <x v="1239"/>
    <x v="4"/>
    <x v="1"/>
    <x v="1"/>
  </r>
  <r>
    <x v="1239"/>
    <x v="4"/>
    <x v="1"/>
    <x v="1"/>
  </r>
  <r>
    <x v="1239"/>
    <x v="4"/>
    <x v="1"/>
    <x v="1"/>
  </r>
  <r>
    <x v="1240"/>
    <x v="4"/>
    <x v="1"/>
    <x v="1"/>
  </r>
  <r>
    <x v="1240"/>
    <x v="4"/>
    <x v="1"/>
    <x v="1"/>
  </r>
  <r>
    <x v="1241"/>
    <x v="4"/>
    <x v="1"/>
    <x v="1"/>
  </r>
  <r>
    <x v="1242"/>
    <x v="4"/>
    <x v="1"/>
    <x v="1"/>
  </r>
  <r>
    <x v="1243"/>
    <x v="4"/>
    <x v="4"/>
    <x v="4"/>
  </r>
  <r>
    <x v="123"/>
    <x v="4"/>
    <x v="1"/>
    <x v="1"/>
  </r>
  <r>
    <x v="1244"/>
    <x v="4"/>
    <x v="1"/>
    <x v="30"/>
  </r>
  <r>
    <x v="1245"/>
    <x v="4"/>
    <x v="2"/>
    <x v="18"/>
  </r>
  <r>
    <x v="172"/>
    <x v="4"/>
    <x v="4"/>
    <x v="11"/>
  </r>
  <r>
    <x v="720"/>
    <x v="4"/>
    <x v="3"/>
    <x v="0"/>
  </r>
  <r>
    <x v="1246"/>
    <x v="4"/>
    <x v="5"/>
    <x v="0"/>
  </r>
  <r>
    <x v="1247"/>
    <x v="4"/>
    <x v="5"/>
    <x v="0"/>
  </r>
  <r>
    <x v="1248"/>
    <x v="4"/>
    <x v="11"/>
    <x v="0"/>
  </r>
  <r>
    <x v="1249"/>
    <x v="4"/>
    <x v="5"/>
    <x v="0"/>
  </r>
  <r>
    <x v="1250"/>
    <x v="4"/>
    <x v="5"/>
    <x v="0"/>
  </r>
  <r>
    <x v="1251"/>
    <x v="4"/>
    <x v="11"/>
    <x v="0"/>
  </r>
  <r>
    <x v="1252"/>
    <x v="0"/>
    <x v="1"/>
    <x v="3"/>
  </r>
  <r>
    <x v="1253"/>
    <x v="0"/>
    <x v="1"/>
    <x v="22"/>
  </r>
  <r>
    <x v="1254"/>
    <x v="0"/>
    <x v="2"/>
    <x v="35"/>
  </r>
  <r>
    <x v="1255"/>
    <x v="0"/>
    <x v="2"/>
    <x v="26"/>
  </r>
  <r>
    <x v="1256"/>
    <x v="5"/>
    <x v="1"/>
    <x v="14"/>
  </r>
  <r>
    <x v="1257"/>
    <x v="5"/>
    <x v="1"/>
    <x v="3"/>
  </r>
  <r>
    <x v="160"/>
    <x v="5"/>
    <x v="1"/>
    <x v="3"/>
  </r>
  <r>
    <x v="166"/>
    <x v="5"/>
    <x v="1"/>
    <x v="1"/>
  </r>
  <r>
    <x v="160"/>
    <x v="5"/>
    <x v="1"/>
    <x v="1"/>
  </r>
  <r>
    <x v="42"/>
    <x v="5"/>
    <x v="1"/>
    <x v="15"/>
  </r>
  <r>
    <x v="1258"/>
    <x v="5"/>
    <x v="1"/>
    <x v="23"/>
  </r>
  <r>
    <x v="1259"/>
    <x v="5"/>
    <x v="4"/>
    <x v="4"/>
  </r>
  <r>
    <x v="101"/>
    <x v="5"/>
    <x v="1"/>
    <x v="23"/>
  </r>
  <r>
    <x v="75"/>
    <x v="5"/>
    <x v="2"/>
    <x v="35"/>
  </r>
  <r>
    <x v="43"/>
    <x v="5"/>
    <x v="1"/>
    <x v="3"/>
  </r>
  <r>
    <x v="166"/>
    <x v="5"/>
    <x v="1"/>
    <x v="28"/>
  </r>
  <r>
    <x v="166"/>
    <x v="5"/>
    <x v="1"/>
    <x v="1"/>
  </r>
  <r>
    <x v="103"/>
    <x v="5"/>
    <x v="1"/>
    <x v="1"/>
  </r>
  <r>
    <x v="132"/>
    <x v="5"/>
    <x v="1"/>
    <x v="1"/>
  </r>
  <r>
    <x v="76"/>
    <x v="5"/>
    <x v="1"/>
    <x v="1"/>
  </r>
  <r>
    <x v="43"/>
    <x v="5"/>
    <x v="1"/>
    <x v="1"/>
  </r>
  <r>
    <x v="103"/>
    <x v="5"/>
    <x v="1"/>
    <x v="1"/>
  </r>
  <r>
    <x v="35"/>
    <x v="5"/>
    <x v="1"/>
    <x v="1"/>
  </r>
  <r>
    <x v="1260"/>
    <x v="5"/>
    <x v="1"/>
    <x v="1"/>
  </r>
  <r>
    <x v="103"/>
    <x v="5"/>
    <x v="1"/>
    <x v="1"/>
  </r>
  <r>
    <x v="35"/>
    <x v="5"/>
    <x v="1"/>
    <x v="1"/>
  </r>
  <r>
    <x v="103"/>
    <x v="5"/>
    <x v="1"/>
    <x v="1"/>
  </r>
  <r>
    <x v="460"/>
    <x v="5"/>
    <x v="1"/>
    <x v="1"/>
  </r>
  <r>
    <x v="43"/>
    <x v="5"/>
    <x v="1"/>
    <x v="1"/>
  </r>
  <r>
    <x v="447"/>
    <x v="5"/>
    <x v="1"/>
    <x v="1"/>
  </r>
  <r>
    <x v="1069"/>
    <x v="5"/>
    <x v="1"/>
    <x v="1"/>
  </r>
  <r>
    <x v="389"/>
    <x v="5"/>
    <x v="1"/>
    <x v="1"/>
  </r>
  <r>
    <x v="1050"/>
    <x v="5"/>
    <x v="1"/>
    <x v="1"/>
  </r>
  <r>
    <x v="1068"/>
    <x v="5"/>
    <x v="1"/>
    <x v="1"/>
  </r>
  <r>
    <x v="1261"/>
    <x v="5"/>
    <x v="2"/>
    <x v="26"/>
  </r>
  <r>
    <x v="166"/>
    <x v="5"/>
    <x v="1"/>
    <x v="28"/>
  </r>
  <r>
    <x v="35"/>
    <x v="5"/>
    <x v="1"/>
    <x v="22"/>
  </r>
  <r>
    <x v="1262"/>
    <x v="5"/>
    <x v="1"/>
    <x v="1"/>
  </r>
  <r>
    <x v="35"/>
    <x v="5"/>
    <x v="1"/>
    <x v="1"/>
  </r>
  <r>
    <x v="43"/>
    <x v="5"/>
    <x v="1"/>
    <x v="1"/>
  </r>
  <r>
    <x v="159"/>
    <x v="5"/>
    <x v="1"/>
    <x v="28"/>
  </r>
  <r>
    <x v="276"/>
    <x v="5"/>
    <x v="1"/>
    <x v="28"/>
  </r>
  <r>
    <x v="75"/>
    <x v="5"/>
    <x v="1"/>
    <x v="28"/>
  </r>
  <r>
    <x v="1138"/>
    <x v="5"/>
    <x v="1"/>
    <x v="28"/>
  </r>
  <r>
    <x v="76"/>
    <x v="5"/>
    <x v="1"/>
    <x v="22"/>
  </r>
  <r>
    <x v="147"/>
    <x v="5"/>
    <x v="1"/>
    <x v="22"/>
  </r>
  <r>
    <x v="75"/>
    <x v="5"/>
    <x v="1"/>
    <x v="22"/>
  </r>
  <r>
    <x v="75"/>
    <x v="5"/>
    <x v="1"/>
    <x v="22"/>
  </r>
  <r>
    <x v="159"/>
    <x v="5"/>
    <x v="1"/>
    <x v="22"/>
  </r>
  <r>
    <x v="166"/>
    <x v="5"/>
    <x v="1"/>
    <x v="22"/>
  </r>
  <r>
    <x v="166"/>
    <x v="5"/>
    <x v="1"/>
    <x v="22"/>
  </r>
  <r>
    <x v="76"/>
    <x v="5"/>
    <x v="1"/>
    <x v="22"/>
  </r>
  <r>
    <x v="75"/>
    <x v="5"/>
    <x v="1"/>
    <x v="22"/>
  </r>
  <r>
    <x v="276"/>
    <x v="5"/>
    <x v="1"/>
    <x v="22"/>
  </r>
  <r>
    <x v="81"/>
    <x v="5"/>
    <x v="1"/>
    <x v="22"/>
  </r>
  <r>
    <x v="160"/>
    <x v="5"/>
    <x v="1"/>
    <x v="28"/>
  </r>
  <r>
    <x v="101"/>
    <x v="5"/>
    <x v="1"/>
    <x v="28"/>
  </r>
  <r>
    <x v="166"/>
    <x v="5"/>
    <x v="1"/>
    <x v="1"/>
  </r>
  <r>
    <x v="115"/>
    <x v="5"/>
    <x v="1"/>
    <x v="1"/>
  </r>
  <r>
    <x v="35"/>
    <x v="5"/>
    <x v="1"/>
    <x v="1"/>
  </r>
  <r>
    <x v="160"/>
    <x v="5"/>
    <x v="1"/>
    <x v="22"/>
  </r>
  <r>
    <x v="166"/>
    <x v="5"/>
    <x v="1"/>
    <x v="22"/>
  </r>
  <r>
    <x v="42"/>
    <x v="5"/>
    <x v="4"/>
    <x v="11"/>
  </r>
  <r>
    <x v="12"/>
    <x v="5"/>
    <x v="4"/>
    <x v="4"/>
  </r>
  <r>
    <x v="460"/>
    <x v="5"/>
    <x v="1"/>
    <x v="1"/>
  </r>
  <r>
    <x v="41"/>
    <x v="5"/>
    <x v="1"/>
    <x v="22"/>
  </r>
  <r>
    <x v="166"/>
    <x v="5"/>
    <x v="1"/>
    <x v="22"/>
  </r>
  <r>
    <x v="655"/>
    <x v="5"/>
    <x v="1"/>
    <x v="1"/>
  </r>
  <r>
    <x v="11"/>
    <x v="5"/>
    <x v="1"/>
    <x v="1"/>
  </r>
  <r>
    <x v="389"/>
    <x v="5"/>
    <x v="1"/>
    <x v="1"/>
  </r>
  <r>
    <x v="1141"/>
    <x v="5"/>
    <x v="2"/>
    <x v="2"/>
  </r>
  <r>
    <x v="166"/>
    <x v="5"/>
    <x v="1"/>
    <x v="1"/>
  </r>
  <r>
    <x v="42"/>
    <x v="5"/>
    <x v="2"/>
    <x v="35"/>
  </r>
  <r>
    <x v="101"/>
    <x v="5"/>
    <x v="4"/>
    <x v="11"/>
  </r>
  <r>
    <x v="1263"/>
    <x v="5"/>
    <x v="1"/>
    <x v="22"/>
  </r>
  <r>
    <x v="1264"/>
    <x v="5"/>
    <x v="4"/>
    <x v="4"/>
  </r>
  <r>
    <x v="35"/>
    <x v="5"/>
    <x v="1"/>
    <x v="1"/>
  </r>
  <r>
    <x v="35"/>
    <x v="5"/>
    <x v="1"/>
    <x v="1"/>
  </r>
  <r>
    <x v="1265"/>
    <x v="5"/>
    <x v="1"/>
    <x v="1"/>
  </r>
  <r>
    <x v="35"/>
    <x v="5"/>
    <x v="1"/>
    <x v="1"/>
  </r>
  <r>
    <x v="655"/>
    <x v="5"/>
    <x v="1"/>
    <x v="1"/>
  </r>
  <r>
    <x v="1260"/>
    <x v="5"/>
    <x v="2"/>
    <x v="2"/>
  </r>
  <r>
    <x v="160"/>
    <x v="5"/>
    <x v="1"/>
    <x v="28"/>
  </r>
  <r>
    <x v="706"/>
    <x v="5"/>
    <x v="1"/>
    <x v="1"/>
  </r>
  <r>
    <x v="35"/>
    <x v="5"/>
    <x v="1"/>
    <x v="1"/>
  </r>
  <r>
    <x v="76"/>
    <x v="5"/>
    <x v="1"/>
    <x v="1"/>
  </r>
  <r>
    <x v="817"/>
    <x v="5"/>
    <x v="4"/>
    <x v="11"/>
  </r>
  <r>
    <x v="42"/>
    <x v="5"/>
    <x v="2"/>
    <x v="35"/>
  </r>
  <r>
    <x v="1266"/>
    <x v="5"/>
    <x v="2"/>
    <x v="35"/>
  </r>
  <r>
    <x v="1267"/>
    <x v="5"/>
    <x v="2"/>
    <x v="35"/>
  </r>
  <r>
    <x v="24"/>
    <x v="5"/>
    <x v="1"/>
    <x v="1"/>
  </r>
  <r>
    <x v="159"/>
    <x v="5"/>
    <x v="2"/>
    <x v="35"/>
  </r>
  <r>
    <x v="1268"/>
    <x v="5"/>
    <x v="2"/>
    <x v="35"/>
  </r>
  <r>
    <x v="166"/>
    <x v="5"/>
    <x v="2"/>
    <x v="35"/>
  </r>
  <r>
    <x v="76"/>
    <x v="5"/>
    <x v="1"/>
    <x v="1"/>
  </r>
  <r>
    <x v="117"/>
    <x v="5"/>
    <x v="1"/>
    <x v="1"/>
  </r>
  <r>
    <x v="103"/>
    <x v="5"/>
    <x v="1"/>
    <x v="1"/>
  </r>
  <r>
    <x v="460"/>
    <x v="5"/>
    <x v="1"/>
    <x v="1"/>
  </r>
  <r>
    <x v="103"/>
    <x v="5"/>
    <x v="1"/>
    <x v="1"/>
  </r>
  <r>
    <x v="102"/>
    <x v="5"/>
    <x v="1"/>
    <x v="1"/>
  </r>
  <r>
    <x v="160"/>
    <x v="5"/>
    <x v="1"/>
    <x v="1"/>
  </r>
  <r>
    <x v="35"/>
    <x v="5"/>
    <x v="1"/>
    <x v="1"/>
  </r>
  <r>
    <x v="166"/>
    <x v="5"/>
    <x v="1"/>
    <x v="1"/>
  </r>
  <r>
    <x v="35"/>
    <x v="5"/>
    <x v="1"/>
    <x v="1"/>
  </r>
  <r>
    <x v="160"/>
    <x v="5"/>
    <x v="1"/>
    <x v="1"/>
  </r>
  <r>
    <x v="101"/>
    <x v="5"/>
    <x v="6"/>
    <x v="12"/>
  </r>
  <r>
    <x v="14"/>
    <x v="5"/>
    <x v="7"/>
    <x v="0"/>
  </r>
  <r>
    <x v="103"/>
    <x v="5"/>
    <x v="4"/>
    <x v="11"/>
  </r>
  <r>
    <x v="103"/>
    <x v="5"/>
    <x v="2"/>
    <x v="35"/>
  </r>
  <r>
    <x v="1269"/>
    <x v="5"/>
    <x v="1"/>
    <x v="28"/>
  </r>
  <r>
    <x v="35"/>
    <x v="5"/>
    <x v="2"/>
    <x v="26"/>
  </r>
  <r>
    <x v="159"/>
    <x v="5"/>
    <x v="1"/>
    <x v="1"/>
  </r>
  <r>
    <x v="42"/>
    <x v="5"/>
    <x v="1"/>
    <x v="1"/>
  </r>
  <r>
    <x v="166"/>
    <x v="5"/>
    <x v="1"/>
    <x v="1"/>
  </r>
  <r>
    <x v="35"/>
    <x v="5"/>
    <x v="1"/>
    <x v="1"/>
  </r>
  <r>
    <x v="81"/>
    <x v="5"/>
    <x v="1"/>
    <x v="1"/>
  </r>
  <r>
    <x v="76"/>
    <x v="5"/>
    <x v="1"/>
    <x v="1"/>
  </r>
  <r>
    <x v="35"/>
    <x v="5"/>
    <x v="1"/>
    <x v="1"/>
  </r>
  <r>
    <x v="35"/>
    <x v="5"/>
    <x v="1"/>
    <x v="1"/>
  </r>
  <r>
    <x v="81"/>
    <x v="5"/>
    <x v="1"/>
    <x v="1"/>
  </r>
  <r>
    <x v="40"/>
    <x v="5"/>
    <x v="1"/>
    <x v="3"/>
  </r>
  <r>
    <x v="1270"/>
    <x v="5"/>
    <x v="1"/>
    <x v="1"/>
  </r>
  <r>
    <x v="1271"/>
    <x v="5"/>
    <x v="1"/>
    <x v="1"/>
  </r>
  <r>
    <x v="252"/>
    <x v="5"/>
    <x v="1"/>
    <x v="24"/>
  </r>
  <r>
    <x v="1272"/>
    <x v="5"/>
    <x v="4"/>
    <x v="4"/>
  </r>
  <r>
    <x v="1273"/>
    <x v="5"/>
    <x v="4"/>
    <x v="4"/>
  </r>
  <r>
    <x v="1274"/>
    <x v="5"/>
    <x v="1"/>
    <x v="1"/>
  </r>
  <r>
    <x v="832"/>
    <x v="5"/>
    <x v="1"/>
    <x v="3"/>
  </r>
  <r>
    <x v="76"/>
    <x v="5"/>
    <x v="4"/>
    <x v="11"/>
  </r>
  <r>
    <x v="1275"/>
    <x v="5"/>
    <x v="6"/>
    <x v="38"/>
  </r>
  <r>
    <x v="1276"/>
    <x v="5"/>
    <x v="6"/>
    <x v="39"/>
  </r>
  <r>
    <x v="1277"/>
    <x v="5"/>
    <x v="1"/>
    <x v="1"/>
  </r>
  <r>
    <x v="1278"/>
    <x v="5"/>
    <x v="1"/>
    <x v="1"/>
  </r>
  <r>
    <x v="1279"/>
    <x v="5"/>
    <x v="1"/>
    <x v="23"/>
  </r>
  <r>
    <x v="785"/>
    <x v="5"/>
    <x v="1"/>
    <x v="1"/>
  </r>
  <r>
    <x v="1280"/>
    <x v="5"/>
    <x v="1"/>
    <x v="1"/>
  </r>
  <r>
    <x v="1281"/>
    <x v="5"/>
    <x v="1"/>
    <x v="1"/>
  </r>
  <r>
    <x v="1282"/>
    <x v="5"/>
    <x v="1"/>
    <x v="1"/>
  </r>
  <r>
    <x v="1283"/>
    <x v="5"/>
    <x v="2"/>
    <x v="2"/>
  </r>
  <r>
    <x v="1283"/>
    <x v="5"/>
    <x v="2"/>
    <x v="18"/>
  </r>
  <r>
    <x v="1283"/>
    <x v="5"/>
    <x v="1"/>
    <x v="28"/>
  </r>
  <r>
    <x v="1284"/>
    <x v="5"/>
    <x v="2"/>
    <x v="34"/>
  </r>
  <r>
    <x v="1285"/>
    <x v="5"/>
    <x v="1"/>
    <x v="22"/>
  </r>
  <r>
    <x v="123"/>
    <x v="5"/>
    <x v="1"/>
    <x v="40"/>
  </r>
  <r>
    <x v="1286"/>
    <x v="5"/>
    <x v="6"/>
    <x v="41"/>
  </r>
  <r>
    <x v="1287"/>
    <x v="5"/>
    <x v="1"/>
    <x v="22"/>
  </r>
  <r>
    <x v="1288"/>
    <x v="5"/>
    <x v="4"/>
    <x v="4"/>
  </r>
  <r>
    <x v="1289"/>
    <x v="5"/>
    <x v="1"/>
    <x v="1"/>
  </r>
  <r>
    <x v="1290"/>
    <x v="5"/>
    <x v="2"/>
    <x v="35"/>
  </r>
  <r>
    <x v="1291"/>
    <x v="5"/>
    <x v="2"/>
    <x v="34"/>
  </r>
  <r>
    <x v="1292"/>
    <x v="5"/>
    <x v="1"/>
    <x v="28"/>
  </r>
  <r>
    <x v="1293"/>
    <x v="5"/>
    <x v="1"/>
    <x v="1"/>
  </r>
  <r>
    <x v="1294"/>
    <x v="5"/>
    <x v="1"/>
    <x v="1"/>
  </r>
  <r>
    <x v="1295"/>
    <x v="5"/>
    <x v="4"/>
    <x v="11"/>
  </r>
  <r>
    <x v="986"/>
    <x v="5"/>
    <x v="1"/>
    <x v="1"/>
  </r>
  <r>
    <x v="1296"/>
    <x v="5"/>
    <x v="4"/>
    <x v="4"/>
  </r>
  <r>
    <x v="1297"/>
    <x v="5"/>
    <x v="4"/>
    <x v="4"/>
  </r>
  <r>
    <x v="1298"/>
    <x v="5"/>
    <x v="4"/>
    <x v="4"/>
  </r>
  <r>
    <x v="403"/>
    <x v="5"/>
    <x v="4"/>
    <x v="4"/>
  </r>
  <r>
    <x v="1299"/>
    <x v="5"/>
    <x v="0"/>
    <x v="0"/>
  </r>
  <r>
    <x v="1300"/>
    <x v="5"/>
    <x v="5"/>
    <x v="0"/>
  </r>
  <r>
    <x v="1301"/>
    <x v="5"/>
    <x v="4"/>
    <x v="11"/>
  </r>
  <r>
    <x v="1302"/>
    <x v="5"/>
    <x v="4"/>
    <x v="11"/>
  </r>
  <r>
    <x v="1303"/>
    <x v="5"/>
    <x v="4"/>
    <x v="4"/>
  </r>
  <r>
    <x v="1304"/>
    <x v="5"/>
    <x v="4"/>
    <x v="4"/>
  </r>
  <r>
    <x v="435"/>
    <x v="5"/>
    <x v="4"/>
    <x v="4"/>
  </r>
  <r>
    <x v="43"/>
    <x v="5"/>
    <x v="4"/>
    <x v="4"/>
  </r>
  <r>
    <x v="1305"/>
    <x v="5"/>
    <x v="2"/>
    <x v="35"/>
  </r>
  <r>
    <x v="1306"/>
    <x v="4"/>
    <x v="0"/>
    <x v="4"/>
  </r>
  <r>
    <x v="1307"/>
    <x v="4"/>
    <x v="4"/>
    <x v="4"/>
  </r>
  <r>
    <x v="1308"/>
    <x v="5"/>
    <x v="5"/>
    <x v="0"/>
  </r>
  <r>
    <x v="1309"/>
    <x v="5"/>
    <x v="1"/>
    <x v="1"/>
  </r>
  <r>
    <x v="1310"/>
    <x v="5"/>
    <x v="1"/>
    <x v="1"/>
  </r>
  <r>
    <x v="1311"/>
    <x v="5"/>
    <x v="4"/>
    <x v="4"/>
  </r>
  <r>
    <x v="566"/>
    <x v="5"/>
    <x v="4"/>
    <x v="11"/>
  </r>
  <r>
    <x v="726"/>
    <x v="5"/>
    <x v="4"/>
    <x v="4"/>
  </r>
  <r>
    <x v="1312"/>
    <x v="5"/>
    <x v="4"/>
    <x v="4"/>
  </r>
  <r>
    <x v="506"/>
    <x v="5"/>
    <x v="4"/>
    <x v="4"/>
  </r>
  <r>
    <x v="1313"/>
    <x v="5"/>
    <x v="4"/>
    <x v="4"/>
  </r>
  <r>
    <x v="99"/>
    <x v="5"/>
    <x v="4"/>
    <x v="4"/>
  </r>
  <r>
    <x v="431"/>
    <x v="5"/>
    <x v="1"/>
    <x v="1"/>
  </r>
  <r>
    <x v="940"/>
    <x v="5"/>
    <x v="4"/>
    <x v="11"/>
  </r>
  <r>
    <x v="1314"/>
    <x v="5"/>
    <x v="4"/>
    <x v="11"/>
  </r>
  <r>
    <x v="1315"/>
    <x v="5"/>
    <x v="4"/>
    <x v="11"/>
  </r>
  <r>
    <x v="1316"/>
    <x v="5"/>
    <x v="5"/>
    <x v="0"/>
  </r>
  <r>
    <x v="1317"/>
    <x v="5"/>
    <x v="7"/>
    <x v="0"/>
  </r>
  <r>
    <x v="1318"/>
    <x v="5"/>
    <x v="7"/>
    <x v="0"/>
  </r>
  <r>
    <x v="1319"/>
    <x v="5"/>
    <x v="7"/>
    <x v="0"/>
  </r>
  <r>
    <x v="124"/>
    <x v="5"/>
    <x v="4"/>
    <x v="4"/>
  </r>
  <r>
    <x v="530"/>
    <x v="5"/>
    <x v="4"/>
    <x v="11"/>
  </r>
  <r>
    <x v="101"/>
    <x v="5"/>
    <x v="4"/>
    <x v="11"/>
  </r>
  <r>
    <x v="11"/>
    <x v="5"/>
    <x v="4"/>
    <x v="11"/>
  </r>
  <r>
    <x v="1320"/>
    <x v="5"/>
    <x v="1"/>
    <x v="1"/>
  </r>
  <r>
    <x v="1321"/>
    <x v="5"/>
    <x v="1"/>
    <x v="1"/>
  </r>
  <r>
    <x v="1322"/>
    <x v="5"/>
    <x v="2"/>
    <x v="35"/>
  </r>
  <r>
    <x v="1323"/>
    <x v="5"/>
    <x v="4"/>
    <x v="4"/>
  </r>
  <r>
    <x v="1324"/>
    <x v="5"/>
    <x v="4"/>
    <x v="4"/>
  </r>
  <r>
    <x v="1325"/>
    <x v="5"/>
    <x v="4"/>
    <x v="4"/>
  </r>
  <r>
    <x v="13"/>
    <x v="5"/>
    <x v="1"/>
    <x v="1"/>
  </r>
  <r>
    <x v="1326"/>
    <x v="5"/>
    <x v="1"/>
    <x v="3"/>
  </r>
  <r>
    <x v="1327"/>
    <x v="5"/>
    <x v="1"/>
    <x v="1"/>
  </r>
  <r>
    <x v="1328"/>
    <x v="5"/>
    <x v="4"/>
    <x v="4"/>
  </r>
  <r>
    <x v="1329"/>
    <x v="5"/>
    <x v="4"/>
    <x v="4"/>
  </r>
  <r>
    <x v="1330"/>
    <x v="5"/>
    <x v="1"/>
    <x v="30"/>
  </r>
  <r>
    <x v="514"/>
    <x v="5"/>
    <x v="4"/>
    <x v="11"/>
  </r>
  <r>
    <x v="813"/>
    <x v="5"/>
    <x v="4"/>
    <x v="11"/>
  </r>
  <r>
    <x v="1331"/>
    <x v="5"/>
    <x v="1"/>
    <x v="1"/>
  </r>
  <r>
    <x v="102"/>
    <x v="5"/>
    <x v="6"/>
    <x v="38"/>
  </r>
  <r>
    <x v="101"/>
    <x v="5"/>
    <x v="4"/>
    <x v="11"/>
  </r>
  <r>
    <x v="1332"/>
    <x v="5"/>
    <x v="6"/>
    <x v="36"/>
  </r>
  <r>
    <x v="115"/>
    <x v="5"/>
    <x v="2"/>
    <x v="2"/>
  </r>
  <r>
    <x v="105"/>
    <x v="5"/>
    <x v="2"/>
    <x v="19"/>
  </r>
  <r>
    <x v="1333"/>
    <x v="5"/>
    <x v="4"/>
    <x v="4"/>
  </r>
  <r>
    <x v="160"/>
    <x v="5"/>
    <x v="2"/>
    <x v="19"/>
  </r>
  <r>
    <x v="1334"/>
    <x v="5"/>
    <x v="2"/>
    <x v="18"/>
  </r>
  <r>
    <x v="101"/>
    <x v="5"/>
    <x v="6"/>
    <x v="37"/>
  </r>
  <r>
    <x v="115"/>
    <x v="5"/>
    <x v="2"/>
    <x v="35"/>
  </r>
  <r>
    <x v="1321"/>
    <x v="5"/>
    <x v="1"/>
    <x v="3"/>
  </r>
  <r>
    <x v="522"/>
    <x v="5"/>
    <x v="1"/>
    <x v="1"/>
  </r>
  <r>
    <x v="75"/>
    <x v="5"/>
    <x v="2"/>
    <x v="18"/>
  </r>
  <r>
    <x v="1335"/>
    <x v="5"/>
    <x v="6"/>
    <x v="38"/>
  </r>
  <r>
    <x v="132"/>
    <x v="5"/>
    <x v="2"/>
    <x v="18"/>
  </r>
  <r>
    <x v="1138"/>
    <x v="5"/>
    <x v="1"/>
    <x v="3"/>
  </r>
  <r>
    <x v="1336"/>
    <x v="5"/>
    <x v="1"/>
    <x v="1"/>
  </r>
  <r>
    <x v="1337"/>
    <x v="5"/>
    <x v="6"/>
    <x v="0"/>
  </r>
  <r>
    <x v="606"/>
    <x v="5"/>
    <x v="1"/>
    <x v="23"/>
  </r>
  <r>
    <x v="1078"/>
    <x v="5"/>
    <x v="1"/>
    <x v="3"/>
  </r>
  <r>
    <x v="1338"/>
    <x v="5"/>
    <x v="1"/>
    <x v="3"/>
  </r>
  <r>
    <x v="24"/>
    <x v="5"/>
    <x v="4"/>
    <x v="11"/>
  </r>
  <r>
    <x v="132"/>
    <x v="5"/>
    <x v="1"/>
    <x v="1"/>
  </r>
  <r>
    <x v="101"/>
    <x v="5"/>
    <x v="6"/>
    <x v="38"/>
  </r>
  <r>
    <x v="1339"/>
    <x v="5"/>
    <x v="6"/>
    <x v="38"/>
  </r>
  <r>
    <x v="161"/>
    <x v="5"/>
    <x v="2"/>
    <x v="35"/>
  </r>
  <r>
    <x v="85"/>
    <x v="5"/>
    <x v="4"/>
    <x v="11"/>
  </r>
  <r>
    <x v="1340"/>
    <x v="5"/>
    <x v="2"/>
    <x v="35"/>
  </r>
  <r>
    <x v="115"/>
    <x v="5"/>
    <x v="1"/>
    <x v="3"/>
  </r>
  <r>
    <x v="1341"/>
    <x v="5"/>
    <x v="1"/>
    <x v="3"/>
  </r>
  <r>
    <x v="42"/>
    <x v="5"/>
    <x v="1"/>
    <x v="28"/>
  </r>
  <r>
    <x v="1342"/>
    <x v="5"/>
    <x v="1"/>
    <x v="28"/>
  </r>
  <r>
    <x v="101"/>
    <x v="5"/>
    <x v="4"/>
    <x v="11"/>
  </r>
  <r>
    <x v="345"/>
    <x v="5"/>
    <x v="4"/>
    <x v="4"/>
  </r>
  <r>
    <x v="1343"/>
    <x v="5"/>
    <x v="2"/>
    <x v="34"/>
  </r>
  <r>
    <x v="276"/>
    <x v="5"/>
    <x v="1"/>
    <x v="28"/>
  </r>
  <r>
    <x v="276"/>
    <x v="5"/>
    <x v="1"/>
    <x v="28"/>
  </r>
  <r>
    <x v="102"/>
    <x v="5"/>
    <x v="1"/>
    <x v="22"/>
  </r>
  <r>
    <x v="102"/>
    <x v="5"/>
    <x v="1"/>
    <x v="22"/>
  </r>
  <r>
    <x v="42"/>
    <x v="5"/>
    <x v="1"/>
    <x v="28"/>
  </r>
  <r>
    <x v="75"/>
    <x v="5"/>
    <x v="1"/>
    <x v="28"/>
  </r>
  <r>
    <x v="276"/>
    <x v="5"/>
    <x v="1"/>
    <x v="28"/>
  </r>
  <r>
    <x v="1344"/>
    <x v="5"/>
    <x v="1"/>
    <x v="28"/>
  </r>
  <r>
    <x v="1000"/>
    <x v="5"/>
    <x v="2"/>
    <x v="35"/>
  </r>
  <r>
    <x v="115"/>
    <x v="5"/>
    <x v="6"/>
    <x v="38"/>
  </r>
  <r>
    <x v="443"/>
    <x v="5"/>
    <x v="2"/>
    <x v="35"/>
  </r>
  <r>
    <x v="1345"/>
    <x v="5"/>
    <x v="4"/>
    <x v="4"/>
  </r>
  <r>
    <x v="563"/>
    <x v="5"/>
    <x v="2"/>
    <x v="35"/>
  </r>
  <r>
    <x v="1346"/>
    <x v="5"/>
    <x v="2"/>
    <x v="35"/>
  </r>
  <r>
    <x v="1347"/>
    <x v="5"/>
    <x v="2"/>
    <x v="35"/>
  </r>
  <r>
    <x v="166"/>
    <x v="5"/>
    <x v="1"/>
    <x v="1"/>
  </r>
  <r>
    <x v="275"/>
    <x v="5"/>
    <x v="1"/>
    <x v="28"/>
  </r>
  <r>
    <x v="75"/>
    <x v="5"/>
    <x v="1"/>
    <x v="28"/>
  </r>
  <r>
    <x v="75"/>
    <x v="5"/>
    <x v="2"/>
    <x v="29"/>
  </r>
  <r>
    <x v="75"/>
    <x v="5"/>
    <x v="1"/>
    <x v="28"/>
  </r>
  <r>
    <x v="81"/>
    <x v="5"/>
    <x v="1"/>
    <x v="28"/>
  </r>
  <r>
    <x v="81"/>
    <x v="5"/>
    <x v="1"/>
    <x v="28"/>
  </r>
  <r>
    <x v="43"/>
    <x v="5"/>
    <x v="1"/>
    <x v="28"/>
  </r>
  <r>
    <x v="75"/>
    <x v="5"/>
    <x v="1"/>
    <x v="28"/>
  </r>
  <r>
    <x v="276"/>
    <x v="5"/>
    <x v="1"/>
    <x v="28"/>
  </r>
  <r>
    <x v="101"/>
    <x v="5"/>
    <x v="1"/>
    <x v="28"/>
  </r>
  <r>
    <x v="75"/>
    <x v="5"/>
    <x v="1"/>
    <x v="28"/>
  </r>
  <r>
    <x v="75"/>
    <x v="5"/>
    <x v="1"/>
    <x v="28"/>
  </r>
  <r>
    <x v="1348"/>
    <x v="5"/>
    <x v="1"/>
    <x v="28"/>
  </r>
  <r>
    <x v="75"/>
    <x v="5"/>
    <x v="1"/>
    <x v="28"/>
  </r>
  <r>
    <x v="75"/>
    <x v="5"/>
    <x v="1"/>
    <x v="28"/>
  </r>
  <r>
    <x v="75"/>
    <x v="5"/>
    <x v="1"/>
    <x v="28"/>
  </r>
  <r>
    <x v="75"/>
    <x v="5"/>
    <x v="1"/>
    <x v="28"/>
  </r>
  <r>
    <x v="1029"/>
    <x v="5"/>
    <x v="1"/>
    <x v="1"/>
  </r>
  <r>
    <x v="1349"/>
    <x v="5"/>
    <x v="1"/>
    <x v="1"/>
  </r>
  <r>
    <x v="112"/>
    <x v="5"/>
    <x v="1"/>
    <x v="28"/>
  </r>
  <r>
    <x v="705"/>
    <x v="5"/>
    <x v="4"/>
    <x v="11"/>
  </r>
  <r>
    <x v="75"/>
    <x v="5"/>
    <x v="4"/>
    <x v="11"/>
  </r>
  <r>
    <x v="155"/>
    <x v="5"/>
    <x v="1"/>
    <x v="1"/>
  </r>
  <r>
    <x v="103"/>
    <x v="5"/>
    <x v="4"/>
    <x v="4"/>
  </r>
  <r>
    <x v="1350"/>
    <x v="5"/>
    <x v="4"/>
    <x v="4"/>
  </r>
  <r>
    <x v="808"/>
    <x v="5"/>
    <x v="1"/>
    <x v="1"/>
  </r>
  <r>
    <x v="43"/>
    <x v="5"/>
    <x v="6"/>
    <x v="38"/>
  </r>
  <r>
    <x v="1351"/>
    <x v="5"/>
    <x v="4"/>
    <x v="4"/>
  </r>
  <r>
    <x v="1352"/>
    <x v="5"/>
    <x v="4"/>
    <x v="11"/>
  </r>
  <r>
    <x v="1353"/>
    <x v="5"/>
    <x v="4"/>
    <x v="4"/>
  </r>
  <r>
    <x v="105"/>
    <x v="5"/>
    <x v="4"/>
    <x v="11"/>
  </r>
  <r>
    <x v="1354"/>
    <x v="5"/>
    <x v="4"/>
    <x v="4"/>
  </r>
  <r>
    <x v="1355"/>
    <x v="5"/>
    <x v="1"/>
    <x v="1"/>
  </r>
  <r>
    <x v="75"/>
    <x v="5"/>
    <x v="1"/>
    <x v="22"/>
  </r>
  <r>
    <x v="75"/>
    <x v="5"/>
    <x v="1"/>
    <x v="22"/>
  </r>
  <r>
    <x v="275"/>
    <x v="5"/>
    <x v="1"/>
    <x v="15"/>
  </r>
  <r>
    <x v="1356"/>
    <x v="5"/>
    <x v="1"/>
    <x v="1"/>
  </r>
  <r>
    <x v="119"/>
    <x v="5"/>
    <x v="2"/>
    <x v="35"/>
  </r>
  <r>
    <x v="1357"/>
    <x v="5"/>
    <x v="5"/>
    <x v="0"/>
  </r>
  <r>
    <x v="1358"/>
    <x v="5"/>
    <x v="1"/>
    <x v="1"/>
  </r>
  <r>
    <x v="172"/>
    <x v="5"/>
    <x v="4"/>
    <x v="4"/>
  </r>
  <r>
    <x v="1359"/>
    <x v="5"/>
    <x v="5"/>
    <x v="0"/>
  </r>
  <r>
    <x v="1360"/>
    <x v="5"/>
    <x v="5"/>
    <x v="0"/>
  </r>
  <r>
    <x v="1361"/>
    <x v="5"/>
    <x v="4"/>
    <x v="4"/>
  </r>
  <r>
    <x v="742"/>
    <x v="5"/>
    <x v="1"/>
    <x v="1"/>
  </r>
  <r>
    <x v="1190"/>
    <x v="5"/>
    <x v="2"/>
    <x v="35"/>
  </r>
  <r>
    <x v="1189"/>
    <x v="5"/>
    <x v="2"/>
    <x v="2"/>
  </r>
  <r>
    <x v="1362"/>
    <x v="5"/>
    <x v="6"/>
    <x v="42"/>
  </r>
  <r>
    <x v="1363"/>
    <x v="5"/>
    <x v="1"/>
    <x v="30"/>
  </r>
  <r>
    <x v="1364"/>
    <x v="5"/>
    <x v="2"/>
    <x v="35"/>
  </r>
  <r>
    <x v="1364"/>
    <x v="5"/>
    <x v="2"/>
    <x v="2"/>
  </r>
  <r>
    <x v="1365"/>
    <x v="5"/>
    <x v="6"/>
    <x v="42"/>
  </r>
  <r>
    <x v="1364"/>
    <x v="5"/>
    <x v="1"/>
    <x v="30"/>
  </r>
  <r>
    <x v="1366"/>
    <x v="5"/>
    <x v="6"/>
    <x v="42"/>
  </r>
  <r>
    <x v="1367"/>
    <x v="5"/>
    <x v="1"/>
    <x v="30"/>
  </r>
  <r>
    <x v="625"/>
    <x v="5"/>
    <x v="6"/>
    <x v="42"/>
  </r>
  <r>
    <x v="624"/>
    <x v="5"/>
    <x v="1"/>
    <x v="30"/>
  </r>
  <r>
    <x v="1368"/>
    <x v="5"/>
    <x v="4"/>
    <x v="4"/>
  </r>
  <r>
    <x v="1369"/>
    <x v="5"/>
    <x v="4"/>
    <x v="4"/>
  </r>
  <r>
    <x v="625"/>
    <x v="5"/>
    <x v="6"/>
    <x v="42"/>
  </r>
  <r>
    <x v="1370"/>
    <x v="5"/>
    <x v="1"/>
    <x v="30"/>
  </r>
  <r>
    <x v="1201"/>
    <x v="5"/>
    <x v="2"/>
    <x v="35"/>
  </r>
  <r>
    <x v="499"/>
    <x v="5"/>
    <x v="2"/>
    <x v="2"/>
  </r>
  <r>
    <x v="1201"/>
    <x v="5"/>
    <x v="2"/>
    <x v="35"/>
  </r>
  <r>
    <x v="499"/>
    <x v="5"/>
    <x v="2"/>
    <x v="2"/>
  </r>
  <r>
    <x v="53"/>
    <x v="5"/>
    <x v="4"/>
    <x v="4"/>
  </r>
  <r>
    <x v="498"/>
    <x v="5"/>
    <x v="4"/>
    <x v="4"/>
  </r>
  <r>
    <x v="399"/>
    <x v="5"/>
    <x v="4"/>
    <x v="4"/>
  </r>
  <r>
    <x v="498"/>
    <x v="5"/>
    <x v="1"/>
    <x v="1"/>
  </r>
  <r>
    <x v="498"/>
    <x v="5"/>
    <x v="1"/>
    <x v="1"/>
  </r>
  <r>
    <x v="498"/>
    <x v="5"/>
    <x v="1"/>
    <x v="1"/>
  </r>
  <r>
    <x v="1371"/>
    <x v="5"/>
    <x v="2"/>
    <x v="26"/>
  </r>
  <r>
    <x v="499"/>
    <x v="5"/>
    <x v="1"/>
    <x v="3"/>
  </r>
  <r>
    <x v="1204"/>
    <x v="5"/>
    <x v="2"/>
    <x v="26"/>
  </r>
  <r>
    <x v="1372"/>
    <x v="5"/>
    <x v="1"/>
    <x v="3"/>
  </r>
  <r>
    <x v="1201"/>
    <x v="5"/>
    <x v="2"/>
    <x v="26"/>
  </r>
  <r>
    <x v="499"/>
    <x v="5"/>
    <x v="1"/>
    <x v="3"/>
  </r>
  <r>
    <x v="1201"/>
    <x v="5"/>
    <x v="2"/>
    <x v="26"/>
  </r>
  <r>
    <x v="499"/>
    <x v="5"/>
    <x v="1"/>
    <x v="3"/>
  </r>
  <r>
    <x v="498"/>
    <x v="5"/>
    <x v="1"/>
    <x v="1"/>
  </r>
  <r>
    <x v="1373"/>
    <x v="5"/>
    <x v="4"/>
    <x v="4"/>
  </r>
  <r>
    <x v="498"/>
    <x v="5"/>
    <x v="1"/>
    <x v="1"/>
  </r>
  <r>
    <x v="494"/>
    <x v="5"/>
    <x v="1"/>
    <x v="1"/>
  </r>
  <r>
    <x v="123"/>
    <x v="5"/>
    <x v="4"/>
    <x v="4"/>
  </r>
  <r>
    <x v="1374"/>
    <x v="5"/>
    <x v="1"/>
    <x v="1"/>
  </r>
  <r>
    <x v="1161"/>
    <x v="5"/>
    <x v="2"/>
    <x v="35"/>
  </r>
  <r>
    <x v="1160"/>
    <x v="5"/>
    <x v="2"/>
    <x v="2"/>
  </r>
  <r>
    <x v="498"/>
    <x v="5"/>
    <x v="1"/>
    <x v="1"/>
  </r>
  <r>
    <x v="498"/>
    <x v="5"/>
    <x v="1"/>
    <x v="1"/>
  </r>
  <r>
    <x v="498"/>
    <x v="5"/>
    <x v="1"/>
    <x v="1"/>
  </r>
  <r>
    <x v="498"/>
    <x v="5"/>
    <x v="1"/>
    <x v="1"/>
  </r>
  <r>
    <x v="498"/>
    <x v="5"/>
    <x v="1"/>
    <x v="1"/>
  </r>
  <r>
    <x v="498"/>
    <x v="5"/>
    <x v="1"/>
    <x v="1"/>
  </r>
  <r>
    <x v="498"/>
    <x v="5"/>
    <x v="1"/>
    <x v="1"/>
  </r>
  <r>
    <x v="498"/>
    <x v="5"/>
    <x v="1"/>
    <x v="1"/>
  </r>
  <r>
    <x v="498"/>
    <x v="5"/>
    <x v="1"/>
    <x v="1"/>
  </r>
  <r>
    <x v="498"/>
    <x v="5"/>
    <x v="1"/>
    <x v="1"/>
  </r>
  <r>
    <x v="498"/>
    <x v="5"/>
    <x v="1"/>
    <x v="1"/>
  </r>
  <r>
    <x v="750"/>
    <x v="5"/>
    <x v="1"/>
    <x v="4"/>
  </r>
  <r>
    <x v="1375"/>
    <x v="5"/>
    <x v="4"/>
    <x v="4"/>
  </r>
  <r>
    <x v="172"/>
    <x v="5"/>
    <x v="1"/>
    <x v="1"/>
  </r>
  <r>
    <x v="1290"/>
    <x v="5"/>
    <x v="2"/>
    <x v="35"/>
  </r>
  <r>
    <x v="1376"/>
    <x v="5"/>
    <x v="1"/>
    <x v="30"/>
  </r>
  <r>
    <x v="1377"/>
    <x v="5"/>
    <x v="1"/>
    <x v="1"/>
  </r>
  <r>
    <x v="1376"/>
    <x v="5"/>
    <x v="1"/>
    <x v="3"/>
  </r>
  <r>
    <x v="1378"/>
    <x v="5"/>
    <x v="2"/>
    <x v="35"/>
  </r>
  <r>
    <x v="1379"/>
    <x v="5"/>
    <x v="4"/>
    <x v="4"/>
  </r>
  <r>
    <x v="1380"/>
    <x v="5"/>
    <x v="3"/>
    <x v="4"/>
  </r>
  <r>
    <x v="1381"/>
    <x v="5"/>
    <x v="3"/>
    <x v="4"/>
  </r>
  <r>
    <x v="1382"/>
    <x v="5"/>
    <x v="1"/>
    <x v="3"/>
  </r>
  <r>
    <x v="1383"/>
    <x v="5"/>
    <x v="1"/>
    <x v="1"/>
  </r>
  <r>
    <x v="1384"/>
    <x v="5"/>
    <x v="1"/>
    <x v="23"/>
  </r>
  <r>
    <x v="1385"/>
    <x v="5"/>
    <x v="1"/>
    <x v="1"/>
  </r>
  <r>
    <x v="154"/>
    <x v="5"/>
    <x v="4"/>
    <x v="11"/>
  </r>
  <r>
    <x v="1386"/>
    <x v="5"/>
    <x v="4"/>
    <x v="11"/>
  </r>
  <r>
    <x v="1387"/>
    <x v="5"/>
    <x v="1"/>
    <x v="3"/>
  </r>
  <r>
    <x v="1388"/>
    <x v="5"/>
    <x v="4"/>
    <x v="4"/>
  </r>
  <r>
    <x v="311"/>
    <x v="5"/>
    <x v="1"/>
    <x v="1"/>
  </r>
  <r>
    <x v="512"/>
    <x v="5"/>
    <x v="1"/>
    <x v="1"/>
  </r>
  <r>
    <x v="1389"/>
    <x v="5"/>
    <x v="1"/>
    <x v="30"/>
  </r>
  <r>
    <x v="1390"/>
    <x v="5"/>
    <x v="1"/>
    <x v="1"/>
  </r>
  <r>
    <x v="1391"/>
    <x v="5"/>
    <x v="1"/>
    <x v="3"/>
  </r>
  <r>
    <x v="1392"/>
    <x v="5"/>
    <x v="2"/>
    <x v="35"/>
  </r>
  <r>
    <x v="1393"/>
    <x v="5"/>
    <x v="4"/>
    <x v="4"/>
  </r>
  <r>
    <x v="1394"/>
    <x v="5"/>
    <x v="1"/>
    <x v="3"/>
  </r>
  <r>
    <x v="1395"/>
    <x v="5"/>
    <x v="4"/>
    <x v="11"/>
  </r>
  <r>
    <x v="1396"/>
    <x v="5"/>
    <x v="1"/>
    <x v="23"/>
  </r>
  <r>
    <x v="1397"/>
    <x v="5"/>
    <x v="1"/>
    <x v="1"/>
  </r>
  <r>
    <x v="1398"/>
    <x v="5"/>
    <x v="4"/>
    <x v="4"/>
  </r>
  <r>
    <x v="1399"/>
    <x v="5"/>
    <x v="1"/>
    <x v="1"/>
  </r>
  <r>
    <x v="118"/>
    <x v="5"/>
    <x v="1"/>
    <x v="1"/>
  </r>
  <r>
    <x v="1400"/>
    <x v="5"/>
    <x v="1"/>
    <x v="3"/>
  </r>
  <r>
    <x v="1401"/>
    <x v="5"/>
    <x v="2"/>
    <x v="26"/>
  </r>
  <r>
    <x v="1402"/>
    <x v="5"/>
    <x v="1"/>
    <x v="1"/>
  </r>
  <r>
    <x v="577"/>
    <x v="5"/>
    <x v="2"/>
    <x v="35"/>
  </r>
  <r>
    <x v="1403"/>
    <x v="5"/>
    <x v="1"/>
    <x v="15"/>
  </r>
  <r>
    <x v="1404"/>
    <x v="5"/>
    <x v="2"/>
    <x v="35"/>
  </r>
  <r>
    <x v="693"/>
    <x v="5"/>
    <x v="2"/>
    <x v="35"/>
  </r>
  <r>
    <x v="186"/>
    <x v="5"/>
    <x v="2"/>
    <x v="35"/>
  </r>
  <r>
    <x v="1405"/>
    <x v="5"/>
    <x v="1"/>
    <x v="3"/>
  </r>
  <r>
    <x v="809"/>
    <x v="5"/>
    <x v="2"/>
    <x v="35"/>
  </r>
  <r>
    <x v="1406"/>
    <x v="5"/>
    <x v="2"/>
    <x v="35"/>
  </r>
  <r>
    <x v="1407"/>
    <x v="5"/>
    <x v="1"/>
    <x v="3"/>
  </r>
  <r>
    <x v="75"/>
    <x v="5"/>
    <x v="1"/>
    <x v="15"/>
  </r>
  <r>
    <x v="276"/>
    <x v="5"/>
    <x v="1"/>
    <x v="15"/>
  </r>
  <r>
    <x v="160"/>
    <x v="5"/>
    <x v="1"/>
    <x v="15"/>
  </r>
  <r>
    <x v="1408"/>
    <x v="5"/>
    <x v="1"/>
    <x v="3"/>
  </r>
  <r>
    <x v="1409"/>
    <x v="5"/>
    <x v="1"/>
    <x v="3"/>
  </r>
  <r>
    <x v="46"/>
    <x v="5"/>
    <x v="1"/>
    <x v="1"/>
  </r>
  <r>
    <x v="41"/>
    <x v="5"/>
    <x v="2"/>
    <x v="35"/>
  </r>
  <r>
    <x v="41"/>
    <x v="5"/>
    <x v="1"/>
    <x v="1"/>
  </r>
  <r>
    <x v="1410"/>
    <x v="5"/>
    <x v="2"/>
    <x v="35"/>
  </r>
  <r>
    <x v="42"/>
    <x v="5"/>
    <x v="2"/>
    <x v="35"/>
  </r>
  <r>
    <x v="42"/>
    <x v="5"/>
    <x v="1"/>
    <x v="3"/>
  </r>
  <r>
    <x v="160"/>
    <x v="5"/>
    <x v="2"/>
    <x v="35"/>
  </r>
  <r>
    <x v="848"/>
    <x v="5"/>
    <x v="1"/>
    <x v="3"/>
  </r>
  <r>
    <x v="1411"/>
    <x v="5"/>
    <x v="4"/>
    <x v="11"/>
  </r>
  <r>
    <x v="132"/>
    <x v="5"/>
    <x v="1"/>
    <x v="1"/>
  </r>
  <r>
    <x v="180"/>
    <x v="5"/>
    <x v="1"/>
    <x v="1"/>
  </r>
  <r>
    <x v="1412"/>
    <x v="5"/>
    <x v="1"/>
    <x v="1"/>
  </r>
  <r>
    <x v="76"/>
    <x v="5"/>
    <x v="1"/>
    <x v="1"/>
  </r>
  <r>
    <x v="344"/>
    <x v="5"/>
    <x v="2"/>
    <x v="2"/>
  </r>
  <r>
    <x v="817"/>
    <x v="5"/>
    <x v="1"/>
    <x v="3"/>
  </r>
  <r>
    <x v="166"/>
    <x v="5"/>
    <x v="1"/>
    <x v="1"/>
  </r>
  <r>
    <x v="166"/>
    <x v="5"/>
    <x v="2"/>
    <x v="35"/>
  </r>
  <r>
    <x v="160"/>
    <x v="5"/>
    <x v="1"/>
    <x v="3"/>
  </r>
  <r>
    <x v="1081"/>
    <x v="5"/>
    <x v="1"/>
    <x v="3"/>
  </r>
  <r>
    <x v="693"/>
    <x v="5"/>
    <x v="1"/>
    <x v="3"/>
  </r>
  <r>
    <x v="132"/>
    <x v="5"/>
    <x v="4"/>
    <x v="11"/>
  </r>
  <r>
    <x v="1413"/>
    <x v="5"/>
    <x v="4"/>
    <x v="11"/>
  </r>
  <r>
    <x v="101"/>
    <x v="5"/>
    <x v="4"/>
    <x v="11"/>
  </r>
  <r>
    <x v="147"/>
    <x v="5"/>
    <x v="4"/>
    <x v="11"/>
  </r>
  <r>
    <x v="1071"/>
    <x v="5"/>
    <x v="4"/>
    <x v="4"/>
  </r>
  <r>
    <x v="1414"/>
    <x v="5"/>
    <x v="4"/>
    <x v="4"/>
  </r>
  <r>
    <x v="1415"/>
    <x v="5"/>
    <x v="4"/>
    <x v="11"/>
  </r>
  <r>
    <x v="1416"/>
    <x v="5"/>
    <x v="4"/>
    <x v="11"/>
  </r>
  <r>
    <x v="1415"/>
    <x v="5"/>
    <x v="4"/>
    <x v="11"/>
  </r>
  <r>
    <x v="1415"/>
    <x v="5"/>
    <x v="4"/>
    <x v="11"/>
  </r>
  <r>
    <x v="1415"/>
    <x v="5"/>
    <x v="4"/>
    <x v="11"/>
  </r>
  <r>
    <x v="1417"/>
    <x v="5"/>
    <x v="4"/>
    <x v="4"/>
  </r>
  <r>
    <x v="344"/>
    <x v="5"/>
    <x v="4"/>
    <x v="4"/>
  </r>
  <r>
    <x v="547"/>
    <x v="5"/>
    <x v="4"/>
    <x v="11"/>
  </r>
  <r>
    <x v="1418"/>
    <x v="5"/>
    <x v="2"/>
    <x v="35"/>
  </r>
  <r>
    <x v="43"/>
    <x v="5"/>
    <x v="4"/>
    <x v="4"/>
  </r>
  <r>
    <x v="840"/>
    <x v="5"/>
    <x v="1"/>
    <x v="3"/>
  </r>
  <r>
    <x v="75"/>
    <x v="5"/>
    <x v="1"/>
    <x v="1"/>
  </r>
  <r>
    <x v="43"/>
    <x v="5"/>
    <x v="6"/>
    <x v="38"/>
  </r>
  <r>
    <x v="166"/>
    <x v="5"/>
    <x v="1"/>
    <x v="3"/>
  </r>
  <r>
    <x v="36"/>
    <x v="5"/>
    <x v="2"/>
    <x v="35"/>
  </r>
  <r>
    <x v="168"/>
    <x v="5"/>
    <x v="2"/>
    <x v="35"/>
  </r>
  <r>
    <x v="1000"/>
    <x v="5"/>
    <x v="1"/>
    <x v="3"/>
  </r>
  <r>
    <x v="706"/>
    <x v="5"/>
    <x v="2"/>
    <x v="35"/>
  </r>
  <r>
    <x v="1416"/>
    <x v="5"/>
    <x v="4"/>
    <x v="11"/>
  </r>
  <r>
    <x v="1419"/>
    <x v="5"/>
    <x v="4"/>
    <x v="11"/>
  </r>
  <r>
    <x v="115"/>
    <x v="5"/>
    <x v="4"/>
    <x v="11"/>
  </r>
  <r>
    <x v="1415"/>
    <x v="5"/>
    <x v="4"/>
    <x v="11"/>
  </r>
  <r>
    <x v="1415"/>
    <x v="5"/>
    <x v="4"/>
    <x v="11"/>
  </r>
  <r>
    <x v="1415"/>
    <x v="5"/>
    <x v="4"/>
    <x v="11"/>
  </r>
  <r>
    <x v="1415"/>
    <x v="5"/>
    <x v="4"/>
    <x v="11"/>
  </r>
  <r>
    <x v="1415"/>
    <x v="5"/>
    <x v="4"/>
    <x v="11"/>
  </r>
  <r>
    <x v="1415"/>
    <x v="5"/>
    <x v="4"/>
    <x v="11"/>
  </r>
  <r>
    <x v="166"/>
    <x v="5"/>
    <x v="1"/>
    <x v="3"/>
  </r>
  <r>
    <x v="1050"/>
    <x v="5"/>
    <x v="6"/>
    <x v="38"/>
  </r>
  <r>
    <x v="75"/>
    <x v="5"/>
    <x v="1"/>
    <x v="22"/>
  </r>
  <r>
    <x v="36"/>
    <x v="5"/>
    <x v="1"/>
    <x v="1"/>
  </r>
  <r>
    <x v="1016"/>
    <x v="5"/>
    <x v="2"/>
    <x v="35"/>
  </r>
  <r>
    <x v="75"/>
    <x v="5"/>
    <x v="4"/>
    <x v="4"/>
  </r>
  <r>
    <x v="99"/>
    <x v="5"/>
    <x v="1"/>
    <x v="30"/>
  </r>
  <r>
    <x v="916"/>
    <x v="5"/>
    <x v="2"/>
    <x v="35"/>
  </r>
  <r>
    <x v="695"/>
    <x v="5"/>
    <x v="4"/>
    <x v="4"/>
  </r>
  <r>
    <x v="355"/>
    <x v="5"/>
    <x v="1"/>
    <x v="1"/>
  </r>
  <r>
    <x v="1420"/>
    <x v="5"/>
    <x v="1"/>
    <x v="1"/>
  </r>
  <r>
    <x v="1421"/>
    <x v="5"/>
    <x v="1"/>
    <x v="30"/>
  </r>
  <r>
    <x v="1422"/>
    <x v="5"/>
    <x v="2"/>
    <x v="35"/>
  </r>
  <r>
    <x v="115"/>
    <x v="5"/>
    <x v="2"/>
    <x v="35"/>
  </r>
  <r>
    <x v="75"/>
    <x v="5"/>
    <x v="2"/>
    <x v="35"/>
  </r>
  <r>
    <x v="101"/>
    <x v="5"/>
    <x v="1"/>
    <x v="30"/>
  </r>
  <r>
    <x v="35"/>
    <x v="5"/>
    <x v="4"/>
    <x v="11"/>
  </r>
  <r>
    <x v="12"/>
    <x v="5"/>
    <x v="4"/>
    <x v="11"/>
  </r>
  <r>
    <x v="1415"/>
    <x v="5"/>
    <x v="4"/>
    <x v="11"/>
  </r>
  <r>
    <x v="202"/>
    <x v="5"/>
    <x v="2"/>
    <x v="35"/>
  </r>
  <r>
    <x v="660"/>
    <x v="5"/>
    <x v="1"/>
    <x v="30"/>
  </r>
  <r>
    <x v="160"/>
    <x v="5"/>
    <x v="1"/>
    <x v="23"/>
  </r>
  <r>
    <x v="160"/>
    <x v="5"/>
    <x v="1"/>
    <x v="23"/>
  </r>
  <r>
    <x v="101"/>
    <x v="5"/>
    <x v="4"/>
    <x v="11"/>
  </r>
  <r>
    <x v="1423"/>
    <x v="5"/>
    <x v="4"/>
    <x v="11"/>
  </r>
  <r>
    <x v="75"/>
    <x v="5"/>
    <x v="4"/>
    <x v="4"/>
  </r>
  <r>
    <x v="75"/>
    <x v="5"/>
    <x v="2"/>
    <x v="18"/>
  </r>
  <r>
    <x v="75"/>
    <x v="5"/>
    <x v="2"/>
    <x v="19"/>
  </r>
  <r>
    <x v="75"/>
    <x v="5"/>
    <x v="4"/>
    <x v="4"/>
  </r>
  <r>
    <x v="180"/>
    <x v="5"/>
    <x v="4"/>
    <x v="4"/>
  </r>
  <r>
    <x v="36"/>
    <x v="5"/>
    <x v="1"/>
    <x v="30"/>
  </r>
  <r>
    <x v="563"/>
    <x v="5"/>
    <x v="4"/>
    <x v="4"/>
  </r>
  <r>
    <x v="166"/>
    <x v="5"/>
    <x v="1"/>
    <x v="3"/>
  </r>
  <r>
    <x v="105"/>
    <x v="5"/>
    <x v="1"/>
    <x v="31"/>
  </r>
  <r>
    <x v="75"/>
    <x v="5"/>
    <x v="1"/>
    <x v="23"/>
  </r>
  <r>
    <x v="160"/>
    <x v="5"/>
    <x v="1"/>
    <x v="23"/>
  </r>
  <r>
    <x v="160"/>
    <x v="5"/>
    <x v="1"/>
    <x v="23"/>
  </r>
  <r>
    <x v="41"/>
    <x v="5"/>
    <x v="1"/>
    <x v="23"/>
  </r>
  <r>
    <x v="192"/>
    <x v="5"/>
    <x v="1"/>
    <x v="23"/>
  </r>
  <r>
    <x v="160"/>
    <x v="5"/>
    <x v="1"/>
    <x v="23"/>
  </r>
  <r>
    <x v="422"/>
    <x v="5"/>
    <x v="1"/>
    <x v="23"/>
  </r>
  <r>
    <x v="100"/>
    <x v="5"/>
    <x v="1"/>
    <x v="23"/>
  </r>
  <r>
    <x v="180"/>
    <x v="5"/>
    <x v="1"/>
    <x v="23"/>
  </r>
  <r>
    <x v="159"/>
    <x v="5"/>
    <x v="1"/>
    <x v="23"/>
  </r>
  <r>
    <x v="1330"/>
    <x v="5"/>
    <x v="1"/>
    <x v="1"/>
  </r>
  <r>
    <x v="1424"/>
    <x v="5"/>
    <x v="5"/>
    <x v="0"/>
  </r>
  <r>
    <x v="1425"/>
    <x v="5"/>
    <x v="5"/>
    <x v="0"/>
  </r>
  <r>
    <x v="1426"/>
    <x v="5"/>
    <x v="1"/>
    <x v="1"/>
  </r>
  <r>
    <x v="1427"/>
    <x v="5"/>
    <x v="4"/>
    <x v="11"/>
  </r>
  <r>
    <x v="1428"/>
    <x v="5"/>
    <x v="4"/>
    <x v="4"/>
  </r>
  <r>
    <x v="1429"/>
    <x v="5"/>
    <x v="4"/>
    <x v="4"/>
  </r>
  <r>
    <x v="1430"/>
    <x v="5"/>
    <x v="4"/>
    <x v="4"/>
  </r>
  <r>
    <x v="1431"/>
    <x v="5"/>
    <x v="4"/>
    <x v="4"/>
  </r>
  <r>
    <x v="1432"/>
    <x v="5"/>
    <x v="4"/>
    <x v="11"/>
  </r>
  <r>
    <x v="1433"/>
    <x v="5"/>
    <x v="4"/>
    <x v="4"/>
  </r>
  <r>
    <x v="1434"/>
    <x v="5"/>
    <x v="4"/>
    <x v="4"/>
  </r>
  <r>
    <x v="1435"/>
    <x v="5"/>
    <x v="1"/>
    <x v="3"/>
  </r>
  <r>
    <x v="1436"/>
    <x v="5"/>
    <x v="5"/>
    <x v="0"/>
  </r>
  <r>
    <x v="1437"/>
    <x v="5"/>
    <x v="5"/>
    <x v="0"/>
  </r>
  <r>
    <x v="1438"/>
    <x v="5"/>
    <x v="5"/>
    <x v="0"/>
  </r>
  <r>
    <x v="1439"/>
    <x v="5"/>
    <x v="4"/>
    <x v="4"/>
  </r>
  <r>
    <x v="139"/>
    <x v="5"/>
    <x v="4"/>
    <x v="4"/>
  </r>
  <r>
    <x v="1440"/>
    <x v="5"/>
    <x v="2"/>
    <x v="2"/>
  </r>
  <r>
    <x v="1441"/>
    <x v="5"/>
    <x v="1"/>
    <x v="28"/>
  </r>
  <r>
    <x v="1442"/>
    <x v="5"/>
    <x v="1"/>
    <x v="22"/>
  </r>
  <r>
    <x v="1443"/>
    <x v="5"/>
    <x v="2"/>
    <x v="35"/>
  </r>
  <r>
    <x v="1444"/>
    <x v="5"/>
    <x v="1"/>
    <x v="28"/>
  </r>
  <r>
    <x v="1445"/>
    <x v="5"/>
    <x v="1"/>
    <x v="28"/>
  </r>
  <r>
    <x v="1446"/>
    <x v="5"/>
    <x v="1"/>
    <x v="22"/>
  </r>
  <r>
    <x v="1447"/>
    <x v="5"/>
    <x v="2"/>
    <x v="2"/>
  </r>
  <r>
    <x v="1448"/>
    <x v="5"/>
    <x v="1"/>
    <x v="28"/>
  </r>
  <r>
    <x v="1449"/>
    <x v="5"/>
    <x v="1"/>
    <x v="28"/>
  </r>
  <r>
    <x v="1450"/>
    <x v="5"/>
    <x v="2"/>
    <x v="18"/>
  </r>
  <r>
    <x v="1451"/>
    <x v="5"/>
    <x v="1"/>
    <x v="3"/>
  </r>
  <r>
    <x v="1452"/>
    <x v="5"/>
    <x v="1"/>
    <x v="30"/>
  </r>
  <r>
    <x v="1453"/>
    <x v="5"/>
    <x v="1"/>
    <x v="30"/>
  </r>
  <r>
    <x v="1454"/>
    <x v="5"/>
    <x v="1"/>
    <x v="30"/>
  </r>
  <r>
    <x v="1455"/>
    <x v="5"/>
    <x v="2"/>
    <x v="26"/>
  </r>
  <r>
    <x v="1456"/>
    <x v="5"/>
    <x v="2"/>
    <x v="26"/>
  </r>
  <r>
    <x v="1457"/>
    <x v="5"/>
    <x v="2"/>
    <x v="26"/>
  </r>
  <r>
    <x v="1458"/>
    <x v="5"/>
    <x v="1"/>
    <x v="1"/>
  </r>
  <r>
    <x v="1459"/>
    <x v="5"/>
    <x v="1"/>
    <x v="1"/>
  </r>
  <r>
    <x v="1460"/>
    <x v="5"/>
    <x v="2"/>
    <x v="26"/>
  </r>
  <r>
    <x v="1461"/>
    <x v="5"/>
    <x v="2"/>
    <x v="26"/>
  </r>
  <r>
    <x v="1462"/>
    <x v="5"/>
    <x v="1"/>
    <x v="1"/>
  </r>
  <r>
    <x v="1463"/>
    <x v="5"/>
    <x v="1"/>
    <x v="15"/>
  </r>
  <r>
    <x v="1464"/>
    <x v="5"/>
    <x v="1"/>
    <x v="3"/>
  </r>
  <r>
    <x v="1465"/>
    <x v="5"/>
    <x v="1"/>
    <x v="3"/>
  </r>
  <r>
    <x v="1466"/>
    <x v="5"/>
    <x v="1"/>
    <x v="1"/>
  </r>
  <r>
    <x v="1467"/>
    <x v="5"/>
    <x v="2"/>
    <x v="26"/>
  </r>
  <r>
    <x v="1467"/>
    <x v="5"/>
    <x v="2"/>
    <x v="26"/>
  </r>
  <r>
    <x v="1467"/>
    <x v="5"/>
    <x v="2"/>
    <x v="26"/>
  </r>
  <r>
    <x v="1468"/>
    <x v="5"/>
    <x v="2"/>
    <x v="26"/>
  </r>
  <r>
    <x v="1469"/>
    <x v="5"/>
    <x v="1"/>
    <x v="1"/>
  </r>
  <r>
    <x v="1470"/>
    <x v="5"/>
    <x v="2"/>
    <x v="26"/>
  </r>
  <r>
    <x v="1471"/>
    <x v="5"/>
    <x v="2"/>
    <x v="26"/>
  </r>
  <r>
    <x v="1472"/>
    <x v="5"/>
    <x v="2"/>
    <x v="26"/>
  </r>
  <r>
    <x v="1473"/>
    <x v="5"/>
    <x v="1"/>
    <x v="3"/>
  </r>
  <r>
    <x v="1474"/>
    <x v="5"/>
    <x v="1"/>
    <x v="3"/>
  </r>
  <r>
    <x v="1475"/>
    <x v="5"/>
    <x v="1"/>
    <x v="1"/>
  </r>
  <r>
    <x v="1476"/>
    <x v="5"/>
    <x v="1"/>
    <x v="28"/>
  </r>
  <r>
    <x v="1477"/>
    <x v="5"/>
    <x v="1"/>
    <x v="15"/>
  </r>
  <r>
    <x v="1467"/>
    <x v="5"/>
    <x v="1"/>
    <x v="22"/>
  </r>
  <r>
    <x v="1478"/>
    <x v="5"/>
    <x v="2"/>
    <x v="35"/>
  </r>
  <r>
    <x v="1479"/>
    <x v="5"/>
    <x v="1"/>
    <x v="28"/>
  </r>
  <r>
    <x v="1480"/>
    <x v="5"/>
    <x v="2"/>
    <x v="2"/>
  </r>
  <r>
    <x v="1481"/>
    <x v="5"/>
    <x v="1"/>
    <x v="3"/>
  </r>
  <r>
    <x v="1482"/>
    <x v="5"/>
    <x v="1"/>
    <x v="22"/>
  </r>
  <r>
    <x v="1483"/>
    <x v="5"/>
    <x v="1"/>
    <x v="3"/>
  </r>
  <r>
    <x v="1484"/>
    <x v="5"/>
    <x v="1"/>
    <x v="15"/>
  </r>
  <r>
    <x v="1485"/>
    <x v="5"/>
    <x v="4"/>
    <x v="11"/>
  </r>
  <r>
    <x v="1486"/>
    <x v="5"/>
    <x v="1"/>
    <x v="1"/>
  </r>
  <r>
    <x v="311"/>
    <x v="5"/>
    <x v="4"/>
    <x v="11"/>
  </r>
  <r>
    <x v="318"/>
    <x v="5"/>
    <x v="1"/>
    <x v="43"/>
  </r>
  <r>
    <x v="1487"/>
    <x v="5"/>
    <x v="1"/>
    <x v="43"/>
  </r>
  <r>
    <x v="1488"/>
    <x v="5"/>
    <x v="2"/>
    <x v="26"/>
  </r>
  <r>
    <x v="1489"/>
    <x v="5"/>
    <x v="1"/>
    <x v="43"/>
  </r>
  <r>
    <x v="118"/>
    <x v="5"/>
    <x v="4"/>
    <x v="4"/>
  </r>
  <r>
    <x v="1490"/>
    <x v="5"/>
    <x v="4"/>
    <x v="4"/>
  </r>
  <r>
    <x v="356"/>
    <x v="5"/>
    <x v="1"/>
    <x v="1"/>
  </r>
  <r>
    <x v="1103"/>
    <x v="5"/>
    <x v="1"/>
    <x v="1"/>
  </r>
  <r>
    <x v="311"/>
    <x v="5"/>
    <x v="4"/>
    <x v="11"/>
  </r>
  <r>
    <x v="317"/>
    <x v="5"/>
    <x v="4"/>
    <x v="4"/>
  </r>
  <r>
    <x v="209"/>
    <x v="5"/>
    <x v="1"/>
    <x v="1"/>
  </r>
  <r>
    <x v="146"/>
    <x v="5"/>
    <x v="1"/>
    <x v="40"/>
  </r>
  <r>
    <x v="1491"/>
    <x v="5"/>
    <x v="1"/>
    <x v="1"/>
  </r>
  <r>
    <x v="417"/>
    <x v="5"/>
    <x v="4"/>
    <x v="4"/>
  </r>
  <r>
    <x v="1492"/>
    <x v="5"/>
    <x v="4"/>
    <x v="4"/>
  </r>
  <r>
    <x v="1493"/>
    <x v="5"/>
    <x v="4"/>
    <x v="4"/>
  </r>
  <r>
    <x v="1494"/>
    <x v="5"/>
    <x v="7"/>
    <x v="0"/>
  </r>
  <r>
    <x v="1495"/>
    <x v="5"/>
    <x v="1"/>
    <x v="1"/>
  </r>
  <r>
    <x v="1496"/>
    <x v="5"/>
    <x v="1"/>
    <x v="30"/>
  </r>
  <r>
    <x v="337"/>
    <x v="5"/>
    <x v="1"/>
    <x v="15"/>
  </r>
  <r>
    <x v="1497"/>
    <x v="5"/>
    <x v="1"/>
    <x v="1"/>
  </r>
  <r>
    <x v="1498"/>
    <x v="5"/>
    <x v="1"/>
    <x v="1"/>
  </r>
  <r>
    <x v="1499"/>
    <x v="5"/>
    <x v="1"/>
    <x v="1"/>
  </r>
  <r>
    <x v="1500"/>
    <x v="5"/>
    <x v="1"/>
    <x v="1"/>
  </r>
  <r>
    <x v="1501"/>
    <x v="5"/>
    <x v="4"/>
    <x v="11"/>
  </r>
  <r>
    <x v="1502"/>
    <x v="5"/>
    <x v="1"/>
    <x v="3"/>
  </r>
  <r>
    <x v="649"/>
    <x v="5"/>
    <x v="4"/>
    <x v="11"/>
  </r>
  <r>
    <x v="392"/>
    <x v="5"/>
    <x v="4"/>
    <x v="11"/>
  </r>
  <r>
    <x v="1503"/>
    <x v="5"/>
    <x v="1"/>
    <x v="1"/>
  </r>
  <r>
    <x v="1278"/>
    <x v="5"/>
    <x v="1"/>
    <x v="1"/>
  </r>
  <r>
    <x v="1280"/>
    <x v="5"/>
    <x v="1"/>
    <x v="1"/>
  </r>
  <r>
    <x v="1504"/>
    <x v="5"/>
    <x v="1"/>
    <x v="23"/>
  </r>
  <r>
    <x v="820"/>
    <x v="5"/>
    <x v="1"/>
    <x v="30"/>
  </r>
  <r>
    <x v="359"/>
    <x v="5"/>
    <x v="4"/>
    <x v="4"/>
  </r>
  <r>
    <x v="1505"/>
    <x v="5"/>
    <x v="1"/>
    <x v="1"/>
  </r>
  <r>
    <x v="1506"/>
    <x v="5"/>
    <x v="1"/>
    <x v="1"/>
  </r>
  <r>
    <x v="1409"/>
    <x v="5"/>
    <x v="1"/>
    <x v="1"/>
  </r>
  <r>
    <x v="1507"/>
    <x v="5"/>
    <x v="1"/>
    <x v="1"/>
  </r>
  <r>
    <x v="1508"/>
    <x v="5"/>
    <x v="0"/>
    <x v="0"/>
  </r>
  <r>
    <x v="1509"/>
    <x v="5"/>
    <x v="4"/>
    <x v="4"/>
  </r>
  <r>
    <x v="1510"/>
    <x v="5"/>
    <x v="4"/>
    <x v="4"/>
  </r>
  <r>
    <x v="1029"/>
    <x v="5"/>
    <x v="4"/>
    <x v="11"/>
  </r>
  <r>
    <x v="1511"/>
    <x v="5"/>
    <x v="4"/>
    <x v="11"/>
  </r>
  <r>
    <x v="1512"/>
    <x v="5"/>
    <x v="4"/>
    <x v="11"/>
  </r>
  <r>
    <x v="1513"/>
    <x v="5"/>
    <x v="1"/>
    <x v="3"/>
  </r>
  <r>
    <x v="1514"/>
    <x v="5"/>
    <x v="4"/>
    <x v="4"/>
  </r>
  <r>
    <x v="1515"/>
    <x v="5"/>
    <x v="4"/>
    <x v="11"/>
  </r>
  <r>
    <x v="424"/>
    <x v="5"/>
    <x v="1"/>
    <x v="3"/>
  </r>
  <r>
    <x v="392"/>
    <x v="5"/>
    <x v="1"/>
    <x v="3"/>
  </r>
  <r>
    <x v="76"/>
    <x v="5"/>
    <x v="4"/>
    <x v="4"/>
  </r>
  <r>
    <x v="161"/>
    <x v="5"/>
    <x v="2"/>
    <x v="18"/>
  </r>
  <r>
    <x v="166"/>
    <x v="5"/>
    <x v="1"/>
    <x v="30"/>
  </r>
  <r>
    <x v="1516"/>
    <x v="5"/>
    <x v="1"/>
    <x v="30"/>
  </r>
  <r>
    <x v="1517"/>
    <x v="5"/>
    <x v="1"/>
    <x v="30"/>
  </r>
  <r>
    <x v="1518"/>
    <x v="5"/>
    <x v="2"/>
    <x v="18"/>
  </r>
  <r>
    <x v="166"/>
    <x v="5"/>
    <x v="1"/>
    <x v="30"/>
  </r>
  <r>
    <x v="115"/>
    <x v="5"/>
    <x v="1"/>
    <x v="30"/>
  </r>
  <r>
    <x v="1519"/>
    <x v="5"/>
    <x v="1"/>
    <x v="30"/>
  </r>
  <r>
    <x v="75"/>
    <x v="5"/>
    <x v="4"/>
    <x v="4"/>
  </r>
  <r>
    <x v="422"/>
    <x v="5"/>
    <x v="1"/>
    <x v="30"/>
  </r>
  <r>
    <x v="1520"/>
    <x v="5"/>
    <x v="2"/>
    <x v="18"/>
  </r>
  <r>
    <x v="43"/>
    <x v="5"/>
    <x v="2"/>
    <x v="2"/>
  </r>
  <r>
    <x v="166"/>
    <x v="5"/>
    <x v="1"/>
    <x v="1"/>
  </r>
  <r>
    <x v="1521"/>
    <x v="5"/>
    <x v="1"/>
    <x v="30"/>
  </r>
  <r>
    <x v="655"/>
    <x v="5"/>
    <x v="1"/>
    <x v="30"/>
  </r>
  <r>
    <x v="43"/>
    <x v="5"/>
    <x v="1"/>
    <x v="30"/>
  </r>
  <r>
    <x v="43"/>
    <x v="5"/>
    <x v="1"/>
    <x v="3"/>
  </r>
  <r>
    <x v="79"/>
    <x v="5"/>
    <x v="1"/>
    <x v="30"/>
  </r>
  <r>
    <x v="1522"/>
    <x v="5"/>
    <x v="2"/>
    <x v="19"/>
  </r>
  <r>
    <x v="389"/>
    <x v="5"/>
    <x v="1"/>
    <x v="1"/>
  </r>
  <r>
    <x v="389"/>
    <x v="5"/>
    <x v="1"/>
    <x v="1"/>
  </r>
  <r>
    <x v="132"/>
    <x v="5"/>
    <x v="1"/>
    <x v="1"/>
  </r>
  <r>
    <x v="105"/>
    <x v="5"/>
    <x v="1"/>
    <x v="1"/>
  </r>
  <r>
    <x v="186"/>
    <x v="5"/>
    <x v="1"/>
    <x v="30"/>
  </r>
  <r>
    <x v="1523"/>
    <x v="5"/>
    <x v="1"/>
    <x v="30"/>
  </r>
  <r>
    <x v="1524"/>
    <x v="5"/>
    <x v="2"/>
    <x v="35"/>
  </r>
  <r>
    <x v="43"/>
    <x v="5"/>
    <x v="1"/>
    <x v="3"/>
  </r>
  <r>
    <x v="369"/>
    <x v="5"/>
    <x v="2"/>
    <x v="35"/>
  </r>
  <r>
    <x v="254"/>
    <x v="5"/>
    <x v="1"/>
    <x v="3"/>
  </r>
  <r>
    <x v="1525"/>
    <x v="5"/>
    <x v="1"/>
    <x v="30"/>
  </r>
  <r>
    <x v="186"/>
    <x v="5"/>
    <x v="1"/>
    <x v="1"/>
  </r>
  <r>
    <x v="99"/>
    <x v="5"/>
    <x v="4"/>
    <x v="4"/>
  </r>
  <r>
    <x v="52"/>
    <x v="5"/>
    <x v="4"/>
    <x v="11"/>
  </r>
  <r>
    <x v="105"/>
    <x v="5"/>
    <x v="1"/>
    <x v="30"/>
  </r>
  <r>
    <x v="52"/>
    <x v="5"/>
    <x v="2"/>
    <x v="34"/>
  </r>
  <r>
    <x v="43"/>
    <x v="5"/>
    <x v="1"/>
    <x v="3"/>
  </r>
  <r>
    <x v="43"/>
    <x v="5"/>
    <x v="1"/>
    <x v="3"/>
  </r>
  <r>
    <x v="1526"/>
    <x v="5"/>
    <x v="4"/>
    <x v="4"/>
  </r>
  <r>
    <x v="550"/>
    <x v="5"/>
    <x v="1"/>
    <x v="1"/>
  </r>
  <r>
    <x v="1527"/>
    <x v="5"/>
    <x v="4"/>
    <x v="4"/>
  </r>
  <r>
    <x v="1528"/>
    <x v="5"/>
    <x v="4"/>
    <x v="4"/>
  </r>
  <r>
    <x v="806"/>
    <x v="5"/>
    <x v="1"/>
    <x v="3"/>
  </r>
  <r>
    <x v="40"/>
    <x v="5"/>
    <x v="2"/>
    <x v="2"/>
  </r>
  <r>
    <x v="75"/>
    <x v="5"/>
    <x v="2"/>
    <x v="18"/>
  </r>
  <r>
    <x v="43"/>
    <x v="5"/>
    <x v="1"/>
    <x v="30"/>
  </r>
  <r>
    <x v="276"/>
    <x v="5"/>
    <x v="4"/>
    <x v="11"/>
  </r>
  <r>
    <x v="75"/>
    <x v="5"/>
    <x v="2"/>
    <x v="19"/>
  </r>
  <r>
    <x v="1524"/>
    <x v="5"/>
    <x v="1"/>
    <x v="30"/>
  </r>
  <r>
    <x v="76"/>
    <x v="5"/>
    <x v="1"/>
    <x v="3"/>
  </r>
  <r>
    <x v="832"/>
    <x v="5"/>
    <x v="1"/>
    <x v="1"/>
  </r>
  <r>
    <x v="1069"/>
    <x v="5"/>
    <x v="1"/>
    <x v="1"/>
  </r>
  <r>
    <x v="1529"/>
    <x v="5"/>
    <x v="4"/>
    <x v="4"/>
  </r>
  <r>
    <x v="1530"/>
    <x v="5"/>
    <x v="1"/>
    <x v="30"/>
  </r>
  <r>
    <x v="1531"/>
    <x v="5"/>
    <x v="1"/>
    <x v="30"/>
  </r>
  <r>
    <x v="160"/>
    <x v="5"/>
    <x v="1"/>
    <x v="1"/>
  </r>
  <r>
    <x v="12"/>
    <x v="5"/>
    <x v="1"/>
    <x v="3"/>
  </r>
  <r>
    <x v="1532"/>
    <x v="5"/>
    <x v="1"/>
    <x v="1"/>
  </r>
  <r>
    <x v="1533"/>
    <x v="5"/>
    <x v="1"/>
    <x v="1"/>
  </r>
  <r>
    <x v="1534"/>
    <x v="5"/>
    <x v="1"/>
    <x v="1"/>
  </r>
  <r>
    <x v="1535"/>
    <x v="5"/>
    <x v="1"/>
    <x v="30"/>
  </r>
  <r>
    <x v="1536"/>
    <x v="5"/>
    <x v="1"/>
    <x v="3"/>
  </r>
  <r>
    <x v="355"/>
    <x v="5"/>
    <x v="1"/>
    <x v="3"/>
  </r>
  <r>
    <x v="418"/>
    <x v="5"/>
    <x v="1"/>
    <x v="3"/>
  </r>
  <r>
    <x v="1537"/>
    <x v="5"/>
    <x v="1"/>
    <x v="3"/>
  </r>
  <r>
    <x v="166"/>
    <x v="5"/>
    <x v="1"/>
    <x v="1"/>
  </r>
  <r>
    <x v="460"/>
    <x v="5"/>
    <x v="1"/>
    <x v="1"/>
  </r>
  <r>
    <x v="132"/>
    <x v="5"/>
    <x v="1"/>
    <x v="1"/>
  </r>
  <r>
    <x v="1538"/>
    <x v="5"/>
    <x v="1"/>
    <x v="1"/>
  </r>
  <r>
    <x v="43"/>
    <x v="5"/>
    <x v="1"/>
    <x v="1"/>
  </r>
  <r>
    <x v="115"/>
    <x v="5"/>
    <x v="1"/>
    <x v="1"/>
  </r>
  <r>
    <x v="11"/>
    <x v="5"/>
    <x v="1"/>
    <x v="1"/>
  </r>
  <r>
    <x v="763"/>
    <x v="5"/>
    <x v="1"/>
    <x v="1"/>
  </r>
  <r>
    <x v="167"/>
    <x v="5"/>
    <x v="1"/>
    <x v="1"/>
  </r>
  <r>
    <x v="18"/>
    <x v="5"/>
    <x v="1"/>
    <x v="1"/>
  </r>
  <r>
    <x v="1050"/>
    <x v="5"/>
    <x v="1"/>
    <x v="1"/>
  </r>
  <r>
    <x v="103"/>
    <x v="5"/>
    <x v="1"/>
    <x v="1"/>
  </r>
  <r>
    <x v="103"/>
    <x v="5"/>
    <x v="1"/>
    <x v="1"/>
  </r>
  <r>
    <x v="231"/>
    <x v="5"/>
    <x v="1"/>
    <x v="1"/>
  </r>
  <r>
    <x v="75"/>
    <x v="5"/>
    <x v="1"/>
    <x v="1"/>
  </r>
  <r>
    <x v="43"/>
    <x v="5"/>
    <x v="1"/>
    <x v="1"/>
  </r>
  <r>
    <x v="43"/>
    <x v="5"/>
    <x v="1"/>
    <x v="1"/>
  </r>
  <r>
    <x v="1018"/>
    <x v="5"/>
    <x v="1"/>
    <x v="1"/>
  </r>
  <r>
    <x v="132"/>
    <x v="5"/>
    <x v="1"/>
    <x v="1"/>
  </r>
  <r>
    <x v="389"/>
    <x v="5"/>
    <x v="1"/>
    <x v="1"/>
  </r>
  <r>
    <x v="447"/>
    <x v="5"/>
    <x v="1"/>
    <x v="1"/>
  </r>
  <r>
    <x v="389"/>
    <x v="5"/>
    <x v="1"/>
    <x v="1"/>
  </r>
  <r>
    <x v="1068"/>
    <x v="5"/>
    <x v="1"/>
    <x v="1"/>
  </r>
  <r>
    <x v="693"/>
    <x v="5"/>
    <x v="1"/>
    <x v="1"/>
  </r>
  <r>
    <x v="1265"/>
    <x v="5"/>
    <x v="1"/>
    <x v="1"/>
  </r>
  <r>
    <x v="1539"/>
    <x v="5"/>
    <x v="1"/>
    <x v="1"/>
  </r>
  <r>
    <x v="103"/>
    <x v="5"/>
    <x v="1"/>
    <x v="1"/>
  </r>
  <r>
    <x v="115"/>
    <x v="5"/>
    <x v="1"/>
    <x v="1"/>
  </r>
  <r>
    <x v="43"/>
    <x v="5"/>
    <x v="1"/>
    <x v="1"/>
  </r>
  <r>
    <x v="103"/>
    <x v="5"/>
    <x v="1"/>
    <x v="1"/>
  </r>
  <r>
    <x v="103"/>
    <x v="5"/>
    <x v="1"/>
    <x v="1"/>
  </r>
  <r>
    <x v="460"/>
    <x v="5"/>
    <x v="1"/>
    <x v="1"/>
  </r>
  <r>
    <x v="11"/>
    <x v="5"/>
    <x v="1"/>
    <x v="1"/>
  </r>
  <r>
    <x v="1540"/>
    <x v="5"/>
    <x v="1"/>
    <x v="1"/>
  </r>
  <r>
    <x v="43"/>
    <x v="5"/>
    <x v="1"/>
    <x v="1"/>
  </r>
  <r>
    <x v="863"/>
    <x v="5"/>
    <x v="1"/>
    <x v="1"/>
  </r>
  <r>
    <x v="43"/>
    <x v="5"/>
    <x v="1"/>
    <x v="1"/>
  </r>
  <r>
    <x v="369"/>
    <x v="5"/>
    <x v="1"/>
    <x v="1"/>
  </r>
  <r>
    <x v="522"/>
    <x v="5"/>
    <x v="1"/>
    <x v="1"/>
  </r>
  <r>
    <x v="112"/>
    <x v="5"/>
    <x v="1"/>
    <x v="1"/>
  </r>
  <r>
    <x v="132"/>
    <x v="5"/>
    <x v="1"/>
    <x v="1"/>
  </r>
  <r>
    <x v="103"/>
    <x v="5"/>
    <x v="1"/>
    <x v="1"/>
  </r>
  <r>
    <x v="103"/>
    <x v="5"/>
    <x v="1"/>
    <x v="1"/>
  </r>
  <r>
    <x v="103"/>
    <x v="5"/>
    <x v="1"/>
    <x v="1"/>
  </r>
  <r>
    <x v="132"/>
    <x v="5"/>
    <x v="1"/>
    <x v="1"/>
  </r>
  <r>
    <x v="1541"/>
    <x v="5"/>
    <x v="1"/>
    <x v="1"/>
  </r>
  <r>
    <x v="389"/>
    <x v="5"/>
    <x v="1"/>
    <x v="1"/>
  </r>
  <r>
    <x v="460"/>
    <x v="5"/>
    <x v="1"/>
    <x v="1"/>
  </r>
  <r>
    <x v="43"/>
    <x v="5"/>
    <x v="1"/>
    <x v="1"/>
  </r>
  <r>
    <x v="99"/>
    <x v="5"/>
    <x v="1"/>
    <x v="1"/>
  </r>
  <r>
    <x v="447"/>
    <x v="5"/>
    <x v="1"/>
    <x v="1"/>
  </r>
  <r>
    <x v="35"/>
    <x v="5"/>
    <x v="1"/>
    <x v="1"/>
  </r>
  <r>
    <x v="1542"/>
    <x v="5"/>
    <x v="1"/>
    <x v="1"/>
  </r>
  <r>
    <x v="132"/>
    <x v="5"/>
    <x v="1"/>
    <x v="23"/>
  </r>
  <r>
    <x v="1543"/>
    <x v="5"/>
    <x v="4"/>
    <x v="11"/>
  </r>
  <r>
    <x v="1544"/>
    <x v="5"/>
    <x v="1"/>
    <x v="3"/>
  </r>
  <r>
    <x v="1545"/>
    <x v="5"/>
    <x v="1"/>
    <x v="3"/>
  </r>
  <r>
    <x v="1546"/>
    <x v="5"/>
    <x v="4"/>
    <x v="4"/>
  </r>
  <r>
    <x v="650"/>
    <x v="5"/>
    <x v="1"/>
    <x v="1"/>
  </r>
  <r>
    <x v="611"/>
    <x v="5"/>
    <x v="1"/>
    <x v="1"/>
  </r>
  <r>
    <x v="1547"/>
    <x v="5"/>
    <x v="1"/>
    <x v="1"/>
  </r>
  <r>
    <x v="613"/>
    <x v="5"/>
    <x v="4"/>
    <x v="4"/>
  </r>
  <r>
    <x v="1363"/>
    <x v="5"/>
    <x v="1"/>
    <x v="30"/>
  </r>
  <r>
    <x v="1548"/>
    <x v="5"/>
    <x v="2"/>
    <x v="35"/>
  </r>
  <r>
    <x v="1549"/>
    <x v="5"/>
    <x v="1"/>
    <x v="3"/>
  </r>
  <r>
    <x v="639"/>
    <x v="5"/>
    <x v="4"/>
    <x v="4"/>
  </r>
  <r>
    <x v="639"/>
    <x v="5"/>
    <x v="4"/>
    <x v="4"/>
  </r>
  <r>
    <x v="639"/>
    <x v="5"/>
    <x v="4"/>
    <x v="4"/>
  </r>
  <r>
    <x v="1550"/>
    <x v="5"/>
    <x v="4"/>
    <x v="4"/>
  </r>
  <r>
    <x v="498"/>
    <x v="5"/>
    <x v="4"/>
    <x v="4"/>
  </r>
  <r>
    <x v="1551"/>
    <x v="5"/>
    <x v="4"/>
    <x v="4"/>
  </r>
  <r>
    <x v="1552"/>
    <x v="5"/>
    <x v="4"/>
    <x v="4"/>
  </r>
  <r>
    <x v="498"/>
    <x v="5"/>
    <x v="1"/>
    <x v="30"/>
  </r>
  <r>
    <x v="1553"/>
    <x v="5"/>
    <x v="1"/>
    <x v="30"/>
  </r>
  <r>
    <x v="1554"/>
    <x v="5"/>
    <x v="2"/>
    <x v="35"/>
  </r>
  <r>
    <x v="1555"/>
    <x v="5"/>
    <x v="2"/>
    <x v="26"/>
  </r>
  <r>
    <x v="499"/>
    <x v="5"/>
    <x v="1"/>
    <x v="30"/>
  </r>
  <r>
    <x v="1201"/>
    <x v="5"/>
    <x v="2"/>
    <x v="26"/>
  </r>
  <r>
    <x v="841"/>
    <x v="5"/>
    <x v="1"/>
    <x v="3"/>
  </r>
  <r>
    <x v="1556"/>
    <x v="5"/>
    <x v="2"/>
    <x v="35"/>
  </r>
  <r>
    <x v="1557"/>
    <x v="5"/>
    <x v="2"/>
    <x v="26"/>
  </r>
  <r>
    <x v="1558"/>
    <x v="5"/>
    <x v="2"/>
    <x v="26"/>
  </r>
  <r>
    <x v="1558"/>
    <x v="5"/>
    <x v="2"/>
    <x v="35"/>
  </r>
  <r>
    <x v="1558"/>
    <x v="5"/>
    <x v="1"/>
    <x v="3"/>
  </r>
  <r>
    <x v="1559"/>
    <x v="5"/>
    <x v="1"/>
    <x v="30"/>
  </r>
  <r>
    <x v="1560"/>
    <x v="5"/>
    <x v="2"/>
    <x v="35"/>
  </r>
  <r>
    <x v="650"/>
    <x v="5"/>
    <x v="4"/>
    <x v="4"/>
  </r>
  <r>
    <x v="1561"/>
    <x v="5"/>
    <x v="4"/>
    <x v="4"/>
  </r>
  <r>
    <x v="1562"/>
    <x v="5"/>
    <x v="1"/>
    <x v="3"/>
  </r>
  <r>
    <x v="1562"/>
    <x v="5"/>
    <x v="1"/>
    <x v="30"/>
  </r>
  <r>
    <x v="1562"/>
    <x v="5"/>
    <x v="2"/>
    <x v="35"/>
  </r>
  <r>
    <x v="1563"/>
    <x v="5"/>
    <x v="2"/>
    <x v="26"/>
  </r>
  <r>
    <x v="1564"/>
    <x v="5"/>
    <x v="2"/>
    <x v="26"/>
  </r>
  <r>
    <x v="498"/>
    <x v="5"/>
    <x v="4"/>
    <x v="4"/>
  </r>
  <r>
    <x v="498"/>
    <x v="5"/>
    <x v="4"/>
    <x v="4"/>
  </r>
  <r>
    <x v="399"/>
    <x v="5"/>
    <x v="4"/>
    <x v="4"/>
  </r>
  <r>
    <x v="1221"/>
    <x v="5"/>
    <x v="4"/>
    <x v="11"/>
  </r>
  <r>
    <x v="1565"/>
    <x v="5"/>
    <x v="1"/>
    <x v="1"/>
  </r>
  <r>
    <x v="1566"/>
    <x v="5"/>
    <x v="1"/>
    <x v="1"/>
  </r>
  <r>
    <x v="1567"/>
    <x v="5"/>
    <x v="1"/>
    <x v="1"/>
  </r>
  <r>
    <x v="1568"/>
    <x v="5"/>
    <x v="1"/>
    <x v="30"/>
  </r>
  <r>
    <x v="1557"/>
    <x v="5"/>
    <x v="2"/>
    <x v="35"/>
  </r>
  <r>
    <x v="1568"/>
    <x v="5"/>
    <x v="1"/>
    <x v="3"/>
  </r>
  <r>
    <x v="1557"/>
    <x v="5"/>
    <x v="2"/>
    <x v="26"/>
  </r>
  <r>
    <x v="1568"/>
    <x v="5"/>
    <x v="1"/>
    <x v="3"/>
  </r>
  <r>
    <x v="1569"/>
    <x v="5"/>
    <x v="2"/>
    <x v="35"/>
  </r>
  <r>
    <x v="498"/>
    <x v="5"/>
    <x v="1"/>
    <x v="30"/>
  </r>
  <r>
    <x v="897"/>
    <x v="5"/>
    <x v="4"/>
    <x v="11"/>
  </r>
  <r>
    <x v="1567"/>
    <x v="5"/>
    <x v="1"/>
    <x v="1"/>
  </r>
  <r>
    <x v="1570"/>
    <x v="5"/>
    <x v="4"/>
    <x v="4"/>
  </r>
  <r>
    <x v="1571"/>
    <x v="5"/>
    <x v="1"/>
    <x v="23"/>
  </r>
  <r>
    <x v="1572"/>
    <x v="5"/>
    <x v="1"/>
    <x v="23"/>
  </r>
  <r>
    <x v="1573"/>
    <x v="5"/>
    <x v="2"/>
    <x v="35"/>
  </r>
  <r>
    <x v="1573"/>
    <x v="5"/>
    <x v="1"/>
    <x v="3"/>
  </r>
  <r>
    <x v="1573"/>
    <x v="5"/>
    <x v="1"/>
    <x v="30"/>
  </r>
  <r>
    <x v="1574"/>
    <x v="5"/>
    <x v="4"/>
    <x v="11"/>
  </r>
  <r>
    <x v="1575"/>
    <x v="5"/>
    <x v="2"/>
    <x v="26"/>
  </r>
  <r>
    <x v="1576"/>
    <x v="5"/>
    <x v="2"/>
    <x v="35"/>
  </r>
  <r>
    <x v="1577"/>
    <x v="5"/>
    <x v="2"/>
    <x v="26"/>
  </r>
  <r>
    <x v="1566"/>
    <x v="5"/>
    <x v="1"/>
    <x v="1"/>
  </r>
  <r>
    <x v="1566"/>
    <x v="5"/>
    <x v="1"/>
    <x v="1"/>
  </r>
  <r>
    <x v="1567"/>
    <x v="5"/>
    <x v="1"/>
    <x v="1"/>
  </r>
  <r>
    <x v="1223"/>
    <x v="5"/>
    <x v="1"/>
    <x v="1"/>
  </r>
  <r>
    <x v="1566"/>
    <x v="5"/>
    <x v="1"/>
    <x v="1"/>
  </r>
  <r>
    <x v="1567"/>
    <x v="5"/>
    <x v="1"/>
    <x v="1"/>
  </r>
  <r>
    <x v="1567"/>
    <x v="5"/>
    <x v="1"/>
    <x v="1"/>
  </r>
  <r>
    <x v="1566"/>
    <x v="5"/>
    <x v="1"/>
    <x v="1"/>
  </r>
  <r>
    <x v="1567"/>
    <x v="5"/>
    <x v="1"/>
    <x v="1"/>
  </r>
  <r>
    <x v="1578"/>
    <x v="5"/>
    <x v="1"/>
    <x v="1"/>
  </r>
  <r>
    <x v="1578"/>
    <x v="5"/>
    <x v="1"/>
    <x v="1"/>
  </r>
  <r>
    <x v="1579"/>
    <x v="5"/>
    <x v="1"/>
    <x v="3"/>
  </r>
  <r>
    <x v="358"/>
    <x v="5"/>
    <x v="1"/>
    <x v="28"/>
  </r>
  <r>
    <x v="1580"/>
    <x v="5"/>
    <x v="1"/>
    <x v="1"/>
  </r>
  <r>
    <x v="439"/>
    <x v="5"/>
    <x v="4"/>
    <x v="4"/>
  </r>
  <r>
    <x v="252"/>
    <x v="5"/>
    <x v="3"/>
    <x v="0"/>
  </r>
  <r>
    <x v="1581"/>
    <x v="5"/>
    <x v="5"/>
    <x v="0"/>
  </r>
  <r>
    <x v="1582"/>
    <x v="5"/>
    <x v="5"/>
    <x v="0"/>
  </r>
  <r>
    <x v="1583"/>
    <x v="5"/>
    <x v="0"/>
    <x v="0"/>
  </r>
  <r>
    <x v="172"/>
    <x v="5"/>
    <x v="4"/>
    <x v="11"/>
  </r>
  <r>
    <x v="1584"/>
    <x v="5"/>
    <x v="4"/>
    <x v="11"/>
  </r>
  <r>
    <x v="1585"/>
    <x v="5"/>
    <x v="4"/>
    <x v="11"/>
  </r>
  <r>
    <x v="1586"/>
    <x v="5"/>
    <x v="4"/>
    <x v="11"/>
  </r>
  <r>
    <x v="460"/>
    <x v="5"/>
    <x v="4"/>
    <x v="11"/>
  </r>
  <r>
    <x v="1587"/>
    <x v="5"/>
    <x v="4"/>
    <x v="11"/>
  </r>
  <r>
    <x v="1588"/>
    <x v="5"/>
    <x v="4"/>
    <x v="11"/>
  </r>
  <r>
    <x v="1589"/>
    <x v="5"/>
    <x v="4"/>
    <x v="11"/>
  </r>
  <r>
    <x v="18"/>
    <x v="5"/>
    <x v="4"/>
    <x v="11"/>
  </r>
  <r>
    <x v="1590"/>
    <x v="5"/>
    <x v="4"/>
    <x v="11"/>
  </r>
  <r>
    <x v="545"/>
    <x v="5"/>
    <x v="4"/>
    <x v="11"/>
  </r>
  <r>
    <x v="1591"/>
    <x v="5"/>
    <x v="4"/>
    <x v="11"/>
  </r>
  <r>
    <x v="1592"/>
    <x v="2"/>
    <x v="1"/>
    <x v="28"/>
  </r>
  <r>
    <x v="1592"/>
    <x v="2"/>
    <x v="2"/>
    <x v="18"/>
  </r>
  <r>
    <x v="1592"/>
    <x v="2"/>
    <x v="1"/>
    <x v="16"/>
  </r>
  <r>
    <x v="1592"/>
    <x v="2"/>
    <x v="1"/>
    <x v="7"/>
  </r>
  <r>
    <x v="1592"/>
    <x v="2"/>
    <x v="1"/>
    <x v="15"/>
  </r>
  <r>
    <x v="1592"/>
    <x v="2"/>
    <x v="1"/>
    <x v="5"/>
  </r>
  <r>
    <x v="1593"/>
    <x v="2"/>
    <x v="4"/>
    <x v="4"/>
  </r>
  <r>
    <x v="1594"/>
    <x v="4"/>
    <x v="2"/>
    <x v="18"/>
  </r>
  <r>
    <x v="1595"/>
    <x v="2"/>
    <x v="1"/>
    <x v="30"/>
  </r>
  <r>
    <x v="1596"/>
    <x v="2"/>
    <x v="1"/>
    <x v="30"/>
  </r>
  <r>
    <x v="1597"/>
    <x v="2"/>
    <x v="4"/>
    <x v="4"/>
  </r>
  <r>
    <x v="819"/>
    <x v="2"/>
    <x v="1"/>
    <x v="40"/>
  </r>
  <r>
    <x v="566"/>
    <x v="2"/>
    <x v="4"/>
    <x v="11"/>
  </r>
  <r>
    <x v="1598"/>
    <x v="2"/>
    <x v="1"/>
    <x v="44"/>
  </r>
  <r>
    <x v="1599"/>
    <x v="2"/>
    <x v="1"/>
    <x v="1"/>
  </r>
  <r>
    <x v="1600"/>
    <x v="2"/>
    <x v="1"/>
    <x v="1"/>
  </r>
  <r>
    <x v="1601"/>
    <x v="2"/>
    <x v="2"/>
    <x v="26"/>
  </r>
  <r>
    <x v="311"/>
    <x v="2"/>
    <x v="1"/>
    <x v="1"/>
  </r>
  <r>
    <x v="1602"/>
    <x v="2"/>
    <x v="1"/>
    <x v="3"/>
  </r>
  <r>
    <x v="1399"/>
    <x v="2"/>
    <x v="1"/>
    <x v="1"/>
  </r>
  <r>
    <x v="1603"/>
    <x v="2"/>
    <x v="1"/>
    <x v="1"/>
  </r>
  <r>
    <x v="1604"/>
    <x v="2"/>
    <x v="1"/>
    <x v="22"/>
  </r>
  <r>
    <x v="1605"/>
    <x v="2"/>
    <x v="1"/>
    <x v="1"/>
  </r>
  <r>
    <x v="1242"/>
    <x v="5"/>
    <x v="1"/>
    <x v="1"/>
  </r>
  <r>
    <x v="1606"/>
    <x v="2"/>
    <x v="1"/>
    <x v="45"/>
  </r>
  <r>
    <x v="1607"/>
    <x v="5"/>
    <x v="1"/>
    <x v="30"/>
  </r>
  <r>
    <x v="1608"/>
    <x v="2"/>
    <x v="4"/>
    <x v="11"/>
  </r>
  <r>
    <x v="1609"/>
    <x v="2"/>
    <x v="4"/>
    <x v="11"/>
  </r>
  <r>
    <x v="1610"/>
    <x v="2"/>
    <x v="4"/>
    <x v="11"/>
  </r>
  <r>
    <x v="1611"/>
    <x v="2"/>
    <x v="4"/>
    <x v="11"/>
  </r>
  <r>
    <x v="1612"/>
    <x v="2"/>
    <x v="4"/>
    <x v="11"/>
  </r>
  <r>
    <x v="1613"/>
    <x v="2"/>
    <x v="4"/>
    <x v="11"/>
  </r>
  <r>
    <x v="1614"/>
    <x v="2"/>
    <x v="1"/>
    <x v="1"/>
  </r>
  <r>
    <x v="1615"/>
    <x v="2"/>
    <x v="4"/>
    <x v="4"/>
  </r>
  <r>
    <x v="118"/>
    <x v="2"/>
    <x v="1"/>
    <x v="6"/>
  </r>
  <r>
    <x v="1616"/>
    <x v="2"/>
    <x v="1"/>
    <x v="1"/>
  </r>
  <r>
    <x v="1617"/>
    <x v="2"/>
    <x v="2"/>
    <x v="46"/>
  </r>
  <r>
    <x v="1618"/>
    <x v="2"/>
    <x v="1"/>
    <x v="1"/>
  </r>
  <r>
    <x v="1619"/>
    <x v="2"/>
    <x v="2"/>
    <x v="46"/>
  </r>
  <r>
    <x v="1620"/>
    <x v="2"/>
    <x v="4"/>
    <x v="4"/>
  </r>
  <r>
    <x v="1621"/>
    <x v="2"/>
    <x v="1"/>
    <x v="1"/>
  </r>
  <r>
    <x v="1622"/>
    <x v="2"/>
    <x v="2"/>
    <x v="35"/>
  </r>
  <r>
    <x v="1623"/>
    <x v="2"/>
    <x v="1"/>
    <x v="34"/>
  </r>
  <r>
    <x v="1624"/>
    <x v="2"/>
    <x v="4"/>
    <x v="4"/>
  </r>
  <r>
    <x v="1625"/>
    <x v="2"/>
    <x v="3"/>
    <x v="0"/>
  </r>
  <r>
    <x v="1626"/>
    <x v="2"/>
    <x v="1"/>
    <x v="44"/>
  </r>
  <r>
    <x v="1627"/>
    <x v="2"/>
    <x v="1"/>
    <x v="40"/>
  </r>
  <r>
    <x v="1628"/>
    <x v="5"/>
    <x v="3"/>
    <x v="0"/>
  </r>
  <r>
    <x v="6"/>
    <x v="5"/>
    <x v="3"/>
    <x v="0"/>
  </r>
  <r>
    <x v="1334"/>
    <x v="2"/>
    <x v="1"/>
    <x v="30"/>
  </r>
  <r>
    <x v="1629"/>
    <x v="2"/>
    <x v="1"/>
    <x v="1"/>
  </r>
  <r>
    <x v="147"/>
    <x v="2"/>
    <x v="4"/>
    <x v="4"/>
  </r>
  <r>
    <x v="1630"/>
    <x v="2"/>
    <x v="1"/>
    <x v="23"/>
  </r>
  <r>
    <x v="1542"/>
    <x v="2"/>
    <x v="2"/>
    <x v="35"/>
  </r>
  <r>
    <x v="547"/>
    <x v="2"/>
    <x v="1"/>
    <x v="16"/>
  </r>
  <r>
    <x v="101"/>
    <x v="2"/>
    <x v="1"/>
    <x v="31"/>
  </r>
  <r>
    <x v="1631"/>
    <x v="2"/>
    <x v="1"/>
    <x v="5"/>
  </r>
  <r>
    <x v="1632"/>
    <x v="2"/>
    <x v="1"/>
    <x v="5"/>
  </r>
  <r>
    <x v="1633"/>
    <x v="2"/>
    <x v="1"/>
    <x v="5"/>
  </r>
  <r>
    <x v="115"/>
    <x v="2"/>
    <x v="2"/>
    <x v="35"/>
  </r>
  <r>
    <x v="192"/>
    <x v="2"/>
    <x v="2"/>
    <x v="47"/>
  </r>
  <r>
    <x v="503"/>
    <x v="2"/>
    <x v="1"/>
    <x v="3"/>
  </r>
  <r>
    <x v="75"/>
    <x v="2"/>
    <x v="4"/>
    <x v="11"/>
  </r>
  <r>
    <x v="75"/>
    <x v="2"/>
    <x v="1"/>
    <x v="7"/>
  </r>
  <r>
    <x v="1634"/>
    <x v="2"/>
    <x v="6"/>
    <x v="38"/>
  </r>
  <r>
    <x v="1635"/>
    <x v="2"/>
    <x v="4"/>
    <x v="4"/>
  </r>
  <r>
    <x v="1636"/>
    <x v="2"/>
    <x v="1"/>
    <x v="30"/>
  </r>
  <r>
    <x v="1637"/>
    <x v="2"/>
    <x v="1"/>
    <x v="1"/>
  </r>
  <r>
    <x v="1638"/>
    <x v="2"/>
    <x v="1"/>
    <x v="1"/>
  </r>
  <r>
    <x v="1639"/>
    <x v="2"/>
    <x v="1"/>
    <x v="1"/>
  </r>
  <r>
    <x v="707"/>
    <x v="2"/>
    <x v="1"/>
    <x v="3"/>
  </r>
  <r>
    <x v="706"/>
    <x v="2"/>
    <x v="2"/>
    <x v="35"/>
  </r>
  <r>
    <x v="166"/>
    <x v="2"/>
    <x v="2"/>
    <x v="26"/>
  </r>
  <r>
    <x v="160"/>
    <x v="2"/>
    <x v="4"/>
    <x v="4"/>
  </r>
  <r>
    <x v="99"/>
    <x v="2"/>
    <x v="2"/>
    <x v="2"/>
  </r>
  <r>
    <x v="99"/>
    <x v="2"/>
    <x v="2"/>
    <x v="18"/>
  </r>
  <r>
    <x v="338"/>
    <x v="2"/>
    <x v="1"/>
    <x v="30"/>
  </r>
  <r>
    <x v="35"/>
    <x v="2"/>
    <x v="2"/>
    <x v="35"/>
  </r>
  <r>
    <x v="105"/>
    <x v="2"/>
    <x v="1"/>
    <x v="1"/>
  </r>
  <r>
    <x v="195"/>
    <x v="2"/>
    <x v="1"/>
    <x v="3"/>
  </r>
  <r>
    <x v="147"/>
    <x v="2"/>
    <x v="2"/>
    <x v="26"/>
  </r>
  <r>
    <x v="160"/>
    <x v="2"/>
    <x v="4"/>
    <x v="4"/>
  </r>
  <r>
    <x v="46"/>
    <x v="2"/>
    <x v="4"/>
    <x v="4"/>
  </r>
  <r>
    <x v="475"/>
    <x v="2"/>
    <x v="2"/>
    <x v="47"/>
  </r>
  <r>
    <x v="160"/>
    <x v="2"/>
    <x v="2"/>
    <x v="35"/>
  </r>
  <r>
    <x v="1640"/>
    <x v="2"/>
    <x v="4"/>
    <x v="4"/>
  </r>
  <r>
    <x v="345"/>
    <x v="2"/>
    <x v="2"/>
    <x v="35"/>
  </r>
  <r>
    <x v="101"/>
    <x v="2"/>
    <x v="1"/>
    <x v="3"/>
  </r>
  <r>
    <x v="101"/>
    <x v="2"/>
    <x v="2"/>
    <x v="35"/>
  </r>
  <r>
    <x v="168"/>
    <x v="2"/>
    <x v="6"/>
    <x v="38"/>
  </r>
  <r>
    <x v="115"/>
    <x v="2"/>
    <x v="1"/>
    <x v="30"/>
  </r>
  <r>
    <x v="1641"/>
    <x v="2"/>
    <x v="1"/>
    <x v="30"/>
  </r>
  <r>
    <x v="1642"/>
    <x v="2"/>
    <x v="1"/>
    <x v="30"/>
  </r>
  <r>
    <x v="345"/>
    <x v="2"/>
    <x v="1"/>
    <x v="30"/>
  </r>
  <r>
    <x v="447"/>
    <x v="2"/>
    <x v="1"/>
    <x v="1"/>
  </r>
  <r>
    <x v="36"/>
    <x v="2"/>
    <x v="1"/>
    <x v="1"/>
  </r>
  <r>
    <x v="808"/>
    <x v="2"/>
    <x v="1"/>
    <x v="3"/>
  </r>
  <r>
    <x v="166"/>
    <x v="2"/>
    <x v="1"/>
    <x v="30"/>
  </r>
  <r>
    <x v="1643"/>
    <x v="2"/>
    <x v="1"/>
    <x v="3"/>
  </r>
  <r>
    <x v="1644"/>
    <x v="2"/>
    <x v="1"/>
    <x v="1"/>
  </r>
  <r>
    <x v="43"/>
    <x v="2"/>
    <x v="1"/>
    <x v="1"/>
  </r>
  <r>
    <x v="1645"/>
    <x v="2"/>
    <x v="1"/>
    <x v="1"/>
  </r>
  <r>
    <x v="1646"/>
    <x v="2"/>
    <x v="1"/>
    <x v="30"/>
  </r>
  <r>
    <x v="166"/>
    <x v="2"/>
    <x v="1"/>
    <x v="1"/>
  </r>
  <r>
    <x v="76"/>
    <x v="2"/>
    <x v="1"/>
    <x v="30"/>
  </r>
  <r>
    <x v="840"/>
    <x v="2"/>
    <x v="2"/>
    <x v="26"/>
  </r>
  <r>
    <x v="102"/>
    <x v="2"/>
    <x v="1"/>
    <x v="1"/>
  </r>
  <r>
    <x v="1647"/>
    <x v="2"/>
    <x v="1"/>
    <x v="3"/>
  </r>
  <r>
    <x v="160"/>
    <x v="2"/>
    <x v="1"/>
    <x v="30"/>
  </r>
  <r>
    <x v="1648"/>
    <x v="2"/>
    <x v="1"/>
    <x v="30"/>
  </r>
  <r>
    <x v="160"/>
    <x v="2"/>
    <x v="4"/>
    <x v="4"/>
  </r>
  <r>
    <x v="1520"/>
    <x v="2"/>
    <x v="1"/>
    <x v="1"/>
  </r>
  <r>
    <x v="163"/>
    <x v="2"/>
    <x v="2"/>
    <x v="26"/>
  </r>
  <r>
    <x v="99"/>
    <x v="2"/>
    <x v="2"/>
    <x v="35"/>
  </r>
  <r>
    <x v="1649"/>
    <x v="2"/>
    <x v="2"/>
    <x v="35"/>
  </r>
  <r>
    <x v="1650"/>
    <x v="2"/>
    <x v="2"/>
    <x v="35"/>
  </r>
  <r>
    <x v="1651"/>
    <x v="2"/>
    <x v="1"/>
    <x v="3"/>
  </r>
  <r>
    <x v="102"/>
    <x v="2"/>
    <x v="1"/>
    <x v="1"/>
  </r>
  <r>
    <x v="102"/>
    <x v="2"/>
    <x v="1"/>
    <x v="30"/>
  </r>
  <r>
    <x v="99"/>
    <x v="2"/>
    <x v="2"/>
    <x v="34"/>
  </r>
  <r>
    <x v="1652"/>
    <x v="2"/>
    <x v="2"/>
    <x v="34"/>
  </r>
  <r>
    <x v="1653"/>
    <x v="2"/>
    <x v="2"/>
    <x v="34"/>
  </r>
  <r>
    <x v="1654"/>
    <x v="2"/>
    <x v="4"/>
    <x v="11"/>
  </r>
  <r>
    <x v="1655"/>
    <x v="2"/>
    <x v="4"/>
    <x v="4"/>
  </r>
  <r>
    <x v="192"/>
    <x v="2"/>
    <x v="1"/>
    <x v="22"/>
  </r>
  <r>
    <x v="192"/>
    <x v="2"/>
    <x v="2"/>
    <x v="18"/>
  </r>
  <r>
    <x v="389"/>
    <x v="2"/>
    <x v="1"/>
    <x v="1"/>
  </r>
  <r>
    <x v="389"/>
    <x v="2"/>
    <x v="1"/>
    <x v="1"/>
  </r>
  <r>
    <x v="11"/>
    <x v="2"/>
    <x v="1"/>
    <x v="1"/>
  </r>
  <r>
    <x v="36"/>
    <x v="2"/>
    <x v="4"/>
    <x v="11"/>
  </r>
  <r>
    <x v="1656"/>
    <x v="2"/>
    <x v="1"/>
    <x v="30"/>
  </r>
  <r>
    <x v="76"/>
    <x v="2"/>
    <x v="1"/>
    <x v="30"/>
  </r>
  <r>
    <x v="1265"/>
    <x v="2"/>
    <x v="1"/>
    <x v="30"/>
  </r>
  <r>
    <x v="1065"/>
    <x v="2"/>
    <x v="1"/>
    <x v="1"/>
  </r>
  <r>
    <x v="1657"/>
    <x v="2"/>
    <x v="1"/>
    <x v="30"/>
  </r>
  <r>
    <x v="1658"/>
    <x v="2"/>
    <x v="1"/>
    <x v="30"/>
  </r>
  <r>
    <x v="119"/>
    <x v="2"/>
    <x v="4"/>
    <x v="4"/>
  </r>
  <r>
    <x v="76"/>
    <x v="2"/>
    <x v="1"/>
    <x v="1"/>
  </r>
  <r>
    <x v="1659"/>
    <x v="2"/>
    <x v="1"/>
    <x v="30"/>
  </r>
  <r>
    <x v="166"/>
    <x v="2"/>
    <x v="1"/>
    <x v="1"/>
  </r>
  <r>
    <x v="1660"/>
    <x v="2"/>
    <x v="1"/>
    <x v="1"/>
  </r>
  <r>
    <x v="1661"/>
    <x v="2"/>
    <x v="1"/>
    <x v="30"/>
  </r>
  <r>
    <x v="36"/>
    <x v="2"/>
    <x v="1"/>
    <x v="1"/>
  </r>
  <r>
    <x v="1662"/>
    <x v="2"/>
    <x v="1"/>
    <x v="1"/>
  </r>
  <r>
    <x v="1663"/>
    <x v="2"/>
    <x v="1"/>
    <x v="1"/>
  </r>
  <r>
    <x v="1664"/>
    <x v="2"/>
    <x v="2"/>
    <x v="26"/>
  </r>
  <r>
    <x v="1665"/>
    <x v="2"/>
    <x v="2"/>
    <x v="18"/>
  </r>
  <r>
    <x v="166"/>
    <x v="2"/>
    <x v="1"/>
    <x v="1"/>
  </r>
  <r>
    <x v="447"/>
    <x v="2"/>
    <x v="1"/>
    <x v="1"/>
  </r>
  <r>
    <x v="1666"/>
    <x v="2"/>
    <x v="1"/>
    <x v="1"/>
  </r>
  <r>
    <x v="1667"/>
    <x v="2"/>
    <x v="2"/>
    <x v="26"/>
  </r>
  <r>
    <x v="103"/>
    <x v="2"/>
    <x v="2"/>
    <x v="26"/>
  </r>
  <r>
    <x v="1668"/>
    <x v="2"/>
    <x v="1"/>
    <x v="3"/>
  </r>
  <r>
    <x v="1669"/>
    <x v="2"/>
    <x v="1"/>
    <x v="1"/>
  </r>
  <r>
    <x v="1670"/>
    <x v="2"/>
    <x v="1"/>
    <x v="3"/>
  </r>
  <r>
    <x v="1671"/>
    <x v="2"/>
    <x v="2"/>
    <x v="26"/>
  </r>
  <r>
    <x v="1672"/>
    <x v="2"/>
    <x v="2"/>
    <x v="26"/>
  </r>
  <r>
    <x v="1673"/>
    <x v="2"/>
    <x v="2"/>
    <x v="26"/>
  </r>
  <r>
    <x v="1674"/>
    <x v="2"/>
    <x v="2"/>
    <x v="26"/>
  </r>
  <r>
    <x v="35"/>
    <x v="2"/>
    <x v="2"/>
    <x v="26"/>
  </r>
  <r>
    <x v="35"/>
    <x v="2"/>
    <x v="2"/>
    <x v="26"/>
  </r>
  <r>
    <x v="35"/>
    <x v="2"/>
    <x v="2"/>
    <x v="26"/>
  </r>
  <r>
    <x v="105"/>
    <x v="2"/>
    <x v="2"/>
    <x v="35"/>
  </r>
  <r>
    <x v="1675"/>
    <x v="2"/>
    <x v="4"/>
    <x v="4"/>
  </r>
  <r>
    <x v="43"/>
    <x v="2"/>
    <x v="1"/>
    <x v="3"/>
  </r>
  <r>
    <x v="41"/>
    <x v="2"/>
    <x v="1"/>
    <x v="30"/>
  </r>
  <r>
    <x v="101"/>
    <x v="2"/>
    <x v="4"/>
    <x v="11"/>
  </r>
  <r>
    <x v="105"/>
    <x v="2"/>
    <x v="1"/>
    <x v="30"/>
  </r>
  <r>
    <x v="101"/>
    <x v="2"/>
    <x v="1"/>
    <x v="8"/>
  </r>
  <r>
    <x v="1081"/>
    <x v="2"/>
    <x v="4"/>
    <x v="4"/>
  </r>
  <r>
    <x v="1676"/>
    <x v="2"/>
    <x v="1"/>
    <x v="1"/>
  </r>
  <r>
    <x v="345"/>
    <x v="2"/>
    <x v="1"/>
    <x v="1"/>
  </r>
  <r>
    <x v="1154"/>
    <x v="2"/>
    <x v="1"/>
    <x v="1"/>
  </r>
  <r>
    <x v="1677"/>
    <x v="2"/>
    <x v="2"/>
    <x v="26"/>
  </r>
  <r>
    <x v="1678"/>
    <x v="2"/>
    <x v="2"/>
    <x v="47"/>
  </r>
  <r>
    <x v="1678"/>
    <x v="2"/>
    <x v="2"/>
    <x v="26"/>
  </r>
  <r>
    <x v="1678"/>
    <x v="2"/>
    <x v="2"/>
    <x v="34"/>
  </r>
  <r>
    <x v="1678"/>
    <x v="2"/>
    <x v="1"/>
    <x v="48"/>
  </r>
  <r>
    <x v="1678"/>
    <x v="2"/>
    <x v="1"/>
    <x v="1"/>
  </r>
  <r>
    <x v="1679"/>
    <x v="2"/>
    <x v="6"/>
    <x v="0"/>
  </r>
  <r>
    <x v="1680"/>
    <x v="2"/>
    <x v="2"/>
    <x v="34"/>
  </r>
  <r>
    <x v="530"/>
    <x v="2"/>
    <x v="1"/>
    <x v="1"/>
  </r>
  <r>
    <x v="403"/>
    <x v="2"/>
    <x v="4"/>
    <x v="4"/>
  </r>
  <r>
    <x v="1681"/>
    <x v="2"/>
    <x v="4"/>
    <x v="4"/>
  </r>
  <r>
    <x v="1682"/>
    <x v="2"/>
    <x v="4"/>
    <x v="4"/>
  </r>
  <r>
    <x v="118"/>
    <x v="2"/>
    <x v="1"/>
    <x v="1"/>
  </r>
  <r>
    <x v="1683"/>
    <x v="2"/>
    <x v="4"/>
    <x v="4"/>
  </r>
  <r>
    <x v="431"/>
    <x v="2"/>
    <x v="1"/>
    <x v="1"/>
  </r>
  <r>
    <x v="1684"/>
    <x v="2"/>
    <x v="6"/>
    <x v="0"/>
  </r>
  <r>
    <x v="460"/>
    <x v="2"/>
    <x v="1"/>
    <x v="40"/>
  </r>
  <r>
    <x v="1685"/>
    <x v="2"/>
    <x v="4"/>
    <x v="4"/>
  </r>
  <r>
    <x v="1686"/>
    <x v="2"/>
    <x v="4"/>
    <x v="4"/>
  </r>
  <r>
    <x v="1687"/>
    <x v="2"/>
    <x v="2"/>
    <x v="46"/>
  </r>
  <r>
    <x v="1688"/>
    <x v="2"/>
    <x v="4"/>
    <x v="4"/>
  </r>
  <r>
    <x v="1689"/>
    <x v="2"/>
    <x v="1"/>
    <x v="1"/>
  </r>
  <r>
    <x v="1690"/>
    <x v="2"/>
    <x v="1"/>
    <x v="1"/>
  </r>
  <r>
    <x v="1691"/>
    <x v="2"/>
    <x v="4"/>
    <x v="4"/>
  </r>
  <r>
    <x v="1692"/>
    <x v="2"/>
    <x v="4"/>
    <x v="4"/>
  </r>
  <r>
    <x v="724"/>
    <x v="2"/>
    <x v="1"/>
    <x v="1"/>
  </r>
  <r>
    <x v="1693"/>
    <x v="2"/>
    <x v="4"/>
    <x v="4"/>
  </r>
  <r>
    <x v="1694"/>
    <x v="2"/>
    <x v="1"/>
    <x v="1"/>
  </r>
  <r>
    <x v="1695"/>
    <x v="2"/>
    <x v="4"/>
    <x v="4"/>
  </r>
  <r>
    <x v="1696"/>
    <x v="2"/>
    <x v="6"/>
    <x v="49"/>
  </r>
  <r>
    <x v="1697"/>
    <x v="2"/>
    <x v="4"/>
    <x v="4"/>
  </r>
  <r>
    <x v="1698"/>
    <x v="2"/>
    <x v="2"/>
    <x v="34"/>
  </r>
  <r>
    <x v="1699"/>
    <x v="2"/>
    <x v="4"/>
    <x v="4"/>
  </r>
  <r>
    <x v="1700"/>
    <x v="2"/>
    <x v="1"/>
    <x v="30"/>
  </r>
  <r>
    <x v="118"/>
    <x v="2"/>
    <x v="4"/>
    <x v="4"/>
  </r>
  <r>
    <x v="1027"/>
    <x v="2"/>
    <x v="1"/>
    <x v="3"/>
  </r>
  <r>
    <x v="1701"/>
    <x v="2"/>
    <x v="2"/>
    <x v="35"/>
  </r>
  <r>
    <x v="1702"/>
    <x v="2"/>
    <x v="1"/>
    <x v="30"/>
  </r>
  <r>
    <x v="1703"/>
    <x v="2"/>
    <x v="1"/>
    <x v="1"/>
  </r>
  <r>
    <x v="1704"/>
    <x v="2"/>
    <x v="1"/>
    <x v="30"/>
  </r>
  <r>
    <x v="1705"/>
    <x v="2"/>
    <x v="1"/>
    <x v="1"/>
  </r>
  <r>
    <x v="1706"/>
    <x v="2"/>
    <x v="1"/>
    <x v="1"/>
  </r>
  <r>
    <x v="1707"/>
    <x v="2"/>
    <x v="1"/>
    <x v="1"/>
  </r>
  <r>
    <x v="1708"/>
    <x v="2"/>
    <x v="4"/>
    <x v="4"/>
  </r>
  <r>
    <x v="1373"/>
    <x v="2"/>
    <x v="4"/>
    <x v="4"/>
  </r>
  <r>
    <x v="1709"/>
    <x v="2"/>
    <x v="1"/>
    <x v="1"/>
  </r>
  <r>
    <x v="1710"/>
    <x v="2"/>
    <x v="1"/>
    <x v="30"/>
  </r>
  <r>
    <x v="1711"/>
    <x v="2"/>
    <x v="7"/>
    <x v="50"/>
  </r>
  <r>
    <x v="934"/>
    <x v="2"/>
    <x v="1"/>
    <x v="51"/>
  </r>
  <r>
    <x v="1712"/>
    <x v="2"/>
    <x v="4"/>
    <x v="4"/>
  </r>
  <r>
    <x v="1713"/>
    <x v="2"/>
    <x v="12"/>
    <x v="0"/>
  </r>
  <r>
    <x v="1714"/>
    <x v="2"/>
    <x v="1"/>
    <x v="23"/>
  </r>
  <r>
    <x v="1715"/>
    <x v="2"/>
    <x v="1"/>
    <x v="1"/>
  </r>
  <r>
    <x v="1716"/>
    <x v="2"/>
    <x v="1"/>
    <x v="1"/>
  </r>
  <r>
    <x v="1717"/>
    <x v="2"/>
    <x v="1"/>
    <x v="1"/>
  </r>
  <r>
    <x v="1718"/>
    <x v="2"/>
    <x v="1"/>
    <x v="1"/>
  </r>
  <r>
    <x v="1719"/>
    <x v="2"/>
    <x v="1"/>
    <x v="1"/>
  </r>
  <r>
    <x v="1720"/>
    <x v="2"/>
    <x v="1"/>
    <x v="23"/>
  </r>
  <r>
    <x v="1720"/>
    <x v="2"/>
    <x v="1"/>
    <x v="23"/>
  </r>
  <r>
    <x v="1720"/>
    <x v="2"/>
    <x v="1"/>
    <x v="23"/>
  </r>
  <r>
    <x v="1721"/>
    <x v="2"/>
    <x v="1"/>
    <x v="1"/>
  </r>
  <r>
    <x v="1722"/>
    <x v="2"/>
    <x v="1"/>
    <x v="1"/>
  </r>
  <r>
    <x v="1723"/>
    <x v="2"/>
    <x v="1"/>
    <x v="1"/>
  </r>
  <r>
    <x v="1724"/>
    <x v="2"/>
    <x v="1"/>
    <x v="1"/>
  </r>
  <r>
    <x v="1725"/>
    <x v="2"/>
    <x v="1"/>
    <x v="1"/>
  </r>
  <r>
    <x v="1726"/>
    <x v="2"/>
    <x v="1"/>
    <x v="1"/>
  </r>
  <r>
    <x v="1727"/>
    <x v="2"/>
    <x v="4"/>
    <x v="4"/>
  </r>
  <r>
    <x v="1728"/>
    <x v="2"/>
    <x v="2"/>
    <x v="26"/>
  </r>
  <r>
    <x v="1720"/>
    <x v="2"/>
    <x v="1"/>
    <x v="23"/>
  </r>
  <r>
    <x v="1729"/>
    <x v="2"/>
    <x v="1"/>
    <x v="23"/>
  </r>
  <r>
    <x v="1720"/>
    <x v="2"/>
    <x v="1"/>
    <x v="23"/>
  </r>
  <r>
    <x v="1730"/>
    <x v="2"/>
    <x v="4"/>
    <x v="4"/>
  </r>
  <r>
    <x v="399"/>
    <x v="2"/>
    <x v="4"/>
    <x v="4"/>
  </r>
  <r>
    <x v="1731"/>
    <x v="2"/>
    <x v="1"/>
    <x v="1"/>
  </r>
  <r>
    <x v="1732"/>
    <x v="2"/>
    <x v="1"/>
    <x v="23"/>
  </r>
  <r>
    <x v="1733"/>
    <x v="2"/>
    <x v="1"/>
    <x v="23"/>
  </r>
  <r>
    <x v="606"/>
    <x v="2"/>
    <x v="1"/>
    <x v="1"/>
  </r>
  <r>
    <x v="1734"/>
    <x v="2"/>
    <x v="1"/>
    <x v="23"/>
  </r>
  <r>
    <x v="123"/>
    <x v="2"/>
    <x v="4"/>
    <x v="4"/>
  </r>
  <r>
    <x v="1735"/>
    <x v="2"/>
    <x v="4"/>
    <x v="4"/>
  </r>
  <r>
    <x v="1736"/>
    <x v="2"/>
    <x v="4"/>
    <x v="11"/>
  </r>
  <r>
    <x v="435"/>
    <x v="2"/>
    <x v="4"/>
    <x v="11"/>
  </r>
  <r>
    <x v="1737"/>
    <x v="2"/>
    <x v="4"/>
    <x v="11"/>
  </r>
  <r>
    <x v="1738"/>
    <x v="2"/>
    <x v="4"/>
    <x v="11"/>
  </r>
  <r>
    <x v="1739"/>
    <x v="2"/>
    <x v="4"/>
    <x v="4"/>
  </r>
  <r>
    <x v="1740"/>
    <x v="2"/>
    <x v="1"/>
    <x v="43"/>
  </r>
  <r>
    <x v="1741"/>
    <x v="2"/>
    <x v="5"/>
    <x v="0"/>
  </r>
  <r>
    <x v="101"/>
    <x v="2"/>
    <x v="4"/>
    <x v="11"/>
  </r>
  <r>
    <x v="99"/>
    <x v="2"/>
    <x v="1"/>
    <x v="1"/>
  </r>
  <r>
    <x v="40"/>
    <x v="2"/>
    <x v="2"/>
    <x v="26"/>
  </r>
  <r>
    <x v="160"/>
    <x v="2"/>
    <x v="2"/>
    <x v="35"/>
  </r>
  <r>
    <x v="832"/>
    <x v="2"/>
    <x v="1"/>
    <x v="3"/>
  </r>
  <r>
    <x v="369"/>
    <x v="2"/>
    <x v="1"/>
    <x v="30"/>
  </r>
  <r>
    <x v="1742"/>
    <x v="2"/>
    <x v="6"/>
    <x v="0"/>
  </r>
  <r>
    <x v="1743"/>
    <x v="2"/>
    <x v="2"/>
    <x v="26"/>
  </r>
  <r>
    <x v="1744"/>
    <x v="2"/>
    <x v="2"/>
    <x v="26"/>
  </r>
  <r>
    <x v="817"/>
    <x v="2"/>
    <x v="2"/>
    <x v="26"/>
  </r>
  <r>
    <x v="987"/>
    <x v="2"/>
    <x v="1"/>
    <x v="1"/>
  </r>
  <r>
    <x v="166"/>
    <x v="2"/>
    <x v="2"/>
    <x v="34"/>
  </r>
  <r>
    <x v="75"/>
    <x v="2"/>
    <x v="1"/>
    <x v="30"/>
  </r>
  <r>
    <x v="1745"/>
    <x v="2"/>
    <x v="6"/>
    <x v="0"/>
  </r>
  <r>
    <x v="1746"/>
    <x v="2"/>
    <x v="1"/>
    <x v="30"/>
  </r>
  <r>
    <x v="1747"/>
    <x v="2"/>
    <x v="1"/>
    <x v="30"/>
  </r>
  <r>
    <x v="40"/>
    <x v="2"/>
    <x v="1"/>
    <x v="30"/>
  </r>
  <r>
    <x v="147"/>
    <x v="2"/>
    <x v="1"/>
    <x v="3"/>
  </r>
  <r>
    <x v="99"/>
    <x v="2"/>
    <x v="2"/>
    <x v="26"/>
  </r>
  <r>
    <x v="809"/>
    <x v="2"/>
    <x v="4"/>
    <x v="4"/>
  </r>
  <r>
    <x v="552"/>
    <x v="2"/>
    <x v="1"/>
    <x v="1"/>
  </r>
  <r>
    <x v="1748"/>
    <x v="2"/>
    <x v="4"/>
    <x v="4"/>
  </r>
  <r>
    <x v="1749"/>
    <x v="2"/>
    <x v="4"/>
    <x v="4"/>
  </r>
  <r>
    <x v="1750"/>
    <x v="2"/>
    <x v="4"/>
    <x v="4"/>
  </r>
  <r>
    <x v="75"/>
    <x v="2"/>
    <x v="4"/>
    <x v="4"/>
  </r>
  <r>
    <x v="43"/>
    <x v="2"/>
    <x v="4"/>
    <x v="4"/>
  </r>
  <r>
    <x v="14"/>
    <x v="2"/>
    <x v="4"/>
    <x v="4"/>
  </r>
  <r>
    <x v="1351"/>
    <x v="2"/>
    <x v="4"/>
    <x v="4"/>
  </r>
  <r>
    <x v="192"/>
    <x v="2"/>
    <x v="2"/>
    <x v="26"/>
  </r>
  <r>
    <x v="1751"/>
    <x v="2"/>
    <x v="4"/>
    <x v="4"/>
  </r>
  <r>
    <x v="861"/>
    <x v="2"/>
    <x v="4"/>
    <x v="11"/>
  </r>
  <r>
    <x v="192"/>
    <x v="2"/>
    <x v="4"/>
    <x v="4"/>
  </r>
  <r>
    <x v="99"/>
    <x v="2"/>
    <x v="6"/>
    <x v="49"/>
  </r>
  <r>
    <x v="160"/>
    <x v="2"/>
    <x v="1"/>
    <x v="30"/>
  </r>
  <r>
    <x v="160"/>
    <x v="2"/>
    <x v="2"/>
    <x v="26"/>
  </r>
  <r>
    <x v="1752"/>
    <x v="2"/>
    <x v="1"/>
    <x v="23"/>
  </r>
  <r>
    <x v="101"/>
    <x v="2"/>
    <x v="1"/>
    <x v="16"/>
  </r>
  <r>
    <x v="75"/>
    <x v="2"/>
    <x v="6"/>
    <x v="0"/>
  </r>
  <r>
    <x v="832"/>
    <x v="2"/>
    <x v="1"/>
    <x v="3"/>
  </r>
  <r>
    <x v="40"/>
    <x v="2"/>
    <x v="6"/>
    <x v="0"/>
  </r>
  <r>
    <x v="99"/>
    <x v="2"/>
    <x v="1"/>
    <x v="30"/>
  </r>
  <r>
    <x v="102"/>
    <x v="2"/>
    <x v="1"/>
    <x v="1"/>
  </r>
  <r>
    <x v="99"/>
    <x v="2"/>
    <x v="2"/>
    <x v="2"/>
  </r>
  <r>
    <x v="147"/>
    <x v="2"/>
    <x v="1"/>
    <x v="16"/>
  </r>
  <r>
    <x v="160"/>
    <x v="2"/>
    <x v="2"/>
    <x v="26"/>
  </r>
  <r>
    <x v="1753"/>
    <x v="2"/>
    <x v="1"/>
    <x v="3"/>
  </r>
  <r>
    <x v="36"/>
    <x v="2"/>
    <x v="1"/>
    <x v="1"/>
  </r>
  <r>
    <x v="102"/>
    <x v="2"/>
    <x v="1"/>
    <x v="1"/>
  </r>
  <r>
    <x v="1754"/>
    <x v="2"/>
    <x v="1"/>
    <x v="3"/>
  </r>
  <r>
    <x v="1755"/>
    <x v="2"/>
    <x v="1"/>
    <x v="30"/>
  </r>
  <r>
    <x v="18"/>
    <x v="2"/>
    <x v="1"/>
    <x v="3"/>
  </r>
  <r>
    <x v="18"/>
    <x v="2"/>
    <x v="2"/>
    <x v="34"/>
  </r>
  <r>
    <x v="180"/>
    <x v="2"/>
    <x v="2"/>
    <x v="26"/>
  </r>
  <r>
    <x v="192"/>
    <x v="2"/>
    <x v="1"/>
    <x v="1"/>
  </r>
  <r>
    <x v="80"/>
    <x v="2"/>
    <x v="2"/>
    <x v="26"/>
  </r>
  <r>
    <x v="1756"/>
    <x v="2"/>
    <x v="1"/>
    <x v="30"/>
  </r>
  <r>
    <x v="79"/>
    <x v="2"/>
    <x v="6"/>
    <x v="0"/>
  </r>
  <r>
    <x v="1757"/>
    <x v="2"/>
    <x v="2"/>
    <x v="26"/>
  </r>
  <r>
    <x v="1758"/>
    <x v="2"/>
    <x v="2"/>
    <x v="26"/>
  </r>
  <r>
    <x v="103"/>
    <x v="2"/>
    <x v="1"/>
    <x v="1"/>
  </r>
  <r>
    <x v="1759"/>
    <x v="2"/>
    <x v="2"/>
    <x v="34"/>
  </r>
  <r>
    <x v="1760"/>
    <x v="2"/>
    <x v="1"/>
    <x v="1"/>
  </r>
  <r>
    <x v="311"/>
    <x v="2"/>
    <x v="1"/>
    <x v="31"/>
  </r>
  <r>
    <x v="1761"/>
    <x v="2"/>
    <x v="1"/>
    <x v="1"/>
  </r>
  <r>
    <x v="1762"/>
    <x v="2"/>
    <x v="1"/>
    <x v="1"/>
  </r>
  <r>
    <x v="955"/>
    <x v="2"/>
    <x v="6"/>
    <x v="49"/>
  </r>
  <r>
    <x v="1763"/>
    <x v="2"/>
    <x v="4"/>
    <x v="4"/>
  </r>
  <r>
    <x v="1764"/>
    <x v="2"/>
    <x v="4"/>
    <x v="4"/>
  </r>
  <r>
    <x v="1765"/>
    <x v="2"/>
    <x v="0"/>
    <x v="0"/>
  </r>
  <r>
    <x v="1766"/>
    <x v="2"/>
    <x v="3"/>
    <x v="0"/>
  </r>
  <r>
    <x v="1767"/>
    <x v="2"/>
    <x v="0"/>
    <x v="0"/>
  </r>
  <r>
    <x v="1768"/>
    <x v="2"/>
    <x v="0"/>
    <x v="0"/>
  </r>
  <r>
    <x v="1769"/>
    <x v="2"/>
    <x v="3"/>
    <x v="0"/>
  </r>
  <r>
    <x v="1770"/>
    <x v="2"/>
    <x v="4"/>
    <x v="4"/>
  </r>
  <r>
    <x v="1771"/>
    <x v="2"/>
    <x v="1"/>
    <x v="1"/>
  </r>
  <r>
    <x v="1772"/>
    <x v="2"/>
    <x v="1"/>
    <x v="1"/>
  </r>
  <r>
    <x v="1773"/>
    <x v="2"/>
    <x v="1"/>
    <x v="1"/>
  </r>
  <r>
    <x v="1774"/>
    <x v="2"/>
    <x v="4"/>
    <x v="4"/>
  </r>
  <r>
    <x v="1775"/>
    <x v="2"/>
    <x v="1"/>
    <x v="3"/>
  </r>
  <r>
    <x v="1776"/>
    <x v="2"/>
    <x v="4"/>
    <x v="4"/>
  </r>
  <r>
    <x v="1777"/>
    <x v="2"/>
    <x v="1"/>
    <x v="1"/>
  </r>
  <r>
    <x v="1778"/>
    <x v="2"/>
    <x v="1"/>
    <x v="1"/>
  </r>
  <r>
    <x v="1690"/>
    <x v="2"/>
    <x v="1"/>
    <x v="1"/>
  </r>
  <r>
    <x v="1779"/>
    <x v="2"/>
    <x v="1"/>
    <x v="31"/>
  </r>
  <r>
    <x v="379"/>
    <x v="2"/>
    <x v="1"/>
    <x v="1"/>
  </r>
  <r>
    <x v="1780"/>
    <x v="2"/>
    <x v="4"/>
    <x v="4"/>
  </r>
  <r>
    <x v="599"/>
    <x v="2"/>
    <x v="2"/>
    <x v="46"/>
  </r>
  <r>
    <x v="447"/>
    <x v="2"/>
    <x v="4"/>
    <x v="11"/>
  </r>
  <r>
    <x v="1781"/>
    <x v="2"/>
    <x v="2"/>
    <x v="46"/>
  </r>
  <r>
    <x v="154"/>
    <x v="2"/>
    <x v="4"/>
    <x v="4"/>
  </r>
  <r>
    <x v="1782"/>
    <x v="2"/>
    <x v="4"/>
    <x v="4"/>
  </r>
  <r>
    <x v="1783"/>
    <x v="2"/>
    <x v="2"/>
    <x v="26"/>
  </r>
  <r>
    <x v="1784"/>
    <x v="2"/>
    <x v="1"/>
    <x v="31"/>
  </r>
  <r>
    <x v="1785"/>
    <x v="2"/>
    <x v="1"/>
    <x v="23"/>
  </r>
  <r>
    <x v="1786"/>
    <x v="2"/>
    <x v="2"/>
    <x v="26"/>
  </r>
  <r>
    <x v="1787"/>
    <x v="2"/>
    <x v="1"/>
    <x v="31"/>
  </r>
  <r>
    <x v="1788"/>
    <x v="2"/>
    <x v="6"/>
    <x v="0"/>
  </r>
  <r>
    <x v="1789"/>
    <x v="2"/>
    <x v="4"/>
    <x v="4"/>
  </r>
  <r>
    <x v="1790"/>
    <x v="2"/>
    <x v="1"/>
    <x v="40"/>
  </r>
  <r>
    <x v="311"/>
    <x v="2"/>
    <x v="1"/>
    <x v="14"/>
  </r>
  <r>
    <x v="1791"/>
    <x v="2"/>
    <x v="1"/>
    <x v="23"/>
  </r>
  <r>
    <x v="1792"/>
    <x v="5"/>
    <x v="4"/>
    <x v="11"/>
  </r>
  <r>
    <x v="1793"/>
    <x v="2"/>
    <x v="4"/>
    <x v="11"/>
  </r>
  <r>
    <x v="1794"/>
    <x v="2"/>
    <x v="4"/>
    <x v="4"/>
  </r>
  <r>
    <x v="1795"/>
    <x v="2"/>
    <x v="1"/>
    <x v="1"/>
  </r>
  <r>
    <x v="1796"/>
    <x v="2"/>
    <x v="1"/>
    <x v="1"/>
  </r>
  <r>
    <x v="1060"/>
    <x v="2"/>
    <x v="1"/>
    <x v="1"/>
  </r>
  <r>
    <x v="254"/>
    <x v="2"/>
    <x v="4"/>
    <x v="11"/>
  </r>
  <r>
    <x v="531"/>
    <x v="2"/>
    <x v="4"/>
    <x v="4"/>
  </r>
  <r>
    <x v="1797"/>
    <x v="2"/>
    <x v="4"/>
    <x v="4"/>
  </r>
  <r>
    <x v="1798"/>
    <x v="2"/>
    <x v="1"/>
    <x v="1"/>
  </r>
  <r>
    <x v="1799"/>
    <x v="2"/>
    <x v="5"/>
    <x v="0"/>
  </r>
  <r>
    <x v="1800"/>
    <x v="2"/>
    <x v="5"/>
    <x v="0"/>
  </r>
  <r>
    <x v="1801"/>
    <x v="2"/>
    <x v="5"/>
    <x v="0"/>
  </r>
  <r>
    <x v="1802"/>
    <x v="2"/>
    <x v="5"/>
    <x v="0"/>
  </r>
  <r>
    <x v="1803"/>
    <x v="2"/>
    <x v="1"/>
    <x v="3"/>
  </r>
  <r>
    <x v="1804"/>
    <x v="2"/>
    <x v="1"/>
    <x v="31"/>
  </r>
  <r>
    <x v="1803"/>
    <x v="2"/>
    <x v="1"/>
    <x v="30"/>
  </r>
  <r>
    <x v="1804"/>
    <x v="2"/>
    <x v="1"/>
    <x v="14"/>
  </r>
  <r>
    <x v="1805"/>
    <x v="2"/>
    <x v="2"/>
    <x v="26"/>
  </r>
  <r>
    <x v="861"/>
    <x v="2"/>
    <x v="4"/>
    <x v="11"/>
  </r>
  <r>
    <x v="1806"/>
    <x v="2"/>
    <x v="1"/>
    <x v="30"/>
  </r>
  <r>
    <x v="1807"/>
    <x v="2"/>
    <x v="5"/>
    <x v="0"/>
  </r>
  <r>
    <x v="1808"/>
    <x v="2"/>
    <x v="5"/>
    <x v="0"/>
  </r>
  <r>
    <x v="1809"/>
    <x v="2"/>
    <x v="4"/>
    <x v="11"/>
  </r>
  <r>
    <x v="1810"/>
    <x v="2"/>
    <x v="5"/>
    <x v="0"/>
  </r>
  <r>
    <x v="1811"/>
    <x v="2"/>
    <x v="4"/>
    <x v="11"/>
  </r>
  <r>
    <x v="1812"/>
    <x v="2"/>
    <x v="4"/>
    <x v="11"/>
  </r>
  <r>
    <x v="1813"/>
    <x v="2"/>
    <x v="4"/>
    <x v="11"/>
  </r>
  <r>
    <x v="1146"/>
    <x v="2"/>
    <x v="4"/>
    <x v="11"/>
  </r>
  <r>
    <x v="147"/>
    <x v="2"/>
    <x v="4"/>
    <x v="11"/>
  </r>
  <r>
    <x v="1814"/>
    <x v="2"/>
    <x v="4"/>
    <x v="4"/>
  </r>
  <r>
    <x v="1815"/>
    <x v="2"/>
    <x v="4"/>
    <x v="4"/>
  </r>
  <r>
    <x v="447"/>
    <x v="2"/>
    <x v="4"/>
    <x v="11"/>
  </r>
  <r>
    <x v="1816"/>
    <x v="2"/>
    <x v="4"/>
    <x v="11"/>
  </r>
  <r>
    <x v="1817"/>
    <x v="2"/>
    <x v="4"/>
    <x v="11"/>
  </r>
  <r>
    <x v="1818"/>
    <x v="2"/>
    <x v="4"/>
    <x v="11"/>
  </r>
  <r>
    <x v="109"/>
    <x v="2"/>
    <x v="4"/>
    <x v="11"/>
  </r>
  <r>
    <x v="1819"/>
    <x v="2"/>
    <x v="4"/>
    <x v="11"/>
  </r>
  <r>
    <x v="1820"/>
    <x v="2"/>
    <x v="4"/>
    <x v="11"/>
  </r>
  <r>
    <x v="99"/>
    <x v="2"/>
    <x v="4"/>
    <x v="4"/>
  </r>
  <r>
    <x v="1821"/>
    <x v="2"/>
    <x v="1"/>
    <x v="1"/>
  </r>
  <r>
    <x v="43"/>
    <x v="2"/>
    <x v="1"/>
    <x v="1"/>
  </r>
  <r>
    <x v="25"/>
    <x v="2"/>
    <x v="1"/>
    <x v="1"/>
  </r>
  <r>
    <x v="368"/>
    <x v="2"/>
    <x v="4"/>
    <x v="4"/>
  </r>
  <r>
    <x v="1822"/>
    <x v="2"/>
    <x v="4"/>
    <x v="4"/>
  </r>
  <r>
    <x v="1823"/>
    <x v="2"/>
    <x v="1"/>
    <x v="1"/>
  </r>
  <r>
    <x v="369"/>
    <x v="2"/>
    <x v="6"/>
    <x v="0"/>
  </r>
  <r>
    <x v="368"/>
    <x v="2"/>
    <x v="6"/>
    <x v="0"/>
  </r>
  <r>
    <x v="166"/>
    <x v="2"/>
    <x v="1"/>
    <x v="1"/>
  </r>
  <r>
    <x v="75"/>
    <x v="2"/>
    <x v="2"/>
    <x v="26"/>
  </r>
  <r>
    <x v="545"/>
    <x v="2"/>
    <x v="1"/>
    <x v="1"/>
  </r>
  <r>
    <x v="76"/>
    <x v="2"/>
    <x v="1"/>
    <x v="1"/>
  </r>
  <r>
    <x v="75"/>
    <x v="2"/>
    <x v="1"/>
    <x v="1"/>
  </r>
  <r>
    <x v="132"/>
    <x v="2"/>
    <x v="2"/>
    <x v="26"/>
  </r>
  <r>
    <x v="1824"/>
    <x v="2"/>
    <x v="1"/>
    <x v="30"/>
  </r>
  <r>
    <x v="1825"/>
    <x v="2"/>
    <x v="2"/>
    <x v="26"/>
  </r>
  <r>
    <x v="115"/>
    <x v="2"/>
    <x v="1"/>
    <x v="1"/>
  </r>
  <r>
    <x v="1826"/>
    <x v="2"/>
    <x v="1"/>
    <x v="30"/>
  </r>
  <r>
    <x v="43"/>
    <x v="2"/>
    <x v="1"/>
    <x v="1"/>
  </r>
  <r>
    <x v="1827"/>
    <x v="2"/>
    <x v="1"/>
    <x v="1"/>
  </r>
  <r>
    <x v="161"/>
    <x v="2"/>
    <x v="1"/>
    <x v="1"/>
  </r>
  <r>
    <x v="1828"/>
    <x v="2"/>
    <x v="2"/>
    <x v="26"/>
  </r>
  <r>
    <x v="1829"/>
    <x v="2"/>
    <x v="6"/>
    <x v="49"/>
  </r>
  <r>
    <x v="1830"/>
    <x v="2"/>
    <x v="6"/>
    <x v="49"/>
  </r>
  <r>
    <x v="447"/>
    <x v="2"/>
    <x v="1"/>
    <x v="1"/>
  </r>
  <r>
    <x v="1831"/>
    <x v="2"/>
    <x v="1"/>
    <x v="1"/>
  </r>
  <r>
    <x v="103"/>
    <x v="2"/>
    <x v="1"/>
    <x v="1"/>
  </r>
  <r>
    <x v="1832"/>
    <x v="2"/>
    <x v="6"/>
    <x v="0"/>
  </r>
  <r>
    <x v="103"/>
    <x v="2"/>
    <x v="6"/>
    <x v="0"/>
  </r>
  <r>
    <x v="76"/>
    <x v="2"/>
    <x v="1"/>
    <x v="1"/>
  </r>
  <r>
    <x v="168"/>
    <x v="2"/>
    <x v="2"/>
    <x v="35"/>
  </r>
  <r>
    <x v="507"/>
    <x v="2"/>
    <x v="1"/>
    <x v="16"/>
  </r>
  <r>
    <x v="105"/>
    <x v="2"/>
    <x v="4"/>
    <x v="4"/>
  </r>
  <r>
    <x v="1833"/>
    <x v="2"/>
    <x v="9"/>
    <x v="23"/>
  </r>
  <r>
    <x v="1834"/>
    <x v="2"/>
    <x v="9"/>
    <x v="24"/>
  </r>
  <r>
    <x v="506"/>
    <x v="2"/>
    <x v="4"/>
    <x v="11"/>
  </r>
  <r>
    <x v="101"/>
    <x v="2"/>
    <x v="4"/>
    <x v="11"/>
  </r>
  <r>
    <x v="817"/>
    <x v="2"/>
    <x v="4"/>
    <x v="11"/>
  </r>
  <r>
    <x v="1835"/>
    <x v="2"/>
    <x v="1"/>
    <x v="52"/>
  </r>
  <r>
    <x v="1836"/>
    <x v="2"/>
    <x v="1"/>
    <x v="52"/>
  </r>
  <r>
    <x v="1837"/>
    <x v="2"/>
    <x v="1"/>
    <x v="52"/>
  </r>
  <r>
    <x v="1838"/>
    <x v="2"/>
    <x v="2"/>
    <x v="26"/>
  </r>
  <r>
    <x v="1838"/>
    <x v="2"/>
    <x v="2"/>
    <x v="26"/>
  </r>
  <r>
    <x v="1839"/>
    <x v="2"/>
    <x v="1"/>
    <x v="30"/>
  </r>
  <r>
    <x v="1840"/>
    <x v="2"/>
    <x v="1"/>
    <x v="30"/>
  </r>
  <r>
    <x v="1841"/>
    <x v="2"/>
    <x v="2"/>
    <x v="26"/>
  </r>
  <r>
    <x v="1842"/>
    <x v="2"/>
    <x v="1"/>
    <x v="1"/>
  </r>
  <r>
    <x v="1843"/>
    <x v="2"/>
    <x v="1"/>
    <x v="3"/>
  </r>
  <r>
    <x v="1844"/>
    <x v="2"/>
    <x v="1"/>
    <x v="3"/>
  </r>
  <r>
    <x v="1845"/>
    <x v="2"/>
    <x v="2"/>
    <x v="35"/>
  </r>
  <r>
    <x v="1846"/>
    <x v="2"/>
    <x v="2"/>
    <x v="35"/>
  </r>
  <r>
    <x v="1847"/>
    <x v="2"/>
    <x v="2"/>
    <x v="35"/>
  </r>
  <r>
    <x v="780"/>
    <x v="2"/>
    <x v="1"/>
    <x v="31"/>
  </r>
  <r>
    <x v="1836"/>
    <x v="2"/>
    <x v="1"/>
    <x v="31"/>
  </r>
  <r>
    <x v="1848"/>
    <x v="2"/>
    <x v="1"/>
    <x v="1"/>
  </r>
  <r>
    <x v="1849"/>
    <x v="2"/>
    <x v="2"/>
    <x v="35"/>
  </r>
  <r>
    <x v="1850"/>
    <x v="2"/>
    <x v="1"/>
    <x v="31"/>
  </r>
  <r>
    <x v="1851"/>
    <x v="2"/>
    <x v="2"/>
    <x v="34"/>
  </r>
  <r>
    <x v="1852"/>
    <x v="2"/>
    <x v="1"/>
    <x v="23"/>
  </r>
  <r>
    <x v="1853"/>
    <x v="2"/>
    <x v="1"/>
    <x v="23"/>
  </r>
  <r>
    <x v="1854"/>
    <x v="2"/>
    <x v="1"/>
    <x v="1"/>
  </r>
  <r>
    <x v="1855"/>
    <x v="2"/>
    <x v="1"/>
    <x v="43"/>
  </r>
  <r>
    <x v="99"/>
    <x v="2"/>
    <x v="1"/>
    <x v="31"/>
  </r>
  <r>
    <x v="76"/>
    <x v="2"/>
    <x v="1"/>
    <x v="1"/>
  </r>
  <r>
    <x v="1066"/>
    <x v="2"/>
    <x v="6"/>
    <x v="53"/>
  </r>
  <r>
    <x v="522"/>
    <x v="2"/>
    <x v="6"/>
    <x v="53"/>
  </r>
  <r>
    <x v="1856"/>
    <x v="2"/>
    <x v="6"/>
    <x v="53"/>
  </r>
  <r>
    <x v="195"/>
    <x v="2"/>
    <x v="1"/>
    <x v="31"/>
  </r>
  <r>
    <x v="1857"/>
    <x v="2"/>
    <x v="6"/>
    <x v="53"/>
  </r>
  <r>
    <x v="1858"/>
    <x v="2"/>
    <x v="2"/>
    <x v="26"/>
  </r>
  <r>
    <x v="1859"/>
    <x v="2"/>
    <x v="1"/>
    <x v="31"/>
  </r>
  <r>
    <x v="42"/>
    <x v="2"/>
    <x v="2"/>
    <x v="26"/>
  </r>
  <r>
    <x v="99"/>
    <x v="2"/>
    <x v="2"/>
    <x v="26"/>
  </r>
  <r>
    <x v="577"/>
    <x v="2"/>
    <x v="1"/>
    <x v="31"/>
  </r>
  <r>
    <x v="186"/>
    <x v="2"/>
    <x v="1"/>
    <x v="1"/>
  </r>
  <r>
    <x v="132"/>
    <x v="2"/>
    <x v="2"/>
    <x v="26"/>
  </r>
  <r>
    <x v="806"/>
    <x v="2"/>
    <x v="1"/>
    <x v="1"/>
  </r>
  <r>
    <x v="186"/>
    <x v="2"/>
    <x v="6"/>
    <x v="38"/>
  </r>
  <r>
    <x v="42"/>
    <x v="2"/>
    <x v="6"/>
    <x v="38"/>
  </r>
  <r>
    <x v="76"/>
    <x v="2"/>
    <x v="1"/>
    <x v="1"/>
  </r>
  <r>
    <x v="1073"/>
    <x v="2"/>
    <x v="1"/>
    <x v="1"/>
  </r>
  <r>
    <x v="1860"/>
    <x v="2"/>
    <x v="1"/>
    <x v="1"/>
  </r>
  <r>
    <x v="1861"/>
    <x v="2"/>
    <x v="1"/>
    <x v="1"/>
  </r>
  <r>
    <x v="1753"/>
    <x v="2"/>
    <x v="6"/>
    <x v="38"/>
  </r>
  <r>
    <x v="1862"/>
    <x v="2"/>
    <x v="1"/>
    <x v="1"/>
  </r>
  <r>
    <x v="1664"/>
    <x v="2"/>
    <x v="1"/>
    <x v="1"/>
  </r>
  <r>
    <x v="101"/>
    <x v="2"/>
    <x v="1"/>
    <x v="1"/>
  </r>
  <r>
    <x v="1863"/>
    <x v="2"/>
    <x v="1"/>
    <x v="1"/>
  </r>
  <r>
    <x v="132"/>
    <x v="2"/>
    <x v="4"/>
    <x v="4"/>
  </r>
  <r>
    <x v="105"/>
    <x v="2"/>
    <x v="4"/>
    <x v="11"/>
  </r>
  <r>
    <x v="1864"/>
    <x v="2"/>
    <x v="4"/>
    <x v="4"/>
  </r>
  <r>
    <x v="573"/>
    <x v="2"/>
    <x v="6"/>
    <x v="53"/>
  </r>
  <r>
    <x v="1803"/>
    <x v="2"/>
    <x v="2"/>
    <x v="2"/>
  </r>
  <r>
    <x v="1804"/>
    <x v="2"/>
    <x v="2"/>
    <x v="35"/>
  </r>
  <r>
    <x v="192"/>
    <x v="2"/>
    <x v="1"/>
    <x v="31"/>
  </r>
  <r>
    <x v="1865"/>
    <x v="2"/>
    <x v="4"/>
    <x v="11"/>
  </r>
  <r>
    <x v="1866"/>
    <x v="2"/>
    <x v="1"/>
    <x v="30"/>
  </r>
  <r>
    <x v="577"/>
    <x v="2"/>
    <x v="4"/>
    <x v="4"/>
  </r>
  <r>
    <x v="160"/>
    <x v="2"/>
    <x v="2"/>
    <x v="26"/>
  </r>
  <r>
    <x v="160"/>
    <x v="2"/>
    <x v="1"/>
    <x v="16"/>
  </r>
  <r>
    <x v="1867"/>
    <x v="2"/>
    <x v="1"/>
    <x v="31"/>
  </r>
  <r>
    <x v="160"/>
    <x v="2"/>
    <x v="6"/>
    <x v="53"/>
  </r>
  <r>
    <x v="1868"/>
    <x v="2"/>
    <x v="1"/>
    <x v="31"/>
  </r>
  <r>
    <x v="1868"/>
    <x v="2"/>
    <x v="6"/>
    <x v="53"/>
  </r>
  <r>
    <x v="1869"/>
    <x v="2"/>
    <x v="2"/>
    <x v="26"/>
  </r>
  <r>
    <x v="99"/>
    <x v="2"/>
    <x v="1"/>
    <x v="31"/>
  </r>
  <r>
    <x v="447"/>
    <x v="2"/>
    <x v="1"/>
    <x v="1"/>
  </r>
  <r>
    <x v="43"/>
    <x v="2"/>
    <x v="1"/>
    <x v="3"/>
  </r>
  <r>
    <x v="160"/>
    <x v="2"/>
    <x v="1"/>
    <x v="16"/>
  </r>
  <r>
    <x v="40"/>
    <x v="2"/>
    <x v="6"/>
    <x v="38"/>
  </r>
  <r>
    <x v="1870"/>
    <x v="2"/>
    <x v="1"/>
    <x v="30"/>
  </r>
  <r>
    <x v="160"/>
    <x v="2"/>
    <x v="2"/>
    <x v="26"/>
  </r>
  <r>
    <x v="675"/>
    <x v="2"/>
    <x v="2"/>
    <x v="26"/>
  </r>
  <r>
    <x v="1871"/>
    <x v="2"/>
    <x v="2"/>
    <x v="26"/>
  </r>
  <r>
    <x v="163"/>
    <x v="2"/>
    <x v="2"/>
    <x v="26"/>
  </r>
  <r>
    <x v="99"/>
    <x v="2"/>
    <x v="4"/>
    <x v="4"/>
  </r>
  <r>
    <x v="43"/>
    <x v="2"/>
    <x v="6"/>
    <x v="38"/>
  </r>
  <r>
    <x v="1872"/>
    <x v="2"/>
    <x v="1"/>
    <x v="31"/>
  </r>
  <r>
    <x v="166"/>
    <x v="2"/>
    <x v="6"/>
    <x v="53"/>
  </r>
  <r>
    <x v="99"/>
    <x v="2"/>
    <x v="1"/>
    <x v="1"/>
  </r>
  <r>
    <x v="1873"/>
    <x v="2"/>
    <x v="1"/>
    <x v="31"/>
  </r>
  <r>
    <x v="1874"/>
    <x v="2"/>
    <x v="1"/>
    <x v="31"/>
  </r>
  <r>
    <x v="767"/>
    <x v="2"/>
    <x v="4"/>
    <x v="4"/>
  </r>
  <r>
    <x v="1875"/>
    <x v="2"/>
    <x v="4"/>
    <x v="4"/>
  </r>
  <r>
    <x v="1876"/>
    <x v="2"/>
    <x v="1"/>
    <x v="31"/>
  </r>
  <r>
    <x v="535"/>
    <x v="2"/>
    <x v="1"/>
    <x v="31"/>
  </r>
  <r>
    <x v="1877"/>
    <x v="2"/>
    <x v="6"/>
    <x v="53"/>
  </r>
  <r>
    <x v="1878"/>
    <x v="2"/>
    <x v="4"/>
    <x v="4"/>
  </r>
  <r>
    <x v="1879"/>
    <x v="2"/>
    <x v="1"/>
    <x v="3"/>
  </r>
  <r>
    <x v="1880"/>
    <x v="2"/>
    <x v="1"/>
    <x v="1"/>
  </r>
  <r>
    <x v="1167"/>
    <x v="2"/>
    <x v="1"/>
    <x v="1"/>
  </r>
  <r>
    <x v="12"/>
    <x v="2"/>
    <x v="4"/>
    <x v="4"/>
  </r>
  <r>
    <x v="1881"/>
    <x v="2"/>
    <x v="0"/>
    <x v="0"/>
  </r>
  <r>
    <x v="252"/>
    <x v="2"/>
    <x v="1"/>
    <x v="23"/>
  </r>
  <r>
    <x v="11"/>
    <x v="2"/>
    <x v="4"/>
    <x v="11"/>
  </r>
  <r>
    <x v="1882"/>
    <x v="2"/>
    <x v="4"/>
    <x v="4"/>
  </r>
  <r>
    <x v="1883"/>
    <x v="2"/>
    <x v="4"/>
    <x v="4"/>
  </r>
  <r>
    <x v="359"/>
    <x v="2"/>
    <x v="4"/>
    <x v="4"/>
  </r>
  <r>
    <x v="1884"/>
    <x v="2"/>
    <x v="2"/>
    <x v="2"/>
  </r>
  <r>
    <x v="317"/>
    <x v="2"/>
    <x v="4"/>
    <x v="4"/>
  </r>
  <r>
    <x v="1885"/>
    <x v="2"/>
    <x v="4"/>
    <x v="4"/>
  </r>
  <r>
    <x v="1886"/>
    <x v="2"/>
    <x v="1"/>
    <x v="31"/>
  </r>
  <r>
    <x v="1186"/>
    <x v="2"/>
    <x v="2"/>
    <x v="26"/>
  </r>
  <r>
    <x v="498"/>
    <x v="2"/>
    <x v="4"/>
    <x v="4"/>
  </r>
  <r>
    <x v="1887"/>
    <x v="2"/>
    <x v="1"/>
    <x v="23"/>
  </r>
  <r>
    <x v="1888"/>
    <x v="2"/>
    <x v="1"/>
    <x v="43"/>
  </r>
  <r>
    <x v="808"/>
    <x v="2"/>
    <x v="1"/>
    <x v="22"/>
  </r>
  <r>
    <x v="118"/>
    <x v="2"/>
    <x v="1"/>
    <x v="1"/>
  </r>
  <r>
    <x v="1889"/>
    <x v="2"/>
    <x v="1"/>
    <x v="30"/>
  </r>
  <r>
    <x v="606"/>
    <x v="2"/>
    <x v="1"/>
    <x v="1"/>
  </r>
  <r>
    <x v="1890"/>
    <x v="2"/>
    <x v="4"/>
    <x v="4"/>
  </r>
  <r>
    <x v="897"/>
    <x v="2"/>
    <x v="4"/>
    <x v="11"/>
  </r>
  <r>
    <x v="650"/>
    <x v="2"/>
    <x v="1"/>
    <x v="23"/>
  </r>
  <r>
    <x v="611"/>
    <x v="2"/>
    <x v="1"/>
    <x v="23"/>
  </r>
  <r>
    <x v="1891"/>
    <x v="2"/>
    <x v="4"/>
    <x v="4"/>
  </r>
  <r>
    <x v="650"/>
    <x v="2"/>
    <x v="1"/>
    <x v="23"/>
  </r>
  <r>
    <x v="498"/>
    <x v="2"/>
    <x v="1"/>
    <x v="23"/>
  </r>
  <r>
    <x v="498"/>
    <x v="2"/>
    <x v="1"/>
    <x v="23"/>
  </r>
  <r>
    <x v="498"/>
    <x v="2"/>
    <x v="1"/>
    <x v="23"/>
  </r>
  <r>
    <x v="498"/>
    <x v="2"/>
    <x v="1"/>
    <x v="23"/>
  </r>
  <r>
    <x v="498"/>
    <x v="2"/>
    <x v="2"/>
    <x v="26"/>
  </r>
  <r>
    <x v="498"/>
    <x v="2"/>
    <x v="2"/>
    <x v="26"/>
  </r>
  <r>
    <x v="1891"/>
    <x v="2"/>
    <x v="4"/>
    <x v="4"/>
  </r>
  <r>
    <x v="1887"/>
    <x v="2"/>
    <x v="1"/>
    <x v="23"/>
  </r>
  <r>
    <x v="498"/>
    <x v="2"/>
    <x v="1"/>
    <x v="23"/>
  </r>
  <r>
    <x v="53"/>
    <x v="2"/>
    <x v="4"/>
    <x v="4"/>
  </r>
  <r>
    <x v="399"/>
    <x v="2"/>
    <x v="4"/>
    <x v="4"/>
  </r>
  <r>
    <x v="1887"/>
    <x v="2"/>
    <x v="1"/>
    <x v="23"/>
  </r>
  <r>
    <x v="1892"/>
    <x v="2"/>
    <x v="2"/>
    <x v="26"/>
  </r>
  <r>
    <x v="1887"/>
    <x v="2"/>
    <x v="1"/>
    <x v="23"/>
  </r>
  <r>
    <x v="1893"/>
    <x v="2"/>
    <x v="1"/>
    <x v="31"/>
  </r>
  <r>
    <x v="1894"/>
    <x v="2"/>
    <x v="6"/>
    <x v="0"/>
  </r>
  <r>
    <x v="498"/>
    <x v="2"/>
    <x v="6"/>
    <x v="0"/>
  </r>
  <r>
    <x v="640"/>
    <x v="2"/>
    <x v="4"/>
    <x v="4"/>
  </r>
  <r>
    <x v="498"/>
    <x v="2"/>
    <x v="2"/>
    <x v="26"/>
  </r>
  <r>
    <x v="498"/>
    <x v="2"/>
    <x v="1"/>
    <x v="1"/>
  </r>
  <r>
    <x v="498"/>
    <x v="2"/>
    <x v="2"/>
    <x v="26"/>
  </r>
  <r>
    <x v="53"/>
    <x v="2"/>
    <x v="2"/>
    <x v="54"/>
  </r>
  <r>
    <x v="1895"/>
    <x v="2"/>
    <x v="1"/>
    <x v="23"/>
  </r>
  <r>
    <x v="498"/>
    <x v="2"/>
    <x v="2"/>
    <x v="26"/>
  </r>
  <r>
    <x v="1893"/>
    <x v="2"/>
    <x v="1"/>
    <x v="23"/>
  </r>
  <r>
    <x v="1896"/>
    <x v="2"/>
    <x v="1"/>
    <x v="23"/>
  </r>
  <r>
    <x v="495"/>
    <x v="2"/>
    <x v="2"/>
    <x v="26"/>
  </r>
  <r>
    <x v="1897"/>
    <x v="2"/>
    <x v="4"/>
    <x v="4"/>
  </r>
  <r>
    <x v="1898"/>
    <x v="2"/>
    <x v="2"/>
    <x v="26"/>
  </r>
  <r>
    <x v="1373"/>
    <x v="2"/>
    <x v="4"/>
    <x v="4"/>
  </r>
  <r>
    <x v="819"/>
    <x v="2"/>
    <x v="4"/>
    <x v="4"/>
  </r>
  <r>
    <x v="749"/>
    <x v="2"/>
    <x v="4"/>
    <x v="4"/>
  </r>
  <r>
    <x v="1899"/>
    <x v="2"/>
    <x v="1"/>
    <x v="43"/>
  </r>
  <r>
    <x v="1899"/>
    <x v="2"/>
    <x v="2"/>
    <x v="48"/>
  </r>
  <r>
    <x v="1899"/>
    <x v="2"/>
    <x v="2"/>
    <x v="34"/>
  </r>
  <r>
    <x v="1900"/>
    <x v="2"/>
    <x v="1"/>
    <x v="3"/>
  </r>
  <r>
    <x v="1900"/>
    <x v="2"/>
    <x v="2"/>
    <x v="26"/>
  </r>
  <r>
    <x v="1901"/>
    <x v="2"/>
    <x v="2"/>
    <x v="26"/>
  </r>
  <r>
    <x v="1902"/>
    <x v="2"/>
    <x v="1"/>
    <x v="31"/>
  </r>
  <r>
    <x v="493"/>
    <x v="2"/>
    <x v="4"/>
    <x v="4"/>
  </r>
  <r>
    <x v="624"/>
    <x v="2"/>
    <x v="2"/>
    <x v="26"/>
  </r>
  <r>
    <x v="1903"/>
    <x v="2"/>
    <x v="2"/>
    <x v="26"/>
  </r>
  <r>
    <x v="1891"/>
    <x v="2"/>
    <x v="4"/>
    <x v="4"/>
  </r>
  <r>
    <x v="1221"/>
    <x v="2"/>
    <x v="4"/>
    <x v="11"/>
  </r>
  <r>
    <x v="1904"/>
    <x v="2"/>
    <x v="4"/>
    <x v="11"/>
  </r>
  <r>
    <x v="1903"/>
    <x v="2"/>
    <x v="6"/>
    <x v="0"/>
  </r>
  <r>
    <x v="1903"/>
    <x v="2"/>
    <x v="2"/>
    <x v="26"/>
  </r>
  <r>
    <x v="1905"/>
    <x v="2"/>
    <x v="4"/>
    <x v="4"/>
  </r>
  <r>
    <x v="1905"/>
    <x v="2"/>
    <x v="2"/>
    <x v="26"/>
  </r>
  <r>
    <x v="1905"/>
    <x v="2"/>
    <x v="1"/>
    <x v="31"/>
  </r>
  <r>
    <x v="498"/>
    <x v="2"/>
    <x v="1"/>
    <x v="31"/>
  </r>
  <r>
    <x v="1906"/>
    <x v="2"/>
    <x v="5"/>
    <x v="0"/>
  </r>
  <r>
    <x v="1907"/>
    <x v="2"/>
    <x v="5"/>
    <x v="0"/>
  </r>
  <r>
    <x v="1908"/>
    <x v="2"/>
    <x v="5"/>
    <x v="0"/>
  </r>
  <r>
    <x v="1909"/>
    <x v="2"/>
    <x v="5"/>
    <x v="0"/>
  </r>
  <r>
    <x v="1910"/>
    <x v="2"/>
    <x v="5"/>
    <x v="0"/>
  </r>
  <r>
    <x v="1911"/>
    <x v="2"/>
    <x v="4"/>
    <x v="4"/>
  </r>
  <r>
    <x v="816"/>
    <x v="2"/>
    <x v="4"/>
    <x v="11"/>
  </r>
  <r>
    <x v="1912"/>
    <x v="2"/>
    <x v="5"/>
    <x v="0"/>
  </r>
  <r>
    <x v="1913"/>
    <x v="2"/>
    <x v="4"/>
    <x v="4"/>
  </r>
  <r>
    <x v="1914"/>
    <x v="2"/>
    <x v="4"/>
    <x v="4"/>
  </r>
  <r>
    <x v="57"/>
    <x v="2"/>
    <x v="4"/>
    <x v="4"/>
  </r>
  <r>
    <x v="1915"/>
    <x v="2"/>
    <x v="1"/>
    <x v="23"/>
  </r>
  <r>
    <x v="1916"/>
    <x v="2"/>
    <x v="6"/>
    <x v="38"/>
  </r>
  <r>
    <x v="606"/>
    <x v="2"/>
    <x v="4"/>
    <x v="4"/>
  </r>
  <r>
    <x v="1917"/>
    <x v="2"/>
    <x v="4"/>
    <x v="11"/>
  </r>
  <r>
    <x v="1918"/>
    <x v="2"/>
    <x v="4"/>
    <x v="11"/>
  </r>
  <r>
    <x v="139"/>
    <x v="2"/>
    <x v="4"/>
    <x v="11"/>
  </r>
  <r>
    <x v="1919"/>
    <x v="2"/>
    <x v="4"/>
    <x v="11"/>
  </r>
  <r>
    <x v="41"/>
    <x v="2"/>
    <x v="1"/>
    <x v="31"/>
  </r>
  <r>
    <x v="41"/>
    <x v="2"/>
    <x v="1"/>
    <x v="31"/>
  </r>
  <r>
    <x v="1920"/>
    <x v="2"/>
    <x v="1"/>
    <x v="31"/>
  </r>
  <r>
    <x v="41"/>
    <x v="2"/>
    <x v="1"/>
    <x v="31"/>
  </r>
  <r>
    <x v="41"/>
    <x v="2"/>
    <x v="1"/>
    <x v="31"/>
  </r>
  <r>
    <x v="41"/>
    <x v="2"/>
    <x v="4"/>
    <x v="4"/>
  </r>
  <r>
    <x v="41"/>
    <x v="2"/>
    <x v="4"/>
    <x v="4"/>
  </r>
  <r>
    <x v="192"/>
    <x v="2"/>
    <x v="1"/>
    <x v="31"/>
  </r>
  <r>
    <x v="160"/>
    <x v="2"/>
    <x v="1"/>
    <x v="31"/>
  </r>
  <r>
    <x v="160"/>
    <x v="2"/>
    <x v="1"/>
    <x v="31"/>
  </r>
  <r>
    <x v="160"/>
    <x v="2"/>
    <x v="1"/>
    <x v="31"/>
  </r>
  <r>
    <x v="1921"/>
    <x v="2"/>
    <x v="4"/>
    <x v="11"/>
  </r>
  <r>
    <x v="1922"/>
    <x v="2"/>
    <x v="2"/>
    <x v="26"/>
  </r>
  <r>
    <x v="1923"/>
    <x v="2"/>
    <x v="2"/>
    <x v="26"/>
  </r>
  <r>
    <x v="1924"/>
    <x v="2"/>
    <x v="5"/>
    <x v="0"/>
  </r>
  <r>
    <x v="1925"/>
    <x v="2"/>
    <x v="1"/>
    <x v="3"/>
  </r>
  <r>
    <x v="40"/>
    <x v="6"/>
    <x v="2"/>
    <x v="26"/>
  </r>
  <r>
    <x v="168"/>
    <x v="6"/>
    <x v="6"/>
    <x v="49"/>
  </r>
  <r>
    <x v="99"/>
    <x v="6"/>
    <x v="2"/>
    <x v="47"/>
  </r>
  <r>
    <x v="168"/>
    <x v="6"/>
    <x v="1"/>
    <x v="23"/>
  </r>
  <r>
    <x v="160"/>
    <x v="6"/>
    <x v="1"/>
    <x v="30"/>
  </r>
  <r>
    <x v="102"/>
    <x v="6"/>
    <x v="1"/>
    <x v="31"/>
  </r>
  <r>
    <x v="147"/>
    <x v="6"/>
    <x v="6"/>
    <x v="38"/>
  </r>
  <r>
    <x v="102"/>
    <x v="6"/>
    <x v="1"/>
    <x v="3"/>
  </r>
  <r>
    <x v="103"/>
    <x v="6"/>
    <x v="1"/>
    <x v="30"/>
  </r>
  <r>
    <x v="195"/>
    <x v="6"/>
    <x v="2"/>
    <x v="26"/>
  </r>
  <r>
    <x v="99"/>
    <x v="6"/>
    <x v="6"/>
    <x v="21"/>
  </r>
  <r>
    <x v="160"/>
    <x v="6"/>
    <x v="2"/>
    <x v="19"/>
  </r>
  <r>
    <x v="147"/>
    <x v="6"/>
    <x v="1"/>
    <x v="23"/>
  </r>
  <r>
    <x v="1926"/>
    <x v="6"/>
    <x v="1"/>
    <x v="31"/>
  </r>
  <r>
    <x v="1927"/>
    <x v="6"/>
    <x v="1"/>
    <x v="31"/>
  </r>
  <r>
    <x v="1928"/>
    <x v="6"/>
    <x v="1"/>
    <x v="31"/>
  </r>
  <r>
    <x v="447"/>
    <x v="6"/>
    <x v="1"/>
    <x v="15"/>
  </r>
  <r>
    <x v="186"/>
    <x v="6"/>
    <x v="1"/>
    <x v="3"/>
  </r>
  <r>
    <x v="447"/>
    <x v="6"/>
    <x v="1"/>
    <x v="5"/>
  </r>
  <r>
    <x v="75"/>
    <x v="6"/>
    <x v="1"/>
    <x v="31"/>
  </r>
  <r>
    <x v="75"/>
    <x v="6"/>
    <x v="2"/>
    <x v="18"/>
  </r>
  <r>
    <x v="75"/>
    <x v="6"/>
    <x v="2"/>
    <x v="2"/>
  </r>
  <r>
    <x v="101"/>
    <x v="6"/>
    <x v="4"/>
    <x v="4"/>
  </r>
  <r>
    <x v="80"/>
    <x v="6"/>
    <x v="6"/>
    <x v="49"/>
  </r>
  <r>
    <x v="439"/>
    <x v="6"/>
    <x v="2"/>
    <x v="35"/>
  </r>
  <r>
    <x v="837"/>
    <x v="6"/>
    <x v="6"/>
    <x v="38"/>
  </r>
  <r>
    <x v="75"/>
    <x v="6"/>
    <x v="2"/>
    <x v="26"/>
  </r>
  <r>
    <x v="1140"/>
    <x v="6"/>
    <x v="6"/>
    <x v="38"/>
  </r>
  <r>
    <x v="1929"/>
    <x v="6"/>
    <x v="6"/>
    <x v="38"/>
  </r>
  <r>
    <x v="147"/>
    <x v="6"/>
    <x v="1"/>
    <x v="23"/>
  </r>
  <r>
    <x v="166"/>
    <x v="6"/>
    <x v="6"/>
    <x v="38"/>
  </r>
  <r>
    <x v="102"/>
    <x v="6"/>
    <x v="2"/>
    <x v="26"/>
  </r>
  <r>
    <x v="361"/>
    <x v="6"/>
    <x v="6"/>
    <x v="49"/>
  </r>
  <r>
    <x v="160"/>
    <x v="6"/>
    <x v="1"/>
    <x v="31"/>
  </r>
  <r>
    <x v="99"/>
    <x v="6"/>
    <x v="1"/>
    <x v="31"/>
  </r>
  <r>
    <x v="43"/>
    <x v="6"/>
    <x v="1"/>
    <x v="30"/>
  </r>
  <r>
    <x v="166"/>
    <x v="6"/>
    <x v="1"/>
    <x v="23"/>
  </r>
  <r>
    <x v="35"/>
    <x v="6"/>
    <x v="1"/>
    <x v="3"/>
  </r>
  <r>
    <x v="1930"/>
    <x v="6"/>
    <x v="6"/>
    <x v="49"/>
  </r>
  <r>
    <x v="1931"/>
    <x v="6"/>
    <x v="6"/>
    <x v="49"/>
  </r>
  <r>
    <x v="1932"/>
    <x v="6"/>
    <x v="6"/>
    <x v="49"/>
  </r>
  <r>
    <x v="470"/>
    <x v="6"/>
    <x v="1"/>
    <x v="23"/>
  </r>
  <r>
    <x v="1933"/>
    <x v="6"/>
    <x v="4"/>
    <x v="4"/>
  </r>
  <r>
    <x v="1934"/>
    <x v="6"/>
    <x v="1"/>
    <x v="31"/>
  </r>
  <r>
    <x v="1935"/>
    <x v="6"/>
    <x v="2"/>
    <x v="46"/>
  </r>
  <r>
    <x v="803"/>
    <x v="6"/>
    <x v="2"/>
    <x v="46"/>
  </r>
  <r>
    <x v="1352"/>
    <x v="6"/>
    <x v="1"/>
    <x v="31"/>
  </r>
  <r>
    <x v="1936"/>
    <x v="6"/>
    <x v="1"/>
    <x v="31"/>
  </r>
  <r>
    <x v="87"/>
    <x v="6"/>
    <x v="1"/>
    <x v="23"/>
  </r>
  <r>
    <x v="276"/>
    <x v="6"/>
    <x v="1"/>
    <x v="23"/>
  </r>
  <r>
    <x v="577"/>
    <x v="6"/>
    <x v="1"/>
    <x v="23"/>
  </r>
  <r>
    <x v="809"/>
    <x v="6"/>
    <x v="1"/>
    <x v="23"/>
  </r>
  <r>
    <x v="1937"/>
    <x v="6"/>
    <x v="1"/>
    <x v="23"/>
  </r>
  <r>
    <x v="99"/>
    <x v="6"/>
    <x v="1"/>
    <x v="23"/>
  </r>
  <r>
    <x v="1938"/>
    <x v="6"/>
    <x v="2"/>
    <x v="26"/>
  </r>
  <r>
    <x v="103"/>
    <x v="6"/>
    <x v="2"/>
    <x v="26"/>
  </r>
  <r>
    <x v="1939"/>
    <x v="6"/>
    <x v="6"/>
    <x v="49"/>
  </r>
  <r>
    <x v="115"/>
    <x v="6"/>
    <x v="6"/>
    <x v="49"/>
  </r>
  <r>
    <x v="1940"/>
    <x v="6"/>
    <x v="1"/>
    <x v="23"/>
  </r>
  <r>
    <x v="422"/>
    <x v="6"/>
    <x v="1"/>
    <x v="30"/>
  </r>
  <r>
    <x v="1941"/>
    <x v="6"/>
    <x v="1"/>
    <x v="31"/>
  </r>
  <r>
    <x v="1942"/>
    <x v="6"/>
    <x v="2"/>
    <x v="26"/>
  </r>
  <r>
    <x v="101"/>
    <x v="6"/>
    <x v="1"/>
    <x v="23"/>
  </r>
  <r>
    <x v="1943"/>
    <x v="6"/>
    <x v="2"/>
    <x v="26"/>
  </r>
  <r>
    <x v="806"/>
    <x v="6"/>
    <x v="1"/>
    <x v="31"/>
  </r>
  <r>
    <x v="392"/>
    <x v="6"/>
    <x v="1"/>
    <x v="23"/>
  </r>
  <r>
    <x v="392"/>
    <x v="6"/>
    <x v="1"/>
    <x v="23"/>
  </r>
  <r>
    <x v="1944"/>
    <x v="6"/>
    <x v="4"/>
    <x v="4"/>
  </r>
  <r>
    <x v="1945"/>
    <x v="6"/>
    <x v="4"/>
    <x v="4"/>
  </r>
  <r>
    <x v="1946"/>
    <x v="6"/>
    <x v="4"/>
    <x v="4"/>
  </r>
  <r>
    <x v="861"/>
    <x v="6"/>
    <x v="4"/>
    <x v="11"/>
  </r>
  <r>
    <x v="118"/>
    <x v="6"/>
    <x v="4"/>
    <x v="4"/>
  </r>
  <r>
    <x v="1947"/>
    <x v="6"/>
    <x v="1"/>
    <x v="23"/>
  </r>
  <r>
    <x v="1948"/>
    <x v="6"/>
    <x v="3"/>
    <x v="0"/>
  </r>
  <r>
    <x v="1949"/>
    <x v="6"/>
    <x v="2"/>
    <x v="54"/>
  </r>
  <r>
    <x v="819"/>
    <x v="6"/>
    <x v="1"/>
    <x v="23"/>
  </r>
  <r>
    <x v="1950"/>
    <x v="6"/>
    <x v="1"/>
    <x v="23"/>
  </r>
  <r>
    <x v="1951"/>
    <x v="6"/>
    <x v="1"/>
    <x v="23"/>
  </r>
  <r>
    <x v="1952"/>
    <x v="6"/>
    <x v="2"/>
    <x v="26"/>
  </r>
  <r>
    <x v="819"/>
    <x v="6"/>
    <x v="2"/>
    <x v="26"/>
  </r>
  <r>
    <x v="1953"/>
    <x v="6"/>
    <x v="2"/>
    <x v="26"/>
  </r>
  <r>
    <x v="1954"/>
    <x v="6"/>
    <x v="2"/>
    <x v="26"/>
  </r>
  <r>
    <x v="785"/>
    <x v="6"/>
    <x v="1"/>
    <x v="23"/>
  </r>
  <r>
    <x v="1955"/>
    <x v="6"/>
    <x v="1"/>
    <x v="23"/>
  </r>
  <r>
    <x v="1956"/>
    <x v="6"/>
    <x v="2"/>
    <x v="26"/>
  </r>
  <r>
    <x v="1957"/>
    <x v="6"/>
    <x v="2"/>
    <x v="26"/>
  </r>
  <r>
    <x v="1958"/>
    <x v="6"/>
    <x v="2"/>
    <x v="46"/>
  </r>
  <r>
    <x v="1894"/>
    <x v="6"/>
    <x v="1"/>
    <x v="23"/>
  </r>
  <r>
    <x v="808"/>
    <x v="6"/>
    <x v="1"/>
    <x v="22"/>
  </r>
  <r>
    <x v="1338"/>
    <x v="6"/>
    <x v="1"/>
    <x v="23"/>
  </r>
  <r>
    <x v="1486"/>
    <x v="6"/>
    <x v="1"/>
    <x v="23"/>
  </r>
  <r>
    <x v="1959"/>
    <x v="6"/>
    <x v="2"/>
    <x v="26"/>
  </r>
  <r>
    <x v="498"/>
    <x v="6"/>
    <x v="1"/>
    <x v="23"/>
  </r>
  <r>
    <x v="1960"/>
    <x v="6"/>
    <x v="1"/>
    <x v="31"/>
  </r>
  <r>
    <x v="1961"/>
    <x v="6"/>
    <x v="2"/>
    <x v="26"/>
  </r>
  <r>
    <x v="1962"/>
    <x v="6"/>
    <x v="2"/>
    <x v="26"/>
  </r>
  <r>
    <x v="1233"/>
    <x v="6"/>
    <x v="1"/>
    <x v="23"/>
  </r>
  <r>
    <x v="1963"/>
    <x v="6"/>
    <x v="1"/>
    <x v="31"/>
  </r>
  <r>
    <x v="1964"/>
    <x v="6"/>
    <x v="0"/>
    <x v="0"/>
  </r>
  <r>
    <x v="1965"/>
    <x v="6"/>
    <x v="4"/>
    <x v="11"/>
  </r>
  <r>
    <x v="1966"/>
    <x v="6"/>
    <x v="4"/>
    <x v="4"/>
  </r>
  <r>
    <x v="160"/>
    <x v="6"/>
    <x v="4"/>
    <x v="4"/>
  </r>
  <r>
    <x v="160"/>
    <x v="6"/>
    <x v="1"/>
    <x v="30"/>
  </r>
  <r>
    <x v="41"/>
    <x v="6"/>
    <x v="1"/>
    <x v="30"/>
  </r>
  <r>
    <x v="192"/>
    <x v="6"/>
    <x v="1"/>
    <x v="30"/>
  </r>
  <r>
    <x v="192"/>
    <x v="6"/>
    <x v="2"/>
    <x v="18"/>
  </r>
  <r>
    <x v="192"/>
    <x v="6"/>
    <x v="2"/>
    <x v="35"/>
  </r>
  <r>
    <x v="192"/>
    <x v="6"/>
    <x v="2"/>
    <x v="2"/>
  </r>
  <r>
    <x v="160"/>
    <x v="6"/>
    <x v="2"/>
    <x v="19"/>
  </r>
  <r>
    <x v="41"/>
    <x v="6"/>
    <x v="4"/>
    <x v="4"/>
  </r>
  <r>
    <x v="192"/>
    <x v="6"/>
    <x v="4"/>
    <x v="4"/>
  </r>
  <r>
    <x v="1967"/>
    <x v="6"/>
    <x v="4"/>
    <x v="4"/>
  </r>
  <r>
    <x v="35"/>
    <x v="6"/>
    <x v="1"/>
    <x v="23"/>
  </r>
  <r>
    <x v="460"/>
    <x v="6"/>
    <x v="1"/>
    <x v="23"/>
  </r>
  <r>
    <x v="389"/>
    <x v="6"/>
    <x v="1"/>
    <x v="23"/>
  </r>
  <r>
    <x v="389"/>
    <x v="6"/>
    <x v="1"/>
    <x v="23"/>
  </r>
  <r>
    <x v="76"/>
    <x v="6"/>
    <x v="1"/>
    <x v="23"/>
  </r>
  <r>
    <x v="1968"/>
    <x v="6"/>
    <x v="0"/>
    <x v="0"/>
  </r>
  <r>
    <x v="1969"/>
    <x v="6"/>
    <x v="4"/>
    <x v="4"/>
  </r>
  <r>
    <x v="147"/>
    <x v="6"/>
    <x v="4"/>
    <x v="4"/>
  </r>
  <r>
    <x v="706"/>
    <x v="6"/>
    <x v="1"/>
    <x v="23"/>
  </r>
  <r>
    <x v="1138"/>
    <x v="6"/>
    <x v="1"/>
    <x v="23"/>
  </r>
  <r>
    <x v="156"/>
    <x v="6"/>
    <x v="2"/>
    <x v="26"/>
  </r>
  <r>
    <x v="1970"/>
    <x v="6"/>
    <x v="2"/>
    <x v="26"/>
  </r>
  <r>
    <x v="707"/>
    <x v="6"/>
    <x v="1"/>
    <x v="28"/>
  </r>
  <r>
    <x v="75"/>
    <x v="6"/>
    <x v="1"/>
    <x v="28"/>
  </r>
  <r>
    <x v="1971"/>
    <x v="6"/>
    <x v="1"/>
    <x v="28"/>
  </r>
  <r>
    <x v="1972"/>
    <x v="6"/>
    <x v="1"/>
    <x v="28"/>
  </r>
  <r>
    <x v="1973"/>
    <x v="6"/>
    <x v="1"/>
    <x v="28"/>
  </r>
  <r>
    <x v="1974"/>
    <x v="6"/>
    <x v="1"/>
    <x v="28"/>
  </r>
  <r>
    <x v="338"/>
    <x v="6"/>
    <x v="1"/>
    <x v="28"/>
  </r>
  <r>
    <x v="101"/>
    <x v="6"/>
    <x v="1"/>
    <x v="28"/>
  </r>
  <r>
    <x v="276"/>
    <x v="6"/>
    <x v="1"/>
    <x v="28"/>
  </r>
  <r>
    <x v="75"/>
    <x v="6"/>
    <x v="1"/>
    <x v="28"/>
  </r>
  <r>
    <x v="447"/>
    <x v="6"/>
    <x v="1"/>
    <x v="28"/>
  </r>
  <r>
    <x v="422"/>
    <x v="6"/>
    <x v="1"/>
    <x v="28"/>
  </r>
  <r>
    <x v="101"/>
    <x v="6"/>
    <x v="1"/>
    <x v="28"/>
  </r>
  <r>
    <x v="43"/>
    <x v="6"/>
    <x v="1"/>
    <x v="28"/>
  </r>
  <r>
    <x v="1975"/>
    <x v="6"/>
    <x v="1"/>
    <x v="28"/>
  </r>
  <r>
    <x v="1976"/>
    <x v="6"/>
    <x v="1"/>
    <x v="28"/>
  </r>
  <r>
    <x v="161"/>
    <x v="6"/>
    <x v="1"/>
    <x v="28"/>
  </r>
  <r>
    <x v="75"/>
    <x v="6"/>
    <x v="1"/>
    <x v="28"/>
  </r>
  <r>
    <x v="166"/>
    <x v="6"/>
    <x v="1"/>
    <x v="28"/>
  </r>
  <r>
    <x v="276"/>
    <x v="6"/>
    <x v="1"/>
    <x v="28"/>
  </r>
  <r>
    <x v="75"/>
    <x v="6"/>
    <x v="1"/>
    <x v="28"/>
  </r>
  <r>
    <x v="35"/>
    <x v="6"/>
    <x v="1"/>
    <x v="28"/>
  </r>
  <r>
    <x v="75"/>
    <x v="6"/>
    <x v="1"/>
    <x v="28"/>
  </r>
  <r>
    <x v="101"/>
    <x v="6"/>
    <x v="1"/>
    <x v="28"/>
  </r>
  <r>
    <x v="422"/>
    <x v="6"/>
    <x v="1"/>
    <x v="28"/>
  </r>
  <r>
    <x v="43"/>
    <x v="6"/>
    <x v="1"/>
    <x v="28"/>
  </r>
  <r>
    <x v="105"/>
    <x v="6"/>
    <x v="1"/>
    <x v="28"/>
  </r>
  <r>
    <x v="42"/>
    <x v="6"/>
    <x v="1"/>
    <x v="28"/>
  </r>
  <r>
    <x v="161"/>
    <x v="6"/>
    <x v="1"/>
    <x v="28"/>
  </r>
  <r>
    <x v="75"/>
    <x v="6"/>
    <x v="1"/>
    <x v="28"/>
  </r>
  <r>
    <x v="75"/>
    <x v="6"/>
    <x v="1"/>
    <x v="28"/>
  </r>
  <r>
    <x v="18"/>
    <x v="6"/>
    <x v="1"/>
    <x v="28"/>
  </r>
  <r>
    <x v="447"/>
    <x v="6"/>
    <x v="1"/>
    <x v="28"/>
  </r>
  <r>
    <x v="1977"/>
    <x v="6"/>
    <x v="1"/>
    <x v="28"/>
  </r>
  <r>
    <x v="836"/>
    <x v="6"/>
    <x v="1"/>
    <x v="28"/>
  </r>
  <r>
    <x v="103"/>
    <x v="6"/>
    <x v="1"/>
    <x v="28"/>
  </r>
  <r>
    <x v="1978"/>
    <x v="6"/>
    <x v="1"/>
    <x v="28"/>
  </r>
  <r>
    <x v="1974"/>
    <x v="6"/>
    <x v="1"/>
    <x v="28"/>
  </r>
  <r>
    <x v="161"/>
    <x v="6"/>
    <x v="1"/>
    <x v="28"/>
  </r>
  <r>
    <x v="166"/>
    <x v="6"/>
    <x v="1"/>
    <x v="28"/>
  </r>
  <r>
    <x v="276"/>
    <x v="6"/>
    <x v="1"/>
    <x v="28"/>
  </r>
  <r>
    <x v="75"/>
    <x v="6"/>
    <x v="1"/>
    <x v="28"/>
  </r>
  <r>
    <x v="583"/>
    <x v="6"/>
    <x v="1"/>
    <x v="28"/>
  </r>
  <r>
    <x v="75"/>
    <x v="6"/>
    <x v="2"/>
    <x v="47"/>
  </r>
  <r>
    <x v="75"/>
    <x v="6"/>
    <x v="2"/>
    <x v="19"/>
  </r>
  <r>
    <x v="75"/>
    <x v="6"/>
    <x v="2"/>
    <x v="19"/>
  </r>
  <r>
    <x v="75"/>
    <x v="6"/>
    <x v="4"/>
    <x v="11"/>
  </r>
  <r>
    <x v="75"/>
    <x v="6"/>
    <x v="2"/>
    <x v="2"/>
  </r>
  <r>
    <x v="75"/>
    <x v="6"/>
    <x v="2"/>
    <x v="2"/>
  </r>
  <r>
    <x v="75"/>
    <x v="6"/>
    <x v="2"/>
    <x v="35"/>
  </r>
  <r>
    <x v="101"/>
    <x v="6"/>
    <x v="2"/>
    <x v="35"/>
  </r>
  <r>
    <x v="75"/>
    <x v="6"/>
    <x v="2"/>
    <x v="35"/>
  </r>
  <r>
    <x v="101"/>
    <x v="6"/>
    <x v="2"/>
    <x v="35"/>
  </r>
  <r>
    <x v="75"/>
    <x v="6"/>
    <x v="2"/>
    <x v="47"/>
  </r>
  <r>
    <x v="75"/>
    <x v="6"/>
    <x v="2"/>
    <x v="47"/>
  </r>
  <r>
    <x v="276"/>
    <x v="6"/>
    <x v="1"/>
    <x v="22"/>
  </r>
  <r>
    <x v="41"/>
    <x v="6"/>
    <x v="1"/>
    <x v="22"/>
  </r>
  <r>
    <x v="18"/>
    <x v="6"/>
    <x v="1"/>
    <x v="22"/>
  </r>
  <r>
    <x v="99"/>
    <x v="6"/>
    <x v="1"/>
    <x v="22"/>
  </r>
  <r>
    <x v="35"/>
    <x v="6"/>
    <x v="1"/>
    <x v="22"/>
  </r>
  <r>
    <x v="1979"/>
    <x v="6"/>
    <x v="1"/>
    <x v="22"/>
  </r>
  <r>
    <x v="1263"/>
    <x v="6"/>
    <x v="1"/>
    <x v="22"/>
  </r>
  <r>
    <x v="168"/>
    <x v="6"/>
    <x v="1"/>
    <x v="22"/>
  </r>
  <r>
    <x v="1980"/>
    <x v="6"/>
    <x v="1"/>
    <x v="28"/>
  </r>
  <r>
    <x v="1981"/>
    <x v="6"/>
    <x v="1"/>
    <x v="22"/>
  </r>
  <r>
    <x v="1982"/>
    <x v="6"/>
    <x v="1"/>
    <x v="28"/>
  </r>
  <r>
    <x v="447"/>
    <x v="6"/>
    <x v="1"/>
    <x v="22"/>
  </r>
  <r>
    <x v="1983"/>
    <x v="6"/>
    <x v="1"/>
    <x v="28"/>
  </r>
  <r>
    <x v="447"/>
    <x v="6"/>
    <x v="1"/>
    <x v="28"/>
  </r>
  <r>
    <x v="166"/>
    <x v="6"/>
    <x v="1"/>
    <x v="22"/>
  </r>
  <r>
    <x v="1984"/>
    <x v="6"/>
    <x v="1"/>
    <x v="23"/>
  </r>
  <r>
    <x v="1985"/>
    <x v="6"/>
    <x v="2"/>
    <x v="18"/>
  </r>
  <r>
    <x v="163"/>
    <x v="6"/>
    <x v="4"/>
    <x v="11"/>
  </r>
  <r>
    <x v="817"/>
    <x v="6"/>
    <x v="4"/>
    <x v="11"/>
  </r>
  <r>
    <x v="75"/>
    <x v="6"/>
    <x v="4"/>
    <x v="4"/>
  </r>
  <r>
    <x v="75"/>
    <x v="6"/>
    <x v="2"/>
    <x v="18"/>
  </r>
  <r>
    <x v="75"/>
    <x v="6"/>
    <x v="2"/>
    <x v="19"/>
  </r>
  <r>
    <x v="75"/>
    <x v="6"/>
    <x v="4"/>
    <x v="4"/>
  </r>
  <r>
    <x v="81"/>
    <x v="6"/>
    <x v="4"/>
    <x v="4"/>
  </r>
  <r>
    <x v="160"/>
    <x v="6"/>
    <x v="4"/>
    <x v="4"/>
  </r>
  <r>
    <x v="192"/>
    <x v="6"/>
    <x v="4"/>
    <x v="4"/>
  </r>
  <r>
    <x v="192"/>
    <x v="6"/>
    <x v="4"/>
    <x v="4"/>
  </r>
  <r>
    <x v="192"/>
    <x v="6"/>
    <x v="1"/>
    <x v="28"/>
  </r>
  <r>
    <x v="76"/>
    <x v="6"/>
    <x v="1"/>
    <x v="22"/>
  </r>
  <r>
    <x v="276"/>
    <x v="6"/>
    <x v="1"/>
    <x v="22"/>
  </r>
  <r>
    <x v="43"/>
    <x v="6"/>
    <x v="1"/>
    <x v="28"/>
  </r>
  <r>
    <x v="160"/>
    <x v="6"/>
    <x v="1"/>
    <x v="22"/>
  </r>
  <r>
    <x v="276"/>
    <x v="6"/>
    <x v="1"/>
    <x v="22"/>
  </r>
  <r>
    <x v="192"/>
    <x v="6"/>
    <x v="1"/>
    <x v="22"/>
  </r>
  <r>
    <x v="192"/>
    <x v="6"/>
    <x v="4"/>
    <x v="11"/>
  </r>
  <r>
    <x v="192"/>
    <x v="6"/>
    <x v="4"/>
    <x v="11"/>
  </r>
  <r>
    <x v="192"/>
    <x v="6"/>
    <x v="1"/>
    <x v="28"/>
  </r>
  <r>
    <x v="275"/>
    <x v="6"/>
    <x v="1"/>
    <x v="28"/>
  </r>
  <r>
    <x v="275"/>
    <x v="6"/>
    <x v="1"/>
    <x v="28"/>
  </r>
  <r>
    <x v="75"/>
    <x v="6"/>
    <x v="1"/>
    <x v="28"/>
  </r>
  <r>
    <x v="75"/>
    <x v="6"/>
    <x v="6"/>
    <x v="29"/>
  </r>
  <r>
    <x v="75"/>
    <x v="6"/>
    <x v="1"/>
    <x v="28"/>
  </r>
  <r>
    <x v="75"/>
    <x v="6"/>
    <x v="1"/>
    <x v="28"/>
  </r>
  <r>
    <x v="75"/>
    <x v="6"/>
    <x v="1"/>
    <x v="28"/>
  </r>
  <r>
    <x v="1348"/>
    <x v="6"/>
    <x v="1"/>
    <x v="28"/>
  </r>
  <r>
    <x v="75"/>
    <x v="6"/>
    <x v="1"/>
    <x v="28"/>
  </r>
  <r>
    <x v="75"/>
    <x v="6"/>
    <x v="1"/>
    <x v="28"/>
  </r>
  <r>
    <x v="75"/>
    <x v="6"/>
    <x v="1"/>
    <x v="28"/>
  </r>
  <r>
    <x v="75"/>
    <x v="6"/>
    <x v="1"/>
    <x v="28"/>
  </r>
  <r>
    <x v="112"/>
    <x v="6"/>
    <x v="1"/>
    <x v="28"/>
  </r>
  <r>
    <x v="75"/>
    <x v="6"/>
    <x v="1"/>
    <x v="22"/>
  </r>
  <r>
    <x v="75"/>
    <x v="6"/>
    <x v="1"/>
    <x v="22"/>
  </r>
  <r>
    <x v="275"/>
    <x v="6"/>
    <x v="1"/>
    <x v="15"/>
  </r>
  <r>
    <x v="75"/>
    <x v="6"/>
    <x v="1"/>
    <x v="15"/>
  </r>
  <r>
    <x v="276"/>
    <x v="6"/>
    <x v="1"/>
    <x v="15"/>
  </r>
  <r>
    <x v="160"/>
    <x v="6"/>
    <x v="1"/>
    <x v="15"/>
  </r>
  <r>
    <x v="1986"/>
    <x v="6"/>
    <x v="4"/>
    <x v="4"/>
  </r>
  <r>
    <x v="18"/>
    <x v="6"/>
    <x v="4"/>
    <x v="11"/>
  </r>
  <r>
    <x v="344"/>
    <x v="6"/>
    <x v="4"/>
    <x v="11"/>
  </r>
  <r>
    <x v="316"/>
    <x v="6"/>
    <x v="4"/>
    <x v="11"/>
  </r>
  <r>
    <x v="85"/>
    <x v="6"/>
    <x v="4"/>
    <x v="11"/>
  </r>
  <r>
    <x v="316"/>
    <x v="6"/>
    <x v="4"/>
    <x v="11"/>
  </r>
  <r>
    <x v="35"/>
    <x v="6"/>
    <x v="4"/>
    <x v="11"/>
  </r>
  <r>
    <x v="447"/>
    <x v="6"/>
    <x v="4"/>
    <x v="11"/>
  </r>
  <r>
    <x v="18"/>
    <x v="6"/>
    <x v="4"/>
    <x v="11"/>
  </r>
  <r>
    <x v="43"/>
    <x v="6"/>
    <x v="1"/>
    <x v="23"/>
  </r>
  <r>
    <x v="389"/>
    <x v="6"/>
    <x v="1"/>
    <x v="23"/>
  </r>
  <r>
    <x v="103"/>
    <x v="6"/>
    <x v="1"/>
    <x v="23"/>
  </r>
  <r>
    <x v="389"/>
    <x v="6"/>
    <x v="1"/>
    <x v="23"/>
  </r>
  <r>
    <x v="43"/>
    <x v="6"/>
    <x v="1"/>
    <x v="23"/>
  </r>
  <r>
    <x v="43"/>
    <x v="6"/>
    <x v="1"/>
    <x v="23"/>
  </r>
  <r>
    <x v="1987"/>
    <x v="6"/>
    <x v="1"/>
    <x v="23"/>
  </r>
  <r>
    <x v="162"/>
    <x v="6"/>
    <x v="1"/>
    <x v="23"/>
  </r>
  <r>
    <x v="43"/>
    <x v="6"/>
    <x v="1"/>
    <x v="23"/>
  </r>
  <r>
    <x v="389"/>
    <x v="6"/>
    <x v="1"/>
    <x v="23"/>
  </r>
  <r>
    <x v="1029"/>
    <x v="6"/>
    <x v="1"/>
    <x v="23"/>
  </r>
  <r>
    <x v="1988"/>
    <x v="6"/>
    <x v="1"/>
    <x v="23"/>
  </r>
  <r>
    <x v="180"/>
    <x v="6"/>
    <x v="1"/>
    <x v="23"/>
  </r>
  <r>
    <x v="1989"/>
    <x v="6"/>
    <x v="1"/>
    <x v="23"/>
  </r>
  <r>
    <x v="1990"/>
    <x v="6"/>
    <x v="1"/>
    <x v="23"/>
  </r>
  <r>
    <x v="43"/>
    <x v="6"/>
    <x v="1"/>
    <x v="23"/>
  </r>
  <r>
    <x v="1991"/>
    <x v="6"/>
    <x v="1"/>
    <x v="23"/>
  </r>
  <r>
    <x v="655"/>
    <x v="6"/>
    <x v="1"/>
    <x v="23"/>
  </r>
  <r>
    <x v="101"/>
    <x v="6"/>
    <x v="1"/>
    <x v="23"/>
  </r>
  <r>
    <x v="1992"/>
    <x v="6"/>
    <x v="1"/>
    <x v="23"/>
  </r>
  <r>
    <x v="76"/>
    <x v="6"/>
    <x v="1"/>
    <x v="23"/>
  </r>
  <r>
    <x v="1993"/>
    <x v="6"/>
    <x v="1"/>
    <x v="23"/>
  </r>
  <r>
    <x v="996"/>
    <x v="6"/>
    <x v="1"/>
    <x v="23"/>
  </r>
  <r>
    <x v="1994"/>
    <x v="6"/>
    <x v="1"/>
    <x v="23"/>
  </r>
  <r>
    <x v="103"/>
    <x v="6"/>
    <x v="1"/>
    <x v="23"/>
  </r>
  <r>
    <x v="103"/>
    <x v="6"/>
    <x v="1"/>
    <x v="23"/>
  </r>
  <r>
    <x v="103"/>
    <x v="6"/>
    <x v="1"/>
    <x v="23"/>
  </r>
  <r>
    <x v="11"/>
    <x v="6"/>
    <x v="1"/>
    <x v="23"/>
  </r>
  <r>
    <x v="389"/>
    <x v="6"/>
    <x v="1"/>
    <x v="23"/>
  </r>
  <r>
    <x v="132"/>
    <x v="6"/>
    <x v="1"/>
    <x v="23"/>
  </r>
  <r>
    <x v="1995"/>
    <x v="6"/>
    <x v="1"/>
    <x v="23"/>
  </r>
  <r>
    <x v="43"/>
    <x v="6"/>
    <x v="1"/>
    <x v="23"/>
  </r>
  <r>
    <x v="195"/>
    <x v="6"/>
    <x v="1"/>
    <x v="23"/>
  </r>
  <r>
    <x v="1996"/>
    <x v="6"/>
    <x v="1"/>
    <x v="23"/>
  </r>
  <r>
    <x v="166"/>
    <x v="6"/>
    <x v="1"/>
    <x v="23"/>
  </r>
  <r>
    <x v="132"/>
    <x v="6"/>
    <x v="1"/>
    <x v="23"/>
  </r>
  <r>
    <x v="283"/>
    <x v="6"/>
    <x v="1"/>
    <x v="23"/>
  </r>
  <r>
    <x v="11"/>
    <x v="6"/>
    <x v="1"/>
    <x v="23"/>
  </r>
  <r>
    <x v="1997"/>
    <x v="6"/>
    <x v="1"/>
    <x v="23"/>
  </r>
  <r>
    <x v="389"/>
    <x v="6"/>
    <x v="1"/>
    <x v="23"/>
  </r>
  <r>
    <x v="76"/>
    <x v="6"/>
    <x v="1"/>
    <x v="23"/>
  </r>
  <r>
    <x v="162"/>
    <x v="6"/>
    <x v="1"/>
    <x v="23"/>
  </r>
  <r>
    <x v="389"/>
    <x v="6"/>
    <x v="1"/>
    <x v="23"/>
  </r>
  <r>
    <x v="1998"/>
    <x v="6"/>
    <x v="1"/>
    <x v="23"/>
  </r>
  <r>
    <x v="355"/>
    <x v="6"/>
    <x v="1"/>
    <x v="23"/>
  </r>
  <r>
    <x v="389"/>
    <x v="6"/>
    <x v="1"/>
    <x v="23"/>
  </r>
  <r>
    <x v="422"/>
    <x v="6"/>
    <x v="1"/>
    <x v="23"/>
  </r>
  <r>
    <x v="1999"/>
    <x v="6"/>
    <x v="1"/>
    <x v="55"/>
  </r>
  <r>
    <x v="460"/>
    <x v="6"/>
    <x v="4"/>
    <x v="11"/>
  </r>
  <r>
    <x v="2000"/>
    <x v="6"/>
    <x v="4"/>
    <x v="11"/>
  </r>
  <r>
    <x v="18"/>
    <x v="6"/>
    <x v="4"/>
    <x v="11"/>
  </r>
  <r>
    <x v="25"/>
    <x v="6"/>
    <x v="4"/>
    <x v="11"/>
  </r>
  <r>
    <x v="164"/>
    <x v="6"/>
    <x v="4"/>
    <x v="11"/>
  </r>
  <r>
    <x v="18"/>
    <x v="6"/>
    <x v="4"/>
    <x v="11"/>
  </r>
  <r>
    <x v="102"/>
    <x v="6"/>
    <x v="4"/>
    <x v="11"/>
  </r>
  <r>
    <x v="36"/>
    <x v="6"/>
    <x v="4"/>
    <x v="11"/>
  </r>
  <r>
    <x v="36"/>
    <x v="6"/>
    <x v="4"/>
    <x v="11"/>
  </r>
  <r>
    <x v="705"/>
    <x v="6"/>
    <x v="4"/>
    <x v="11"/>
  </r>
  <r>
    <x v="18"/>
    <x v="6"/>
    <x v="4"/>
    <x v="11"/>
  </r>
  <r>
    <x v="806"/>
    <x v="6"/>
    <x v="4"/>
    <x v="11"/>
  </r>
  <r>
    <x v="164"/>
    <x v="6"/>
    <x v="4"/>
    <x v="11"/>
  </r>
  <r>
    <x v="36"/>
    <x v="6"/>
    <x v="4"/>
    <x v="11"/>
  </r>
  <r>
    <x v="1541"/>
    <x v="6"/>
    <x v="4"/>
    <x v="11"/>
  </r>
  <r>
    <x v="101"/>
    <x v="6"/>
    <x v="4"/>
    <x v="11"/>
  </r>
  <r>
    <x v="36"/>
    <x v="6"/>
    <x v="4"/>
    <x v="11"/>
  </r>
  <r>
    <x v="103"/>
    <x v="6"/>
    <x v="4"/>
    <x v="11"/>
  </r>
  <r>
    <x v="103"/>
    <x v="6"/>
    <x v="4"/>
    <x v="11"/>
  </r>
  <r>
    <x v="2001"/>
    <x v="6"/>
    <x v="4"/>
    <x v="11"/>
  </r>
  <r>
    <x v="166"/>
    <x v="6"/>
    <x v="4"/>
    <x v="11"/>
  </r>
  <r>
    <x v="2002"/>
    <x v="6"/>
    <x v="4"/>
    <x v="11"/>
  </r>
  <r>
    <x v="103"/>
    <x v="6"/>
    <x v="4"/>
    <x v="11"/>
  </r>
  <r>
    <x v="103"/>
    <x v="6"/>
    <x v="4"/>
    <x v="11"/>
  </r>
  <r>
    <x v="160"/>
    <x v="6"/>
    <x v="1"/>
    <x v="31"/>
  </r>
  <r>
    <x v="160"/>
    <x v="6"/>
    <x v="1"/>
    <x v="30"/>
  </r>
  <r>
    <x v="160"/>
    <x v="6"/>
    <x v="1"/>
    <x v="30"/>
  </r>
  <r>
    <x v="275"/>
    <x v="6"/>
    <x v="1"/>
    <x v="22"/>
  </r>
  <r>
    <x v="52"/>
    <x v="6"/>
    <x v="1"/>
    <x v="22"/>
  </r>
  <r>
    <x v="43"/>
    <x v="6"/>
    <x v="1"/>
    <x v="22"/>
  </r>
  <r>
    <x v="43"/>
    <x v="6"/>
    <x v="1"/>
    <x v="22"/>
  </r>
  <r>
    <x v="132"/>
    <x v="6"/>
    <x v="1"/>
    <x v="22"/>
  </r>
  <r>
    <x v="275"/>
    <x v="6"/>
    <x v="1"/>
    <x v="22"/>
  </r>
  <r>
    <x v="75"/>
    <x v="6"/>
    <x v="1"/>
    <x v="22"/>
  </r>
  <r>
    <x v="75"/>
    <x v="6"/>
    <x v="1"/>
    <x v="28"/>
  </r>
  <r>
    <x v="75"/>
    <x v="6"/>
    <x v="1"/>
    <x v="28"/>
  </r>
  <r>
    <x v="75"/>
    <x v="6"/>
    <x v="4"/>
    <x v="11"/>
  </r>
  <r>
    <x v="75"/>
    <x v="6"/>
    <x v="4"/>
    <x v="11"/>
  </r>
  <r>
    <x v="75"/>
    <x v="6"/>
    <x v="4"/>
    <x v="11"/>
  </r>
  <r>
    <x v="76"/>
    <x v="6"/>
    <x v="4"/>
    <x v="11"/>
  </r>
  <r>
    <x v="76"/>
    <x v="6"/>
    <x v="4"/>
    <x v="11"/>
  </r>
  <r>
    <x v="75"/>
    <x v="6"/>
    <x v="4"/>
    <x v="11"/>
  </r>
  <r>
    <x v="166"/>
    <x v="6"/>
    <x v="1"/>
    <x v="22"/>
  </r>
  <r>
    <x v="369"/>
    <x v="6"/>
    <x v="4"/>
    <x v="4"/>
  </r>
  <r>
    <x v="2003"/>
    <x v="6"/>
    <x v="1"/>
    <x v="31"/>
  </r>
  <r>
    <x v="2004"/>
    <x v="6"/>
    <x v="2"/>
    <x v="26"/>
  </r>
  <r>
    <x v="166"/>
    <x v="6"/>
    <x v="1"/>
    <x v="23"/>
  </r>
  <r>
    <x v="1027"/>
    <x v="6"/>
    <x v="6"/>
    <x v="56"/>
  </r>
  <r>
    <x v="191"/>
    <x v="6"/>
    <x v="2"/>
    <x v="26"/>
  </r>
  <r>
    <x v="2005"/>
    <x v="6"/>
    <x v="2"/>
    <x v="26"/>
  </r>
  <r>
    <x v="2006"/>
    <x v="6"/>
    <x v="4"/>
    <x v="4"/>
  </r>
  <r>
    <x v="656"/>
    <x v="6"/>
    <x v="4"/>
    <x v="4"/>
  </r>
  <r>
    <x v="2007"/>
    <x v="6"/>
    <x v="4"/>
    <x v="4"/>
  </r>
  <r>
    <x v="2008"/>
    <x v="6"/>
    <x v="4"/>
    <x v="4"/>
  </r>
  <r>
    <x v="76"/>
    <x v="6"/>
    <x v="1"/>
    <x v="23"/>
  </r>
  <r>
    <x v="166"/>
    <x v="6"/>
    <x v="1"/>
    <x v="23"/>
  </r>
  <r>
    <x v="35"/>
    <x v="6"/>
    <x v="1"/>
    <x v="23"/>
  </r>
  <r>
    <x v="460"/>
    <x v="6"/>
    <x v="1"/>
    <x v="23"/>
  </r>
  <r>
    <x v="11"/>
    <x v="6"/>
    <x v="1"/>
    <x v="23"/>
  </r>
  <r>
    <x v="389"/>
    <x v="6"/>
    <x v="1"/>
    <x v="23"/>
  </r>
  <r>
    <x v="389"/>
    <x v="6"/>
    <x v="1"/>
    <x v="23"/>
  </r>
  <r>
    <x v="103"/>
    <x v="6"/>
    <x v="1"/>
    <x v="23"/>
  </r>
  <r>
    <x v="389"/>
    <x v="6"/>
    <x v="1"/>
    <x v="23"/>
  </r>
  <r>
    <x v="2009"/>
    <x v="6"/>
    <x v="1"/>
    <x v="23"/>
  </r>
  <r>
    <x v="1260"/>
    <x v="6"/>
    <x v="1"/>
    <x v="23"/>
  </r>
  <r>
    <x v="18"/>
    <x v="6"/>
    <x v="1"/>
    <x v="23"/>
  </r>
  <r>
    <x v="132"/>
    <x v="6"/>
    <x v="1"/>
    <x v="23"/>
  </r>
  <r>
    <x v="392"/>
    <x v="6"/>
    <x v="1"/>
    <x v="23"/>
  </r>
  <r>
    <x v="448"/>
    <x v="6"/>
    <x v="1"/>
    <x v="23"/>
  </r>
  <r>
    <x v="43"/>
    <x v="6"/>
    <x v="1"/>
    <x v="23"/>
  </r>
  <r>
    <x v="449"/>
    <x v="6"/>
    <x v="1"/>
    <x v="23"/>
  </r>
  <r>
    <x v="36"/>
    <x v="6"/>
    <x v="1"/>
    <x v="23"/>
  </r>
  <r>
    <x v="75"/>
    <x v="6"/>
    <x v="1"/>
    <x v="23"/>
  </r>
  <r>
    <x v="439"/>
    <x v="6"/>
    <x v="1"/>
    <x v="23"/>
  </r>
  <r>
    <x v="563"/>
    <x v="6"/>
    <x v="1"/>
    <x v="23"/>
  </r>
  <r>
    <x v="655"/>
    <x v="6"/>
    <x v="1"/>
    <x v="23"/>
  </r>
  <r>
    <x v="167"/>
    <x v="6"/>
    <x v="1"/>
    <x v="23"/>
  </r>
  <r>
    <x v="11"/>
    <x v="6"/>
    <x v="1"/>
    <x v="23"/>
  </r>
  <r>
    <x v="1332"/>
    <x v="6"/>
    <x v="4"/>
    <x v="4"/>
  </r>
  <r>
    <x v="195"/>
    <x v="6"/>
    <x v="4"/>
    <x v="4"/>
  </r>
  <r>
    <x v="41"/>
    <x v="6"/>
    <x v="4"/>
    <x v="4"/>
  </r>
  <r>
    <x v="41"/>
    <x v="6"/>
    <x v="1"/>
    <x v="31"/>
  </r>
  <r>
    <x v="41"/>
    <x v="6"/>
    <x v="2"/>
    <x v="26"/>
  </r>
  <r>
    <x v="99"/>
    <x v="6"/>
    <x v="4"/>
    <x v="4"/>
  </r>
  <r>
    <x v="160"/>
    <x v="6"/>
    <x v="1"/>
    <x v="31"/>
  </r>
  <r>
    <x v="41"/>
    <x v="6"/>
    <x v="4"/>
    <x v="4"/>
  </r>
  <r>
    <x v="75"/>
    <x v="6"/>
    <x v="4"/>
    <x v="4"/>
  </r>
  <r>
    <x v="75"/>
    <x v="6"/>
    <x v="4"/>
    <x v="4"/>
  </r>
  <r>
    <x v="81"/>
    <x v="6"/>
    <x v="4"/>
    <x v="4"/>
  </r>
  <r>
    <x v="160"/>
    <x v="6"/>
    <x v="4"/>
    <x v="4"/>
  </r>
  <r>
    <x v="41"/>
    <x v="6"/>
    <x v="4"/>
    <x v="11"/>
  </r>
  <r>
    <x v="154"/>
    <x v="6"/>
    <x v="4"/>
    <x v="4"/>
  </r>
  <r>
    <x v="41"/>
    <x v="6"/>
    <x v="1"/>
    <x v="31"/>
  </r>
  <r>
    <x v="41"/>
    <x v="6"/>
    <x v="4"/>
    <x v="4"/>
  </r>
  <r>
    <x v="192"/>
    <x v="6"/>
    <x v="1"/>
    <x v="31"/>
  </r>
  <r>
    <x v="41"/>
    <x v="6"/>
    <x v="4"/>
    <x v="4"/>
  </r>
  <r>
    <x v="2010"/>
    <x v="6"/>
    <x v="2"/>
    <x v="54"/>
  </r>
  <r>
    <x v="1131"/>
    <x v="6"/>
    <x v="4"/>
    <x v="4"/>
  </r>
  <r>
    <x v="166"/>
    <x v="6"/>
    <x v="1"/>
    <x v="23"/>
  </r>
  <r>
    <x v="76"/>
    <x v="6"/>
    <x v="1"/>
    <x v="23"/>
  </r>
  <r>
    <x v="35"/>
    <x v="6"/>
    <x v="2"/>
    <x v="26"/>
  </r>
  <r>
    <x v="166"/>
    <x v="6"/>
    <x v="2"/>
    <x v="26"/>
  </r>
  <r>
    <x v="75"/>
    <x v="6"/>
    <x v="2"/>
    <x v="26"/>
  </r>
  <r>
    <x v="75"/>
    <x v="6"/>
    <x v="2"/>
    <x v="26"/>
  </r>
  <r>
    <x v="2011"/>
    <x v="6"/>
    <x v="2"/>
    <x v="26"/>
  </r>
  <r>
    <x v="2012"/>
    <x v="6"/>
    <x v="2"/>
    <x v="26"/>
  </r>
  <r>
    <x v="2013"/>
    <x v="6"/>
    <x v="2"/>
    <x v="46"/>
  </r>
  <r>
    <x v="2014"/>
    <x v="6"/>
    <x v="1"/>
    <x v="31"/>
  </r>
  <r>
    <x v="2015"/>
    <x v="6"/>
    <x v="1"/>
    <x v="31"/>
  </r>
  <r>
    <x v="2016"/>
    <x v="6"/>
    <x v="1"/>
    <x v="31"/>
  </r>
  <r>
    <x v="168"/>
    <x v="6"/>
    <x v="2"/>
    <x v="26"/>
  </r>
  <r>
    <x v="2017"/>
    <x v="6"/>
    <x v="2"/>
    <x v="26"/>
  </r>
  <r>
    <x v="2018"/>
    <x v="6"/>
    <x v="2"/>
    <x v="54"/>
  </r>
  <r>
    <x v="460"/>
    <x v="6"/>
    <x v="4"/>
    <x v="4"/>
  </r>
  <r>
    <x v="2019"/>
    <x v="6"/>
    <x v="2"/>
    <x v="26"/>
  </r>
  <r>
    <x v="2020"/>
    <x v="6"/>
    <x v="2"/>
    <x v="26"/>
  </r>
  <r>
    <x v="736"/>
    <x v="6"/>
    <x v="2"/>
    <x v="46"/>
  </r>
  <r>
    <x v="355"/>
    <x v="6"/>
    <x v="4"/>
    <x v="4"/>
  </r>
  <r>
    <x v="2021"/>
    <x v="6"/>
    <x v="1"/>
    <x v="23"/>
  </r>
  <r>
    <x v="2022"/>
    <x v="6"/>
    <x v="4"/>
    <x v="4"/>
  </r>
  <r>
    <x v="2023"/>
    <x v="6"/>
    <x v="2"/>
    <x v="47"/>
  </r>
  <r>
    <x v="2024"/>
    <x v="6"/>
    <x v="2"/>
    <x v="48"/>
  </r>
  <r>
    <x v="2025"/>
    <x v="6"/>
    <x v="1"/>
    <x v="23"/>
  </r>
  <r>
    <x v="2026"/>
    <x v="6"/>
    <x v="2"/>
    <x v="54"/>
  </r>
  <r>
    <x v="2027"/>
    <x v="6"/>
    <x v="1"/>
    <x v="23"/>
  </r>
  <r>
    <x v="2028"/>
    <x v="6"/>
    <x v="4"/>
    <x v="11"/>
  </r>
  <r>
    <x v="2029"/>
    <x v="6"/>
    <x v="2"/>
    <x v="26"/>
  </r>
  <r>
    <x v="2030"/>
    <x v="6"/>
    <x v="2"/>
    <x v="54"/>
  </r>
  <r>
    <x v="2031"/>
    <x v="6"/>
    <x v="2"/>
    <x v="54"/>
  </r>
  <r>
    <x v="2032"/>
    <x v="6"/>
    <x v="1"/>
    <x v="23"/>
  </r>
  <r>
    <x v="2033"/>
    <x v="6"/>
    <x v="4"/>
    <x v="11"/>
  </r>
  <r>
    <x v="2034"/>
    <x v="6"/>
    <x v="4"/>
    <x v="11"/>
  </r>
  <r>
    <x v="2035"/>
    <x v="6"/>
    <x v="6"/>
    <x v="21"/>
  </r>
  <r>
    <x v="2036"/>
    <x v="6"/>
    <x v="1"/>
    <x v="43"/>
  </r>
  <r>
    <x v="358"/>
    <x v="6"/>
    <x v="1"/>
    <x v="31"/>
  </r>
  <r>
    <x v="513"/>
    <x v="6"/>
    <x v="2"/>
    <x v="54"/>
  </r>
  <r>
    <x v="2037"/>
    <x v="6"/>
    <x v="2"/>
    <x v="54"/>
  </r>
  <r>
    <x v="2038"/>
    <x v="6"/>
    <x v="4"/>
    <x v="4"/>
  </r>
  <r>
    <x v="399"/>
    <x v="6"/>
    <x v="1"/>
    <x v="23"/>
  </r>
  <r>
    <x v="2039"/>
    <x v="6"/>
    <x v="1"/>
    <x v="23"/>
  </r>
  <r>
    <x v="754"/>
    <x v="6"/>
    <x v="1"/>
    <x v="45"/>
  </r>
  <r>
    <x v="2040"/>
    <x v="6"/>
    <x v="6"/>
    <x v="56"/>
  </r>
  <r>
    <x v="2041"/>
    <x v="6"/>
    <x v="4"/>
    <x v="4"/>
  </r>
  <r>
    <x v="403"/>
    <x v="6"/>
    <x v="4"/>
    <x v="11"/>
  </r>
  <r>
    <x v="2042"/>
    <x v="6"/>
    <x v="2"/>
    <x v="26"/>
  </r>
  <r>
    <x v="2043"/>
    <x v="6"/>
    <x v="1"/>
    <x v="43"/>
  </r>
  <r>
    <x v="2044"/>
    <x v="6"/>
    <x v="1"/>
    <x v="31"/>
  </r>
  <r>
    <x v="2045"/>
    <x v="6"/>
    <x v="1"/>
    <x v="23"/>
  </r>
  <r>
    <x v="763"/>
    <x v="6"/>
    <x v="4"/>
    <x v="4"/>
  </r>
  <r>
    <x v="495"/>
    <x v="6"/>
    <x v="2"/>
    <x v="26"/>
  </r>
  <r>
    <x v="2046"/>
    <x v="6"/>
    <x v="1"/>
    <x v="23"/>
  </r>
  <r>
    <x v="121"/>
    <x v="6"/>
    <x v="1"/>
    <x v="45"/>
  </r>
  <r>
    <x v="400"/>
    <x v="6"/>
    <x v="4"/>
    <x v="11"/>
  </r>
  <r>
    <x v="819"/>
    <x v="6"/>
    <x v="1"/>
    <x v="40"/>
  </r>
  <r>
    <x v="2047"/>
    <x v="6"/>
    <x v="4"/>
    <x v="4"/>
  </r>
  <r>
    <x v="2048"/>
    <x v="6"/>
    <x v="2"/>
    <x v="26"/>
  </r>
  <r>
    <x v="2049"/>
    <x v="6"/>
    <x v="6"/>
    <x v="56"/>
  </r>
  <r>
    <x v="2050"/>
    <x v="6"/>
    <x v="2"/>
    <x v="26"/>
  </r>
  <r>
    <x v="2050"/>
    <x v="6"/>
    <x v="1"/>
    <x v="31"/>
  </r>
  <r>
    <x v="2050"/>
    <x v="6"/>
    <x v="6"/>
    <x v="38"/>
  </r>
  <r>
    <x v="498"/>
    <x v="6"/>
    <x v="2"/>
    <x v="26"/>
  </r>
  <r>
    <x v="2051"/>
    <x v="6"/>
    <x v="2"/>
    <x v="26"/>
  </r>
  <r>
    <x v="2051"/>
    <x v="6"/>
    <x v="1"/>
    <x v="31"/>
  </r>
  <r>
    <x v="2051"/>
    <x v="6"/>
    <x v="6"/>
    <x v="38"/>
  </r>
  <r>
    <x v="494"/>
    <x v="6"/>
    <x v="2"/>
    <x v="26"/>
  </r>
  <r>
    <x v="498"/>
    <x v="6"/>
    <x v="4"/>
    <x v="4"/>
  </r>
  <r>
    <x v="749"/>
    <x v="6"/>
    <x v="2"/>
    <x v="26"/>
  </r>
  <r>
    <x v="956"/>
    <x v="6"/>
    <x v="6"/>
    <x v="38"/>
  </r>
  <r>
    <x v="2052"/>
    <x v="6"/>
    <x v="6"/>
    <x v="38"/>
  </r>
  <r>
    <x v="498"/>
    <x v="6"/>
    <x v="2"/>
    <x v="26"/>
  </r>
  <r>
    <x v="498"/>
    <x v="6"/>
    <x v="1"/>
    <x v="23"/>
  </r>
  <r>
    <x v="498"/>
    <x v="6"/>
    <x v="4"/>
    <x v="4"/>
  </r>
  <r>
    <x v="2053"/>
    <x v="6"/>
    <x v="4"/>
    <x v="4"/>
  </r>
  <r>
    <x v="498"/>
    <x v="6"/>
    <x v="4"/>
    <x v="4"/>
  </r>
  <r>
    <x v="53"/>
    <x v="6"/>
    <x v="4"/>
    <x v="4"/>
  </r>
  <r>
    <x v="1901"/>
    <x v="6"/>
    <x v="1"/>
    <x v="31"/>
  </r>
  <r>
    <x v="2054"/>
    <x v="6"/>
    <x v="1"/>
    <x v="31"/>
  </r>
  <r>
    <x v="2055"/>
    <x v="6"/>
    <x v="2"/>
    <x v="26"/>
  </r>
  <r>
    <x v="2055"/>
    <x v="6"/>
    <x v="1"/>
    <x v="31"/>
  </r>
  <r>
    <x v="2056"/>
    <x v="6"/>
    <x v="6"/>
    <x v="38"/>
  </r>
  <r>
    <x v="1373"/>
    <x v="6"/>
    <x v="4"/>
    <x v="4"/>
  </r>
  <r>
    <x v="498"/>
    <x v="6"/>
    <x v="1"/>
    <x v="23"/>
  </r>
  <r>
    <x v="498"/>
    <x v="6"/>
    <x v="1"/>
    <x v="23"/>
  </r>
  <r>
    <x v="498"/>
    <x v="6"/>
    <x v="1"/>
    <x v="23"/>
  </r>
  <r>
    <x v="498"/>
    <x v="6"/>
    <x v="1"/>
    <x v="23"/>
  </r>
  <r>
    <x v="498"/>
    <x v="6"/>
    <x v="1"/>
    <x v="23"/>
  </r>
  <r>
    <x v="742"/>
    <x v="6"/>
    <x v="2"/>
    <x v="26"/>
  </r>
  <r>
    <x v="819"/>
    <x v="6"/>
    <x v="4"/>
    <x v="4"/>
  </r>
  <r>
    <x v="494"/>
    <x v="6"/>
    <x v="1"/>
    <x v="23"/>
  </r>
  <r>
    <x v="498"/>
    <x v="6"/>
    <x v="1"/>
    <x v="23"/>
  </r>
  <r>
    <x v="498"/>
    <x v="6"/>
    <x v="1"/>
    <x v="31"/>
  </r>
  <r>
    <x v="498"/>
    <x v="6"/>
    <x v="2"/>
    <x v="26"/>
  </r>
  <r>
    <x v="498"/>
    <x v="6"/>
    <x v="1"/>
    <x v="23"/>
  </r>
  <r>
    <x v="498"/>
    <x v="6"/>
    <x v="1"/>
    <x v="23"/>
  </r>
  <r>
    <x v="498"/>
    <x v="6"/>
    <x v="1"/>
    <x v="23"/>
  </r>
  <r>
    <x v="498"/>
    <x v="6"/>
    <x v="2"/>
    <x v="26"/>
  </r>
  <r>
    <x v="498"/>
    <x v="6"/>
    <x v="1"/>
    <x v="31"/>
  </r>
  <r>
    <x v="2052"/>
    <x v="6"/>
    <x v="6"/>
    <x v="38"/>
  </r>
  <r>
    <x v="2057"/>
    <x v="6"/>
    <x v="2"/>
    <x v="26"/>
  </r>
  <r>
    <x v="2058"/>
    <x v="6"/>
    <x v="1"/>
    <x v="23"/>
  </r>
  <r>
    <x v="2059"/>
    <x v="6"/>
    <x v="4"/>
    <x v="11"/>
  </r>
  <r>
    <x v="498"/>
    <x v="6"/>
    <x v="6"/>
    <x v="38"/>
  </r>
  <r>
    <x v="2060"/>
    <x v="6"/>
    <x v="1"/>
    <x v="31"/>
  </r>
  <r>
    <x v="2061"/>
    <x v="6"/>
    <x v="1"/>
    <x v="31"/>
  </r>
  <r>
    <x v="2062"/>
    <x v="6"/>
    <x v="2"/>
    <x v="46"/>
  </r>
  <r>
    <x v="359"/>
    <x v="6"/>
    <x v="4"/>
    <x v="4"/>
  </r>
  <r>
    <x v="2063"/>
    <x v="6"/>
    <x v="4"/>
    <x v="11"/>
  </r>
  <r>
    <x v="18"/>
    <x v="6"/>
    <x v="1"/>
    <x v="45"/>
  </r>
  <r>
    <x v="1332"/>
    <x v="6"/>
    <x v="4"/>
    <x v="11"/>
  </r>
  <r>
    <x v="192"/>
    <x v="6"/>
    <x v="4"/>
    <x v="11"/>
  </r>
  <r>
    <x v="435"/>
    <x v="6"/>
    <x v="4"/>
    <x v="4"/>
  </r>
  <r>
    <x v="2064"/>
    <x v="6"/>
    <x v="4"/>
    <x v="11"/>
  </r>
  <r>
    <x v="2065"/>
    <x v="6"/>
    <x v="7"/>
    <x v="0"/>
  </r>
  <r>
    <x v="2066"/>
    <x v="6"/>
    <x v="5"/>
    <x v="0"/>
  </r>
  <r>
    <x v="2067"/>
    <x v="6"/>
    <x v="5"/>
    <x v="0"/>
  </r>
  <r>
    <x v="2068"/>
    <x v="6"/>
    <x v="2"/>
    <x v="26"/>
  </r>
  <r>
    <x v="2068"/>
    <x v="6"/>
    <x v="1"/>
    <x v="31"/>
  </r>
  <r>
    <x v="2069"/>
    <x v="6"/>
    <x v="6"/>
    <x v="38"/>
  </r>
  <r>
    <x v="2070"/>
    <x v="6"/>
    <x v="2"/>
    <x v="26"/>
  </r>
  <r>
    <x v="2071"/>
    <x v="6"/>
    <x v="5"/>
    <x v="0"/>
  </r>
  <r>
    <x v="2072"/>
    <x v="6"/>
    <x v="1"/>
    <x v="31"/>
  </r>
  <r>
    <x v="389"/>
    <x v="6"/>
    <x v="1"/>
    <x v="23"/>
  </r>
  <r>
    <x v="485"/>
    <x v="6"/>
    <x v="1"/>
    <x v="23"/>
  </r>
  <r>
    <x v="389"/>
    <x v="6"/>
    <x v="1"/>
    <x v="23"/>
  </r>
  <r>
    <x v="1819"/>
    <x v="6"/>
    <x v="1"/>
    <x v="23"/>
  </r>
  <r>
    <x v="43"/>
    <x v="6"/>
    <x v="1"/>
    <x v="23"/>
  </r>
  <r>
    <x v="460"/>
    <x v="6"/>
    <x v="1"/>
    <x v="23"/>
  </r>
  <r>
    <x v="563"/>
    <x v="6"/>
    <x v="1"/>
    <x v="23"/>
  </r>
  <r>
    <x v="276"/>
    <x v="6"/>
    <x v="1"/>
    <x v="23"/>
  </r>
  <r>
    <x v="422"/>
    <x v="6"/>
    <x v="1"/>
    <x v="23"/>
  </r>
  <r>
    <x v="76"/>
    <x v="6"/>
    <x v="1"/>
    <x v="23"/>
  </r>
  <r>
    <x v="101"/>
    <x v="6"/>
    <x v="1"/>
    <x v="23"/>
  </r>
  <r>
    <x v="36"/>
    <x v="6"/>
    <x v="1"/>
    <x v="23"/>
  </r>
  <r>
    <x v="36"/>
    <x v="6"/>
    <x v="1"/>
    <x v="23"/>
  </r>
  <r>
    <x v="389"/>
    <x v="6"/>
    <x v="1"/>
    <x v="23"/>
  </r>
  <r>
    <x v="35"/>
    <x v="6"/>
    <x v="1"/>
    <x v="23"/>
  </r>
  <r>
    <x v="81"/>
    <x v="6"/>
    <x v="1"/>
    <x v="23"/>
  </r>
  <r>
    <x v="470"/>
    <x v="6"/>
    <x v="1"/>
    <x v="23"/>
  </r>
  <r>
    <x v="180"/>
    <x v="6"/>
    <x v="1"/>
    <x v="23"/>
  </r>
  <r>
    <x v="103"/>
    <x v="6"/>
    <x v="1"/>
    <x v="23"/>
  </r>
  <r>
    <x v="103"/>
    <x v="6"/>
    <x v="1"/>
    <x v="23"/>
  </r>
  <r>
    <x v="103"/>
    <x v="6"/>
    <x v="1"/>
    <x v="23"/>
  </r>
  <r>
    <x v="389"/>
    <x v="6"/>
    <x v="1"/>
    <x v="23"/>
  </r>
  <r>
    <x v="11"/>
    <x v="6"/>
    <x v="1"/>
    <x v="23"/>
  </r>
  <r>
    <x v="132"/>
    <x v="6"/>
    <x v="1"/>
    <x v="23"/>
  </r>
  <r>
    <x v="1016"/>
    <x v="6"/>
    <x v="1"/>
    <x v="23"/>
  </r>
  <r>
    <x v="2073"/>
    <x v="6"/>
    <x v="1"/>
    <x v="23"/>
  </r>
  <r>
    <x v="18"/>
    <x v="6"/>
    <x v="4"/>
    <x v="4"/>
  </r>
  <r>
    <x v="2074"/>
    <x v="6"/>
    <x v="4"/>
    <x v="4"/>
  </r>
  <r>
    <x v="2075"/>
    <x v="6"/>
    <x v="2"/>
    <x v="54"/>
  </r>
  <r>
    <x v="2076"/>
    <x v="6"/>
    <x v="4"/>
    <x v="4"/>
  </r>
  <r>
    <x v="2077"/>
    <x v="6"/>
    <x v="4"/>
    <x v="4"/>
  </r>
  <r>
    <x v="1819"/>
    <x v="6"/>
    <x v="4"/>
    <x v="4"/>
  </r>
  <r>
    <x v="160"/>
    <x v="6"/>
    <x v="2"/>
    <x v="18"/>
  </r>
  <r>
    <x v="195"/>
    <x v="6"/>
    <x v="2"/>
    <x v="26"/>
  </r>
  <r>
    <x v="99"/>
    <x v="6"/>
    <x v="2"/>
    <x v="54"/>
  </r>
  <r>
    <x v="2078"/>
    <x v="6"/>
    <x v="1"/>
    <x v="31"/>
  </r>
  <r>
    <x v="99"/>
    <x v="6"/>
    <x v="6"/>
    <x v="16"/>
  </r>
  <r>
    <x v="99"/>
    <x v="6"/>
    <x v="1"/>
    <x v="43"/>
  </r>
  <r>
    <x v="166"/>
    <x v="6"/>
    <x v="1"/>
    <x v="3"/>
  </r>
  <r>
    <x v="99"/>
    <x v="6"/>
    <x v="1"/>
    <x v="30"/>
  </r>
  <r>
    <x v="166"/>
    <x v="6"/>
    <x v="2"/>
    <x v="35"/>
  </r>
  <r>
    <x v="2079"/>
    <x v="6"/>
    <x v="1"/>
    <x v="31"/>
  </r>
  <r>
    <x v="2080"/>
    <x v="6"/>
    <x v="1"/>
    <x v="31"/>
  </r>
  <r>
    <x v="1056"/>
    <x v="6"/>
    <x v="2"/>
    <x v="26"/>
  </r>
  <r>
    <x v="2081"/>
    <x v="6"/>
    <x v="1"/>
    <x v="31"/>
  </r>
  <r>
    <x v="2082"/>
    <x v="6"/>
    <x v="6"/>
    <x v="56"/>
  </r>
  <r>
    <x v="168"/>
    <x v="6"/>
    <x v="1"/>
    <x v="23"/>
  </r>
  <r>
    <x v="817"/>
    <x v="6"/>
    <x v="2"/>
    <x v="54"/>
  </r>
  <r>
    <x v="163"/>
    <x v="6"/>
    <x v="1"/>
    <x v="43"/>
  </r>
  <r>
    <x v="40"/>
    <x v="6"/>
    <x v="6"/>
    <x v="16"/>
  </r>
  <r>
    <x v="35"/>
    <x v="6"/>
    <x v="6"/>
    <x v="56"/>
  </r>
  <r>
    <x v="186"/>
    <x v="6"/>
    <x v="6"/>
    <x v="56"/>
  </r>
  <r>
    <x v="160"/>
    <x v="6"/>
    <x v="1"/>
    <x v="3"/>
  </r>
  <r>
    <x v="2083"/>
    <x v="6"/>
    <x v="6"/>
    <x v="38"/>
  </r>
  <r>
    <x v="2084"/>
    <x v="6"/>
    <x v="6"/>
    <x v="38"/>
  </r>
  <r>
    <x v="2085"/>
    <x v="6"/>
    <x v="2"/>
    <x v="26"/>
  </r>
  <r>
    <x v="35"/>
    <x v="6"/>
    <x v="2"/>
    <x v="26"/>
  </r>
  <r>
    <x v="192"/>
    <x v="6"/>
    <x v="1"/>
    <x v="43"/>
  </r>
  <r>
    <x v="2086"/>
    <x v="6"/>
    <x v="2"/>
    <x v="26"/>
  </r>
  <r>
    <x v="2087"/>
    <x v="6"/>
    <x v="2"/>
    <x v="26"/>
  </r>
  <r>
    <x v="101"/>
    <x v="6"/>
    <x v="6"/>
    <x v="16"/>
  </r>
  <r>
    <x v="2088"/>
    <x v="6"/>
    <x v="2"/>
    <x v="26"/>
  </r>
  <r>
    <x v="2089"/>
    <x v="6"/>
    <x v="1"/>
    <x v="43"/>
  </r>
  <r>
    <x v="218"/>
    <x v="6"/>
    <x v="2"/>
    <x v="26"/>
  </r>
  <r>
    <x v="192"/>
    <x v="6"/>
    <x v="6"/>
    <x v="16"/>
  </r>
  <r>
    <x v="75"/>
    <x v="6"/>
    <x v="6"/>
    <x v="16"/>
  </r>
  <r>
    <x v="192"/>
    <x v="6"/>
    <x v="6"/>
    <x v="16"/>
  </r>
  <r>
    <x v="192"/>
    <x v="6"/>
    <x v="1"/>
    <x v="28"/>
  </r>
  <r>
    <x v="276"/>
    <x v="6"/>
    <x v="1"/>
    <x v="28"/>
  </r>
  <r>
    <x v="276"/>
    <x v="6"/>
    <x v="1"/>
    <x v="28"/>
  </r>
  <r>
    <x v="75"/>
    <x v="6"/>
    <x v="1"/>
    <x v="28"/>
  </r>
  <r>
    <x v="75"/>
    <x v="6"/>
    <x v="1"/>
    <x v="28"/>
  </r>
  <r>
    <x v="101"/>
    <x v="6"/>
    <x v="1"/>
    <x v="28"/>
  </r>
  <r>
    <x v="75"/>
    <x v="6"/>
    <x v="1"/>
    <x v="28"/>
  </r>
  <r>
    <x v="160"/>
    <x v="6"/>
    <x v="1"/>
    <x v="28"/>
  </r>
  <r>
    <x v="41"/>
    <x v="6"/>
    <x v="4"/>
    <x v="4"/>
  </r>
  <r>
    <x v="41"/>
    <x v="6"/>
    <x v="4"/>
    <x v="4"/>
  </r>
  <r>
    <x v="41"/>
    <x v="6"/>
    <x v="4"/>
    <x v="4"/>
  </r>
  <r>
    <x v="192"/>
    <x v="6"/>
    <x v="1"/>
    <x v="31"/>
  </r>
  <r>
    <x v="192"/>
    <x v="6"/>
    <x v="1"/>
    <x v="31"/>
  </r>
  <r>
    <x v="115"/>
    <x v="6"/>
    <x v="4"/>
    <x v="11"/>
  </r>
  <r>
    <x v="276"/>
    <x v="6"/>
    <x v="4"/>
    <x v="11"/>
  </r>
  <r>
    <x v="115"/>
    <x v="6"/>
    <x v="4"/>
    <x v="11"/>
  </r>
  <r>
    <x v="115"/>
    <x v="6"/>
    <x v="4"/>
    <x v="11"/>
  </r>
  <r>
    <x v="166"/>
    <x v="6"/>
    <x v="4"/>
    <x v="11"/>
  </r>
  <r>
    <x v="115"/>
    <x v="6"/>
    <x v="4"/>
    <x v="11"/>
  </r>
  <r>
    <x v="147"/>
    <x v="6"/>
    <x v="4"/>
    <x v="11"/>
  </r>
  <r>
    <x v="806"/>
    <x v="6"/>
    <x v="4"/>
    <x v="11"/>
  </r>
  <r>
    <x v="806"/>
    <x v="6"/>
    <x v="4"/>
    <x v="11"/>
  </r>
  <r>
    <x v="132"/>
    <x v="6"/>
    <x v="4"/>
    <x v="11"/>
  </r>
  <r>
    <x v="132"/>
    <x v="6"/>
    <x v="4"/>
    <x v="11"/>
  </r>
  <r>
    <x v="76"/>
    <x v="6"/>
    <x v="4"/>
    <x v="11"/>
  </r>
  <r>
    <x v="76"/>
    <x v="6"/>
    <x v="4"/>
    <x v="11"/>
  </r>
  <r>
    <x v="101"/>
    <x v="6"/>
    <x v="4"/>
    <x v="11"/>
  </r>
  <r>
    <x v="115"/>
    <x v="6"/>
    <x v="4"/>
    <x v="11"/>
  </r>
  <r>
    <x v="1050"/>
    <x v="6"/>
    <x v="4"/>
    <x v="11"/>
  </r>
  <r>
    <x v="577"/>
    <x v="6"/>
    <x v="1"/>
    <x v="23"/>
  </r>
  <r>
    <x v="1993"/>
    <x v="6"/>
    <x v="1"/>
    <x v="23"/>
  </r>
  <r>
    <x v="166"/>
    <x v="6"/>
    <x v="1"/>
    <x v="28"/>
  </r>
  <r>
    <x v="102"/>
    <x v="6"/>
    <x v="1"/>
    <x v="43"/>
  </r>
  <r>
    <x v="43"/>
    <x v="6"/>
    <x v="2"/>
    <x v="26"/>
  </r>
  <r>
    <x v="1027"/>
    <x v="6"/>
    <x v="1"/>
    <x v="31"/>
  </r>
  <r>
    <x v="2090"/>
    <x v="6"/>
    <x v="2"/>
    <x v="54"/>
  </r>
  <r>
    <x v="2091"/>
    <x v="6"/>
    <x v="1"/>
    <x v="43"/>
  </r>
  <r>
    <x v="655"/>
    <x v="6"/>
    <x v="6"/>
    <x v="16"/>
  </r>
  <r>
    <x v="2092"/>
    <x v="6"/>
    <x v="2"/>
    <x v="26"/>
  </r>
  <r>
    <x v="101"/>
    <x v="6"/>
    <x v="6"/>
    <x v="56"/>
  </r>
  <r>
    <x v="422"/>
    <x v="6"/>
    <x v="4"/>
    <x v="4"/>
  </r>
  <r>
    <x v="2093"/>
    <x v="6"/>
    <x v="2"/>
    <x v="26"/>
  </r>
  <r>
    <x v="2094"/>
    <x v="6"/>
    <x v="1"/>
    <x v="43"/>
  </r>
  <r>
    <x v="2095"/>
    <x v="6"/>
    <x v="1"/>
    <x v="23"/>
  </r>
  <r>
    <x v="1777"/>
    <x v="6"/>
    <x v="1"/>
    <x v="23"/>
  </r>
  <r>
    <x v="2096"/>
    <x v="6"/>
    <x v="1"/>
    <x v="23"/>
  </r>
  <r>
    <x v="2097"/>
    <x v="6"/>
    <x v="1"/>
    <x v="43"/>
  </r>
  <r>
    <x v="2098"/>
    <x v="6"/>
    <x v="6"/>
    <x v="37"/>
  </r>
  <r>
    <x v="2099"/>
    <x v="6"/>
    <x v="1"/>
    <x v="23"/>
  </r>
  <r>
    <x v="2100"/>
    <x v="6"/>
    <x v="2"/>
    <x v="34"/>
  </r>
  <r>
    <x v="2101"/>
    <x v="6"/>
    <x v="1"/>
    <x v="23"/>
  </r>
  <r>
    <x v="2102"/>
    <x v="6"/>
    <x v="2"/>
    <x v="46"/>
  </r>
  <r>
    <x v="1943"/>
    <x v="6"/>
    <x v="4"/>
    <x v="4"/>
  </r>
  <r>
    <x v="2103"/>
    <x v="6"/>
    <x v="2"/>
    <x v="46"/>
  </r>
  <r>
    <x v="460"/>
    <x v="6"/>
    <x v="1"/>
    <x v="23"/>
  </r>
  <r>
    <x v="1270"/>
    <x v="6"/>
    <x v="1"/>
    <x v="28"/>
  </r>
  <r>
    <x v="2104"/>
    <x v="6"/>
    <x v="2"/>
    <x v="46"/>
  </r>
  <r>
    <x v="2105"/>
    <x v="6"/>
    <x v="1"/>
    <x v="23"/>
  </r>
  <r>
    <x v="606"/>
    <x v="6"/>
    <x v="1"/>
    <x v="23"/>
  </r>
  <r>
    <x v="2106"/>
    <x v="6"/>
    <x v="1"/>
    <x v="23"/>
  </r>
  <r>
    <x v="2107"/>
    <x v="6"/>
    <x v="6"/>
    <x v="56"/>
  </r>
  <r>
    <x v="2108"/>
    <x v="6"/>
    <x v="1"/>
    <x v="23"/>
  </r>
  <r>
    <x v="2109"/>
    <x v="6"/>
    <x v="1"/>
    <x v="23"/>
  </r>
  <r>
    <x v="2110"/>
    <x v="6"/>
    <x v="1"/>
    <x v="23"/>
  </r>
  <r>
    <x v="2111"/>
    <x v="6"/>
    <x v="1"/>
    <x v="45"/>
  </r>
  <r>
    <x v="2112"/>
    <x v="6"/>
    <x v="1"/>
    <x v="1"/>
  </r>
  <r>
    <x v="154"/>
    <x v="6"/>
    <x v="4"/>
    <x v="4"/>
  </r>
  <r>
    <x v="118"/>
    <x v="6"/>
    <x v="4"/>
    <x v="4"/>
  </r>
  <r>
    <x v="2113"/>
    <x v="6"/>
    <x v="4"/>
    <x v="4"/>
  </r>
  <r>
    <x v="941"/>
    <x v="6"/>
    <x v="1"/>
    <x v="31"/>
  </r>
  <r>
    <x v="1245"/>
    <x v="6"/>
    <x v="6"/>
    <x v="56"/>
  </r>
  <r>
    <x v="172"/>
    <x v="6"/>
    <x v="1"/>
    <x v="24"/>
  </r>
  <r>
    <x v="2114"/>
    <x v="6"/>
    <x v="1"/>
    <x v="43"/>
  </r>
  <r>
    <x v="2115"/>
    <x v="6"/>
    <x v="2"/>
    <x v="34"/>
  </r>
  <r>
    <x v="2116"/>
    <x v="6"/>
    <x v="1"/>
    <x v="43"/>
  </r>
  <r>
    <x v="2117"/>
    <x v="6"/>
    <x v="2"/>
    <x v="26"/>
  </r>
  <r>
    <x v="2118"/>
    <x v="6"/>
    <x v="9"/>
    <x v="23"/>
  </r>
  <r>
    <x v="2119"/>
    <x v="6"/>
    <x v="9"/>
    <x v="24"/>
  </r>
  <r>
    <x v="2120"/>
    <x v="6"/>
    <x v="3"/>
    <x v="0"/>
  </r>
  <r>
    <x v="2121"/>
    <x v="6"/>
    <x v="12"/>
    <x v="0"/>
  </r>
  <r>
    <x v="2122"/>
    <x v="6"/>
    <x v="9"/>
    <x v="23"/>
  </r>
  <r>
    <x v="2123"/>
    <x v="6"/>
    <x v="9"/>
    <x v="24"/>
  </r>
  <r>
    <x v="2124"/>
    <x v="6"/>
    <x v="5"/>
    <x v="0"/>
  </r>
  <r>
    <x v="2125"/>
    <x v="6"/>
    <x v="13"/>
    <x v="0"/>
  </r>
  <r>
    <x v="2126"/>
    <x v="6"/>
    <x v="4"/>
    <x v="11"/>
  </r>
  <r>
    <x v="2127"/>
    <x v="6"/>
    <x v="4"/>
    <x v="4"/>
  </r>
  <r>
    <x v="506"/>
    <x v="6"/>
    <x v="4"/>
    <x v="4"/>
  </r>
  <r>
    <x v="2128"/>
    <x v="6"/>
    <x v="5"/>
    <x v="0"/>
  </r>
  <r>
    <x v="2129"/>
    <x v="6"/>
    <x v="5"/>
    <x v="0"/>
  </r>
  <r>
    <x v="2130"/>
    <x v="6"/>
    <x v="5"/>
    <x v="0"/>
  </r>
  <r>
    <x v="2131"/>
    <x v="6"/>
    <x v="4"/>
    <x v="4"/>
  </r>
  <r>
    <x v="35"/>
    <x v="6"/>
    <x v="2"/>
    <x v="54"/>
  </r>
  <r>
    <x v="18"/>
    <x v="6"/>
    <x v="2"/>
    <x v="54"/>
  </r>
  <r>
    <x v="168"/>
    <x v="6"/>
    <x v="2"/>
    <x v="54"/>
  </r>
  <r>
    <x v="2132"/>
    <x v="6"/>
    <x v="2"/>
    <x v="54"/>
  </r>
  <r>
    <x v="2133"/>
    <x v="6"/>
    <x v="2"/>
    <x v="54"/>
  </r>
  <r>
    <x v="2134"/>
    <x v="6"/>
    <x v="2"/>
    <x v="54"/>
  </r>
  <r>
    <x v="655"/>
    <x v="6"/>
    <x v="2"/>
    <x v="54"/>
  </r>
  <r>
    <x v="2132"/>
    <x v="6"/>
    <x v="2"/>
    <x v="54"/>
  </r>
  <r>
    <x v="2134"/>
    <x v="6"/>
    <x v="2"/>
    <x v="54"/>
  </r>
  <r>
    <x v="1822"/>
    <x v="6"/>
    <x v="2"/>
    <x v="54"/>
  </r>
  <r>
    <x v="2132"/>
    <x v="6"/>
    <x v="2"/>
    <x v="54"/>
  </r>
  <r>
    <x v="2134"/>
    <x v="6"/>
    <x v="2"/>
    <x v="54"/>
  </r>
  <r>
    <x v="2135"/>
    <x v="6"/>
    <x v="2"/>
    <x v="54"/>
  </r>
  <r>
    <x v="2136"/>
    <x v="6"/>
    <x v="2"/>
    <x v="54"/>
  </r>
  <r>
    <x v="166"/>
    <x v="6"/>
    <x v="2"/>
    <x v="54"/>
  </r>
  <r>
    <x v="35"/>
    <x v="6"/>
    <x v="2"/>
    <x v="54"/>
  </r>
  <r>
    <x v="167"/>
    <x v="6"/>
    <x v="2"/>
    <x v="54"/>
  </r>
  <r>
    <x v="167"/>
    <x v="6"/>
    <x v="2"/>
    <x v="54"/>
  </r>
  <r>
    <x v="167"/>
    <x v="6"/>
    <x v="2"/>
    <x v="54"/>
  </r>
  <r>
    <x v="132"/>
    <x v="6"/>
    <x v="2"/>
    <x v="54"/>
  </r>
  <r>
    <x v="813"/>
    <x v="6"/>
    <x v="2"/>
    <x v="54"/>
  </r>
  <r>
    <x v="2137"/>
    <x v="6"/>
    <x v="2"/>
    <x v="54"/>
  </r>
  <r>
    <x v="2138"/>
    <x v="6"/>
    <x v="3"/>
    <x v="0"/>
  </r>
  <r>
    <x v="2139"/>
    <x v="6"/>
    <x v="0"/>
    <x v="0"/>
  </r>
  <r>
    <x v="2140"/>
    <x v="6"/>
    <x v="0"/>
    <x v="0"/>
  </r>
  <r>
    <x v="2141"/>
    <x v="6"/>
    <x v="3"/>
    <x v="0"/>
  </r>
  <r>
    <x v="2142"/>
    <x v="6"/>
    <x v="4"/>
    <x v="4"/>
  </r>
  <r>
    <x v="2143"/>
    <x v="6"/>
    <x v="1"/>
    <x v="23"/>
  </r>
  <r>
    <x v="2144"/>
    <x v="6"/>
    <x v="2"/>
    <x v="26"/>
  </r>
  <r>
    <x v="2145"/>
    <x v="6"/>
    <x v="1"/>
    <x v="3"/>
  </r>
  <r>
    <x v="2146"/>
    <x v="6"/>
    <x v="1"/>
    <x v="31"/>
  </r>
  <r>
    <x v="2147"/>
    <x v="6"/>
    <x v="1"/>
    <x v="30"/>
  </r>
  <r>
    <x v="2148"/>
    <x v="6"/>
    <x v="2"/>
    <x v="34"/>
  </r>
  <r>
    <x v="2149"/>
    <x v="6"/>
    <x v="1"/>
    <x v="28"/>
  </r>
  <r>
    <x v="447"/>
    <x v="6"/>
    <x v="4"/>
    <x v="4"/>
  </r>
  <r>
    <x v="166"/>
    <x v="6"/>
    <x v="4"/>
    <x v="4"/>
  </r>
  <r>
    <x v="2150"/>
    <x v="6"/>
    <x v="4"/>
    <x v="4"/>
  </r>
  <r>
    <x v="2151"/>
    <x v="6"/>
    <x v="6"/>
    <x v="57"/>
  </r>
  <r>
    <x v="2152"/>
    <x v="6"/>
    <x v="1"/>
    <x v="43"/>
  </r>
  <r>
    <x v="103"/>
    <x v="6"/>
    <x v="1"/>
    <x v="43"/>
  </r>
  <r>
    <x v="2153"/>
    <x v="6"/>
    <x v="2"/>
    <x v="26"/>
  </r>
  <r>
    <x v="806"/>
    <x v="6"/>
    <x v="2"/>
    <x v="46"/>
  </r>
  <r>
    <x v="35"/>
    <x v="6"/>
    <x v="6"/>
    <x v="58"/>
  </r>
  <r>
    <x v="160"/>
    <x v="6"/>
    <x v="6"/>
    <x v="58"/>
  </r>
  <r>
    <x v="101"/>
    <x v="6"/>
    <x v="1"/>
    <x v="43"/>
  </r>
  <r>
    <x v="2154"/>
    <x v="6"/>
    <x v="2"/>
    <x v="26"/>
  </r>
  <r>
    <x v="99"/>
    <x v="6"/>
    <x v="6"/>
    <x v="58"/>
  </r>
  <r>
    <x v="35"/>
    <x v="6"/>
    <x v="1"/>
    <x v="23"/>
  </r>
  <r>
    <x v="99"/>
    <x v="6"/>
    <x v="1"/>
    <x v="23"/>
  </r>
  <r>
    <x v="2013"/>
    <x v="6"/>
    <x v="2"/>
    <x v="26"/>
  </r>
  <r>
    <x v="1017"/>
    <x v="6"/>
    <x v="1"/>
    <x v="43"/>
  </r>
  <r>
    <x v="168"/>
    <x v="6"/>
    <x v="6"/>
    <x v="57"/>
  </r>
  <r>
    <x v="503"/>
    <x v="6"/>
    <x v="1"/>
    <x v="43"/>
  </r>
  <r>
    <x v="160"/>
    <x v="6"/>
    <x v="2"/>
    <x v="35"/>
  </r>
  <r>
    <x v="99"/>
    <x v="6"/>
    <x v="6"/>
    <x v="56"/>
  </r>
  <r>
    <x v="166"/>
    <x v="6"/>
    <x v="1"/>
    <x v="3"/>
  </r>
  <r>
    <x v="552"/>
    <x v="6"/>
    <x v="2"/>
    <x v="26"/>
  </r>
  <r>
    <x v="807"/>
    <x v="6"/>
    <x v="1"/>
    <x v="43"/>
  </r>
  <r>
    <x v="160"/>
    <x v="6"/>
    <x v="2"/>
    <x v="18"/>
  </r>
  <r>
    <x v="99"/>
    <x v="6"/>
    <x v="4"/>
    <x v="4"/>
  </r>
  <r>
    <x v="147"/>
    <x v="6"/>
    <x v="1"/>
    <x v="31"/>
  </r>
  <r>
    <x v="166"/>
    <x v="6"/>
    <x v="1"/>
    <x v="3"/>
  </r>
  <r>
    <x v="160"/>
    <x v="6"/>
    <x v="6"/>
    <x v="57"/>
  </r>
  <r>
    <x v="706"/>
    <x v="6"/>
    <x v="2"/>
    <x v="26"/>
  </r>
  <r>
    <x v="1647"/>
    <x v="6"/>
    <x v="1"/>
    <x v="23"/>
  </r>
  <r>
    <x v="2155"/>
    <x v="6"/>
    <x v="1"/>
    <x v="43"/>
  </r>
  <r>
    <x v="160"/>
    <x v="6"/>
    <x v="6"/>
    <x v="56"/>
  </r>
  <r>
    <x v="202"/>
    <x v="6"/>
    <x v="2"/>
    <x v="26"/>
  </r>
  <r>
    <x v="361"/>
    <x v="6"/>
    <x v="6"/>
    <x v="57"/>
  </r>
  <r>
    <x v="43"/>
    <x v="6"/>
    <x v="6"/>
    <x v="56"/>
  </r>
  <r>
    <x v="166"/>
    <x v="6"/>
    <x v="4"/>
    <x v="4"/>
  </r>
  <r>
    <x v="43"/>
    <x v="6"/>
    <x v="4"/>
    <x v="4"/>
  </r>
  <r>
    <x v="43"/>
    <x v="6"/>
    <x v="6"/>
    <x v="56"/>
  </r>
  <r>
    <x v="2156"/>
    <x v="6"/>
    <x v="1"/>
    <x v="43"/>
  </r>
  <r>
    <x v="2157"/>
    <x v="6"/>
    <x v="1"/>
    <x v="43"/>
  </r>
  <r>
    <x v="160"/>
    <x v="6"/>
    <x v="2"/>
    <x v="26"/>
  </r>
  <r>
    <x v="41"/>
    <x v="6"/>
    <x v="2"/>
    <x v="26"/>
  </r>
  <r>
    <x v="2158"/>
    <x v="6"/>
    <x v="2"/>
    <x v="26"/>
  </r>
  <r>
    <x v="186"/>
    <x v="6"/>
    <x v="2"/>
    <x v="26"/>
  </r>
  <r>
    <x v="2159"/>
    <x v="6"/>
    <x v="1"/>
    <x v="43"/>
  </r>
  <r>
    <x v="2160"/>
    <x v="6"/>
    <x v="2"/>
    <x v="26"/>
  </r>
  <r>
    <x v="231"/>
    <x v="6"/>
    <x v="2"/>
    <x v="26"/>
  </r>
  <r>
    <x v="2161"/>
    <x v="6"/>
    <x v="1"/>
    <x v="14"/>
  </r>
  <r>
    <x v="2162"/>
    <x v="6"/>
    <x v="1"/>
    <x v="43"/>
  </r>
  <r>
    <x v="18"/>
    <x v="6"/>
    <x v="1"/>
    <x v="23"/>
  </r>
  <r>
    <x v="41"/>
    <x v="6"/>
    <x v="1"/>
    <x v="23"/>
  </r>
  <r>
    <x v="35"/>
    <x v="6"/>
    <x v="1"/>
    <x v="23"/>
  </r>
  <r>
    <x v="460"/>
    <x v="6"/>
    <x v="4"/>
    <x v="4"/>
  </r>
  <r>
    <x v="410"/>
    <x v="6"/>
    <x v="1"/>
    <x v="23"/>
  </r>
  <r>
    <x v="2163"/>
    <x v="6"/>
    <x v="4"/>
    <x v="4"/>
  </r>
  <r>
    <x v="819"/>
    <x v="6"/>
    <x v="1"/>
    <x v="23"/>
  </r>
  <r>
    <x v="2164"/>
    <x v="6"/>
    <x v="1"/>
    <x v="23"/>
  </r>
  <r>
    <x v="2165"/>
    <x v="6"/>
    <x v="1"/>
    <x v="23"/>
  </r>
  <r>
    <x v="2166"/>
    <x v="6"/>
    <x v="1"/>
    <x v="43"/>
  </r>
  <r>
    <x v="2167"/>
    <x v="6"/>
    <x v="2"/>
    <x v="26"/>
  </r>
  <r>
    <x v="2142"/>
    <x v="6"/>
    <x v="4"/>
    <x v="4"/>
  </r>
  <r>
    <x v="2168"/>
    <x v="6"/>
    <x v="4"/>
    <x v="4"/>
  </r>
  <r>
    <x v="2169"/>
    <x v="6"/>
    <x v="2"/>
    <x v="54"/>
  </r>
  <r>
    <x v="1762"/>
    <x v="6"/>
    <x v="7"/>
    <x v="0"/>
  </r>
  <r>
    <x v="2170"/>
    <x v="6"/>
    <x v="2"/>
    <x v="46"/>
  </r>
  <r>
    <x v="2171"/>
    <x v="6"/>
    <x v="4"/>
    <x v="4"/>
  </r>
  <r>
    <x v="606"/>
    <x v="6"/>
    <x v="4"/>
    <x v="11"/>
  </r>
  <r>
    <x v="2172"/>
    <x v="6"/>
    <x v="1"/>
    <x v="22"/>
  </r>
  <r>
    <x v="2173"/>
    <x v="6"/>
    <x v="6"/>
    <x v="58"/>
  </r>
  <r>
    <x v="2174"/>
    <x v="6"/>
    <x v="6"/>
    <x v="58"/>
  </r>
  <r>
    <x v="346"/>
    <x v="6"/>
    <x v="6"/>
    <x v="58"/>
  </r>
  <r>
    <x v="311"/>
    <x v="6"/>
    <x v="4"/>
    <x v="4"/>
  </r>
  <r>
    <x v="2175"/>
    <x v="6"/>
    <x v="1"/>
    <x v="43"/>
  </r>
  <r>
    <x v="358"/>
    <x v="6"/>
    <x v="2"/>
    <x v="54"/>
  </r>
  <r>
    <x v="2172"/>
    <x v="6"/>
    <x v="2"/>
    <x v="35"/>
  </r>
  <r>
    <x v="2176"/>
    <x v="6"/>
    <x v="1"/>
    <x v="43"/>
  </r>
  <r>
    <x v="2177"/>
    <x v="6"/>
    <x v="2"/>
    <x v="26"/>
  </r>
  <r>
    <x v="2178"/>
    <x v="6"/>
    <x v="2"/>
    <x v="46"/>
  </r>
  <r>
    <x v="2179"/>
    <x v="6"/>
    <x v="5"/>
    <x v="0"/>
  </r>
  <r>
    <x v="2180"/>
    <x v="6"/>
    <x v="5"/>
    <x v="0"/>
  </r>
  <r>
    <x v="2181"/>
    <x v="6"/>
    <x v="5"/>
    <x v="0"/>
  </r>
  <r>
    <x v="2182"/>
    <x v="6"/>
    <x v="5"/>
    <x v="0"/>
  </r>
  <r>
    <x v="2183"/>
    <x v="6"/>
    <x v="5"/>
    <x v="0"/>
  </r>
  <r>
    <x v="2184"/>
    <x v="6"/>
    <x v="5"/>
    <x v="0"/>
  </r>
  <r>
    <x v="2185"/>
    <x v="6"/>
    <x v="4"/>
    <x v="11"/>
  </r>
  <r>
    <x v="139"/>
    <x v="6"/>
    <x v="4"/>
    <x v="4"/>
  </r>
  <r>
    <x v="2186"/>
    <x v="6"/>
    <x v="4"/>
    <x v="4"/>
  </r>
  <r>
    <x v="2187"/>
    <x v="6"/>
    <x v="4"/>
    <x v="4"/>
  </r>
  <r>
    <x v="2188"/>
    <x v="6"/>
    <x v="1"/>
    <x v="45"/>
  </r>
  <r>
    <x v="118"/>
    <x v="6"/>
    <x v="1"/>
    <x v="45"/>
  </r>
  <r>
    <x v="2189"/>
    <x v="6"/>
    <x v="4"/>
    <x v="4"/>
  </r>
  <r>
    <x v="1770"/>
    <x v="6"/>
    <x v="4"/>
    <x v="4"/>
  </r>
  <r>
    <x v="124"/>
    <x v="6"/>
    <x v="4"/>
    <x v="4"/>
  </r>
  <r>
    <x v="2190"/>
    <x v="6"/>
    <x v="4"/>
    <x v="4"/>
  </r>
  <r>
    <x v="2191"/>
    <x v="6"/>
    <x v="4"/>
    <x v="4"/>
  </r>
  <r>
    <x v="1338"/>
    <x v="6"/>
    <x v="4"/>
    <x v="4"/>
  </r>
  <r>
    <x v="2192"/>
    <x v="6"/>
    <x v="4"/>
    <x v="4"/>
  </r>
  <r>
    <x v="512"/>
    <x v="6"/>
    <x v="4"/>
    <x v="4"/>
  </r>
  <r>
    <x v="2193"/>
    <x v="6"/>
    <x v="4"/>
    <x v="4"/>
  </r>
  <r>
    <x v="2194"/>
    <x v="6"/>
    <x v="2"/>
    <x v="26"/>
  </r>
  <r>
    <x v="2195"/>
    <x v="6"/>
    <x v="4"/>
    <x v="11"/>
  </r>
  <r>
    <x v="18"/>
    <x v="6"/>
    <x v="4"/>
    <x v="11"/>
  </r>
  <r>
    <x v="2196"/>
    <x v="6"/>
    <x v="4"/>
    <x v="11"/>
  </r>
  <r>
    <x v="807"/>
    <x v="6"/>
    <x v="7"/>
    <x v="0"/>
  </r>
  <r>
    <x v="2197"/>
    <x v="6"/>
    <x v="2"/>
    <x v="46"/>
  </r>
  <r>
    <x v="2198"/>
    <x v="6"/>
    <x v="2"/>
    <x v="46"/>
  </r>
  <r>
    <x v="2199"/>
    <x v="6"/>
    <x v="2"/>
    <x v="46"/>
  </r>
  <r>
    <x v="1259"/>
    <x v="6"/>
    <x v="4"/>
    <x v="4"/>
  </r>
  <r>
    <x v="1538"/>
    <x v="6"/>
    <x v="4"/>
    <x v="4"/>
  </r>
  <r>
    <x v="2200"/>
    <x v="6"/>
    <x v="1"/>
    <x v="43"/>
  </r>
  <r>
    <x v="101"/>
    <x v="6"/>
    <x v="6"/>
    <x v="58"/>
  </r>
  <r>
    <x v="231"/>
    <x v="6"/>
    <x v="2"/>
    <x v="26"/>
  </r>
  <r>
    <x v="24"/>
    <x v="6"/>
    <x v="1"/>
    <x v="43"/>
  </r>
  <r>
    <x v="2201"/>
    <x v="6"/>
    <x v="2"/>
    <x v="26"/>
  </r>
  <r>
    <x v="444"/>
    <x v="6"/>
    <x v="2"/>
    <x v="2"/>
  </r>
  <r>
    <x v="915"/>
    <x v="6"/>
    <x v="2"/>
    <x v="2"/>
  </r>
  <r>
    <x v="35"/>
    <x v="6"/>
    <x v="6"/>
    <x v="56"/>
  </r>
  <r>
    <x v="35"/>
    <x v="6"/>
    <x v="6"/>
    <x v="56"/>
  </r>
  <r>
    <x v="115"/>
    <x v="6"/>
    <x v="2"/>
    <x v="46"/>
  </r>
  <r>
    <x v="192"/>
    <x v="6"/>
    <x v="2"/>
    <x v="2"/>
  </r>
  <r>
    <x v="2202"/>
    <x v="6"/>
    <x v="2"/>
    <x v="26"/>
  </r>
  <r>
    <x v="2203"/>
    <x v="6"/>
    <x v="2"/>
    <x v="2"/>
  </r>
  <r>
    <x v="75"/>
    <x v="6"/>
    <x v="2"/>
    <x v="46"/>
  </r>
  <r>
    <x v="2204"/>
    <x v="6"/>
    <x v="1"/>
    <x v="43"/>
  </r>
  <r>
    <x v="2205"/>
    <x v="6"/>
    <x v="2"/>
    <x v="46"/>
  </r>
  <r>
    <x v="2206"/>
    <x v="6"/>
    <x v="2"/>
    <x v="26"/>
  </r>
  <r>
    <x v="2207"/>
    <x v="6"/>
    <x v="1"/>
    <x v="54"/>
  </r>
  <r>
    <x v="2208"/>
    <x v="6"/>
    <x v="1"/>
    <x v="45"/>
  </r>
  <r>
    <x v="2209"/>
    <x v="6"/>
    <x v="1"/>
    <x v="23"/>
  </r>
  <r>
    <x v="606"/>
    <x v="6"/>
    <x v="1"/>
    <x v="45"/>
  </r>
  <r>
    <x v="606"/>
    <x v="6"/>
    <x v="1"/>
    <x v="45"/>
  </r>
  <r>
    <x v="2210"/>
    <x v="6"/>
    <x v="4"/>
    <x v="4"/>
  </r>
  <r>
    <x v="460"/>
    <x v="6"/>
    <x v="4"/>
    <x v="4"/>
  </r>
  <r>
    <x v="276"/>
    <x v="6"/>
    <x v="1"/>
    <x v="23"/>
  </r>
  <r>
    <x v="2211"/>
    <x v="6"/>
    <x v="2"/>
    <x v="46"/>
  </r>
  <r>
    <x v="121"/>
    <x v="6"/>
    <x v="1"/>
    <x v="23"/>
  </r>
  <r>
    <x v="1615"/>
    <x v="6"/>
    <x v="4"/>
    <x v="4"/>
  </r>
  <r>
    <x v="2212"/>
    <x v="6"/>
    <x v="1"/>
    <x v="43"/>
  </r>
  <r>
    <x v="1776"/>
    <x v="6"/>
    <x v="1"/>
    <x v="43"/>
  </r>
  <r>
    <x v="819"/>
    <x v="6"/>
    <x v="4"/>
    <x v="11"/>
  </r>
  <r>
    <x v="2213"/>
    <x v="6"/>
    <x v="1"/>
    <x v="43"/>
  </r>
  <r>
    <x v="2214"/>
    <x v="6"/>
    <x v="1"/>
    <x v="45"/>
  </r>
  <r>
    <x v="123"/>
    <x v="6"/>
    <x v="4"/>
    <x v="4"/>
  </r>
  <r>
    <x v="2215"/>
    <x v="6"/>
    <x v="1"/>
    <x v="55"/>
  </r>
  <r>
    <x v="218"/>
    <x v="6"/>
    <x v="1"/>
    <x v="23"/>
  </r>
  <r>
    <x v="2216"/>
    <x v="6"/>
    <x v="4"/>
    <x v="4"/>
  </r>
  <r>
    <x v="1683"/>
    <x v="6"/>
    <x v="1"/>
    <x v="43"/>
  </r>
  <r>
    <x v="606"/>
    <x v="6"/>
    <x v="1"/>
    <x v="45"/>
  </r>
  <r>
    <x v="2217"/>
    <x v="6"/>
    <x v="2"/>
    <x v="54"/>
  </r>
  <r>
    <x v="2218"/>
    <x v="6"/>
    <x v="0"/>
    <x v="0"/>
  </r>
  <r>
    <x v="2219"/>
    <x v="6"/>
    <x v="4"/>
    <x v="4"/>
  </r>
  <r>
    <x v="2220"/>
    <x v="6"/>
    <x v="1"/>
    <x v="23"/>
  </r>
  <r>
    <x v="2221"/>
    <x v="6"/>
    <x v="1"/>
    <x v="23"/>
  </r>
  <r>
    <x v="2222"/>
    <x v="6"/>
    <x v="6"/>
    <x v="56"/>
  </r>
  <r>
    <x v="1243"/>
    <x v="6"/>
    <x v="4"/>
    <x v="4"/>
  </r>
  <r>
    <x v="917"/>
    <x v="6"/>
    <x v="1"/>
    <x v="23"/>
  </r>
  <r>
    <x v="726"/>
    <x v="6"/>
    <x v="4"/>
    <x v="4"/>
  </r>
  <r>
    <x v="1280"/>
    <x v="6"/>
    <x v="1"/>
    <x v="23"/>
  </r>
  <r>
    <x v="43"/>
    <x v="6"/>
    <x v="4"/>
    <x v="11"/>
  </r>
  <r>
    <x v="2223"/>
    <x v="6"/>
    <x v="1"/>
    <x v="23"/>
  </r>
  <r>
    <x v="2224"/>
    <x v="6"/>
    <x v="9"/>
    <x v="23"/>
  </r>
  <r>
    <x v="2225"/>
    <x v="6"/>
    <x v="9"/>
    <x v="24"/>
  </r>
  <r>
    <x v="2226"/>
    <x v="6"/>
    <x v="1"/>
    <x v="24"/>
  </r>
  <r>
    <x v="2227"/>
    <x v="6"/>
    <x v="3"/>
    <x v="0"/>
  </r>
  <r>
    <x v="2228"/>
    <x v="6"/>
    <x v="4"/>
    <x v="11"/>
  </r>
  <r>
    <x v="2229"/>
    <x v="6"/>
    <x v="4"/>
    <x v="11"/>
  </r>
  <r>
    <x v="2230"/>
    <x v="6"/>
    <x v="4"/>
    <x v="11"/>
  </r>
  <r>
    <x v="2231"/>
    <x v="6"/>
    <x v="4"/>
    <x v="11"/>
  </r>
  <r>
    <x v="2232"/>
    <x v="6"/>
    <x v="4"/>
    <x v="11"/>
  </r>
  <r>
    <x v="2233"/>
    <x v="6"/>
    <x v="4"/>
    <x v="11"/>
  </r>
  <r>
    <x v="2234"/>
    <x v="6"/>
    <x v="4"/>
    <x v="11"/>
  </r>
  <r>
    <x v="163"/>
    <x v="6"/>
    <x v="1"/>
    <x v="23"/>
  </r>
  <r>
    <x v="166"/>
    <x v="6"/>
    <x v="1"/>
    <x v="23"/>
  </r>
  <r>
    <x v="2235"/>
    <x v="6"/>
    <x v="1"/>
    <x v="23"/>
  </r>
  <r>
    <x v="442"/>
    <x v="6"/>
    <x v="1"/>
    <x v="23"/>
  </r>
  <r>
    <x v="2236"/>
    <x v="6"/>
    <x v="2"/>
    <x v="26"/>
  </r>
  <r>
    <x v="160"/>
    <x v="6"/>
    <x v="6"/>
    <x v="58"/>
  </r>
  <r>
    <x v="2237"/>
    <x v="6"/>
    <x v="1"/>
    <x v="43"/>
  </r>
  <r>
    <x v="43"/>
    <x v="6"/>
    <x v="6"/>
    <x v="56"/>
  </r>
  <r>
    <x v="863"/>
    <x v="6"/>
    <x v="2"/>
    <x v="59"/>
  </r>
  <r>
    <x v="166"/>
    <x v="6"/>
    <x v="6"/>
    <x v="20"/>
  </r>
  <r>
    <x v="160"/>
    <x v="6"/>
    <x v="4"/>
    <x v="4"/>
  </r>
  <r>
    <x v="2238"/>
    <x v="6"/>
    <x v="1"/>
    <x v="43"/>
  </r>
  <r>
    <x v="2239"/>
    <x v="6"/>
    <x v="1"/>
    <x v="43"/>
  </r>
  <r>
    <x v="168"/>
    <x v="6"/>
    <x v="4"/>
    <x v="4"/>
  </r>
  <r>
    <x v="85"/>
    <x v="6"/>
    <x v="1"/>
    <x v="43"/>
  </r>
  <r>
    <x v="160"/>
    <x v="6"/>
    <x v="2"/>
    <x v="19"/>
  </r>
  <r>
    <x v="160"/>
    <x v="6"/>
    <x v="6"/>
    <x v="56"/>
  </r>
  <r>
    <x v="552"/>
    <x v="6"/>
    <x v="2"/>
    <x v="26"/>
  </r>
  <r>
    <x v="115"/>
    <x v="6"/>
    <x v="2"/>
    <x v="2"/>
  </r>
  <r>
    <x v="160"/>
    <x v="6"/>
    <x v="6"/>
    <x v="20"/>
  </r>
  <r>
    <x v="99"/>
    <x v="6"/>
    <x v="1"/>
    <x v="23"/>
  </r>
  <r>
    <x v="1411"/>
    <x v="6"/>
    <x v="2"/>
    <x v="46"/>
  </r>
  <r>
    <x v="2240"/>
    <x v="6"/>
    <x v="4"/>
    <x v="11"/>
  </r>
  <r>
    <x v="75"/>
    <x v="6"/>
    <x v="1"/>
    <x v="23"/>
  </r>
  <r>
    <x v="101"/>
    <x v="6"/>
    <x v="4"/>
    <x v="11"/>
  </r>
  <r>
    <x v="101"/>
    <x v="6"/>
    <x v="4"/>
    <x v="11"/>
  </r>
  <r>
    <x v="81"/>
    <x v="6"/>
    <x v="1"/>
    <x v="23"/>
  </r>
  <r>
    <x v="35"/>
    <x v="6"/>
    <x v="1"/>
    <x v="23"/>
  </r>
  <r>
    <x v="42"/>
    <x v="6"/>
    <x v="1"/>
    <x v="23"/>
  </r>
  <r>
    <x v="35"/>
    <x v="6"/>
    <x v="1"/>
    <x v="23"/>
  </r>
  <r>
    <x v="35"/>
    <x v="6"/>
    <x v="1"/>
    <x v="23"/>
  </r>
  <r>
    <x v="2241"/>
    <x v="6"/>
    <x v="1"/>
    <x v="23"/>
  </r>
  <r>
    <x v="1831"/>
    <x v="6"/>
    <x v="1"/>
    <x v="14"/>
  </r>
  <r>
    <x v="11"/>
    <x v="6"/>
    <x v="1"/>
    <x v="14"/>
  </r>
  <r>
    <x v="81"/>
    <x v="6"/>
    <x v="1"/>
    <x v="14"/>
  </r>
  <r>
    <x v="2242"/>
    <x v="6"/>
    <x v="4"/>
    <x v="4"/>
  </r>
  <r>
    <x v="160"/>
    <x v="6"/>
    <x v="4"/>
    <x v="11"/>
  </r>
  <r>
    <x v="81"/>
    <x v="6"/>
    <x v="4"/>
    <x v="11"/>
  </r>
  <r>
    <x v="81"/>
    <x v="6"/>
    <x v="4"/>
    <x v="11"/>
  </r>
  <r>
    <x v="75"/>
    <x v="6"/>
    <x v="4"/>
    <x v="11"/>
  </r>
  <r>
    <x v="460"/>
    <x v="6"/>
    <x v="4"/>
    <x v="11"/>
  </r>
  <r>
    <x v="231"/>
    <x v="6"/>
    <x v="4"/>
    <x v="11"/>
  </r>
  <r>
    <x v="2243"/>
    <x v="6"/>
    <x v="1"/>
    <x v="23"/>
  </r>
  <r>
    <x v="191"/>
    <x v="6"/>
    <x v="4"/>
    <x v="11"/>
  </r>
  <r>
    <x v="11"/>
    <x v="6"/>
    <x v="4"/>
    <x v="11"/>
  </r>
  <r>
    <x v="11"/>
    <x v="6"/>
    <x v="4"/>
    <x v="11"/>
  </r>
  <r>
    <x v="76"/>
    <x v="6"/>
    <x v="4"/>
    <x v="11"/>
  </r>
  <r>
    <x v="1333"/>
    <x v="6"/>
    <x v="4"/>
    <x v="11"/>
  </r>
  <r>
    <x v="76"/>
    <x v="6"/>
    <x v="4"/>
    <x v="11"/>
  </r>
  <r>
    <x v="76"/>
    <x v="6"/>
    <x v="4"/>
    <x v="11"/>
  </r>
  <r>
    <x v="75"/>
    <x v="6"/>
    <x v="4"/>
    <x v="11"/>
  </r>
  <r>
    <x v="102"/>
    <x v="6"/>
    <x v="1"/>
    <x v="14"/>
  </r>
  <r>
    <x v="102"/>
    <x v="6"/>
    <x v="2"/>
    <x v="54"/>
  </r>
  <r>
    <x v="106"/>
    <x v="6"/>
    <x v="2"/>
    <x v="54"/>
  </r>
  <r>
    <x v="996"/>
    <x v="6"/>
    <x v="2"/>
    <x v="54"/>
  </r>
  <r>
    <x v="442"/>
    <x v="6"/>
    <x v="1"/>
    <x v="14"/>
  </r>
  <r>
    <x v="2244"/>
    <x v="6"/>
    <x v="1"/>
    <x v="55"/>
  </r>
  <r>
    <x v="2245"/>
    <x v="6"/>
    <x v="4"/>
    <x v="4"/>
  </r>
  <r>
    <x v="2246"/>
    <x v="6"/>
    <x v="4"/>
    <x v="4"/>
  </r>
  <r>
    <x v="2247"/>
    <x v="6"/>
    <x v="4"/>
    <x v="4"/>
  </r>
  <r>
    <x v="2248"/>
    <x v="6"/>
    <x v="4"/>
    <x v="4"/>
  </r>
  <r>
    <x v="2249"/>
    <x v="6"/>
    <x v="4"/>
    <x v="4"/>
  </r>
  <r>
    <x v="2250"/>
    <x v="6"/>
    <x v="4"/>
    <x v="4"/>
  </r>
  <r>
    <x v="2251"/>
    <x v="6"/>
    <x v="4"/>
    <x v="4"/>
  </r>
  <r>
    <x v="2252"/>
    <x v="6"/>
    <x v="4"/>
    <x v="4"/>
  </r>
  <r>
    <x v="270"/>
    <x v="6"/>
    <x v="1"/>
    <x v="31"/>
  </r>
  <r>
    <x v="270"/>
    <x v="6"/>
    <x v="2"/>
    <x v="26"/>
  </r>
  <r>
    <x v="270"/>
    <x v="6"/>
    <x v="6"/>
    <x v="38"/>
  </r>
  <r>
    <x v="2253"/>
    <x v="6"/>
    <x v="1"/>
    <x v="31"/>
  </r>
  <r>
    <x v="2253"/>
    <x v="6"/>
    <x v="2"/>
    <x v="26"/>
  </r>
  <r>
    <x v="2253"/>
    <x v="6"/>
    <x v="6"/>
    <x v="38"/>
  </r>
  <r>
    <x v="2254"/>
    <x v="6"/>
    <x v="4"/>
    <x v="11"/>
  </r>
  <r>
    <x v="2255"/>
    <x v="6"/>
    <x v="1"/>
    <x v="23"/>
  </r>
  <r>
    <x v="2256"/>
    <x v="6"/>
    <x v="1"/>
    <x v="23"/>
  </r>
  <r>
    <x v="2257"/>
    <x v="6"/>
    <x v="4"/>
    <x v="11"/>
  </r>
  <r>
    <x v="1148"/>
    <x v="6"/>
    <x v="1"/>
    <x v="31"/>
  </r>
  <r>
    <x v="1148"/>
    <x v="6"/>
    <x v="2"/>
    <x v="26"/>
  </r>
  <r>
    <x v="1148"/>
    <x v="6"/>
    <x v="6"/>
    <x v="38"/>
  </r>
  <r>
    <x v="2258"/>
    <x v="6"/>
    <x v="1"/>
    <x v="45"/>
  </r>
  <r>
    <x v="2246"/>
    <x v="6"/>
    <x v="4"/>
    <x v="11"/>
  </r>
  <r>
    <x v="2259"/>
    <x v="6"/>
    <x v="4"/>
    <x v="4"/>
  </r>
  <r>
    <x v="2246"/>
    <x v="6"/>
    <x v="1"/>
    <x v="45"/>
  </r>
  <r>
    <x v="2260"/>
    <x v="6"/>
    <x v="1"/>
    <x v="23"/>
  </r>
  <r>
    <x v="2261"/>
    <x v="6"/>
    <x v="1"/>
    <x v="23"/>
  </r>
  <r>
    <x v="2262"/>
    <x v="6"/>
    <x v="1"/>
    <x v="23"/>
  </r>
  <r>
    <x v="2263"/>
    <x v="6"/>
    <x v="1"/>
    <x v="23"/>
  </r>
  <r>
    <x v="2264"/>
    <x v="6"/>
    <x v="6"/>
    <x v="38"/>
  </r>
  <r>
    <x v="2265"/>
    <x v="6"/>
    <x v="1"/>
    <x v="31"/>
  </r>
  <r>
    <x v="2266"/>
    <x v="6"/>
    <x v="2"/>
    <x v="26"/>
  </r>
  <r>
    <x v="2267"/>
    <x v="6"/>
    <x v="4"/>
    <x v="4"/>
  </r>
  <r>
    <x v="2268"/>
    <x v="6"/>
    <x v="1"/>
    <x v="23"/>
  </r>
  <r>
    <x v="2269"/>
    <x v="6"/>
    <x v="1"/>
    <x v="23"/>
  </r>
  <r>
    <x v="2264"/>
    <x v="6"/>
    <x v="2"/>
    <x v="26"/>
  </r>
  <r>
    <x v="2270"/>
    <x v="6"/>
    <x v="1"/>
    <x v="23"/>
  </r>
  <r>
    <x v="2271"/>
    <x v="6"/>
    <x v="2"/>
    <x v="26"/>
  </r>
  <r>
    <x v="2272"/>
    <x v="6"/>
    <x v="2"/>
    <x v="26"/>
  </r>
  <r>
    <x v="2273"/>
    <x v="6"/>
    <x v="1"/>
    <x v="23"/>
  </r>
  <r>
    <x v="2264"/>
    <x v="6"/>
    <x v="2"/>
    <x v="26"/>
  </r>
  <r>
    <x v="2274"/>
    <x v="6"/>
    <x v="1"/>
    <x v="23"/>
  </r>
  <r>
    <x v="2275"/>
    <x v="6"/>
    <x v="1"/>
    <x v="31"/>
  </r>
  <r>
    <x v="2264"/>
    <x v="6"/>
    <x v="1"/>
    <x v="31"/>
  </r>
  <r>
    <x v="2276"/>
    <x v="6"/>
    <x v="2"/>
    <x v="26"/>
  </r>
  <r>
    <x v="2260"/>
    <x v="6"/>
    <x v="4"/>
    <x v="4"/>
  </r>
  <r>
    <x v="2277"/>
    <x v="6"/>
    <x v="2"/>
    <x v="26"/>
  </r>
  <r>
    <x v="2264"/>
    <x v="6"/>
    <x v="1"/>
    <x v="31"/>
  </r>
  <r>
    <x v="2266"/>
    <x v="6"/>
    <x v="1"/>
    <x v="23"/>
  </r>
  <r>
    <x v="2260"/>
    <x v="6"/>
    <x v="2"/>
    <x v="26"/>
  </r>
  <r>
    <x v="2278"/>
    <x v="6"/>
    <x v="1"/>
    <x v="23"/>
  </r>
  <r>
    <x v="2279"/>
    <x v="6"/>
    <x v="2"/>
    <x v="35"/>
  </r>
  <r>
    <x v="2280"/>
    <x v="6"/>
    <x v="2"/>
    <x v="26"/>
  </r>
  <r>
    <x v="2280"/>
    <x v="6"/>
    <x v="1"/>
    <x v="31"/>
  </r>
  <r>
    <x v="2270"/>
    <x v="6"/>
    <x v="1"/>
    <x v="23"/>
  </r>
  <r>
    <x v="2281"/>
    <x v="6"/>
    <x v="1"/>
    <x v="23"/>
  </r>
  <r>
    <x v="2260"/>
    <x v="6"/>
    <x v="1"/>
    <x v="23"/>
  </r>
  <r>
    <x v="2282"/>
    <x v="6"/>
    <x v="1"/>
    <x v="23"/>
  </r>
  <r>
    <x v="2270"/>
    <x v="6"/>
    <x v="1"/>
    <x v="23"/>
  </r>
  <r>
    <x v="2264"/>
    <x v="6"/>
    <x v="1"/>
    <x v="23"/>
  </r>
  <r>
    <x v="2283"/>
    <x v="6"/>
    <x v="1"/>
    <x v="31"/>
  </r>
  <r>
    <x v="2284"/>
    <x v="6"/>
    <x v="1"/>
    <x v="31"/>
  </r>
  <r>
    <x v="2285"/>
    <x v="6"/>
    <x v="1"/>
    <x v="23"/>
  </r>
  <r>
    <x v="2286"/>
    <x v="6"/>
    <x v="1"/>
    <x v="23"/>
  </r>
  <r>
    <x v="2287"/>
    <x v="6"/>
    <x v="1"/>
    <x v="23"/>
  </r>
  <r>
    <x v="2288"/>
    <x v="6"/>
    <x v="2"/>
    <x v="26"/>
  </r>
  <r>
    <x v="2289"/>
    <x v="6"/>
    <x v="4"/>
    <x v="4"/>
  </r>
  <r>
    <x v="2290"/>
    <x v="6"/>
    <x v="2"/>
    <x v="26"/>
  </r>
  <r>
    <x v="2291"/>
    <x v="6"/>
    <x v="4"/>
    <x v="4"/>
  </r>
  <r>
    <x v="498"/>
    <x v="6"/>
    <x v="4"/>
    <x v="4"/>
  </r>
  <r>
    <x v="639"/>
    <x v="6"/>
    <x v="1"/>
    <x v="45"/>
  </r>
  <r>
    <x v="2291"/>
    <x v="6"/>
    <x v="4"/>
    <x v="4"/>
  </r>
  <r>
    <x v="2051"/>
    <x v="6"/>
    <x v="1"/>
    <x v="43"/>
  </r>
  <r>
    <x v="2051"/>
    <x v="6"/>
    <x v="6"/>
    <x v="38"/>
  </r>
  <r>
    <x v="2051"/>
    <x v="6"/>
    <x v="2"/>
    <x v="26"/>
  </r>
  <r>
    <x v="749"/>
    <x v="6"/>
    <x v="2"/>
    <x v="26"/>
  </r>
  <r>
    <x v="2050"/>
    <x v="6"/>
    <x v="6"/>
    <x v="38"/>
  </r>
  <r>
    <x v="2050"/>
    <x v="6"/>
    <x v="1"/>
    <x v="43"/>
  </r>
  <r>
    <x v="2050"/>
    <x v="6"/>
    <x v="2"/>
    <x v="26"/>
  </r>
  <r>
    <x v="2056"/>
    <x v="6"/>
    <x v="2"/>
    <x v="26"/>
  </r>
  <r>
    <x v="2292"/>
    <x v="6"/>
    <x v="1"/>
    <x v="43"/>
  </r>
  <r>
    <x v="2056"/>
    <x v="6"/>
    <x v="6"/>
    <x v="38"/>
  </r>
  <r>
    <x v="2293"/>
    <x v="6"/>
    <x v="1"/>
    <x v="43"/>
  </r>
  <r>
    <x v="625"/>
    <x v="6"/>
    <x v="1"/>
    <x v="31"/>
  </r>
  <r>
    <x v="624"/>
    <x v="6"/>
    <x v="1"/>
    <x v="43"/>
  </r>
  <r>
    <x v="625"/>
    <x v="6"/>
    <x v="2"/>
    <x v="26"/>
  </r>
  <r>
    <x v="1899"/>
    <x v="6"/>
    <x v="1"/>
    <x v="31"/>
  </r>
  <r>
    <x v="1899"/>
    <x v="6"/>
    <x v="1"/>
    <x v="43"/>
  </r>
  <r>
    <x v="1899"/>
    <x v="6"/>
    <x v="1"/>
    <x v="45"/>
  </r>
  <r>
    <x v="650"/>
    <x v="6"/>
    <x v="4"/>
    <x v="4"/>
  </r>
  <r>
    <x v="53"/>
    <x v="6"/>
    <x v="2"/>
    <x v="26"/>
  </r>
  <r>
    <x v="2294"/>
    <x v="6"/>
    <x v="6"/>
    <x v="38"/>
  </r>
  <r>
    <x v="2294"/>
    <x v="6"/>
    <x v="1"/>
    <x v="43"/>
  </r>
  <r>
    <x v="2294"/>
    <x v="6"/>
    <x v="4"/>
    <x v="4"/>
  </r>
  <r>
    <x v="498"/>
    <x v="6"/>
    <x v="4"/>
    <x v="4"/>
  </r>
  <r>
    <x v="2295"/>
    <x v="6"/>
    <x v="4"/>
    <x v="11"/>
  </r>
  <r>
    <x v="498"/>
    <x v="6"/>
    <x v="1"/>
    <x v="23"/>
  </r>
  <r>
    <x v="498"/>
    <x v="6"/>
    <x v="1"/>
    <x v="23"/>
  </r>
  <r>
    <x v="750"/>
    <x v="6"/>
    <x v="2"/>
    <x v="26"/>
  </r>
  <r>
    <x v="498"/>
    <x v="6"/>
    <x v="2"/>
    <x v="26"/>
  </r>
  <r>
    <x v="498"/>
    <x v="6"/>
    <x v="6"/>
    <x v="38"/>
  </r>
  <r>
    <x v="2296"/>
    <x v="6"/>
    <x v="6"/>
    <x v="38"/>
  </r>
  <r>
    <x v="2297"/>
    <x v="6"/>
    <x v="4"/>
    <x v="11"/>
  </r>
  <r>
    <x v="498"/>
    <x v="6"/>
    <x v="4"/>
    <x v="11"/>
  </r>
  <r>
    <x v="897"/>
    <x v="6"/>
    <x v="4"/>
    <x v="11"/>
  </r>
  <r>
    <x v="1373"/>
    <x v="6"/>
    <x v="1"/>
    <x v="23"/>
  </r>
  <r>
    <x v="498"/>
    <x v="6"/>
    <x v="1"/>
    <x v="23"/>
  </r>
  <r>
    <x v="494"/>
    <x v="6"/>
    <x v="4"/>
    <x v="4"/>
  </r>
  <r>
    <x v="2298"/>
    <x v="6"/>
    <x v="4"/>
    <x v="4"/>
  </r>
  <r>
    <x v="1574"/>
    <x v="6"/>
    <x v="2"/>
    <x v="26"/>
  </r>
  <r>
    <x v="742"/>
    <x v="6"/>
    <x v="1"/>
    <x v="23"/>
  </r>
  <r>
    <x v="498"/>
    <x v="6"/>
    <x v="1"/>
    <x v="23"/>
  </r>
  <r>
    <x v="624"/>
    <x v="6"/>
    <x v="1"/>
    <x v="23"/>
  </r>
  <r>
    <x v="2299"/>
    <x v="6"/>
    <x v="1"/>
    <x v="23"/>
  </r>
  <r>
    <x v="498"/>
    <x v="6"/>
    <x v="1"/>
    <x v="23"/>
  </r>
  <r>
    <x v="498"/>
    <x v="6"/>
    <x v="1"/>
    <x v="23"/>
  </r>
  <r>
    <x v="498"/>
    <x v="6"/>
    <x v="1"/>
    <x v="23"/>
  </r>
  <r>
    <x v="498"/>
    <x v="6"/>
    <x v="1"/>
    <x v="23"/>
  </r>
  <r>
    <x v="2300"/>
    <x v="6"/>
    <x v="1"/>
    <x v="43"/>
  </r>
  <r>
    <x v="1225"/>
    <x v="6"/>
    <x v="1"/>
    <x v="31"/>
  </r>
  <r>
    <x v="498"/>
    <x v="6"/>
    <x v="6"/>
    <x v="38"/>
  </r>
  <r>
    <x v="624"/>
    <x v="6"/>
    <x v="1"/>
    <x v="43"/>
  </r>
  <r>
    <x v="625"/>
    <x v="6"/>
    <x v="1"/>
    <x v="31"/>
  </r>
  <r>
    <x v="749"/>
    <x v="6"/>
    <x v="2"/>
    <x v="26"/>
  </r>
  <r>
    <x v="749"/>
    <x v="6"/>
    <x v="6"/>
    <x v="38"/>
  </r>
  <r>
    <x v="2217"/>
    <x v="6"/>
    <x v="2"/>
    <x v="54"/>
  </r>
  <r>
    <x v="2301"/>
    <x v="6"/>
    <x v="6"/>
    <x v="38"/>
  </r>
  <r>
    <x v="2301"/>
    <x v="6"/>
    <x v="2"/>
    <x v="26"/>
  </r>
  <r>
    <x v="2301"/>
    <x v="6"/>
    <x v="1"/>
    <x v="31"/>
  </r>
  <r>
    <x v="2302"/>
    <x v="6"/>
    <x v="1"/>
    <x v="45"/>
  </r>
  <r>
    <x v="2302"/>
    <x v="6"/>
    <x v="1"/>
    <x v="23"/>
  </r>
  <r>
    <x v="2303"/>
    <x v="6"/>
    <x v="1"/>
    <x v="45"/>
  </r>
  <r>
    <x v="619"/>
    <x v="6"/>
    <x v="4"/>
    <x v="4"/>
  </r>
  <r>
    <x v="2304"/>
    <x v="6"/>
    <x v="1"/>
    <x v="23"/>
  </r>
  <r>
    <x v="2304"/>
    <x v="6"/>
    <x v="1"/>
    <x v="23"/>
  </r>
  <r>
    <x v="2304"/>
    <x v="6"/>
    <x v="1"/>
    <x v="23"/>
  </r>
  <r>
    <x v="2304"/>
    <x v="6"/>
    <x v="1"/>
    <x v="23"/>
  </r>
  <r>
    <x v="399"/>
    <x v="6"/>
    <x v="4"/>
    <x v="11"/>
  </r>
  <r>
    <x v="2305"/>
    <x v="7"/>
    <x v="4"/>
    <x v="4"/>
  </r>
  <r>
    <x v="2306"/>
    <x v="7"/>
    <x v="2"/>
    <x v="46"/>
  </r>
  <r>
    <x v="1675"/>
    <x v="7"/>
    <x v="1"/>
    <x v="3"/>
  </r>
  <r>
    <x v="112"/>
    <x v="7"/>
    <x v="4"/>
    <x v="4"/>
  </r>
  <r>
    <x v="12"/>
    <x v="7"/>
    <x v="1"/>
    <x v="14"/>
  </r>
  <r>
    <x v="2307"/>
    <x v="7"/>
    <x v="2"/>
    <x v="26"/>
  </r>
  <r>
    <x v="2308"/>
    <x v="7"/>
    <x v="4"/>
    <x v="4"/>
  </r>
  <r>
    <x v="2309"/>
    <x v="7"/>
    <x v="2"/>
    <x v="46"/>
  </r>
  <r>
    <x v="2310"/>
    <x v="7"/>
    <x v="2"/>
    <x v="46"/>
  </r>
  <r>
    <x v="1506"/>
    <x v="7"/>
    <x v="1"/>
    <x v="23"/>
  </r>
  <r>
    <x v="2311"/>
    <x v="7"/>
    <x v="2"/>
    <x v="46"/>
  </r>
  <r>
    <x v="2312"/>
    <x v="7"/>
    <x v="1"/>
    <x v="23"/>
  </r>
  <r>
    <x v="2313"/>
    <x v="7"/>
    <x v="1"/>
    <x v="23"/>
  </r>
  <r>
    <x v="430"/>
    <x v="7"/>
    <x v="1"/>
    <x v="23"/>
  </r>
  <r>
    <x v="2314"/>
    <x v="7"/>
    <x v="2"/>
    <x v="54"/>
  </r>
  <r>
    <x v="2315"/>
    <x v="7"/>
    <x v="2"/>
    <x v="26"/>
  </r>
  <r>
    <x v="2316"/>
    <x v="7"/>
    <x v="4"/>
    <x v="11"/>
  </r>
  <r>
    <x v="2317"/>
    <x v="7"/>
    <x v="1"/>
    <x v="43"/>
  </r>
  <r>
    <x v="2318"/>
    <x v="7"/>
    <x v="1"/>
    <x v="31"/>
  </r>
  <r>
    <x v="848"/>
    <x v="7"/>
    <x v="4"/>
    <x v="11"/>
  </r>
  <r>
    <x v="2319"/>
    <x v="7"/>
    <x v="1"/>
    <x v="23"/>
  </r>
  <r>
    <x v="2320"/>
    <x v="7"/>
    <x v="2"/>
    <x v="54"/>
  </r>
  <r>
    <x v="2120"/>
    <x v="7"/>
    <x v="3"/>
    <x v="0"/>
  </r>
  <r>
    <x v="2321"/>
    <x v="7"/>
    <x v="0"/>
    <x v="0"/>
  </r>
  <r>
    <x v="2322"/>
    <x v="7"/>
    <x v="4"/>
    <x v="11"/>
  </r>
  <r>
    <x v="2323"/>
    <x v="7"/>
    <x v="4"/>
    <x v="11"/>
  </r>
  <r>
    <x v="160"/>
    <x v="7"/>
    <x v="4"/>
    <x v="11"/>
  </r>
  <r>
    <x v="101"/>
    <x v="7"/>
    <x v="4"/>
    <x v="11"/>
  </r>
  <r>
    <x v="1016"/>
    <x v="7"/>
    <x v="2"/>
    <x v="26"/>
  </r>
  <r>
    <x v="706"/>
    <x v="7"/>
    <x v="6"/>
    <x v="20"/>
  </r>
  <r>
    <x v="1867"/>
    <x v="7"/>
    <x v="1"/>
    <x v="43"/>
  </r>
  <r>
    <x v="552"/>
    <x v="7"/>
    <x v="1"/>
    <x v="31"/>
  </r>
  <r>
    <x v="99"/>
    <x v="7"/>
    <x v="1"/>
    <x v="23"/>
  </r>
  <r>
    <x v="43"/>
    <x v="7"/>
    <x v="4"/>
    <x v="4"/>
  </r>
  <r>
    <x v="132"/>
    <x v="7"/>
    <x v="6"/>
    <x v="56"/>
  </r>
  <r>
    <x v="2324"/>
    <x v="7"/>
    <x v="2"/>
    <x v="2"/>
  </r>
  <r>
    <x v="706"/>
    <x v="7"/>
    <x v="6"/>
    <x v="56"/>
  </r>
  <r>
    <x v="43"/>
    <x v="7"/>
    <x v="6"/>
    <x v="56"/>
  </r>
  <r>
    <x v="1245"/>
    <x v="7"/>
    <x v="1"/>
    <x v="23"/>
  </r>
  <r>
    <x v="2325"/>
    <x v="7"/>
    <x v="14"/>
    <x v="0"/>
  </r>
  <r>
    <x v="2326"/>
    <x v="7"/>
    <x v="14"/>
    <x v="0"/>
  </r>
  <r>
    <x v="2327"/>
    <x v="7"/>
    <x v="2"/>
    <x v="26"/>
  </r>
  <r>
    <x v="809"/>
    <x v="7"/>
    <x v="1"/>
    <x v="43"/>
  </r>
  <r>
    <x v="439"/>
    <x v="7"/>
    <x v="1"/>
    <x v="31"/>
  </r>
  <r>
    <x v="40"/>
    <x v="7"/>
    <x v="4"/>
    <x v="4"/>
  </r>
  <r>
    <x v="160"/>
    <x v="7"/>
    <x v="2"/>
    <x v="54"/>
  </r>
  <r>
    <x v="160"/>
    <x v="7"/>
    <x v="2"/>
    <x v="2"/>
  </r>
  <r>
    <x v="99"/>
    <x v="7"/>
    <x v="6"/>
    <x v="56"/>
  </r>
  <r>
    <x v="1743"/>
    <x v="7"/>
    <x v="14"/>
    <x v="0"/>
  </r>
  <r>
    <x v="1744"/>
    <x v="7"/>
    <x v="14"/>
    <x v="0"/>
  </r>
  <r>
    <x v="2328"/>
    <x v="7"/>
    <x v="4"/>
    <x v="4"/>
  </r>
  <r>
    <x v="117"/>
    <x v="7"/>
    <x v="1"/>
    <x v="23"/>
  </r>
  <r>
    <x v="1819"/>
    <x v="7"/>
    <x v="1"/>
    <x v="23"/>
  </r>
  <r>
    <x v="941"/>
    <x v="7"/>
    <x v="1"/>
    <x v="23"/>
  </r>
  <r>
    <x v="103"/>
    <x v="7"/>
    <x v="1"/>
    <x v="23"/>
  </r>
  <r>
    <x v="35"/>
    <x v="7"/>
    <x v="1"/>
    <x v="23"/>
  </r>
  <r>
    <x v="763"/>
    <x v="7"/>
    <x v="1"/>
    <x v="23"/>
  </r>
  <r>
    <x v="11"/>
    <x v="7"/>
    <x v="1"/>
    <x v="23"/>
  </r>
  <r>
    <x v="166"/>
    <x v="7"/>
    <x v="1"/>
    <x v="23"/>
  </r>
  <r>
    <x v="76"/>
    <x v="7"/>
    <x v="1"/>
    <x v="24"/>
  </r>
  <r>
    <x v="99"/>
    <x v="7"/>
    <x v="1"/>
    <x v="24"/>
  </r>
  <r>
    <x v="1867"/>
    <x v="7"/>
    <x v="1"/>
    <x v="23"/>
  </r>
  <r>
    <x v="103"/>
    <x v="7"/>
    <x v="1"/>
    <x v="23"/>
  </r>
  <r>
    <x v="103"/>
    <x v="7"/>
    <x v="1"/>
    <x v="23"/>
  </r>
  <r>
    <x v="103"/>
    <x v="7"/>
    <x v="1"/>
    <x v="23"/>
  </r>
  <r>
    <x v="583"/>
    <x v="7"/>
    <x v="1"/>
    <x v="23"/>
  </r>
  <r>
    <x v="806"/>
    <x v="7"/>
    <x v="1"/>
    <x v="23"/>
  </r>
  <r>
    <x v="43"/>
    <x v="7"/>
    <x v="1"/>
    <x v="23"/>
  </r>
  <r>
    <x v="2329"/>
    <x v="7"/>
    <x v="1"/>
    <x v="23"/>
  </r>
  <r>
    <x v="2330"/>
    <x v="7"/>
    <x v="1"/>
    <x v="23"/>
  </r>
  <r>
    <x v="1660"/>
    <x v="7"/>
    <x v="1"/>
    <x v="23"/>
  </r>
  <r>
    <x v="1025"/>
    <x v="7"/>
    <x v="1"/>
    <x v="23"/>
  </r>
  <r>
    <x v="460"/>
    <x v="7"/>
    <x v="1"/>
    <x v="23"/>
  </r>
  <r>
    <x v="43"/>
    <x v="7"/>
    <x v="1"/>
    <x v="23"/>
  </r>
  <r>
    <x v="103"/>
    <x v="7"/>
    <x v="1"/>
    <x v="23"/>
  </r>
  <r>
    <x v="103"/>
    <x v="7"/>
    <x v="1"/>
    <x v="23"/>
  </r>
  <r>
    <x v="861"/>
    <x v="7"/>
    <x v="4"/>
    <x v="4"/>
  </r>
  <r>
    <x v="803"/>
    <x v="7"/>
    <x v="2"/>
    <x v="26"/>
  </r>
  <r>
    <x v="2331"/>
    <x v="7"/>
    <x v="2"/>
    <x v="26"/>
  </r>
  <r>
    <x v="2332"/>
    <x v="7"/>
    <x v="1"/>
    <x v="43"/>
  </r>
  <r>
    <x v="2333"/>
    <x v="7"/>
    <x v="6"/>
    <x v="20"/>
  </r>
  <r>
    <x v="1029"/>
    <x v="7"/>
    <x v="1"/>
    <x v="55"/>
  </r>
  <r>
    <x v="2334"/>
    <x v="7"/>
    <x v="1"/>
    <x v="43"/>
  </r>
  <r>
    <x v="2335"/>
    <x v="7"/>
    <x v="1"/>
    <x v="3"/>
  </r>
  <r>
    <x v="46"/>
    <x v="7"/>
    <x v="2"/>
    <x v="54"/>
  </r>
  <r>
    <x v="344"/>
    <x v="7"/>
    <x v="4"/>
    <x v="4"/>
  </r>
  <r>
    <x v="2336"/>
    <x v="7"/>
    <x v="4"/>
    <x v="4"/>
  </r>
  <r>
    <x v="955"/>
    <x v="7"/>
    <x v="4"/>
    <x v="4"/>
  </r>
  <r>
    <x v="101"/>
    <x v="7"/>
    <x v="1"/>
    <x v="31"/>
  </r>
  <r>
    <x v="160"/>
    <x v="7"/>
    <x v="2"/>
    <x v="26"/>
  </r>
  <r>
    <x v="36"/>
    <x v="7"/>
    <x v="1"/>
    <x v="43"/>
  </r>
  <r>
    <x v="36"/>
    <x v="7"/>
    <x v="1"/>
    <x v="43"/>
  </r>
  <r>
    <x v="35"/>
    <x v="7"/>
    <x v="2"/>
    <x v="26"/>
  </r>
  <r>
    <x v="35"/>
    <x v="7"/>
    <x v="6"/>
    <x v="56"/>
  </r>
  <r>
    <x v="166"/>
    <x v="7"/>
    <x v="1"/>
    <x v="43"/>
  </r>
  <r>
    <x v="1670"/>
    <x v="7"/>
    <x v="2"/>
    <x v="26"/>
  </r>
  <r>
    <x v="2337"/>
    <x v="7"/>
    <x v="2"/>
    <x v="26"/>
  </r>
  <r>
    <x v="2338"/>
    <x v="7"/>
    <x v="2"/>
    <x v="26"/>
  </r>
  <r>
    <x v="475"/>
    <x v="7"/>
    <x v="2"/>
    <x v="54"/>
  </r>
  <r>
    <x v="276"/>
    <x v="7"/>
    <x v="6"/>
    <x v="56"/>
  </r>
  <r>
    <x v="101"/>
    <x v="7"/>
    <x v="1"/>
    <x v="43"/>
  </r>
  <r>
    <x v="101"/>
    <x v="7"/>
    <x v="1"/>
    <x v="43"/>
  </r>
  <r>
    <x v="75"/>
    <x v="7"/>
    <x v="6"/>
    <x v="20"/>
  </r>
  <r>
    <x v="101"/>
    <x v="7"/>
    <x v="1"/>
    <x v="43"/>
  </r>
  <r>
    <x v="101"/>
    <x v="7"/>
    <x v="2"/>
    <x v="26"/>
  </r>
  <r>
    <x v="785"/>
    <x v="7"/>
    <x v="1"/>
    <x v="23"/>
  </r>
  <r>
    <x v="785"/>
    <x v="7"/>
    <x v="1"/>
    <x v="23"/>
  </r>
  <r>
    <x v="2339"/>
    <x v="7"/>
    <x v="1"/>
    <x v="23"/>
  </r>
  <r>
    <x v="2340"/>
    <x v="7"/>
    <x v="1"/>
    <x v="43"/>
  </r>
  <r>
    <x v="2341"/>
    <x v="7"/>
    <x v="2"/>
    <x v="2"/>
  </r>
  <r>
    <x v="399"/>
    <x v="7"/>
    <x v="1"/>
    <x v="45"/>
  </r>
  <r>
    <x v="359"/>
    <x v="7"/>
    <x v="1"/>
    <x v="45"/>
  </r>
  <r>
    <x v="399"/>
    <x v="7"/>
    <x v="1"/>
    <x v="45"/>
  </r>
  <r>
    <x v="399"/>
    <x v="7"/>
    <x v="1"/>
    <x v="45"/>
  </r>
  <r>
    <x v="209"/>
    <x v="7"/>
    <x v="1"/>
    <x v="23"/>
  </r>
  <r>
    <x v="2342"/>
    <x v="7"/>
    <x v="2"/>
    <x v="46"/>
  </r>
  <r>
    <x v="2229"/>
    <x v="7"/>
    <x v="1"/>
    <x v="23"/>
  </r>
  <r>
    <x v="2343"/>
    <x v="7"/>
    <x v="1"/>
    <x v="23"/>
  </r>
  <r>
    <x v="2344"/>
    <x v="7"/>
    <x v="1"/>
    <x v="24"/>
  </r>
  <r>
    <x v="2345"/>
    <x v="7"/>
    <x v="4"/>
    <x v="4"/>
  </r>
  <r>
    <x v="2346"/>
    <x v="7"/>
    <x v="1"/>
    <x v="45"/>
  </r>
  <r>
    <x v="2347"/>
    <x v="7"/>
    <x v="1"/>
    <x v="45"/>
  </r>
  <r>
    <x v="941"/>
    <x v="7"/>
    <x v="14"/>
    <x v="0"/>
  </r>
  <r>
    <x v="2348"/>
    <x v="7"/>
    <x v="1"/>
    <x v="23"/>
  </r>
  <r>
    <x v="2349"/>
    <x v="7"/>
    <x v="2"/>
    <x v="2"/>
  </r>
  <r>
    <x v="358"/>
    <x v="7"/>
    <x v="1"/>
    <x v="55"/>
  </r>
  <r>
    <x v="2350"/>
    <x v="7"/>
    <x v="1"/>
    <x v="23"/>
  </r>
  <r>
    <x v="25"/>
    <x v="7"/>
    <x v="4"/>
    <x v="4"/>
  </r>
  <r>
    <x v="2351"/>
    <x v="7"/>
    <x v="3"/>
    <x v="0"/>
  </r>
  <r>
    <x v="403"/>
    <x v="7"/>
    <x v="4"/>
    <x v="4"/>
  </r>
  <r>
    <x v="2038"/>
    <x v="7"/>
    <x v="4"/>
    <x v="11"/>
  </r>
  <r>
    <x v="2352"/>
    <x v="7"/>
    <x v="1"/>
    <x v="45"/>
  </r>
  <r>
    <x v="2352"/>
    <x v="7"/>
    <x v="1"/>
    <x v="45"/>
  </r>
  <r>
    <x v="2353"/>
    <x v="7"/>
    <x v="1"/>
    <x v="23"/>
  </r>
  <r>
    <x v="955"/>
    <x v="7"/>
    <x v="4"/>
    <x v="4"/>
  </r>
  <r>
    <x v="2354"/>
    <x v="7"/>
    <x v="1"/>
    <x v="23"/>
  </r>
  <r>
    <x v="1338"/>
    <x v="7"/>
    <x v="4"/>
    <x v="4"/>
  </r>
  <r>
    <x v="2355"/>
    <x v="7"/>
    <x v="4"/>
    <x v="4"/>
  </r>
  <r>
    <x v="2356"/>
    <x v="7"/>
    <x v="2"/>
    <x v="54"/>
  </r>
  <r>
    <x v="25"/>
    <x v="7"/>
    <x v="4"/>
    <x v="4"/>
  </r>
  <r>
    <x v="2357"/>
    <x v="7"/>
    <x v="4"/>
    <x v="4"/>
  </r>
  <r>
    <x v="2358"/>
    <x v="7"/>
    <x v="4"/>
    <x v="4"/>
  </r>
  <r>
    <x v="146"/>
    <x v="7"/>
    <x v="1"/>
    <x v="23"/>
  </r>
  <r>
    <x v="146"/>
    <x v="7"/>
    <x v="1"/>
    <x v="24"/>
  </r>
  <r>
    <x v="2359"/>
    <x v="7"/>
    <x v="0"/>
    <x v="0"/>
  </r>
  <r>
    <x v="852"/>
    <x v="7"/>
    <x v="2"/>
    <x v="47"/>
  </r>
  <r>
    <x v="2350"/>
    <x v="7"/>
    <x v="4"/>
    <x v="4"/>
  </r>
  <r>
    <x v="1679"/>
    <x v="7"/>
    <x v="4"/>
    <x v="4"/>
  </r>
  <r>
    <x v="2360"/>
    <x v="7"/>
    <x v="4"/>
    <x v="4"/>
  </r>
  <r>
    <x v="2361"/>
    <x v="7"/>
    <x v="4"/>
    <x v="4"/>
  </r>
  <r>
    <x v="2362"/>
    <x v="7"/>
    <x v="4"/>
    <x v="4"/>
  </r>
  <r>
    <x v="118"/>
    <x v="7"/>
    <x v="1"/>
    <x v="23"/>
  </r>
  <r>
    <x v="11"/>
    <x v="7"/>
    <x v="4"/>
    <x v="4"/>
  </r>
  <r>
    <x v="2363"/>
    <x v="7"/>
    <x v="1"/>
    <x v="23"/>
  </r>
  <r>
    <x v="2364"/>
    <x v="7"/>
    <x v="2"/>
    <x v="54"/>
  </r>
  <r>
    <x v="2365"/>
    <x v="7"/>
    <x v="1"/>
    <x v="55"/>
  </r>
  <r>
    <x v="423"/>
    <x v="7"/>
    <x v="5"/>
    <x v="0"/>
  </r>
  <r>
    <x v="2366"/>
    <x v="7"/>
    <x v="1"/>
    <x v="60"/>
  </r>
  <r>
    <x v="2367"/>
    <x v="7"/>
    <x v="1"/>
    <x v="43"/>
  </r>
  <r>
    <x v="2368"/>
    <x v="7"/>
    <x v="4"/>
    <x v="4"/>
  </r>
  <r>
    <x v="2369"/>
    <x v="7"/>
    <x v="4"/>
    <x v="4"/>
  </r>
  <r>
    <x v="2370"/>
    <x v="7"/>
    <x v="4"/>
    <x v="4"/>
  </r>
  <r>
    <x v="2371"/>
    <x v="7"/>
    <x v="4"/>
    <x v="4"/>
  </r>
  <r>
    <x v="435"/>
    <x v="7"/>
    <x v="4"/>
    <x v="4"/>
  </r>
  <r>
    <x v="817"/>
    <x v="7"/>
    <x v="2"/>
    <x v="46"/>
  </r>
  <r>
    <x v="2372"/>
    <x v="7"/>
    <x v="2"/>
    <x v="46"/>
  </r>
  <r>
    <x v="2373"/>
    <x v="7"/>
    <x v="2"/>
    <x v="46"/>
  </r>
  <r>
    <x v="2374"/>
    <x v="7"/>
    <x v="2"/>
    <x v="26"/>
  </r>
  <r>
    <x v="781"/>
    <x v="7"/>
    <x v="2"/>
    <x v="26"/>
  </r>
  <r>
    <x v="446"/>
    <x v="7"/>
    <x v="2"/>
    <x v="34"/>
  </r>
  <r>
    <x v="2375"/>
    <x v="7"/>
    <x v="1"/>
    <x v="43"/>
  </r>
  <r>
    <x v="2376"/>
    <x v="7"/>
    <x v="2"/>
    <x v="2"/>
  </r>
  <r>
    <x v="195"/>
    <x v="7"/>
    <x v="6"/>
    <x v="56"/>
  </r>
  <r>
    <x v="43"/>
    <x v="7"/>
    <x v="4"/>
    <x v="4"/>
  </r>
  <r>
    <x v="2377"/>
    <x v="7"/>
    <x v="14"/>
    <x v="0"/>
  </r>
  <r>
    <x v="2378"/>
    <x v="7"/>
    <x v="14"/>
    <x v="0"/>
  </r>
  <r>
    <x v="160"/>
    <x v="7"/>
    <x v="1"/>
    <x v="55"/>
  </r>
  <r>
    <x v="160"/>
    <x v="7"/>
    <x v="2"/>
    <x v="26"/>
  </r>
  <r>
    <x v="2379"/>
    <x v="7"/>
    <x v="2"/>
    <x v="2"/>
  </r>
  <r>
    <x v="40"/>
    <x v="7"/>
    <x v="2"/>
    <x v="34"/>
  </r>
  <r>
    <x v="147"/>
    <x v="7"/>
    <x v="4"/>
    <x v="4"/>
  </r>
  <r>
    <x v="101"/>
    <x v="7"/>
    <x v="1"/>
    <x v="43"/>
  </r>
  <r>
    <x v="160"/>
    <x v="7"/>
    <x v="1"/>
    <x v="55"/>
  </r>
  <r>
    <x v="2380"/>
    <x v="7"/>
    <x v="14"/>
    <x v="0"/>
  </r>
  <r>
    <x v="2381"/>
    <x v="7"/>
    <x v="14"/>
    <x v="0"/>
  </r>
  <r>
    <x v="103"/>
    <x v="7"/>
    <x v="6"/>
    <x v="56"/>
  </r>
  <r>
    <x v="147"/>
    <x v="7"/>
    <x v="2"/>
    <x v="26"/>
  </r>
  <r>
    <x v="503"/>
    <x v="7"/>
    <x v="2"/>
    <x v="2"/>
  </r>
  <r>
    <x v="168"/>
    <x v="7"/>
    <x v="2"/>
    <x v="34"/>
  </r>
  <r>
    <x v="99"/>
    <x v="7"/>
    <x v="4"/>
    <x v="4"/>
  </r>
  <r>
    <x v="160"/>
    <x v="7"/>
    <x v="1"/>
    <x v="55"/>
  </r>
  <r>
    <x v="35"/>
    <x v="7"/>
    <x v="1"/>
    <x v="23"/>
  </r>
  <r>
    <x v="35"/>
    <x v="7"/>
    <x v="1"/>
    <x v="23"/>
  </r>
  <r>
    <x v="35"/>
    <x v="7"/>
    <x v="1"/>
    <x v="23"/>
  </r>
  <r>
    <x v="76"/>
    <x v="7"/>
    <x v="1"/>
    <x v="23"/>
  </r>
  <r>
    <x v="76"/>
    <x v="7"/>
    <x v="1"/>
    <x v="23"/>
  </r>
  <r>
    <x v="76"/>
    <x v="7"/>
    <x v="1"/>
    <x v="23"/>
  </r>
  <r>
    <x v="36"/>
    <x v="7"/>
    <x v="1"/>
    <x v="23"/>
  </r>
  <r>
    <x v="36"/>
    <x v="7"/>
    <x v="1"/>
    <x v="23"/>
  </r>
  <r>
    <x v="36"/>
    <x v="7"/>
    <x v="1"/>
    <x v="23"/>
  </r>
  <r>
    <x v="2382"/>
    <x v="7"/>
    <x v="2"/>
    <x v="26"/>
  </r>
  <r>
    <x v="2383"/>
    <x v="7"/>
    <x v="4"/>
    <x v="4"/>
  </r>
  <r>
    <x v="2384"/>
    <x v="7"/>
    <x v="2"/>
    <x v="26"/>
  </r>
  <r>
    <x v="584"/>
    <x v="7"/>
    <x v="1"/>
    <x v="43"/>
  </r>
  <r>
    <x v="368"/>
    <x v="7"/>
    <x v="2"/>
    <x v="61"/>
  </r>
  <r>
    <x v="2385"/>
    <x v="7"/>
    <x v="2"/>
    <x v="61"/>
  </r>
  <r>
    <x v="369"/>
    <x v="7"/>
    <x v="2"/>
    <x v="34"/>
  </r>
  <r>
    <x v="703"/>
    <x v="7"/>
    <x v="6"/>
    <x v="56"/>
  </r>
  <r>
    <x v="2386"/>
    <x v="7"/>
    <x v="2"/>
    <x v="34"/>
  </r>
  <r>
    <x v="101"/>
    <x v="7"/>
    <x v="2"/>
    <x v="61"/>
  </r>
  <r>
    <x v="2387"/>
    <x v="7"/>
    <x v="2"/>
    <x v="61"/>
  </r>
  <r>
    <x v="2388"/>
    <x v="7"/>
    <x v="2"/>
    <x v="61"/>
  </r>
  <r>
    <x v="2389"/>
    <x v="7"/>
    <x v="1"/>
    <x v="43"/>
  </r>
  <r>
    <x v="2390"/>
    <x v="7"/>
    <x v="1"/>
    <x v="43"/>
  </r>
  <r>
    <x v="345"/>
    <x v="7"/>
    <x v="2"/>
    <x v="26"/>
  </r>
  <r>
    <x v="2391"/>
    <x v="7"/>
    <x v="2"/>
    <x v="26"/>
  </r>
  <r>
    <x v="573"/>
    <x v="7"/>
    <x v="1"/>
    <x v="55"/>
  </r>
  <r>
    <x v="521"/>
    <x v="7"/>
    <x v="2"/>
    <x v="26"/>
  </r>
  <r>
    <x v="1405"/>
    <x v="7"/>
    <x v="2"/>
    <x v="26"/>
  </r>
  <r>
    <x v="2392"/>
    <x v="7"/>
    <x v="2"/>
    <x v="34"/>
  </r>
  <r>
    <x v="2393"/>
    <x v="7"/>
    <x v="1"/>
    <x v="43"/>
  </r>
  <r>
    <x v="369"/>
    <x v="7"/>
    <x v="2"/>
    <x v="61"/>
  </r>
  <r>
    <x v="2394"/>
    <x v="7"/>
    <x v="2"/>
    <x v="61"/>
  </r>
  <r>
    <x v="2395"/>
    <x v="7"/>
    <x v="2"/>
    <x v="26"/>
  </r>
  <r>
    <x v="155"/>
    <x v="7"/>
    <x v="2"/>
    <x v="61"/>
  </r>
  <r>
    <x v="43"/>
    <x v="7"/>
    <x v="2"/>
    <x v="34"/>
  </r>
  <r>
    <x v="43"/>
    <x v="7"/>
    <x v="2"/>
    <x v="34"/>
  </r>
  <r>
    <x v="2396"/>
    <x v="7"/>
    <x v="2"/>
    <x v="61"/>
  </r>
  <r>
    <x v="2397"/>
    <x v="7"/>
    <x v="2"/>
    <x v="61"/>
  </r>
  <r>
    <x v="115"/>
    <x v="7"/>
    <x v="1"/>
    <x v="43"/>
  </r>
  <r>
    <x v="115"/>
    <x v="7"/>
    <x v="2"/>
    <x v="61"/>
  </r>
  <r>
    <x v="2398"/>
    <x v="7"/>
    <x v="2"/>
    <x v="34"/>
  </r>
  <r>
    <x v="2399"/>
    <x v="7"/>
    <x v="1"/>
    <x v="43"/>
  </r>
  <r>
    <x v="2400"/>
    <x v="7"/>
    <x v="2"/>
    <x v="26"/>
  </r>
  <r>
    <x v="2401"/>
    <x v="7"/>
    <x v="2"/>
    <x v="26"/>
  </r>
  <r>
    <x v="117"/>
    <x v="7"/>
    <x v="1"/>
    <x v="23"/>
  </r>
  <r>
    <x v="369"/>
    <x v="7"/>
    <x v="1"/>
    <x v="23"/>
  </r>
  <r>
    <x v="166"/>
    <x v="7"/>
    <x v="1"/>
    <x v="23"/>
  </r>
  <r>
    <x v="2057"/>
    <x v="7"/>
    <x v="1"/>
    <x v="23"/>
  </r>
  <r>
    <x v="460"/>
    <x v="7"/>
    <x v="1"/>
    <x v="23"/>
  </r>
  <r>
    <x v="987"/>
    <x v="7"/>
    <x v="1"/>
    <x v="23"/>
  </r>
  <r>
    <x v="817"/>
    <x v="7"/>
    <x v="1"/>
    <x v="23"/>
  </r>
  <r>
    <x v="43"/>
    <x v="7"/>
    <x v="1"/>
    <x v="23"/>
  </r>
  <r>
    <x v="35"/>
    <x v="7"/>
    <x v="1"/>
    <x v="23"/>
  </r>
  <r>
    <x v="43"/>
    <x v="7"/>
    <x v="1"/>
    <x v="23"/>
  </r>
  <r>
    <x v="103"/>
    <x v="7"/>
    <x v="1"/>
    <x v="23"/>
  </r>
  <r>
    <x v="2402"/>
    <x v="7"/>
    <x v="2"/>
    <x v="34"/>
  </r>
  <r>
    <x v="2403"/>
    <x v="7"/>
    <x v="1"/>
    <x v="55"/>
  </r>
  <r>
    <x v="2404"/>
    <x v="7"/>
    <x v="4"/>
    <x v="4"/>
  </r>
  <r>
    <x v="2405"/>
    <x v="7"/>
    <x v="4"/>
    <x v="4"/>
  </r>
  <r>
    <x v="2406"/>
    <x v="7"/>
    <x v="1"/>
    <x v="23"/>
  </r>
  <r>
    <x v="430"/>
    <x v="7"/>
    <x v="1"/>
    <x v="23"/>
  </r>
  <r>
    <x v="2407"/>
    <x v="7"/>
    <x v="1"/>
    <x v="45"/>
  </r>
  <r>
    <x v="252"/>
    <x v="7"/>
    <x v="1"/>
    <x v="45"/>
  </r>
  <r>
    <x v="2408"/>
    <x v="7"/>
    <x v="2"/>
    <x v="62"/>
  </r>
  <r>
    <x v="2409"/>
    <x v="7"/>
    <x v="1"/>
    <x v="45"/>
  </r>
  <r>
    <x v="2409"/>
    <x v="7"/>
    <x v="1"/>
    <x v="45"/>
  </r>
  <r>
    <x v="24"/>
    <x v="7"/>
    <x v="4"/>
    <x v="4"/>
  </r>
  <r>
    <x v="2410"/>
    <x v="7"/>
    <x v="2"/>
    <x v="34"/>
  </r>
  <r>
    <x v="2411"/>
    <x v="7"/>
    <x v="2"/>
    <x v="46"/>
  </r>
  <r>
    <x v="173"/>
    <x v="7"/>
    <x v="4"/>
    <x v="4"/>
  </r>
  <r>
    <x v="2412"/>
    <x v="7"/>
    <x v="2"/>
    <x v="34"/>
  </r>
  <r>
    <x v="2412"/>
    <x v="7"/>
    <x v="2"/>
    <x v="62"/>
  </r>
  <r>
    <x v="2412"/>
    <x v="7"/>
    <x v="6"/>
    <x v="56"/>
  </r>
  <r>
    <x v="2412"/>
    <x v="7"/>
    <x v="4"/>
    <x v="4"/>
  </r>
  <r>
    <x v="2412"/>
    <x v="7"/>
    <x v="1"/>
    <x v="55"/>
  </r>
  <r>
    <x v="1245"/>
    <x v="7"/>
    <x v="2"/>
    <x v="2"/>
  </r>
  <r>
    <x v="2413"/>
    <x v="7"/>
    <x v="7"/>
    <x v="0"/>
  </r>
  <r>
    <x v="1270"/>
    <x v="7"/>
    <x v="1"/>
    <x v="23"/>
  </r>
  <r>
    <x v="2414"/>
    <x v="7"/>
    <x v="7"/>
    <x v="0"/>
  </r>
  <r>
    <x v="2415"/>
    <x v="7"/>
    <x v="1"/>
    <x v="45"/>
  </r>
  <r>
    <x v="2416"/>
    <x v="7"/>
    <x v="4"/>
    <x v="4"/>
  </r>
  <r>
    <x v="2417"/>
    <x v="7"/>
    <x v="12"/>
    <x v="0"/>
  </r>
  <r>
    <x v="2418"/>
    <x v="7"/>
    <x v="1"/>
    <x v="45"/>
  </r>
  <r>
    <x v="2419"/>
    <x v="7"/>
    <x v="1"/>
    <x v="23"/>
  </r>
  <r>
    <x v="2420"/>
    <x v="7"/>
    <x v="1"/>
    <x v="23"/>
  </r>
  <r>
    <x v="2421"/>
    <x v="7"/>
    <x v="14"/>
    <x v="0"/>
  </r>
  <r>
    <x v="2422"/>
    <x v="7"/>
    <x v="14"/>
    <x v="0"/>
  </r>
  <r>
    <x v="2419"/>
    <x v="7"/>
    <x v="1"/>
    <x v="23"/>
  </r>
  <r>
    <x v="2420"/>
    <x v="7"/>
    <x v="1"/>
    <x v="23"/>
  </r>
  <r>
    <x v="2421"/>
    <x v="7"/>
    <x v="14"/>
    <x v="0"/>
  </r>
  <r>
    <x v="2422"/>
    <x v="7"/>
    <x v="14"/>
    <x v="0"/>
  </r>
  <r>
    <x v="67"/>
    <x v="7"/>
    <x v="1"/>
    <x v="23"/>
  </r>
  <r>
    <x v="2423"/>
    <x v="7"/>
    <x v="14"/>
    <x v="0"/>
  </r>
  <r>
    <x v="2424"/>
    <x v="7"/>
    <x v="2"/>
    <x v="26"/>
  </r>
  <r>
    <x v="2425"/>
    <x v="7"/>
    <x v="1"/>
    <x v="43"/>
  </r>
  <r>
    <x v="2426"/>
    <x v="7"/>
    <x v="2"/>
    <x v="34"/>
  </r>
  <r>
    <x v="2427"/>
    <x v="7"/>
    <x v="2"/>
    <x v="61"/>
  </r>
  <r>
    <x v="2428"/>
    <x v="7"/>
    <x v="4"/>
    <x v="4"/>
  </r>
  <r>
    <x v="2429"/>
    <x v="7"/>
    <x v="2"/>
    <x v="34"/>
  </r>
  <r>
    <x v="2430"/>
    <x v="7"/>
    <x v="4"/>
    <x v="4"/>
  </r>
  <r>
    <x v="2431"/>
    <x v="7"/>
    <x v="2"/>
    <x v="54"/>
  </r>
  <r>
    <x v="2406"/>
    <x v="7"/>
    <x v="1"/>
    <x v="24"/>
  </r>
  <r>
    <x v="359"/>
    <x v="7"/>
    <x v="4"/>
    <x v="4"/>
  </r>
  <r>
    <x v="2432"/>
    <x v="7"/>
    <x v="2"/>
    <x v="46"/>
  </r>
  <r>
    <x v="168"/>
    <x v="7"/>
    <x v="4"/>
    <x v="4"/>
  </r>
  <r>
    <x v="358"/>
    <x v="7"/>
    <x v="1"/>
    <x v="55"/>
  </r>
  <r>
    <x v="2433"/>
    <x v="7"/>
    <x v="1"/>
    <x v="23"/>
  </r>
  <r>
    <x v="2434"/>
    <x v="7"/>
    <x v="1"/>
    <x v="23"/>
  </r>
  <r>
    <x v="2435"/>
    <x v="7"/>
    <x v="1"/>
    <x v="43"/>
  </r>
  <r>
    <x v="432"/>
    <x v="7"/>
    <x v="9"/>
    <x v="23"/>
  </r>
  <r>
    <x v="2436"/>
    <x v="7"/>
    <x v="5"/>
    <x v="0"/>
  </r>
  <r>
    <x v="2437"/>
    <x v="7"/>
    <x v="4"/>
    <x v="4"/>
  </r>
  <r>
    <x v="2438"/>
    <x v="7"/>
    <x v="5"/>
    <x v="0"/>
  </r>
  <r>
    <x v="2439"/>
    <x v="7"/>
    <x v="5"/>
    <x v="0"/>
  </r>
  <r>
    <x v="2440"/>
    <x v="7"/>
    <x v="1"/>
    <x v="55"/>
  </r>
  <r>
    <x v="2441"/>
    <x v="7"/>
    <x v="1"/>
    <x v="55"/>
  </r>
  <r>
    <x v="2442"/>
    <x v="7"/>
    <x v="2"/>
    <x v="54"/>
  </r>
  <r>
    <x v="2443"/>
    <x v="7"/>
    <x v="2"/>
    <x v="54"/>
  </r>
  <r>
    <x v="2444"/>
    <x v="7"/>
    <x v="2"/>
    <x v="54"/>
  </r>
  <r>
    <x v="2445"/>
    <x v="7"/>
    <x v="13"/>
    <x v="0"/>
  </r>
  <r>
    <x v="109"/>
    <x v="7"/>
    <x v="4"/>
    <x v="11"/>
  </r>
  <r>
    <x v="2446"/>
    <x v="7"/>
    <x v="4"/>
    <x v="11"/>
  </r>
  <r>
    <x v="2447"/>
    <x v="7"/>
    <x v="4"/>
    <x v="4"/>
  </r>
  <r>
    <x v="2448"/>
    <x v="7"/>
    <x v="5"/>
    <x v="0"/>
  </r>
  <r>
    <x v="2449"/>
    <x v="7"/>
    <x v="5"/>
    <x v="0"/>
  </r>
  <r>
    <x v="2450"/>
    <x v="7"/>
    <x v="3"/>
    <x v="0"/>
  </r>
  <r>
    <x v="2182"/>
    <x v="7"/>
    <x v="5"/>
    <x v="0"/>
  </r>
  <r>
    <x v="2451"/>
    <x v="7"/>
    <x v="2"/>
    <x v="46"/>
  </r>
  <r>
    <x v="2452"/>
    <x v="7"/>
    <x v="5"/>
    <x v="0"/>
  </r>
  <r>
    <x v="2453"/>
    <x v="7"/>
    <x v="5"/>
    <x v="0"/>
  </r>
  <r>
    <x v="2454"/>
    <x v="7"/>
    <x v="5"/>
    <x v="0"/>
  </r>
  <r>
    <x v="2455"/>
    <x v="7"/>
    <x v="1"/>
    <x v="23"/>
  </r>
  <r>
    <x v="36"/>
    <x v="7"/>
    <x v="1"/>
    <x v="15"/>
  </r>
  <r>
    <x v="35"/>
    <x v="7"/>
    <x v="1"/>
    <x v="15"/>
  </r>
  <r>
    <x v="232"/>
    <x v="7"/>
    <x v="1"/>
    <x v="15"/>
  </r>
  <r>
    <x v="2456"/>
    <x v="7"/>
    <x v="4"/>
    <x v="4"/>
  </r>
  <r>
    <x v="2457"/>
    <x v="7"/>
    <x v="2"/>
    <x v="2"/>
  </r>
  <r>
    <x v="2458"/>
    <x v="7"/>
    <x v="2"/>
    <x v="2"/>
  </r>
  <r>
    <x v="2459"/>
    <x v="7"/>
    <x v="2"/>
    <x v="2"/>
  </r>
  <r>
    <x v="35"/>
    <x v="7"/>
    <x v="2"/>
    <x v="2"/>
  </r>
  <r>
    <x v="1634"/>
    <x v="7"/>
    <x v="2"/>
    <x v="2"/>
  </r>
  <r>
    <x v="75"/>
    <x v="7"/>
    <x v="1"/>
    <x v="30"/>
  </r>
  <r>
    <x v="389"/>
    <x v="7"/>
    <x v="2"/>
    <x v="2"/>
  </r>
  <r>
    <x v="1065"/>
    <x v="7"/>
    <x v="1"/>
    <x v="23"/>
  </r>
  <r>
    <x v="1065"/>
    <x v="7"/>
    <x v="1"/>
    <x v="23"/>
  </r>
  <r>
    <x v="2460"/>
    <x v="7"/>
    <x v="1"/>
    <x v="23"/>
  </r>
  <r>
    <x v="101"/>
    <x v="7"/>
    <x v="1"/>
    <x v="30"/>
  </r>
  <r>
    <x v="166"/>
    <x v="7"/>
    <x v="1"/>
    <x v="30"/>
  </r>
  <r>
    <x v="166"/>
    <x v="7"/>
    <x v="1"/>
    <x v="3"/>
  </r>
  <r>
    <x v="24"/>
    <x v="7"/>
    <x v="4"/>
    <x v="4"/>
  </r>
  <r>
    <x v="166"/>
    <x v="7"/>
    <x v="1"/>
    <x v="23"/>
  </r>
  <r>
    <x v="76"/>
    <x v="7"/>
    <x v="1"/>
    <x v="23"/>
  </r>
  <r>
    <x v="2461"/>
    <x v="7"/>
    <x v="1"/>
    <x v="23"/>
  </r>
  <r>
    <x v="2335"/>
    <x v="7"/>
    <x v="1"/>
    <x v="23"/>
  </r>
  <r>
    <x v="18"/>
    <x v="7"/>
    <x v="1"/>
    <x v="23"/>
  </r>
  <r>
    <x v="2462"/>
    <x v="7"/>
    <x v="2"/>
    <x v="2"/>
  </r>
  <r>
    <x v="2463"/>
    <x v="7"/>
    <x v="2"/>
    <x v="26"/>
  </r>
  <r>
    <x v="2464"/>
    <x v="7"/>
    <x v="1"/>
    <x v="55"/>
  </r>
  <r>
    <x v="2465"/>
    <x v="7"/>
    <x v="1"/>
    <x v="43"/>
  </r>
  <r>
    <x v="2466"/>
    <x v="7"/>
    <x v="1"/>
    <x v="43"/>
  </r>
  <r>
    <x v="2467"/>
    <x v="7"/>
    <x v="2"/>
    <x v="34"/>
  </r>
  <r>
    <x v="2468"/>
    <x v="7"/>
    <x v="1"/>
    <x v="55"/>
  </r>
  <r>
    <x v="2469"/>
    <x v="7"/>
    <x v="1"/>
    <x v="55"/>
  </r>
  <r>
    <x v="2470"/>
    <x v="7"/>
    <x v="2"/>
    <x v="34"/>
  </r>
  <r>
    <x v="43"/>
    <x v="7"/>
    <x v="1"/>
    <x v="3"/>
  </r>
  <r>
    <x v="2471"/>
    <x v="7"/>
    <x v="2"/>
    <x v="26"/>
  </r>
  <r>
    <x v="449"/>
    <x v="7"/>
    <x v="1"/>
    <x v="43"/>
  </r>
  <r>
    <x v="147"/>
    <x v="7"/>
    <x v="2"/>
    <x v="54"/>
  </r>
  <r>
    <x v="168"/>
    <x v="7"/>
    <x v="1"/>
    <x v="55"/>
  </r>
  <r>
    <x v="160"/>
    <x v="7"/>
    <x v="2"/>
    <x v="34"/>
  </r>
  <r>
    <x v="180"/>
    <x v="7"/>
    <x v="4"/>
    <x v="4"/>
  </r>
  <r>
    <x v="2472"/>
    <x v="7"/>
    <x v="14"/>
    <x v="0"/>
  </r>
  <r>
    <x v="2473"/>
    <x v="7"/>
    <x v="14"/>
    <x v="0"/>
  </r>
  <r>
    <x v="2474"/>
    <x v="7"/>
    <x v="2"/>
    <x v="26"/>
  </r>
  <r>
    <x v="355"/>
    <x v="7"/>
    <x v="1"/>
    <x v="45"/>
  </r>
  <r>
    <x v="83"/>
    <x v="7"/>
    <x v="1"/>
    <x v="45"/>
  </r>
  <r>
    <x v="861"/>
    <x v="7"/>
    <x v="4"/>
    <x v="11"/>
  </r>
  <r>
    <x v="18"/>
    <x v="7"/>
    <x v="1"/>
    <x v="23"/>
  </r>
  <r>
    <x v="36"/>
    <x v="7"/>
    <x v="1"/>
    <x v="23"/>
  </r>
  <r>
    <x v="103"/>
    <x v="7"/>
    <x v="1"/>
    <x v="23"/>
  </r>
  <r>
    <x v="2475"/>
    <x v="7"/>
    <x v="3"/>
    <x v="0"/>
  </r>
  <r>
    <x v="2349"/>
    <x v="7"/>
    <x v="1"/>
    <x v="60"/>
  </r>
  <r>
    <x v="2476"/>
    <x v="7"/>
    <x v="1"/>
    <x v="23"/>
  </r>
  <r>
    <x v="430"/>
    <x v="7"/>
    <x v="1"/>
    <x v="23"/>
  </r>
  <r>
    <x v="2477"/>
    <x v="7"/>
    <x v="2"/>
    <x v="34"/>
  </r>
  <r>
    <x v="2478"/>
    <x v="7"/>
    <x v="2"/>
    <x v="2"/>
  </r>
  <r>
    <x v="2479"/>
    <x v="7"/>
    <x v="1"/>
    <x v="23"/>
  </r>
  <r>
    <x v="852"/>
    <x v="7"/>
    <x v="2"/>
    <x v="54"/>
  </r>
  <r>
    <x v="2480"/>
    <x v="7"/>
    <x v="4"/>
    <x v="4"/>
  </r>
  <r>
    <x v="2481"/>
    <x v="7"/>
    <x v="1"/>
    <x v="23"/>
  </r>
  <r>
    <x v="2482"/>
    <x v="7"/>
    <x v="1"/>
    <x v="23"/>
  </r>
  <r>
    <x v="2483"/>
    <x v="7"/>
    <x v="2"/>
    <x v="62"/>
  </r>
  <r>
    <x v="427"/>
    <x v="7"/>
    <x v="4"/>
    <x v="4"/>
  </r>
  <r>
    <x v="2484"/>
    <x v="7"/>
    <x v="2"/>
    <x v="63"/>
  </r>
  <r>
    <x v="2484"/>
    <x v="7"/>
    <x v="1"/>
    <x v="55"/>
  </r>
  <r>
    <x v="2485"/>
    <x v="7"/>
    <x v="1"/>
    <x v="23"/>
  </r>
  <r>
    <x v="2486"/>
    <x v="7"/>
    <x v="2"/>
    <x v="34"/>
  </r>
  <r>
    <x v="123"/>
    <x v="7"/>
    <x v="1"/>
    <x v="30"/>
  </r>
  <r>
    <x v="1245"/>
    <x v="7"/>
    <x v="2"/>
    <x v="2"/>
  </r>
  <r>
    <x v="2487"/>
    <x v="7"/>
    <x v="1"/>
    <x v="45"/>
  </r>
  <r>
    <x v="2488"/>
    <x v="7"/>
    <x v="2"/>
    <x v="34"/>
  </r>
  <r>
    <x v="1279"/>
    <x v="7"/>
    <x v="2"/>
    <x v="46"/>
  </r>
  <r>
    <x v="2489"/>
    <x v="7"/>
    <x v="1"/>
    <x v="64"/>
  </r>
  <r>
    <x v="2490"/>
    <x v="7"/>
    <x v="1"/>
    <x v="23"/>
  </r>
  <r>
    <x v="2490"/>
    <x v="7"/>
    <x v="1"/>
    <x v="24"/>
  </r>
  <r>
    <x v="2491"/>
    <x v="7"/>
    <x v="4"/>
    <x v="4"/>
  </r>
  <r>
    <x v="2215"/>
    <x v="7"/>
    <x v="1"/>
    <x v="55"/>
  </r>
  <r>
    <x v="118"/>
    <x v="7"/>
    <x v="1"/>
    <x v="65"/>
  </r>
  <r>
    <x v="2492"/>
    <x v="7"/>
    <x v="1"/>
    <x v="55"/>
  </r>
  <r>
    <x v="2493"/>
    <x v="7"/>
    <x v="1"/>
    <x v="23"/>
  </r>
  <r>
    <x v="2494"/>
    <x v="7"/>
    <x v="2"/>
    <x v="46"/>
  </r>
  <r>
    <x v="2495"/>
    <x v="7"/>
    <x v="2"/>
    <x v="54"/>
  </r>
  <r>
    <x v="819"/>
    <x v="7"/>
    <x v="4"/>
    <x v="11"/>
  </r>
  <r>
    <x v="2496"/>
    <x v="7"/>
    <x v="4"/>
    <x v="4"/>
  </r>
  <r>
    <x v="2244"/>
    <x v="7"/>
    <x v="1"/>
    <x v="55"/>
  </r>
  <r>
    <x v="432"/>
    <x v="7"/>
    <x v="9"/>
    <x v="23"/>
  </r>
  <r>
    <x v="2497"/>
    <x v="7"/>
    <x v="5"/>
    <x v="0"/>
  </r>
  <r>
    <x v="2498"/>
    <x v="7"/>
    <x v="5"/>
    <x v="0"/>
  </r>
  <r>
    <x v="2499"/>
    <x v="7"/>
    <x v="5"/>
    <x v="0"/>
  </r>
  <r>
    <x v="2500"/>
    <x v="7"/>
    <x v="3"/>
    <x v="0"/>
  </r>
  <r>
    <x v="2501"/>
    <x v="7"/>
    <x v="5"/>
    <x v="0"/>
  </r>
  <r>
    <x v="423"/>
    <x v="7"/>
    <x v="5"/>
    <x v="0"/>
  </r>
  <r>
    <x v="2502"/>
    <x v="7"/>
    <x v="5"/>
    <x v="0"/>
  </r>
  <r>
    <x v="742"/>
    <x v="7"/>
    <x v="1"/>
    <x v="23"/>
  </r>
  <r>
    <x v="2288"/>
    <x v="7"/>
    <x v="6"/>
    <x v="0"/>
  </r>
  <r>
    <x v="2503"/>
    <x v="7"/>
    <x v="2"/>
    <x v="34"/>
  </r>
  <r>
    <x v="2504"/>
    <x v="7"/>
    <x v="1"/>
    <x v="43"/>
  </r>
  <r>
    <x v="2505"/>
    <x v="7"/>
    <x v="2"/>
    <x v="34"/>
  </r>
  <r>
    <x v="2505"/>
    <x v="7"/>
    <x v="2"/>
    <x v="61"/>
  </r>
  <r>
    <x v="498"/>
    <x v="7"/>
    <x v="2"/>
    <x v="34"/>
  </r>
  <r>
    <x v="2506"/>
    <x v="7"/>
    <x v="1"/>
    <x v="43"/>
  </r>
  <r>
    <x v="1196"/>
    <x v="7"/>
    <x v="2"/>
    <x v="34"/>
  </r>
  <r>
    <x v="1196"/>
    <x v="7"/>
    <x v="2"/>
    <x v="61"/>
  </r>
  <r>
    <x v="2507"/>
    <x v="7"/>
    <x v="1"/>
    <x v="43"/>
  </r>
  <r>
    <x v="2508"/>
    <x v="7"/>
    <x v="2"/>
    <x v="34"/>
  </r>
  <r>
    <x v="2508"/>
    <x v="7"/>
    <x v="2"/>
    <x v="61"/>
  </r>
  <r>
    <x v="2509"/>
    <x v="7"/>
    <x v="1"/>
    <x v="43"/>
  </r>
  <r>
    <x v="498"/>
    <x v="7"/>
    <x v="1"/>
    <x v="43"/>
  </r>
  <r>
    <x v="53"/>
    <x v="7"/>
    <x v="4"/>
    <x v="4"/>
  </r>
  <r>
    <x v="2296"/>
    <x v="7"/>
    <x v="4"/>
    <x v="4"/>
  </r>
  <r>
    <x v="399"/>
    <x v="7"/>
    <x v="4"/>
    <x v="4"/>
  </r>
  <r>
    <x v="2296"/>
    <x v="7"/>
    <x v="2"/>
    <x v="34"/>
  </r>
  <r>
    <x v="498"/>
    <x v="7"/>
    <x v="1"/>
    <x v="23"/>
  </r>
  <r>
    <x v="498"/>
    <x v="7"/>
    <x v="6"/>
    <x v="0"/>
  </r>
  <r>
    <x v="749"/>
    <x v="7"/>
    <x v="2"/>
    <x v="61"/>
  </r>
  <r>
    <x v="2510"/>
    <x v="7"/>
    <x v="2"/>
    <x v="61"/>
  </r>
  <r>
    <x v="498"/>
    <x v="7"/>
    <x v="2"/>
    <x v="34"/>
  </r>
  <r>
    <x v="1373"/>
    <x v="7"/>
    <x v="4"/>
    <x v="4"/>
  </r>
  <r>
    <x v="498"/>
    <x v="7"/>
    <x v="1"/>
    <x v="23"/>
  </r>
  <r>
    <x v="494"/>
    <x v="7"/>
    <x v="1"/>
    <x v="23"/>
  </r>
  <r>
    <x v="742"/>
    <x v="7"/>
    <x v="6"/>
    <x v="0"/>
  </r>
  <r>
    <x v="498"/>
    <x v="7"/>
    <x v="1"/>
    <x v="23"/>
  </r>
  <r>
    <x v="2434"/>
    <x v="7"/>
    <x v="1"/>
    <x v="23"/>
  </r>
  <r>
    <x v="2296"/>
    <x v="7"/>
    <x v="1"/>
    <x v="23"/>
  </r>
  <r>
    <x v="498"/>
    <x v="7"/>
    <x v="1"/>
    <x v="23"/>
  </r>
  <r>
    <x v="498"/>
    <x v="7"/>
    <x v="1"/>
    <x v="23"/>
  </r>
  <r>
    <x v="498"/>
    <x v="7"/>
    <x v="1"/>
    <x v="23"/>
  </r>
  <r>
    <x v="498"/>
    <x v="7"/>
    <x v="1"/>
    <x v="23"/>
  </r>
  <r>
    <x v="498"/>
    <x v="7"/>
    <x v="1"/>
    <x v="23"/>
  </r>
  <r>
    <x v="498"/>
    <x v="7"/>
    <x v="4"/>
    <x v="4"/>
  </r>
  <r>
    <x v="2511"/>
    <x v="7"/>
    <x v="1"/>
    <x v="43"/>
  </r>
  <r>
    <x v="2512"/>
    <x v="7"/>
    <x v="2"/>
    <x v="34"/>
  </r>
  <r>
    <x v="2512"/>
    <x v="7"/>
    <x v="2"/>
    <x v="61"/>
  </r>
  <r>
    <x v="498"/>
    <x v="7"/>
    <x v="1"/>
    <x v="43"/>
  </r>
  <r>
    <x v="498"/>
    <x v="7"/>
    <x v="2"/>
    <x v="61"/>
  </r>
  <r>
    <x v="2513"/>
    <x v="7"/>
    <x v="1"/>
    <x v="43"/>
  </r>
  <r>
    <x v="498"/>
    <x v="7"/>
    <x v="2"/>
    <x v="34"/>
  </r>
  <r>
    <x v="498"/>
    <x v="7"/>
    <x v="2"/>
    <x v="61"/>
  </r>
  <r>
    <x v="2514"/>
    <x v="7"/>
    <x v="6"/>
    <x v="0"/>
  </r>
  <r>
    <x v="2515"/>
    <x v="7"/>
    <x v="1"/>
    <x v="43"/>
  </r>
  <r>
    <x v="2516"/>
    <x v="7"/>
    <x v="2"/>
    <x v="34"/>
  </r>
  <r>
    <x v="2516"/>
    <x v="7"/>
    <x v="2"/>
    <x v="61"/>
  </r>
  <r>
    <x v="498"/>
    <x v="7"/>
    <x v="1"/>
    <x v="23"/>
  </r>
  <r>
    <x v="498"/>
    <x v="7"/>
    <x v="1"/>
    <x v="23"/>
  </r>
  <r>
    <x v="498"/>
    <x v="7"/>
    <x v="1"/>
    <x v="23"/>
  </r>
  <r>
    <x v="498"/>
    <x v="7"/>
    <x v="1"/>
    <x v="23"/>
  </r>
  <r>
    <x v="2517"/>
    <x v="7"/>
    <x v="1"/>
    <x v="43"/>
  </r>
  <r>
    <x v="2518"/>
    <x v="7"/>
    <x v="2"/>
    <x v="34"/>
  </r>
  <r>
    <x v="2518"/>
    <x v="7"/>
    <x v="2"/>
    <x v="61"/>
  </r>
  <r>
    <x v="18"/>
    <x v="7"/>
    <x v="6"/>
    <x v="0"/>
  </r>
  <r>
    <x v="460"/>
    <x v="7"/>
    <x v="4"/>
    <x v="11"/>
  </r>
  <r>
    <x v="2519"/>
    <x v="7"/>
    <x v="1"/>
    <x v="43"/>
  </r>
  <r>
    <x v="2520"/>
    <x v="7"/>
    <x v="2"/>
    <x v="34"/>
  </r>
  <r>
    <x v="2520"/>
    <x v="7"/>
    <x v="2"/>
    <x v="61"/>
  </r>
  <r>
    <x v="2521"/>
    <x v="7"/>
    <x v="1"/>
    <x v="43"/>
  </r>
  <r>
    <x v="2522"/>
    <x v="7"/>
    <x v="2"/>
    <x v="34"/>
  </r>
  <r>
    <x v="2522"/>
    <x v="7"/>
    <x v="2"/>
    <x v="61"/>
  </r>
  <r>
    <x v="2523"/>
    <x v="7"/>
    <x v="1"/>
    <x v="23"/>
  </r>
  <r>
    <x v="2524"/>
    <x v="7"/>
    <x v="1"/>
    <x v="23"/>
  </r>
  <r>
    <x v="2525"/>
    <x v="7"/>
    <x v="1"/>
    <x v="23"/>
  </r>
  <r>
    <x v="2526"/>
    <x v="7"/>
    <x v="2"/>
    <x v="26"/>
  </r>
  <r>
    <x v="2527"/>
    <x v="7"/>
    <x v="4"/>
    <x v="4"/>
  </r>
  <r>
    <x v="2528"/>
    <x v="7"/>
    <x v="2"/>
    <x v="26"/>
  </r>
  <r>
    <x v="2529"/>
    <x v="7"/>
    <x v="4"/>
    <x v="4"/>
  </r>
  <r>
    <x v="2246"/>
    <x v="7"/>
    <x v="1"/>
    <x v="45"/>
  </r>
  <r>
    <x v="2529"/>
    <x v="7"/>
    <x v="4"/>
    <x v="4"/>
  </r>
  <r>
    <x v="2530"/>
    <x v="7"/>
    <x v="2"/>
    <x v="26"/>
  </r>
  <r>
    <x v="2531"/>
    <x v="7"/>
    <x v="1"/>
    <x v="31"/>
  </r>
  <r>
    <x v="2531"/>
    <x v="7"/>
    <x v="2"/>
    <x v="26"/>
  </r>
  <r>
    <x v="2532"/>
    <x v="7"/>
    <x v="2"/>
    <x v="26"/>
  </r>
  <r>
    <x v="1148"/>
    <x v="7"/>
    <x v="2"/>
    <x v="26"/>
  </r>
  <r>
    <x v="1148"/>
    <x v="7"/>
    <x v="1"/>
    <x v="31"/>
  </r>
  <r>
    <x v="1148"/>
    <x v="7"/>
    <x v="2"/>
    <x v="26"/>
  </r>
  <r>
    <x v="2533"/>
    <x v="7"/>
    <x v="2"/>
    <x v="26"/>
  </r>
  <r>
    <x v="2533"/>
    <x v="7"/>
    <x v="1"/>
    <x v="31"/>
  </r>
  <r>
    <x v="2534"/>
    <x v="7"/>
    <x v="2"/>
    <x v="26"/>
  </r>
  <r>
    <x v="2535"/>
    <x v="7"/>
    <x v="1"/>
    <x v="31"/>
  </r>
  <r>
    <x v="2265"/>
    <x v="7"/>
    <x v="1"/>
    <x v="31"/>
  </r>
  <r>
    <x v="2253"/>
    <x v="7"/>
    <x v="2"/>
    <x v="26"/>
  </r>
  <r>
    <x v="2253"/>
    <x v="7"/>
    <x v="1"/>
    <x v="31"/>
  </r>
  <r>
    <x v="2253"/>
    <x v="7"/>
    <x v="2"/>
    <x v="26"/>
  </r>
  <r>
    <x v="2536"/>
    <x v="7"/>
    <x v="1"/>
    <x v="45"/>
  </r>
  <r>
    <x v="2537"/>
    <x v="7"/>
    <x v="4"/>
    <x v="4"/>
  </r>
  <r>
    <x v="2538"/>
    <x v="7"/>
    <x v="2"/>
    <x v="26"/>
  </r>
  <r>
    <x v="2538"/>
    <x v="7"/>
    <x v="1"/>
    <x v="31"/>
  </r>
  <r>
    <x v="2538"/>
    <x v="7"/>
    <x v="2"/>
    <x v="26"/>
  </r>
  <r>
    <x v="2251"/>
    <x v="7"/>
    <x v="4"/>
    <x v="4"/>
  </r>
  <r>
    <x v="2251"/>
    <x v="7"/>
    <x v="4"/>
    <x v="4"/>
  </r>
  <r>
    <x v="154"/>
    <x v="7"/>
    <x v="4"/>
    <x v="4"/>
  </r>
  <r>
    <x v="2539"/>
    <x v="7"/>
    <x v="4"/>
    <x v="11"/>
  </r>
  <r>
    <x v="2260"/>
    <x v="7"/>
    <x v="1"/>
    <x v="23"/>
  </r>
  <r>
    <x v="2540"/>
    <x v="7"/>
    <x v="1"/>
    <x v="23"/>
  </r>
  <r>
    <x v="2260"/>
    <x v="7"/>
    <x v="2"/>
    <x v="26"/>
  </r>
  <r>
    <x v="2541"/>
    <x v="7"/>
    <x v="6"/>
    <x v="0"/>
  </r>
  <r>
    <x v="2542"/>
    <x v="7"/>
    <x v="6"/>
    <x v="0"/>
  </r>
  <r>
    <x v="2532"/>
    <x v="7"/>
    <x v="2"/>
    <x v="26"/>
  </r>
  <r>
    <x v="2543"/>
    <x v="7"/>
    <x v="4"/>
    <x v="11"/>
  </r>
  <r>
    <x v="2247"/>
    <x v="7"/>
    <x v="4"/>
    <x v="4"/>
  </r>
  <r>
    <x v="2260"/>
    <x v="7"/>
    <x v="1"/>
    <x v="23"/>
  </r>
  <r>
    <x v="2544"/>
    <x v="7"/>
    <x v="1"/>
    <x v="23"/>
  </r>
  <r>
    <x v="2545"/>
    <x v="7"/>
    <x v="6"/>
    <x v="0"/>
  </r>
  <r>
    <x v="2546"/>
    <x v="7"/>
    <x v="4"/>
    <x v="4"/>
  </r>
  <r>
    <x v="2547"/>
    <x v="7"/>
    <x v="2"/>
    <x v="26"/>
  </r>
  <r>
    <x v="2260"/>
    <x v="7"/>
    <x v="1"/>
    <x v="23"/>
  </r>
  <r>
    <x v="2260"/>
    <x v="7"/>
    <x v="1"/>
    <x v="23"/>
  </r>
  <r>
    <x v="2548"/>
    <x v="7"/>
    <x v="1"/>
    <x v="23"/>
  </r>
  <r>
    <x v="2549"/>
    <x v="7"/>
    <x v="1"/>
    <x v="23"/>
  </r>
  <r>
    <x v="2260"/>
    <x v="7"/>
    <x v="1"/>
    <x v="23"/>
  </r>
  <r>
    <x v="2260"/>
    <x v="7"/>
    <x v="1"/>
    <x v="23"/>
  </r>
  <r>
    <x v="2260"/>
    <x v="7"/>
    <x v="1"/>
    <x v="23"/>
  </r>
  <r>
    <x v="2260"/>
    <x v="7"/>
    <x v="1"/>
    <x v="23"/>
  </r>
  <r>
    <x v="2532"/>
    <x v="7"/>
    <x v="1"/>
    <x v="43"/>
  </r>
  <r>
    <x v="2550"/>
    <x v="7"/>
    <x v="6"/>
    <x v="0"/>
  </r>
  <r>
    <x v="2260"/>
    <x v="7"/>
    <x v="1"/>
    <x v="43"/>
  </r>
  <r>
    <x v="2551"/>
    <x v="7"/>
    <x v="2"/>
    <x v="26"/>
  </r>
  <r>
    <x v="2532"/>
    <x v="7"/>
    <x v="6"/>
    <x v="0"/>
  </r>
  <r>
    <x v="2552"/>
    <x v="7"/>
    <x v="2"/>
    <x v="54"/>
  </r>
  <r>
    <x v="2553"/>
    <x v="7"/>
    <x v="2"/>
    <x v="26"/>
  </r>
  <r>
    <x v="2554"/>
    <x v="7"/>
    <x v="1"/>
    <x v="31"/>
  </r>
  <r>
    <x v="2554"/>
    <x v="7"/>
    <x v="2"/>
    <x v="26"/>
  </r>
  <r>
    <x v="2555"/>
    <x v="7"/>
    <x v="1"/>
    <x v="45"/>
  </r>
  <r>
    <x v="2556"/>
    <x v="7"/>
    <x v="1"/>
    <x v="23"/>
  </r>
  <r>
    <x v="2557"/>
    <x v="7"/>
    <x v="1"/>
    <x v="45"/>
  </r>
  <r>
    <x v="2558"/>
    <x v="7"/>
    <x v="1"/>
    <x v="43"/>
  </r>
  <r>
    <x v="2559"/>
    <x v="7"/>
    <x v="1"/>
    <x v="23"/>
  </r>
  <r>
    <x v="2559"/>
    <x v="7"/>
    <x v="1"/>
    <x v="23"/>
  </r>
  <r>
    <x v="2559"/>
    <x v="7"/>
    <x v="1"/>
    <x v="23"/>
  </r>
  <r>
    <x v="2559"/>
    <x v="7"/>
    <x v="1"/>
    <x v="23"/>
  </r>
  <r>
    <x v="154"/>
    <x v="7"/>
    <x v="4"/>
    <x v="4"/>
  </r>
  <r>
    <x v="2560"/>
    <x v="7"/>
    <x v="4"/>
    <x v="4"/>
  </r>
  <r>
    <x v="2561"/>
    <x v="7"/>
    <x v="4"/>
    <x v="4"/>
  </r>
  <r>
    <x v="2562"/>
    <x v="7"/>
    <x v="0"/>
    <x v="0"/>
  </r>
  <r>
    <x v="583"/>
    <x v="7"/>
    <x v="2"/>
    <x v="34"/>
  </r>
  <r>
    <x v="521"/>
    <x v="7"/>
    <x v="1"/>
    <x v="55"/>
  </r>
  <r>
    <x v="1028"/>
    <x v="7"/>
    <x v="1"/>
    <x v="43"/>
  </r>
  <r>
    <x v="2563"/>
    <x v="7"/>
    <x v="4"/>
    <x v="4"/>
  </r>
  <r>
    <x v="35"/>
    <x v="7"/>
    <x v="2"/>
    <x v="2"/>
  </r>
  <r>
    <x v="706"/>
    <x v="7"/>
    <x v="1"/>
    <x v="23"/>
  </r>
  <r>
    <x v="2564"/>
    <x v="7"/>
    <x v="4"/>
    <x v="4"/>
  </r>
  <r>
    <x v="2565"/>
    <x v="7"/>
    <x v="4"/>
    <x v="4"/>
  </r>
  <r>
    <x v="168"/>
    <x v="7"/>
    <x v="1"/>
    <x v="23"/>
  </r>
  <r>
    <x v="99"/>
    <x v="7"/>
    <x v="2"/>
    <x v="26"/>
  </r>
  <r>
    <x v="99"/>
    <x v="7"/>
    <x v="1"/>
    <x v="55"/>
  </r>
  <r>
    <x v="99"/>
    <x v="7"/>
    <x v="1"/>
    <x v="30"/>
  </r>
  <r>
    <x v="186"/>
    <x v="7"/>
    <x v="1"/>
    <x v="43"/>
  </r>
  <r>
    <x v="103"/>
    <x v="7"/>
    <x v="2"/>
    <x v="34"/>
  </r>
  <r>
    <x v="147"/>
    <x v="7"/>
    <x v="4"/>
    <x v="4"/>
  </r>
  <r>
    <x v="2566"/>
    <x v="7"/>
    <x v="4"/>
    <x v="11"/>
  </r>
  <r>
    <x v="101"/>
    <x v="7"/>
    <x v="1"/>
    <x v="23"/>
  </r>
  <r>
    <x v="101"/>
    <x v="7"/>
    <x v="1"/>
    <x v="23"/>
  </r>
  <r>
    <x v="102"/>
    <x v="7"/>
    <x v="1"/>
    <x v="23"/>
  </r>
  <r>
    <x v="132"/>
    <x v="7"/>
    <x v="1"/>
    <x v="23"/>
  </r>
  <r>
    <x v="1352"/>
    <x v="7"/>
    <x v="1"/>
    <x v="55"/>
  </r>
  <r>
    <x v="2567"/>
    <x v="7"/>
    <x v="1"/>
    <x v="43"/>
  </r>
  <r>
    <x v="191"/>
    <x v="7"/>
    <x v="1"/>
    <x v="55"/>
  </r>
  <r>
    <x v="46"/>
    <x v="7"/>
    <x v="1"/>
    <x v="43"/>
  </r>
  <r>
    <x v="101"/>
    <x v="7"/>
    <x v="1"/>
    <x v="55"/>
  </r>
  <r>
    <x v="75"/>
    <x v="7"/>
    <x v="1"/>
    <x v="55"/>
  </r>
  <r>
    <x v="101"/>
    <x v="7"/>
    <x v="1"/>
    <x v="55"/>
  </r>
  <r>
    <x v="101"/>
    <x v="7"/>
    <x v="2"/>
    <x v="34"/>
  </r>
  <r>
    <x v="99"/>
    <x v="7"/>
    <x v="1"/>
    <x v="55"/>
  </r>
  <r>
    <x v="75"/>
    <x v="7"/>
    <x v="1"/>
    <x v="55"/>
  </r>
  <r>
    <x v="101"/>
    <x v="7"/>
    <x v="1"/>
    <x v="43"/>
  </r>
  <r>
    <x v="101"/>
    <x v="7"/>
    <x v="1"/>
    <x v="43"/>
  </r>
  <r>
    <x v="166"/>
    <x v="7"/>
    <x v="1"/>
    <x v="43"/>
  </r>
  <r>
    <x v="166"/>
    <x v="7"/>
    <x v="1"/>
    <x v="43"/>
  </r>
  <r>
    <x v="2568"/>
    <x v="7"/>
    <x v="1"/>
    <x v="43"/>
  </r>
  <r>
    <x v="2569"/>
    <x v="7"/>
    <x v="1"/>
    <x v="43"/>
  </r>
  <r>
    <x v="35"/>
    <x v="7"/>
    <x v="1"/>
    <x v="43"/>
  </r>
  <r>
    <x v="987"/>
    <x v="7"/>
    <x v="1"/>
    <x v="43"/>
  </r>
  <r>
    <x v="448"/>
    <x v="7"/>
    <x v="2"/>
    <x v="34"/>
  </r>
  <r>
    <x v="1261"/>
    <x v="7"/>
    <x v="1"/>
    <x v="23"/>
  </r>
  <r>
    <x v="160"/>
    <x v="7"/>
    <x v="1"/>
    <x v="55"/>
  </r>
  <r>
    <x v="2570"/>
    <x v="7"/>
    <x v="4"/>
    <x v="11"/>
  </r>
  <r>
    <x v="447"/>
    <x v="7"/>
    <x v="1"/>
    <x v="23"/>
  </r>
  <r>
    <x v="2571"/>
    <x v="7"/>
    <x v="1"/>
    <x v="23"/>
  </r>
  <r>
    <x v="655"/>
    <x v="7"/>
    <x v="1"/>
    <x v="23"/>
  </r>
  <r>
    <x v="522"/>
    <x v="7"/>
    <x v="1"/>
    <x v="23"/>
  </r>
  <r>
    <x v="11"/>
    <x v="7"/>
    <x v="1"/>
    <x v="23"/>
  </r>
  <r>
    <x v="11"/>
    <x v="7"/>
    <x v="1"/>
    <x v="23"/>
  </r>
  <r>
    <x v="168"/>
    <x v="7"/>
    <x v="1"/>
    <x v="23"/>
  </r>
  <r>
    <x v="447"/>
    <x v="7"/>
    <x v="1"/>
    <x v="23"/>
  </r>
  <r>
    <x v="103"/>
    <x v="7"/>
    <x v="1"/>
    <x v="23"/>
  </r>
  <r>
    <x v="43"/>
    <x v="7"/>
    <x v="1"/>
    <x v="23"/>
  </r>
  <r>
    <x v="386"/>
    <x v="7"/>
    <x v="1"/>
    <x v="23"/>
  </r>
  <r>
    <x v="422"/>
    <x v="7"/>
    <x v="1"/>
    <x v="23"/>
  </r>
  <r>
    <x v="2010"/>
    <x v="7"/>
    <x v="1"/>
    <x v="23"/>
  </r>
  <r>
    <x v="43"/>
    <x v="7"/>
    <x v="1"/>
    <x v="23"/>
  </r>
  <r>
    <x v="102"/>
    <x v="7"/>
    <x v="1"/>
    <x v="23"/>
  </r>
  <r>
    <x v="103"/>
    <x v="7"/>
    <x v="1"/>
    <x v="23"/>
  </r>
  <r>
    <x v="103"/>
    <x v="7"/>
    <x v="1"/>
    <x v="23"/>
  </r>
  <r>
    <x v="1065"/>
    <x v="7"/>
    <x v="1"/>
    <x v="23"/>
  </r>
  <r>
    <x v="11"/>
    <x v="7"/>
    <x v="1"/>
    <x v="23"/>
  </r>
  <r>
    <x v="35"/>
    <x v="7"/>
    <x v="1"/>
    <x v="23"/>
  </r>
  <r>
    <x v="1819"/>
    <x v="7"/>
    <x v="1"/>
    <x v="23"/>
  </r>
  <r>
    <x v="43"/>
    <x v="7"/>
    <x v="1"/>
    <x v="23"/>
  </r>
  <r>
    <x v="168"/>
    <x v="7"/>
    <x v="1"/>
    <x v="23"/>
  </r>
  <r>
    <x v="43"/>
    <x v="7"/>
    <x v="1"/>
    <x v="23"/>
  </r>
  <r>
    <x v="35"/>
    <x v="7"/>
    <x v="1"/>
    <x v="23"/>
  </r>
  <r>
    <x v="1065"/>
    <x v="7"/>
    <x v="1"/>
    <x v="23"/>
  </r>
  <r>
    <x v="24"/>
    <x v="7"/>
    <x v="1"/>
    <x v="23"/>
  </r>
  <r>
    <x v="103"/>
    <x v="7"/>
    <x v="1"/>
    <x v="23"/>
  </r>
  <r>
    <x v="460"/>
    <x v="7"/>
    <x v="1"/>
    <x v="23"/>
  </r>
  <r>
    <x v="103"/>
    <x v="7"/>
    <x v="1"/>
    <x v="23"/>
  </r>
  <r>
    <x v="2572"/>
    <x v="7"/>
    <x v="1"/>
    <x v="23"/>
  </r>
  <r>
    <x v="446"/>
    <x v="7"/>
    <x v="1"/>
    <x v="23"/>
  </r>
  <r>
    <x v="101"/>
    <x v="7"/>
    <x v="1"/>
    <x v="23"/>
  </r>
  <r>
    <x v="43"/>
    <x v="7"/>
    <x v="1"/>
    <x v="23"/>
  </r>
  <r>
    <x v="2573"/>
    <x v="7"/>
    <x v="1"/>
    <x v="24"/>
  </r>
  <r>
    <x v="81"/>
    <x v="7"/>
    <x v="1"/>
    <x v="23"/>
  </r>
  <r>
    <x v="2574"/>
    <x v="7"/>
    <x v="1"/>
    <x v="23"/>
  </r>
  <r>
    <x v="180"/>
    <x v="7"/>
    <x v="1"/>
    <x v="23"/>
  </r>
  <r>
    <x v="577"/>
    <x v="7"/>
    <x v="4"/>
    <x v="4"/>
  </r>
  <r>
    <x v="1332"/>
    <x v="7"/>
    <x v="2"/>
    <x v="34"/>
  </r>
  <r>
    <x v="2575"/>
    <x v="7"/>
    <x v="1"/>
    <x v="43"/>
  </r>
  <r>
    <x v="168"/>
    <x v="7"/>
    <x v="1"/>
    <x v="23"/>
  </r>
  <r>
    <x v="160"/>
    <x v="7"/>
    <x v="2"/>
    <x v="26"/>
  </r>
  <r>
    <x v="1927"/>
    <x v="7"/>
    <x v="1"/>
    <x v="43"/>
  </r>
  <r>
    <x v="1928"/>
    <x v="7"/>
    <x v="1"/>
    <x v="43"/>
  </r>
  <r>
    <x v="276"/>
    <x v="7"/>
    <x v="4"/>
    <x v="11"/>
  </r>
  <r>
    <x v="276"/>
    <x v="7"/>
    <x v="4"/>
    <x v="11"/>
  </r>
  <r>
    <x v="41"/>
    <x v="7"/>
    <x v="4"/>
    <x v="11"/>
  </r>
  <r>
    <x v="41"/>
    <x v="7"/>
    <x v="4"/>
    <x v="11"/>
  </r>
  <r>
    <x v="166"/>
    <x v="7"/>
    <x v="4"/>
    <x v="11"/>
  </r>
  <r>
    <x v="132"/>
    <x v="7"/>
    <x v="4"/>
    <x v="11"/>
  </r>
  <r>
    <x v="41"/>
    <x v="7"/>
    <x v="4"/>
    <x v="11"/>
  </r>
  <r>
    <x v="448"/>
    <x v="7"/>
    <x v="4"/>
    <x v="11"/>
  </r>
  <r>
    <x v="714"/>
    <x v="7"/>
    <x v="4"/>
    <x v="11"/>
  </r>
  <r>
    <x v="2576"/>
    <x v="7"/>
    <x v="4"/>
    <x v="11"/>
  </r>
  <r>
    <x v="166"/>
    <x v="7"/>
    <x v="4"/>
    <x v="11"/>
  </r>
  <r>
    <x v="276"/>
    <x v="7"/>
    <x v="4"/>
    <x v="11"/>
  </r>
  <r>
    <x v="42"/>
    <x v="7"/>
    <x v="4"/>
    <x v="11"/>
  </r>
  <r>
    <x v="76"/>
    <x v="7"/>
    <x v="4"/>
    <x v="11"/>
  </r>
  <r>
    <x v="101"/>
    <x v="7"/>
    <x v="4"/>
    <x v="11"/>
  </r>
  <r>
    <x v="101"/>
    <x v="7"/>
    <x v="4"/>
    <x v="11"/>
  </r>
  <r>
    <x v="448"/>
    <x v="7"/>
    <x v="4"/>
    <x v="11"/>
  </r>
  <r>
    <x v="100"/>
    <x v="7"/>
    <x v="1"/>
    <x v="23"/>
  </r>
  <r>
    <x v="35"/>
    <x v="7"/>
    <x v="1"/>
    <x v="23"/>
  </r>
  <r>
    <x v="24"/>
    <x v="7"/>
    <x v="4"/>
    <x v="4"/>
  </r>
  <r>
    <x v="2577"/>
    <x v="7"/>
    <x v="2"/>
    <x v="54"/>
  </r>
  <r>
    <x v="904"/>
    <x v="7"/>
    <x v="4"/>
    <x v="11"/>
  </r>
  <r>
    <x v="904"/>
    <x v="7"/>
    <x v="4"/>
    <x v="11"/>
  </r>
  <r>
    <x v="576"/>
    <x v="7"/>
    <x v="4"/>
    <x v="11"/>
  </r>
  <r>
    <x v="2081"/>
    <x v="7"/>
    <x v="4"/>
    <x v="11"/>
  </r>
  <r>
    <x v="34"/>
    <x v="7"/>
    <x v="4"/>
    <x v="11"/>
  </r>
  <r>
    <x v="2578"/>
    <x v="7"/>
    <x v="4"/>
    <x v="11"/>
  </r>
  <r>
    <x v="2579"/>
    <x v="7"/>
    <x v="4"/>
    <x v="11"/>
  </r>
  <r>
    <x v="2580"/>
    <x v="7"/>
    <x v="4"/>
    <x v="4"/>
  </r>
  <r>
    <x v="2581"/>
    <x v="7"/>
    <x v="1"/>
    <x v="55"/>
  </r>
  <r>
    <x v="819"/>
    <x v="7"/>
    <x v="1"/>
    <x v="40"/>
  </r>
  <r>
    <x v="252"/>
    <x v="7"/>
    <x v="2"/>
    <x v="63"/>
  </r>
  <r>
    <x v="1278"/>
    <x v="7"/>
    <x v="1"/>
    <x v="40"/>
  </r>
  <r>
    <x v="1278"/>
    <x v="7"/>
    <x v="1"/>
    <x v="66"/>
  </r>
  <r>
    <x v="2582"/>
    <x v="7"/>
    <x v="1"/>
    <x v="64"/>
  </r>
  <r>
    <x v="2583"/>
    <x v="7"/>
    <x v="2"/>
    <x v="54"/>
  </r>
  <r>
    <x v="2584"/>
    <x v="7"/>
    <x v="1"/>
    <x v="43"/>
  </r>
  <r>
    <x v="2585"/>
    <x v="7"/>
    <x v="2"/>
    <x v="54"/>
  </r>
  <r>
    <x v="2586"/>
    <x v="7"/>
    <x v="2"/>
    <x v="54"/>
  </r>
  <r>
    <x v="2587"/>
    <x v="7"/>
    <x v="2"/>
    <x v="54"/>
  </r>
  <r>
    <x v="2588"/>
    <x v="7"/>
    <x v="1"/>
    <x v="43"/>
  </r>
  <r>
    <x v="2589"/>
    <x v="7"/>
    <x v="2"/>
    <x v="26"/>
  </r>
  <r>
    <x v="2590"/>
    <x v="7"/>
    <x v="2"/>
    <x v="34"/>
  </r>
  <r>
    <x v="2591"/>
    <x v="7"/>
    <x v="1"/>
    <x v="31"/>
  </r>
  <r>
    <x v="2592"/>
    <x v="7"/>
    <x v="2"/>
    <x v="26"/>
  </r>
  <r>
    <x v="2592"/>
    <x v="7"/>
    <x v="2"/>
    <x v="26"/>
  </r>
  <r>
    <x v="2593"/>
    <x v="7"/>
    <x v="2"/>
    <x v="34"/>
  </r>
  <r>
    <x v="2594"/>
    <x v="7"/>
    <x v="1"/>
    <x v="3"/>
  </r>
  <r>
    <x v="2595"/>
    <x v="7"/>
    <x v="4"/>
    <x v="4"/>
  </r>
  <r>
    <x v="2596"/>
    <x v="7"/>
    <x v="1"/>
    <x v="23"/>
  </r>
  <r>
    <x v="2229"/>
    <x v="7"/>
    <x v="1"/>
    <x v="23"/>
  </r>
  <r>
    <x v="2597"/>
    <x v="7"/>
    <x v="2"/>
    <x v="34"/>
  </r>
  <r>
    <x v="2363"/>
    <x v="7"/>
    <x v="1"/>
    <x v="23"/>
  </r>
  <r>
    <x v="2598"/>
    <x v="7"/>
    <x v="2"/>
    <x v="26"/>
  </r>
  <r>
    <x v="2599"/>
    <x v="7"/>
    <x v="2"/>
    <x v="2"/>
  </r>
  <r>
    <x v="2600"/>
    <x v="7"/>
    <x v="2"/>
    <x v="2"/>
  </r>
  <r>
    <x v="2601"/>
    <x v="7"/>
    <x v="1"/>
    <x v="55"/>
  </r>
  <r>
    <x v="2602"/>
    <x v="7"/>
    <x v="2"/>
    <x v="63"/>
  </r>
  <r>
    <x v="123"/>
    <x v="7"/>
    <x v="1"/>
    <x v="30"/>
  </r>
  <r>
    <x v="1027"/>
    <x v="7"/>
    <x v="1"/>
    <x v="9"/>
  </r>
  <r>
    <x v="2603"/>
    <x v="7"/>
    <x v="1"/>
    <x v="23"/>
  </r>
  <r>
    <x v="118"/>
    <x v="7"/>
    <x v="1"/>
    <x v="6"/>
  </r>
  <r>
    <x v="2285"/>
    <x v="7"/>
    <x v="1"/>
    <x v="23"/>
  </r>
  <r>
    <x v="611"/>
    <x v="7"/>
    <x v="1"/>
    <x v="23"/>
  </r>
  <r>
    <x v="2604"/>
    <x v="7"/>
    <x v="1"/>
    <x v="23"/>
  </r>
  <r>
    <x v="2605"/>
    <x v="7"/>
    <x v="1"/>
    <x v="55"/>
  </r>
  <r>
    <x v="2289"/>
    <x v="7"/>
    <x v="4"/>
    <x v="4"/>
  </r>
  <r>
    <x v="2606"/>
    <x v="7"/>
    <x v="2"/>
    <x v="34"/>
  </r>
  <r>
    <x v="2291"/>
    <x v="7"/>
    <x v="4"/>
    <x v="4"/>
  </r>
  <r>
    <x v="639"/>
    <x v="7"/>
    <x v="1"/>
    <x v="45"/>
  </r>
  <r>
    <x v="2291"/>
    <x v="7"/>
    <x v="4"/>
    <x v="4"/>
  </r>
  <r>
    <x v="2051"/>
    <x v="7"/>
    <x v="1"/>
    <x v="55"/>
  </r>
  <r>
    <x v="2051"/>
    <x v="7"/>
    <x v="2"/>
    <x v="34"/>
  </r>
  <r>
    <x v="2051"/>
    <x v="7"/>
    <x v="1"/>
    <x v="43"/>
  </r>
  <r>
    <x v="2607"/>
    <x v="7"/>
    <x v="2"/>
    <x v="34"/>
  </r>
  <r>
    <x v="2608"/>
    <x v="7"/>
    <x v="1"/>
    <x v="55"/>
  </r>
  <r>
    <x v="2608"/>
    <x v="7"/>
    <x v="2"/>
    <x v="34"/>
  </r>
  <r>
    <x v="2608"/>
    <x v="7"/>
    <x v="1"/>
    <x v="43"/>
  </r>
  <r>
    <x v="2609"/>
    <x v="7"/>
    <x v="1"/>
    <x v="55"/>
  </r>
  <r>
    <x v="2609"/>
    <x v="7"/>
    <x v="2"/>
    <x v="34"/>
  </r>
  <r>
    <x v="2610"/>
    <x v="7"/>
    <x v="1"/>
    <x v="43"/>
  </r>
  <r>
    <x v="2611"/>
    <x v="7"/>
    <x v="1"/>
    <x v="43"/>
  </r>
  <r>
    <x v="498"/>
    <x v="7"/>
    <x v="1"/>
    <x v="43"/>
  </r>
  <r>
    <x v="2612"/>
    <x v="7"/>
    <x v="1"/>
    <x v="55"/>
  </r>
  <r>
    <x v="2612"/>
    <x v="7"/>
    <x v="2"/>
    <x v="34"/>
  </r>
  <r>
    <x v="2613"/>
    <x v="7"/>
    <x v="1"/>
    <x v="43"/>
  </r>
  <r>
    <x v="2614"/>
    <x v="7"/>
    <x v="1"/>
    <x v="45"/>
  </r>
  <r>
    <x v="53"/>
    <x v="7"/>
    <x v="4"/>
    <x v="4"/>
  </r>
  <r>
    <x v="2615"/>
    <x v="7"/>
    <x v="1"/>
    <x v="55"/>
  </r>
  <r>
    <x v="2615"/>
    <x v="7"/>
    <x v="2"/>
    <x v="34"/>
  </r>
  <r>
    <x v="2615"/>
    <x v="7"/>
    <x v="1"/>
    <x v="43"/>
  </r>
  <r>
    <x v="2296"/>
    <x v="7"/>
    <x v="4"/>
    <x v="4"/>
  </r>
  <r>
    <x v="498"/>
    <x v="7"/>
    <x v="4"/>
    <x v="4"/>
  </r>
  <r>
    <x v="2616"/>
    <x v="7"/>
    <x v="4"/>
    <x v="11"/>
  </r>
  <r>
    <x v="1780"/>
    <x v="7"/>
    <x v="2"/>
    <x v="34"/>
  </r>
  <r>
    <x v="1780"/>
    <x v="7"/>
    <x v="1"/>
    <x v="23"/>
  </r>
  <r>
    <x v="498"/>
    <x v="7"/>
    <x v="1"/>
    <x v="55"/>
  </r>
  <r>
    <x v="498"/>
    <x v="7"/>
    <x v="6"/>
    <x v="0"/>
  </r>
  <r>
    <x v="2617"/>
    <x v="7"/>
    <x v="6"/>
    <x v="0"/>
  </r>
  <r>
    <x v="2618"/>
    <x v="7"/>
    <x v="2"/>
    <x v="34"/>
  </r>
  <r>
    <x v="2619"/>
    <x v="7"/>
    <x v="4"/>
    <x v="11"/>
  </r>
  <r>
    <x v="1373"/>
    <x v="7"/>
    <x v="4"/>
    <x v="4"/>
  </r>
  <r>
    <x v="498"/>
    <x v="7"/>
    <x v="1"/>
    <x v="23"/>
  </r>
  <r>
    <x v="494"/>
    <x v="7"/>
    <x v="1"/>
    <x v="23"/>
  </r>
  <r>
    <x v="2620"/>
    <x v="7"/>
    <x v="1"/>
    <x v="55"/>
  </r>
  <r>
    <x v="2620"/>
    <x v="7"/>
    <x v="2"/>
    <x v="34"/>
  </r>
  <r>
    <x v="2621"/>
    <x v="7"/>
    <x v="1"/>
    <x v="43"/>
  </r>
  <r>
    <x v="742"/>
    <x v="7"/>
    <x v="1"/>
    <x v="55"/>
  </r>
  <r>
    <x v="498"/>
    <x v="7"/>
    <x v="1"/>
    <x v="23"/>
  </r>
  <r>
    <x v="498"/>
    <x v="7"/>
    <x v="1"/>
    <x v="23"/>
  </r>
  <r>
    <x v="1780"/>
    <x v="7"/>
    <x v="1"/>
    <x v="23"/>
  </r>
  <r>
    <x v="2514"/>
    <x v="7"/>
    <x v="1"/>
    <x v="23"/>
  </r>
  <r>
    <x v="2514"/>
    <x v="7"/>
    <x v="1"/>
    <x v="23"/>
  </r>
  <r>
    <x v="498"/>
    <x v="7"/>
    <x v="1"/>
    <x v="23"/>
  </r>
  <r>
    <x v="498"/>
    <x v="7"/>
    <x v="1"/>
    <x v="23"/>
  </r>
  <r>
    <x v="498"/>
    <x v="7"/>
    <x v="1"/>
    <x v="23"/>
  </r>
  <r>
    <x v="498"/>
    <x v="7"/>
    <x v="1"/>
    <x v="43"/>
  </r>
  <r>
    <x v="2622"/>
    <x v="7"/>
    <x v="6"/>
    <x v="0"/>
  </r>
  <r>
    <x v="498"/>
    <x v="7"/>
    <x v="1"/>
    <x v="23"/>
  </r>
  <r>
    <x v="498"/>
    <x v="7"/>
    <x v="2"/>
    <x v="34"/>
  </r>
  <r>
    <x v="498"/>
    <x v="7"/>
    <x v="6"/>
    <x v="0"/>
  </r>
  <r>
    <x v="2623"/>
    <x v="7"/>
    <x v="2"/>
    <x v="54"/>
  </r>
  <r>
    <x v="2624"/>
    <x v="7"/>
    <x v="1"/>
    <x v="55"/>
  </r>
  <r>
    <x v="2624"/>
    <x v="7"/>
    <x v="2"/>
    <x v="34"/>
  </r>
  <r>
    <x v="2625"/>
    <x v="7"/>
    <x v="1"/>
    <x v="43"/>
  </r>
  <r>
    <x v="2626"/>
    <x v="7"/>
    <x v="1"/>
    <x v="45"/>
  </r>
  <r>
    <x v="2626"/>
    <x v="7"/>
    <x v="1"/>
    <x v="23"/>
  </r>
  <r>
    <x v="2623"/>
    <x v="7"/>
    <x v="1"/>
    <x v="45"/>
  </r>
  <r>
    <x v="2626"/>
    <x v="7"/>
    <x v="1"/>
    <x v="55"/>
  </r>
  <r>
    <x v="1780"/>
    <x v="7"/>
    <x v="1"/>
    <x v="23"/>
  </r>
  <r>
    <x v="1780"/>
    <x v="7"/>
    <x v="1"/>
    <x v="23"/>
  </r>
  <r>
    <x v="1780"/>
    <x v="7"/>
    <x v="1"/>
    <x v="23"/>
  </r>
  <r>
    <x v="1780"/>
    <x v="7"/>
    <x v="1"/>
    <x v="23"/>
  </r>
  <r>
    <x v="399"/>
    <x v="7"/>
    <x v="4"/>
    <x v="4"/>
  </r>
  <r>
    <x v="2627"/>
    <x v="7"/>
    <x v="4"/>
    <x v="11"/>
  </r>
  <r>
    <x v="2628"/>
    <x v="7"/>
    <x v="4"/>
    <x v="4"/>
  </r>
  <r>
    <x v="2629"/>
    <x v="7"/>
    <x v="4"/>
    <x v="11"/>
  </r>
  <r>
    <x v="2630"/>
    <x v="7"/>
    <x v="1"/>
    <x v="23"/>
  </r>
  <r>
    <x v="2630"/>
    <x v="7"/>
    <x v="1"/>
    <x v="23"/>
  </r>
  <r>
    <x v="2630"/>
    <x v="7"/>
    <x v="1"/>
    <x v="23"/>
  </r>
  <r>
    <x v="2630"/>
    <x v="7"/>
    <x v="1"/>
    <x v="23"/>
  </r>
  <r>
    <x v="2630"/>
    <x v="7"/>
    <x v="1"/>
    <x v="23"/>
  </r>
  <r>
    <x v="2630"/>
    <x v="7"/>
    <x v="1"/>
    <x v="23"/>
  </r>
  <r>
    <x v="498"/>
    <x v="7"/>
    <x v="1"/>
    <x v="23"/>
  </r>
  <r>
    <x v="2631"/>
    <x v="7"/>
    <x v="1"/>
    <x v="55"/>
  </r>
  <r>
    <x v="2631"/>
    <x v="7"/>
    <x v="2"/>
    <x v="34"/>
  </r>
  <r>
    <x v="2631"/>
    <x v="7"/>
    <x v="1"/>
    <x v="43"/>
  </r>
  <r>
    <x v="2632"/>
    <x v="7"/>
    <x v="1"/>
    <x v="45"/>
  </r>
  <r>
    <x v="2111"/>
    <x v="7"/>
    <x v="1"/>
    <x v="23"/>
  </r>
  <r>
    <x v="2633"/>
    <x v="7"/>
    <x v="1"/>
    <x v="45"/>
  </r>
  <r>
    <x v="2633"/>
    <x v="7"/>
    <x v="1"/>
    <x v="66"/>
  </r>
  <r>
    <x v="2633"/>
    <x v="7"/>
    <x v="1"/>
    <x v="40"/>
  </r>
  <r>
    <x v="2634"/>
    <x v="7"/>
    <x v="1"/>
    <x v="23"/>
  </r>
  <r>
    <x v="2635"/>
    <x v="7"/>
    <x v="2"/>
    <x v="63"/>
  </r>
  <r>
    <x v="2636"/>
    <x v="7"/>
    <x v="2"/>
    <x v="46"/>
  </r>
  <r>
    <x v="2637"/>
    <x v="7"/>
    <x v="2"/>
    <x v="54"/>
  </r>
  <r>
    <x v="1027"/>
    <x v="7"/>
    <x v="2"/>
    <x v="63"/>
  </r>
  <r>
    <x v="2638"/>
    <x v="7"/>
    <x v="2"/>
    <x v="46"/>
  </r>
  <r>
    <x v="1543"/>
    <x v="7"/>
    <x v="1"/>
    <x v="45"/>
  </r>
  <r>
    <x v="2639"/>
    <x v="7"/>
    <x v="2"/>
    <x v="26"/>
  </r>
  <r>
    <x v="2172"/>
    <x v="7"/>
    <x v="2"/>
    <x v="35"/>
  </r>
  <r>
    <x v="124"/>
    <x v="7"/>
    <x v="4"/>
    <x v="4"/>
  </r>
  <r>
    <x v="123"/>
    <x v="7"/>
    <x v="1"/>
    <x v="31"/>
  </r>
  <r>
    <x v="1508"/>
    <x v="7"/>
    <x v="0"/>
    <x v="0"/>
  </r>
  <r>
    <x v="317"/>
    <x v="7"/>
    <x v="4"/>
    <x v="4"/>
  </r>
  <r>
    <x v="2640"/>
    <x v="7"/>
    <x v="4"/>
    <x v="11"/>
  </r>
  <r>
    <x v="2641"/>
    <x v="7"/>
    <x v="2"/>
    <x v="67"/>
  </r>
  <r>
    <x v="2642"/>
    <x v="7"/>
    <x v="2"/>
    <x v="46"/>
  </r>
  <r>
    <x v="2571"/>
    <x v="7"/>
    <x v="6"/>
    <x v="0"/>
  </r>
  <r>
    <x v="2643"/>
    <x v="7"/>
    <x v="5"/>
    <x v="0"/>
  </r>
  <r>
    <x v="2644"/>
    <x v="7"/>
    <x v="5"/>
    <x v="0"/>
  </r>
  <r>
    <x v="2645"/>
    <x v="7"/>
    <x v="1"/>
    <x v="15"/>
  </r>
  <r>
    <x v="498"/>
    <x v="7"/>
    <x v="1"/>
    <x v="23"/>
  </r>
  <r>
    <x v="1913"/>
    <x v="7"/>
    <x v="1"/>
    <x v="23"/>
  </r>
  <r>
    <x v="2646"/>
    <x v="7"/>
    <x v="4"/>
    <x v="4"/>
  </r>
  <r>
    <x v="2647"/>
    <x v="7"/>
    <x v="9"/>
    <x v="23"/>
  </r>
  <r>
    <x v="2181"/>
    <x v="7"/>
    <x v="5"/>
    <x v="0"/>
  </r>
  <r>
    <x v="2648"/>
    <x v="7"/>
    <x v="1"/>
    <x v="23"/>
  </r>
  <r>
    <x v="2649"/>
    <x v="7"/>
    <x v="2"/>
    <x v="2"/>
  </r>
  <r>
    <x v="2650"/>
    <x v="7"/>
    <x v="1"/>
    <x v="24"/>
  </r>
  <r>
    <x v="2651"/>
    <x v="7"/>
    <x v="4"/>
    <x v="4"/>
  </r>
  <r>
    <x v="2652"/>
    <x v="7"/>
    <x v="2"/>
    <x v="34"/>
  </r>
  <r>
    <x v="2653"/>
    <x v="7"/>
    <x v="6"/>
    <x v="0"/>
  </r>
  <r>
    <x v="2654"/>
    <x v="7"/>
    <x v="0"/>
    <x v="0"/>
  </r>
  <r>
    <x v="2655"/>
    <x v="7"/>
    <x v="6"/>
    <x v="0"/>
  </r>
  <r>
    <x v="506"/>
    <x v="7"/>
    <x v="4"/>
    <x v="4"/>
  </r>
  <r>
    <x v="2656"/>
    <x v="7"/>
    <x v="4"/>
    <x v="11"/>
  </r>
  <r>
    <x v="2657"/>
    <x v="7"/>
    <x v="4"/>
    <x v="4"/>
  </r>
  <r>
    <x v="2658"/>
    <x v="7"/>
    <x v="4"/>
    <x v="11"/>
  </r>
  <r>
    <x v="2659"/>
    <x v="7"/>
    <x v="4"/>
    <x v="4"/>
  </r>
  <r>
    <x v="2660"/>
    <x v="7"/>
    <x v="4"/>
    <x v="11"/>
  </r>
  <r>
    <x v="2661"/>
    <x v="7"/>
    <x v="4"/>
    <x v="4"/>
  </r>
  <r>
    <x v="2662"/>
    <x v="7"/>
    <x v="4"/>
    <x v="4"/>
  </r>
  <r>
    <x v="139"/>
    <x v="7"/>
    <x v="4"/>
    <x v="4"/>
  </r>
  <r>
    <x v="2663"/>
    <x v="7"/>
    <x v="4"/>
    <x v="4"/>
  </r>
  <r>
    <x v="2664"/>
    <x v="7"/>
    <x v="4"/>
    <x v="4"/>
  </r>
  <r>
    <x v="1351"/>
    <x v="7"/>
    <x v="4"/>
    <x v="4"/>
  </r>
  <r>
    <x v="2665"/>
    <x v="7"/>
    <x v="4"/>
    <x v="4"/>
  </r>
  <r>
    <x v="2666"/>
    <x v="7"/>
    <x v="4"/>
    <x v="4"/>
  </r>
  <r>
    <x v="2667"/>
    <x v="7"/>
    <x v="4"/>
    <x v="11"/>
  </r>
  <r>
    <x v="254"/>
    <x v="8"/>
    <x v="2"/>
    <x v="63"/>
  </r>
  <r>
    <x v="460"/>
    <x v="8"/>
    <x v="4"/>
    <x v="11"/>
  </r>
  <r>
    <x v="36"/>
    <x v="8"/>
    <x v="4"/>
    <x v="11"/>
  </r>
  <r>
    <x v="447"/>
    <x v="8"/>
    <x v="4"/>
    <x v="11"/>
  </r>
  <r>
    <x v="2668"/>
    <x v="8"/>
    <x v="4"/>
    <x v="11"/>
  </r>
  <r>
    <x v="35"/>
    <x v="8"/>
    <x v="4"/>
    <x v="11"/>
  </r>
  <r>
    <x v="1332"/>
    <x v="8"/>
    <x v="4"/>
    <x v="11"/>
  </r>
  <r>
    <x v="2669"/>
    <x v="8"/>
    <x v="4"/>
    <x v="11"/>
  </r>
  <r>
    <x v="35"/>
    <x v="8"/>
    <x v="4"/>
    <x v="11"/>
  </r>
  <r>
    <x v="2064"/>
    <x v="8"/>
    <x v="4"/>
    <x v="11"/>
  </r>
  <r>
    <x v="2278"/>
    <x v="8"/>
    <x v="4"/>
    <x v="11"/>
  </r>
  <r>
    <x v="460"/>
    <x v="8"/>
    <x v="4"/>
    <x v="11"/>
  </r>
  <r>
    <x v="439"/>
    <x v="8"/>
    <x v="4"/>
    <x v="11"/>
  </r>
  <r>
    <x v="18"/>
    <x v="8"/>
    <x v="4"/>
    <x v="11"/>
  </r>
  <r>
    <x v="101"/>
    <x v="8"/>
    <x v="4"/>
    <x v="11"/>
  </r>
  <r>
    <x v="460"/>
    <x v="8"/>
    <x v="4"/>
    <x v="11"/>
  </r>
  <r>
    <x v="276"/>
    <x v="8"/>
    <x v="4"/>
    <x v="11"/>
  </r>
  <r>
    <x v="276"/>
    <x v="8"/>
    <x v="4"/>
    <x v="11"/>
  </r>
  <r>
    <x v="41"/>
    <x v="8"/>
    <x v="4"/>
    <x v="11"/>
  </r>
  <r>
    <x v="41"/>
    <x v="8"/>
    <x v="4"/>
    <x v="11"/>
  </r>
  <r>
    <x v="166"/>
    <x v="8"/>
    <x v="4"/>
    <x v="11"/>
  </r>
  <r>
    <x v="132"/>
    <x v="8"/>
    <x v="4"/>
    <x v="11"/>
  </r>
  <r>
    <x v="41"/>
    <x v="8"/>
    <x v="4"/>
    <x v="11"/>
  </r>
  <r>
    <x v="448"/>
    <x v="8"/>
    <x v="4"/>
    <x v="11"/>
  </r>
  <r>
    <x v="714"/>
    <x v="8"/>
    <x v="4"/>
    <x v="11"/>
  </r>
  <r>
    <x v="460"/>
    <x v="8"/>
    <x v="4"/>
    <x v="11"/>
  </r>
  <r>
    <x v="2670"/>
    <x v="8"/>
    <x v="4"/>
    <x v="11"/>
  </r>
  <r>
    <x v="2671"/>
    <x v="8"/>
    <x v="4"/>
    <x v="11"/>
  </r>
  <r>
    <x v="2447"/>
    <x v="8"/>
    <x v="4"/>
    <x v="11"/>
  </r>
  <r>
    <x v="460"/>
    <x v="8"/>
    <x v="4"/>
    <x v="11"/>
  </r>
  <r>
    <x v="160"/>
    <x v="8"/>
    <x v="1"/>
    <x v="55"/>
  </r>
  <r>
    <x v="101"/>
    <x v="8"/>
    <x v="2"/>
    <x v="26"/>
  </r>
  <r>
    <x v="2672"/>
    <x v="8"/>
    <x v="2"/>
    <x v="26"/>
  </r>
  <r>
    <x v="115"/>
    <x v="8"/>
    <x v="2"/>
    <x v="63"/>
  </r>
  <r>
    <x v="2673"/>
    <x v="8"/>
    <x v="2"/>
    <x v="63"/>
  </r>
  <r>
    <x v="101"/>
    <x v="8"/>
    <x v="1"/>
    <x v="55"/>
  </r>
  <r>
    <x v="2674"/>
    <x v="8"/>
    <x v="2"/>
    <x v="63"/>
  </r>
  <r>
    <x v="1079"/>
    <x v="8"/>
    <x v="1"/>
    <x v="55"/>
  </r>
  <r>
    <x v="2675"/>
    <x v="8"/>
    <x v="4"/>
    <x v="4"/>
  </r>
  <r>
    <x v="2676"/>
    <x v="8"/>
    <x v="2"/>
    <x v="63"/>
  </r>
  <r>
    <x v="115"/>
    <x v="8"/>
    <x v="2"/>
    <x v="63"/>
  </r>
  <r>
    <x v="160"/>
    <x v="8"/>
    <x v="2"/>
    <x v="63"/>
  </r>
  <r>
    <x v="2677"/>
    <x v="8"/>
    <x v="4"/>
    <x v="4"/>
  </r>
  <r>
    <x v="1754"/>
    <x v="8"/>
    <x v="4"/>
    <x v="11"/>
  </r>
  <r>
    <x v="43"/>
    <x v="8"/>
    <x v="1"/>
    <x v="23"/>
  </r>
  <r>
    <x v="161"/>
    <x v="8"/>
    <x v="1"/>
    <x v="22"/>
  </r>
  <r>
    <x v="161"/>
    <x v="8"/>
    <x v="1"/>
    <x v="22"/>
  </r>
  <r>
    <x v="11"/>
    <x v="8"/>
    <x v="1"/>
    <x v="22"/>
  </r>
  <r>
    <x v="35"/>
    <x v="8"/>
    <x v="1"/>
    <x v="22"/>
  </r>
  <r>
    <x v="115"/>
    <x v="8"/>
    <x v="1"/>
    <x v="22"/>
  </r>
  <r>
    <x v="2678"/>
    <x v="8"/>
    <x v="4"/>
    <x v="11"/>
  </r>
  <r>
    <x v="164"/>
    <x v="8"/>
    <x v="4"/>
    <x v="11"/>
  </r>
  <r>
    <x v="447"/>
    <x v="8"/>
    <x v="1"/>
    <x v="23"/>
  </r>
  <r>
    <x v="103"/>
    <x v="8"/>
    <x v="1"/>
    <x v="23"/>
  </r>
  <r>
    <x v="11"/>
    <x v="8"/>
    <x v="1"/>
    <x v="23"/>
  </r>
  <r>
    <x v="460"/>
    <x v="8"/>
    <x v="4"/>
    <x v="11"/>
  </r>
  <r>
    <x v="2679"/>
    <x v="8"/>
    <x v="2"/>
    <x v="63"/>
  </r>
  <r>
    <x v="2680"/>
    <x v="8"/>
    <x v="4"/>
    <x v="4"/>
  </r>
  <r>
    <x v="11"/>
    <x v="8"/>
    <x v="2"/>
    <x v="63"/>
  </r>
  <r>
    <x v="11"/>
    <x v="8"/>
    <x v="2"/>
    <x v="63"/>
  </r>
  <r>
    <x v="11"/>
    <x v="8"/>
    <x v="2"/>
    <x v="63"/>
  </r>
  <r>
    <x v="11"/>
    <x v="8"/>
    <x v="2"/>
    <x v="63"/>
  </r>
  <r>
    <x v="11"/>
    <x v="8"/>
    <x v="2"/>
    <x v="63"/>
  </r>
  <r>
    <x v="11"/>
    <x v="8"/>
    <x v="2"/>
    <x v="63"/>
  </r>
  <r>
    <x v="2681"/>
    <x v="8"/>
    <x v="4"/>
    <x v="4"/>
  </r>
  <r>
    <x v="1069"/>
    <x v="8"/>
    <x v="4"/>
    <x v="4"/>
  </r>
  <r>
    <x v="1138"/>
    <x v="8"/>
    <x v="1"/>
    <x v="55"/>
  </r>
  <r>
    <x v="133"/>
    <x v="8"/>
    <x v="2"/>
    <x v="26"/>
  </r>
  <r>
    <x v="43"/>
    <x v="8"/>
    <x v="1"/>
    <x v="23"/>
  </r>
  <r>
    <x v="160"/>
    <x v="8"/>
    <x v="1"/>
    <x v="64"/>
  </r>
  <r>
    <x v="2682"/>
    <x v="8"/>
    <x v="1"/>
    <x v="43"/>
  </r>
  <r>
    <x v="76"/>
    <x v="8"/>
    <x v="2"/>
    <x v="34"/>
  </r>
  <r>
    <x v="706"/>
    <x v="8"/>
    <x v="2"/>
    <x v="63"/>
  </r>
  <r>
    <x v="2683"/>
    <x v="8"/>
    <x v="1"/>
    <x v="43"/>
  </r>
  <r>
    <x v="2684"/>
    <x v="8"/>
    <x v="1"/>
    <x v="43"/>
  </r>
  <r>
    <x v="2685"/>
    <x v="8"/>
    <x v="1"/>
    <x v="55"/>
  </r>
  <r>
    <x v="2686"/>
    <x v="8"/>
    <x v="2"/>
    <x v="34"/>
  </r>
  <r>
    <x v="2687"/>
    <x v="8"/>
    <x v="1"/>
    <x v="55"/>
  </r>
  <r>
    <x v="2120"/>
    <x v="8"/>
    <x v="3"/>
    <x v="0"/>
  </r>
  <r>
    <x v="2688"/>
    <x v="8"/>
    <x v="0"/>
    <x v="0"/>
  </r>
  <r>
    <x v="2689"/>
    <x v="8"/>
    <x v="5"/>
    <x v="0"/>
  </r>
  <r>
    <x v="714"/>
    <x v="8"/>
    <x v="4"/>
    <x v="11"/>
  </r>
  <r>
    <x v="355"/>
    <x v="8"/>
    <x v="4"/>
    <x v="4"/>
  </r>
  <r>
    <x v="2690"/>
    <x v="8"/>
    <x v="3"/>
    <x v="0"/>
  </r>
  <r>
    <x v="76"/>
    <x v="8"/>
    <x v="2"/>
    <x v="26"/>
  </r>
  <r>
    <x v="2691"/>
    <x v="8"/>
    <x v="2"/>
    <x v="63"/>
  </r>
  <r>
    <x v="2692"/>
    <x v="8"/>
    <x v="2"/>
    <x v="63"/>
  </r>
  <r>
    <x v="180"/>
    <x v="8"/>
    <x v="2"/>
    <x v="63"/>
  </r>
  <r>
    <x v="2693"/>
    <x v="8"/>
    <x v="2"/>
    <x v="63"/>
  </r>
  <r>
    <x v="2694"/>
    <x v="8"/>
    <x v="2"/>
    <x v="63"/>
  </r>
  <r>
    <x v="76"/>
    <x v="8"/>
    <x v="2"/>
    <x v="63"/>
  </r>
  <r>
    <x v="2695"/>
    <x v="8"/>
    <x v="2"/>
    <x v="63"/>
  </r>
  <r>
    <x v="1029"/>
    <x v="8"/>
    <x v="2"/>
    <x v="63"/>
  </r>
  <r>
    <x v="465"/>
    <x v="8"/>
    <x v="2"/>
    <x v="63"/>
  </r>
  <r>
    <x v="109"/>
    <x v="8"/>
    <x v="2"/>
    <x v="63"/>
  </r>
  <r>
    <x v="76"/>
    <x v="8"/>
    <x v="2"/>
    <x v="63"/>
  </r>
  <r>
    <x v="76"/>
    <x v="8"/>
    <x v="2"/>
    <x v="63"/>
  </r>
  <r>
    <x v="706"/>
    <x v="8"/>
    <x v="2"/>
    <x v="63"/>
  </r>
  <r>
    <x v="164"/>
    <x v="8"/>
    <x v="4"/>
    <x v="11"/>
  </r>
  <r>
    <x v="355"/>
    <x v="8"/>
    <x v="4"/>
    <x v="11"/>
  </r>
  <r>
    <x v="35"/>
    <x v="8"/>
    <x v="4"/>
    <x v="11"/>
  </r>
  <r>
    <x v="447"/>
    <x v="8"/>
    <x v="4"/>
    <x v="11"/>
  </r>
  <r>
    <x v="164"/>
    <x v="8"/>
    <x v="4"/>
    <x v="11"/>
  </r>
  <r>
    <x v="392"/>
    <x v="8"/>
    <x v="2"/>
    <x v="46"/>
  </r>
  <r>
    <x v="2696"/>
    <x v="8"/>
    <x v="4"/>
    <x v="4"/>
  </r>
  <r>
    <x v="35"/>
    <x v="8"/>
    <x v="4"/>
    <x v="4"/>
  </r>
  <r>
    <x v="101"/>
    <x v="8"/>
    <x v="1"/>
    <x v="43"/>
  </r>
  <r>
    <x v="101"/>
    <x v="8"/>
    <x v="1"/>
    <x v="43"/>
  </r>
  <r>
    <x v="422"/>
    <x v="8"/>
    <x v="1"/>
    <x v="23"/>
  </r>
  <r>
    <x v="2697"/>
    <x v="8"/>
    <x v="1"/>
    <x v="55"/>
  </r>
  <r>
    <x v="506"/>
    <x v="8"/>
    <x v="1"/>
    <x v="43"/>
  </r>
  <r>
    <x v="2698"/>
    <x v="8"/>
    <x v="2"/>
    <x v="34"/>
  </r>
  <r>
    <x v="36"/>
    <x v="8"/>
    <x v="1"/>
    <x v="43"/>
  </r>
  <r>
    <x v="101"/>
    <x v="8"/>
    <x v="2"/>
    <x v="34"/>
  </r>
  <r>
    <x v="2699"/>
    <x v="8"/>
    <x v="2"/>
    <x v="34"/>
  </r>
  <r>
    <x v="2700"/>
    <x v="8"/>
    <x v="2"/>
    <x v="46"/>
  </r>
  <r>
    <x v="2407"/>
    <x v="8"/>
    <x v="1"/>
    <x v="66"/>
  </r>
  <r>
    <x v="2701"/>
    <x v="8"/>
    <x v="2"/>
    <x v="46"/>
  </r>
  <r>
    <x v="2702"/>
    <x v="8"/>
    <x v="1"/>
    <x v="45"/>
  </r>
  <r>
    <x v="2703"/>
    <x v="8"/>
    <x v="1"/>
    <x v="24"/>
  </r>
  <r>
    <x v="2704"/>
    <x v="8"/>
    <x v="2"/>
    <x v="46"/>
  </r>
  <r>
    <x v="2705"/>
    <x v="8"/>
    <x v="4"/>
    <x v="4"/>
  </r>
  <r>
    <x v="1684"/>
    <x v="8"/>
    <x v="1"/>
    <x v="24"/>
  </r>
  <r>
    <x v="2706"/>
    <x v="8"/>
    <x v="4"/>
    <x v="4"/>
  </r>
  <r>
    <x v="2707"/>
    <x v="8"/>
    <x v="2"/>
    <x v="46"/>
  </r>
  <r>
    <x v="2708"/>
    <x v="8"/>
    <x v="4"/>
    <x v="4"/>
  </r>
  <r>
    <x v="2709"/>
    <x v="8"/>
    <x v="1"/>
    <x v="23"/>
  </r>
  <r>
    <x v="2710"/>
    <x v="8"/>
    <x v="1"/>
    <x v="24"/>
  </r>
  <r>
    <x v="172"/>
    <x v="8"/>
    <x v="2"/>
    <x v="63"/>
  </r>
  <r>
    <x v="2236"/>
    <x v="8"/>
    <x v="4"/>
    <x v="4"/>
  </r>
  <r>
    <x v="2711"/>
    <x v="8"/>
    <x v="1"/>
    <x v="23"/>
  </r>
  <r>
    <x v="2712"/>
    <x v="8"/>
    <x v="1"/>
    <x v="24"/>
  </r>
  <r>
    <x v="2713"/>
    <x v="8"/>
    <x v="2"/>
    <x v="46"/>
  </r>
  <r>
    <x v="2714"/>
    <x v="8"/>
    <x v="2"/>
    <x v="34"/>
  </r>
  <r>
    <x v="2715"/>
    <x v="8"/>
    <x v="1"/>
    <x v="23"/>
  </r>
  <r>
    <x v="2716"/>
    <x v="8"/>
    <x v="2"/>
    <x v="26"/>
  </r>
  <r>
    <x v="2717"/>
    <x v="8"/>
    <x v="1"/>
    <x v="43"/>
  </r>
  <r>
    <x v="2718"/>
    <x v="8"/>
    <x v="2"/>
    <x v="63"/>
  </r>
  <r>
    <x v="2719"/>
    <x v="8"/>
    <x v="1"/>
    <x v="55"/>
  </r>
  <r>
    <x v="2720"/>
    <x v="8"/>
    <x v="1"/>
    <x v="64"/>
  </r>
  <r>
    <x v="2721"/>
    <x v="8"/>
    <x v="2"/>
    <x v="26"/>
  </r>
  <r>
    <x v="2721"/>
    <x v="8"/>
    <x v="1"/>
    <x v="64"/>
  </r>
  <r>
    <x v="2722"/>
    <x v="8"/>
    <x v="1"/>
    <x v="23"/>
  </r>
  <r>
    <x v="2723"/>
    <x v="8"/>
    <x v="2"/>
    <x v="46"/>
  </r>
  <r>
    <x v="2724"/>
    <x v="8"/>
    <x v="1"/>
    <x v="23"/>
  </r>
  <r>
    <x v="514"/>
    <x v="8"/>
    <x v="4"/>
    <x v="11"/>
  </r>
  <r>
    <x v="2725"/>
    <x v="8"/>
    <x v="9"/>
    <x v="23"/>
  </r>
  <r>
    <x v="2726"/>
    <x v="8"/>
    <x v="1"/>
    <x v="9"/>
  </r>
  <r>
    <x v="758"/>
    <x v="8"/>
    <x v="1"/>
    <x v="28"/>
  </r>
  <r>
    <x v="2727"/>
    <x v="8"/>
    <x v="5"/>
    <x v="0"/>
  </r>
  <r>
    <x v="516"/>
    <x v="8"/>
    <x v="4"/>
    <x v="4"/>
  </r>
  <r>
    <x v="2728"/>
    <x v="8"/>
    <x v="4"/>
    <x v="4"/>
  </r>
  <r>
    <x v="516"/>
    <x v="8"/>
    <x v="4"/>
    <x v="4"/>
  </r>
  <r>
    <x v="99"/>
    <x v="8"/>
    <x v="2"/>
    <x v="34"/>
  </r>
  <r>
    <x v="1335"/>
    <x v="8"/>
    <x v="1"/>
    <x v="23"/>
  </r>
  <r>
    <x v="35"/>
    <x v="8"/>
    <x v="1"/>
    <x v="23"/>
  </r>
  <r>
    <x v="2729"/>
    <x v="8"/>
    <x v="2"/>
    <x v="63"/>
  </r>
  <r>
    <x v="475"/>
    <x v="8"/>
    <x v="2"/>
    <x v="63"/>
  </r>
  <r>
    <x v="2730"/>
    <x v="8"/>
    <x v="2"/>
    <x v="63"/>
  </r>
  <r>
    <x v="399"/>
    <x v="8"/>
    <x v="2"/>
    <x v="46"/>
  </r>
  <r>
    <x v="101"/>
    <x v="8"/>
    <x v="1"/>
    <x v="43"/>
  </r>
  <r>
    <x v="101"/>
    <x v="8"/>
    <x v="1"/>
    <x v="43"/>
  </r>
  <r>
    <x v="166"/>
    <x v="8"/>
    <x v="1"/>
    <x v="23"/>
  </r>
  <r>
    <x v="43"/>
    <x v="8"/>
    <x v="1"/>
    <x v="23"/>
  </r>
  <r>
    <x v="99"/>
    <x v="8"/>
    <x v="1"/>
    <x v="43"/>
  </r>
  <r>
    <x v="2731"/>
    <x v="8"/>
    <x v="1"/>
    <x v="55"/>
  </r>
  <r>
    <x v="2732"/>
    <x v="8"/>
    <x v="1"/>
    <x v="55"/>
  </r>
  <r>
    <x v="2733"/>
    <x v="8"/>
    <x v="1"/>
    <x v="55"/>
  </r>
  <r>
    <x v="345"/>
    <x v="8"/>
    <x v="1"/>
    <x v="55"/>
  </r>
  <r>
    <x v="180"/>
    <x v="8"/>
    <x v="1"/>
    <x v="55"/>
  </r>
  <r>
    <x v="2734"/>
    <x v="8"/>
    <x v="2"/>
    <x v="63"/>
  </r>
  <r>
    <x v="2735"/>
    <x v="8"/>
    <x v="1"/>
    <x v="43"/>
  </r>
  <r>
    <x v="2736"/>
    <x v="8"/>
    <x v="1"/>
    <x v="31"/>
  </r>
  <r>
    <x v="2737"/>
    <x v="8"/>
    <x v="4"/>
    <x v="4"/>
  </r>
  <r>
    <x v="2738"/>
    <x v="8"/>
    <x v="9"/>
    <x v="23"/>
  </r>
  <r>
    <x v="2739"/>
    <x v="8"/>
    <x v="15"/>
    <x v="68"/>
  </r>
  <r>
    <x v="101"/>
    <x v="8"/>
    <x v="1"/>
    <x v="23"/>
  </r>
  <r>
    <x v="43"/>
    <x v="8"/>
    <x v="1"/>
    <x v="23"/>
  </r>
  <r>
    <x v="2740"/>
    <x v="8"/>
    <x v="1"/>
    <x v="23"/>
  </r>
  <r>
    <x v="76"/>
    <x v="8"/>
    <x v="1"/>
    <x v="23"/>
  </r>
  <r>
    <x v="76"/>
    <x v="8"/>
    <x v="1"/>
    <x v="43"/>
  </r>
  <r>
    <x v="76"/>
    <x v="8"/>
    <x v="1"/>
    <x v="43"/>
  </r>
  <r>
    <x v="2741"/>
    <x v="8"/>
    <x v="2"/>
    <x v="63"/>
  </r>
  <r>
    <x v="658"/>
    <x v="8"/>
    <x v="2"/>
    <x v="63"/>
  </r>
  <r>
    <x v="2742"/>
    <x v="8"/>
    <x v="2"/>
    <x v="63"/>
  </r>
  <r>
    <x v="147"/>
    <x v="8"/>
    <x v="2"/>
    <x v="63"/>
  </r>
  <r>
    <x v="552"/>
    <x v="8"/>
    <x v="1"/>
    <x v="55"/>
  </r>
  <r>
    <x v="147"/>
    <x v="8"/>
    <x v="2"/>
    <x v="34"/>
  </r>
  <r>
    <x v="369"/>
    <x v="8"/>
    <x v="1"/>
    <x v="43"/>
  </r>
  <r>
    <x v="168"/>
    <x v="8"/>
    <x v="1"/>
    <x v="23"/>
  </r>
  <r>
    <x v="99"/>
    <x v="8"/>
    <x v="4"/>
    <x v="4"/>
  </r>
  <r>
    <x v="2743"/>
    <x v="8"/>
    <x v="4"/>
    <x v="4"/>
  </r>
  <r>
    <x v="2744"/>
    <x v="8"/>
    <x v="4"/>
    <x v="11"/>
  </r>
  <r>
    <x v="2745"/>
    <x v="8"/>
    <x v="2"/>
    <x v="54"/>
  </r>
  <r>
    <x v="2746"/>
    <x v="8"/>
    <x v="1"/>
    <x v="45"/>
  </r>
  <r>
    <x v="2747"/>
    <x v="8"/>
    <x v="1"/>
    <x v="23"/>
  </r>
  <r>
    <x v="2748"/>
    <x v="8"/>
    <x v="2"/>
    <x v="63"/>
  </r>
  <r>
    <x v="2749"/>
    <x v="8"/>
    <x v="4"/>
    <x v="4"/>
  </r>
  <r>
    <x v="2749"/>
    <x v="8"/>
    <x v="4"/>
    <x v="4"/>
  </r>
  <r>
    <x v="1879"/>
    <x v="8"/>
    <x v="1"/>
    <x v="43"/>
  </r>
  <r>
    <x v="2486"/>
    <x v="8"/>
    <x v="2"/>
    <x v="34"/>
  </r>
  <r>
    <x v="2750"/>
    <x v="8"/>
    <x v="4"/>
    <x v="11"/>
  </r>
  <r>
    <x v="2751"/>
    <x v="8"/>
    <x v="1"/>
    <x v="23"/>
  </r>
  <r>
    <x v="430"/>
    <x v="8"/>
    <x v="1"/>
    <x v="23"/>
  </r>
  <r>
    <x v="1679"/>
    <x v="8"/>
    <x v="4"/>
    <x v="4"/>
  </r>
  <r>
    <x v="345"/>
    <x v="8"/>
    <x v="4"/>
    <x v="4"/>
  </r>
  <r>
    <x v="2752"/>
    <x v="8"/>
    <x v="1"/>
    <x v="43"/>
  </r>
  <r>
    <x v="162"/>
    <x v="8"/>
    <x v="1"/>
    <x v="55"/>
  </r>
  <r>
    <x v="470"/>
    <x v="8"/>
    <x v="1"/>
    <x v="23"/>
  </r>
  <r>
    <x v="763"/>
    <x v="8"/>
    <x v="1"/>
    <x v="23"/>
  </r>
  <r>
    <x v="76"/>
    <x v="8"/>
    <x v="1"/>
    <x v="43"/>
  </r>
  <r>
    <x v="76"/>
    <x v="8"/>
    <x v="1"/>
    <x v="43"/>
  </r>
  <r>
    <x v="344"/>
    <x v="8"/>
    <x v="2"/>
    <x v="63"/>
  </r>
  <r>
    <x v="35"/>
    <x v="8"/>
    <x v="2"/>
    <x v="63"/>
  </r>
  <r>
    <x v="2753"/>
    <x v="8"/>
    <x v="2"/>
    <x v="63"/>
  </r>
  <r>
    <x v="102"/>
    <x v="8"/>
    <x v="2"/>
    <x v="63"/>
  </r>
  <r>
    <x v="35"/>
    <x v="8"/>
    <x v="2"/>
    <x v="63"/>
  </r>
  <r>
    <x v="35"/>
    <x v="8"/>
    <x v="2"/>
    <x v="63"/>
  </r>
  <r>
    <x v="2754"/>
    <x v="8"/>
    <x v="1"/>
    <x v="55"/>
  </r>
  <r>
    <x v="2755"/>
    <x v="8"/>
    <x v="2"/>
    <x v="34"/>
  </r>
  <r>
    <x v="806"/>
    <x v="8"/>
    <x v="4"/>
    <x v="4"/>
  </r>
  <r>
    <x v="706"/>
    <x v="8"/>
    <x v="2"/>
    <x v="61"/>
  </r>
  <r>
    <x v="43"/>
    <x v="8"/>
    <x v="1"/>
    <x v="23"/>
  </r>
  <r>
    <x v="1028"/>
    <x v="8"/>
    <x v="1"/>
    <x v="43"/>
  </r>
  <r>
    <x v="2756"/>
    <x v="8"/>
    <x v="2"/>
    <x v="34"/>
  </r>
  <r>
    <x v="2757"/>
    <x v="8"/>
    <x v="2"/>
    <x v="34"/>
  </r>
  <r>
    <x v="2580"/>
    <x v="8"/>
    <x v="4"/>
    <x v="4"/>
  </r>
  <r>
    <x v="2758"/>
    <x v="8"/>
    <x v="1"/>
    <x v="23"/>
  </r>
  <r>
    <x v="2759"/>
    <x v="8"/>
    <x v="9"/>
    <x v="40"/>
  </r>
  <r>
    <x v="2760"/>
    <x v="8"/>
    <x v="1"/>
    <x v="55"/>
  </r>
  <r>
    <x v="2761"/>
    <x v="8"/>
    <x v="1"/>
    <x v="55"/>
  </r>
  <r>
    <x v="2762"/>
    <x v="8"/>
    <x v="1"/>
    <x v="55"/>
  </r>
  <r>
    <x v="99"/>
    <x v="8"/>
    <x v="4"/>
    <x v="4"/>
  </r>
  <r>
    <x v="40"/>
    <x v="8"/>
    <x v="1"/>
    <x v="55"/>
  </r>
  <r>
    <x v="2763"/>
    <x v="8"/>
    <x v="1"/>
    <x v="55"/>
  </r>
  <r>
    <x v="117"/>
    <x v="8"/>
    <x v="1"/>
    <x v="55"/>
  </r>
  <r>
    <x v="2764"/>
    <x v="8"/>
    <x v="1"/>
    <x v="45"/>
  </r>
  <r>
    <x v="2765"/>
    <x v="8"/>
    <x v="2"/>
    <x v="62"/>
  </r>
  <r>
    <x v="2766"/>
    <x v="8"/>
    <x v="1"/>
    <x v="45"/>
  </r>
  <r>
    <x v="2767"/>
    <x v="8"/>
    <x v="1"/>
    <x v="45"/>
  </r>
  <r>
    <x v="12"/>
    <x v="8"/>
    <x v="1"/>
    <x v="23"/>
  </r>
  <r>
    <x v="166"/>
    <x v="8"/>
    <x v="1"/>
    <x v="23"/>
  </r>
  <r>
    <x v="448"/>
    <x v="8"/>
    <x v="1"/>
    <x v="23"/>
  </r>
  <r>
    <x v="103"/>
    <x v="8"/>
    <x v="1"/>
    <x v="23"/>
  </r>
  <r>
    <x v="103"/>
    <x v="8"/>
    <x v="1"/>
    <x v="23"/>
  </r>
  <r>
    <x v="2691"/>
    <x v="8"/>
    <x v="2"/>
    <x v="63"/>
  </r>
  <r>
    <x v="101"/>
    <x v="8"/>
    <x v="1"/>
    <x v="23"/>
  </r>
  <r>
    <x v="11"/>
    <x v="8"/>
    <x v="1"/>
    <x v="23"/>
  </r>
  <r>
    <x v="1065"/>
    <x v="8"/>
    <x v="1"/>
    <x v="23"/>
  </r>
  <r>
    <x v="40"/>
    <x v="8"/>
    <x v="2"/>
    <x v="63"/>
  </r>
  <r>
    <x v="1132"/>
    <x v="8"/>
    <x v="2"/>
    <x v="63"/>
  </r>
  <r>
    <x v="2768"/>
    <x v="8"/>
    <x v="4"/>
    <x v="4"/>
  </r>
  <r>
    <x v="447"/>
    <x v="8"/>
    <x v="1"/>
    <x v="23"/>
  </r>
  <r>
    <x v="24"/>
    <x v="8"/>
    <x v="1"/>
    <x v="23"/>
  </r>
  <r>
    <x v="161"/>
    <x v="8"/>
    <x v="1"/>
    <x v="23"/>
  </r>
  <r>
    <x v="2769"/>
    <x v="8"/>
    <x v="2"/>
    <x v="63"/>
  </r>
  <r>
    <x v="1138"/>
    <x v="8"/>
    <x v="2"/>
    <x v="63"/>
  </r>
  <r>
    <x v="2770"/>
    <x v="8"/>
    <x v="2"/>
    <x v="63"/>
  </r>
  <r>
    <x v="231"/>
    <x v="8"/>
    <x v="2"/>
    <x v="63"/>
  </r>
  <r>
    <x v="2241"/>
    <x v="8"/>
    <x v="2"/>
    <x v="63"/>
  </r>
  <r>
    <x v="35"/>
    <x v="8"/>
    <x v="2"/>
    <x v="63"/>
  </r>
  <r>
    <x v="1076"/>
    <x v="8"/>
    <x v="2"/>
    <x v="63"/>
  </r>
  <r>
    <x v="2771"/>
    <x v="8"/>
    <x v="2"/>
    <x v="63"/>
  </r>
  <r>
    <x v="337"/>
    <x v="8"/>
    <x v="4"/>
    <x v="4"/>
  </r>
  <r>
    <x v="100"/>
    <x v="8"/>
    <x v="2"/>
    <x v="62"/>
  </r>
  <r>
    <x v="36"/>
    <x v="8"/>
    <x v="4"/>
    <x v="4"/>
  </r>
  <r>
    <x v="101"/>
    <x v="8"/>
    <x v="1"/>
    <x v="55"/>
  </r>
  <r>
    <x v="99"/>
    <x v="8"/>
    <x v="2"/>
    <x v="34"/>
  </r>
  <r>
    <x v="2772"/>
    <x v="8"/>
    <x v="1"/>
    <x v="55"/>
  </r>
  <r>
    <x v="2773"/>
    <x v="8"/>
    <x v="1"/>
    <x v="55"/>
  </r>
  <r>
    <x v="2774"/>
    <x v="8"/>
    <x v="1"/>
    <x v="40"/>
  </r>
  <r>
    <x v="435"/>
    <x v="8"/>
    <x v="4"/>
    <x v="4"/>
  </r>
  <r>
    <x v="1065"/>
    <x v="8"/>
    <x v="1"/>
    <x v="23"/>
  </r>
  <r>
    <x v="1065"/>
    <x v="8"/>
    <x v="1"/>
    <x v="23"/>
  </r>
  <r>
    <x v="1065"/>
    <x v="8"/>
    <x v="1"/>
    <x v="23"/>
  </r>
  <r>
    <x v="132"/>
    <x v="8"/>
    <x v="2"/>
    <x v="63"/>
  </r>
  <r>
    <x v="2775"/>
    <x v="8"/>
    <x v="4"/>
    <x v="11"/>
  </r>
  <r>
    <x v="2776"/>
    <x v="8"/>
    <x v="4"/>
    <x v="4"/>
  </r>
  <r>
    <x v="161"/>
    <x v="8"/>
    <x v="4"/>
    <x v="4"/>
  </r>
  <r>
    <x v="2777"/>
    <x v="8"/>
    <x v="4"/>
    <x v="4"/>
  </r>
  <r>
    <x v="444"/>
    <x v="8"/>
    <x v="1"/>
    <x v="55"/>
  </r>
  <r>
    <x v="67"/>
    <x v="8"/>
    <x v="1"/>
    <x v="24"/>
  </r>
  <r>
    <x v="2778"/>
    <x v="8"/>
    <x v="2"/>
    <x v="62"/>
  </r>
  <r>
    <x v="852"/>
    <x v="8"/>
    <x v="2"/>
    <x v="61"/>
  </r>
  <r>
    <x v="852"/>
    <x v="8"/>
    <x v="2"/>
    <x v="63"/>
  </r>
  <r>
    <x v="2779"/>
    <x v="8"/>
    <x v="4"/>
    <x v="4"/>
  </r>
  <r>
    <x v="35"/>
    <x v="8"/>
    <x v="1"/>
    <x v="23"/>
  </r>
  <r>
    <x v="1016"/>
    <x v="8"/>
    <x v="1"/>
    <x v="23"/>
  </r>
  <r>
    <x v="76"/>
    <x v="8"/>
    <x v="1"/>
    <x v="23"/>
  </r>
  <r>
    <x v="103"/>
    <x v="8"/>
    <x v="1"/>
    <x v="23"/>
  </r>
  <r>
    <x v="422"/>
    <x v="8"/>
    <x v="1"/>
    <x v="23"/>
  </r>
  <r>
    <x v="2780"/>
    <x v="8"/>
    <x v="1"/>
    <x v="23"/>
  </r>
  <r>
    <x v="43"/>
    <x v="8"/>
    <x v="1"/>
    <x v="23"/>
  </r>
  <r>
    <x v="2781"/>
    <x v="8"/>
    <x v="2"/>
    <x v="63"/>
  </r>
  <r>
    <x v="164"/>
    <x v="8"/>
    <x v="4"/>
    <x v="11"/>
  </r>
  <r>
    <x v="168"/>
    <x v="8"/>
    <x v="4"/>
    <x v="11"/>
  </r>
  <r>
    <x v="18"/>
    <x v="8"/>
    <x v="4"/>
    <x v="11"/>
  </r>
  <r>
    <x v="1065"/>
    <x v="8"/>
    <x v="4"/>
    <x v="11"/>
  </r>
  <r>
    <x v="18"/>
    <x v="8"/>
    <x v="4"/>
    <x v="11"/>
  </r>
  <r>
    <x v="2782"/>
    <x v="8"/>
    <x v="2"/>
    <x v="63"/>
  </r>
  <r>
    <x v="392"/>
    <x v="8"/>
    <x v="2"/>
    <x v="34"/>
  </r>
  <r>
    <x v="35"/>
    <x v="8"/>
    <x v="2"/>
    <x v="63"/>
  </r>
  <r>
    <x v="2783"/>
    <x v="8"/>
    <x v="2"/>
    <x v="63"/>
  </r>
  <r>
    <x v="706"/>
    <x v="8"/>
    <x v="2"/>
    <x v="63"/>
  </r>
  <r>
    <x v="430"/>
    <x v="8"/>
    <x v="1"/>
    <x v="23"/>
  </r>
  <r>
    <x v="2784"/>
    <x v="8"/>
    <x v="2"/>
    <x v="62"/>
  </r>
  <r>
    <x v="2785"/>
    <x v="8"/>
    <x v="7"/>
    <x v="0"/>
  </r>
  <r>
    <x v="2786"/>
    <x v="8"/>
    <x v="7"/>
    <x v="0"/>
  </r>
  <r>
    <x v="2787"/>
    <x v="8"/>
    <x v="12"/>
    <x v="69"/>
  </r>
  <r>
    <x v="442"/>
    <x v="8"/>
    <x v="7"/>
    <x v="0"/>
  </r>
  <r>
    <x v="2788"/>
    <x v="8"/>
    <x v="4"/>
    <x v="4"/>
  </r>
  <r>
    <x v="146"/>
    <x v="8"/>
    <x v="1"/>
    <x v="45"/>
  </r>
  <r>
    <x v="2789"/>
    <x v="8"/>
    <x v="2"/>
    <x v="26"/>
  </r>
  <r>
    <x v="2789"/>
    <x v="8"/>
    <x v="2"/>
    <x v="61"/>
  </r>
  <r>
    <x v="2790"/>
    <x v="8"/>
    <x v="1"/>
    <x v="64"/>
  </r>
  <r>
    <x v="2790"/>
    <x v="8"/>
    <x v="1"/>
    <x v="43"/>
  </r>
  <r>
    <x v="2791"/>
    <x v="8"/>
    <x v="1"/>
    <x v="23"/>
  </r>
  <r>
    <x v="2792"/>
    <x v="8"/>
    <x v="4"/>
    <x v="4"/>
  </r>
  <r>
    <x v="2793"/>
    <x v="8"/>
    <x v="4"/>
    <x v="4"/>
  </r>
  <r>
    <x v="2794"/>
    <x v="8"/>
    <x v="1"/>
    <x v="23"/>
  </r>
  <r>
    <x v="118"/>
    <x v="8"/>
    <x v="1"/>
    <x v="70"/>
  </r>
  <r>
    <x v="2795"/>
    <x v="8"/>
    <x v="4"/>
    <x v="11"/>
  </r>
  <r>
    <x v="2796"/>
    <x v="8"/>
    <x v="1"/>
    <x v="56"/>
  </r>
  <r>
    <x v="18"/>
    <x v="8"/>
    <x v="4"/>
    <x v="4"/>
  </r>
  <r>
    <x v="109"/>
    <x v="8"/>
    <x v="1"/>
    <x v="23"/>
  </r>
  <r>
    <x v="159"/>
    <x v="8"/>
    <x v="1"/>
    <x v="23"/>
  </r>
  <r>
    <x v="43"/>
    <x v="8"/>
    <x v="1"/>
    <x v="23"/>
  </r>
  <r>
    <x v="2797"/>
    <x v="8"/>
    <x v="2"/>
    <x v="34"/>
  </r>
  <r>
    <x v="160"/>
    <x v="8"/>
    <x v="1"/>
    <x v="55"/>
  </r>
  <r>
    <x v="186"/>
    <x v="8"/>
    <x v="4"/>
    <x v="4"/>
  </r>
  <r>
    <x v="115"/>
    <x v="8"/>
    <x v="2"/>
    <x v="34"/>
  </r>
  <r>
    <x v="99"/>
    <x v="8"/>
    <x v="4"/>
    <x v="4"/>
  </r>
  <r>
    <x v="970"/>
    <x v="8"/>
    <x v="1"/>
    <x v="55"/>
  </r>
  <r>
    <x v="1404"/>
    <x v="8"/>
    <x v="2"/>
    <x v="63"/>
  </r>
  <r>
    <x v="1643"/>
    <x v="8"/>
    <x v="2"/>
    <x v="63"/>
  </r>
  <r>
    <x v="1079"/>
    <x v="8"/>
    <x v="2"/>
    <x v="63"/>
  </r>
  <r>
    <x v="2798"/>
    <x v="8"/>
    <x v="1"/>
    <x v="56"/>
  </r>
  <r>
    <x v="2799"/>
    <x v="8"/>
    <x v="1"/>
    <x v="43"/>
  </r>
  <r>
    <x v="465"/>
    <x v="8"/>
    <x v="2"/>
    <x v="34"/>
  </r>
  <r>
    <x v="447"/>
    <x v="8"/>
    <x v="1"/>
    <x v="55"/>
  </r>
  <r>
    <x v="99"/>
    <x v="8"/>
    <x v="1"/>
    <x v="23"/>
  </r>
  <r>
    <x v="160"/>
    <x v="8"/>
    <x v="2"/>
    <x v="26"/>
  </r>
  <r>
    <x v="147"/>
    <x v="8"/>
    <x v="4"/>
    <x v="4"/>
  </r>
  <r>
    <x v="1295"/>
    <x v="8"/>
    <x v="1"/>
    <x v="23"/>
  </r>
  <r>
    <x v="403"/>
    <x v="8"/>
    <x v="4"/>
    <x v="4"/>
  </r>
  <r>
    <x v="118"/>
    <x v="8"/>
    <x v="4"/>
    <x v="4"/>
  </r>
  <r>
    <x v="2800"/>
    <x v="8"/>
    <x v="4"/>
    <x v="4"/>
  </r>
  <r>
    <x v="785"/>
    <x v="8"/>
    <x v="1"/>
    <x v="23"/>
  </r>
  <r>
    <x v="2801"/>
    <x v="8"/>
    <x v="3"/>
    <x v="0"/>
  </r>
  <r>
    <x v="2802"/>
    <x v="8"/>
    <x v="4"/>
    <x v="4"/>
  </r>
  <r>
    <x v="217"/>
    <x v="8"/>
    <x v="1"/>
    <x v="43"/>
  </r>
  <r>
    <x v="976"/>
    <x v="8"/>
    <x v="1"/>
    <x v="45"/>
  </r>
  <r>
    <x v="2803"/>
    <x v="8"/>
    <x v="1"/>
    <x v="23"/>
  </r>
  <r>
    <x v="2804"/>
    <x v="8"/>
    <x v="4"/>
    <x v="4"/>
  </r>
  <r>
    <x v="2805"/>
    <x v="8"/>
    <x v="1"/>
    <x v="23"/>
  </r>
  <r>
    <x v="2806"/>
    <x v="8"/>
    <x v="1"/>
    <x v="23"/>
  </r>
  <r>
    <x v="252"/>
    <x v="8"/>
    <x v="1"/>
    <x v="40"/>
  </r>
  <r>
    <x v="2807"/>
    <x v="8"/>
    <x v="2"/>
    <x v="71"/>
  </r>
  <r>
    <x v="1158"/>
    <x v="8"/>
    <x v="1"/>
    <x v="23"/>
  </r>
  <r>
    <x v="2808"/>
    <x v="8"/>
    <x v="1"/>
    <x v="23"/>
  </r>
  <r>
    <x v="430"/>
    <x v="8"/>
    <x v="1"/>
    <x v="23"/>
  </r>
  <r>
    <x v="2349"/>
    <x v="8"/>
    <x v="2"/>
    <x v="72"/>
  </r>
  <r>
    <x v="2809"/>
    <x v="8"/>
    <x v="3"/>
    <x v="0"/>
  </r>
  <r>
    <x v="2810"/>
    <x v="8"/>
    <x v="0"/>
    <x v="0"/>
  </r>
  <r>
    <x v="2811"/>
    <x v="8"/>
    <x v="3"/>
    <x v="0"/>
  </r>
  <r>
    <x v="742"/>
    <x v="8"/>
    <x v="1"/>
    <x v="23"/>
  </r>
  <r>
    <x v="2288"/>
    <x v="8"/>
    <x v="1"/>
    <x v="55"/>
  </r>
  <r>
    <x v="2812"/>
    <x v="8"/>
    <x v="2"/>
    <x v="34"/>
  </r>
  <r>
    <x v="495"/>
    <x v="8"/>
    <x v="4"/>
    <x v="4"/>
  </r>
  <r>
    <x v="498"/>
    <x v="8"/>
    <x v="2"/>
    <x v="34"/>
  </r>
  <r>
    <x v="2050"/>
    <x v="8"/>
    <x v="2"/>
    <x v="34"/>
  </r>
  <r>
    <x v="2050"/>
    <x v="8"/>
    <x v="2"/>
    <x v="63"/>
  </r>
  <r>
    <x v="2050"/>
    <x v="8"/>
    <x v="1"/>
    <x v="55"/>
  </r>
  <r>
    <x v="493"/>
    <x v="8"/>
    <x v="4"/>
    <x v="4"/>
  </r>
  <r>
    <x v="2813"/>
    <x v="8"/>
    <x v="2"/>
    <x v="63"/>
  </r>
  <r>
    <x v="498"/>
    <x v="8"/>
    <x v="2"/>
    <x v="63"/>
  </r>
  <r>
    <x v="53"/>
    <x v="8"/>
    <x v="4"/>
    <x v="4"/>
  </r>
  <r>
    <x v="2296"/>
    <x v="8"/>
    <x v="4"/>
    <x v="4"/>
  </r>
  <r>
    <x v="399"/>
    <x v="8"/>
    <x v="4"/>
    <x v="4"/>
  </r>
  <r>
    <x v="498"/>
    <x v="8"/>
    <x v="1"/>
    <x v="23"/>
  </r>
  <r>
    <x v="498"/>
    <x v="8"/>
    <x v="1"/>
    <x v="23"/>
  </r>
  <r>
    <x v="2814"/>
    <x v="8"/>
    <x v="1"/>
    <x v="55"/>
  </r>
  <r>
    <x v="1201"/>
    <x v="8"/>
    <x v="4"/>
    <x v="4"/>
  </r>
  <r>
    <x v="2815"/>
    <x v="8"/>
    <x v="2"/>
    <x v="34"/>
  </r>
  <r>
    <x v="2816"/>
    <x v="8"/>
    <x v="2"/>
    <x v="62"/>
  </r>
  <r>
    <x v="2817"/>
    <x v="8"/>
    <x v="4"/>
    <x v="4"/>
  </r>
  <r>
    <x v="2817"/>
    <x v="8"/>
    <x v="2"/>
    <x v="62"/>
  </r>
  <r>
    <x v="498"/>
    <x v="8"/>
    <x v="2"/>
    <x v="34"/>
  </r>
  <r>
    <x v="1373"/>
    <x v="8"/>
    <x v="4"/>
    <x v="4"/>
  </r>
  <r>
    <x v="498"/>
    <x v="8"/>
    <x v="1"/>
    <x v="23"/>
  </r>
  <r>
    <x v="494"/>
    <x v="8"/>
    <x v="1"/>
    <x v="23"/>
  </r>
  <r>
    <x v="498"/>
    <x v="8"/>
    <x v="1"/>
    <x v="23"/>
  </r>
  <r>
    <x v="498"/>
    <x v="8"/>
    <x v="1"/>
    <x v="23"/>
  </r>
  <r>
    <x v="498"/>
    <x v="8"/>
    <x v="1"/>
    <x v="23"/>
  </r>
  <r>
    <x v="624"/>
    <x v="8"/>
    <x v="1"/>
    <x v="23"/>
  </r>
  <r>
    <x v="624"/>
    <x v="8"/>
    <x v="1"/>
    <x v="23"/>
  </r>
  <r>
    <x v="498"/>
    <x v="8"/>
    <x v="1"/>
    <x v="23"/>
  </r>
  <r>
    <x v="498"/>
    <x v="8"/>
    <x v="1"/>
    <x v="23"/>
  </r>
  <r>
    <x v="498"/>
    <x v="8"/>
    <x v="1"/>
    <x v="23"/>
  </r>
  <r>
    <x v="498"/>
    <x v="8"/>
    <x v="4"/>
    <x v="4"/>
  </r>
  <r>
    <x v="2068"/>
    <x v="8"/>
    <x v="2"/>
    <x v="34"/>
  </r>
  <r>
    <x v="2069"/>
    <x v="8"/>
    <x v="2"/>
    <x v="63"/>
  </r>
  <r>
    <x v="2068"/>
    <x v="8"/>
    <x v="1"/>
    <x v="55"/>
  </r>
  <r>
    <x v="498"/>
    <x v="8"/>
    <x v="2"/>
    <x v="63"/>
  </r>
  <r>
    <x v="624"/>
    <x v="8"/>
    <x v="2"/>
    <x v="34"/>
  </r>
  <r>
    <x v="625"/>
    <x v="8"/>
    <x v="4"/>
    <x v="4"/>
  </r>
  <r>
    <x v="498"/>
    <x v="8"/>
    <x v="2"/>
    <x v="63"/>
  </r>
  <r>
    <x v="498"/>
    <x v="8"/>
    <x v="2"/>
    <x v="34"/>
  </r>
  <r>
    <x v="2818"/>
    <x v="8"/>
    <x v="2"/>
    <x v="34"/>
  </r>
  <r>
    <x v="2819"/>
    <x v="8"/>
    <x v="4"/>
    <x v="4"/>
  </r>
  <r>
    <x v="498"/>
    <x v="8"/>
    <x v="1"/>
    <x v="55"/>
  </r>
  <r>
    <x v="2631"/>
    <x v="8"/>
    <x v="2"/>
    <x v="34"/>
  </r>
  <r>
    <x v="2631"/>
    <x v="8"/>
    <x v="2"/>
    <x v="63"/>
  </r>
  <r>
    <x v="2631"/>
    <x v="8"/>
    <x v="1"/>
    <x v="55"/>
  </r>
  <r>
    <x v="498"/>
    <x v="8"/>
    <x v="1"/>
    <x v="23"/>
  </r>
  <r>
    <x v="498"/>
    <x v="8"/>
    <x v="1"/>
    <x v="23"/>
  </r>
  <r>
    <x v="498"/>
    <x v="8"/>
    <x v="1"/>
    <x v="23"/>
  </r>
  <r>
    <x v="498"/>
    <x v="8"/>
    <x v="1"/>
    <x v="23"/>
  </r>
  <r>
    <x v="498"/>
    <x v="8"/>
    <x v="1"/>
    <x v="23"/>
  </r>
  <r>
    <x v="498"/>
    <x v="8"/>
    <x v="1"/>
    <x v="23"/>
  </r>
  <r>
    <x v="498"/>
    <x v="8"/>
    <x v="1"/>
    <x v="23"/>
  </r>
  <r>
    <x v="498"/>
    <x v="8"/>
    <x v="1"/>
    <x v="23"/>
  </r>
  <r>
    <x v="498"/>
    <x v="8"/>
    <x v="1"/>
    <x v="23"/>
  </r>
  <r>
    <x v="498"/>
    <x v="8"/>
    <x v="1"/>
    <x v="23"/>
  </r>
  <r>
    <x v="2820"/>
    <x v="8"/>
    <x v="1"/>
    <x v="55"/>
  </r>
  <r>
    <x v="2821"/>
    <x v="8"/>
    <x v="1"/>
    <x v="23"/>
  </r>
  <r>
    <x v="2821"/>
    <x v="8"/>
    <x v="1"/>
    <x v="23"/>
  </r>
  <r>
    <x v="2821"/>
    <x v="8"/>
    <x v="1"/>
    <x v="23"/>
  </r>
  <r>
    <x v="2821"/>
    <x v="8"/>
    <x v="1"/>
    <x v="23"/>
  </r>
  <r>
    <x v="460"/>
    <x v="8"/>
    <x v="4"/>
    <x v="4"/>
  </r>
  <r>
    <x v="2822"/>
    <x v="8"/>
    <x v="5"/>
    <x v="0"/>
  </r>
  <r>
    <x v="2823"/>
    <x v="8"/>
    <x v="1"/>
    <x v="40"/>
  </r>
  <r>
    <x v="43"/>
    <x v="8"/>
    <x v="4"/>
    <x v="11"/>
  </r>
  <r>
    <x v="103"/>
    <x v="8"/>
    <x v="1"/>
    <x v="23"/>
  </r>
  <r>
    <x v="18"/>
    <x v="8"/>
    <x v="1"/>
    <x v="23"/>
  </r>
  <r>
    <x v="1065"/>
    <x v="8"/>
    <x v="1"/>
    <x v="23"/>
  </r>
  <r>
    <x v="563"/>
    <x v="8"/>
    <x v="4"/>
    <x v="4"/>
  </r>
  <r>
    <x v="460"/>
    <x v="8"/>
    <x v="2"/>
    <x v="34"/>
  </r>
  <r>
    <x v="2824"/>
    <x v="8"/>
    <x v="1"/>
    <x v="55"/>
  </r>
  <r>
    <x v="2825"/>
    <x v="8"/>
    <x v="2"/>
    <x v="62"/>
  </r>
  <r>
    <x v="2826"/>
    <x v="8"/>
    <x v="2"/>
    <x v="63"/>
  </r>
  <r>
    <x v="76"/>
    <x v="8"/>
    <x v="1"/>
    <x v="55"/>
  </r>
  <r>
    <x v="43"/>
    <x v="8"/>
    <x v="4"/>
    <x v="4"/>
  </r>
  <r>
    <x v="442"/>
    <x v="8"/>
    <x v="4"/>
    <x v="4"/>
  </r>
  <r>
    <x v="2827"/>
    <x v="8"/>
    <x v="4"/>
    <x v="4"/>
  </r>
  <r>
    <x v="1812"/>
    <x v="8"/>
    <x v="4"/>
    <x v="4"/>
  </r>
  <r>
    <x v="2828"/>
    <x v="8"/>
    <x v="4"/>
    <x v="4"/>
  </r>
  <r>
    <x v="2829"/>
    <x v="8"/>
    <x v="4"/>
    <x v="4"/>
  </r>
  <r>
    <x v="162"/>
    <x v="8"/>
    <x v="4"/>
    <x v="4"/>
  </r>
  <r>
    <x v="2830"/>
    <x v="8"/>
    <x v="4"/>
    <x v="4"/>
  </r>
  <r>
    <x v="35"/>
    <x v="8"/>
    <x v="4"/>
    <x v="4"/>
  </r>
  <r>
    <x v="2831"/>
    <x v="8"/>
    <x v="1"/>
    <x v="31"/>
  </r>
  <r>
    <x v="147"/>
    <x v="8"/>
    <x v="2"/>
    <x v="63"/>
  </r>
  <r>
    <x v="160"/>
    <x v="8"/>
    <x v="1"/>
    <x v="23"/>
  </r>
  <r>
    <x v="102"/>
    <x v="8"/>
    <x v="2"/>
    <x v="34"/>
  </r>
  <r>
    <x v="40"/>
    <x v="8"/>
    <x v="1"/>
    <x v="55"/>
  </r>
  <r>
    <x v="24"/>
    <x v="8"/>
    <x v="4"/>
    <x v="4"/>
  </r>
  <r>
    <x v="24"/>
    <x v="8"/>
    <x v="4"/>
    <x v="4"/>
  </r>
  <r>
    <x v="2832"/>
    <x v="8"/>
    <x v="4"/>
    <x v="4"/>
  </r>
  <r>
    <x v="124"/>
    <x v="8"/>
    <x v="4"/>
    <x v="4"/>
  </r>
  <r>
    <x v="2833"/>
    <x v="8"/>
    <x v="3"/>
    <x v="0"/>
  </r>
  <r>
    <x v="359"/>
    <x v="8"/>
    <x v="4"/>
    <x v="4"/>
  </r>
  <r>
    <x v="2834"/>
    <x v="8"/>
    <x v="2"/>
    <x v="54"/>
  </r>
  <r>
    <x v="411"/>
    <x v="8"/>
    <x v="9"/>
    <x v="24"/>
  </r>
  <r>
    <x v="2835"/>
    <x v="8"/>
    <x v="5"/>
    <x v="0"/>
  </r>
  <r>
    <x v="2836"/>
    <x v="8"/>
    <x v="6"/>
    <x v="56"/>
  </r>
  <r>
    <x v="2837"/>
    <x v="8"/>
    <x v="6"/>
    <x v="56"/>
  </r>
  <r>
    <x v="2838"/>
    <x v="8"/>
    <x v="4"/>
    <x v="11"/>
  </r>
  <r>
    <x v="2839"/>
    <x v="8"/>
    <x v="5"/>
    <x v="0"/>
  </r>
  <r>
    <x v="2840"/>
    <x v="8"/>
    <x v="5"/>
    <x v="0"/>
  </r>
  <r>
    <x v="2725"/>
    <x v="8"/>
    <x v="4"/>
    <x v="4"/>
  </r>
  <r>
    <x v="2038"/>
    <x v="8"/>
    <x v="4"/>
    <x v="4"/>
  </r>
  <r>
    <x v="2841"/>
    <x v="8"/>
    <x v="0"/>
    <x v="0"/>
  </r>
  <r>
    <x v="2842"/>
    <x v="8"/>
    <x v="5"/>
    <x v="0"/>
  </r>
  <r>
    <x v="103"/>
    <x v="8"/>
    <x v="1"/>
    <x v="23"/>
  </r>
  <r>
    <x v="2843"/>
    <x v="8"/>
    <x v="2"/>
    <x v="34"/>
  </r>
  <r>
    <x v="43"/>
    <x v="8"/>
    <x v="2"/>
    <x v="34"/>
  </r>
  <r>
    <x v="2844"/>
    <x v="8"/>
    <x v="2"/>
    <x v="34"/>
  </r>
  <r>
    <x v="36"/>
    <x v="8"/>
    <x v="4"/>
    <x v="4"/>
  </r>
  <r>
    <x v="2845"/>
    <x v="8"/>
    <x v="2"/>
    <x v="34"/>
  </r>
  <r>
    <x v="706"/>
    <x v="8"/>
    <x v="1"/>
    <x v="23"/>
  </r>
  <r>
    <x v="160"/>
    <x v="8"/>
    <x v="1"/>
    <x v="23"/>
  </r>
  <r>
    <x v="43"/>
    <x v="8"/>
    <x v="1"/>
    <x v="23"/>
  </r>
  <r>
    <x v="2781"/>
    <x v="8"/>
    <x v="2"/>
    <x v="63"/>
  </r>
  <r>
    <x v="1131"/>
    <x v="8"/>
    <x v="2"/>
    <x v="63"/>
  </r>
  <r>
    <x v="132"/>
    <x v="8"/>
    <x v="1"/>
    <x v="55"/>
  </r>
  <r>
    <x v="254"/>
    <x v="8"/>
    <x v="1"/>
    <x v="55"/>
  </r>
  <r>
    <x v="106"/>
    <x v="8"/>
    <x v="2"/>
    <x v="34"/>
  </r>
  <r>
    <x v="254"/>
    <x v="8"/>
    <x v="4"/>
    <x v="4"/>
  </r>
  <r>
    <x v="11"/>
    <x v="8"/>
    <x v="1"/>
    <x v="23"/>
  </r>
  <r>
    <x v="76"/>
    <x v="8"/>
    <x v="1"/>
    <x v="23"/>
  </r>
  <r>
    <x v="2029"/>
    <x v="8"/>
    <x v="2"/>
    <x v="26"/>
  </r>
  <r>
    <x v="103"/>
    <x v="8"/>
    <x v="1"/>
    <x v="23"/>
  </r>
  <r>
    <x v="1738"/>
    <x v="8"/>
    <x v="2"/>
    <x v="63"/>
  </r>
  <r>
    <x v="1132"/>
    <x v="8"/>
    <x v="2"/>
    <x v="63"/>
  </r>
  <r>
    <x v="506"/>
    <x v="8"/>
    <x v="4"/>
    <x v="4"/>
  </r>
  <r>
    <x v="2846"/>
    <x v="8"/>
    <x v="4"/>
    <x v="11"/>
  </r>
  <r>
    <x v="2847"/>
    <x v="8"/>
    <x v="4"/>
    <x v="4"/>
  </r>
  <r>
    <x v="781"/>
    <x v="8"/>
    <x v="4"/>
    <x v="11"/>
  </r>
  <r>
    <x v="2074"/>
    <x v="8"/>
    <x v="4"/>
    <x v="11"/>
  </r>
  <r>
    <x v="195"/>
    <x v="8"/>
    <x v="2"/>
    <x v="63"/>
  </r>
  <r>
    <x v="2848"/>
    <x v="8"/>
    <x v="2"/>
    <x v="63"/>
  </r>
  <r>
    <x v="2849"/>
    <x v="8"/>
    <x v="2"/>
    <x v="34"/>
  </r>
  <r>
    <x v="2850"/>
    <x v="8"/>
    <x v="2"/>
    <x v="34"/>
  </r>
  <r>
    <x v="808"/>
    <x v="8"/>
    <x v="4"/>
    <x v="4"/>
  </r>
  <r>
    <x v="559"/>
    <x v="8"/>
    <x v="2"/>
    <x v="34"/>
  </r>
  <r>
    <x v="1016"/>
    <x v="8"/>
    <x v="1"/>
    <x v="23"/>
  </r>
  <r>
    <x v="807"/>
    <x v="8"/>
    <x v="1"/>
    <x v="55"/>
  </r>
  <r>
    <x v="2851"/>
    <x v="8"/>
    <x v="2"/>
    <x v="62"/>
  </r>
  <r>
    <x v="147"/>
    <x v="8"/>
    <x v="4"/>
    <x v="4"/>
  </r>
  <r>
    <x v="2849"/>
    <x v="8"/>
    <x v="2"/>
    <x v="62"/>
  </r>
  <r>
    <x v="2852"/>
    <x v="8"/>
    <x v="2"/>
    <x v="62"/>
  </r>
  <r>
    <x v="276"/>
    <x v="8"/>
    <x v="1"/>
    <x v="23"/>
  </r>
  <r>
    <x v="806"/>
    <x v="8"/>
    <x v="1"/>
    <x v="23"/>
  </r>
  <r>
    <x v="782"/>
    <x v="8"/>
    <x v="1"/>
    <x v="23"/>
  </r>
  <r>
    <x v="35"/>
    <x v="8"/>
    <x v="1"/>
    <x v="23"/>
  </r>
  <r>
    <x v="24"/>
    <x v="8"/>
    <x v="1"/>
    <x v="23"/>
  </r>
  <r>
    <x v="2781"/>
    <x v="8"/>
    <x v="2"/>
    <x v="63"/>
  </r>
  <r>
    <x v="2853"/>
    <x v="8"/>
    <x v="2"/>
    <x v="63"/>
  </r>
  <r>
    <x v="118"/>
    <x v="8"/>
    <x v="1"/>
    <x v="45"/>
  </r>
  <r>
    <x v="2854"/>
    <x v="8"/>
    <x v="1"/>
    <x v="45"/>
  </r>
  <r>
    <x v="2025"/>
    <x v="8"/>
    <x v="1"/>
    <x v="23"/>
  </r>
  <r>
    <x v="2855"/>
    <x v="8"/>
    <x v="1"/>
    <x v="45"/>
  </r>
  <r>
    <x v="2856"/>
    <x v="8"/>
    <x v="1"/>
    <x v="73"/>
  </r>
  <r>
    <x v="819"/>
    <x v="8"/>
    <x v="1"/>
    <x v="45"/>
  </r>
  <r>
    <x v="2857"/>
    <x v="8"/>
    <x v="2"/>
    <x v="34"/>
  </r>
  <r>
    <x v="2858"/>
    <x v="8"/>
    <x v="2"/>
    <x v="54"/>
  </r>
  <r>
    <x v="2859"/>
    <x v="8"/>
    <x v="4"/>
    <x v="4"/>
  </r>
  <r>
    <x v="2860"/>
    <x v="8"/>
    <x v="2"/>
    <x v="54"/>
  </r>
  <r>
    <x v="2861"/>
    <x v="8"/>
    <x v="1"/>
    <x v="24"/>
  </r>
  <r>
    <x v="2862"/>
    <x v="8"/>
    <x v="1"/>
    <x v="24"/>
  </r>
  <r>
    <x v="2863"/>
    <x v="8"/>
    <x v="1"/>
    <x v="62"/>
  </r>
  <r>
    <x v="2863"/>
    <x v="8"/>
    <x v="2"/>
    <x v="34"/>
  </r>
  <r>
    <x v="2863"/>
    <x v="8"/>
    <x v="2"/>
    <x v="72"/>
  </r>
  <r>
    <x v="2864"/>
    <x v="8"/>
    <x v="4"/>
    <x v="4"/>
  </r>
  <r>
    <x v="430"/>
    <x v="8"/>
    <x v="1"/>
    <x v="23"/>
  </r>
  <r>
    <x v="2865"/>
    <x v="8"/>
    <x v="9"/>
    <x v="24"/>
  </r>
  <r>
    <x v="2866"/>
    <x v="8"/>
    <x v="4"/>
    <x v="4"/>
  </r>
  <r>
    <x v="2867"/>
    <x v="8"/>
    <x v="4"/>
    <x v="11"/>
  </r>
  <r>
    <x v="2868"/>
    <x v="8"/>
    <x v="1"/>
    <x v="62"/>
  </r>
  <r>
    <x v="547"/>
    <x v="8"/>
    <x v="1"/>
    <x v="73"/>
  </r>
  <r>
    <x v="102"/>
    <x v="8"/>
    <x v="1"/>
    <x v="23"/>
  </r>
  <r>
    <x v="2869"/>
    <x v="8"/>
    <x v="1"/>
    <x v="23"/>
  </r>
  <r>
    <x v="115"/>
    <x v="8"/>
    <x v="1"/>
    <x v="23"/>
  </r>
  <r>
    <x v="2870"/>
    <x v="8"/>
    <x v="1"/>
    <x v="23"/>
  </r>
  <r>
    <x v="344"/>
    <x v="8"/>
    <x v="2"/>
    <x v="63"/>
  </r>
  <r>
    <x v="43"/>
    <x v="8"/>
    <x v="1"/>
    <x v="23"/>
  </r>
  <r>
    <x v="160"/>
    <x v="8"/>
    <x v="1"/>
    <x v="23"/>
  </r>
  <r>
    <x v="166"/>
    <x v="8"/>
    <x v="1"/>
    <x v="55"/>
  </r>
  <r>
    <x v="43"/>
    <x v="8"/>
    <x v="2"/>
    <x v="34"/>
  </r>
  <r>
    <x v="106"/>
    <x v="8"/>
    <x v="1"/>
    <x v="16"/>
  </r>
  <r>
    <x v="154"/>
    <x v="8"/>
    <x v="4"/>
    <x v="4"/>
  </r>
  <r>
    <x v="2871"/>
    <x v="8"/>
    <x v="1"/>
    <x v="55"/>
  </r>
  <r>
    <x v="2872"/>
    <x v="8"/>
    <x v="5"/>
    <x v="0"/>
  </r>
  <r>
    <x v="2873"/>
    <x v="8"/>
    <x v="5"/>
    <x v="0"/>
  </r>
  <r>
    <x v="2874"/>
    <x v="8"/>
    <x v="1"/>
    <x v="74"/>
  </r>
  <r>
    <x v="2875"/>
    <x v="8"/>
    <x v="2"/>
    <x v="34"/>
  </r>
  <r>
    <x v="2540"/>
    <x v="8"/>
    <x v="2"/>
    <x v="34"/>
  </r>
  <r>
    <x v="2876"/>
    <x v="8"/>
    <x v="2"/>
    <x v="34"/>
  </r>
  <r>
    <x v="2877"/>
    <x v="8"/>
    <x v="2"/>
    <x v="34"/>
  </r>
  <r>
    <x v="2878"/>
    <x v="8"/>
    <x v="2"/>
    <x v="34"/>
  </r>
  <r>
    <x v="2879"/>
    <x v="8"/>
    <x v="2"/>
    <x v="34"/>
  </r>
  <r>
    <x v="2260"/>
    <x v="8"/>
    <x v="2"/>
    <x v="34"/>
  </r>
  <r>
    <x v="2880"/>
    <x v="8"/>
    <x v="2"/>
    <x v="34"/>
  </r>
  <r>
    <x v="2881"/>
    <x v="8"/>
    <x v="2"/>
    <x v="34"/>
  </r>
  <r>
    <x v="2876"/>
    <x v="8"/>
    <x v="6"/>
    <x v="56"/>
  </r>
  <r>
    <x v="2880"/>
    <x v="8"/>
    <x v="6"/>
    <x v="56"/>
  </r>
  <r>
    <x v="2876"/>
    <x v="8"/>
    <x v="4"/>
    <x v="4"/>
  </r>
  <r>
    <x v="2880"/>
    <x v="8"/>
    <x v="4"/>
    <x v="4"/>
  </r>
  <r>
    <x v="2876"/>
    <x v="8"/>
    <x v="2"/>
    <x v="26"/>
  </r>
  <r>
    <x v="2880"/>
    <x v="8"/>
    <x v="2"/>
    <x v="26"/>
  </r>
  <r>
    <x v="2882"/>
    <x v="8"/>
    <x v="4"/>
    <x v="4"/>
  </r>
  <r>
    <x v="2883"/>
    <x v="8"/>
    <x v="4"/>
    <x v="4"/>
  </r>
  <r>
    <x v="2884"/>
    <x v="8"/>
    <x v="4"/>
    <x v="4"/>
  </r>
  <r>
    <x v="2879"/>
    <x v="8"/>
    <x v="4"/>
    <x v="4"/>
  </r>
  <r>
    <x v="2876"/>
    <x v="8"/>
    <x v="4"/>
    <x v="4"/>
  </r>
  <r>
    <x v="2885"/>
    <x v="8"/>
    <x v="2"/>
    <x v="61"/>
  </r>
  <r>
    <x v="2886"/>
    <x v="8"/>
    <x v="2"/>
    <x v="61"/>
  </r>
  <r>
    <x v="2887"/>
    <x v="8"/>
    <x v="2"/>
    <x v="61"/>
  </r>
  <r>
    <x v="2888"/>
    <x v="8"/>
    <x v="1"/>
    <x v="43"/>
  </r>
  <r>
    <x v="2260"/>
    <x v="8"/>
    <x v="1"/>
    <x v="43"/>
  </r>
  <r>
    <x v="2260"/>
    <x v="8"/>
    <x v="1"/>
    <x v="43"/>
  </r>
  <r>
    <x v="2550"/>
    <x v="8"/>
    <x v="1"/>
    <x v="43"/>
  </r>
  <r>
    <x v="2889"/>
    <x v="8"/>
    <x v="2"/>
    <x v="26"/>
  </r>
  <r>
    <x v="2890"/>
    <x v="8"/>
    <x v="2"/>
    <x v="26"/>
  </r>
  <r>
    <x v="2550"/>
    <x v="8"/>
    <x v="4"/>
    <x v="4"/>
  </r>
  <r>
    <x v="2891"/>
    <x v="8"/>
    <x v="4"/>
    <x v="4"/>
  </r>
  <r>
    <x v="2537"/>
    <x v="8"/>
    <x v="4"/>
    <x v="4"/>
  </r>
  <r>
    <x v="2892"/>
    <x v="8"/>
    <x v="4"/>
    <x v="11"/>
  </r>
  <r>
    <x v="2251"/>
    <x v="8"/>
    <x v="4"/>
    <x v="4"/>
  </r>
  <r>
    <x v="2893"/>
    <x v="8"/>
    <x v="4"/>
    <x v="4"/>
  </r>
  <r>
    <x v="2894"/>
    <x v="8"/>
    <x v="4"/>
    <x v="11"/>
  </r>
  <r>
    <x v="2529"/>
    <x v="8"/>
    <x v="4"/>
    <x v="4"/>
  </r>
  <r>
    <x v="2527"/>
    <x v="8"/>
    <x v="4"/>
    <x v="4"/>
  </r>
  <r>
    <x v="2543"/>
    <x v="8"/>
    <x v="4"/>
    <x v="11"/>
  </r>
  <r>
    <x v="2529"/>
    <x v="8"/>
    <x v="4"/>
    <x v="4"/>
  </r>
  <r>
    <x v="2260"/>
    <x v="8"/>
    <x v="4"/>
    <x v="4"/>
  </r>
  <r>
    <x v="2895"/>
    <x v="8"/>
    <x v="4"/>
    <x v="4"/>
  </r>
  <r>
    <x v="2247"/>
    <x v="8"/>
    <x v="4"/>
    <x v="4"/>
  </r>
  <r>
    <x v="2896"/>
    <x v="8"/>
    <x v="4"/>
    <x v="11"/>
  </r>
  <r>
    <x v="2253"/>
    <x v="8"/>
    <x v="6"/>
    <x v="56"/>
  </r>
  <r>
    <x v="2253"/>
    <x v="8"/>
    <x v="2"/>
    <x v="26"/>
  </r>
  <r>
    <x v="2253"/>
    <x v="8"/>
    <x v="1"/>
    <x v="43"/>
  </r>
  <r>
    <x v="2897"/>
    <x v="8"/>
    <x v="6"/>
    <x v="56"/>
  </r>
  <r>
    <x v="2898"/>
    <x v="8"/>
    <x v="1"/>
    <x v="23"/>
  </r>
  <r>
    <x v="2898"/>
    <x v="8"/>
    <x v="1"/>
    <x v="24"/>
  </r>
  <r>
    <x v="2898"/>
    <x v="8"/>
    <x v="1"/>
    <x v="55"/>
  </r>
  <r>
    <x v="2899"/>
    <x v="8"/>
    <x v="2"/>
    <x v="54"/>
  </r>
  <r>
    <x v="2899"/>
    <x v="8"/>
    <x v="2"/>
    <x v="63"/>
  </r>
  <r>
    <x v="2900"/>
    <x v="8"/>
    <x v="1"/>
    <x v="23"/>
  </r>
  <r>
    <x v="2542"/>
    <x v="8"/>
    <x v="6"/>
    <x v="56"/>
  </r>
  <r>
    <x v="2900"/>
    <x v="8"/>
    <x v="1"/>
    <x v="55"/>
  </r>
  <r>
    <x v="2538"/>
    <x v="8"/>
    <x v="2"/>
    <x v="26"/>
  </r>
  <r>
    <x v="2538"/>
    <x v="8"/>
    <x v="1"/>
    <x v="55"/>
  </r>
  <r>
    <x v="2538"/>
    <x v="8"/>
    <x v="2"/>
    <x v="63"/>
  </r>
  <r>
    <x v="2901"/>
    <x v="8"/>
    <x v="6"/>
    <x v="56"/>
  </r>
  <r>
    <x v="2901"/>
    <x v="8"/>
    <x v="2"/>
    <x v="26"/>
  </r>
  <r>
    <x v="2901"/>
    <x v="8"/>
    <x v="1"/>
    <x v="55"/>
  </r>
  <r>
    <x v="2902"/>
    <x v="8"/>
    <x v="1"/>
    <x v="23"/>
  </r>
  <r>
    <x v="446"/>
    <x v="8"/>
    <x v="1"/>
    <x v="23"/>
  </r>
  <r>
    <x v="2903"/>
    <x v="8"/>
    <x v="2"/>
    <x v="63"/>
  </r>
  <r>
    <x v="338"/>
    <x v="8"/>
    <x v="1"/>
    <x v="43"/>
  </r>
  <r>
    <x v="803"/>
    <x v="8"/>
    <x v="1"/>
    <x v="43"/>
  </r>
  <r>
    <x v="1029"/>
    <x v="8"/>
    <x v="1"/>
    <x v="43"/>
  </r>
  <r>
    <x v="99"/>
    <x v="8"/>
    <x v="2"/>
    <x v="34"/>
  </r>
  <r>
    <x v="2825"/>
    <x v="8"/>
    <x v="2"/>
    <x v="62"/>
  </r>
  <r>
    <x v="99"/>
    <x v="8"/>
    <x v="4"/>
    <x v="4"/>
  </r>
  <r>
    <x v="115"/>
    <x v="8"/>
    <x v="4"/>
    <x v="4"/>
  </r>
  <r>
    <x v="2904"/>
    <x v="8"/>
    <x v="4"/>
    <x v="4"/>
  </r>
  <r>
    <x v="2905"/>
    <x v="8"/>
    <x v="1"/>
    <x v="55"/>
  </r>
  <r>
    <x v="2906"/>
    <x v="8"/>
    <x v="6"/>
    <x v="56"/>
  </r>
  <r>
    <x v="2907"/>
    <x v="8"/>
    <x v="2"/>
    <x v="34"/>
  </r>
  <r>
    <x v="2908"/>
    <x v="8"/>
    <x v="1"/>
    <x v="55"/>
  </r>
  <r>
    <x v="2909"/>
    <x v="8"/>
    <x v="4"/>
    <x v="4"/>
  </r>
  <r>
    <x v="1499"/>
    <x v="8"/>
    <x v="2"/>
    <x v="63"/>
  </r>
  <r>
    <x v="2910"/>
    <x v="8"/>
    <x v="2"/>
    <x v="34"/>
  </r>
  <r>
    <x v="2911"/>
    <x v="8"/>
    <x v="2"/>
    <x v="34"/>
  </r>
  <r>
    <x v="2912"/>
    <x v="8"/>
    <x v="1"/>
    <x v="43"/>
  </r>
  <r>
    <x v="2913"/>
    <x v="8"/>
    <x v="1"/>
    <x v="55"/>
  </r>
  <r>
    <x v="2914"/>
    <x v="8"/>
    <x v="1"/>
    <x v="55"/>
  </r>
  <r>
    <x v="2914"/>
    <x v="8"/>
    <x v="2"/>
    <x v="63"/>
  </r>
  <r>
    <x v="2297"/>
    <x v="8"/>
    <x v="1"/>
    <x v="23"/>
  </r>
  <r>
    <x v="2915"/>
    <x v="8"/>
    <x v="1"/>
    <x v="23"/>
  </r>
  <r>
    <x v="2916"/>
    <x v="8"/>
    <x v="1"/>
    <x v="24"/>
  </r>
  <r>
    <x v="430"/>
    <x v="8"/>
    <x v="1"/>
    <x v="23"/>
  </r>
  <r>
    <x v="2917"/>
    <x v="8"/>
    <x v="1"/>
    <x v="45"/>
  </r>
  <r>
    <x v="2918"/>
    <x v="8"/>
    <x v="1"/>
    <x v="24"/>
  </r>
  <r>
    <x v="2919"/>
    <x v="8"/>
    <x v="1"/>
    <x v="23"/>
  </r>
  <r>
    <x v="2920"/>
    <x v="8"/>
    <x v="1"/>
    <x v="45"/>
  </r>
  <r>
    <x v="2921"/>
    <x v="8"/>
    <x v="1"/>
    <x v="45"/>
  </r>
  <r>
    <x v="2246"/>
    <x v="8"/>
    <x v="1"/>
    <x v="45"/>
  </r>
  <r>
    <x v="2922"/>
    <x v="8"/>
    <x v="1"/>
    <x v="45"/>
  </r>
  <r>
    <x v="2923"/>
    <x v="8"/>
    <x v="1"/>
    <x v="23"/>
  </r>
  <r>
    <x v="2924"/>
    <x v="8"/>
    <x v="1"/>
    <x v="23"/>
  </r>
  <r>
    <x v="2925"/>
    <x v="8"/>
    <x v="1"/>
    <x v="23"/>
  </r>
  <r>
    <x v="2260"/>
    <x v="8"/>
    <x v="1"/>
    <x v="23"/>
  </r>
  <r>
    <x v="2260"/>
    <x v="8"/>
    <x v="1"/>
    <x v="23"/>
  </r>
  <r>
    <x v="2925"/>
    <x v="8"/>
    <x v="1"/>
    <x v="23"/>
  </r>
  <r>
    <x v="2544"/>
    <x v="8"/>
    <x v="1"/>
    <x v="23"/>
  </r>
  <r>
    <x v="2923"/>
    <x v="8"/>
    <x v="1"/>
    <x v="23"/>
  </r>
  <r>
    <x v="2926"/>
    <x v="8"/>
    <x v="1"/>
    <x v="23"/>
  </r>
  <r>
    <x v="2260"/>
    <x v="8"/>
    <x v="1"/>
    <x v="23"/>
  </r>
  <r>
    <x v="2523"/>
    <x v="8"/>
    <x v="1"/>
    <x v="23"/>
  </r>
  <r>
    <x v="2260"/>
    <x v="8"/>
    <x v="1"/>
    <x v="23"/>
  </r>
  <r>
    <x v="2923"/>
    <x v="8"/>
    <x v="1"/>
    <x v="23"/>
  </r>
  <r>
    <x v="2927"/>
    <x v="8"/>
    <x v="1"/>
    <x v="23"/>
  </r>
  <r>
    <x v="2260"/>
    <x v="8"/>
    <x v="1"/>
    <x v="23"/>
  </r>
  <r>
    <x v="2923"/>
    <x v="8"/>
    <x v="1"/>
    <x v="23"/>
  </r>
  <r>
    <x v="2923"/>
    <x v="8"/>
    <x v="1"/>
    <x v="23"/>
  </r>
  <r>
    <x v="2927"/>
    <x v="8"/>
    <x v="1"/>
    <x v="23"/>
  </r>
  <r>
    <x v="2278"/>
    <x v="8"/>
    <x v="1"/>
    <x v="23"/>
  </r>
  <r>
    <x v="2278"/>
    <x v="8"/>
    <x v="1"/>
    <x v="23"/>
  </r>
  <r>
    <x v="2278"/>
    <x v="8"/>
    <x v="1"/>
    <x v="23"/>
  </r>
  <r>
    <x v="2278"/>
    <x v="8"/>
    <x v="1"/>
    <x v="23"/>
  </r>
  <r>
    <x v="2278"/>
    <x v="8"/>
    <x v="1"/>
    <x v="23"/>
  </r>
  <r>
    <x v="2278"/>
    <x v="8"/>
    <x v="1"/>
    <x v="23"/>
  </r>
  <r>
    <x v="2928"/>
    <x v="8"/>
    <x v="5"/>
    <x v="0"/>
  </r>
  <r>
    <x v="2929"/>
    <x v="8"/>
    <x v="4"/>
    <x v="11"/>
  </r>
  <r>
    <x v="361"/>
    <x v="8"/>
    <x v="1"/>
    <x v="23"/>
  </r>
  <r>
    <x v="115"/>
    <x v="8"/>
    <x v="1"/>
    <x v="23"/>
  </r>
  <r>
    <x v="1080"/>
    <x v="8"/>
    <x v="1"/>
    <x v="23"/>
  </r>
  <r>
    <x v="76"/>
    <x v="8"/>
    <x v="1"/>
    <x v="23"/>
  </r>
  <r>
    <x v="132"/>
    <x v="8"/>
    <x v="1"/>
    <x v="23"/>
  </r>
  <r>
    <x v="1140"/>
    <x v="8"/>
    <x v="1"/>
    <x v="23"/>
  </r>
  <r>
    <x v="2930"/>
    <x v="8"/>
    <x v="4"/>
    <x v="4"/>
  </r>
  <r>
    <x v="554"/>
    <x v="8"/>
    <x v="2"/>
    <x v="62"/>
  </r>
  <r>
    <x v="2931"/>
    <x v="8"/>
    <x v="1"/>
    <x v="43"/>
  </r>
  <r>
    <x v="2932"/>
    <x v="8"/>
    <x v="2"/>
    <x v="62"/>
  </r>
  <r>
    <x v="199"/>
    <x v="8"/>
    <x v="1"/>
    <x v="55"/>
  </r>
  <r>
    <x v="2933"/>
    <x v="8"/>
    <x v="1"/>
    <x v="55"/>
  </r>
  <r>
    <x v="2934"/>
    <x v="8"/>
    <x v="1"/>
    <x v="55"/>
  </r>
  <r>
    <x v="706"/>
    <x v="8"/>
    <x v="1"/>
    <x v="23"/>
  </r>
  <r>
    <x v="76"/>
    <x v="8"/>
    <x v="2"/>
    <x v="63"/>
  </r>
  <r>
    <x v="2935"/>
    <x v="8"/>
    <x v="1"/>
    <x v="45"/>
  </r>
  <r>
    <x v="2936"/>
    <x v="8"/>
    <x v="2"/>
    <x v="46"/>
  </r>
  <r>
    <x v="460"/>
    <x v="8"/>
    <x v="2"/>
    <x v="46"/>
  </r>
  <r>
    <x v="166"/>
    <x v="8"/>
    <x v="2"/>
    <x v="46"/>
  </r>
  <r>
    <x v="2936"/>
    <x v="8"/>
    <x v="2"/>
    <x v="46"/>
  </r>
  <r>
    <x v="460"/>
    <x v="8"/>
    <x v="2"/>
    <x v="46"/>
  </r>
  <r>
    <x v="2937"/>
    <x v="8"/>
    <x v="1"/>
    <x v="55"/>
  </r>
  <r>
    <x v="1154"/>
    <x v="8"/>
    <x v="1"/>
    <x v="55"/>
  </r>
  <r>
    <x v="2938"/>
    <x v="8"/>
    <x v="5"/>
    <x v="0"/>
  </r>
  <r>
    <x v="276"/>
    <x v="8"/>
    <x v="4"/>
    <x v="11"/>
  </r>
  <r>
    <x v="2939"/>
    <x v="8"/>
    <x v="5"/>
    <x v="0"/>
  </r>
  <r>
    <x v="2940"/>
    <x v="8"/>
    <x v="1"/>
    <x v="30"/>
  </r>
  <r>
    <x v="2941"/>
    <x v="8"/>
    <x v="4"/>
    <x v="4"/>
  </r>
  <r>
    <x v="2942"/>
    <x v="8"/>
    <x v="4"/>
    <x v="4"/>
  </r>
  <r>
    <x v="276"/>
    <x v="8"/>
    <x v="6"/>
    <x v="38"/>
  </r>
  <r>
    <x v="276"/>
    <x v="8"/>
    <x v="6"/>
    <x v="38"/>
  </r>
  <r>
    <x v="442"/>
    <x v="8"/>
    <x v="6"/>
    <x v="38"/>
  </r>
  <r>
    <x v="75"/>
    <x v="8"/>
    <x v="6"/>
    <x v="38"/>
  </r>
  <r>
    <x v="75"/>
    <x v="8"/>
    <x v="6"/>
    <x v="38"/>
  </r>
  <r>
    <x v="102"/>
    <x v="8"/>
    <x v="1"/>
    <x v="23"/>
  </r>
  <r>
    <x v="103"/>
    <x v="8"/>
    <x v="1"/>
    <x v="23"/>
  </r>
  <r>
    <x v="103"/>
    <x v="8"/>
    <x v="1"/>
    <x v="23"/>
  </r>
  <r>
    <x v="763"/>
    <x v="8"/>
    <x v="2"/>
    <x v="63"/>
  </r>
  <r>
    <x v="1131"/>
    <x v="8"/>
    <x v="2"/>
    <x v="63"/>
  </r>
  <r>
    <x v="169"/>
    <x v="8"/>
    <x v="2"/>
    <x v="63"/>
  </r>
  <r>
    <x v="1027"/>
    <x v="8"/>
    <x v="2"/>
    <x v="63"/>
  </r>
  <r>
    <x v="460"/>
    <x v="8"/>
    <x v="4"/>
    <x v="11"/>
  </r>
  <r>
    <x v="2943"/>
    <x v="8"/>
    <x v="4"/>
    <x v="11"/>
  </r>
  <r>
    <x v="276"/>
    <x v="8"/>
    <x v="4"/>
    <x v="11"/>
  </r>
  <r>
    <x v="164"/>
    <x v="8"/>
    <x v="4"/>
    <x v="11"/>
  </r>
  <r>
    <x v="2944"/>
    <x v="8"/>
    <x v="1"/>
    <x v="40"/>
  </r>
  <r>
    <x v="166"/>
    <x v="8"/>
    <x v="2"/>
    <x v="46"/>
  </r>
  <r>
    <x v="162"/>
    <x v="8"/>
    <x v="1"/>
    <x v="55"/>
  </r>
  <r>
    <x v="2945"/>
    <x v="8"/>
    <x v="4"/>
    <x v="4"/>
  </r>
  <r>
    <x v="1647"/>
    <x v="8"/>
    <x v="1"/>
    <x v="23"/>
  </r>
  <r>
    <x v="447"/>
    <x v="8"/>
    <x v="1"/>
    <x v="23"/>
  </r>
  <r>
    <x v="2946"/>
    <x v="8"/>
    <x v="1"/>
    <x v="62"/>
  </r>
  <r>
    <x v="99"/>
    <x v="8"/>
    <x v="1"/>
    <x v="23"/>
  </r>
  <r>
    <x v="2947"/>
    <x v="8"/>
    <x v="5"/>
    <x v="0"/>
  </r>
  <r>
    <x v="81"/>
    <x v="8"/>
    <x v="4"/>
    <x v="11"/>
  </r>
  <r>
    <x v="139"/>
    <x v="8"/>
    <x v="4"/>
    <x v="4"/>
  </r>
  <r>
    <x v="465"/>
    <x v="8"/>
    <x v="2"/>
    <x v="34"/>
  </r>
  <r>
    <x v="447"/>
    <x v="8"/>
    <x v="1"/>
    <x v="55"/>
  </r>
  <r>
    <x v="99"/>
    <x v="8"/>
    <x v="1"/>
    <x v="23"/>
  </r>
  <r>
    <x v="160"/>
    <x v="8"/>
    <x v="2"/>
    <x v="26"/>
  </r>
  <r>
    <x v="147"/>
    <x v="8"/>
    <x v="4"/>
    <x v="4"/>
  </r>
  <r>
    <x v="1065"/>
    <x v="8"/>
    <x v="1"/>
    <x v="23"/>
  </r>
  <r>
    <x v="24"/>
    <x v="8"/>
    <x v="1"/>
    <x v="23"/>
  </r>
  <r>
    <x v="1669"/>
    <x v="8"/>
    <x v="1"/>
    <x v="23"/>
  </r>
  <r>
    <x v="43"/>
    <x v="8"/>
    <x v="1"/>
    <x v="23"/>
  </r>
  <r>
    <x v="808"/>
    <x v="8"/>
    <x v="1"/>
    <x v="23"/>
  </r>
  <r>
    <x v="166"/>
    <x v="8"/>
    <x v="2"/>
    <x v="75"/>
  </r>
  <r>
    <x v="166"/>
    <x v="8"/>
    <x v="2"/>
    <x v="75"/>
  </r>
  <r>
    <x v="160"/>
    <x v="8"/>
    <x v="1"/>
    <x v="30"/>
  </r>
  <r>
    <x v="103"/>
    <x v="8"/>
    <x v="2"/>
    <x v="34"/>
  </r>
  <r>
    <x v="180"/>
    <x v="8"/>
    <x v="1"/>
    <x v="43"/>
  </r>
  <r>
    <x v="40"/>
    <x v="8"/>
    <x v="1"/>
    <x v="55"/>
  </r>
  <r>
    <x v="99"/>
    <x v="8"/>
    <x v="4"/>
    <x v="4"/>
  </r>
  <r>
    <x v="658"/>
    <x v="8"/>
    <x v="4"/>
    <x v="11"/>
  </r>
  <r>
    <x v="2948"/>
    <x v="8"/>
    <x v="4"/>
    <x v="11"/>
  </r>
  <r>
    <x v="2949"/>
    <x v="8"/>
    <x v="5"/>
    <x v="0"/>
  </r>
  <r>
    <x v="2950"/>
    <x v="8"/>
    <x v="4"/>
    <x v="11"/>
  </r>
  <r>
    <x v="2951"/>
    <x v="8"/>
    <x v="4"/>
    <x v="4"/>
  </r>
  <r>
    <x v="2952"/>
    <x v="8"/>
    <x v="4"/>
    <x v="4"/>
  </r>
  <r>
    <x v="118"/>
    <x v="8"/>
    <x v="1"/>
    <x v="66"/>
  </r>
  <r>
    <x v="2953"/>
    <x v="8"/>
    <x v="1"/>
    <x v="23"/>
  </r>
  <r>
    <x v="2954"/>
    <x v="8"/>
    <x v="1"/>
    <x v="62"/>
  </r>
  <r>
    <x v="2955"/>
    <x v="8"/>
    <x v="1"/>
    <x v="62"/>
  </r>
  <r>
    <x v="2956"/>
    <x v="8"/>
    <x v="1"/>
    <x v="40"/>
  </r>
  <r>
    <x v="2957"/>
    <x v="8"/>
    <x v="1"/>
    <x v="40"/>
  </r>
  <r>
    <x v="172"/>
    <x v="8"/>
    <x v="1"/>
    <x v="40"/>
  </r>
  <r>
    <x v="2958"/>
    <x v="8"/>
    <x v="1"/>
    <x v="40"/>
  </r>
  <r>
    <x v="2959"/>
    <x v="8"/>
    <x v="1"/>
    <x v="45"/>
  </r>
  <r>
    <x v="358"/>
    <x v="8"/>
    <x v="2"/>
    <x v="63"/>
  </r>
  <r>
    <x v="2960"/>
    <x v="8"/>
    <x v="2"/>
    <x v="63"/>
  </r>
  <r>
    <x v="571"/>
    <x v="8"/>
    <x v="2"/>
    <x v="63"/>
  </r>
  <r>
    <x v="2961"/>
    <x v="8"/>
    <x v="1"/>
    <x v="71"/>
  </r>
  <r>
    <x v="2962"/>
    <x v="8"/>
    <x v="1"/>
    <x v="71"/>
  </r>
  <r>
    <x v="2963"/>
    <x v="8"/>
    <x v="1"/>
    <x v="24"/>
  </r>
  <r>
    <x v="2964"/>
    <x v="8"/>
    <x v="1"/>
    <x v="43"/>
  </r>
  <r>
    <x v="2965"/>
    <x v="8"/>
    <x v="2"/>
    <x v="61"/>
  </r>
  <r>
    <x v="2966"/>
    <x v="8"/>
    <x v="2"/>
    <x v="34"/>
  </r>
  <r>
    <x v="356"/>
    <x v="8"/>
    <x v="1"/>
    <x v="23"/>
  </r>
  <r>
    <x v="2967"/>
    <x v="8"/>
    <x v="4"/>
    <x v="4"/>
  </r>
  <r>
    <x v="2968"/>
    <x v="8"/>
    <x v="1"/>
    <x v="55"/>
  </r>
  <r>
    <x v="2969"/>
    <x v="8"/>
    <x v="2"/>
    <x v="26"/>
  </r>
  <r>
    <x v="2970"/>
    <x v="8"/>
    <x v="1"/>
    <x v="55"/>
  </r>
  <r>
    <x v="2971"/>
    <x v="8"/>
    <x v="2"/>
    <x v="71"/>
  </r>
  <r>
    <x v="2972"/>
    <x v="8"/>
    <x v="2"/>
    <x v="71"/>
  </r>
  <r>
    <x v="2973"/>
    <x v="8"/>
    <x v="7"/>
    <x v="0"/>
  </r>
  <r>
    <x v="2974"/>
    <x v="8"/>
    <x v="4"/>
    <x v="4"/>
  </r>
  <r>
    <x v="2182"/>
    <x v="8"/>
    <x v="5"/>
    <x v="0"/>
  </r>
  <r>
    <x v="1664"/>
    <x v="8"/>
    <x v="1"/>
    <x v="23"/>
  </r>
  <r>
    <x v="201"/>
    <x v="8"/>
    <x v="1"/>
    <x v="23"/>
  </r>
  <r>
    <x v="147"/>
    <x v="8"/>
    <x v="2"/>
    <x v="63"/>
  </r>
  <r>
    <x v="552"/>
    <x v="8"/>
    <x v="1"/>
    <x v="55"/>
  </r>
  <r>
    <x v="147"/>
    <x v="8"/>
    <x v="2"/>
    <x v="34"/>
  </r>
  <r>
    <x v="369"/>
    <x v="8"/>
    <x v="1"/>
    <x v="43"/>
  </r>
  <r>
    <x v="168"/>
    <x v="8"/>
    <x v="1"/>
    <x v="23"/>
  </r>
  <r>
    <x v="99"/>
    <x v="8"/>
    <x v="4"/>
    <x v="4"/>
  </r>
  <r>
    <x v="161"/>
    <x v="8"/>
    <x v="2"/>
    <x v="26"/>
  </r>
  <r>
    <x v="2975"/>
    <x v="8"/>
    <x v="4"/>
    <x v="4"/>
  </r>
  <r>
    <x v="2976"/>
    <x v="8"/>
    <x v="4"/>
    <x v="4"/>
  </r>
  <r>
    <x v="166"/>
    <x v="8"/>
    <x v="1"/>
    <x v="76"/>
  </r>
  <r>
    <x v="166"/>
    <x v="8"/>
    <x v="1"/>
    <x v="76"/>
  </r>
  <r>
    <x v="427"/>
    <x v="8"/>
    <x v="4"/>
    <x v="4"/>
  </r>
  <r>
    <x v="2977"/>
    <x v="8"/>
    <x v="2"/>
    <x v="34"/>
  </r>
  <r>
    <x v="2978"/>
    <x v="8"/>
    <x v="1"/>
    <x v="55"/>
  </r>
  <r>
    <x v="2979"/>
    <x v="8"/>
    <x v="1"/>
    <x v="62"/>
  </r>
  <r>
    <x v="2980"/>
    <x v="8"/>
    <x v="4"/>
    <x v="4"/>
  </r>
  <r>
    <x v="2981"/>
    <x v="8"/>
    <x v="1"/>
    <x v="62"/>
  </r>
  <r>
    <x v="2982"/>
    <x v="8"/>
    <x v="1"/>
    <x v="62"/>
  </r>
  <r>
    <x v="35"/>
    <x v="8"/>
    <x v="6"/>
    <x v="38"/>
  </r>
  <r>
    <x v="75"/>
    <x v="8"/>
    <x v="6"/>
    <x v="38"/>
  </r>
  <r>
    <x v="101"/>
    <x v="8"/>
    <x v="4"/>
    <x v="11"/>
  </r>
  <r>
    <x v="115"/>
    <x v="8"/>
    <x v="4"/>
    <x v="11"/>
  </r>
  <r>
    <x v="195"/>
    <x v="8"/>
    <x v="1"/>
    <x v="23"/>
  </r>
  <r>
    <x v="132"/>
    <x v="8"/>
    <x v="1"/>
    <x v="23"/>
  </r>
  <r>
    <x v="2086"/>
    <x v="8"/>
    <x v="1"/>
    <x v="23"/>
  </r>
  <r>
    <x v="132"/>
    <x v="8"/>
    <x v="1"/>
    <x v="23"/>
  </r>
  <r>
    <x v="132"/>
    <x v="8"/>
    <x v="1"/>
    <x v="31"/>
  </r>
  <r>
    <x v="763"/>
    <x v="8"/>
    <x v="4"/>
    <x v="4"/>
  </r>
  <r>
    <x v="231"/>
    <x v="8"/>
    <x v="4"/>
    <x v="4"/>
  </r>
  <r>
    <x v="2089"/>
    <x v="8"/>
    <x v="4"/>
    <x v="4"/>
  </r>
  <r>
    <x v="36"/>
    <x v="8"/>
    <x v="4"/>
    <x v="11"/>
  </r>
  <r>
    <x v="36"/>
    <x v="8"/>
    <x v="4"/>
    <x v="11"/>
  </r>
  <r>
    <x v="2983"/>
    <x v="8"/>
    <x v="2"/>
    <x v="63"/>
  </r>
  <r>
    <x v="1051"/>
    <x v="8"/>
    <x v="2"/>
    <x v="34"/>
  </r>
  <r>
    <x v="186"/>
    <x v="8"/>
    <x v="1"/>
    <x v="55"/>
  </r>
  <r>
    <x v="2984"/>
    <x v="8"/>
    <x v="1"/>
    <x v="62"/>
  </r>
  <r>
    <x v="361"/>
    <x v="8"/>
    <x v="1"/>
    <x v="43"/>
  </r>
  <r>
    <x v="2985"/>
    <x v="8"/>
    <x v="1"/>
    <x v="43"/>
  </r>
  <r>
    <x v="2986"/>
    <x v="8"/>
    <x v="1"/>
    <x v="43"/>
  </r>
  <r>
    <x v="2987"/>
    <x v="8"/>
    <x v="2"/>
    <x v="63"/>
  </r>
  <r>
    <x v="2988"/>
    <x v="8"/>
    <x v="1"/>
    <x v="45"/>
  </r>
  <r>
    <x v="726"/>
    <x v="8"/>
    <x v="4"/>
    <x v="4"/>
  </r>
  <r>
    <x v="2989"/>
    <x v="8"/>
    <x v="1"/>
    <x v="31"/>
  </r>
  <r>
    <x v="2990"/>
    <x v="8"/>
    <x v="1"/>
    <x v="23"/>
  </r>
  <r>
    <x v="2991"/>
    <x v="8"/>
    <x v="2"/>
    <x v="71"/>
  </r>
  <r>
    <x v="2992"/>
    <x v="8"/>
    <x v="1"/>
    <x v="23"/>
  </r>
  <r>
    <x v="35"/>
    <x v="8"/>
    <x v="1"/>
    <x v="23"/>
  </r>
  <r>
    <x v="18"/>
    <x v="8"/>
    <x v="1"/>
    <x v="23"/>
  </r>
  <r>
    <x v="1867"/>
    <x v="8"/>
    <x v="1"/>
    <x v="23"/>
  </r>
  <r>
    <x v="103"/>
    <x v="8"/>
    <x v="1"/>
    <x v="23"/>
  </r>
  <r>
    <x v="103"/>
    <x v="8"/>
    <x v="1"/>
    <x v="23"/>
  </r>
  <r>
    <x v="35"/>
    <x v="8"/>
    <x v="2"/>
    <x v="62"/>
  </r>
  <r>
    <x v="35"/>
    <x v="8"/>
    <x v="2"/>
    <x v="62"/>
  </r>
  <r>
    <x v="35"/>
    <x v="8"/>
    <x v="2"/>
    <x v="62"/>
  </r>
  <r>
    <x v="35"/>
    <x v="8"/>
    <x v="2"/>
    <x v="62"/>
  </r>
  <r>
    <x v="35"/>
    <x v="8"/>
    <x v="2"/>
    <x v="62"/>
  </r>
  <r>
    <x v="35"/>
    <x v="8"/>
    <x v="2"/>
    <x v="62"/>
  </r>
  <r>
    <x v="2993"/>
    <x v="8"/>
    <x v="4"/>
    <x v="4"/>
  </r>
  <r>
    <x v="2994"/>
    <x v="8"/>
    <x v="4"/>
    <x v="11"/>
  </r>
  <r>
    <x v="904"/>
    <x v="8"/>
    <x v="4"/>
    <x v="11"/>
  </r>
  <r>
    <x v="904"/>
    <x v="8"/>
    <x v="4"/>
    <x v="11"/>
  </r>
  <r>
    <x v="2995"/>
    <x v="8"/>
    <x v="4"/>
    <x v="11"/>
  </r>
  <r>
    <x v="2996"/>
    <x v="8"/>
    <x v="4"/>
    <x v="11"/>
  </r>
  <r>
    <x v="118"/>
    <x v="8"/>
    <x v="1"/>
    <x v="23"/>
  </r>
  <r>
    <x v="2997"/>
    <x v="8"/>
    <x v="4"/>
    <x v="11"/>
  </r>
  <r>
    <x v="2998"/>
    <x v="8"/>
    <x v="1"/>
    <x v="40"/>
  </r>
  <r>
    <x v="783"/>
    <x v="8"/>
    <x v="1"/>
    <x v="23"/>
  </r>
  <r>
    <x v="2862"/>
    <x v="8"/>
    <x v="1"/>
    <x v="23"/>
  </r>
  <r>
    <x v="1027"/>
    <x v="8"/>
    <x v="2"/>
    <x v="19"/>
  </r>
  <r>
    <x v="819"/>
    <x v="8"/>
    <x v="1"/>
    <x v="45"/>
  </r>
  <r>
    <x v="2999"/>
    <x v="8"/>
    <x v="1"/>
    <x v="40"/>
  </r>
  <r>
    <x v="3000"/>
    <x v="8"/>
    <x v="1"/>
    <x v="55"/>
  </r>
  <r>
    <x v="3001"/>
    <x v="8"/>
    <x v="4"/>
    <x v="4"/>
  </r>
  <r>
    <x v="3002"/>
    <x v="8"/>
    <x v="4"/>
    <x v="4"/>
  </r>
  <r>
    <x v="3003"/>
    <x v="8"/>
    <x v="9"/>
    <x v="23"/>
  </r>
  <r>
    <x v="2285"/>
    <x v="8"/>
    <x v="1"/>
    <x v="23"/>
  </r>
  <r>
    <x v="3004"/>
    <x v="8"/>
    <x v="1"/>
    <x v="23"/>
  </r>
  <r>
    <x v="3005"/>
    <x v="8"/>
    <x v="1"/>
    <x v="23"/>
  </r>
  <r>
    <x v="3006"/>
    <x v="8"/>
    <x v="1"/>
    <x v="55"/>
  </r>
  <r>
    <x v="3007"/>
    <x v="8"/>
    <x v="4"/>
    <x v="4"/>
  </r>
  <r>
    <x v="494"/>
    <x v="8"/>
    <x v="2"/>
    <x v="34"/>
  </r>
  <r>
    <x v="2291"/>
    <x v="8"/>
    <x v="4"/>
    <x v="4"/>
  </r>
  <r>
    <x v="639"/>
    <x v="8"/>
    <x v="1"/>
    <x v="45"/>
  </r>
  <r>
    <x v="2291"/>
    <x v="8"/>
    <x v="4"/>
    <x v="4"/>
  </r>
  <r>
    <x v="495"/>
    <x v="8"/>
    <x v="4"/>
    <x v="4"/>
  </r>
  <r>
    <x v="3008"/>
    <x v="8"/>
    <x v="2"/>
    <x v="34"/>
  </r>
  <r>
    <x v="2608"/>
    <x v="8"/>
    <x v="2"/>
    <x v="34"/>
  </r>
  <r>
    <x v="2608"/>
    <x v="8"/>
    <x v="2"/>
    <x v="62"/>
  </r>
  <r>
    <x v="2608"/>
    <x v="8"/>
    <x v="1"/>
    <x v="55"/>
  </r>
  <r>
    <x v="3009"/>
    <x v="8"/>
    <x v="2"/>
    <x v="63"/>
  </r>
  <r>
    <x v="3010"/>
    <x v="8"/>
    <x v="2"/>
    <x v="63"/>
  </r>
  <r>
    <x v="2613"/>
    <x v="8"/>
    <x v="2"/>
    <x v="34"/>
  </r>
  <r>
    <x v="2612"/>
    <x v="8"/>
    <x v="2"/>
    <x v="62"/>
  </r>
  <r>
    <x v="2612"/>
    <x v="8"/>
    <x v="1"/>
    <x v="55"/>
  </r>
  <r>
    <x v="2614"/>
    <x v="8"/>
    <x v="1"/>
    <x v="45"/>
  </r>
  <r>
    <x v="53"/>
    <x v="8"/>
    <x v="4"/>
    <x v="4"/>
  </r>
  <r>
    <x v="2615"/>
    <x v="8"/>
    <x v="2"/>
    <x v="34"/>
  </r>
  <r>
    <x v="2615"/>
    <x v="8"/>
    <x v="2"/>
    <x v="62"/>
  </r>
  <r>
    <x v="2615"/>
    <x v="8"/>
    <x v="1"/>
    <x v="55"/>
  </r>
  <r>
    <x v="2296"/>
    <x v="8"/>
    <x v="4"/>
    <x v="4"/>
  </r>
  <r>
    <x v="3011"/>
    <x v="8"/>
    <x v="4"/>
    <x v="4"/>
  </r>
  <r>
    <x v="3012"/>
    <x v="8"/>
    <x v="4"/>
    <x v="11"/>
  </r>
  <r>
    <x v="2434"/>
    <x v="8"/>
    <x v="1"/>
    <x v="23"/>
  </r>
  <r>
    <x v="2434"/>
    <x v="8"/>
    <x v="1"/>
    <x v="23"/>
  </r>
  <r>
    <x v="498"/>
    <x v="8"/>
    <x v="1"/>
    <x v="55"/>
  </r>
  <r>
    <x v="1780"/>
    <x v="8"/>
    <x v="2"/>
    <x v="62"/>
  </r>
  <r>
    <x v="3013"/>
    <x v="8"/>
    <x v="2"/>
    <x v="62"/>
  </r>
  <r>
    <x v="498"/>
    <x v="8"/>
    <x v="2"/>
    <x v="34"/>
  </r>
  <r>
    <x v="2619"/>
    <x v="8"/>
    <x v="4"/>
    <x v="11"/>
  </r>
  <r>
    <x v="1373"/>
    <x v="8"/>
    <x v="4"/>
    <x v="4"/>
  </r>
  <r>
    <x v="2434"/>
    <x v="8"/>
    <x v="1"/>
    <x v="23"/>
  </r>
  <r>
    <x v="3014"/>
    <x v="8"/>
    <x v="1"/>
    <x v="23"/>
  </r>
  <r>
    <x v="2620"/>
    <x v="8"/>
    <x v="2"/>
    <x v="34"/>
  </r>
  <r>
    <x v="2620"/>
    <x v="8"/>
    <x v="2"/>
    <x v="62"/>
  </r>
  <r>
    <x v="2621"/>
    <x v="8"/>
    <x v="1"/>
    <x v="55"/>
  </r>
  <r>
    <x v="2434"/>
    <x v="8"/>
    <x v="1"/>
    <x v="23"/>
  </r>
  <r>
    <x v="2434"/>
    <x v="8"/>
    <x v="1"/>
    <x v="23"/>
  </r>
  <r>
    <x v="2434"/>
    <x v="8"/>
    <x v="1"/>
    <x v="23"/>
  </r>
  <r>
    <x v="3015"/>
    <x v="8"/>
    <x v="1"/>
    <x v="23"/>
  </r>
  <r>
    <x v="3015"/>
    <x v="8"/>
    <x v="1"/>
    <x v="23"/>
  </r>
  <r>
    <x v="2434"/>
    <x v="8"/>
    <x v="1"/>
    <x v="23"/>
  </r>
  <r>
    <x v="2434"/>
    <x v="8"/>
    <x v="1"/>
    <x v="23"/>
  </r>
  <r>
    <x v="2434"/>
    <x v="8"/>
    <x v="1"/>
    <x v="23"/>
  </r>
  <r>
    <x v="3010"/>
    <x v="8"/>
    <x v="2"/>
    <x v="63"/>
  </r>
  <r>
    <x v="498"/>
    <x v="8"/>
    <x v="2"/>
    <x v="34"/>
  </r>
  <r>
    <x v="3010"/>
    <x v="8"/>
    <x v="2"/>
    <x v="63"/>
  </r>
  <r>
    <x v="498"/>
    <x v="8"/>
    <x v="2"/>
    <x v="34"/>
  </r>
  <r>
    <x v="498"/>
    <x v="8"/>
    <x v="2"/>
    <x v="34"/>
  </r>
  <r>
    <x v="3016"/>
    <x v="8"/>
    <x v="2"/>
    <x v="54"/>
  </r>
  <r>
    <x v="3017"/>
    <x v="8"/>
    <x v="2"/>
    <x v="34"/>
  </r>
  <r>
    <x v="3018"/>
    <x v="8"/>
    <x v="2"/>
    <x v="62"/>
  </r>
  <r>
    <x v="3017"/>
    <x v="8"/>
    <x v="1"/>
    <x v="55"/>
  </r>
  <r>
    <x v="2626"/>
    <x v="8"/>
    <x v="1"/>
    <x v="45"/>
  </r>
  <r>
    <x v="2626"/>
    <x v="8"/>
    <x v="1"/>
    <x v="23"/>
  </r>
  <r>
    <x v="2623"/>
    <x v="8"/>
    <x v="1"/>
    <x v="45"/>
  </r>
  <r>
    <x v="3019"/>
    <x v="8"/>
    <x v="2"/>
    <x v="34"/>
  </r>
  <r>
    <x v="3019"/>
    <x v="8"/>
    <x v="2"/>
    <x v="62"/>
  </r>
  <r>
    <x v="3019"/>
    <x v="8"/>
    <x v="1"/>
    <x v="55"/>
  </r>
  <r>
    <x v="3015"/>
    <x v="8"/>
    <x v="1"/>
    <x v="23"/>
  </r>
  <r>
    <x v="2434"/>
    <x v="8"/>
    <x v="1"/>
    <x v="23"/>
  </r>
  <r>
    <x v="3015"/>
    <x v="8"/>
    <x v="1"/>
    <x v="23"/>
  </r>
  <r>
    <x v="3015"/>
    <x v="8"/>
    <x v="1"/>
    <x v="23"/>
  </r>
  <r>
    <x v="399"/>
    <x v="8"/>
    <x v="4"/>
    <x v="4"/>
  </r>
  <r>
    <x v="3020"/>
    <x v="8"/>
    <x v="1"/>
    <x v="23"/>
  </r>
  <r>
    <x v="3021"/>
    <x v="8"/>
    <x v="4"/>
    <x v="4"/>
  </r>
  <r>
    <x v="3022"/>
    <x v="8"/>
    <x v="4"/>
    <x v="11"/>
  </r>
  <r>
    <x v="3015"/>
    <x v="8"/>
    <x v="1"/>
    <x v="23"/>
  </r>
  <r>
    <x v="2434"/>
    <x v="8"/>
    <x v="1"/>
    <x v="23"/>
  </r>
  <r>
    <x v="2434"/>
    <x v="8"/>
    <x v="1"/>
    <x v="23"/>
  </r>
  <r>
    <x v="3015"/>
    <x v="8"/>
    <x v="1"/>
    <x v="23"/>
  </r>
  <r>
    <x v="2434"/>
    <x v="8"/>
    <x v="1"/>
    <x v="23"/>
  </r>
  <r>
    <x v="2434"/>
    <x v="8"/>
    <x v="1"/>
    <x v="23"/>
  </r>
  <r>
    <x v="3023"/>
    <x v="8"/>
    <x v="1"/>
    <x v="55"/>
  </r>
  <r>
    <x v="2631"/>
    <x v="8"/>
    <x v="2"/>
    <x v="34"/>
  </r>
  <r>
    <x v="2631"/>
    <x v="8"/>
    <x v="2"/>
    <x v="62"/>
  </r>
  <r>
    <x v="2631"/>
    <x v="8"/>
    <x v="1"/>
    <x v="55"/>
  </r>
  <r>
    <x v="498"/>
    <x v="8"/>
    <x v="1"/>
    <x v="55"/>
  </r>
  <r>
    <x v="1780"/>
    <x v="8"/>
    <x v="1"/>
    <x v="23"/>
  </r>
  <r>
    <x v="1780"/>
    <x v="8"/>
    <x v="1"/>
    <x v="23"/>
  </r>
  <r>
    <x v="1780"/>
    <x v="8"/>
    <x v="1"/>
    <x v="23"/>
  </r>
  <r>
    <x v="1780"/>
    <x v="8"/>
    <x v="1"/>
    <x v="23"/>
  </r>
  <r>
    <x v="620"/>
    <x v="8"/>
    <x v="1"/>
    <x v="23"/>
  </r>
  <r>
    <x v="3024"/>
    <x v="8"/>
    <x v="1"/>
    <x v="45"/>
  </r>
  <r>
    <x v="3025"/>
    <x v="8"/>
    <x v="3"/>
    <x v="0"/>
  </r>
  <r>
    <x v="3026"/>
    <x v="8"/>
    <x v="6"/>
    <x v="56"/>
  </r>
  <r>
    <x v="3027"/>
    <x v="8"/>
    <x v="2"/>
    <x v="67"/>
  </r>
  <r>
    <x v="166"/>
    <x v="8"/>
    <x v="4"/>
    <x v="11"/>
  </r>
  <r>
    <x v="2754"/>
    <x v="8"/>
    <x v="1"/>
    <x v="31"/>
  </r>
  <r>
    <x v="40"/>
    <x v="8"/>
    <x v="2"/>
    <x v="34"/>
  </r>
  <r>
    <x v="147"/>
    <x v="8"/>
    <x v="1"/>
    <x v="55"/>
  </r>
  <r>
    <x v="147"/>
    <x v="8"/>
    <x v="4"/>
    <x v="4"/>
  </r>
  <r>
    <x v="160"/>
    <x v="8"/>
    <x v="2"/>
    <x v="18"/>
  </r>
  <r>
    <x v="101"/>
    <x v="8"/>
    <x v="1"/>
    <x v="43"/>
  </r>
  <r>
    <x v="101"/>
    <x v="8"/>
    <x v="1"/>
    <x v="43"/>
  </r>
  <r>
    <x v="164"/>
    <x v="8"/>
    <x v="4"/>
    <x v="11"/>
  </r>
  <r>
    <x v="3028"/>
    <x v="8"/>
    <x v="4"/>
    <x v="4"/>
  </r>
  <r>
    <x v="3029"/>
    <x v="8"/>
    <x v="2"/>
    <x v="54"/>
  </r>
  <r>
    <x v="3030"/>
    <x v="8"/>
    <x v="4"/>
    <x v="4"/>
  </r>
  <r>
    <x v="3031"/>
    <x v="8"/>
    <x v="4"/>
    <x v="4"/>
  </r>
  <r>
    <x v="3032"/>
    <x v="8"/>
    <x v="4"/>
    <x v="4"/>
  </r>
  <r>
    <x v="3033"/>
    <x v="8"/>
    <x v="5"/>
    <x v="0"/>
  </r>
  <r>
    <x v="3034"/>
    <x v="8"/>
    <x v="1"/>
    <x v="66"/>
  </r>
  <r>
    <x v="3034"/>
    <x v="8"/>
    <x v="1"/>
    <x v="77"/>
  </r>
  <r>
    <x v="2013"/>
    <x v="9"/>
    <x v="4"/>
    <x v="4"/>
  </r>
  <r>
    <x v="81"/>
    <x v="9"/>
    <x v="1"/>
    <x v="43"/>
  </r>
  <r>
    <x v="3035"/>
    <x v="9"/>
    <x v="1"/>
    <x v="23"/>
  </r>
  <r>
    <x v="43"/>
    <x v="9"/>
    <x v="4"/>
    <x v="4"/>
  </r>
  <r>
    <x v="865"/>
    <x v="9"/>
    <x v="4"/>
    <x v="4"/>
  </r>
  <r>
    <x v="24"/>
    <x v="9"/>
    <x v="1"/>
    <x v="40"/>
  </r>
  <r>
    <x v="35"/>
    <x v="9"/>
    <x v="1"/>
    <x v="40"/>
  </r>
  <r>
    <x v="103"/>
    <x v="9"/>
    <x v="2"/>
    <x v="34"/>
  </r>
  <r>
    <x v="166"/>
    <x v="9"/>
    <x v="2"/>
    <x v="34"/>
  </r>
  <r>
    <x v="3036"/>
    <x v="9"/>
    <x v="2"/>
    <x v="34"/>
  </r>
  <r>
    <x v="50"/>
    <x v="9"/>
    <x v="2"/>
    <x v="34"/>
  </r>
  <r>
    <x v="163"/>
    <x v="9"/>
    <x v="1"/>
    <x v="31"/>
  </r>
  <r>
    <x v="3037"/>
    <x v="9"/>
    <x v="2"/>
    <x v="34"/>
  </r>
  <r>
    <x v="547"/>
    <x v="9"/>
    <x v="4"/>
    <x v="4"/>
  </r>
  <r>
    <x v="192"/>
    <x v="9"/>
    <x v="2"/>
    <x v="62"/>
  </r>
  <r>
    <x v="99"/>
    <x v="9"/>
    <x v="2"/>
    <x v="34"/>
  </r>
  <r>
    <x v="3038"/>
    <x v="9"/>
    <x v="2"/>
    <x v="62"/>
  </r>
  <r>
    <x v="42"/>
    <x v="9"/>
    <x v="2"/>
    <x v="62"/>
  </r>
  <r>
    <x v="3039"/>
    <x v="9"/>
    <x v="2"/>
    <x v="62"/>
  </r>
  <r>
    <x v="166"/>
    <x v="9"/>
    <x v="2"/>
    <x v="62"/>
  </r>
  <r>
    <x v="161"/>
    <x v="9"/>
    <x v="2"/>
    <x v="34"/>
  </r>
  <r>
    <x v="1642"/>
    <x v="9"/>
    <x v="4"/>
    <x v="4"/>
  </r>
  <r>
    <x v="465"/>
    <x v="9"/>
    <x v="2"/>
    <x v="62"/>
  </r>
  <r>
    <x v="160"/>
    <x v="9"/>
    <x v="2"/>
    <x v="34"/>
  </r>
  <r>
    <x v="76"/>
    <x v="9"/>
    <x v="2"/>
    <x v="62"/>
  </r>
  <r>
    <x v="2400"/>
    <x v="9"/>
    <x v="4"/>
    <x v="4"/>
  </r>
  <r>
    <x v="3040"/>
    <x v="9"/>
    <x v="4"/>
    <x v="4"/>
  </r>
  <r>
    <x v="147"/>
    <x v="9"/>
    <x v="1"/>
    <x v="31"/>
  </r>
  <r>
    <x v="160"/>
    <x v="9"/>
    <x v="6"/>
    <x v="78"/>
  </r>
  <r>
    <x v="99"/>
    <x v="9"/>
    <x v="2"/>
    <x v="34"/>
  </r>
  <r>
    <x v="863"/>
    <x v="9"/>
    <x v="1"/>
    <x v="31"/>
  </r>
  <r>
    <x v="3041"/>
    <x v="9"/>
    <x v="1"/>
    <x v="23"/>
  </r>
  <r>
    <x v="3042"/>
    <x v="9"/>
    <x v="2"/>
    <x v="34"/>
  </r>
  <r>
    <x v="43"/>
    <x v="9"/>
    <x v="6"/>
    <x v="78"/>
  </r>
  <r>
    <x v="43"/>
    <x v="9"/>
    <x v="2"/>
    <x v="18"/>
  </r>
  <r>
    <x v="832"/>
    <x v="9"/>
    <x v="1"/>
    <x v="55"/>
  </r>
  <r>
    <x v="115"/>
    <x v="9"/>
    <x v="1"/>
    <x v="40"/>
  </r>
  <r>
    <x v="3043"/>
    <x v="9"/>
    <x v="2"/>
    <x v="34"/>
  </r>
  <r>
    <x v="3044"/>
    <x v="9"/>
    <x v="2"/>
    <x v="34"/>
  </r>
  <r>
    <x v="2120"/>
    <x v="9"/>
    <x v="3"/>
    <x v="0"/>
  </r>
  <r>
    <x v="3045"/>
    <x v="9"/>
    <x v="0"/>
    <x v="0"/>
  </r>
  <r>
    <x v="3046"/>
    <x v="9"/>
    <x v="5"/>
    <x v="0"/>
  </r>
  <r>
    <x v="161"/>
    <x v="9"/>
    <x v="4"/>
    <x v="11"/>
  </r>
  <r>
    <x v="3047"/>
    <x v="9"/>
    <x v="4"/>
    <x v="4"/>
  </r>
  <r>
    <x v="3048"/>
    <x v="9"/>
    <x v="1"/>
    <x v="23"/>
  </r>
  <r>
    <x v="3049"/>
    <x v="9"/>
    <x v="2"/>
    <x v="34"/>
  </r>
  <r>
    <x v="719"/>
    <x v="9"/>
    <x v="2"/>
    <x v="54"/>
  </r>
  <r>
    <x v="2628"/>
    <x v="9"/>
    <x v="1"/>
    <x v="43"/>
  </r>
  <r>
    <x v="3050"/>
    <x v="9"/>
    <x v="1"/>
    <x v="55"/>
  </r>
  <r>
    <x v="3048"/>
    <x v="9"/>
    <x v="1"/>
    <x v="24"/>
  </r>
  <r>
    <x v="2411"/>
    <x v="9"/>
    <x v="1"/>
    <x v="23"/>
  </r>
  <r>
    <x v="2275"/>
    <x v="9"/>
    <x v="2"/>
    <x v="34"/>
  </r>
  <r>
    <x v="2703"/>
    <x v="9"/>
    <x v="1"/>
    <x v="24"/>
  </r>
  <r>
    <x v="2634"/>
    <x v="9"/>
    <x v="1"/>
    <x v="23"/>
  </r>
  <r>
    <x v="3051"/>
    <x v="9"/>
    <x v="1"/>
    <x v="23"/>
  </r>
  <r>
    <x v="43"/>
    <x v="9"/>
    <x v="1"/>
    <x v="23"/>
  </r>
  <r>
    <x v="3052"/>
    <x v="9"/>
    <x v="4"/>
    <x v="4"/>
  </r>
  <r>
    <x v="3053"/>
    <x v="9"/>
    <x v="2"/>
    <x v="79"/>
  </r>
  <r>
    <x v="3054"/>
    <x v="9"/>
    <x v="1"/>
    <x v="71"/>
  </r>
  <r>
    <x v="35"/>
    <x v="9"/>
    <x v="4"/>
    <x v="4"/>
  </r>
  <r>
    <x v="3055"/>
    <x v="9"/>
    <x v="2"/>
    <x v="79"/>
  </r>
  <r>
    <x v="217"/>
    <x v="9"/>
    <x v="4"/>
    <x v="4"/>
  </r>
  <r>
    <x v="3056"/>
    <x v="9"/>
    <x v="4"/>
    <x v="4"/>
  </r>
  <r>
    <x v="3057"/>
    <x v="9"/>
    <x v="1"/>
    <x v="24"/>
  </r>
  <r>
    <x v="3058"/>
    <x v="9"/>
    <x v="1"/>
    <x v="23"/>
  </r>
  <r>
    <x v="3059"/>
    <x v="9"/>
    <x v="1"/>
    <x v="45"/>
  </r>
  <r>
    <x v="3060"/>
    <x v="9"/>
    <x v="2"/>
    <x v="34"/>
  </r>
  <r>
    <x v="3061"/>
    <x v="9"/>
    <x v="1"/>
    <x v="71"/>
  </r>
  <r>
    <x v="35"/>
    <x v="9"/>
    <x v="1"/>
    <x v="23"/>
  </r>
  <r>
    <x v="3062"/>
    <x v="9"/>
    <x v="4"/>
    <x v="4"/>
  </r>
  <r>
    <x v="3063"/>
    <x v="9"/>
    <x v="4"/>
    <x v="4"/>
  </r>
  <r>
    <x v="146"/>
    <x v="9"/>
    <x v="1"/>
    <x v="45"/>
  </r>
  <r>
    <x v="217"/>
    <x v="9"/>
    <x v="4"/>
    <x v="4"/>
  </r>
  <r>
    <x v="3064"/>
    <x v="9"/>
    <x v="2"/>
    <x v="4"/>
  </r>
  <r>
    <x v="3065"/>
    <x v="9"/>
    <x v="4"/>
    <x v="11"/>
  </r>
  <r>
    <x v="101"/>
    <x v="9"/>
    <x v="1"/>
    <x v="23"/>
  </r>
  <r>
    <x v="2110"/>
    <x v="9"/>
    <x v="1"/>
    <x v="23"/>
  </r>
  <r>
    <x v="154"/>
    <x v="9"/>
    <x v="4"/>
    <x v="4"/>
  </r>
  <r>
    <x v="3066"/>
    <x v="9"/>
    <x v="1"/>
    <x v="23"/>
  </r>
  <r>
    <x v="1679"/>
    <x v="9"/>
    <x v="4"/>
    <x v="4"/>
  </r>
  <r>
    <x v="3067"/>
    <x v="9"/>
    <x v="1"/>
    <x v="23"/>
  </r>
  <r>
    <x v="3068"/>
    <x v="9"/>
    <x v="15"/>
    <x v="68"/>
  </r>
  <r>
    <x v="3069"/>
    <x v="9"/>
    <x v="4"/>
    <x v="4"/>
  </r>
  <r>
    <x v="3070"/>
    <x v="9"/>
    <x v="1"/>
    <x v="71"/>
  </r>
  <r>
    <x v="3071"/>
    <x v="9"/>
    <x v="1"/>
    <x v="71"/>
  </r>
  <r>
    <x v="3072"/>
    <x v="9"/>
    <x v="1"/>
    <x v="31"/>
  </r>
  <r>
    <x v="3073"/>
    <x v="9"/>
    <x v="4"/>
    <x v="4"/>
  </r>
  <r>
    <x v="3074"/>
    <x v="9"/>
    <x v="4"/>
    <x v="11"/>
  </r>
  <r>
    <x v="160"/>
    <x v="9"/>
    <x v="4"/>
    <x v="4"/>
  </r>
  <r>
    <x v="3075"/>
    <x v="9"/>
    <x v="4"/>
    <x v="11"/>
  </r>
  <r>
    <x v="355"/>
    <x v="9"/>
    <x v="4"/>
    <x v="11"/>
  </r>
  <r>
    <x v="3076"/>
    <x v="9"/>
    <x v="4"/>
    <x v="4"/>
  </r>
  <r>
    <x v="231"/>
    <x v="9"/>
    <x v="4"/>
    <x v="4"/>
  </r>
  <r>
    <x v="166"/>
    <x v="9"/>
    <x v="4"/>
    <x v="11"/>
  </r>
  <r>
    <x v="3077"/>
    <x v="9"/>
    <x v="4"/>
    <x v="11"/>
  </r>
  <r>
    <x v="714"/>
    <x v="9"/>
    <x v="4"/>
    <x v="11"/>
  </r>
  <r>
    <x v="3078"/>
    <x v="9"/>
    <x v="2"/>
    <x v="80"/>
  </r>
  <r>
    <x v="562"/>
    <x v="9"/>
    <x v="1"/>
    <x v="23"/>
  </r>
  <r>
    <x v="430"/>
    <x v="9"/>
    <x v="1"/>
    <x v="23"/>
  </r>
  <r>
    <x v="121"/>
    <x v="9"/>
    <x v="4"/>
    <x v="4"/>
  </r>
  <r>
    <x v="3079"/>
    <x v="9"/>
    <x v="2"/>
    <x v="80"/>
  </r>
  <r>
    <x v="3080"/>
    <x v="9"/>
    <x v="3"/>
    <x v="0"/>
  </r>
  <r>
    <x v="35"/>
    <x v="9"/>
    <x v="1"/>
    <x v="23"/>
  </r>
  <r>
    <x v="754"/>
    <x v="9"/>
    <x v="1"/>
    <x v="23"/>
  </r>
  <r>
    <x v="3081"/>
    <x v="9"/>
    <x v="1"/>
    <x v="24"/>
  </r>
  <r>
    <x v="42"/>
    <x v="9"/>
    <x v="1"/>
    <x v="23"/>
  </r>
  <r>
    <x v="2182"/>
    <x v="9"/>
    <x v="4"/>
    <x v="4"/>
  </r>
  <r>
    <x v="3082"/>
    <x v="9"/>
    <x v="4"/>
    <x v="4"/>
  </r>
  <r>
    <x v="3034"/>
    <x v="8"/>
    <x v="1"/>
    <x v="81"/>
  </r>
  <r>
    <x v="3034"/>
    <x v="8"/>
    <x v="1"/>
    <x v="40"/>
  </r>
  <r>
    <x v="101"/>
    <x v="8"/>
    <x v="1"/>
    <x v="43"/>
  </r>
  <r>
    <x v="101"/>
    <x v="8"/>
    <x v="1"/>
    <x v="43"/>
  </r>
  <r>
    <x v="3083"/>
    <x v="9"/>
    <x v="1"/>
    <x v="40"/>
  </r>
  <r>
    <x v="422"/>
    <x v="9"/>
    <x v="2"/>
    <x v="62"/>
  </r>
  <r>
    <x v="160"/>
    <x v="9"/>
    <x v="2"/>
    <x v="79"/>
  </r>
  <r>
    <x v="1187"/>
    <x v="9"/>
    <x v="2"/>
    <x v="62"/>
  </r>
  <r>
    <x v="3084"/>
    <x v="9"/>
    <x v="1"/>
    <x v="55"/>
  </r>
  <r>
    <x v="35"/>
    <x v="9"/>
    <x v="2"/>
    <x v="62"/>
  </r>
  <r>
    <x v="3085"/>
    <x v="9"/>
    <x v="2"/>
    <x v="62"/>
  </r>
  <r>
    <x v="3086"/>
    <x v="9"/>
    <x v="2"/>
    <x v="34"/>
  </r>
  <r>
    <x v="166"/>
    <x v="9"/>
    <x v="2"/>
    <x v="34"/>
  </r>
  <r>
    <x v="81"/>
    <x v="9"/>
    <x v="4"/>
    <x v="11"/>
  </r>
  <r>
    <x v="18"/>
    <x v="9"/>
    <x v="4"/>
    <x v="11"/>
  </r>
  <r>
    <x v="1332"/>
    <x v="9"/>
    <x v="4"/>
    <x v="11"/>
  </r>
  <r>
    <x v="658"/>
    <x v="9"/>
    <x v="4"/>
    <x v="11"/>
  </r>
  <r>
    <x v="1417"/>
    <x v="9"/>
    <x v="4"/>
    <x v="11"/>
  </r>
  <r>
    <x v="3087"/>
    <x v="9"/>
    <x v="4"/>
    <x v="11"/>
  </r>
  <r>
    <x v="832"/>
    <x v="9"/>
    <x v="4"/>
    <x v="11"/>
  </r>
  <r>
    <x v="99"/>
    <x v="9"/>
    <x v="4"/>
    <x v="4"/>
  </r>
  <r>
    <x v="115"/>
    <x v="9"/>
    <x v="6"/>
    <x v="56"/>
  </r>
  <r>
    <x v="132"/>
    <x v="9"/>
    <x v="1"/>
    <x v="60"/>
  </r>
  <r>
    <x v="1865"/>
    <x v="9"/>
    <x v="4"/>
    <x v="4"/>
  </r>
  <r>
    <x v="42"/>
    <x v="9"/>
    <x v="2"/>
    <x v="80"/>
  </r>
  <r>
    <x v="3088"/>
    <x v="9"/>
    <x v="2"/>
    <x v="80"/>
  </r>
  <r>
    <x v="3089"/>
    <x v="9"/>
    <x v="2"/>
    <x v="34"/>
  </r>
  <r>
    <x v="3090"/>
    <x v="9"/>
    <x v="2"/>
    <x v="34"/>
  </r>
  <r>
    <x v="99"/>
    <x v="9"/>
    <x v="2"/>
    <x v="34"/>
  </r>
  <r>
    <x v="3091"/>
    <x v="9"/>
    <x v="1"/>
    <x v="60"/>
  </r>
  <r>
    <x v="35"/>
    <x v="9"/>
    <x v="6"/>
    <x v="56"/>
  </r>
  <r>
    <x v="76"/>
    <x v="9"/>
    <x v="6"/>
    <x v="56"/>
  </r>
  <r>
    <x v="41"/>
    <x v="9"/>
    <x v="2"/>
    <x v="34"/>
  </r>
  <r>
    <x v="693"/>
    <x v="9"/>
    <x v="2"/>
    <x v="34"/>
  </r>
  <r>
    <x v="192"/>
    <x v="9"/>
    <x v="2"/>
    <x v="34"/>
  </r>
  <r>
    <x v="101"/>
    <x v="9"/>
    <x v="1"/>
    <x v="60"/>
  </r>
  <r>
    <x v="101"/>
    <x v="9"/>
    <x v="1"/>
    <x v="60"/>
  </r>
  <r>
    <x v="3092"/>
    <x v="9"/>
    <x v="1"/>
    <x v="60"/>
  </r>
  <r>
    <x v="103"/>
    <x v="9"/>
    <x v="1"/>
    <x v="71"/>
  </r>
  <r>
    <x v="85"/>
    <x v="9"/>
    <x v="1"/>
    <x v="23"/>
  </r>
  <r>
    <x v="422"/>
    <x v="9"/>
    <x v="1"/>
    <x v="23"/>
  </r>
  <r>
    <x v="160"/>
    <x v="9"/>
    <x v="1"/>
    <x v="23"/>
  </r>
  <r>
    <x v="76"/>
    <x v="9"/>
    <x v="1"/>
    <x v="23"/>
  </r>
  <r>
    <x v="166"/>
    <x v="9"/>
    <x v="1"/>
    <x v="40"/>
  </r>
  <r>
    <x v="43"/>
    <x v="9"/>
    <x v="4"/>
    <x v="11"/>
  </r>
  <r>
    <x v="161"/>
    <x v="9"/>
    <x v="4"/>
    <x v="11"/>
  </r>
  <r>
    <x v="439"/>
    <x v="9"/>
    <x v="4"/>
    <x v="11"/>
  </r>
  <r>
    <x v="18"/>
    <x v="9"/>
    <x v="4"/>
    <x v="11"/>
  </r>
  <r>
    <x v="42"/>
    <x v="9"/>
    <x v="1"/>
    <x v="23"/>
  </r>
  <r>
    <x v="99"/>
    <x v="9"/>
    <x v="1"/>
    <x v="23"/>
  </r>
  <r>
    <x v="76"/>
    <x v="9"/>
    <x v="1"/>
    <x v="23"/>
  </r>
  <r>
    <x v="36"/>
    <x v="9"/>
    <x v="1"/>
    <x v="40"/>
  </r>
  <r>
    <x v="276"/>
    <x v="9"/>
    <x v="1"/>
    <x v="40"/>
  </r>
  <r>
    <x v="42"/>
    <x v="9"/>
    <x v="1"/>
    <x v="40"/>
  </r>
  <r>
    <x v="3093"/>
    <x v="9"/>
    <x v="2"/>
    <x v="34"/>
  </r>
  <r>
    <x v="361"/>
    <x v="9"/>
    <x v="4"/>
    <x v="4"/>
  </r>
  <r>
    <x v="168"/>
    <x v="9"/>
    <x v="1"/>
    <x v="71"/>
  </r>
  <r>
    <x v="35"/>
    <x v="9"/>
    <x v="1"/>
    <x v="71"/>
  </r>
  <r>
    <x v="75"/>
    <x v="9"/>
    <x v="1"/>
    <x v="71"/>
  </r>
  <r>
    <x v="1642"/>
    <x v="9"/>
    <x v="1"/>
    <x v="60"/>
  </r>
  <r>
    <x v="3094"/>
    <x v="9"/>
    <x v="2"/>
    <x v="34"/>
  </r>
  <r>
    <x v="192"/>
    <x v="9"/>
    <x v="1"/>
    <x v="71"/>
  </r>
  <r>
    <x v="166"/>
    <x v="9"/>
    <x v="6"/>
    <x v="58"/>
  </r>
  <r>
    <x v="3095"/>
    <x v="9"/>
    <x v="1"/>
    <x v="71"/>
  </r>
  <r>
    <x v="42"/>
    <x v="9"/>
    <x v="2"/>
    <x v="34"/>
  </r>
  <r>
    <x v="36"/>
    <x v="9"/>
    <x v="2"/>
    <x v="34"/>
  </r>
  <r>
    <x v="3096"/>
    <x v="9"/>
    <x v="2"/>
    <x v="34"/>
  </r>
  <r>
    <x v="3097"/>
    <x v="9"/>
    <x v="1"/>
    <x v="60"/>
  </r>
  <r>
    <x v="180"/>
    <x v="9"/>
    <x v="1"/>
    <x v="23"/>
  </r>
  <r>
    <x v="76"/>
    <x v="9"/>
    <x v="1"/>
    <x v="23"/>
  </r>
  <r>
    <x v="40"/>
    <x v="9"/>
    <x v="4"/>
    <x v="4"/>
  </r>
  <r>
    <x v="147"/>
    <x v="9"/>
    <x v="1"/>
    <x v="31"/>
  </r>
  <r>
    <x v="147"/>
    <x v="9"/>
    <x v="1"/>
    <x v="23"/>
  </r>
  <r>
    <x v="160"/>
    <x v="9"/>
    <x v="2"/>
    <x v="34"/>
  </r>
  <r>
    <x v="147"/>
    <x v="9"/>
    <x v="6"/>
    <x v="78"/>
  </r>
  <r>
    <x v="147"/>
    <x v="9"/>
    <x v="2"/>
    <x v="62"/>
  </r>
  <r>
    <x v="99"/>
    <x v="9"/>
    <x v="1"/>
    <x v="55"/>
  </r>
  <r>
    <x v="99"/>
    <x v="9"/>
    <x v="1"/>
    <x v="40"/>
  </r>
  <r>
    <x v="160"/>
    <x v="9"/>
    <x v="1"/>
    <x v="71"/>
  </r>
  <r>
    <x v="132"/>
    <x v="9"/>
    <x v="1"/>
    <x v="60"/>
  </r>
  <r>
    <x v="670"/>
    <x v="9"/>
    <x v="2"/>
    <x v="34"/>
  </r>
  <r>
    <x v="166"/>
    <x v="9"/>
    <x v="6"/>
    <x v="78"/>
  </r>
  <r>
    <x v="3098"/>
    <x v="9"/>
    <x v="2"/>
    <x v="62"/>
  </r>
  <r>
    <x v="166"/>
    <x v="9"/>
    <x v="1"/>
    <x v="55"/>
  </r>
  <r>
    <x v="3099"/>
    <x v="9"/>
    <x v="2"/>
    <x v="62"/>
  </r>
  <r>
    <x v="3100"/>
    <x v="9"/>
    <x v="2"/>
    <x v="62"/>
  </r>
  <r>
    <x v="24"/>
    <x v="9"/>
    <x v="1"/>
    <x v="23"/>
  </r>
  <r>
    <x v="43"/>
    <x v="9"/>
    <x v="1"/>
    <x v="23"/>
  </r>
  <r>
    <x v="254"/>
    <x v="9"/>
    <x v="1"/>
    <x v="23"/>
  </r>
  <r>
    <x v="43"/>
    <x v="9"/>
    <x v="1"/>
    <x v="23"/>
  </r>
  <r>
    <x v="3101"/>
    <x v="9"/>
    <x v="1"/>
    <x v="23"/>
  </r>
  <r>
    <x v="43"/>
    <x v="9"/>
    <x v="1"/>
    <x v="23"/>
  </r>
  <r>
    <x v="12"/>
    <x v="9"/>
    <x v="1"/>
    <x v="23"/>
  </r>
  <r>
    <x v="3102"/>
    <x v="9"/>
    <x v="1"/>
    <x v="23"/>
  </r>
  <r>
    <x v="101"/>
    <x v="9"/>
    <x v="1"/>
    <x v="23"/>
  </r>
  <r>
    <x v="166"/>
    <x v="9"/>
    <x v="1"/>
    <x v="23"/>
  </r>
  <r>
    <x v="1754"/>
    <x v="9"/>
    <x v="1"/>
    <x v="23"/>
  </r>
  <r>
    <x v="35"/>
    <x v="9"/>
    <x v="1"/>
    <x v="23"/>
  </r>
  <r>
    <x v="103"/>
    <x v="9"/>
    <x v="1"/>
    <x v="23"/>
  </r>
  <r>
    <x v="103"/>
    <x v="9"/>
    <x v="1"/>
    <x v="23"/>
  </r>
  <r>
    <x v="43"/>
    <x v="9"/>
    <x v="1"/>
    <x v="23"/>
  </r>
  <r>
    <x v="36"/>
    <x v="9"/>
    <x v="1"/>
    <x v="23"/>
  </r>
  <r>
    <x v="35"/>
    <x v="9"/>
    <x v="1"/>
    <x v="23"/>
  </r>
  <r>
    <x v="3103"/>
    <x v="9"/>
    <x v="1"/>
    <x v="23"/>
  </r>
  <r>
    <x v="1065"/>
    <x v="9"/>
    <x v="1"/>
    <x v="23"/>
  </r>
  <r>
    <x v="24"/>
    <x v="9"/>
    <x v="1"/>
    <x v="23"/>
  </r>
  <r>
    <x v="1065"/>
    <x v="9"/>
    <x v="1"/>
    <x v="23"/>
  </r>
  <r>
    <x v="447"/>
    <x v="9"/>
    <x v="1"/>
    <x v="40"/>
  </r>
  <r>
    <x v="448"/>
    <x v="9"/>
    <x v="1"/>
    <x v="40"/>
  </r>
  <r>
    <x v="3104"/>
    <x v="9"/>
    <x v="1"/>
    <x v="40"/>
  </r>
  <r>
    <x v="3105"/>
    <x v="9"/>
    <x v="1"/>
    <x v="40"/>
  </r>
  <r>
    <x v="3104"/>
    <x v="9"/>
    <x v="1"/>
    <x v="40"/>
  </r>
  <r>
    <x v="105"/>
    <x v="9"/>
    <x v="1"/>
    <x v="40"/>
  </r>
  <r>
    <x v="449"/>
    <x v="9"/>
    <x v="1"/>
    <x v="40"/>
  </r>
  <r>
    <x v="1032"/>
    <x v="9"/>
    <x v="1"/>
    <x v="40"/>
  </r>
  <r>
    <x v="193"/>
    <x v="9"/>
    <x v="1"/>
    <x v="40"/>
  </r>
  <r>
    <x v="2930"/>
    <x v="9"/>
    <x v="1"/>
    <x v="40"/>
  </r>
  <r>
    <x v="1065"/>
    <x v="9"/>
    <x v="1"/>
    <x v="40"/>
  </r>
  <r>
    <x v="172"/>
    <x v="9"/>
    <x v="1"/>
    <x v="23"/>
  </r>
  <r>
    <x v="132"/>
    <x v="9"/>
    <x v="1"/>
    <x v="23"/>
  </r>
  <r>
    <x v="76"/>
    <x v="9"/>
    <x v="4"/>
    <x v="11"/>
  </r>
  <r>
    <x v="655"/>
    <x v="9"/>
    <x v="4"/>
    <x v="11"/>
  </r>
  <r>
    <x v="3106"/>
    <x v="9"/>
    <x v="3"/>
    <x v="0"/>
  </r>
  <r>
    <x v="3107"/>
    <x v="9"/>
    <x v="4"/>
    <x v="4"/>
  </r>
  <r>
    <x v="3108"/>
    <x v="9"/>
    <x v="4"/>
    <x v="4"/>
  </r>
  <r>
    <x v="3109"/>
    <x v="9"/>
    <x v="4"/>
    <x v="4"/>
  </r>
  <r>
    <x v="3110"/>
    <x v="9"/>
    <x v="1"/>
    <x v="66"/>
  </r>
  <r>
    <x v="3111"/>
    <x v="9"/>
    <x v="4"/>
    <x v="4"/>
  </r>
  <r>
    <x v="392"/>
    <x v="9"/>
    <x v="1"/>
    <x v="45"/>
  </r>
  <r>
    <x v="2860"/>
    <x v="9"/>
    <x v="4"/>
    <x v="4"/>
  </r>
  <r>
    <x v="3112"/>
    <x v="9"/>
    <x v="1"/>
    <x v="23"/>
  </r>
  <r>
    <x v="726"/>
    <x v="9"/>
    <x v="4"/>
    <x v="4"/>
  </r>
  <r>
    <x v="3113"/>
    <x v="9"/>
    <x v="4"/>
    <x v="4"/>
  </r>
  <r>
    <x v="3114"/>
    <x v="9"/>
    <x v="2"/>
    <x v="79"/>
  </r>
  <r>
    <x v="3115"/>
    <x v="9"/>
    <x v="2"/>
    <x v="80"/>
  </r>
  <r>
    <x v="3116"/>
    <x v="9"/>
    <x v="1"/>
    <x v="23"/>
  </r>
  <r>
    <x v="3117"/>
    <x v="9"/>
    <x v="4"/>
    <x v="4"/>
  </r>
  <r>
    <x v="3118"/>
    <x v="9"/>
    <x v="4"/>
    <x v="4"/>
  </r>
  <r>
    <x v="3119"/>
    <x v="9"/>
    <x v="1"/>
    <x v="71"/>
  </r>
  <r>
    <x v="1027"/>
    <x v="9"/>
    <x v="4"/>
    <x v="4"/>
  </r>
  <r>
    <x v="606"/>
    <x v="9"/>
    <x v="1"/>
    <x v="45"/>
  </r>
  <r>
    <x v="3120"/>
    <x v="9"/>
    <x v="4"/>
    <x v="4"/>
  </r>
  <r>
    <x v="3121"/>
    <x v="9"/>
    <x v="1"/>
    <x v="45"/>
  </r>
  <r>
    <x v="430"/>
    <x v="9"/>
    <x v="1"/>
    <x v="23"/>
  </r>
  <r>
    <x v="3122"/>
    <x v="9"/>
    <x v="2"/>
    <x v="62"/>
  </r>
  <r>
    <x v="2915"/>
    <x v="9"/>
    <x v="1"/>
    <x v="40"/>
  </r>
  <r>
    <x v="3123"/>
    <x v="9"/>
    <x v="2"/>
    <x v="62"/>
  </r>
  <r>
    <x v="3124"/>
    <x v="9"/>
    <x v="2"/>
    <x v="79"/>
  </r>
  <r>
    <x v="3125"/>
    <x v="9"/>
    <x v="4"/>
    <x v="4"/>
  </r>
  <r>
    <x v="3126"/>
    <x v="9"/>
    <x v="7"/>
    <x v="0"/>
  </r>
  <r>
    <x v="18"/>
    <x v="9"/>
    <x v="7"/>
    <x v="0"/>
  </r>
  <r>
    <x v="3127"/>
    <x v="9"/>
    <x v="1"/>
    <x v="45"/>
  </r>
  <r>
    <x v="3128"/>
    <x v="9"/>
    <x v="1"/>
    <x v="23"/>
  </r>
  <r>
    <x v="3129"/>
    <x v="9"/>
    <x v="2"/>
    <x v="80"/>
  </r>
  <r>
    <x v="2856"/>
    <x v="9"/>
    <x v="2"/>
    <x v="80"/>
  </r>
  <r>
    <x v="103"/>
    <x v="9"/>
    <x v="2"/>
    <x v="34"/>
  </r>
  <r>
    <x v="2723"/>
    <x v="9"/>
    <x v="2"/>
    <x v="80"/>
  </r>
  <r>
    <x v="3130"/>
    <x v="9"/>
    <x v="1"/>
    <x v="23"/>
  </r>
  <r>
    <x v="786"/>
    <x v="9"/>
    <x v="1"/>
    <x v="40"/>
  </r>
  <r>
    <x v="3131"/>
    <x v="9"/>
    <x v="1"/>
    <x v="23"/>
  </r>
  <r>
    <x v="3132"/>
    <x v="9"/>
    <x v="2"/>
    <x v="80"/>
  </r>
  <r>
    <x v="3133"/>
    <x v="9"/>
    <x v="4"/>
    <x v="11"/>
  </r>
  <r>
    <x v="67"/>
    <x v="9"/>
    <x v="1"/>
    <x v="23"/>
  </r>
  <r>
    <x v="3134"/>
    <x v="9"/>
    <x v="1"/>
    <x v="24"/>
  </r>
  <r>
    <x v="3135"/>
    <x v="9"/>
    <x v="2"/>
    <x v="80"/>
  </r>
  <r>
    <x v="3136"/>
    <x v="9"/>
    <x v="2"/>
    <x v="80"/>
  </r>
  <r>
    <x v="742"/>
    <x v="9"/>
    <x v="1"/>
    <x v="23"/>
  </r>
  <r>
    <x v="3137"/>
    <x v="9"/>
    <x v="1"/>
    <x v="60"/>
  </r>
  <r>
    <x v="3138"/>
    <x v="9"/>
    <x v="2"/>
    <x v="34"/>
  </r>
  <r>
    <x v="3139"/>
    <x v="9"/>
    <x v="4"/>
    <x v="4"/>
  </r>
  <r>
    <x v="1780"/>
    <x v="9"/>
    <x v="2"/>
    <x v="34"/>
  </r>
  <r>
    <x v="2050"/>
    <x v="9"/>
    <x v="2"/>
    <x v="34"/>
  </r>
  <r>
    <x v="2050"/>
    <x v="9"/>
    <x v="1"/>
    <x v="71"/>
  </r>
  <r>
    <x v="2050"/>
    <x v="9"/>
    <x v="1"/>
    <x v="60"/>
  </r>
  <r>
    <x v="3140"/>
    <x v="9"/>
    <x v="1"/>
    <x v="71"/>
  </r>
  <r>
    <x v="498"/>
    <x v="9"/>
    <x v="1"/>
    <x v="71"/>
  </r>
  <r>
    <x v="53"/>
    <x v="9"/>
    <x v="4"/>
    <x v="4"/>
  </r>
  <r>
    <x v="2296"/>
    <x v="9"/>
    <x v="4"/>
    <x v="4"/>
  </r>
  <r>
    <x v="399"/>
    <x v="9"/>
    <x v="4"/>
    <x v="4"/>
  </r>
  <r>
    <x v="3141"/>
    <x v="9"/>
    <x v="1"/>
    <x v="23"/>
  </r>
  <r>
    <x v="3142"/>
    <x v="9"/>
    <x v="1"/>
    <x v="23"/>
  </r>
  <r>
    <x v="746"/>
    <x v="9"/>
    <x v="1"/>
    <x v="60"/>
  </r>
  <r>
    <x v="498"/>
    <x v="9"/>
    <x v="1"/>
    <x v="23"/>
  </r>
  <r>
    <x v="3143"/>
    <x v="9"/>
    <x v="2"/>
    <x v="62"/>
  </r>
  <r>
    <x v="3144"/>
    <x v="9"/>
    <x v="2"/>
    <x v="34"/>
  </r>
  <r>
    <x v="1373"/>
    <x v="9"/>
    <x v="4"/>
    <x v="4"/>
  </r>
  <r>
    <x v="498"/>
    <x v="9"/>
    <x v="1"/>
    <x v="23"/>
  </r>
  <r>
    <x v="494"/>
    <x v="9"/>
    <x v="1"/>
    <x v="23"/>
  </r>
  <r>
    <x v="498"/>
    <x v="9"/>
    <x v="1"/>
    <x v="23"/>
  </r>
  <r>
    <x v="498"/>
    <x v="9"/>
    <x v="1"/>
    <x v="23"/>
  </r>
  <r>
    <x v="498"/>
    <x v="9"/>
    <x v="1"/>
    <x v="23"/>
  </r>
  <r>
    <x v="498"/>
    <x v="9"/>
    <x v="1"/>
    <x v="23"/>
  </r>
  <r>
    <x v="498"/>
    <x v="9"/>
    <x v="1"/>
    <x v="23"/>
  </r>
  <r>
    <x v="498"/>
    <x v="9"/>
    <x v="1"/>
    <x v="23"/>
  </r>
  <r>
    <x v="498"/>
    <x v="9"/>
    <x v="1"/>
    <x v="23"/>
  </r>
  <r>
    <x v="498"/>
    <x v="9"/>
    <x v="1"/>
    <x v="23"/>
  </r>
  <r>
    <x v="498"/>
    <x v="9"/>
    <x v="4"/>
    <x v="4"/>
  </r>
  <r>
    <x v="2068"/>
    <x v="9"/>
    <x v="2"/>
    <x v="34"/>
  </r>
  <r>
    <x v="2068"/>
    <x v="9"/>
    <x v="1"/>
    <x v="71"/>
  </r>
  <r>
    <x v="2069"/>
    <x v="9"/>
    <x v="1"/>
    <x v="60"/>
  </r>
  <r>
    <x v="498"/>
    <x v="9"/>
    <x v="1"/>
    <x v="71"/>
  </r>
  <r>
    <x v="498"/>
    <x v="9"/>
    <x v="1"/>
    <x v="71"/>
  </r>
  <r>
    <x v="3011"/>
    <x v="9"/>
    <x v="1"/>
    <x v="23"/>
  </r>
  <r>
    <x v="3145"/>
    <x v="9"/>
    <x v="2"/>
    <x v="34"/>
  </r>
  <r>
    <x v="498"/>
    <x v="9"/>
    <x v="2"/>
    <x v="34"/>
  </r>
  <r>
    <x v="3146"/>
    <x v="9"/>
    <x v="4"/>
    <x v="4"/>
  </r>
  <r>
    <x v="498"/>
    <x v="9"/>
    <x v="1"/>
    <x v="23"/>
  </r>
  <r>
    <x v="498"/>
    <x v="9"/>
    <x v="1"/>
    <x v="23"/>
  </r>
  <r>
    <x v="498"/>
    <x v="9"/>
    <x v="1"/>
    <x v="23"/>
  </r>
  <r>
    <x v="498"/>
    <x v="9"/>
    <x v="1"/>
    <x v="23"/>
  </r>
  <r>
    <x v="498"/>
    <x v="9"/>
    <x v="1"/>
    <x v="23"/>
  </r>
  <r>
    <x v="498"/>
    <x v="9"/>
    <x v="1"/>
    <x v="23"/>
  </r>
  <r>
    <x v="498"/>
    <x v="9"/>
    <x v="1"/>
    <x v="23"/>
  </r>
  <r>
    <x v="498"/>
    <x v="9"/>
    <x v="1"/>
    <x v="23"/>
  </r>
  <r>
    <x v="498"/>
    <x v="9"/>
    <x v="1"/>
    <x v="23"/>
  </r>
  <r>
    <x v="498"/>
    <x v="9"/>
    <x v="1"/>
    <x v="23"/>
  </r>
  <r>
    <x v="746"/>
    <x v="9"/>
    <x v="1"/>
    <x v="60"/>
  </r>
  <r>
    <x v="498"/>
    <x v="9"/>
    <x v="1"/>
    <x v="23"/>
  </r>
  <r>
    <x v="498"/>
    <x v="9"/>
    <x v="1"/>
    <x v="23"/>
  </r>
  <r>
    <x v="498"/>
    <x v="9"/>
    <x v="1"/>
    <x v="23"/>
  </r>
  <r>
    <x v="498"/>
    <x v="9"/>
    <x v="1"/>
    <x v="23"/>
  </r>
  <r>
    <x v="498"/>
    <x v="9"/>
    <x v="1"/>
    <x v="23"/>
  </r>
  <r>
    <x v="498"/>
    <x v="9"/>
    <x v="1"/>
    <x v="71"/>
  </r>
  <r>
    <x v="498"/>
    <x v="9"/>
    <x v="1"/>
    <x v="71"/>
  </r>
  <r>
    <x v="498"/>
    <x v="9"/>
    <x v="1"/>
    <x v="71"/>
  </r>
  <r>
    <x v="498"/>
    <x v="9"/>
    <x v="1"/>
    <x v="71"/>
  </r>
  <r>
    <x v="498"/>
    <x v="9"/>
    <x v="1"/>
    <x v="71"/>
  </r>
  <r>
    <x v="2434"/>
    <x v="9"/>
    <x v="2"/>
    <x v="80"/>
  </r>
  <r>
    <x v="2434"/>
    <x v="9"/>
    <x v="2"/>
    <x v="80"/>
  </r>
  <r>
    <x v="898"/>
    <x v="9"/>
    <x v="1"/>
    <x v="23"/>
  </r>
  <r>
    <x v="898"/>
    <x v="9"/>
    <x v="1"/>
    <x v="23"/>
  </r>
  <r>
    <x v="898"/>
    <x v="9"/>
    <x v="1"/>
    <x v="23"/>
  </r>
  <r>
    <x v="898"/>
    <x v="9"/>
    <x v="1"/>
    <x v="23"/>
  </r>
  <r>
    <x v="3147"/>
    <x v="9"/>
    <x v="4"/>
    <x v="4"/>
  </r>
  <r>
    <x v="3148"/>
    <x v="9"/>
    <x v="4"/>
    <x v="4"/>
  </r>
  <r>
    <x v="498"/>
    <x v="9"/>
    <x v="1"/>
    <x v="23"/>
  </r>
  <r>
    <x v="3149"/>
    <x v="9"/>
    <x v="1"/>
    <x v="40"/>
  </r>
  <r>
    <x v="3150"/>
    <x v="9"/>
    <x v="2"/>
    <x v="80"/>
  </r>
  <r>
    <x v="3151"/>
    <x v="9"/>
    <x v="4"/>
    <x v="4"/>
  </r>
  <r>
    <x v="18"/>
    <x v="9"/>
    <x v="2"/>
    <x v="80"/>
  </r>
  <r>
    <x v="76"/>
    <x v="9"/>
    <x v="2"/>
    <x v="80"/>
  </r>
  <r>
    <x v="3152"/>
    <x v="9"/>
    <x v="2"/>
    <x v="80"/>
  </r>
  <r>
    <x v="3153"/>
    <x v="9"/>
    <x v="2"/>
    <x v="80"/>
  </r>
  <r>
    <x v="3154"/>
    <x v="9"/>
    <x v="2"/>
    <x v="80"/>
  </r>
  <r>
    <x v="12"/>
    <x v="9"/>
    <x v="2"/>
    <x v="80"/>
  </r>
  <r>
    <x v="76"/>
    <x v="9"/>
    <x v="2"/>
    <x v="80"/>
  </r>
  <r>
    <x v="276"/>
    <x v="9"/>
    <x v="2"/>
    <x v="80"/>
  </r>
  <r>
    <x v="1831"/>
    <x v="9"/>
    <x v="2"/>
    <x v="80"/>
  </r>
  <r>
    <x v="450"/>
    <x v="9"/>
    <x v="2"/>
    <x v="80"/>
  </r>
  <r>
    <x v="76"/>
    <x v="9"/>
    <x v="2"/>
    <x v="80"/>
  </r>
  <r>
    <x v="447"/>
    <x v="9"/>
    <x v="2"/>
    <x v="80"/>
  </r>
  <r>
    <x v="2241"/>
    <x v="9"/>
    <x v="2"/>
    <x v="80"/>
  </r>
  <r>
    <x v="101"/>
    <x v="9"/>
    <x v="1"/>
    <x v="40"/>
  </r>
  <r>
    <x v="3155"/>
    <x v="9"/>
    <x v="1"/>
    <x v="40"/>
  </r>
  <r>
    <x v="2831"/>
    <x v="9"/>
    <x v="1"/>
    <x v="40"/>
  </r>
  <r>
    <x v="3156"/>
    <x v="9"/>
    <x v="1"/>
    <x v="40"/>
  </r>
  <r>
    <x v="1027"/>
    <x v="9"/>
    <x v="2"/>
    <x v="62"/>
  </r>
  <r>
    <x v="75"/>
    <x v="9"/>
    <x v="1"/>
    <x v="40"/>
  </r>
  <r>
    <x v="81"/>
    <x v="9"/>
    <x v="2"/>
    <x v="79"/>
  </r>
  <r>
    <x v="75"/>
    <x v="9"/>
    <x v="2"/>
    <x v="79"/>
  </r>
  <r>
    <x v="75"/>
    <x v="9"/>
    <x v="2"/>
    <x v="79"/>
  </r>
  <r>
    <x v="75"/>
    <x v="9"/>
    <x v="2"/>
    <x v="79"/>
  </r>
  <r>
    <x v="81"/>
    <x v="9"/>
    <x v="1"/>
    <x v="40"/>
  </r>
  <r>
    <x v="121"/>
    <x v="9"/>
    <x v="4"/>
    <x v="4"/>
  </r>
  <r>
    <x v="3157"/>
    <x v="9"/>
    <x v="1"/>
    <x v="71"/>
  </r>
  <r>
    <x v="2865"/>
    <x v="9"/>
    <x v="9"/>
    <x v="40"/>
  </r>
  <r>
    <x v="2865"/>
    <x v="9"/>
    <x v="9"/>
    <x v="23"/>
  </r>
  <r>
    <x v="1913"/>
    <x v="9"/>
    <x v="1"/>
    <x v="23"/>
  </r>
  <r>
    <x v="3158"/>
    <x v="9"/>
    <x v="5"/>
    <x v="0"/>
  </r>
  <r>
    <x v="3159"/>
    <x v="9"/>
    <x v="5"/>
    <x v="0"/>
  </r>
  <r>
    <x v="3160"/>
    <x v="9"/>
    <x v="1"/>
    <x v="23"/>
  </r>
  <r>
    <x v="3161"/>
    <x v="9"/>
    <x v="16"/>
    <x v="66"/>
  </r>
  <r>
    <x v="3162"/>
    <x v="9"/>
    <x v="1"/>
    <x v="23"/>
  </r>
  <r>
    <x v="432"/>
    <x v="9"/>
    <x v="9"/>
    <x v="40"/>
  </r>
  <r>
    <x v="435"/>
    <x v="9"/>
    <x v="4"/>
    <x v="4"/>
  </r>
  <r>
    <x v="447"/>
    <x v="9"/>
    <x v="4"/>
    <x v="11"/>
  </r>
  <r>
    <x v="3163"/>
    <x v="9"/>
    <x v="1"/>
    <x v="3"/>
  </r>
  <r>
    <x v="18"/>
    <x v="9"/>
    <x v="4"/>
    <x v="4"/>
  </r>
  <r>
    <x v="99"/>
    <x v="9"/>
    <x v="4"/>
    <x v="4"/>
  </r>
  <r>
    <x v="3164"/>
    <x v="9"/>
    <x v="1"/>
    <x v="55"/>
  </r>
  <r>
    <x v="3165"/>
    <x v="9"/>
    <x v="2"/>
    <x v="34"/>
  </r>
  <r>
    <x v="3166"/>
    <x v="9"/>
    <x v="4"/>
    <x v="4"/>
  </r>
  <r>
    <x v="3167"/>
    <x v="9"/>
    <x v="2"/>
    <x v="34"/>
  </r>
  <r>
    <x v="3168"/>
    <x v="9"/>
    <x v="4"/>
    <x v="4"/>
  </r>
  <r>
    <x v="3169"/>
    <x v="9"/>
    <x v="2"/>
    <x v="63"/>
  </r>
  <r>
    <x v="3170"/>
    <x v="9"/>
    <x v="2"/>
    <x v="63"/>
  </r>
  <r>
    <x v="3171"/>
    <x v="9"/>
    <x v="1"/>
    <x v="55"/>
  </r>
  <r>
    <x v="2923"/>
    <x v="9"/>
    <x v="2"/>
    <x v="62"/>
  </r>
  <r>
    <x v="3172"/>
    <x v="9"/>
    <x v="2"/>
    <x v="62"/>
  </r>
  <r>
    <x v="2260"/>
    <x v="9"/>
    <x v="2"/>
    <x v="34"/>
  </r>
  <r>
    <x v="3170"/>
    <x v="9"/>
    <x v="2"/>
    <x v="63"/>
  </r>
  <r>
    <x v="2260"/>
    <x v="9"/>
    <x v="2"/>
    <x v="34"/>
  </r>
  <r>
    <x v="3170"/>
    <x v="9"/>
    <x v="2"/>
    <x v="63"/>
  </r>
  <r>
    <x v="2260"/>
    <x v="9"/>
    <x v="2"/>
    <x v="34"/>
  </r>
  <r>
    <x v="3171"/>
    <x v="9"/>
    <x v="2"/>
    <x v="34"/>
  </r>
  <r>
    <x v="3173"/>
    <x v="9"/>
    <x v="1"/>
    <x v="55"/>
  </r>
  <r>
    <x v="3174"/>
    <x v="9"/>
    <x v="1"/>
    <x v="55"/>
  </r>
  <r>
    <x v="2538"/>
    <x v="9"/>
    <x v="1"/>
    <x v="71"/>
  </r>
  <r>
    <x v="2538"/>
    <x v="9"/>
    <x v="1"/>
    <x v="55"/>
  </r>
  <r>
    <x v="2538"/>
    <x v="9"/>
    <x v="2"/>
    <x v="62"/>
  </r>
  <r>
    <x v="3175"/>
    <x v="9"/>
    <x v="2"/>
    <x v="34"/>
  </r>
  <r>
    <x v="3175"/>
    <x v="9"/>
    <x v="1"/>
    <x v="55"/>
  </r>
  <r>
    <x v="3176"/>
    <x v="9"/>
    <x v="2"/>
    <x v="62"/>
  </r>
  <r>
    <x v="2888"/>
    <x v="9"/>
    <x v="1"/>
    <x v="23"/>
  </r>
  <r>
    <x v="2888"/>
    <x v="9"/>
    <x v="1"/>
    <x v="24"/>
  </r>
  <r>
    <x v="2888"/>
    <x v="9"/>
    <x v="1"/>
    <x v="55"/>
  </r>
  <r>
    <x v="2552"/>
    <x v="9"/>
    <x v="1"/>
    <x v="80"/>
  </r>
  <r>
    <x v="2900"/>
    <x v="9"/>
    <x v="2"/>
    <x v="79"/>
  </r>
  <r>
    <x v="2900"/>
    <x v="9"/>
    <x v="1"/>
    <x v="23"/>
  </r>
  <r>
    <x v="2532"/>
    <x v="9"/>
    <x v="6"/>
    <x v="56"/>
  </r>
  <r>
    <x v="3177"/>
    <x v="9"/>
    <x v="6"/>
    <x v="56"/>
  </r>
  <r>
    <x v="3177"/>
    <x v="9"/>
    <x v="2"/>
    <x v="34"/>
  </r>
  <r>
    <x v="3177"/>
    <x v="9"/>
    <x v="1"/>
    <x v="55"/>
  </r>
  <r>
    <x v="1148"/>
    <x v="9"/>
    <x v="6"/>
    <x v="56"/>
  </r>
  <r>
    <x v="1148"/>
    <x v="9"/>
    <x v="2"/>
    <x v="34"/>
  </r>
  <r>
    <x v="1148"/>
    <x v="9"/>
    <x v="1"/>
    <x v="55"/>
  </r>
  <r>
    <x v="3178"/>
    <x v="9"/>
    <x v="1"/>
    <x v="45"/>
  </r>
  <r>
    <x v="2246"/>
    <x v="9"/>
    <x v="1"/>
    <x v="45"/>
  </r>
  <r>
    <x v="2921"/>
    <x v="9"/>
    <x v="1"/>
    <x v="45"/>
  </r>
  <r>
    <x v="2922"/>
    <x v="9"/>
    <x v="1"/>
    <x v="45"/>
  </r>
  <r>
    <x v="583"/>
    <x v="9"/>
    <x v="4"/>
    <x v="4"/>
  </r>
  <r>
    <x v="449"/>
    <x v="9"/>
    <x v="1"/>
    <x v="55"/>
  </r>
  <r>
    <x v="147"/>
    <x v="9"/>
    <x v="1"/>
    <x v="71"/>
  </r>
  <r>
    <x v="186"/>
    <x v="9"/>
    <x v="1"/>
    <x v="60"/>
  </r>
  <r>
    <x v="465"/>
    <x v="9"/>
    <x v="2"/>
    <x v="34"/>
  </r>
  <r>
    <x v="160"/>
    <x v="9"/>
    <x v="1"/>
    <x v="40"/>
  </r>
  <r>
    <x v="160"/>
    <x v="9"/>
    <x v="1"/>
    <x v="23"/>
  </r>
  <r>
    <x v="99"/>
    <x v="9"/>
    <x v="6"/>
    <x v="78"/>
  </r>
  <r>
    <x v="3179"/>
    <x v="9"/>
    <x v="4"/>
    <x v="4"/>
  </r>
  <r>
    <x v="105"/>
    <x v="9"/>
    <x v="1"/>
    <x v="43"/>
  </r>
  <r>
    <x v="105"/>
    <x v="9"/>
    <x v="1"/>
    <x v="43"/>
  </r>
  <r>
    <x v="167"/>
    <x v="9"/>
    <x v="2"/>
    <x v="61"/>
  </r>
  <r>
    <x v="167"/>
    <x v="9"/>
    <x v="2"/>
    <x v="61"/>
  </r>
  <r>
    <x v="3180"/>
    <x v="9"/>
    <x v="4"/>
    <x v="4"/>
  </r>
  <r>
    <x v="147"/>
    <x v="9"/>
    <x v="6"/>
    <x v="78"/>
  </r>
  <r>
    <x v="102"/>
    <x v="9"/>
    <x v="2"/>
    <x v="62"/>
  </r>
  <r>
    <x v="195"/>
    <x v="9"/>
    <x v="1"/>
    <x v="71"/>
  </r>
  <r>
    <x v="439"/>
    <x v="9"/>
    <x v="1"/>
    <x v="60"/>
  </r>
  <r>
    <x v="102"/>
    <x v="9"/>
    <x v="2"/>
    <x v="34"/>
  </r>
  <r>
    <x v="160"/>
    <x v="9"/>
    <x v="4"/>
    <x v="4"/>
  </r>
  <r>
    <x v="1071"/>
    <x v="9"/>
    <x v="1"/>
    <x v="26"/>
  </r>
  <r>
    <x v="168"/>
    <x v="9"/>
    <x v="2"/>
    <x v="34"/>
  </r>
  <r>
    <x v="3181"/>
    <x v="9"/>
    <x v="2"/>
    <x v="34"/>
  </r>
  <r>
    <x v="3182"/>
    <x v="9"/>
    <x v="1"/>
    <x v="60"/>
  </r>
  <r>
    <x v="99"/>
    <x v="9"/>
    <x v="2"/>
    <x v="34"/>
  </r>
  <r>
    <x v="18"/>
    <x v="9"/>
    <x v="1"/>
    <x v="60"/>
  </r>
  <r>
    <x v="806"/>
    <x v="9"/>
    <x v="4"/>
    <x v="4"/>
  </r>
  <r>
    <x v="3183"/>
    <x v="9"/>
    <x v="1"/>
    <x v="60"/>
  </r>
  <r>
    <x v="232"/>
    <x v="9"/>
    <x v="6"/>
    <x v="78"/>
  </r>
  <r>
    <x v="105"/>
    <x v="9"/>
    <x v="1"/>
    <x v="60"/>
  </r>
  <r>
    <x v="166"/>
    <x v="9"/>
    <x v="1"/>
    <x v="71"/>
  </r>
  <r>
    <x v="75"/>
    <x v="9"/>
    <x v="1"/>
    <x v="71"/>
  </r>
  <r>
    <x v="3184"/>
    <x v="9"/>
    <x v="1"/>
    <x v="71"/>
  </r>
  <r>
    <x v="1642"/>
    <x v="9"/>
    <x v="1"/>
    <x v="71"/>
  </r>
  <r>
    <x v="1642"/>
    <x v="9"/>
    <x v="4"/>
    <x v="4"/>
  </r>
  <r>
    <x v="3185"/>
    <x v="9"/>
    <x v="1"/>
    <x v="60"/>
  </r>
  <r>
    <x v="3186"/>
    <x v="9"/>
    <x v="1"/>
    <x v="71"/>
  </r>
  <r>
    <x v="76"/>
    <x v="9"/>
    <x v="1"/>
    <x v="40"/>
  </r>
  <r>
    <x v="160"/>
    <x v="9"/>
    <x v="2"/>
    <x v="62"/>
  </r>
  <r>
    <x v="2470"/>
    <x v="9"/>
    <x v="2"/>
    <x v="34"/>
  </r>
  <r>
    <x v="52"/>
    <x v="9"/>
    <x v="2"/>
    <x v="34"/>
  </r>
  <r>
    <x v="3187"/>
    <x v="9"/>
    <x v="2"/>
    <x v="34"/>
  </r>
  <r>
    <x v="337"/>
    <x v="9"/>
    <x v="1"/>
    <x v="71"/>
  </r>
  <r>
    <x v="103"/>
    <x v="9"/>
    <x v="2"/>
    <x v="62"/>
  </r>
  <r>
    <x v="24"/>
    <x v="9"/>
    <x v="4"/>
    <x v="4"/>
  </r>
  <r>
    <x v="3188"/>
    <x v="9"/>
    <x v="4"/>
    <x v="4"/>
  </r>
  <r>
    <x v="3189"/>
    <x v="9"/>
    <x v="1"/>
    <x v="40"/>
  </r>
  <r>
    <x v="3189"/>
    <x v="9"/>
    <x v="1"/>
    <x v="40"/>
  </r>
  <r>
    <x v="742"/>
    <x v="9"/>
    <x v="2"/>
    <x v="80"/>
  </r>
  <r>
    <x v="3190"/>
    <x v="9"/>
    <x v="1"/>
    <x v="31"/>
  </r>
  <r>
    <x v="3191"/>
    <x v="9"/>
    <x v="2"/>
    <x v="34"/>
  </r>
  <r>
    <x v="3192"/>
    <x v="9"/>
    <x v="1"/>
    <x v="55"/>
  </r>
  <r>
    <x v="3193"/>
    <x v="9"/>
    <x v="1"/>
    <x v="55"/>
  </r>
  <r>
    <x v="3194"/>
    <x v="9"/>
    <x v="4"/>
    <x v="4"/>
  </r>
  <r>
    <x v="3195"/>
    <x v="9"/>
    <x v="2"/>
    <x v="80"/>
  </r>
  <r>
    <x v="3196"/>
    <x v="9"/>
    <x v="2"/>
    <x v="62"/>
  </r>
  <r>
    <x v="3197"/>
    <x v="9"/>
    <x v="2"/>
    <x v="62"/>
  </r>
  <r>
    <x v="3198"/>
    <x v="9"/>
    <x v="1"/>
    <x v="71"/>
  </r>
  <r>
    <x v="3199"/>
    <x v="9"/>
    <x v="1"/>
    <x v="71"/>
  </r>
  <r>
    <x v="3200"/>
    <x v="9"/>
    <x v="1"/>
    <x v="60"/>
  </r>
  <r>
    <x v="3201"/>
    <x v="9"/>
    <x v="1"/>
    <x v="31"/>
  </r>
  <r>
    <x v="3202"/>
    <x v="9"/>
    <x v="4"/>
    <x v="4"/>
  </r>
  <r>
    <x v="3203"/>
    <x v="9"/>
    <x v="1"/>
    <x v="31"/>
  </r>
  <r>
    <x v="3204"/>
    <x v="9"/>
    <x v="2"/>
    <x v="34"/>
  </r>
  <r>
    <x v="3205"/>
    <x v="9"/>
    <x v="1"/>
    <x v="23"/>
  </r>
  <r>
    <x v="3206"/>
    <x v="9"/>
    <x v="1"/>
    <x v="31"/>
  </r>
  <r>
    <x v="3207"/>
    <x v="9"/>
    <x v="1"/>
    <x v="31"/>
  </r>
  <r>
    <x v="3208"/>
    <x v="9"/>
    <x v="2"/>
    <x v="34"/>
  </r>
  <r>
    <x v="3209"/>
    <x v="9"/>
    <x v="2"/>
    <x v="34"/>
  </r>
  <r>
    <x v="3210"/>
    <x v="9"/>
    <x v="2"/>
    <x v="62"/>
  </r>
  <r>
    <x v="3211"/>
    <x v="9"/>
    <x v="1"/>
    <x v="55"/>
  </r>
  <r>
    <x v="3212"/>
    <x v="9"/>
    <x v="1"/>
    <x v="43"/>
  </r>
  <r>
    <x v="3213"/>
    <x v="9"/>
    <x v="4"/>
    <x v="4"/>
  </r>
  <r>
    <x v="3214"/>
    <x v="9"/>
    <x v="2"/>
    <x v="62"/>
  </r>
  <r>
    <x v="3215"/>
    <x v="9"/>
    <x v="4"/>
    <x v="4"/>
  </r>
  <r>
    <x v="3216"/>
    <x v="9"/>
    <x v="1"/>
    <x v="55"/>
  </r>
  <r>
    <x v="3217"/>
    <x v="9"/>
    <x v="2"/>
    <x v="62"/>
  </r>
  <r>
    <x v="3218"/>
    <x v="9"/>
    <x v="1"/>
    <x v="23"/>
  </r>
  <r>
    <x v="3219"/>
    <x v="9"/>
    <x v="1"/>
    <x v="23"/>
  </r>
  <r>
    <x v="3220"/>
    <x v="9"/>
    <x v="4"/>
    <x v="4"/>
  </r>
  <r>
    <x v="124"/>
    <x v="9"/>
    <x v="4"/>
    <x v="4"/>
  </r>
  <r>
    <x v="3221"/>
    <x v="9"/>
    <x v="4"/>
    <x v="4"/>
  </r>
  <r>
    <x v="132"/>
    <x v="9"/>
    <x v="1"/>
    <x v="45"/>
  </r>
  <r>
    <x v="1082"/>
    <x v="9"/>
    <x v="1"/>
    <x v="45"/>
  </r>
  <r>
    <x v="356"/>
    <x v="9"/>
    <x v="1"/>
    <x v="23"/>
  </r>
  <r>
    <x v="3222"/>
    <x v="9"/>
    <x v="2"/>
    <x v="34"/>
  </r>
  <r>
    <x v="392"/>
    <x v="9"/>
    <x v="1"/>
    <x v="45"/>
  </r>
  <r>
    <x v="430"/>
    <x v="9"/>
    <x v="1"/>
    <x v="23"/>
  </r>
  <r>
    <x v="209"/>
    <x v="9"/>
    <x v="1"/>
    <x v="40"/>
  </r>
  <r>
    <x v="3223"/>
    <x v="9"/>
    <x v="1"/>
    <x v="24"/>
  </r>
  <r>
    <x v="123"/>
    <x v="9"/>
    <x v="1"/>
    <x v="31"/>
  </r>
  <r>
    <x v="3224"/>
    <x v="9"/>
    <x v="4"/>
    <x v="4"/>
  </r>
  <r>
    <x v="3225"/>
    <x v="9"/>
    <x v="4"/>
    <x v="4"/>
  </r>
  <r>
    <x v="359"/>
    <x v="9"/>
    <x v="4"/>
    <x v="4"/>
  </r>
  <r>
    <x v="3226"/>
    <x v="9"/>
    <x v="4"/>
    <x v="4"/>
  </r>
  <r>
    <x v="3227"/>
    <x v="9"/>
    <x v="2"/>
    <x v="34"/>
  </r>
  <r>
    <x v="3228"/>
    <x v="9"/>
    <x v="2"/>
    <x v="62"/>
  </r>
  <r>
    <x v="3229"/>
    <x v="9"/>
    <x v="1"/>
    <x v="24"/>
  </r>
  <r>
    <x v="786"/>
    <x v="9"/>
    <x v="1"/>
    <x v="40"/>
  </r>
  <r>
    <x v="3230"/>
    <x v="9"/>
    <x v="4"/>
    <x v="4"/>
  </r>
  <r>
    <x v="3231"/>
    <x v="9"/>
    <x v="1"/>
    <x v="45"/>
  </r>
  <r>
    <x v="3232"/>
    <x v="9"/>
    <x v="1"/>
    <x v="40"/>
  </r>
  <r>
    <x v="3233"/>
    <x v="9"/>
    <x v="1"/>
    <x v="55"/>
  </r>
  <r>
    <x v="606"/>
    <x v="9"/>
    <x v="1"/>
    <x v="45"/>
  </r>
  <r>
    <x v="3234"/>
    <x v="9"/>
    <x v="4"/>
    <x v="11"/>
  </r>
  <r>
    <x v="36"/>
    <x v="9"/>
    <x v="4"/>
    <x v="11"/>
  </r>
  <r>
    <x v="693"/>
    <x v="9"/>
    <x v="4"/>
    <x v="11"/>
  </r>
  <r>
    <x v="18"/>
    <x v="9"/>
    <x v="4"/>
    <x v="11"/>
  </r>
  <r>
    <x v="147"/>
    <x v="9"/>
    <x v="4"/>
    <x v="11"/>
  </r>
  <r>
    <x v="3235"/>
    <x v="9"/>
    <x v="2"/>
    <x v="80"/>
  </r>
  <r>
    <x v="3236"/>
    <x v="9"/>
    <x v="2"/>
    <x v="63"/>
  </r>
  <r>
    <x v="3237"/>
    <x v="9"/>
    <x v="2"/>
    <x v="63"/>
  </r>
  <r>
    <x v="168"/>
    <x v="9"/>
    <x v="2"/>
    <x v="63"/>
  </r>
  <r>
    <x v="3238"/>
    <x v="9"/>
    <x v="2"/>
    <x v="63"/>
  </r>
  <r>
    <x v="3239"/>
    <x v="9"/>
    <x v="4"/>
    <x v="11"/>
  </r>
  <r>
    <x v="218"/>
    <x v="9"/>
    <x v="4"/>
    <x v="4"/>
  </r>
  <r>
    <x v="3240"/>
    <x v="9"/>
    <x v="1"/>
    <x v="45"/>
  </r>
  <r>
    <x v="1773"/>
    <x v="9"/>
    <x v="1"/>
    <x v="40"/>
  </r>
  <r>
    <x v="3241"/>
    <x v="9"/>
    <x v="1"/>
    <x v="23"/>
  </r>
  <r>
    <x v="3242"/>
    <x v="9"/>
    <x v="1"/>
    <x v="23"/>
  </r>
  <r>
    <x v="399"/>
    <x v="9"/>
    <x v="1"/>
    <x v="31"/>
  </r>
  <r>
    <x v="399"/>
    <x v="9"/>
    <x v="1"/>
    <x v="23"/>
  </r>
  <r>
    <x v="399"/>
    <x v="9"/>
    <x v="2"/>
    <x v="34"/>
  </r>
  <r>
    <x v="3243"/>
    <x v="9"/>
    <x v="1"/>
    <x v="40"/>
  </r>
  <r>
    <x v="3244"/>
    <x v="9"/>
    <x v="4"/>
    <x v="11"/>
  </r>
  <r>
    <x v="3245"/>
    <x v="9"/>
    <x v="2"/>
    <x v="34"/>
  </r>
  <r>
    <x v="3246"/>
    <x v="9"/>
    <x v="2"/>
    <x v="63"/>
  </r>
  <r>
    <x v="3247"/>
    <x v="9"/>
    <x v="4"/>
    <x v="4"/>
  </r>
  <r>
    <x v="2723"/>
    <x v="9"/>
    <x v="2"/>
    <x v="80"/>
  </r>
  <r>
    <x v="3130"/>
    <x v="9"/>
    <x v="1"/>
    <x v="24"/>
  </r>
  <r>
    <x v="3248"/>
    <x v="9"/>
    <x v="2"/>
    <x v="80"/>
  </r>
  <r>
    <x v="3249"/>
    <x v="9"/>
    <x v="2"/>
    <x v="80"/>
  </r>
  <r>
    <x v="2775"/>
    <x v="9"/>
    <x v="2"/>
    <x v="80"/>
  </r>
  <r>
    <x v="163"/>
    <x v="9"/>
    <x v="2"/>
    <x v="80"/>
  </r>
  <r>
    <x v="116"/>
    <x v="9"/>
    <x v="2"/>
    <x v="80"/>
  </r>
  <r>
    <x v="3250"/>
    <x v="9"/>
    <x v="2"/>
    <x v="80"/>
  </r>
  <r>
    <x v="2775"/>
    <x v="9"/>
    <x v="2"/>
    <x v="80"/>
  </r>
  <r>
    <x v="132"/>
    <x v="9"/>
    <x v="2"/>
    <x v="80"/>
  </r>
  <r>
    <x v="3251"/>
    <x v="9"/>
    <x v="1"/>
    <x v="24"/>
  </r>
  <r>
    <x v="3252"/>
    <x v="9"/>
    <x v="4"/>
    <x v="11"/>
  </r>
  <r>
    <x v="3253"/>
    <x v="9"/>
    <x v="1"/>
    <x v="23"/>
  </r>
  <r>
    <x v="3254"/>
    <x v="9"/>
    <x v="9"/>
    <x v="23"/>
  </r>
  <r>
    <x v="2865"/>
    <x v="9"/>
    <x v="9"/>
    <x v="24"/>
  </r>
  <r>
    <x v="3255"/>
    <x v="9"/>
    <x v="1"/>
    <x v="71"/>
  </r>
  <r>
    <x v="3256"/>
    <x v="9"/>
    <x v="4"/>
    <x v="4"/>
  </r>
  <r>
    <x v="3257"/>
    <x v="9"/>
    <x v="3"/>
    <x v="0"/>
  </r>
  <r>
    <x v="3258"/>
    <x v="9"/>
    <x v="4"/>
    <x v="4"/>
  </r>
  <r>
    <x v="3259"/>
    <x v="9"/>
    <x v="5"/>
    <x v="0"/>
  </r>
  <r>
    <x v="3260"/>
    <x v="9"/>
    <x v="5"/>
    <x v="0"/>
  </r>
  <r>
    <x v="3261"/>
    <x v="9"/>
    <x v="12"/>
    <x v="0"/>
  </r>
  <r>
    <x v="3262"/>
    <x v="9"/>
    <x v="1"/>
    <x v="82"/>
  </r>
  <r>
    <x v="3263"/>
    <x v="9"/>
    <x v="1"/>
    <x v="82"/>
  </r>
  <r>
    <x v="3264"/>
    <x v="9"/>
    <x v="5"/>
    <x v="0"/>
  </r>
  <r>
    <x v="3265"/>
    <x v="9"/>
    <x v="5"/>
    <x v="0"/>
  </r>
  <r>
    <x v="3266"/>
    <x v="9"/>
    <x v="1"/>
    <x v="23"/>
  </r>
  <r>
    <x v="506"/>
    <x v="9"/>
    <x v="4"/>
    <x v="4"/>
  </r>
  <r>
    <x v="3267"/>
    <x v="9"/>
    <x v="4"/>
    <x v="4"/>
  </r>
  <r>
    <x v="3268"/>
    <x v="9"/>
    <x v="5"/>
    <x v="0"/>
  </r>
  <r>
    <x v="861"/>
    <x v="9"/>
    <x v="4"/>
    <x v="11"/>
  </r>
  <r>
    <x v="655"/>
    <x v="9"/>
    <x v="6"/>
    <x v="36"/>
  </r>
  <r>
    <x v="117"/>
    <x v="9"/>
    <x v="4"/>
    <x v="4"/>
  </r>
  <r>
    <x v="132"/>
    <x v="9"/>
    <x v="4"/>
    <x v="4"/>
  </r>
  <r>
    <x v="18"/>
    <x v="9"/>
    <x v="2"/>
    <x v="62"/>
  </r>
  <r>
    <x v="201"/>
    <x v="9"/>
    <x v="1"/>
    <x v="60"/>
  </r>
  <r>
    <x v="147"/>
    <x v="9"/>
    <x v="4"/>
    <x v="4"/>
  </r>
  <r>
    <x v="102"/>
    <x v="9"/>
    <x v="2"/>
    <x v="34"/>
  </r>
  <r>
    <x v="99"/>
    <x v="9"/>
    <x v="2"/>
    <x v="26"/>
  </r>
  <r>
    <x v="160"/>
    <x v="9"/>
    <x v="1"/>
    <x v="71"/>
  </r>
  <r>
    <x v="160"/>
    <x v="9"/>
    <x v="2"/>
    <x v="79"/>
  </r>
  <r>
    <x v="41"/>
    <x v="9"/>
    <x v="1"/>
    <x v="71"/>
  </r>
  <r>
    <x v="160"/>
    <x v="9"/>
    <x v="1"/>
    <x v="71"/>
  </r>
  <r>
    <x v="160"/>
    <x v="9"/>
    <x v="2"/>
    <x v="34"/>
  </r>
  <r>
    <x v="36"/>
    <x v="9"/>
    <x v="2"/>
    <x v="34"/>
  </r>
  <r>
    <x v="160"/>
    <x v="9"/>
    <x v="2"/>
    <x v="34"/>
  </r>
  <r>
    <x v="655"/>
    <x v="9"/>
    <x v="2"/>
    <x v="34"/>
  </r>
  <r>
    <x v="2162"/>
    <x v="9"/>
    <x v="1"/>
    <x v="71"/>
  </r>
  <r>
    <x v="698"/>
    <x v="9"/>
    <x v="1"/>
    <x v="71"/>
  </r>
  <r>
    <x v="3185"/>
    <x v="9"/>
    <x v="2"/>
    <x v="34"/>
  </r>
  <r>
    <x v="912"/>
    <x v="9"/>
    <x v="2"/>
    <x v="34"/>
  </r>
  <r>
    <x v="3184"/>
    <x v="9"/>
    <x v="2"/>
    <x v="62"/>
  </r>
  <r>
    <x v="99"/>
    <x v="9"/>
    <x v="1"/>
    <x v="71"/>
  </r>
  <r>
    <x v="99"/>
    <x v="9"/>
    <x v="4"/>
    <x v="4"/>
  </r>
  <r>
    <x v="655"/>
    <x v="9"/>
    <x v="2"/>
    <x v="62"/>
  </r>
  <r>
    <x v="3269"/>
    <x v="9"/>
    <x v="1"/>
    <x v="71"/>
  </r>
  <r>
    <x v="160"/>
    <x v="9"/>
    <x v="2"/>
    <x v="34"/>
  </r>
  <r>
    <x v="160"/>
    <x v="9"/>
    <x v="2"/>
    <x v="34"/>
  </r>
  <r>
    <x v="192"/>
    <x v="9"/>
    <x v="2"/>
    <x v="19"/>
  </r>
  <r>
    <x v="160"/>
    <x v="9"/>
    <x v="2"/>
    <x v="19"/>
  </r>
  <r>
    <x v="3270"/>
    <x v="9"/>
    <x v="4"/>
    <x v="4"/>
  </r>
  <r>
    <x v="1819"/>
    <x v="9"/>
    <x v="2"/>
    <x v="34"/>
  </r>
  <r>
    <x v="1141"/>
    <x v="9"/>
    <x v="2"/>
    <x v="34"/>
  </r>
  <r>
    <x v="76"/>
    <x v="9"/>
    <x v="2"/>
    <x v="62"/>
  </r>
  <r>
    <x v="75"/>
    <x v="9"/>
    <x v="1"/>
    <x v="23"/>
  </r>
  <r>
    <x v="3271"/>
    <x v="9"/>
    <x v="4"/>
    <x v="4"/>
  </r>
  <r>
    <x v="195"/>
    <x v="9"/>
    <x v="2"/>
    <x v="34"/>
  </r>
  <r>
    <x v="195"/>
    <x v="9"/>
    <x v="1"/>
    <x v="71"/>
  </r>
  <r>
    <x v="1647"/>
    <x v="9"/>
    <x v="2"/>
    <x v="72"/>
  </r>
  <r>
    <x v="160"/>
    <x v="9"/>
    <x v="2"/>
    <x v="62"/>
  </r>
  <r>
    <x v="160"/>
    <x v="9"/>
    <x v="4"/>
    <x v="4"/>
  </r>
  <r>
    <x v="11"/>
    <x v="9"/>
    <x v="2"/>
    <x v="62"/>
  </r>
  <r>
    <x v="3272"/>
    <x v="9"/>
    <x v="2"/>
    <x v="62"/>
  </r>
  <r>
    <x v="1529"/>
    <x v="9"/>
    <x v="4"/>
    <x v="4"/>
  </r>
  <r>
    <x v="489"/>
    <x v="9"/>
    <x v="2"/>
    <x v="72"/>
  </r>
  <r>
    <x v="3273"/>
    <x v="9"/>
    <x v="2"/>
    <x v="62"/>
  </r>
  <r>
    <x v="3274"/>
    <x v="9"/>
    <x v="2"/>
    <x v="62"/>
  </r>
  <r>
    <x v="3275"/>
    <x v="9"/>
    <x v="2"/>
    <x v="62"/>
  </r>
  <r>
    <x v="132"/>
    <x v="9"/>
    <x v="2"/>
    <x v="62"/>
  </r>
  <r>
    <x v="36"/>
    <x v="9"/>
    <x v="4"/>
    <x v="4"/>
  </r>
  <r>
    <x v="3276"/>
    <x v="9"/>
    <x v="2"/>
    <x v="72"/>
  </r>
  <r>
    <x v="1268"/>
    <x v="9"/>
    <x v="2"/>
    <x v="62"/>
  </r>
  <r>
    <x v="162"/>
    <x v="9"/>
    <x v="2"/>
    <x v="62"/>
  </r>
  <r>
    <x v="160"/>
    <x v="9"/>
    <x v="2"/>
    <x v="62"/>
  </r>
  <r>
    <x v="75"/>
    <x v="9"/>
    <x v="1"/>
    <x v="71"/>
  </r>
  <r>
    <x v="160"/>
    <x v="9"/>
    <x v="1"/>
    <x v="71"/>
  </r>
  <r>
    <x v="1987"/>
    <x v="9"/>
    <x v="2"/>
    <x v="34"/>
  </r>
  <r>
    <x v="1138"/>
    <x v="9"/>
    <x v="1"/>
    <x v="60"/>
  </r>
  <r>
    <x v="3277"/>
    <x v="9"/>
    <x v="2"/>
    <x v="62"/>
  </r>
  <r>
    <x v="832"/>
    <x v="9"/>
    <x v="1"/>
    <x v="23"/>
  </r>
  <r>
    <x v="103"/>
    <x v="9"/>
    <x v="2"/>
    <x v="72"/>
  </r>
  <r>
    <x v="3278"/>
    <x v="9"/>
    <x v="2"/>
    <x v="62"/>
  </r>
  <r>
    <x v="3279"/>
    <x v="9"/>
    <x v="2"/>
    <x v="62"/>
  </r>
  <r>
    <x v="3280"/>
    <x v="9"/>
    <x v="4"/>
    <x v="4"/>
  </r>
  <r>
    <x v="547"/>
    <x v="9"/>
    <x v="1"/>
    <x v="71"/>
  </r>
  <r>
    <x v="3281"/>
    <x v="9"/>
    <x v="4"/>
    <x v="4"/>
  </r>
  <r>
    <x v="39"/>
    <x v="9"/>
    <x v="1"/>
    <x v="23"/>
  </r>
  <r>
    <x v="75"/>
    <x v="9"/>
    <x v="1"/>
    <x v="23"/>
  </r>
  <r>
    <x v="35"/>
    <x v="9"/>
    <x v="1"/>
    <x v="23"/>
  </r>
  <r>
    <x v="76"/>
    <x v="9"/>
    <x v="1"/>
    <x v="40"/>
  </r>
  <r>
    <x v="42"/>
    <x v="9"/>
    <x v="1"/>
    <x v="40"/>
  </r>
  <r>
    <x v="35"/>
    <x v="9"/>
    <x v="1"/>
    <x v="40"/>
  </r>
  <r>
    <x v="35"/>
    <x v="9"/>
    <x v="2"/>
    <x v="62"/>
  </r>
  <r>
    <x v="75"/>
    <x v="9"/>
    <x v="2"/>
    <x v="62"/>
  </r>
  <r>
    <x v="35"/>
    <x v="9"/>
    <x v="2"/>
    <x v="62"/>
  </r>
  <r>
    <x v="35"/>
    <x v="9"/>
    <x v="2"/>
    <x v="62"/>
  </r>
  <r>
    <x v="81"/>
    <x v="9"/>
    <x v="2"/>
    <x v="62"/>
  </r>
  <r>
    <x v="439"/>
    <x v="9"/>
    <x v="4"/>
    <x v="4"/>
  </r>
  <r>
    <x v="76"/>
    <x v="9"/>
    <x v="1"/>
    <x v="23"/>
  </r>
  <r>
    <x v="585"/>
    <x v="9"/>
    <x v="1"/>
    <x v="23"/>
  </r>
  <r>
    <x v="3282"/>
    <x v="9"/>
    <x v="2"/>
    <x v="80"/>
  </r>
  <r>
    <x v="3283"/>
    <x v="9"/>
    <x v="1"/>
    <x v="45"/>
  </r>
  <r>
    <x v="3284"/>
    <x v="9"/>
    <x v="1"/>
    <x v="71"/>
  </r>
  <r>
    <x v="3285"/>
    <x v="9"/>
    <x v="6"/>
    <x v="56"/>
  </r>
  <r>
    <x v="3286"/>
    <x v="9"/>
    <x v="4"/>
    <x v="4"/>
  </r>
  <r>
    <x v="3287"/>
    <x v="9"/>
    <x v="1"/>
    <x v="45"/>
  </r>
  <r>
    <x v="688"/>
    <x v="9"/>
    <x v="4"/>
    <x v="4"/>
  </r>
  <r>
    <x v="1260"/>
    <x v="9"/>
    <x v="1"/>
    <x v="71"/>
  </r>
  <r>
    <x v="3288"/>
    <x v="9"/>
    <x v="1"/>
    <x v="24"/>
  </r>
  <r>
    <x v="3289"/>
    <x v="9"/>
    <x v="2"/>
    <x v="34"/>
  </r>
  <r>
    <x v="3290"/>
    <x v="9"/>
    <x v="2"/>
    <x v="62"/>
  </r>
  <r>
    <x v="3291"/>
    <x v="9"/>
    <x v="2"/>
    <x v="72"/>
  </r>
  <r>
    <x v="3292"/>
    <x v="9"/>
    <x v="1"/>
    <x v="71"/>
  </r>
  <r>
    <x v="2722"/>
    <x v="9"/>
    <x v="2"/>
    <x v="34"/>
  </r>
  <r>
    <x v="3293"/>
    <x v="9"/>
    <x v="4"/>
    <x v="11"/>
  </r>
  <r>
    <x v="430"/>
    <x v="9"/>
    <x v="1"/>
    <x v="24"/>
  </r>
  <r>
    <x v="3294"/>
    <x v="9"/>
    <x v="1"/>
    <x v="71"/>
  </r>
  <r>
    <x v="3295"/>
    <x v="9"/>
    <x v="4"/>
    <x v="4"/>
  </r>
  <r>
    <x v="3296"/>
    <x v="9"/>
    <x v="4"/>
    <x v="4"/>
  </r>
  <r>
    <x v="1082"/>
    <x v="9"/>
    <x v="4"/>
    <x v="4"/>
  </r>
  <r>
    <x v="3297"/>
    <x v="9"/>
    <x v="1"/>
    <x v="66"/>
  </r>
  <r>
    <x v="3298"/>
    <x v="9"/>
    <x v="4"/>
    <x v="4"/>
  </r>
  <r>
    <x v="3299"/>
    <x v="9"/>
    <x v="4"/>
    <x v="4"/>
  </r>
  <r>
    <x v="3300"/>
    <x v="9"/>
    <x v="1"/>
    <x v="24"/>
  </r>
  <r>
    <x v="3301"/>
    <x v="9"/>
    <x v="4"/>
    <x v="11"/>
  </r>
  <r>
    <x v="3302"/>
    <x v="9"/>
    <x v="4"/>
    <x v="4"/>
  </r>
  <r>
    <x v="3303"/>
    <x v="9"/>
    <x v="4"/>
    <x v="11"/>
  </r>
  <r>
    <x v="3304"/>
    <x v="9"/>
    <x v="1"/>
    <x v="23"/>
  </r>
  <r>
    <x v="754"/>
    <x v="9"/>
    <x v="4"/>
    <x v="4"/>
  </r>
  <r>
    <x v="2009"/>
    <x v="9"/>
    <x v="4"/>
    <x v="4"/>
  </r>
  <r>
    <x v="3305"/>
    <x v="9"/>
    <x v="1"/>
    <x v="23"/>
  </r>
  <r>
    <x v="3306"/>
    <x v="9"/>
    <x v="1"/>
    <x v="71"/>
  </r>
  <r>
    <x v="118"/>
    <x v="9"/>
    <x v="4"/>
    <x v="4"/>
  </r>
  <r>
    <x v="2480"/>
    <x v="9"/>
    <x v="1"/>
    <x v="60"/>
  </r>
  <r>
    <x v="3307"/>
    <x v="9"/>
    <x v="2"/>
    <x v="34"/>
  </r>
  <r>
    <x v="3308"/>
    <x v="9"/>
    <x v="1"/>
    <x v="71"/>
  </r>
  <r>
    <x v="430"/>
    <x v="9"/>
    <x v="1"/>
    <x v="23"/>
  </r>
  <r>
    <x v="3309"/>
    <x v="9"/>
    <x v="1"/>
    <x v="23"/>
  </r>
  <r>
    <x v="3310"/>
    <x v="9"/>
    <x v="4"/>
    <x v="11"/>
  </r>
  <r>
    <x v="3311"/>
    <x v="9"/>
    <x v="3"/>
    <x v="0"/>
  </r>
  <r>
    <x v="3312"/>
    <x v="9"/>
    <x v="0"/>
    <x v="0"/>
  </r>
  <r>
    <x v="2865"/>
    <x v="9"/>
    <x v="9"/>
    <x v="23"/>
  </r>
  <r>
    <x v="3313"/>
    <x v="9"/>
    <x v="5"/>
    <x v="0"/>
  </r>
  <r>
    <x v="3314"/>
    <x v="9"/>
    <x v="4"/>
    <x v="4"/>
  </r>
  <r>
    <x v="3315"/>
    <x v="9"/>
    <x v="4"/>
    <x v="4"/>
  </r>
  <r>
    <x v="3316"/>
    <x v="9"/>
    <x v="2"/>
    <x v="26"/>
  </r>
  <r>
    <x v="3317"/>
    <x v="9"/>
    <x v="4"/>
    <x v="4"/>
  </r>
  <r>
    <x v="3318"/>
    <x v="9"/>
    <x v="5"/>
    <x v="0"/>
  </r>
  <r>
    <x v="3319"/>
    <x v="9"/>
    <x v="5"/>
    <x v="0"/>
  </r>
  <r>
    <x v="3320"/>
    <x v="9"/>
    <x v="1"/>
    <x v="83"/>
  </r>
  <r>
    <x v="3321"/>
    <x v="9"/>
    <x v="5"/>
    <x v="0"/>
  </r>
  <r>
    <x v="3322"/>
    <x v="9"/>
    <x v="5"/>
    <x v="0"/>
  </r>
  <r>
    <x v="3323"/>
    <x v="9"/>
    <x v="5"/>
    <x v="0"/>
  </r>
  <r>
    <x v="411"/>
    <x v="9"/>
    <x v="9"/>
    <x v="66"/>
  </r>
  <r>
    <x v="3324"/>
    <x v="9"/>
    <x v="3"/>
    <x v="0"/>
  </r>
  <r>
    <x v="3325"/>
    <x v="9"/>
    <x v="0"/>
    <x v="0"/>
  </r>
  <r>
    <x v="411"/>
    <x v="9"/>
    <x v="9"/>
    <x v="40"/>
  </r>
  <r>
    <x v="3326"/>
    <x v="9"/>
    <x v="1"/>
    <x v="84"/>
  </r>
  <r>
    <x v="3327"/>
    <x v="9"/>
    <x v="4"/>
    <x v="4"/>
  </r>
  <r>
    <x v="3328"/>
    <x v="9"/>
    <x v="4"/>
    <x v="4"/>
  </r>
  <r>
    <x v="410"/>
    <x v="9"/>
    <x v="1"/>
    <x v="71"/>
  </r>
  <r>
    <x v="139"/>
    <x v="9"/>
    <x v="4"/>
    <x v="4"/>
  </r>
  <r>
    <x v="3329"/>
    <x v="9"/>
    <x v="2"/>
    <x v="80"/>
  </r>
  <r>
    <x v="3330"/>
    <x v="9"/>
    <x v="2"/>
    <x v="80"/>
  </r>
  <r>
    <x v="3331"/>
    <x v="9"/>
    <x v="2"/>
    <x v="80"/>
  </r>
  <r>
    <x v="3332"/>
    <x v="9"/>
    <x v="2"/>
    <x v="80"/>
  </r>
  <r>
    <x v="3333"/>
    <x v="9"/>
    <x v="2"/>
    <x v="80"/>
  </r>
  <r>
    <x v="3127"/>
    <x v="9"/>
    <x v="1"/>
    <x v="40"/>
  </r>
  <r>
    <x v="422"/>
    <x v="9"/>
    <x v="1"/>
    <x v="40"/>
  </r>
  <r>
    <x v="447"/>
    <x v="9"/>
    <x v="1"/>
    <x v="40"/>
  </r>
  <r>
    <x v="3334"/>
    <x v="9"/>
    <x v="1"/>
    <x v="40"/>
  </r>
  <r>
    <x v="76"/>
    <x v="9"/>
    <x v="1"/>
    <x v="40"/>
  </r>
  <r>
    <x v="1920"/>
    <x v="9"/>
    <x v="1"/>
    <x v="40"/>
  </r>
  <r>
    <x v="101"/>
    <x v="9"/>
    <x v="1"/>
    <x v="40"/>
  </r>
  <r>
    <x v="3335"/>
    <x v="9"/>
    <x v="1"/>
    <x v="40"/>
  </r>
  <r>
    <x v="3336"/>
    <x v="9"/>
    <x v="1"/>
    <x v="40"/>
  </r>
  <r>
    <x v="422"/>
    <x v="9"/>
    <x v="1"/>
    <x v="40"/>
  </r>
  <r>
    <x v="118"/>
    <x v="9"/>
    <x v="1"/>
    <x v="40"/>
  </r>
  <r>
    <x v="1641"/>
    <x v="9"/>
    <x v="4"/>
    <x v="4"/>
  </r>
  <r>
    <x v="43"/>
    <x v="9"/>
    <x v="1"/>
    <x v="51"/>
  </r>
  <r>
    <x v="76"/>
    <x v="9"/>
    <x v="1"/>
    <x v="23"/>
  </r>
  <r>
    <x v="103"/>
    <x v="9"/>
    <x v="1"/>
    <x v="23"/>
  </r>
  <r>
    <x v="563"/>
    <x v="9"/>
    <x v="1"/>
    <x v="23"/>
  </r>
  <r>
    <x v="915"/>
    <x v="9"/>
    <x v="1"/>
    <x v="23"/>
  </r>
  <r>
    <x v="3337"/>
    <x v="9"/>
    <x v="1"/>
    <x v="23"/>
  </r>
  <r>
    <x v="35"/>
    <x v="9"/>
    <x v="1"/>
    <x v="23"/>
  </r>
  <r>
    <x v="35"/>
    <x v="9"/>
    <x v="1"/>
    <x v="23"/>
  </r>
  <r>
    <x v="915"/>
    <x v="9"/>
    <x v="1"/>
    <x v="23"/>
  </r>
  <r>
    <x v="663"/>
    <x v="9"/>
    <x v="1"/>
    <x v="23"/>
  </r>
  <r>
    <x v="132"/>
    <x v="9"/>
    <x v="1"/>
    <x v="23"/>
  </r>
  <r>
    <x v="103"/>
    <x v="9"/>
    <x v="1"/>
    <x v="23"/>
  </r>
  <r>
    <x v="24"/>
    <x v="9"/>
    <x v="1"/>
    <x v="23"/>
  </r>
  <r>
    <x v="35"/>
    <x v="9"/>
    <x v="1"/>
    <x v="23"/>
  </r>
  <r>
    <x v="1660"/>
    <x v="9"/>
    <x v="1"/>
    <x v="23"/>
  </r>
  <r>
    <x v="1146"/>
    <x v="9"/>
    <x v="1"/>
    <x v="23"/>
  </r>
  <r>
    <x v="76"/>
    <x v="9"/>
    <x v="1"/>
    <x v="23"/>
  </r>
  <r>
    <x v="3338"/>
    <x v="9"/>
    <x v="1"/>
    <x v="23"/>
  </r>
  <r>
    <x v="2857"/>
    <x v="9"/>
    <x v="1"/>
    <x v="23"/>
  </r>
  <r>
    <x v="103"/>
    <x v="9"/>
    <x v="1"/>
    <x v="23"/>
  </r>
  <r>
    <x v="103"/>
    <x v="9"/>
    <x v="1"/>
    <x v="23"/>
  </r>
  <r>
    <x v="707"/>
    <x v="9"/>
    <x v="1"/>
    <x v="23"/>
  </r>
  <r>
    <x v="3339"/>
    <x v="9"/>
    <x v="1"/>
    <x v="23"/>
  </r>
  <r>
    <x v="18"/>
    <x v="9"/>
    <x v="1"/>
    <x v="23"/>
  </r>
  <r>
    <x v="24"/>
    <x v="9"/>
    <x v="1"/>
    <x v="23"/>
  </r>
  <r>
    <x v="446"/>
    <x v="9"/>
    <x v="1"/>
    <x v="23"/>
  </r>
  <r>
    <x v="1065"/>
    <x v="9"/>
    <x v="1"/>
    <x v="23"/>
  </r>
  <r>
    <x v="132"/>
    <x v="9"/>
    <x v="1"/>
    <x v="23"/>
  </r>
  <r>
    <x v="583"/>
    <x v="9"/>
    <x v="1"/>
    <x v="23"/>
  </r>
  <r>
    <x v="166"/>
    <x v="9"/>
    <x v="1"/>
    <x v="23"/>
  </r>
  <r>
    <x v="2113"/>
    <x v="9"/>
    <x v="1"/>
    <x v="23"/>
  </r>
  <r>
    <x v="1065"/>
    <x v="9"/>
    <x v="1"/>
    <x v="23"/>
  </r>
  <r>
    <x v="1140"/>
    <x v="9"/>
    <x v="1"/>
    <x v="23"/>
  </r>
  <r>
    <x v="1295"/>
    <x v="9"/>
    <x v="1"/>
    <x v="23"/>
  </r>
  <r>
    <x v="43"/>
    <x v="9"/>
    <x v="1"/>
    <x v="23"/>
  </r>
  <r>
    <x v="166"/>
    <x v="9"/>
    <x v="1"/>
    <x v="23"/>
  </r>
  <r>
    <x v="132"/>
    <x v="9"/>
    <x v="1"/>
    <x v="23"/>
  </r>
  <r>
    <x v="103"/>
    <x v="9"/>
    <x v="1"/>
    <x v="23"/>
  </r>
  <r>
    <x v="1664"/>
    <x v="9"/>
    <x v="1"/>
    <x v="23"/>
  </r>
  <r>
    <x v="103"/>
    <x v="9"/>
    <x v="1"/>
    <x v="23"/>
  </r>
  <r>
    <x v="43"/>
    <x v="9"/>
    <x v="1"/>
    <x v="23"/>
  </r>
  <r>
    <x v="132"/>
    <x v="9"/>
    <x v="1"/>
    <x v="23"/>
  </r>
  <r>
    <x v="103"/>
    <x v="9"/>
    <x v="1"/>
    <x v="23"/>
  </r>
  <r>
    <x v="24"/>
    <x v="9"/>
    <x v="1"/>
    <x v="23"/>
  </r>
  <r>
    <x v="132"/>
    <x v="9"/>
    <x v="1"/>
    <x v="23"/>
  </r>
  <r>
    <x v="1065"/>
    <x v="9"/>
    <x v="1"/>
    <x v="23"/>
  </r>
  <r>
    <x v="1065"/>
    <x v="9"/>
    <x v="1"/>
    <x v="23"/>
  </r>
  <r>
    <x v="103"/>
    <x v="9"/>
    <x v="1"/>
    <x v="23"/>
  </r>
  <r>
    <x v="392"/>
    <x v="9"/>
    <x v="1"/>
    <x v="23"/>
  </r>
  <r>
    <x v="36"/>
    <x v="9"/>
    <x v="1"/>
    <x v="23"/>
  </r>
  <r>
    <x v="18"/>
    <x v="9"/>
    <x v="1"/>
    <x v="23"/>
  </r>
  <r>
    <x v="465"/>
    <x v="9"/>
    <x v="2"/>
    <x v="72"/>
  </r>
  <r>
    <x v="166"/>
    <x v="9"/>
    <x v="1"/>
    <x v="23"/>
  </r>
  <r>
    <x v="99"/>
    <x v="9"/>
    <x v="2"/>
    <x v="62"/>
  </r>
  <r>
    <x v="132"/>
    <x v="9"/>
    <x v="1"/>
    <x v="60"/>
  </r>
  <r>
    <x v="3340"/>
    <x v="9"/>
    <x v="2"/>
    <x v="34"/>
  </r>
  <r>
    <x v="763"/>
    <x v="9"/>
    <x v="6"/>
    <x v="12"/>
  </r>
  <r>
    <x v="99"/>
    <x v="9"/>
    <x v="2"/>
    <x v="2"/>
  </r>
  <r>
    <x v="99"/>
    <x v="9"/>
    <x v="4"/>
    <x v="4"/>
  </r>
  <r>
    <x v="1819"/>
    <x v="9"/>
    <x v="2"/>
    <x v="79"/>
  </r>
  <r>
    <x v="2005"/>
    <x v="9"/>
    <x v="2"/>
    <x v="34"/>
  </r>
  <r>
    <x v="3341"/>
    <x v="9"/>
    <x v="2"/>
    <x v="34"/>
  </r>
  <r>
    <x v="3342"/>
    <x v="9"/>
    <x v="2"/>
    <x v="34"/>
  </r>
  <r>
    <x v="75"/>
    <x v="9"/>
    <x v="1"/>
    <x v="31"/>
  </r>
  <r>
    <x v="75"/>
    <x v="9"/>
    <x v="1"/>
    <x v="31"/>
  </r>
  <r>
    <x v="2074"/>
    <x v="9"/>
    <x v="2"/>
    <x v="72"/>
  </r>
  <r>
    <x v="3343"/>
    <x v="9"/>
    <x v="2"/>
    <x v="62"/>
  </r>
  <r>
    <x v="1642"/>
    <x v="9"/>
    <x v="4"/>
    <x v="4"/>
  </r>
  <r>
    <x v="1642"/>
    <x v="9"/>
    <x v="1"/>
    <x v="71"/>
  </r>
  <r>
    <x v="35"/>
    <x v="9"/>
    <x v="4"/>
    <x v="4"/>
  </r>
  <r>
    <x v="3344"/>
    <x v="9"/>
    <x v="1"/>
    <x v="71"/>
  </r>
  <r>
    <x v="422"/>
    <x v="9"/>
    <x v="2"/>
    <x v="62"/>
  </r>
  <r>
    <x v="448"/>
    <x v="9"/>
    <x v="4"/>
    <x v="4"/>
  </r>
  <r>
    <x v="3345"/>
    <x v="9"/>
    <x v="6"/>
    <x v="18"/>
  </r>
  <r>
    <x v="465"/>
    <x v="9"/>
    <x v="2"/>
    <x v="62"/>
  </r>
  <r>
    <x v="442"/>
    <x v="9"/>
    <x v="1"/>
    <x v="71"/>
  </r>
  <r>
    <x v="160"/>
    <x v="9"/>
    <x v="1"/>
    <x v="40"/>
  </r>
  <r>
    <x v="160"/>
    <x v="9"/>
    <x v="1"/>
    <x v="60"/>
  </r>
  <r>
    <x v="147"/>
    <x v="9"/>
    <x v="4"/>
    <x v="4"/>
  </r>
  <r>
    <x v="168"/>
    <x v="9"/>
    <x v="1"/>
    <x v="23"/>
  </r>
  <r>
    <x v="99"/>
    <x v="9"/>
    <x v="2"/>
    <x v="34"/>
  </r>
  <r>
    <x v="43"/>
    <x v="9"/>
    <x v="1"/>
    <x v="40"/>
  </r>
  <r>
    <x v="1763"/>
    <x v="9"/>
    <x v="1"/>
    <x v="40"/>
  </r>
  <r>
    <x v="1936"/>
    <x v="9"/>
    <x v="1"/>
    <x v="40"/>
  </r>
  <r>
    <x v="35"/>
    <x v="9"/>
    <x v="1"/>
    <x v="40"/>
  </r>
  <r>
    <x v="3346"/>
    <x v="9"/>
    <x v="1"/>
    <x v="23"/>
  </r>
  <r>
    <x v="1065"/>
    <x v="9"/>
    <x v="1"/>
    <x v="23"/>
  </r>
  <r>
    <x v="3347"/>
    <x v="9"/>
    <x v="1"/>
    <x v="23"/>
  </r>
  <r>
    <x v="24"/>
    <x v="9"/>
    <x v="4"/>
    <x v="4"/>
  </r>
  <r>
    <x v="75"/>
    <x v="9"/>
    <x v="1"/>
    <x v="23"/>
  </r>
  <r>
    <x v="35"/>
    <x v="9"/>
    <x v="1"/>
    <x v="23"/>
  </r>
  <r>
    <x v="42"/>
    <x v="9"/>
    <x v="1"/>
    <x v="40"/>
  </r>
  <r>
    <x v="76"/>
    <x v="9"/>
    <x v="1"/>
    <x v="40"/>
  </r>
  <r>
    <x v="35"/>
    <x v="9"/>
    <x v="1"/>
    <x v="40"/>
  </r>
  <r>
    <x v="3348"/>
    <x v="9"/>
    <x v="1"/>
    <x v="23"/>
  </r>
  <r>
    <x v="3349"/>
    <x v="9"/>
    <x v="1"/>
    <x v="40"/>
  </r>
  <r>
    <x v="3350"/>
    <x v="9"/>
    <x v="1"/>
    <x v="23"/>
  </r>
  <r>
    <x v="3350"/>
    <x v="9"/>
    <x v="1"/>
    <x v="24"/>
  </r>
  <r>
    <x v="3351"/>
    <x v="9"/>
    <x v="1"/>
    <x v="23"/>
  </r>
  <r>
    <x v="3351"/>
    <x v="9"/>
    <x v="1"/>
    <x v="24"/>
  </r>
  <r>
    <x v="3351"/>
    <x v="9"/>
    <x v="1"/>
    <x v="40"/>
  </r>
  <r>
    <x v="3352"/>
    <x v="9"/>
    <x v="1"/>
    <x v="23"/>
  </r>
  <r>
    <x v="3352"/>
    <x v="9"/>
    <x v="1"/>
    <x v="24"/>
  </r>
  <r>
    <x v="3352"/>
    <x v="9"/>
    <x v="1"/>
    <x v="40"/>
  </r>
  <r>
    <x v="742"/>
    <x v="9"/>
    <x v="1"/>
    <x v="23"/>
  </r>
  <r>
    <x v="3353"/>
    <x v="9"/>
    <x v="4"/>
    <x v="4"/>
  </r>
  <r>
    <x v="3354"/>
    <x v="9"/>
    <x v="2"/>
    <x v="34"/>
  </r>
  <r>
    <x v="2291"/>
    <x v="9"/>
    <x v="4"/>
    <x v="4"/>
  </r>
  <r>
    <x v="1891"/>
    <x v="9"/>
    <x v="1"/>
    <x v="45"/>
  </r>
  <r>
    <x v="2291"/>
    <x v="9"/>
    <x v="4"/>
    <x v="4"/>
  </r>
  <r>
    <x v="495"/>
    <x v="9"/>
    <x v="4"/>
    <x v="4"/>
  </r>
  <r>
    <x v="498"/>
    <x v="9"/>
    <x v="2"/>
    <x v="34"/>
  </r>
  <r>
    <x v="3355"/>
    <x v="9"/>
    <x v="2"/>
    <x v="34"/>
  </r>
  <r>
    <x v="3140"/>
    <x v="9"/>
    <x v="1"/>
    <x v="71"/>
  </r>
  <r>
    <x v="3356"/>
    <x v="9"/>
    <x v="1"/>
    <x v="23"/>
  </r>
  <r>
    <x v="498"/>
    <x v="9"/>
    <x v="2"/>
    <x v="34"/>
  </r>
  <r>
    <x v="3357"/>
    <x v="9"/>
    <x v="2"/>
    <x v="34"/>
  </r>
  <r>
    <x v="2614"/>
    <x v="9"/>
    <x v="1"/>
    <x v="45"/>
  </r>
  <r>
    <x v="53"/>
    <x v="9"/>
    <x v="4"/>
    <x v="4"/>
  </r>
  <r>
    <x v="3358"/>
    <x v="9"/>
    <x v="2"/>
    <x v="62"/>
  </r>
  <r>
    <x v="2296"/>
    <x v="9"/>
    <x v="4"/>
    <x v="4"/>
  </r>
  <r>
    <x v="3359"/>
    <x v="9"/>
    <x v="4"/>
    <x v="11"/>
  </r>
  <r>
    <x v="399"/>
    <x v="9"/>
    <x v="4"/>
    <x v="4"/>
  </r>
  <r>
    <x v="3356"/>
    <x v="9"/>
    <x v="1"/>
    <x v="23"/>
  </r>
  <r>
    <x v="498"/>
    <x v="9"/>
    <x v="1"/>
    <x v="23"/>
  </r>
  <r>
    <x v="498"/>
    <x v="9"/>
    <x v="1"/>
    <x v="23"/>
  </r>
  <r>
    <x v="2510"/>
    <x v="9"/>
    <x v="2"/>
    <x v="62"/>
  </r>
  <r>
    <x v="3360"/>
    <x v="9"/>
    <x v="2"/>
    <x v="34"/>
  </r>
  <r>
    <x v="2619"/>
    <x v="9"/>
    <x v="4"/>
    <x v="11"/>
  </r>
  <r>
    <x v="1409"/>
    <x v="9"/>
    <x v="4"/>
    <x v="4"/>
  </r>
  <r>
    <x v="498"/>
    <x v="9"/>
    <x v="1"/>
    <x v="23"/>
  </r>
  <r>
    <x v="494"/>
    <x v="9"/>
    <x v="1"/>
    <x v="23"/>
  </r>
  <r>
    <x v="498"/>
    <x v="9"/>
    <x v="1"/>
    <x v="23"/>
  </r>
  <r>
    <x v="498"/>
    <x v="9"/>
    <x v="1"/>
    <x v="23"/>
  </r>
  <r>
    <x v="498"/>
    <x v="9"/>
    <x v="1"/>
    <x v="23"/>
  </r>
  <r>
    <x v="498"/>
    <x v="9"/>
    <x v="1"/>
    <x v="23"/>
  </r>
  <r>
    <x v="498"/>
    <x v="9"/>
    <x v="1"/>
    <x v="23"/>
  </r>
  <r>
    <x v="498"/>
    <x v="9"/>
    <x v="1"/>
    <x v="23"/>
  </r>
  <r>
    <x v="749"/>
    <x v="9"/>
    <x v="4"/>
    <x v="4"/>
  </r>
  <r>
    <x v="3361"/>
    <x v="9"/>
    <x v="1"/>
    <x v="23"/>
  </r>
  <r>
    <x v="498"/>
    <x v="9"/>
    <x v="2"/>
    <x v="34"/>
  </r>
  <r>
    <x v="498"/>
    <x v="9"/>
    <x v="2"/>
    <x v="80"/>
  </r>
  <r>
    <x v="498"/>
    <x v="9"/>
    <x v="1"/>
    <x v="23"/>
  </r>
  <r>
    <x v="498"/>
    <x v="9"/>
    <x v="2"/>
    <x v="34"/>
  </r>
  <r>
    <x v="3362"/>
    <x v="9"/>
    <x v="2"/>
    <x v="62"/>
  </r>
  <r>
    <x v="3016"/>
    <x v="9"/>
    <x v="1"/>
    <x v="23"/>
  </r>
  <r>
    <x v="2626"/>
    <x v="9"/>
    <x v="1"/>
    <x v="45"/>
  </r>
  <r>
    <x v="2626"/>
    <x v="9"/>
    <x v="1"/>
    <x v="24"/>
  </r>
  <r>
    <x v="2623"/>
    <x v="9"/>
    <x v="1"/>
    <x v="45"/>
  </r>
  <r>
    <x v="3363"/>
    <x v="9"/>
    <x v="2"/>
    <x v="34"/>
  </r>
  <r>
    <x v="498"/>
    <x v="9"/>
    <x v="1"/>
    <x v="23"/>
  </r>
  <r>
    <x v="746"/>
    <x v="9"/>
    <x v="1"/>
    <x v="23"/>
  </r>
  <r>
    <x v="498"/>
    <x v="9"/>
    <x v="1"/>
    <x v="23"/>
  </r>
  <r>
    <x v="498"/>
    <x v="9"/>
    <x v="1"/>
    <x v="23"/>
  </r>
  <r>
    <x v="3020"/>
    <x v="9"/>
    <x v="4"/>
    <x v="11"/>
  </r>
  <r>
    <x v="3021"/>
    <x v="9"/>
    <x v="4"/>
    <x v="4"/>
  </r>
  <r>
    <x v="3022"/>
    <x v="9"/>
    <x v="4"/>
    <x v="11"/>
  </r>
  <r>
    <x v="498"/>
    <x v="9"/>
    <x v="1"/>
    <x v="23"/>
  </r>
  <r>
    <x v="498"/>
    <x v="9"/>
    <x v="1"/>
    <x v="23"/>
  </r>
  <r>
    <x v="498"/>
    <x v="9"/>
    <x v="1"/>
    <x v="23"/>
  </r>
  <r>
    <x v="498"/>
    <x v="9"/>
    <x v="1"/>
    <x v="23"/>
  </r>
  <r>
    <x v="498"/>
    <x v="9"/>
    <x v="1"/>
    <x v="23"/>
  </r>
  <r>
    <x v="498"/>
    <x v="9"/>
    <x v="1"/>
    <x v="23"/>
  </r>
  <r>
    <x v="3189"/>
    <x v="9"/>
    <x v="1"/>
    <x v="23"/>
  </r>
  <r>
    <x v="498"/>
    <x v="9"/>
    <x v="1"/>
    <x v="23"/>
  </r>
  <r>
    <x v="498"/>
    <x v="9"/>
    <x v="1"/>
    <x v="23"/>
  </r>
  <r>
    <x v="498"/>
    <x v="9"/>
    <x v="1"/>
    <x v="23"/>
  </r>
  <r>
    <x v="3356"/>
    <x v="9"/>
    <x v="1"/>
    <x v="23"/>
  </r>
  <r>
    <x v="620"/>
    <x v="9"/>
    <x v="1"/>
    <x v="23"/>
  </r>
  <r>
    <x v="498"/>
    <x v="9"/>
    <x v="1"/>
    <x v="71"/>
  </r>
  <r>
    <x v="498"/>
    <x v="9"/>
    <x v="1"/>
    <x v="71"/>
  </r>
  <r>
    <x v="498"/>
    <x v="9"/>
    <x v="1"/>
    <x v="71"/>
  </r>
  <r>
    <x v="3023"/>
    <x v="9"/>
    <x v="1"/>
    <x v="71"/>
  </r>
  <r>
    <x v="498"/>
    <x v="9"/>
    <x v="1"/>
    <x v="71"/>
  </r>
  <r>
    <x v="498"/>
    <x v="9"/>
    <x v="1"/>
    <x v="71"/>
  </r>
  <r>
    <x v="2434"/>
    <x v="9"/>
    <x v="2"/>
    <x v="80"/>
  </r>
  <r>
    <x v="3364"/>
    <x v="9"/>
    <x v="2"/>
    <x v="80"/>
  </r>
  <r>
    <x v="498"/>
    <x v="9"/>
    <x v="1"/>
    <x v="23"/>
  </r>
  <r>
    <x v="498"/>
    <x v="9"/>
    <x v="1"/>
    <x v="23"/>
  </r>
  <r>
    <x v="891"/>
    <x v="9"/>
    <x v="1"/>
    <x v="23"/>
  </r>
  <r>
    <x v="498"/>
    <x v="9"/>
    <x v="1"/>
    <x v="23"/>
  </r>
  <r>
    <x v="498"/>
    <x v="9"/>
    <x v="1"/>
    <x v="23"/>
  </r>
  <r>
    <x v="742"/>
    <x v="9"/>
    <x v="1"/>
    <x v="23"/>
  </r>
  <r>
    <x v="305"/>
    <x v="9"/>
    <x v="4"/>
    <x v="4"/>
  </r>
  <r>
    <x v="3365"/>
    <x v="9"/>
    <x v="4"/>
    <x v="4"/>
  </r>
  <r>
    <x v="3366"/>
    <x v="9"/>
    <x v="4"/>
    <x v="4"/>
  </r>
  <r>
    <x v="3367"/>
    <x v="9"/>
    <x v="2"/>
    <x v="80"/>
  </r>
  <r>
    <x v="3368"/>
    <x v="9"/>
    <x v="6"/>
    <x v="56"/>
  </r>
  <r>
    <x v="3369"/>
    <x v="9"/>
    <x v="4"/>
    <x v="4"/>
  </r>
  <r>
    <x v="3370"/>
    <x v="9"/>
    <x v="4"/>
    <x v="4"/>
  </r>
  <r>
    <x v="620"/>
    <x v="9"/>
    <x v="1"/>
    <x v="40"/>
  </r>
  <r>
    <x v="3371"/>
    <x v="9"/>
    <x v="1"/>
    <x v="24"/>
  </r>
  <r>
    <x v="359"/>
    <x v="9"/>
    <x v="4"/>
    <x v="4"/>
  </r>
  <r>
    <x v="3120"/>
    <x v="9"/>
    <x v="4"/>
    <x v="4"/>
  </r>
  <r>
    <x v="1683"/>
    <x v="9"/>
    <x v="1"/>
    <x v="45"/>
  </r>
  <r>
    <x v="3372"/>
    <x v="9"/>
    <x v="1"/>
    <x v="24"/>
  </r>
  <r>
    <x v="3373"/>
    <x v="9"/>
    <x v="2"/>
    <x v="34"/>
  </r>
  <r>
    <x v="3373"/>
    <x v="9"/>
    <x v="1"/>
    <x v="60"/>
  </r>
  <r>
    <x v="3373"/>
    <x v="9"/>
    <x v="2"/>
    <x v="72"/>
  </r>
  <r>
    <x v="3374"/>
    <x v="9"/>
    <x v="2"/>
    <x v="62"/>
  </r>
  <r>
    <x v="819"/>
    <x v="9"/>
    <x v="1"/>
    <x v="45"/>
  </r>
  <r>
    <x v="3375"/>
    <x v="9"/>
    <x v="4"/>
    <x v="11"/>
  </r>
  <r>
    <x v="460"/>
    <x v="9"/>
    <x v="4"/>
    <x v="4"/>
  </r>
  <r>
    <x v="172"/>
    <x v="9"/>
    <x v="2"/>
    <x v="54"/>
  </r>
  <r>
    <x v="753"/>
    <x v="9"/>
    <x v="4"/>
    <x v="4"/>
  </r>
  <r>
    <x v="3376"/>
    <x v="9"/>
    <x v="1"/>
    <x v="23"/>
  </r>
  <r>
    <x v="3377"/>
    <x v="9"/>
    <x v="1"/>
    <x v="71"/>
  </r>
  <r>
    <x v="3378"/>
    <x v="9"/>
    <x v="2"/>
    <x v="34"/>
  </r>
  <r>
    <x v="3378"/>
    <x v="9"/>
    <x v="1"/>
    <x v="23"/>
  </r>
  <r>
    <x v="3379"/>
    <x v="9"/>
    <x v="2"/>
    <x v="26"/>
  </r>
  <r>
    <x v="3380"/>
    <x v="9"/>
    <x v="2"/>
    <x v="80"/>
  </r>
  <r>
    <x v="1278"/>
    <x v="9"/>
    <x v="1"/>
    <x v="66"/>
  </r>
  <r>
    <x v="1278"/>
    <x v="9"/>
    <x v="1"/>
    <x v="40"/>
  </r>
  <r>
    <x v="3025"/>
    <x v="9"/>
    <x v="3"/>
    <x v="0"/>
  </r>
  <r>
    <x v="3381"/>
    <x v="9"/>
    <x v="1"/>
    <x v="23"/>
  </r>
  <r>
    <x v="311"/>
    <x v="9"/>
    <x v="2"/>
    <x v="80"/>
  </r>
  <r>
    <x v="11"/>
    <x v="9"/>
    <x v="4"/>
    <x v="4"/>
  </r>
  <r>
    <x v="3382"/>
    <x v="9"/>
    <x v="2"/>
    <x v="80"/>
  </r>
  <r>
    <x v="3383"/>
    <x v="9"/>
    <x v="4"/>
    <x v="11"/>
  </r>
  <r>
    <x v="3023"/>
    <x v="9"/>
    <x v="1"/>
    <x v="40"/>
  </r>
  <r>
    <x v="3103"/>
    <x v="9"/>
    <x v="4"/>
    <x v="4"/>
  </r>
  <r>
    <x v="3384"/>
    <x v="9"/>
    <x v="5"/>
    <x v="0"/>
  </r>
  <r>
    <x v="3385"/>
    <x v="9"/>
    <x v="1"/>
    <x v="28"/>
  </r>
  <r>
    <x v="3386"/>
    <x v="9"/>
    <x v="5"/>
    <x v="0"/>
  </r>
  <r>
    <x v="3387"/>
    <x v="9"/>
    <x v="4"/>
    <x v="4"/>
  </r>
  <r>
    <x v="3388"/>
    <x v="9"/>
    <x v="5"/>
    <x v="0"/>
  </r>
  <r>
    <x v="1913"/>
    <x v="9"/>
    <x v="4"/>
    <x v="4"/>
  </r>
  <r>
    <x v="411"/>
    <x v="9"/>
    <x v="9"/>
    <x v="23"/>
  </r>
  <r>
    <x v="3389"/>
    <x v="9"/>
    <x v="5"/>
    <x v="0"/>
  </r>
  <r>
    <x v="3080"/>
    <x v="9"/>
    <x v="3"/>
    <x v="0"/>
  </r>
  <r>
    <x v="3390"/>
    <x v="9"/>
    <x v="4"/>
    <x v="4"/>
  </r>
  <r>
    <x v="3391"/>
    <x v="9"/>
    <x v="4"/>
    <x v="11"/>
  </r>
  <r>
    <x v="836"/>
    <x v="9"/>
    <x v="4"/>
    <x v="11"/>
  </r>
  <r>
    <x v="3392"/>
    <x v="9"/>
    <x v="4"/>
    <x v="11"/>
  </r>
  <r>
    <x v="3393"/>
    <x v="9"/>
    <x v="4"/>
    <x v="11"/>
  </r>
  <r>
    <x v="1050"/>
    <x v="9"/>
    <x v="4"/>
    <x v="11"/>
  </r>
  <r>
    <x v="655"/>
    <x v="9"/>
    <x v="4"/>
    <x v="11"/>
  </r>
  <r>
    <x v="3394"/>
    <x v="9"/>
    <x v="4"/>
    <x v="11"/>
  </r>
  <r>
    <x v="3395"/>
    <x v="9"/>
    <x v="4"/>
    <x v="4"/>
  </r>
  <r>
    <x v="3396"/>
    <x v="9"/>
    <x v="4"/>
    <x v="4"/>
  </r>
  <r>
    <x v="3397"/>
    <x v="9"/>
    <x v="4"/>
    <x v="4"/>
  </r>
  <r>
    <x v="2529"/>
    <x v="9"/>
    <x v="4"/>
    <x v="4"/>
  </r>
  <r>
    <x v="2529"/>
    <x v="9"/>
    <x v="4"/>
    <x v="4"/>
  </r>
  <r>
    <x v="2537"/>
    <x v="9"/>
    <x v="4"/>
    <x v="4"/>
  </r>
  <r>
    <x v="2254"/>
    <x v="9"/>
    <x v="4"/>
    <x v="4"/>
  </r>
  <r>
    <x v="2247"/>
    <x v="9"/>
    <x v="4"/>
    <x v="4"/>
  </r>
  <r>
    <x v="2527"/>
    <x v="9"/>
    <x v="4"/>
    <x v="4"/>
  </r>
  <r>
    <x v="2893"/>
    <x v="9"/>
    <x v="4"/>
    <x v="4"/>
  </r>
  <r>
    <x v="3398"/>
    <x v="9"/>
    <x v="4"/>
    <x v="4"/>
  </r>
  <r>
    <x v="3399"/>
    <x v="9"/>
    <x v="4"/>
    <x v="4"/>
  </r>
  <r>
    <x v="3400"/>
    <x v="9"/>
    <x v="4"/>
    <x v="4"/>
  </r>
  <r>
    <x v="3401"/>
    <x v="9"/>
    <x v="4"/>
    <x v="11"/>
  </r>
  <r>
    <x v="1660"/>
    <x v="10"/>
    <x v="1"/>
    <x v="23"/>
  </r>
  <r>
    <x v="161"/>
    <x v="10"/>
    <x v="4"/>
    <x v="4"/>
  </r>
  <r>
    <x v="160"/>
    <x v="10"/>
    <x v="1"/>
    <x v="23"/>
  </r>
  <r>
    <x v="655"/>
    <x v="10"/>
    <x v="2"/>
    <x v="72"/>
  </r>
  <r>
    <x v="40"/>
    <x v="10"/>
    <x v="1"/>
    <x v="71"/>
  </r>
  <r>
    <x v="465"/>
    <x v="10"/>
    <x v="2"/>
    <x v="62"/>
  </r>
  <r>
    <x v="168"/>
    <x v="10"/>
    <x v="4"/>
    <x v="4"/>
  </r>
  <r>
    <x v="99"/>
    <x v="10"/>
    <x v="1"/>
    <x v="31"/>
  </r>
  <r>
    <x v="160"/>
    <x v="10"/>
    <x v="2"/>
    <x v="79"/>
  </r>
  <r>
    <x v="422"/>
    <x v="10"/>
    <x v="2"/>
    <x v="62"/>
  </r>
  <r>
    <x v="41"/>
    <x v="10"/>
    <x v="2"/>
    <x v="79"/>
  </r>
  <r>
    <x v="3402"/>
    <x v="10"/>
    <x v="1"/>
    <x v="71"/>
  </r>
  <r>
    <x v="166"/>
    <x v="10"/>
    <x v="2"/>
    <x v="79"/>
  </r>
  <r>
    <x v="99"/>
    <x v="10"/>
    <x v="1"/>
    <x v="71"/>
  </r>
  <r>
    <x v="3403"/>
    <x v="10"/>
    <x v="2"/>
    <x v="62"/>
  </r>
  <r>
    <x v="105"/>
    <x v="10"/>
    <x v="2"/>
    <x v="79"/>
  </r>
  <r>
    <x v="281"/>
    <x v="10"/>
    <x v="2"/>
    <x v="62"/>
  </r>
  <r>
    <x v="3404"/>
    <x v="10"/>
    <x v="1"/>
    <x v="71"/>
  </r>
  <r>
    <x v="83"/>
    <x v="10"/>
    <x v="1"/>
    <x v="23"/>
  </r>
  <r>
    <x v="101"/>
    <x v="10"/>
    <x v="1"/>
    <x v="23"/>
  </r>
  <r>
    <x v="3405"/>
    <x v="10"/>
    <x v="1"/>
    <x v="23"/>
  </r>
  <r>
    <x v="3406"/>
    <x v="10"/>
    <x v="1"/>
    <x v="23"/>
  </r>
  <r>
    <x v="422"/>
    <x v="10"/>
    <x v="1"/>
    <x v="23"/>
  </r>
  <r>
    <x v="861"/>
    <x v="10"/>
    <x v="4"/>
    <x v="11"/>
  </r>
  <r>
    <x v="2805"/>
    <x v="10"/>
    <x v="4"/>
    <x v="11"/>
  </r>
  <r>
    <x v="3407"/>
    <x v="10"/>
    <x v="1"/>
    <x v="23"/>
  </r>
  <r>
    <x v="160"/>
    <x v="10"/>
    <x v="2"/>
    <x v="80"/>
  </r>
  <r>
    <x v="3408"/>
    <x v="10"/>
    <x v="2"/>
    <x v="62"/>
  </r>
  <r>
    <x v="3409"/>
    <x v="10"/>
    <x v="2"/>
    <x v="79"/>
  </r>
  <r>
    <x v="99"/>
    <x v="10"/>
    <x v="1"/>
    <x v="71"/>
  </r>
  <r>
    <x v="35"/>
    <x v="10"/>
    <x v="2"/>
    <x v="72"/>
  </r>
  <r>
    <x v="3410"/>
    <x v="10"/>
    <x v="1"/>
    <x v="23"/>
  </r>
  <r>
    <x v="3411"/>
    <x v="10"/>
    <x v="1"/>
    <x v="23"/>
  </r>
  <r>
    <x v="3412"/>
    <x v="10"/>
    <x v="2"/>
    <x v="79"/>
  </r>
  <r>
    <x v="3413"/>
    <x v="10"/>
    <x v="4"/>
    <x v="4"/>
  </r>
  <r>
    <x v="1080"/>
    <x v="10"/>
    <x v="1"/>
    <x v="71"/>
  </r>
  <r>
    <x v="3414"/>
    <x v="10"/>
    <x v="2"/>
    <x v="79"/>
  </r>
  <r>
    <x v="166"/>
    <x v="10"/>
    <x v="1"/>
    <x v="71"/>
  </r>
  <r>
    <x v="42"/>
    <x v="10"/>
    <x v="2"/>
    <x v="72"/>
  </r>
  <r>
    <x v="820"/>
    <x v="10"/>
    <x v="2"/>
    <x v="79"/>
  </r>
  <r>
    <x v="201"/>
    <x v="10"/>
    <x v="2"/>
    <x v="72"/>
  </r>
  <r>
    <x v="444"/>
    <x v="10"/>
    <x v="1"/>
    <x v="71"/>
  </r>
  <r>
    <x v="101"/>
    <x v="10"/>
    <x v="2"/>
    <x v="72"/>
  </r>
  <r>
    <x v="3415"/>
    <x v="10"/>
    <x v="1"/>
    <x v="71"/>
  </r>
  <r>
    <x v="103"/>
    <x v="10"/>
    <x v="1"/>
    <x v="24"/>
  </r>
  <r>
    <x v="112"/>
    <x v="10"/>
    <x v="1"/>
    <x v="23"/>
  </r>
  <r>
    <x v="422"/>
    <x v="10"/>
    <x v="1"/>
    <x v="31"/>
  </r>
  <r>
    <x v="422"/>
    <x v="10"/>
    <x v="1"/>
    <x v="31"/>
  </r>
  <r>
    <x v="160"/>
    <x v="10"/>
    <x v="1"/>
    <x v="60"/>
  </r>
  <r>
    <x v="422"/>
    <x v="10"/>
    <x v="1"/>
    <x v="31"/>
  </r>
  <r>
    <x v="422"/>
    <x v="10"/>
    <x v="1"/>
    <x v="31"/>
  </r>
  <r>
    <x v="160"/>
    <x v="10"/>
    <x v="1"/>
    <x v="60"/>
  </r>
  <r>
    <x v="81"/>
    <x v="10"/>
    <x v="1"/>
    <x v="60"/>
  </r>
  <r>
    <x v="160"/>
    <x v="10"/>
    <x v="1"/>
    <x v="60"/>
  </r>
  <r>
    <x v="160"/>
    <x v="10"/>
    <x v="1"/>
    <x v="60"/>
  </r>
  <r>
    <x v="1070"/>
    <x v="10"/>
    <x v="2"/>
    <x v="72"/>
  </r>
  <r>
    <x v="3416"/>
    <x v="10"/>
    <x v="1"/>
    <x v="40"/>
  </r>
  <r>
    <x v="368"/>
    <x v="10"/>
    <x v="1"/>
    <x v="40"/>
  </r>
  <r>
    <x v="422"/>
    <x v="10"/>
    <x v="1"/>
    <x v="31"/>
  </r>
  <r>
    <x v="3417"/>
    <x v="10"/>
    <x v="1"/>
    <x v="31"/>
  </r>
  <r>
    <x v="422"/>
    <x v="10"/>
    <x v="1"/>
    <x v="31"/>
  </r>
  <r>
    <x v="75"/>
    <x v="10"/>
    <x v="2"/>
    <x v="79"/>
  </r>
  <r>
    <x v="3418"/>
    <x v="10"/>
    <x v="2"/>
    <x v="72"/>
  </r>
  <r>
    <x v="18"/>
    <x v="10"/>
    <x v="4"/>
    <x v="4"/>
  </r>
  <r>
    <x v="3419"/>
    <x v="10"/>
    <x v="4"/>
    <x v="4"/>
  </r>
  <r>
    <x v="554"/>
    <x v="10"/>
    <x v="4"/>
    <x v="4"/>
  </r>
  <r>
    <x v="2869"/>
    <x v="10"/>
    <x v="4"/>
    <x v="4"/>
  </r>
  <r>
    <x v="3420"/>
    <x v="10"/>
    <x v="4"/>
    <x v="4"/>
  </r>
  <r>
    <x v="76"/>
    <x v="10"/>
    <x v="1"/>
    <x v="23"/>
  </r>
  <r>
    <x v="439"/>
    <x v="10"/>
    <x v="1"/>
    <x v="23"/>
  </r>
  <r>
    <x v="75"/>
    <x v="10"/>
    <x v="1"/>
    <x v="23"/>
  </r>
  <r>
    <x v="35"/>
    <x v="10"/>
    <x v="1"/>
    <x v="23"/>
  </r>
  <r>
    <x v="42"/>
    <x v="10"/>
    <x v="1"/>
    <x v="23"/>
  </r>
  <r>
    <x v="76"/>
    <x v="10"/>
    <x v="1"/>
    <x v="23"/>
  </r>
  <r>
    <x v="35"/>
    <x v="10"/>
    <x v="1"/>
    <x v="23"/>
  </r>
  <r>
    <x v="3421"/>
    <x v="10"/>
    <x v="2"/>
    <x v="80"/>
  </r>
  <r>
    <x v="2775"/>
    <x v="10"/>
    <x v="2"/>
    <x v="80"/>
  </r>
  <r>
    <x v="282"/>
    <x v="10"/>
    <x v="2"/>
    <x v="80"/>
  </r>
  <r>
    <x v="282"/>
    <x v="10"/>
    <x v="2"/>
    <x v="80"/>
  </r>
  <r>
    <x v="3422"/>
    <x v="10"/>
    <x v="2"/>
    <x v="80"/>
  </r>
  <r>
    <x v="3423"/>
    <x v="10"/>
    <x v="1"/>
    <x v="14"/>
  </r>
  <r>
    <x v="3424"/>
    <x v="10"/>
    <x v="2"/>
    <x v="80"/>
  </r>
  <r>
    <x v="430"/>
    <x v="10"/>
    <x v="1"/>
    <x v="23"/>
  </r>
  <r>
    <x v="3425"/>
    <x v="10"/>
    <x v="1"/>
    <x v="71"/>
  </r>
  <r>
    <x v="3426"/>
    <x v="10"/>
    <x v="1"/>
    <x v="51"/>
  </r>
  <r>
    <x v="3427"/>
    <x v="10"/>
    <x v="2"/>
    <x v="34"/>
  </r>
  <r>
    <x v="1082"/>
    <x v="10"/>
    <x v="4"/>
    <x v="4"/>
  </r>
  <r>
    <x v="3428"/>
    <x v="10"/>
    <x v="1"/>
    <x v="24"/>
  </r>
  <r>
    <x v="3429"/>
    <x v="10"/>
    <x v="2"/>
    <x v="80"/>
  </r>
  <r>
    <x v="3430"/>
    <x v="10"/>
    <x v="1"/>
    <x v="23"/>
  </r>
  <r>
    <x v="146"/>
    <x v="10"/>
    <x v="1"/>
    <x v="45"/>
  </r>
  <r>
    <x v="3431"/>
    <x v="10"/>
    <x v="1"/>
    <x v="24"/>
  </r>
  <r>
    <x v="3432"/>
    <x v="10"/>
    <x v="1"/>
    <x v="24"/>
  </r>
  <r>
    <x v="3433"/>
    <x v="10"/>
    <x v="1"/>
    <x v="23"/>
  </r>
  <r>
    <x v="3434"/>
    <x v="10"/>
    <x v="1"/>
    <x v="23"/>
  </r>
  <r>
    <x v="3435"/>
    <x v="10"/>
    <x v="1"/>
    <x v="71"/>
  </r>
  <r>
    <x v="3436"/>
    <x v="10"/>
    <x v="2"/>
    <x v="79"/>
  </r>
  <r>
    <x v="498"/>
    <x v="10"/>
    <x v="1"/>
    <x v="40"/>
  </r>
  <r>
    <x v="2975"/>
    <x v="10"/>
    <x v="4"/>
    <x v="11"/>
  </r>
  <r>
    <x v="447"/>
    <x v="10"/>
    <x v="2"/>
    <x v="80"/>
  </r>
  <r>
    <x v="3437"/>
    <x v="10"/>
    <x v="4"/>
    <x v="4"/>
  </r>
  <r>
    <x v="432"/>
    <x v="10"/>
    <x v="9"/>
    <x v="23"/>
  </r>
  <r>
    <x v="3438"/>
    <x v="10"/>
    <x v="2"/>
    <x v="80"/>
  </r>
  <r>
    <x v="2406"/>
    <x v="10"/>
    <x v="1"/>
    <x v="66"/>
  </r>
  <r>
    <x v="3439"/>
    <x v="10"/>
    <x v="4"/>
    <x v="4"/>
  </r>
  <r>
    <x v="726"/>
    <x v="10"/>
    <x v="4"/>
    <x v="11"/>
  </r>
  <r>
    <x v="3440"/>
    <x v="10"/>
    <x v="4"/>
    <x v="11"/>
  </r>
  <r>
    <x v="3441"/>
    <x v="10"/>
    <x v="1"/>
    <x v="23"/>
  </r>
  <r>
    <x v="3441"/>
    <x v="10"/>
    <x v="1"/>
    <x v="24"/>
  </r>
  <r>
    <x v="670"/>
    <x v="10"/>
    <x v="4"/>
    <x v="11"/>
  </r>
  <r>
    <x v="3442"/>
    <x v="10"/>
    <x v="1"/>
    <x v="71"/>
  </r>
  <r>
    <x v="3443"/>
    <x v="10"/>
    <x v="2"/>
    <x v="62"/>
  </r>
  <r>
    <x v="754"/>
    <x v="10"/>
    <x v="4"/>
    <x v="4"/>
  </r>
  <r>
    <x v="11"/>
    <x v="10"/>
    <x v="1"/>
    <x v="23"/>
  </r>
  <r>
    <x v="3444"/>
    <x v="10"/>
    <x v="1"/>
    <x v="71"/>
  </r>
  <r>
    <x v="3445"/>
    <x v="10"/>
    <x v="4"/>
    <x v="11"/>
  </r>
  <r>
    <x v="3380"/>
    <x v="10"/>
    <x v="2"/>
    <x v="80"/>
  </r>
  <r>
    <x v="3446"/>
    <x v="10"/>
    <x v="1"/>
    <x v="24"/>
  </r>
  <r>
    <x v="3447"/>
    <x v="10"/>
    <x v="1"/>
    <x v="40"/>
  </r>
  <r>
    <x v="3448"/>
    <x v="10"/>
    <x v="1"/>
    <x v="43"/>
  </r>
  <r>
    <x v="3449"/>
    <x v="10"/>
    <x v="2"/>
    <x v="34"/>
  </r>
  <r>
    <x v="3029"/>
    <x v="10"/>
    <x v="2"/>
    <x v="63"/>
  </r>
  <r>
    <x v="918"/>
    <x v="10"/>
    <x v="2"/>
    <x v="79"/>
  </r>
  <r>
    <x v="981"/>
    <x v="10"/>
    <x v="1"/>
    <x v="23"/>
  </r>
  <r>
    <x v="981"/>
    <x v="10"/>
    <x v="1"/>
    <x v="24"/>
  </r>
  <r>
    <x v="146"/>
    <x v="10"/>
    <x v="1"/>
    <x v="66"/>
  </r>
  <r>
    <x v="3450"/>
    <x v="10"/>
    <x v="2"/>
    <x v="26"/>
  </r>
  <r>
    <x v="986"/>
    <x v="10"/>
    <x v="4"/>
    <x v="4"/>
  </r>
  <r>
    <x v="3451"/>
    <x v="10"/>
    <x v="1"/>
    <x v="40"/>
  </r>
  <r>
    <x v="606"/>
    <x v="10"/>
    <x v="1"/>
    <x v="45"/>
  </r>
  <r>
    <x v="3452"/>
    <x v="10"/>
    <x v="3"/>
    <x v="0"/>
  </r>
  <r>
    <x v="3118"/>
    <x v="10"/>
    <x v="4"/>
    <x v="4"/>
  </r>
  <r>
    <x v="118"/>
    <x v="10"/>
    <x v="4"/>
    <x v="4"/>
  </r>
  <r>
    <x v="118"/>
    <x v="10"/>
    <x v="1"/>
    <x v="85"/>
  </r>
  <r>
    <x v="118"/>
    <x v="10"/>
    <x v="1"/>
    <x v="86"/>
  </r>
  <r>
    <x v="118"/>
    <x v="10"/>
    <x v="1"/>
    <x v="87"/>
  </r>
  <r>
    <x v="1987"/>
    <x v="10"/>
    <x v="4"/>
    <x v="4"/>
  </r>
  <r>
    <x v="3453"/>
    <x v="10"/>
    <x v="1"/>
    <x v="23"/>
  </r>
  <r>
    <x v="3454"/>
    <x v="10"/>
    <x v="1"/>
    <x v="23"/>
  </r>
  <r>
    <x v="2120"/>
    <x v="10"/>
    <x v="3"/>
    <x v="0"/>
  </r>
  <r>
    <x v="3455"/>
    <x v="10"/>
    <x v="0"/>
    <x v="0"/>
  </r>
  <r>
    <x v="3456"/>
    <x v="10"/>
    <x v="5"/>
    <x v="0"/>
  </r>
  <r>
    <x v="3457"/>
    <x v="10"/>
    <x v="16"/>
    <x v="66"/>
  </r>
  <r>
    <x v="3068"/>
    <x v="10"/>
    <x v="15"/>
    <x v="68"/>
  </r>
  <r>
    <x v="3458"/>
    <x v="10"/>
    <x v="4"/>
    <x v="4"/>
  </r>
  <r>
    <x v="276"/>
    <x v="10"/>
    <x v="4"/>
    <x v="11"/>
  </r>
  <r>
    <x v="3459"/>
    <x v="10"/>
    <x v="4"/>
    <x v="4"/>
  </r>
  <r>
    <x v="2865"/>
    <x v="10"/>
    <x v="9"/>
    <x v="40"/>
  </r>
  <r>
    <x v="3460"/>
    <x v="10"/>
    <x v="1"/>
    <x v="40"/>
  </r>
  <r>
    <x v="819"/>
    <x v="10"/>
    <x v="1"/>
    <x v="45"/>
  </r>
  <r>
    <x v="311"/>
    <x v="10"/>
    <x v="4"/>
    <x v="11"/>
  </r>
  <r>
    <x v="3461"/>
    <x v="10"/>
    <x v="2"/>
    <x v="79"/>
  </r>
  <r>
    <x v="117"/>
    <x v="10"/>
    <x v="1"/>
    <x v="45"/>
  </r>
  <r>
    <x v="430"/>
    <x v="10"/>
    <x v="1"/>
    <x v="24"/>
  </r>
  <r>
    <x v="1018"/>
    <x v="10"/>
    <x v="4"/>
    <x v="4"/>
  </r>
  <r>
    <x v="3462"/>
    <x v="10"/>
    <x v="1"/>
    <x v="40"/>
  </r>
  <r>
    <x v="34"/>
    <x v="10"/>
    <x v="2"/>
    <x v="80"/>
  </r>
  <r>
    <x v="118"/>
    <x v="10"/>
    <x v="1"/>
    <x v="88"/>
  </r>
  <r>
    <x v="118"/>
    <x v="10"/>
    <x v="1"/>
    <x v="65"/>
  </r>
  <r>
    <x v="164"/>
    <x v="10"/>
    <x v="4"/>
    <x v="11"/>
  </r>
  <r>
    <x v="3463"/>
    <x v="10"/>
    <x v="4"/>
    <x v="11"/>
  </r>
  <r>
    <x v="18"/>
    <x v="10"/>
    <x v="4"/>
    <x v="11"/>
  </r>
  <r>
    <x v="35"/>
    <x v="10"/>
    <x v="4"/>
    <x v="11"/>
  </r>
  <r>
    <x v="276"/>
    <x v="10"/>
    <x v="4"/>
    <x v="11"/>
  </r>
  <r>
    <x v="706"/>
    <x v="10"/>
    <x v="4"/>
    <x v="11"/>
  </r>
  <r>
    <x v="18"/>
    <x v="10"/>
    <x v="4"/>
    <x v="11"/>
  </r>
  <r>
    <x v="132"/>
    <x v="10"/>
    <x v="4"/>
    <x v="11"/>
  </r>
  <r>
    <x v="164"/>
    <x v="10"/>
    <x v="4"/>
    <x v="11"/>
  </r>
  <r>
    <x v="164"/>
    <x v="10"/>
    <x v="4"/>
    <x v="11"/>
  </r>
  <r>
    <x v="132"/>
    <x v="10"/>
    <x v="4"/>
    <x v="11"/>
  </r>
  <r>
    <x v="115"/>
    <x v="10"/>
    <x v="4"/>
    <x v="11"/>
  </r>
  <r>
    <x v="103"/>
    <x v="10"/>
    <x v="4"/>
    <x v="11"/>
  </r>
  <r>
    <x v="36"/>
    <x v="10"/>
    <x v="4"/>
    <x v="11"/>
  </r>
  <r>
    <x v="199"/>
    <x v="10"/>
    <x v="4"/>
    <x v="11"/>
  </r>
  <r>
    <x v="164"/>
    <x v="10"/>
    <x v="4"/>
    <x v="11"/>
  </r>
  <r>
    <x v="166"/>
    <x v="10"/>
    <x v="4"/>
    <x v="11"/>
  </r>
  <r>
    <x v="276"/>
    <x v="10"/>
    <x v="4"/>
    <x v="11"/>
  </r>
  <r>
    <x v="3464"/>
    <x v="10"/>
    <x v="4"/>
    <x v="11"/>
  </r>
  <r>
    <x v="447"/>
    <x v="10"/>
    <x v="4"/>
    <x v="11"/>
  </r>
  <r>
    <x v="448"/>
    <x v="10"/>
    <x v="4"/>
    <x v="11"/>
  </r>
  <r>
    <x v="36"/>
    <x v="10"/>
    <x v="4"/>
    <x v="11"/>
  </r>
  <r>
    <x v="164"/>
    <x v="10"/>
    <x v="4"/>
    <x v="11"/>
  </r>
  <r>
    <x v="101"/>
    <x v="10"/>
    <x v="1"/>
    <x v="40"/>
  </r>
  <r>
    <x v="1140"/>
    <x v="10"/>
    <x v="1"/>
    <x v="23"/>
  </r>
  <r>
    <x v="1140"/>
    <x v="10"/>
    <x v="1"/>
    <x v="40"/>
  </r>
  <r>
    <x v="76"/>
    <x v="10"/>
    <x v="1"/>
    <x v="23"/>
  </r>
  <r>
    <x v="76"/>
    <x v="10"/>
    <x v="1"/>
    <x v="40"/>
  </r>
  <r>
    <x v="573"/>
    <x v="10"/>
    <x v="1"/>
    <x v="23"/>
  </r>
  <r>
    <x v="573"/>
    <x v="10"/>
    <x v="1"/>
    <x v="40"/>
  </r>
  <r>
    <x v="422"/>
    <x v="10"/>
    <x v="1"/>
    <x v="23"/>
  </r>
  <r>
    <x v="422"/>
    <x v="10"/>
    <x v="1"/>
    <x v="40"/>
  </r>
  <r>
    <x v="552"/>
    <x v="10"/>
    <x v="1"/>
    <x v="71"/>
  </r>
  <r>
    <x v="447"/>
    <x v="10"/>
    <x v="2"/>
    <x v="79"/>
  </r>
  <r>
    <x v="147"/>
    <x v="10"/>
    <x v="2"/>
    <x v="62"/>
  </r>
  <r>
    <x v="160"/>
    <x v="10"/>
    <x v="4"/>
    <x v="4"/>
  </r>
  <r>
    <x v="99"/>
    <x v="10"/>
    <x v="2"/>
    <x v="72"/>
  </r>
  <r>
    <x v="99"/>
    <x v="10"/>
    <x v="1"/>
    <x v="23"/>
  </r>
  <r>
    <x v="3465"/>
    <x v="10"/>
    <x v="1"/>
    <x v="71"/>
  </r>
  <r>
    <x v="1920"/>
    <x v="10"/>
    <x v="2"/>
    <x v="72"/>
  </r>
  <r>
    <x v="3466"/>
    <x v="10"/>
    <x v="1"/>
    <x v="71"/>
  </r>
  <r>
    <x v="3467"/>
    <x v="10"/>
    <x v="4"/>
    <x v="4"/>
  </r>
  <r>
    <x v="76"/>
    <x v="10"/>
    <x v="6"/>
    <x v="39"/>
  </r>
  <r>
    <x v="160"/>
    <x v="10"/>
    <x v="2"/>
    <x v="79"/>
  </r>
  <r>
    <x v="1027"/>
    <x v="10"/>
    <x v="2"/>
    <x v="72"/>
  </r>
  <r>
    <x v="1642"/>
    <x v="10"/>
    <x v="2"/>
    <x v="79"/>
  </r>
  <r>
    <x v="444"/>
    <x v="10"/>
    <x v="1"/>
    <x v="71"/>
  </r>
  <r>
    <x v="3468"/>
    <x v="10"/>
    <x v="1"/>
    <x v="71"/>
  </r>
  <r>
    <x v="3469"/>
    <x v="10"/>
    <x v="2"/>
    <x v="72"/>
  </r>
  <r>
    <x v="1321"/>
    <x v="10"/>
    <x v="1"/>
    <x v="71"/>
  </r>
  <r>
    <x v="192"/>
    <x v="10"/>
    <x v="1"/>
    <x v="71"/>
  </r>
  <r>
    <x v="35"/>
    <x v="10"/>
    <x v="2"/>
    <x v="79"/>
  </r>
  <r>
    <x v="163"/>
    <x v="10"/>
    <x v="2"/>
    <x v="79"/>
  </r>
  <r>
    <x v="3470"/>
    <x v="10"/>
    <x v="2"/>
    <x v="72"/>
  </r>
  <r>
    <x v="160"/>
    <x v="10"/>
    <x v="4"/>
    <x v="4"/>
  </r>
  <r>
    <x v="147"/>
    <x v="10"/>
    <x v="1"/>
    <x v="82"/>
  </r>
  <r>
    <x v="552"/>
    <x v="10"/>
    <x v="2"/>
    <x v="79"/>
  </r>
  <r>
    <x v="160"/>
    <x v="10"/>
    <x v="6"/>
    <x v="39"/>
  </r>
  <r>
    <x v="99"/>
    <x v="10"/>
    <x v="1"/>
    <x v="23"/>
  </r>
  <r>
    <x v="3471"/>
    <x v="10"/>
    <x v="2"/>
    <x v="72"/>
  </r>
  <r>
    <x v="160"/>
    <x v="10"/>
    <x v="1"/>
    <x v="71"/>
  </r>
  <r>
    <x v="3472"/>
    <x v="10"/>
    <x v="2"/>
    <x v="72"/>
  </r>
  <r>
    <x v="3473"/>
    <x v="10"/>
    <x v="2"/>
    <x v="72"/>
  </r>
  <r>
    <x v="160"/>
    <x v="10"/>
    <x v="4"/>
    <x v="4"/>
  </r>
  <r>
    <x v="965"/>
    <x v="10"/>
    <x v="1"/>
    <x v="23"/>
  </r>
  <r>
    <x v="3474"/>
    <x v="10"/>
    <x v="1"/>
    <x v="23"/>
  </r>
  <r>
    <x v="132"/>
    <x v="10"/>
    <x v="1"/>
    <x v="40"/>
  </r>
  <r>
    <x v="3475"/>
    <x v="10"/>
    <x v="1"/>
    <x v="23"/>
  </r>
  <r>
    <x v="3476"/>
    <x v="10"/>
    <x v="1"/>
    <x v="23"/>
  </r>
  <r>
    <x v="186"/>
    <x v="10"/>
    <x v="1"/>
    <x v="71"/>
  </r>
  <r>
    <x v="3477"/>
    <x v="10"/>
    <x v="2"/>
    <x v="72"/>
  </r>
  <r>
    <x v="832"/>
    <x v="10"/>
    <x v="1"/>
    <x v="23"/>
  </r>
  <r>
    <x v="160"/>
    <x v="10"/>
    <x v="4"/>
    <x v="4"/>
  </r>
  <r>
    <x v="706"/>
    <x v="10"/>
    <x v="2"/>
    <x v="79"/>
  </r>
  <r>
    <x v="3478"/>
    <x v="10"/>
    <x v="1"/>
    <x v="23"/>
  </r>
  <r>
    <x v="3479"/>
    <x v="10"/>
    <x v="1"/>
    <x v="23"/>
  </r>
  <r>
    <x v="101"/>
    <x v="10"/>
    <x v="2"/>
    <x v="79"/>
  </r>
  <r>
    <x v="101"/>
    <x v="10"/>
    <x v="2"/>
    <x v="72"/>
  </r>
  <r>
    <x v="515"/>
    <x v="10"/>
    <x v="2"/>
    <x v="79"/>
  </r>
  <r>
    <x v="515"/>
    <x v="10"/>
    <x v="1"/>
    <x v="71"/>
  </r>
  <r>
    <x v="2374"/>
    <x v="10"/>
    <x v="4"/>
    <x v="11"/>
  </r>
  <r>
    <x v="3480"/>
    <x v="10"/>
    <x v="4"/>
    <x v="4"/>
  </r>
  <r>
    <x v="1636"/>
    <x v="10"/>
    <x v="4"/>
    <x v="4"/>
  </r>
  <r>
    <x v="3481"/>
    <x v="10"/>
    <x v="1"/>
    <x v="83"/>
  </r>
  <r>
    <x v="852"/>
    <x v="10"/>
    <x v="1"/>
    <x v="60"/>
  </r>
  <r>
    <x v="852"/>
    <x v="10"/>
    <x v="2"/>
    <x v="79"/>
  </r>
  <r>
    <x v="3482"/>
    <x v="10"/>
    <x v="1"/>
    <x v="89"/>
  </r>
  <r>
    <x v="3483"/>
    <x v="10"/>
    <x v="5"/>
    <x v="0"/>
  </r>
  <r>
    <x v="3484"/>
    <x v="10"/>
    <x v="2"/>
    <x v="80"/>
  </r>
  <r>
    <x v="431"/>
    <x v="10"/>
    <x v="2"/>
    <x v="79"/>
  </r>
  <r>
    <x v="3485"/>
    <x v="10"/>
    <x v="1"/>
    <x v="83"/>
  </r>
  <r>
    <x v="2108"/>
    <x v="10"/>
    <x v="1"/>
    <x v="24"/>
  </r>
  <r>
    <x v="3486"/>
    <x v="10"/>
    <x v="1"/>
    <x v="24"/>
  </r>
  <r>
    <x v="3487"/>
    <x v="10"/>
    <x v="4"/>
    <x v="4"/>
  </r>
  <r>
    <x v="3488"/>
    <x v="10"/>
    <x v="1"/>
    <x v="23"/>
  </r>
  <r>
    <x v="3488"/>
    <x v="10"/>
    <x v="1"/>
    <x v="40"/>
  </r>
  <r>
    <x v="3489"/>
    <x v="10"/>
    <x v="1"/>
    <x v="40"/>
  </r>
  <r>
    <x v="3490"/>
    <x v="10"/>
    <x v="1"/>
    <x v="23"/>
  </r>
  <r>
    <x v="3490"/>
    <x v="10"/>
    <x v="1"/>
    <x v="40"/>
  </r>
  <r>
    <x v="3491"/>
    <x v="10"/>
    <x v="4"/>
    <x v="4"/>
  </r>
  <r>
    <x v="3492"/>
    <x v="10"/>
    <x v="1"/>
    <x v="23"/>
  </r>
  <r>
    <x v="3493"/>
    <x v="10"/>
    <x v="1"/>
    <x v="23"/>
  </r>
  <r>
    <x v="3494"/>
    <x v="10"/>
    <x v="1"/>
    <x v="23"/>
  </r>
  <r>
    <x v="3495"/>
    <x v="10"/>
    <x v="3"/>
    <x v="0"/>
  </r>
  <r>
    <x v="606"/>
    <x v="10"/>
    <x v="1"/>
    <x v="45"/>
  </r>
  <r>
    <x v="123"/>
    <x v="10"/>
    <x v="4"/>
    <x v="11"/>
  </r>
  <r>
    <x v="3496"/>
    <x v="10"/>
    <x v="4"/>
    <x v="4"/>
  </r>
  <r>
    <x v="3497"/>
    <x v="10"/>
    <x v="4"/>
    <x v="4"/>
  </r>
  <r>
    <x v="742"/>
    <x v="10"/>
    <x v="1"/>
    <x v="23"/>
  </r>
  <r>
    <x v="494"/>
    <x v="10"/>
    <x v="2"/>
    <x v="79"/>
  </r>
  <r>
    <x v="495"/>
    <x v="10"/>
    <x v="4"/>
    <x v="4"/>
  </r>
  <r>
    <x v="498"/>
    <x v="10"/>
    <x v="4"/>
    <x v="4"/>
  </r>
  <r>
    <x v="2050"/>
    <x v="10"/>
    <x v="2"/>
    <x v="79"/>
  </r>
  <r>
    <x v="2050"/>
    <x v="10"/>
    <x v="1"/>
    <x v="71"/>
  </r>
  <r>
    <x v="2050"/>
    <x v="10"/>
    <x v="2"/>
    <x v="72"/>
  </r>
  <r>
    <x v="3140"/>
    <x v="10"/>
    <x v="1"/>
    <x v="71"/>
  </r>
  <r>
    <x v="498"/>
    <x v="10"/>
    <x v="1"/>
    <x v="71"/>
  </r>
  <r>
    <x v="53"/>
    <x v="10"/>
    <x v="4"/>
    <x v="4"/>
  </r>
  <r>
    <x v="2296"/>
    <x v="10"/>
    <x v="4"/>
    <x v="4"/>
  </r>
  <r>
    <x v="399"/>
    <x v="10"/>
    <x v="4"/>
    <x v="4"/>
  </r>
  <r>
    <x v="2296"/>
    <x v="10"/>
    <x v="1"/>
    <x v="23"/>
  </r>
  <r>
    <x v="498"/>
    <x v="10"/>
    <x v="1"/>
    <x v="23"/>
  </r>
  <r>
    <x v="3498"/>
    <x v="10"/>
    <x v="2"/>
    <x v="72"/>
  </r>
  <r>
    <x v="3499"/>
    <x v="10"/>
    <x v="2"/>
    <x v="72"/>
  </r>
  <r>
    <x v="498"/>
    <x v="10"/>
    <x v="2"/>
    <x v="79"/>
  </r>
  <r>
    <x v="498"/>
    <x v="10"/>
    <x v="1"/>
    <x v="23"/>
  </r>
  <r>
    <x v="494"/>
    <x v="10"/>
    <x v="1"/>
    <x v="23"/>
  </r>
  <r>
    <x v="498"/>
    <x v="10"/>
    <x v="1"/>
    <x v="23"/>
  </r>
  <r>
    <x v="498"/>
    <x v="10"/>
    <x v="1"/>
    <x v="23"/>
  </r>
  <r>
    <x v="498"/>
    <x v="10"/>
    <x v="1"/>
    <x v="23"/>
  </r>
  <r>
    <x v="498"/>
    <x v="10"/>
    <x v="1"/>
    <x v="23"/>
  </r>
  <r>
    <x v="498"/>
    <x v="10"/>
    <x v="1"/>
    <x v="23"/>
  </r>
  <r>
    <x v="498"/>
    <x v="10"/>
    <x v="1"/>
    <x v="23"/>
  </r>
  <r>
    <x v="749"/>
    <x v="10"/>
    <x v="4"/>
    <x v="4"/>
  </r>
  <r>
    <x v="2068"/>
    <x v="10"/>
    <x v="2"/>
    <x v="79"/>
  </r>
  <r>
    <x v="2069"/>
    <x v="10"/>
    <x v="1"/>
    <x v="71"/>
  </r>
  <r>
    <x v="2068"/>
    <x v="10"/>
    <x v="2"/>
    <x v="72"/>
  </r>
  <r>
    <x v="498"/>
    <x v="10"/>
    <x v="1"/>
    <x v="71"/>
  </r>
  <r>
    <x v="3500"/>
    <x v="10"/>
    <x v="2"/>
    <x v="72"/>
  </r>
  <r>
    <x v="498"/>
    <x v="10"/>
    <x v="1"/>
    <x v="71"/>
  </r>
  <r>
    <x v="498"/>
    <x v="10"/>
    <x v="2"/>
    <x v="79"/>
  </r>
  <r>
    <x v="3501"/>
    <x v="10"/>
    <x v="2"/>
    <x v="72"/>
  </r>
  <r>
    <x v="498"/>
    <x v="10"/>
    <x v="1"/>
    <x v="23"/>
  </r>
  <r>
    <x v="2434"/>
    <x v="10"/>
    <x v="1"/>
    <x v="23"/>
  </r>
  <r>
    <x v="498"/>
    <x v="10"/>
    <x v="1"/>
    <x v="23"/>
  </r>
  <r>
    <x v="498"/>
    <x v="10"/>
    <x v="1"/>
    <x v="23"/>
  </r>
  <r>
    <x v="498"/>
    <x v="10"/>
    <x v="1"/>
    <x v="23"/>
  </r>
  <r>
    <x v="498"/>
    <x v="10"/>
    <x v="1"/>
    <x v="23"/>
  </r>
  <r>
    <x v="498"/>
    <x v="10"/>
    <x v="1"/>
    <x v="23"/>
  </r>
  <r>
    <x v="498"/>
    <x v="10"/>
    <x v="1"/>
    <x v="23"/>
  </r>
  <r>
    <x v="498"/>
    <x v="10"/>
    <x v="1"/>
    <x v="23"/>
  </r>
  <r>
    <x v="498"/>
    <x v="10"/>
    <x v="1"/>
    <x v="23"/>
  </r>
  <r>
    <x v="3502"/>
    <x v="10"/>
    <x v="4"/>
    <x v="4"/>
  </r>
  <r>
    <x v="498"/>
    <x v="10"/>
    <x v="1"/>
    <x v="23"/>
  </r>
  <r>
    <x v="498"/>
    <x v="10"/>
    <x v="1"/>
    <x v="23"/>
  </r>
  <r>
    <x v="498"/>
    <x v="10"/>
    <x v="1"/>
    <x v="23"/>
  </r>
  <r>
    <x v="498"/>
    <x v="10"/>
    <x v="1"/>
    <x v="23"/>
  </r>
  <r>
    <x v="498"/>
    <x v="10"/>
    <x v="1"/>
    <x v="71"/>
  </r>
  <r>
    <x v="499"/>
    <x v="10"/>
    <x v="1"/>
    <x v="71"/>
  </r>
  <r>
    <x v="1201"/>
    <x v="10"/>
    <x v="2"/>
    <x v="79"/>
  </r>
  <r>
    <x v="498"/>
    <x v="10"/>
    <x v="1"/>
    <x v="71"/>
  </r>
  <r>
    <x v="499"/>
    <x v="10"/>
    <x v="1"/>
    <x v="71"/>
  </r>
  <r>
    <x v="1201"/>
    <x v="10"/>
    <x v="2"/>
    <x v="79"/>
  </r>
  <r>
    <x v="499"/>
    <x v="10"/>
    <x v="1"/>
    <x v="71"/>
  </r>
  <r>
    <x v="1201"/>
    <x v="10"/>
    <x v="2"/>
    <x v="79"/>
  </r>
  <r>
    <x v="499"/>
    <x v="10"/>
    <x v="1"/>
    <x v="71"/>
  </r>
  <r>
    <x v="1201"/>
    <x v="10"/>
    <x v="2"/>
    <x v="79"/>
  </r>
  <r>
    <x v="2434"/>
    <x v="10"/>
    <x v="2"/>
    <x v="80"/>
  </r>
  <r>
    <x v="2434"/>
    <x v="10"/>
    <x v="2"/>
    <x v="80"/>
  </r>
  <r>
    <x v="749"/>
    <x v="10"/>
    <x v="1"/>
    <x v="23"/>
  </r>
  <r>
    <x v="498"/>
    <x v="10"/>
    <x v="1"/>
    <x v="23"/>
  </r>
  <r>
    <x v="3142"/>
    <x v="10"/>
    <x v="1"/>
    <x v="23"/>
  </r>
  <r>
    <x v="498"/>
    <x v="10"/>
    <x v="1"/>
    <x v="23"/>
  </r>
  <r>
    <x v="498"/>
    <x v="10"/>
    <x v="1"/>
    <x v="40"/>
  </r>
  <r>
    <x v="742"/>
    <x v="10"/>
    <x v="2"/>
    <x v="80"/>
  </r>
  <r>
    <x v="3503"/>
    <x v="10"/>
    <x v="1"/>
    <x v="23"/>
  </r>
  <r>
    <x v="3504"/>
    <x v="10"/>
    <x v="4"/>
    <x v="4"/>
  </r>
  <r>
    <x v="3504"/>
    <x v="10"/>
    <x v="4"/>
    <x v="4"/>
  </r>
  <r>
    <x v="3502"/>
    <x v="10"/>
    <x v="4"/>
    <x v="4"/>
  </r>
  <r>
    <x v="498"/>
    <x v="10"/>
    <x v="4"/>
    <x v="4"/>
  </r>
  <r>
    <x v="3505"/>
    <x v="10"/>
    <x v="1"/>
    <x v="23"/>
  </r>
  <r>
    <x v="606"/>
    <x v="10"/>
    <x v="1"/>
    <x v="45"/>
  </r>
  <r>
    <x v="3506"/>
    <x v="10"/>
    <x v="4"/>
    <x v="4"/>
  </r>
  <r>
    <x v="161"/>
    <x v="10"/>
    <x v="4"/>
    <x v="11"/>
  </r>
  <r>
    <x v="40"/>
    <x v="10"/>
    <x v="4"/>
    <x v="11"/>
  </r>
  <r>
    <x v="817"/>
    <x v="10"/>
    <x v="4"/>
    <x v="11"/>
  </r>
  <r>
    <x v="18"/>
    <x v="10"/>
    <x v="4"/>
    <x v="11"/>
  </r>
  <r>
    <x v="3507"/>
    <x v="10"/>
    <x v="5"/>
    <x v="0"/>
  </r>
  <r>
    <x v="3508"/>
    <x v="10"/>
    <x v="1"/>
    <x v="40"/>
  </r>
  <r>
    <x v="3509"/>
    <x v="10"/>
    <x v="2"/>
    <x v="34"/>
  </r>
  <r>
    <x v="706"/>
    <x v="10"/>
    <x v="4"/>
    <x v="11"/>
  </r>
  <r>
    <x v="81"/>
    <x v="10"/>
    <x v="4"/>
    <x v="11"/>
  </r>
  <r>
    <x v="706"/>
    <x v="10"/>
    <x v="4"/>
    <x v="11"/>
  </r>
  <r>
    <x v="231"/>
    <x v="10"/>
    <x v="2"/>
    <x v="79"/>
  </r>
  <r>
    <x v="231"/>
    <x v="10"/>
    <x v="1"/>
    <x v="71"/>
  </r>
  <r>
    <x v="447"/>
    <x v="10"/>
    <x v="4"/>
    <x v="4"/>
  </r>
  <r>
    <x v="3510"/>
    <x v="10"/>
    <x v="1"/>
    <x v="66"/>
  </r>
  <r>
    <x v="3511"/>
    <x v="10"/>
    <x v="1"/>
    <x v="71"/>
  </r>
  <r>
    <x v="1265"/>
    <x v="10"/>
    <x v="4"/>
    <x v="4"/>
  </r>
  <r>
    <x v="101"/>
    <x v="10"/>
    <x v="2"/>
    <x v="72"/>
  </r>
  <r>
    <x v="195"/>
    <x v="10"/>
    <x v="1"/>
    <x v="71"/>
  </r>
  <r>
    <x v="3512"/>
    <x v="10"/>
    <x v="2"/>
    <x v="79"/>
  </r>
  <r>
    <x v="102"/>
    <x v="10"/>
    <x v="6"/>
    <x v="27"/>
  </r>
  <r>
    <x v="160"/>
    <x v="10"/>
    <x v="1"/>
    <x v="23"/>
  </r>
  <r>
    <x v="160"/>
    <x v="10"/>
    <x v="1"/>
    <x v="24"/>
  </r>
  <r>
    <x v="160"/>
    <x v="10"/>
    <x v="1"/>
    <x v="60"/>
  </r>
  <r>
    <x v="11"/>
    <x v="10"/>
    <x v="1"/>
    <x v="23"/>
  </r>
  <r>
    <x v="382"/>
    <x v="10"/>
    <x v="1"/>
    <x v="23"/>
  </r>
  <r>
    <x v="166"/>
    <x v="10"/>
    <x v="1"/>
    <x v="23"/>
  </r>
  <r>
    <x v="35"/>
    <x v="10"/>
    <x v="1"/>
    <x v="23"/>
  </r>
  <r>
    <x v="1642"/>
    <x v="10"/>
    <x v="4"/>
    <x v="4"/>
  </r>
  <r>
    <x v="3513"/>
    <x v="10"/>
    <x v="2"/>
    <x v="26"/>
  </r>
  <r>
    <x v="3514"/>
    <x v="10"/>
    <x v="2"/>
    <x v="72"/>
  </r>
  <r>
    <x v="3515"/>
    <x v="10"/>
    <x v="1"/>
    <x v="71"/>
  </r>
  <r>
    <x v="1642"/>
    <x v="10"/>
    <x v="2"/>
    <x v="79"/>
  </r>
  <r>
    <x v="195"/>
    <x v="10"/>
    <x v="2"/>
    <x v="72"/>
  </r>
  <r>
    <x v="3516"/>
    <x v="10"/>
    <x v="1"/>
    <x v="71"/>
  </r>
  <r>
    <x v="3517"/>
    <x v="10"/>
    <x v="1"/>
    <x v="71"/>
  </r>
  <r>
    <x v="3518"/>
    <x v="10"/>
    <x v="1"/>
    <x v="71"/>
  </r>
  <r>
    <x v="1342"/>
    <x v="10"/>
    <x v="1"/>
    <x v="71"/>
  </r>
  <r>
    <x v="1875"/>
    <x v="10"/>
    <x v="1"/>
    <x v="71"/>
  </r>
  <r>
    <x v="3519"/>
    <x v="10"/>
    <x v="4"/>
    <x v="4"/>
  </r>
  <r>
    <x v="1628"/>
    <x v="10"/>
    <x v="9"/>
    <x v="66"/>
  </r>
  <r>
    <x v="3520"/>
    <x v="10"/>
    <x v="1"/>
    <x v="23"/>
  </r>
  <r>
    <x v="3521"/>
    <x v="10"/>
    <x v="1"/>
    <x v="23"/>
  </r>
  <r>
    <x v="3521"/>
    <x v="10"/>
    <x v="1"/>
    <x v="24"/>
  </r>
  <r>
    <x v="3522"/>
    <x v="10"/>
    <x v="1"/>
    <x v="40"/>
  </r>
  <r>
    <x v="3522"/>
    <x v="10"/>
    <x v="1"/>
    <x v="66"/>
  </r>
  <r>
    <x v="3523"/>
    <x v="10"/>
    <x v="4"/>
    <x v="4"/>
  </r>
  <r>
    <x v="3524"/>
    <x v="10"/>
    <x v="4"/>
    <x v="4"/>
  </r>
  <r>
    <x v="1027"/>
    <x v="10"/>
    <x v="1"/>
    <x v="28"/>
  </r>
  <r>
    <x v="3525"/>
    <x v="10"/>
    <x v="1"/>
    <x v="23"/>
  </r>
  <r>
    <x v="3526"/>
    <x v="10"/>
    <x v="1"/>
    <x v="23"/>
  </r>
  <r>
    <x v="3510"/>
    <x v="10"/>
    <x v="4"/>
    <x v="4"/>
  </r>
  <r>
    <x v="3527"/>
    <x v="10"/>
    <x v="4"/>
    <x v="4"/>
  </r>
  <r>
    <x v="3528"/>
    <x v="10"/>
    <x v="4"/>
    <x v="4"/>
  </r>
  <r>
    <x v="820"/>
    <x v="10"/>
    <x v="1"/>
    <x v="23"/>
  </r>
  <r>
    <x v="3529"/>
    <x v="10"/>
    <x v="7"/>
    <x v="0"/>
  </r>
  <r>
    <x v="506"/>
    <x v="10"/>
    <x v="4"/>
    <x v="4"/>
  </r>
  <r>
    <x v="435"/>
    <x v="10"/>
    <x v="4"/>
    <x v="4"/>
  </r>
  <r>
    <x v="2776"/>
    <x v="10"/>
    <x v="4"/>
    <x v="11"/>
  </r>
  <r>
    <x v="1683"/>
    <x v="10"/>
    <x v="4"/>
    <x v="11"/>
  </r>
  <r>
    <x v="3530"/>
    <x v="10"/>
    <x v="4"/>
    <x v="11"/>
  </r>
  <r>
    <x v="3531"/>
    <x v="10"/>
    <x v="4"/>
    <x v="11"/>
  </r>
  <r>
    <x v="714"/>
    <x v="10"/>
    <x v="4"/>
    <x v="11"/>
  </r>
  <r>
    <x v="3532"/>
    <x v="10"/>
    <x v="4"/>
    <x v="11"/>
  </r>
  <r>
    <x v="3533"/>
    <x v="10"/>
    <x v="1"/>
    <x v="24"/>
  </r>
  <r>
    <x v="3534"/>
    <x v="10"/>
    <x v="1"/>
    <x v="45"/>
  </r>
  <r>
    <x v="2865"/>
    <x v="10"/>
    <x v="9"/>
    <x v="23"/>
  </r>
  <r>
    <x v="3535"/>
    <x v="10"/>
    <x v="1"/>
    <x v="71"/>
  </r>
  <r>
    <x v="3536"/>
    <x v="10"/>
    <x v="1"/>
    <x v="23"/>
  </r>
  <r>
    <x v="3537"/>
    <x v="10"/>
    <x v="0"/>
    <x v="0"/>
  </r>
  <r>
    <x v="3538"/>
    <x v="10"/>
    <x v="5"/>
    <x v="0"/>
  </r>
  <r>
    <x v="3539"/>
    <x v="10"/>
    <x v="4"/>
    <x v="4"/>
  </r>
  <r>
    <x v="442"/>
    <x v="10"/>
    <x v="7"/>
    <x v="0"/>
  </r>
  <r>
    <x v="1913"/>
    <x v="10"/>
    <x v="4"/>
    <x v="4"/>
  </r>
  <r>
    <x v="3540"/>
    <x v="10"/>
    <x v="4"/>
    <x v="4"/>
  </r>
  <r>
    <x v="81"/>
    <x v="10"/>
    <x v="2"/>
    <x v="79"/>
  </r>
  <r>
    <x v="160"/>
    <x v="10"/>
    <x v="2"/>
    <x v="62"/>
  </r>
  <r>
    <x v="160"/>
    <x v="10"/>
    <x v="2"/>
    <x v="62"/>
  </r>
  <r>
    <x v="43"/>
    <x v="10"/>
    <x v="2"/>
    <x v="62"/>
  </r>
  <r>
    <x v="422"/>
    <x v="10"/>
    <x v="2"/>
    <x v="62"/>
  </r>
  <r>
    <x v="3541"/>
    <x v="10"/>
    <x v="2"/>
    <x v="80"/>
  </r>
  <r>
    <x v="180"/>
    <x v="10"/>
    <x v="2"/>
    <x v="79"/>
  </r>
  <r>
    <x v="345"/>
    <x v="10"/>
    <x v="2"/>
    <x v="79"/>
  </r>
  <r>
    <x v="3542"/>
    <x v="10"/>
    <x v="2"/>
    <x v="79"/>
  </r>
  <r>
    <x v="1642"/>
    <x v="10"/>
    <x v="1"/>
    <x v="71"/>
  </r>
  <r>
    <x v="99"/>
    <x v="10"/>
    <x v="2"/>
    <x v="79"/>
  </r>
  <r>
    <x v="99"/>
    <x v="10"/>
    <x v="4"/>
    <x v="4"/>
  </r>
  <r>
    <x v="166"/>
    <x v="10"/>
    <x v="2"/>
    <x v="79"/>
  </r>
  <r>
    <x v="444"/>
    <x v="10"/>
    <x v="1"/>
    <x v="71"/>
  </r>
  <r>
    <x v="101"/>
    <x v="10"/>
    <x v="2"/>
    <x v="79"/>
  </r>
  <r>
    <x v="1666"/>
    <x v="10"/>
    <x v="2"/>
    <x v="79"/>
  </r>
  <r>
    <x v="522"/>
    <x v="10"/>
    <x v="2"/>
    <x v="79"/>
  </r>
  <r>
    <x v="105"/>
    <x v="10"/>
    <x v="2"/>
    <x v="79"/>
  </r>
  <r>
    <x v="1065"/>
    <x v="10"/>
    <x v="1"/>
    <x v="71"/>
  </r>
  <r>
    <x v="3543"/>
    <x v="10"/>
    <x v="4"/>
    <x v="4"/>
  </r>
  <r>
    <x v="160"/>
    <x v="10"/>
    <x v="2"/>
    <x v="79"/>
  </r>
  <r>
    <x v="1670"/>
    <x v="10"/>
    <x v="4"/>
    <x v="4"/>
  </r>
  <r>
    <x v="36"/>
    <x v="10"/>
    <x v="2"/>
    <x v="72"/>
  </r>
  <r>
    <x v="3544"/>
    <x v="10"/>
    <x v="1"/>
    <x v="60"/>
  </r>
  <r>
    <x v="3545"/>
    <x v="10"/>
    <x v="4"/>
    <x v="4"/>
  </r>
  <r>
    <x v="276"/>
    <x v="10"/>
    <x v="2"/>
    <x v="79"/>
  </r>
  <r>
    <x v="422"/>
    <x v="10"/>
    <x v="1"/>
    <x v="60"/>
  </r>
  <r>
    <x v="1591"/>
    <x v="10"/>
    <x v="1"/>
    <x v="71"/>
  </r>
  <r>
    <x v="276"/>
    <x v="10"/>
    <x v="2"/>
    <x v="79"/>
  </r>
  <r>
    <x v="726"/>
    <x v="10"/>
    <x v="1"/>
    <x v="71"/>
  </r>
  <r>
    <x v="276"/>
    <x v="10"/>
    <x v="2"/>
    <x v="79"/>
  </r>
  <r>
    <x v="99"/>
    <x v="10"/>
    <x v="2"/>
    <x v="79"/>
  </r>
  <r>
    <x v="99"/>
    <x v="10"/>
    <x v="2"/>
    <x v="79"/>
  </r>
  <r>
    <x v="2824"/>
    <x v="10"/>
    <x v="4"/>
    <x v="4"/>
  </r>
  <r>
    <x v="1407"/>
    <x v="10"/>
    <x v="2"/>
    <x v="72"/>
  </r>
  <r>
    <x v="3546"/>
    <x v="10"/>
    <x v="1"/>
    <x v="71"/>
  </r>
  <r>
    <x v="3547"/>
    <x v="10"/>
    <x v="1"/>
    <x v="71"/>
  </r>
  <r>
    <x v="368"/>
    <x v="10"/>
    <x v="1"/>
    <x v="71"/>
  </r>
  <r>
    <x v="35"/>
    <x v="10"/>
    <x v="2"/>
    <x v="62"/>
  </r>
  <r>
    <x v="35"/>
    <x v="10"/>
    <x v="2"/>
    <x v="62"/>
  </r>
  <r>
    <x v="81"/>
    <x v="10"/>
    <x v="2"/>
    <x v="62"/>
  </r>
  <r>
    <x v="35"/>
    <x v="10"/>
    <x v="2"/>
    <x v="62"/>
  </r>
  <r>
    <x v="35"/>
    <x v="10"/>
    <x v="2"/>
    <x v="62"/>
  </r>
  <r>
    <x v="75"/>
    <x v="10"/>
    <x v="2"/>
    <x v="62"/>
  </r>
  <r>
    <x v="166"/>
    <x v="10"/>
    <x v="2"/>
    <x v="62"/>
  </r>
  <r>
    <x v="101"/>
    <x v="10"/>
    <x v="6"/>
    <x v="56"/>
  </r>
  <r>
    <x v="832"/>
    <x v="10"/>
    <x v="6"/>
    <x v="56"/>
  </r>
  <r>
    <x v="147"/>
    <x v="10"/>
    <x v="6"/>
    <x v="56"/>
  </r>
  <r>
    <x v="345"/>
    <x v="10"/>
    <x v="1"/>
    <x v="40"/>
  </r>
  <r>
    <x v="345"/>
    <x v="10"/>
    <x v="1"/>
    <x v="23"/>
  </r>
  <r>
    <x v="76"/>
    <x v="10"/>
    <x v="1"/>
    <x v="40"/>
  </r>
  <r>
    <x v="76"/>
    <x v="10"/>
    <x v="1"/>
    <x v="23"/>
  </r>
  <r>
    <x v="448"/>
    <x v="10"/>
    <x v="1"/>
    <x v="23"/>
  </r>
  <r>
    <x v="422"/>
    <x v="10"/>
    <x v="1"/>
    <x v="40"/>
  </r>
  <r>
    <x v="422"/>
    <x v="10"/>
    <x v="1"/>
    <x v="23"/>
  </r>
  <r>
    <x v="159"/>
    <x v="10"/>
    <x v="1"/>
    <x v="40"/>
  </r>
  <r>
    <x v="159"/>
    <x v="10"/>
    <x v="1"/>
    <x v="23"/>
  </r>
  <r>
    <x v="76"/>
    <x v="10"/>
    <x v="1"/>
    <x v="40"/>
  </r>
  <r>
    <x v="76"/>
    <x v="10"/>
    <x v="1"/>
    <x v="23"/>
  </r>
  <r>
    <x v="99"/>
    <x v="10"/>
    <x v="1"/>
    <x v="23"/>
  </r>
  <r>
    <x v="35"/>
    <x v="10"/>
    <x v="1"/>
    <x v="40"/>
  </r>
  <r>
    <x v="35"/>
    <x v="10"/>
    <x v="1"/>
    <x v="23"/>
  </r>
  <r>
    <x v="422"/>
    <x v="10"/>
    <x v="1"/>
    <x v="40"/>
  </r>
  <r>
    <x v="422"/>
    <x v="10"/>
    <x v="1"/>
    <x v="23"/>
  </r>
  <r>
    <x v="159"/>
    <x v="10"/>
    <x v="2"/>
    <x v="79"/>
  </r>
  <r>
    <x v="36"/>
    <x v="10"/>
    <x v="2"/>
    <x v="72"/>
  </r>
  <r>
    <x v="35"/>
    <x v="10"/>
    <x v="1"/>
    <x v="23"/>
  </r>
  <r>
    <x v="1524"/>
    <x v="10"/>
    <x v="1"/>
    <x v="23"/>
  </r>
  <r>
    <x v="1065"/>
    <x v="10"/>
    <x v="1"/>
    <x v="40"/>
  </r>
  <r>
    <x v="1065"/>
    <x v="10"/>
    <x v="1"/>
    <x v="40"/>
  </r>
  <r>
    <x v="35"/>
    <x v="10"/>
    <x v="1"/>
    <x v="40"/>
  </r>
  <r>
    <x v="1027"/>
    <x v="10"/>
    <x v="1"/>
    <x v="40"/>
  </r>
  <r>
    <x v="1017"/>
    <x v="10"/>
    <x v="1"/>
    <x v="40"/>
  </r>
  <r>
    <x v="1018"/>
    <x v="10"/>
    <x v="1"/>
    <x v="40"/>
  </r>
  <r>
    <x v="43"/>
    <x v="10"/>
    <x v="1"/>
    <x v="40"/>
  </r>
  <r>
    <x v="81"/>
    <x v="10"/>
    <x v="1"/>
    <x v="40"/>
  </r>
  <r>
    <x v="1660"/>
    <x v="10"/>
    <x v="1"/>
    <x v="40"/>
  </r>
  <r>
    <x v="1027"/>
    <x v="10"/>
    <x v="1"/>
    <x v="40"/>
  </r>
  <r>
    <x v="805"/>
    <x v="10"/>
    <x v="1"/>
    <x v="40"/>
  </r>
  <r>
    <x v="11"/>
    <x v="10"/>
    <x v="1"/>
    <x v="40"/>
  </r>
  <r>
    <x v="2113"/>
    <x v="10"/>
    <x v="1"/>
    <x v="40"/>
  </r>
  <r>
    <x v="2595"/>
    <x v="10"/>
    <x v="1"/>
    <x v="40"/>
  </r>
  <r>
    <x v="3548"/>
    <x v="10"/>
    <x v="1"/>
    <x v="71"/>
  </r>
  <r>
    <x v="2959"/>
    <x v="10"/>
    <x v="1"/>
    <x v="23"/>
  </r>
  <r>
    <x v="2959"/>
    <x v="10"/>
    <x v="1"/>
    <x v="23"/>
  </r>
  <r>
    <x v="2959"/>
    <x v="10"/>
    <x v="1"/>
    <x v="24"/>
  </r>
  <r>
    <x v="2959"/>
    <x v="10"/>
    <x v="1"/>
    <x v="40"/>
  </r>
  <r>
    <x v="3549"/>
    <x v="10"/>
    <x v="1"/>
    <x v="23"/>
  </r>
  <r>
    <x v="3549"/>
    <x v="10"/>
    <x v="1"/>
    <x v="23"/>
  </r>
  <r>
    <x v="3549"/>
    <x v="10"/>
    <x v="1"/>
    <x v="24"/>
  </r>
  <r>
    <x v="3549"/>
    <x v="10"/>
    <x v="1"/>
    <x v="40"/>
  </r>
  <r>
    <x v="3550"/>
    <x v="10"/>
    <x v="1"/>
    <x v="23"/>
  </r>
  <r>
    <x v="3550"/>
    <x v="10"/>
    <x v="1"/>
    <x v="23"/>
  </r>
  <r>
    <x v="3550"/>
    <x v="10"/>
    <x v="1"/>
    <x v="24"/>
  </r>
  <r>
    <x v="3550"/>
    <x v="10"/>
    <x v="1"/>
    <x v="40"/>
  </r>
  <r>
    <x v="3551"/>
    <x v="10"/>
    <x v="1"/>
    <x v="40"/>
  </r>
  <r>
    <x v="3552"/>
    <x v="10"/>
    <x v="4"/>
    <x v="4"/>
  </r>
  <r>
    <x v="3553"/>
    <x v="10"/>
    <x v="1"/>
    <x v="40"/>
  </r>
  <r>
    <x v="2401"/>
    <x v="10"/>
    <x v="1"/>
    <x v="40"/>
  </r>
  <r>
    <x v="3554"/>
    <x v="10"/>
    <x v="1"/>
    <x v="23"/>
  </r>
  <r>
    <x v="3555"/>
    <x v="10"/>
    <x v="6"/>
    <x v="56"/>
  </r>
  <r>
    <x v="3556"/>
    <x v="10"/>
    <x v="2"/>
    <x v="62"/>
  </r>
  <r>
    <x v="3557"/>
    <x v="10"/>
    <x v="1"/>
    <x v="23"/>
  </r>
  <r>
    <x v="3558"/>
    <x v="10"/>
    <x v="1"/>
    <x v="71"/>
  </r>
  <r>
    <x v="3559"/>
    <x v="10"/>
    <x v="1"/>
    <x v="23"/>
  </r>
  <r>
    <x v="3560"/>
    <x v="10"/>
    <x v="1"/>
    <x v="23"/>
  </r>
  <r>
    <x v="3561"/>
    <x v="10"/>
    <x v="1"/>
    <x v="60"/>
  </r>
  <r>
    <x v="3562"/>
    <x v="10"/>
    <x v="1"/>
    <x v="72"/>
  </r>
  <r>
    <x v="3563"/>
    <x v="10"/>
    <x v="2"/>
    <x v="72"/>
  </r>
  <r>
    <x v="3564"/>
    <x v="10"/>
    <x v="1"/>
    <x v="23"/>
  </r>
  <r>
    <x v="3565"/>
    <x v="10"/>
    <x v="1"/>
    <x v="71"/>
  </r>
  <r>
    <x v="3566"/>
    <x v="10"/>
    <x v="1"/>
    <x v="84"/>
  </r>
  <r>
    <x v="3567"/>
    <x v="10"/>
    <x v="4"/>
    <x v="4"/>
  </r>
  <r>
    <x v="3568"/>
    <x v="10"/>
    <x v="4"/>
    <x v="4"/>
  </r>
  <r>
    <x v="3569"/>
    <x v="10"/>
    <x v="4"/>
    <x v="4"/>
  </r>
  <r>
    <x v="3570"/>
    <x v="10"/>
    <x v="4"/>
    <x v="4"/>
  </r>
  <r>
    <x v="3571"/>
    <x v="10"/>
    <x v="1"/>
    <x v="23"/>
  </r>
  <r>
    <x v="3571"/>
    <x v="10"/>
    <x v="1"/>
    <x v="24"/>
  </r>
  <r>
    <x v="3572"/>
    <x v="10"/>
    <x v="1"/>
    <x v="45"/>
  </r>
  <r>
    <x v="3573"/>
    <x v="10"/>
    <x v="1"/>
    <x v="45"/>
  </r>
  <r>
    <x v="163"/>
    <x v="10"/>
    <x v="4"/>
    <x v="4"/>
  </r>
  <r>
    <x v="392"/>
    <x v="10"/>
    <x v="4"/>
    <x v="4"/>
  </r>
  <r>
    <x v="965"/>
    <x v="10"/>
    <x v="6"/>
    <x v="56"/>
  </r>
  <r>
    <x v="81"/>
    <x v="10"/>
    <x v="6"/>
    <x v="56"/>
  </r>
  <r>
    <x v="3574"/>
    <x v="10"/>
    <x v="1"/>
    <x v="45"/>
  </r>
  <r>
    <x v="1032"/>
    <x v="10"/>
    <x v="4"/>
    <x v="11"/>
  </r>
  <r>
    <x v="1334"/>
    <x v="10"/>
    <x v="4"/>
    <x v="11"/>
  </r>
  <r>
    <x v="1334"/>
    <x v="10"/>
    <x v="4"/>
    <x v="11"/>
  </r>
  <r>
    <x v="1032"/>
    <x v="10"/>
    <x v="4"/>
    <x v="11"/>
  </r>
  <r>
    <x v="1032"/>
    <x v="10"/>
    <x v="4"/>
    <x v="11"/>
  </r>
  <r>
    <x v="3575"/>
    <x v="10"/>
    <x v="4"/>
    <x v="11"/>
  </r>
  <r>
    <x v="1001"/>
    <x v="10"/>
    <x v="1"/>
    <x v="80"/>
  </r>
  <r>
    <x v="1032"/>
    <x v="10"/>
    <x v="4"/>
    <x v="11"/>
  </r>
  <r>
    <x v="1334"/>
    <x v="10"/>
    <x v="4"/>
    <x v="11"/>
  </r>
  <r>
    <x v="1334"/>
    <x v="10"/>
    <x v="4"/>
    <x v="11"/>
  </r>
  <r>
    <x v="1032"/>
    <x v="10"/>
    <x v="4"/>
    <x v="11"/>
  </r>
  <r>
    <x v="1001"/>
    <x v="10"/>
    <x v="4"/>
    <x v="11"/>
  </r>
  <r>
    <x v="3576"/>
    <x v="10"/>
    <x v="1"/>
    <x v="24"/>
  </r>
  <r>
    <x v="3577"/>
    <x v="10"/>
    <x v="1"/>
    <x v="24"/>
  </r>
  <r>
    <x v="1622"/>
    <x v="10"/>
    <x v="2"/>
    <x v="72"/>
  </r>
  <r>
    <x v="1054"/>
    <x v="10"/>
    <x v="2"/>
    <x v="72"/>
  </r>
  <r>
    <x v="1773"/>
    <x v="10"/>
    <x v="1"/>
    <x v="23"/>
  </r>
  <r>
    <x v="3578"/>
    <x v="10"/>
    <x v="1"/>
    <x v="23"/>
  </r>
  <r>
    <x v="3579"/>
    <x v="10"/>
    <x v="1"/>
    <x v="23"/>
  </r>
  <r>
    <x v="3580"/>
    <x v="10"/>
    <x v="1"/>
    <x v="23"/>
  </r>
  <r>
    <x v="3581"/>
    <x v="10"/>
    <x v="1"/>
    <x v="40"/>
  </r>
  <r>
    <x v="3582"/>
    <x v="10"/>
    <x v="1"/>
    <x v="40"/>
  </r>
  <r>
    <x v="3583"/>
    <x v="10"/>
    <x v="1"/>
    <x v="40"/>
  </r>
  <r>
    <x v="3584"/>
    <x v="10"/>
    <x v="1"/>
    <x v="40"/>
  </r>
  <r>
    <x v="3585"/>
    <x v="10"/>
    <x v="1"/>
    <x v="40"/>
  </r>
  <r>
    <x v="3586"/>
    <x v="10"/>
    <x v="1"/>
    <x v="40"/>
  </r>
  <r>
    <x v="3587"/>
    <x v="10"/>
    <x v="1"/>
    <x v="45"/>
  </r>
  <r>
    <x v="3588"/>
    <x v="10"/>
    <x v="1"/>
    <x v="45"/>
  </r>
  <r>
    <x v="3589"/>
    <x v="10"/>
    <x v="4"/>
    <x v="4"/>
  </r>
  <r>
    <x v="3590"/>
    <x v="10"/>
    <x v="4"/>
    <x v="4"/>
  </r>
  <r>
    <x v="3591"/>
    <x v="10"/>
    <x v="4"/>
    <x v="4"/>
  </r>
  <r>
    <x v="3592"/>
    <x v="10"/>
    <x v="1"/>
    <x v="40"/>
  </r>
  <r>
    <x v="1119"/>
    <x v="10"/>
    <x v="1"/>
    <x v="23"/>
  </r>
  <r>
    <x v="1119"/>
    <x v="10"/>
    <x v="1"/>
    <x v="24"/>
  </r>
  <r>
    <x v="3593"/>
    <x v="10"/>
    <x v="4"/>
    <x v="4"/>
  </r>
  <r>
    <x v="861"/>
    <x v="10"/>
    <x v="4"/>
    <x v="11"/>
  </r>
  <r>
    <x v="3594"/>
    <x v="10"/>
    <x v="1"/>
    <x v="23"/>
  </r>
  <r>
    <x v="2260"/>
    <x v="10"/>
    <x v="1"/>
    <x v="23"/>
  </r>
  <r>
    <x v="3595"/>
    <x v="10"/>
    <x v="1"/>
    <x v="23"/>
  </r>
  <r>
    <x v="2260"/>
    <x v="10"/>
    <x v="1"/>
    <x v="23"/>
  </r>
  <r>
    <x v="2260"/>
    <x v="10"/>
    <x v="1"/>
    <x v="23"/>
  </r>
  <r>
    <x v="2270"/>
    <x v="10"/>
    <x v="1"/>
    <x v="23"/>
  </r>
  <r>
    <x v="2260"/>
    <x v="10"/>
    <x v="1"/>
    <x v="23"/>
  </r>
  <r>
    <x v="2260"/>
    <x v="10"/>
    <x v="1"/>
    <x v="23"/>
  </r>
  <r>
    <x v="2260"/>
    <x v="10"/>
    <x v="1"/>
    <x v="23"/>
  </r>
  <r>
    <x v="2260"/>
    <x v="10"/>
    <x v="1"/>
    <x v="23"/>
  </r>
  <r>
    <x v="2270"/>
    <x v="10"/>
    <x v="1"/>
    <x v="23"/>
  </r>
  <r>
    <x v="2523"/>
    <x v="10"/>
    <x v="1"/>
    <x v="23"/>
  </r>
  <r>
    <x v="2260"/>
    <x v="10"/>
    <x v="1"/>
    <x v="23"/>
  </r>
  <r>
    <x v="3596"/>
    <x v="10"/>
    <x v="1"/>
    <x v="23"/>
  </r>
  <r>
    <x v="60"/>
    <x v="10"/>
    <x v="1"/>
    <x v="23"/>
  </r>
  <r>
    <x v="2544"/>
    <x v="10"/>
    <x v="1"/>
    <x v="23"/>
  </r>
  <r>
    <x v="3597"/>
    <x v="10"/>
    <x v="1"/>
    <x v="23"/>
  </r>
  <r>
    <x v="2260"/>
    <x v="10"/>
    <x v="1"/>
    <x v="23"/>
  </r>
  <r>
    <x v="3597"/>
    <x v="10"/>
    <x v="1"/>
    <x v="23"/>
  </r>
  <r>
    <x v="3597"/>
    <x v="10"/>
    <x v="1"/>
    <x v="23"/>
  </r>
  <r>
    <x v="2260"/>
    <x v="10"/>
    <x v="1"/>
    <x v="23"/>
  </r>
  <r>
    <x v="2260"/>
    <x v="10"/>
    <x v="1"/>
    <x v="23"/>
  </r>
  <r>
    <x v="2260"/>
    <x v="10"/>
    <x v="1"/>
    <x v="23"/>
  </r>
  <r>
    <x v="3598"/>
    <x v="10"/>
    <x v="1"/>
    <x v="23"/>
  </r>
  <r>
    <x v="2260"/>
    <x v="10"/>
    <x v="1"/>
    <x v="23"/>
  </r>
  <r>
    <x v="2260"/>
    <x v="10"/>
    <x v="1"/>
    <x v="23"/>
  </r>
  <r>
    <x v="2260"/>
    <x v="10"/>
    <x v="1"/>
    <x v="23"/>
  </r>
  <r>
    <x v="2260"/>
    <x v="10"/>
    <x v="1"/>
    <x v="23"/>
  </r>
  <r>
    <x v="2547"/>
    <x v="10"/>
    <x v="1"/>
    <x v="23"/>
  </r>
  <r>
    <x v="3597"/>
    <x v="10"/>
    <x v="1"/>
    <x v="23"/>
  </r>
  <r>
    <x v="2260"/>
    <x v="10"/>
    <x v="1"/>
    <x v="23"/>
  </r>
  <r>
    <x v="2260"/>
    <x v="10"/>
    <x v="1"/>
    <x v="23"/>
  </r>
  <r>
    <x v="2260"/>
    <x v="10"/>
    <x v="1"/>
    <x v="23"/>
  </r>
  <r>
    <x v="2900"/>
    <x v="10"/>
    <x v="1"/>
    <x v="23"/>
  </r>
  <r>
    <x v="3599"/>
    <x v="10"/>
    <x v="2"/>
    <x v="80"/>
  </r>
  <r>
    <x v="3400"/>
    <x v="10"/>
    <x v="2"/>
    <x v="80"/>
  </r>
  <r>
    <x v="2547"/>
    <x v="10"/>
    <x v="2"/>
    <x v="80"/>
  </r>
  <r>
    <x v="3396"/>
    <x v="10"/>
    <x v="4"/>
    <x v="4"/>
  </r>
  <r>
    <x v="3600"/>
    <x v="10"/>
    <x v="4"/>
    <x v="4"/>
  </r>
  <r>
    <x v="3399"/>
    <x v="10"/>
    <x v="4"/>
    <x v="4"/>
  </r>
  <r>
    <x v="3601"/>
    <x v="10"/>
    <x v="4"/>
    <x v="4"/>
  </r>
  <r>
    <x v="3602"/>
    <x v="10"/>
    <x v="4"/>
    <x v="4"/>
  </r>
  <r>
    <x v="2543"/>
    <x v="10"/>
    <x v="4"/>
    <x v="4"/>
  </r>
  <r>
    <x v="3603"/>
    <x v="10"/>
    <x v="4"/>
    <x v="4"/>
  </r>
  <r>
    <x v="3604"/>
    <x v="10"/>
    <x v="4"/>
    <x v="4"/>
  </r>
  <r>
    <x v="2529"/>
    <x v="10"/>
    <x v="4"/>
    <x v="4"/>
  </r>
  <r>
    <x v="3605"/>
    <x v="10"/>
    <x v="4"/>
    <x v="4"/>
  </r>
  <r>
    <x v="2893"/>
    <x v="10"/>
    <x v="4"/>
    <x v="4"/>
  </r>
  <r>
    <x v="3606"/>
    <x v="10"/>
    <x v="4"/>
    <x v="4"/>
  </r>
  <r>
    <x v="3607"/>
    <x v="10"/>
    <x v="4"/>
    <x v="4"/>
  </r>
  <r>
    <x v="3608"/>
    <x v="10"/>
    <x v="4"/>
    <x v="4"/>
  </r>
  <r>
    <x v="2537"/>
    <x v="10"/>
    <x v="4"/>
    <x v="4"/>
  </r>
  <r>
    <x v="2922"/>
    <x v="10"/>
    <x v="1"/>
    <x v="45"/>
  </r>
  <r>
    <x v="2246"/>
    <x v="10"/>
    <x v="1"/>
    <x v="45"/>
  </r>
  <r>
    <x v="2921"/>
    <x v="10"/>
    <x v="1"/>
    <x v="45"/>
  </r>
  <r>
    <x v="3178"/>
    <x v="10"/>
    <x v="1"/>
    <x v="45"/>
  </r>
  <r>
    <x v="154"/>
    <x v="10"/>
    <x v="4"/>
    <x v="4"/>
  </r>
  <r>
    <x v="2260"/>
    <x v="10"/>
    <x v="1"/>
    <x v="71"/>
  </r>
  <r>
    <x v="3609"/>
    <x v="10"/>
    <x v="2"/>
    <x v="62"/>
  </r>
  <r>
    <x v="3610"/>
    <x v="10"/>
    <x v="2"/>
    <x v="34"/>
  </r>
  <r>
    <x v="2260"/>
    <x v="10"/>
    <x v="1"/>
    <x v="71"/>
  </r>
  <r>
    <x v="3611"/>
    <x v="10"/>
    <x v="1"/>
    <x v="71"/>
  </r>
  <r>
    <x v="2923"/>
    <x v="10"/>
    <x v="2"/>
    <x v="34"/>
  </r>
  <r>
    <x v="2542"/>
    <x v="10"/>
    <x v="1"/>
    <x v="71"/>
  </r>
  <r>
    <x v="3612"/>
    <x v="10"/>
    <x v="2"/>
    <x v="62"/>
  </r>
  <r>
    <x v="509"/>
    <x v="10"/>
    <x v="2"/>
    <x v="34"/>
  </r>
  <r>
    <x v="2260"/>
    <x v="10"/>
    <x v="1"/>
    <x v="71"/>
  </r>
  <r>
    <x v="2260"/>
    <x v="10"/>
    <x v="1"/>
    <x v="71"/>
  </r>
  <r>
    <x v="2260"/>
    <x v="10"/>
    <x v="1"/>
    <x v="71"/>
  </r>
  <r>
    <x v="2260"/>
    <x v="10"/>
    <x v="2"/>
    <x v="62"/>
  </r>
  <r>
    <x v="3613"/>
    <x v="10"/>
    <x v="2"/>
    <x v="34"/>
  </r>
  <r>
    <x v="3614"/>
    <x v="10"/>
    <x v="2"/>
    <x v="34"/>
  </r>
  <r>
    <x v="3615"/>
    <x v="10"/>
    <x v="1"/>
    <x v="60"/>
  </r>
  <r>
    <x v="3616"/>
    <x v="10"/>
    <x v="2"/>
    <x v="34"/>
  </r>
  <r>
    <x v="2260"/>
    <x v="10"/>
    <x v="1"/>
    <x v="71"/>
  </r>
  <r>
    <x v="3617"/>
    <x v="10"/>
    <x v="1"/>
    <x v="60"/>
  </r>
  <r>
    <x v="3618"/>
    <x v="10"/>
    <x v="2"/>
    <x v="62"/>
  </r>
  <r>
    <x v="2260"/>
    <x v="10"/>
    <x v="1"/>
    <x v="71"/>
  </r>
  <r>
    <x v="3619"/>
    <x v="10"/>
    <x v="4"/>
    <x v="4"/>
  </r>
  <r>
    <x v="2260"/>
    <x v="10"/>
    <x v="1"/>
    <x v="71"/>
  </r>
  <r>
    <x v="3620"/>
    <x v="10"/>
    <x v="1"/>
    <x v="60"/>
  </r>
  <r>
    <x v="3621"/>
    <x v="10"/>
    <x v="1"/>
    <x v="60"/>
  </r>
  <r>
    <x v="3622"/>
    <x v="10"/>
    <x v="2"/>
    <x v="34"/>
  </r>
  <r>
    <x v="3622"/>
    <x v="10"/>
    <x v="2"/>
    <x v="72"/>
  </r>
  <r>
    <x v="3622"/>
    <x v="10"/>
    <x v="1"/>
    <x v="71"/>
  </r>
  <r>
    <x v="3623"/>
    <x v="10"/>
    <x v="2"/>
    <x v="34"/>
  </r>
  <r>
    <x v="3623"/>
    <x v="10"/>
    <x v="2"/>
    <x v="72"/>
  </r>
  <r>
    <x v="3623"/>
    <x v="10"/>
    <x v="1"/>
    <x v="71"/>
  </r>
  <r>
    <x v="270"/>
    <x v="10"/>
    <x v="2"/>
    <x v="34"/>
  </r>
  <r>
    <x v="270"/>
    <x v="10"/>
    <x v="2"/>
    <x v="72"/>
  </r>
  <r>
    <x v="270"/>
    <x v="10"/>
    <x v="1"/>
    <x v="71"/>
  </r>
  <r>
    <x v="3624"/>
    <x v="10"/>
    <x v="2"/>
    <x v="34"/>
  </r>
  <r>
    <x v="3624"/>
    <x v="10"/>
    <x v="2"/>
    <x v="72"/>
  </r>
  <r>
    <x v="3624"/>
    <x v="10"/>
    <x v="1"/>
    <x v="71"/>
  </r>
  <r>
    <x v="2538"/>
    <x v="10"/>
    <x v="2"/>
    <x v="34"/>
  </r>
  <r>
    <x v="2538"/>
    <x v="10"/>
    <x v="2"/>
    <x v="72"/>
  </r>
  <r>
    <x v="2538"/>
    <x v="10"/>
    <x v="1"/>
    <x v="71"/>
  </r>
  <r>
    <x v="3625"/>
    <x v="10"/>
    <x v="2"/>
    <x v="34"/>
  </r>
  <r>
    <x v="3625"/>
    <x v="10"/>
    <x v="2"/>
    <x v="72"/>
  </r>
  <r>
    <x v="3625"/>
    <x v="10"/>
    <x v="1"/>
    <x v="71"/>
  </r>
  <r>
    <x v="2538"/>
    <x v="10"/>
    <x v="2"/>
    <x v="34"/>
  </r>
  <r>
    <x v="2538"/>
    <x v="10"/>
    <x v="2"/>
    <x v="72"/>
  </r>
  <r>
    <x v="2538"/>
    <x v="10"/>
    <x v="1"/>
    <x v="71"/>
  </r>
  <r>
    <x v="3626"/>
    <x v="10"/>
    <x v="2"/>
    <x v="34"/>
  </r>
  <r>
    <x v="3626"/>
    <x v="10"/>
    <x v="2"/>
    <x v="72"/>
  </r>
  <r>
    <x v="3626"/>
    <x v="10"/>
    <x v="1"/>
    <x v="71"/>
  </r>
  <r>
    <x v="3627"/>
    <x v="10"/>
    <x v="2"/>
    <x v="34"/>
  </r>
  <r>
    <x v="3627"/>
    <x v="10"/>
    <x v="2"/>
    <x v="72"/>
  </r>
  <r>
    <x v="3627"/>
    <x v="10"/>
    <x v="1"/>
    <x v="71"/>
  </r>
  <r>
    <x v="3628"/>
    <x v="10"/>
    <x v="2"/>
    <x v="34"/>
  </r>
  <r>
    <x v="3628"/>
    <x v="10"/>
    <x v="2"/>
    <x v="72"/>
  </r>
  <r>
    <x v="3628"/>
    <x v="10"/>
    <x v="1"/>
    <x v="71"/>
  </r>
  <r>
    <x v="2253"/>
    <x v="10"/>
    <x v="2"/>
    <x v="34"/>
  </r>
  <r>
    <x v="2253"/>
    <x v="10"/>
    <x v="2"/>
    <x v="72"/>
  </r>
  <r>
    <x v="2253"/>
    <x v="10"/>
    <x v="1"/>
    <x v="71"/>
  </r>
  <r>
    <x v="3629"/>
    <x v="10"/>
    <x v="4"/>
    <x v="11"/>
  </r>
  <r>
    <x v="941"/>
    <x v="10"/>
    <x v="4"/>
    <x v="11"/>
  </r>
  <r>
    <x v="3630"/>
    <x v="10"/>
    <x v="1"/>
    <x v="84"/>
  </r>
  <r>
    <x v="3631"/>
    <x v="10"/>
    <x v="1"/>
    <x v="84"/>
  </r>
  <r>
    <x v="3632"/>
    <x v="10"/>
    <x v="1"/>
    <x v="55"/>
  </r>
  <r>
    <x v="3633"/>
    <x v="10"/>
    <x v="1"/>
    <x v="55"/>
  </r>
  <r>
    <x v="3634"/>
    <x v="10"/>
    <x v="1"/>
    <x v="55"/>
  </r>
  <r>
    <x v="3635"/>
    <x v="10"/>
    <x v="1"/>
    <x v="23"/>
  </r>
  <r>
    <x v="3636"/>
    <x v="10"/>
    <x v="1"/>
    <x v="23"/>
  </r>
  <r>
    <x v="3637"/>
    <x v="10"/>
    <x v="1"/>
    <x v="23"/>
  </r>
  <r>
    <x v="3638"/>
    <x v="10"/>
    <x v="4"/>
    <x v="4"/>
  </r>
  <r>
    <x v="3639"/>
    <x v="10"/>
    <x v="4"/>
    <x v="4"/>
  </r>
  <r>
    <x v="3640"/>
    <x v="10"/>
    <x v="4"/>
    <x v="4"/>
  </r>
  <r>
    <x v="3641"/>
    <x v="10"/>
    <x v="4"/>
    <x v="11"/>
  </r>
  <r>
    <x v="808"/>
    <x v="10"/>
    <x v="4"/>
    <x v="11"/>
  </r>
  <r>
    <x v="3642"/>
    <x v="10"/>
    <x v="4"/>
    <x v="11"/>
  </r>
  <r>
    <x v="218"/>
    <x v="10"/>
    <x v="4"/>
    <x v="11"/>
  </r>
  <r>
    <x v="3643"/>
    <x v="10"/>
    <x v="1"/>
    <x v="23"/>
  </r>
  <r>
    <x v="103"/>
    <x v="10"/>
    <x v="1"/>
    <x v="23"/>
  </r>
  <r>
    <x v="103"/>
    <x v="10"/>
    <x v="1"/>
    <x v="23"/>
  </r>
  <r>
    <x v="103"/>
    <x v="10"/>
    <x v="1"/>
    <x v="23"/>
  </r>
  <r>
    <x v="449"/>
    <x v="10"/>
    <x v="1"/>
    <x v="23"/>
  </r>
  <r>
    <x v="446"/>
    <x v="10"/>
    <x v="1"/>
    <x v="23"/>
  </r>
  <r>
    <x v="3644"/>
    <x v="10"/>
    <x v="1"/>
    <x v="23"/>
  </r>
  <r>
    <x v="1065"/>
    <x v="10"/>
    <x v="1"/>
    <x v="23"/>
  </r>
  <r>
    <x v="1065"/>
    <x v="10"/>
    <x v="1"/>
    <x v="23"/>
  </r>
  <r>
    <x v="103"/>
    <x v="10"/>
    <x v="1"/>
    <x v="23"/>
  </r>
  <r>
    <x v="3645"/>
    <x v="10"/>
    <x v="1"/>
    <x v="24"/>
  </r>
  <r>
    <x v="25"/>
    <x v="10"/>
    <x v="1"/>
    <x v="23"/>
  </r>
  <r>
    <x v="693"/>
    <x v="10"/>
    <x v="1"/>
    <x v="24"/>
  </r>
  <r>
    <x v="103"/>
    <x v="10"/>
    <x v="1"/>
    <x v="23"/>
  </r>
  <r>
    <x v="337"/>
    <x v="10"/>
    <x v="1"/>
    <x v="24"/>
  </r>
  <r>
    <x v="535"/>
    <x v="10"/>
    <x v="1"/>
    <x v="23"/>
  </r>
  <r>
    <x v="460"/>
    <x v="10"/>
    <x v="1"/>
    <x v="23"/>
  </r>
  <r>
    <x v="1065"/>
    <x v="10"/>
    <x v="1"/>
    <x v="23"/>
  </r>
  <r>
    <x v="35"/>
    <x v="10"/>
    <x v="1"/>
    <x v="23"/>
  </r>
  <r>
    <x v="1065"/>
    <x v="10"/>
    <x v="1"/>
    <x v="23"/>
  </r>
  <r>
    <x v="35"/>
    <x v="10"/>
    <x v="1"/>
    <x v="23"/>
  </r>
  <r>
    <x v="18"/>
    <x v="10"/>
    <x v="1"/>
    <x v="23"/>
  </r>
  <r>
    <x v="672"/>
    <x v="10"/>
    <x v="1"/>
    <x v="23"/>
  </r>
  <r>
    <x v="2323"/>
    <x v="10"/>
    <x v="1"/>
    <x v="24"/>
  </r>
  <r>
    <x v="186"/>
    <x v="10"/>
    <x v="1"/>
    <x v="23"/>
  </r>
  <r>
    <x v="101"/>
    <x v="10"/>
    <x v="1"/>
    <x v="23"/>
  </r>
  <r>
    <x v="706"/>
    <x v="10"/>
    <x v="1"/>
    <x v="23"/>
  </r>
  <r>
    <x v="35"/>
    <x v="10"/>
    <x v="1"/>
    <x v="23"/>
  </r>
  <r>
    <x v="103"/>
    <x v="10"/>
    <x v="1"/>
    <x v="23"/>
  </r>
  <r>
    <x v="103"/>
    <x v="10"/>
    <x v="1"/>
    <x v="23"/>
  </r>
  <r>
    <x v="3646"/>
    <x v="10"/>
    <x v="1"/>
    <x v="23"/>
  </r>
  <r>
    <x v="76"/>
    <x v="10"/>
    <x v="1"/>
    <x v="23"/>
  </r>
  <r>
    <x v="160"/>
    <x v="10"/>
    <x v="1"/>
    <x v="23"/>
  </r>
  <r>
    <x v="43"/>
    <x v="10"/>
    <x v="1"/>
    <x v="23"/>
  </r>
  <r>
    <x v="18"/>
    <x v="10"/>
    <x v="1"/>
    <x v="23"/>
  </r>
  <r>
    <x v="1065"/>
    <x v="10"/>
    <x v="1"/>
    <x v="23"/>
  </r>
  <r>
    <x v="460"/>
    <x v="10"/>
    <x v="1"/>
    <x v="23"/>
  </r>
  <r>
    <x v="11"/>
    <x v="10"/>
    <x v="1"/>
    <x v="23"/>
  </r>
  <r>
    <x v="1065"/>
    <x v="10"/>
    <x v="1"/>
    <x v="23"/>
  </r>
  <r>
    <x v="806"/>
    <x v="10"/>
    <x v="1"/>
    <x v="23"/>
  </r>
  <r>
    <x v="3644"/>
    <x v="10"/>
    <x v="1"/>
    <x v="23"/>
  </r>
  <r>
    <x v="160"/>
    <x v="10"/>
    <x v="1"/>
    <x v="23"/>
  </r>
  <r>
    <x v="43"/>
    <x v="10"/>
    <x v="1"/>
    <x v="23"/>
  </r>
  <r>
    <x v="103"/>
    <x v="10"/>
    <x v="1"/>
    <x v="23"/>
  </r>
  <r>
    <x v="606"/>
    <x v="10"/>
    <x v="1"/>
    <x v="45"/>
  </r>
  <r>
    <x v="515"/>
    <x v="10"/>
    <x v="2"/>
    <x v="79"/>
  </r>
  <r>
    <x v="515"/>
    <x v="10"/>
    <x v="1"/>
    <x v="71"/>
  </r>
  <r>
    <x v="817"/>
    <x v="10"/>
    <x v="1"/>
    <x v="71"/>
  </r>
  <r>
    <x v="1027"/>
    <x v="10"/>
    <x v="1"/>
    <x v="71"/>
  </r>
  <r>
    <x v="163"/>
    <x v="10"/>
    <x v="1"/>
    <x v="71"/>
  </r>
  <r>
    <x v="3647"/>
    <x v="10"/>
    <x v="2"/>
    <x v="79"/>
  </r>
  <r>
    <x v="3648"/>
    <x v="10"/>
    <x v="2"/>
    <x v="79"/>
  </r>
  <r>
    <x v="35"/>
    <x v="10"/>
    <x v="1"/>
    <x v="23"/>
  </r>
  <r>
    <x v="422"/>
    <x v="10"/>
    <x v="1"/>
    <x v="23"/>
  </r>
  <r>
    <x v="132"/>
    <x v="10"/>
    <x v="1"/>
    <x v="23"/>
  </r>
  <r>
    <x v="707"/>
    <x v="10"/>
    <x v="1"/>
    <x v="23"/>
  </r>
  <r>
    <x v="3649"/>
    <x v="10"/>
    <x v="1"/>
    <x v="23"/>
  </r>
  <r>
    <x v="3650"/>
    <x v="10"/>
    <x v="4"/>
    <x v="4"/>
  </r>
  <r>
    <x v="3651"/>
    <x v="10"/>
    <x v="1"/>
    <x v="23"/>
  </r>
  <r>
    <x v="563"/>
    <x v="10"/>
    <x v="1"/>
    <x v="71"/>
  </r>
  <r>
    <x v="3467"/>
    <x v="10"/>
    <x v="4"/>
    <x v="11"/>
  </r>
  <r>
    <x v="3652"/>
    <x v="10"/>
    <x v="5"/>
    <x v="0"/>
  </r>
  <r>
    <x v="3653"/>
    <x v="10"/>
    <x v="9"/>
    <x v="23"/>
  </r>
  <r>
    <x v="3654"/>
    <x v="10"/>
    <x v="5"/>
    <x v="0"/>
  </r>
  <r>
    <x v="3655"/>
    <x v="10"/>
    <x v="4"/>
    <x v="11"/>
  </r>
  <r>
    <x v="3656"/>
    <x v="10"/>
    <x v="1"/>
    <x v="14"/>
  </r>
  <r>
    <x v="3657"/>
    <x v="10"/>
    <x v="1"/>
    <x v="23"/>
  </r>
  <r>
    <x v="430"/>
    <x v="10"/>
    <x v="1"/>
    <x v="24"/>
  </r>
  <r>
    <x v="3658"/>
    <x v="10"/>
    <x v="5"/>
    <x v="0"/>
  </r>
  <r>
    <x v="3659"/>
    <x v="10"/>
    <x v="5"/>
    <x v="0"/>
  </r>
  <r>
    <x v="606"/>
    <x v="10"/>
    <x v="4"/>
    <x v="4"/>
  </r>
  <r>
    <x v="3660"/>
    <x v="10"/>
    <x v="2"/>
    <x v="80"/>
  </r>
  <r>
    <x v="3661"/>
    <x v="10"/>
    <x v="2"/>
    <x v="62"/>
  </r>
  <r>
    <x v="3662"/>
    <x v="10"/>
    <x v="2"/>
    <x v="79"/>
  </r>
  <r>
    <x v="3663"/>
    <x v="10"/>
    <x v="1"/>
    <x v="71"/>
  </r>
  <r>
    <x v="3664"/>
    <x v="10"/>
    <x v="12"/>
    <x v="0"/>
  </r>
  <r>
    <x v="3665"/>
    <x v="10"/>
    <x v="2"/>
    <x v="62"/>
  </r>
  <r>
    <x v="3666"/>
    <x v="10"/>
    <x v="4"/>
    <x v="4"/>
  </r>
  <r>
    <x v="3667"/>
    <x v="10"/>
    <x v="4"/>
    <x v="4"/>
  </r>
  <r>
    <x v="1167"/>
    <x v="10"/>
    <x v="2"/>
    <x v="79"/>
  </r>
  <r>
    <x v="3668"/>
    <x v="10"/>
    <x v="1"/>
    <x v="23"/>
  </r>
  <r>
    <x v="3668"/>
    <x v="10"/>
    <x v="1"/>
    <x v="24"/>
  </r>
  <r>
    <x v="498"/>
    <x v="10"/>
    <x v="1"/>
    <x v="71"/>
  </r>
  <r>
    <x v="498"/>
    <x v="10"/>
    <x v="2"/>
    <x v="80"/>
  </r>
  <r>
    <x v="3669"/>
    <x v="10"/>
    <x v="4"/>
    <x v="4"/>
  </r>
  <r>
    <x v="3670"/>
    <x v="10"/>
    <x v="4"/>
    <x v="4"/>
  </r>
  <r>
    <x v="3671"/>
    <x v="10"/>
    <x v="4"/>
    <x v="4"/>
  </r>
  <r>
    <x v="1524"/>
    <x v="10"/>
    <x v="4"/>
    <x v="4"/>
  </r>
  <r>
    <x v="998"/>
    <x v="10"/>
    <x v="4"/>
    <x v="4"/>
  </r>
  <r>
    <x v="3672"/>
    <x v="10"/>
    <x v="1"/>
    <x v="60"/>
  </r>
  <r>
    <x v="1065"/>
    <x v="10"/>
    <x v="1"/>
    <x v="71"/>
  </r>
  <r>
    <x v="76"/>
    <x v="10"/>
    <x v="1"/>
    <x v="71"/>
  </r>
  <r>
    <x v="76"/>
    <x v="10"/>
    <x v="2"/>
    <x v="79"/>
  </r>
  <r>
    <x v="486"/>
    <x v="10"/>
    <x v="1"/>
    <x v="71"/>
  </r>
  <r>
    <x v="3673"/>
    <x v="10"/>
    <x v="1"/>
    <x v="23"/>
  </r>
  <r>
    <x v="915"/>
    <x v="10"/>
    <x v="1"/>
    <x v="60"/>
  </r>
  <r>
    <x v="201"/>
    <x v="10"/>
    <x v="2"/>
    <x v="72"/>
  </r>
  <r>
    <x v="577"/>
    <x v="10"/>
    <x v="6"/>
    <x v="56"/>
  </r>
  <r>
    <x v="522"/>
    <x v="10"/>
    <x v="2"/>
    <x v="79"/>
  </r>
  <r>
    <x v="99"/>
    <x v="10"/>
    <x v="2"/>
    <x v="62"/>
  </r>
  <r>
    <x v="160"/>
    <x v="10"/>
    <x v="6"/>
    <x v="27"/>
  </r>
  <r>
    <x v="166"/>
    <x v="10"/>
    <x v="4"/>
    <x v="4"/>
  </r>
  <r>
    <x v="1342"/>
    <x v="10"/>
    <x v="1"/>
    <x v="23"/>
  </r>
  <r>
    <x v="2083"/>
    <x v="10"/>
    <x v="1"/>
    <x v="23"/>
  </r>
  <r>
    <x v="99"/>
    <x v="10"/>
    <x v="1"/>
    <x v="60"/>
  </r>
  <r>
    <x v="195"/>
    <x v="10"/>
    <x v="1"/>
    <x v="71"/>
  </r>
  <r>
    <x v="3674"/>
    <x v="10"/>
    <x v="4"/>
    <x v="4"/>
  </r>
  <r>
    <x v="465"/>
    <x v="10"/>
    <x v="2"/>
    <x v="79"/>
  </r>
  <r>
    <x v="132"/>
    <x v="10"/>
    <x v="2"/>
    <x v="72"/>
  </r>
  <r>
    <x v="3477"/>
    <x v="10"/>
    <x v="1"/>
    <x v="23"/>
  </r>
  <r>
    <x v="3675"/>
    <x v="10"/>
    <x v="4"/>
    <x v="4"/>
  </r>
  <r>
    <x v="3676"/>
    <x v="10"/>
    <x v="4"/>
    <x v="4"/>
  </r>
  <r>
    <x v="36"/>
    <x v="10"/>
    <x v="1"/>
    <x v="23"/>
  </r>
  <r>
    <x v="36"/>
    <x v="10"/>
    <x v="1"/>
    <x v="23"/>
  </r>
  <r>
    <x v="168"/>
    <x v="10"/>
    <x v="1"/>
    <x v="23"/>
  </r>
  <r>
    <x v="422"/>
    <x v="10"/>
    <x v="1"/>
    <x v="71"/>
  </r>
  <r>
    <x v="439"/>
    <x v="10"/>
    <x v="1"/>
    <x v="71"/>
  </r>
  <r>
    <x v="3677"/>
    <x v="10"/>
    <x v="1"/>
    <x v="71"/>
  </r>
  <r>
    <x v="1642"/>
    <x v="10"/>
    <x v="4"/>
    <x v="4"/>
  </r>
  <r>
    <x v="1642"/>
    <x v="10"/>
    <x v="2"/>
    <x v="79"/>
  </r>
  <r>
    <x v="3678"/>
    <x v="10"/>
    <x v="1"/>
    <x v="60"/>
  </r>
  <r>
    <x v="166"/>
    <x v="10"/>
    <x v="4"/>
    <x v="4"/>
  </r>
  <r>
    <x v="43"/>
    <x v="10"/>
    <x v="4"/>
    <x v="4"/>
  </r>
  <r>
    <x v="3679"/>
    <x v="10"/>
    <x v="2"/>
    <x v="4"/>
  </r>
  <r>
    <x v="3680"/>
    <x v="10"/>
    <x v="2"/>
    <x v="79"/>
  </r>
  <r>
    <x v="1670"/>
    <x v="10"/>
    <x v="1"/>
    <x v="60"/>
  </r>
  <r>
    <x v="1138"/>
    <x v="10"/>
    <x v="4"/>
    <x v="4"/>
  </r>
  <r>
    <x v="3681"/>
    <x v="10"/>
    <x v="4"/>
    <x v="4"/>
  </r>
  <r>
    <x v="439"/>
    <x v="10"/>
    <x v="4"/>
    <x v="4"/>
  </r>
  <r>
    <x v="781"/>
    <x v="10"/>
    <x v="2"/>
    <x v="72"/>
  </r>
  <r>
    <x v="521"/>
    <x v="10"/>
    <x v="1"/>
    <x v="60"/>
  </r>
  <r>
    <x v="2306"/>
    <x v="10"/>
    <x v="1"/>
    <x v="60"/>
  </r>
  <r>
    <x v="392"/>
    <x v="10"/>
    <x v="1"/>
    <x v="40"/>
  </r>
  <r>
    <x v="99"/>
    <x v="10"/>
    <x v="1"/>
    <x v="40"/>
  </r>
  <r>
    <x v="76"/>
    <x v="10"/>
    <x v="1"/>
    <x v="40"/>
  </r>
  <r>
    <x v="35"/>
    <x v="10"/>
    <x v="1"/>
    <x v="40"/>
  </r>
  <r>
    <x v="103"/>
    <x v="10"/>
    <x v="1"/>
    <x v="60"/>
  </r>
  <r>
    <x v="75"/>
    <x v="10"/>
    <x v="2"/>
    <x v="72"/>
  </r>
  <r>
    <x v="36"/>
    <x v="10"/>
    <x v="4"/>
    <x v="4"/>
  </r>
  <r>
    <x v="515"/>
    <x v="10"/>
    <x v="2"/>
    <x v="79"/>
  </r>
  <r>
    <x v="345"/>
    <x v="10"/>
    <x v="2"/>
    <x v="79"/>
  </r>
  <r>
    <x v="3682"/>
    <x v="10"/>
    <x v="4"/>
    <x v="4"/>
  </r>
  <r>
    <x v="35"/>
    <x v="10"/>
    <x v="1"/>
    <x v="60"/>
  </r>
  <r>
    <x v="192"/>
    <x v="10"/>
    <x v="1"/>
    <x v="71"/>
  </r>
  <r>
    <x v="3683"/>
    <x v="10"/>
    <x v="2"/>
    <x v="79"/>
  </r>
  <r>
    <x v="522"/>
    <x v="10"/>
    <x v="2"/>
    <x v="79"/>
  </r>
  <r>
    <x v="865"/>
    <x v="10"/>
    <x v="1"/>
    <x v="71"/>
  </r>
  <r>
    <x v="3684"/>
    <x v="10"/>
    <x v="1"/>
    <x v="71"/>
  </r>
  <r>
    <x v="52"/>
    <x v="10"/>
    <x v="2"/>
    <x v="79"/>
  </r>
  <r>
    <x v="160"/>
    <x v="10"/>
    <x v="2"/>
    <x v="79"/>
  </r>
  <r>
    <x v="444"/>
    <x v="10"/>
    <x v="2"/>
    <x v="79"/>
  </r>
  <r>
    <x v="3685"/>
    <x v="10"/>
    <x v="2"/>
    <x v="80"/>
  </r>
  <r>
    <x v="3686"/>
    <x v="10"/>
    <x v="4"/>
    <x v="4"/>
  </r>
  <r>
    <x v="3687"/>
    <x v="10"/>
    <x v="4"/>
    <x v="4"/>
  </r>
  <r>
    <x v="422"/>
    <x v="10"/>
    <x v="1"/>
    <x v="23"/>
  </r>
  <r>
    <x v="701"/>
    <x v="10"/>
    <x v="1"/>
    <x v="23"/>
  </r>
  <r>
    <x v="18"/>
    <x v="10"/>
    <x v="1"/>
    <x v="23"/>
  </r>
  <r>
    <x v="3643"/>
    <x v="10"/>
    <x v="1"/>
    <x v="23"/>
  </r>
  <r>
    <x v="3688"/>
    <x v="10"/>
    <x v="1"/>
    <x v="23"/>
  </r>
  <r>
    <x v="35"/>
    <x v="10"/>
    <x v="1"/>
    <x v="23"/>
  </r>
  <r>
    <x v="865"/>
    <x v="10"/>
    <x v="1"/>
    <x v="23"/>
  </r>
  <r>
    <x v="24"/>
    <x v="10"/>
    <x v="1"/>
    <x v="23"/>
  </r>
  <r>
    <x v="76"/>
    <x v="10"/>
    <x v="1"/>
    <x v="40"/>
  </r>
  <r>
    <x v="160"/>
    <x v="10"/>
    <x v="1"/>
    <x v="23"/>
  </r>
  <r>
    <x v="75"/>
    <x v="10"/>
    <x v="1"/>
    <x v="40"/>
  </r>
  <r>
    <x v="1065"/>
    <x v="10"/>
    <x v="1"/>
    <x v="23"/>
  </r>
  <r>
    <x v="809"/>
    <x v="10"/>
    <x v="2"/>
    <x v="79"/>
  </r>
  <r>
    <x v="180"/>
    <x v="10"/>
    <x v="1"/>
    <x v="60"/>
  </r>
  <r>
    <x v="3689"/>
    <x v="10"/>
    <x v="1"/>
    <x v="71"/>
  </r>
  <r>
    <x v="168"/>
    <x v="10"/>
    <x v="1"/>
    <x v="23"/>
  </r>
  <r>
    <x v="160"/>
    <x v="10"/>
    <x v="2"/>
    <x v="72"/>
  </r>
  <r>
    <x v="449"/>
    <x v="10"/>
    <x v="4"/>
    <x v="4"/>
  </r>
  <r>
    <x v="3690"/>
    <x v="10"/>
    <x v="1"/>
    <x v="71"/>
  </r>
  <r>
    <x v="3691"/>
    <x v="10"/>
    <x v="1"/>
    <x v="71"/>
  </r>
  <r>
    <x v="3692"/>
    <x v="10"/>
    <x v="4"/>
    <x v="4"/>
  </r>
  <r>
    <x v="442"/>
    <x v="10"/>
    <x v="2"/>
    <x v="79"/>
  </r>
  <r>
    <x v="3693"/>
    <x v="10"/>
    <x v="1"/>
    <x v="71"/>
  </r>
  <r>
    <x v="99"/>
    <x v="10"/>
    <x v="4"/>
    <x v="4"/>
  </r>
  <r>
    <x v="115"/>
    <x v="10"/>
    <x v="2"/>
    <x v="72"/>
  </r>
  <r>
    <x v="147"/>
    <x v="10"/>
    <x v="1"/>
    <x v="23"/>
  </r>
  <r>
    <x v="160"/>
    <x v="10"/>
    <x v="2"/>
    <x v="62"/>
  </r>
  <r>
    <x v="115"/>
    <x v="10"/>
    <x v="1"/>
    <x v="60"/>
  </r>
  <r>
    <x v="3694"/>
    <x v="10"/>
    <x v="1"/>
    <x v="71"/>
  </r>
  <r>
    <x v="3695"/>
    <x v="10"/>
    <x v="1"/>
    <x v="71"/>
  </r>
  <r>
    <x v="2111"/>
    <x v="10"/>
    <x v="1"/>
    <x v="40"/>
  </r>
  <r>
    <x v="963"/>
    <x v="10"/>
    <x v="1"/>
    <x v="40"/>
  </r>
  <r>
    <x v="36"/>
    <x v="10"/>
    <x v="4"/>
    <x v="4"/>
  </r>
  <r>
    <x v="3696"/>
    <x v="10"/>
    <x v="1"/>
    <x v="40"/>
  </r>
  <r>
    <x v="3697"/>
    <x v="10"/>
    <x v="1"/>
    <x v="40"/>
  </r>
  <r>
    <x v="1866"/>
    <x v="10"/>
    <x v="1"/>
    <x v="40"/>
  </r>
  <r>
    <x v="3122"/>
    <x v="10"/>
    <x v="4"/>
    <x v="4"/>
  </r>
  <r>
    <x v="3698"/>
    <x v="10"/>
    <x v="4"/>
    <x v="11"/>
  </r>
  <r>
    <x v="3699"/>
    <x v="10"/>
    <x v="4"/>
    <x v="11"/>
  </r>
  <r>
    <x v="3700"/>
    <x v="10"/>
    <x v="4"/>
    <x v="11"/>
  </r>
  <r>
    <x v="161"/>
    <x v="10"/>
    <x v="4"/>
    <x v="4"/>
  </r>
  <r>
    <x v="3701"/>
    <x v="10"/>
    <x v="2"/>
    <x v="80"/>
  </r>
  <r>
    <x v="3702"/>
    <x v="10"/>
    <x v="1"/>
    <x v="71"/>
  </r>
  <r>
    <x v="3703"/>
    <x v="10"/>
    <x v="1"/>
    <x v="23"/>
  </r>
  <r>
    <x v="3704"/>
    <x v="10"/>
    <x v="2"/>
    <x v="79"/>
  </r>
  <r>
    <x v="3705"/>
    <x v="10"/>
    <x v="1"/>
    <x v="71"/>
  </r>
  <r>
    <x v="3706"/>
    <x v="10"/>
    <x v="4"/>
    <x v="4"/>
  </r>
  <r>
    <x v="3707"/>
    <x v="10"/>
    <x v="2"/>
    <x v="79"/>
  </r>
  <r>
    <x v="3708"/>
    <x v="10"/>
    <x v="1"/>
    <x v="23"/>
  </r>
  <r>
    <x v="3709"/>
    <x v="10"/>
    <x v="2"/>
    <x v="79"/>
  </r>
  <r>
    <x v="3710"/>
    <x v="10"/>
    <x v="2"/>
    <x v="79"/>
  </r>
  <r>
    <x v="819"/>
    <x v="10"/>
    <x v="1"/>
    <x v="45"/>
  </r>
  <r>
    <x v="500"/>
    <x v="10"/>
    <x v="1"/>
    <x v="45"/>
  </r>
  <r>
    <x v="3711"/>
    <x v="10"/>
    <x v="4"/>
    <x v="4"/>
  </r>
  <r>
    <x v="3712"/>
    <x v="10"/>
    <x v="4"/>
    <x v="4"/>
  </r>
  <r>
    <x v="3713"/>
    <x v="10"/>
    <x v="1"/>
    <x v="45"/>
  </r>
  <r>
    <x v="3714"/>
    <x v="10"/>
    <x v="4"/>
    <x v="4"/>
  </r>
  <r>
    <x v="3715"/>
    <x v="10"/>
    <x v="1"/>
    <x v="40"/>
  </r>
  <r>
    <x v="3716"/>
    <x v="10"/>
    <x v="1"/>
    <x v="24"/>
  </r>
  <r>
    <x v="3717"/>
    <x v="10"/>
    <x v="1"/>
    <x v="40"/>
  </r>
  <r>
    <x v="3718"/>
    <x v="10"/>
    <x v="1"/>
    <x v="40"/>
  </r>
  <r>
    <x v="819"/>
    <x v="10"/>
    <x v="1"/>
    <x v="45"/>
  </r>
  <r>
    <x v="35"/>
    <x v="10"/>
    <x v="1"/>
    <x v="45"/>
  </r>
  <r>
    <x v="35"/>
    <x v="10"/>
    <x v="1"/>
    <x v="45"/>
  </r>
  <r>
    <x v="3719"/>
    <x v="10"/>
    <x v="1"/>
    <x v="45"/>
  </r>
  <r>
    <x v="163"/>
    <x v="10"/>
    <x v="1"/>
    <x v="45"/>
  </r>
  <r>
    <x v="24"/>
    <x v="10"/>
    <x v="1"/>
    <x v="45"/>
  </r>
  <r>
    <x v="460"/>
    <x v="10"/>
    <x v="1"/>
    <x v="45"/>
  </r>
  <r>
    <x v="35"/>
    <x v="10"/>
    <x v="1"/>
    <x v="45"/>
  </r>
  <r>
    <x v="460"/>
    <x v="10"/>
    <x v="1"/>
    <x v="45"/>
  </r>
  <r>
    <x v="35"/>
    <x v="10"/>
    <x v="1"/>
    <x v="45"/>
  </r>
  <r>
    <x v="133"/>
    <x v="10"/>
    <x v="1"/>
    <x v="45"/>
  </r>
  <r>
    <x v="35"/>
    <x v="10"/>
    <x v="1"/>
    <x v="45"/>
  </r>
  <r>
    <x v="24"/>
    <x v="10"/>
    <x v="1"/>
    <x v="45"/>
  </r>
  <r>
    <x v="35"/>
    <x v="10"/>
    <x v="1"/>
    <x v="45"/>
  </r>
  <r>
    <x v="460"/>
    <x v="10"/>
    <x v="1"/>
    <x v="45"/>
  </r>
  <r>
    <x v="35"/>
    <x v="10"/>
    <x v="1"/>
    <x v="45"/>
  </r>
  <r>
    <x v="163"/>
    <x v="10"/>
    <x v="1"/>
    <x v="45"/>
  </r>
  <r>
    <x v="3720"/>
    <x v="10"/>
    <x v="1"/>
    <x v="45"/>
  </r>
  <r>
    <x v="399"/>
    <x v="10"/>
    <x v="1"/>
    <x v="45"/>
  </r>
  <r>
    <x v="3721"/>
    <x v="10"/>
    <x v="1"/>
    <x v="55"/>
  </r>
  <r>
    <x v="3722"/>
    <x v="10"/>
    <x v="1"/>
    <x v="23"/>
  </r>
  <r>
    <x v="3723"/>
    <x v="10"/>
    <x v="4"/>
    <x v="11"/>
  </r>
  <r>
    <x v="3724"/>
    <x v="10"/>
    <x v="1"/>
    <x v="40"/>
  </r>
  <r>
    <x v="3025"/>
    <x v="10"/>
    <x v="0"/>
    <x v="0"/>
  </r>
  <r>
    <x v="3725"/>
    <x v="10"/>
    <x v="4"/>
    <x v="11"/>
  </r>
  <r>
    <x v="3726"/>
    <x v="10"/>
    <x v="1"/>
    <x v="71"/>
  </r>
  <r>
    <x v="3727"/>
    <x v="10"/>
    <x v="4"/>
    <x v="11"/>
  </r>
  <r>
    <x v="36"/>
    <x v="10"/>
    <x v="4"/>
    <x v="11"/>
  </r>
  <r>
    <x v="449"/>
    <x v="10"/>
    <x v="4"/>
    <x v="11"/>
  </r>
  <r>
    <x v="42"/>
    <x v="10"/>
    <x v="2"/>
    <x v="80"/>
  </r>
  <r>
    <x v="3728"/>
    <x v="10"/>
    <x v="2"/>
    <x v="80"/>
  </r>
  <r>
    <x v="3729"/>
    <x v="10"/>
    <x v="2"/>
    <x v="80"/>
  </r>
  <r>
    <x v="169"/>
    <x v="10"/>
    <x v="2"/>
    <x v="80"/>
  </r>
  <r>
    <x v="3730"/>
    <x v="10"/>
    <x v="2"/>
    <x v="80"/>
  </r>
  <r>
    <x v="3731"/>
    <x v="10"/>
    <x v="2"/>
    <x v="80"/>
  </r>
  <r>
    <x v="158"/>
    <x v="10"/>
    <x v="2"/>
    <x v="80"/>
  </r>
  <r>
    <x v="1001"/>
    <x v="10"/>
    <x v="4"/>
    <x v="11"/>
  </r>
  <r>
    <x v="1001"/>
    <x v="10"/>
    <x v="4"/>
    <x v="11"/>
  </r>
  <r>
    <x v="3732"/>
    <x v="10"/>
    <x v="4"/>
    <x v="11"/>
  </r>
  <r>
    <x v="166"/>
    <x v="10"/>
    <x v="4"/>
    <x v="11"/>
  </r>
  <r>
    <x v="3105"/>
    <x v="10"/>
    <x v="4"/>
    <x v="11"/>
  </r>
  <r>
    <x v="3733"/>
    <x v="10"/>
    <x v="2"/>
    <x v="80"/>
  </r>
  <r>
    <x v="3734"/>
    <x v="10"/>
    <x v="2"/>
    <x v="80"/>
  </r>
  <r>
    <x v="186"/>
    <x v="10"/>
    <x v="2"/>
    <x v="80"/>
  </r>
  <r>
    <x v="3735"/>
    <x v="10"/>
    <x v="2"/>
    <x v="80"/>
  </r>
  <r>
    <x v="3736"/>
    <x v="10"/>
    <x v="1"/>
    <x v="60"/>
  </r>
  <r>
    <x v="1140"/>
    <x v="10"/>
    <x v="1"/>
    <x v="40"/>
  </r>
  <r>
    <x v="1140"/>
    <x v="10"/>
    <x v="1"/>
    <x v="23"/>
  </r>
  <r>
    <x v="3737"/>
    <x v="10"/>
    <x v="1"/>
    <x v="40"/>
  </r>
  <r>
    <x v="3737"/>
    <x v="10"/>
    <x v="1"/>
    <x v="40"/>
  </r>
  <r>
    <x v="3738"/>
    <x v="10"/>
    <x v="1"/>
    <x v="40"/>
  </r>
  <r>
    <x v="3738"/>
    <x v="10"/>
    <x v="1"/>
    <x v="23"/>
  </r>
  <r>
    <x v="3738"/>
    <x v="10"/>
    <x v="1"/>
    <x v="40"/>
  </r>
  <r>
    <x v="3738"/>
    <x v="10"/>
    <x v="1"/>
    <x v="23"/>
  </r>
  <r>
    <x v="76"/>
    <x v="10"/>
    <x v="1"/>
    <x v="40"/>
  </r>
  <r>
    <x v="76"/>
    <x v="10"/>
    <x v="1"/>
    <x v="23"/>
  </r>
  <r>
    <x v="422"/>
    <x v="10"/>
    <x v="1"/>
    <x v="40"/>
  </r>
  <r>
    <x v="422"/>
    <x v="10"/>
    <x v="1"/>
    <x v="23"/>
  </r>
  <r>
    <x v="3739"/>
    <x v="10"/>
    <x v="1"/>
    <x v="40"/>
  </r>
  <r>
    <x v="3739"/>
    <x v="10"/>
    <x v="1"/>
    <x v="23"/>
  </r>
  <r>
    <x v="3740"/>
    <x v="10"/>
    <x v="1"/>
    <x v="90"/>
  </r>
  <r>
    <x v="3741"/>
    <x v="10"/>
    <x v="4"/>
    <x v="4"/>
  </r>
  <r>
    <x v="495"/>
    <x v="10"/>
    <x v="4"/>
    <x v="4"/>
  </r>
  <r>
    <x v="494"/>
    <x v="10"/>
    <x v="2"/>
    <x v="79"/>
  </r>
  <r>
    <x v="3742"/>
    <x v="10"/>
    <x v="2"/>
    <x v="79"/>
  </r>
  <r>
    <x v="3140"/>
    <x v="10"/>
    <x v="1"/>
    <x v="71"/>
  </r>
  <r>
    <x v="498"/>
    <x v="10"/>
    <x v="1"/>
    <x v="71"/>
  </r>
  <r>
    <x v="2816"/>
    <x v="10"/>
    <x v="2"/>
    <x v="72"/>
  </r>
  <r>
    <x v="2816"/>
    <x v="10"/>
    <x v="1"/>
    <x v="60"/>
  </r>
  <r>
    <x v="3743"/>
    <x v="10"/>
    <x v="2"/>
    <x v="72"/>
  </r>
  <r>
    <x v="3743"/>
    <x v="10"/>
    <x v="1"/>
    <x v="60"/>
  </r>
  <r>
    <x v="3744"/>
    <x v="10"/>
    <x v="2"/>
    <x v="79"/>
  </r>
  <r>
    <x v="498"/>
    <x v="10"/>
    <x v="1"/>
    <x v="71"/>
  </r>
  <r>
    <x v="2816"/>
    <x v="10"/>
    <x v="2"/>
    <x v="72"/>
  </r>
  <r>
    <x v="2816"/>
    <x v="10"/>
    <x v="1"/>
    <x v="60"/>
  </r>
  <r>
    <x v="498"/>
    <x v="10"/>
    <x v="1"/>
    <x v="60"/>
  </r>
  <r>
    <x v="498"/>
    <x v="10"/>
    <x v="2"/>
    <x v="79"/>
  </r>
  <r>
    <x v="2816"/>
    <x v="10"/>
    <x v="2"/>
    <x v="72"/>
  </r>
  <r>
    <x v="2816"/>
    <x v="10"/>
    <x v="1"/>
    <x v="60"/>
  </r>
  <r>
    <x v="498"/>
    <x v="10"/>
    <x v="1"/>
    <x v="71"/>
  </r>
  <r>
    <x v="498"/>
    <x v="10"/>
    <x v="2"/>
    <x v="79"/>
  </r>
  <r>
    <x v="3745"/>
    <x v="10"/>
    <x v="1"/>
    <x v="71"/>
  </r>
  <r>
    <x v="3745"/>
    <x v="10"/>
    <x v="2"/>
    <x v="79"/>
  </r>
  <r>
    <x v="498"/>
    <x v="10"/>
    <x v="2"/>
    <x v="79"/>
  </r>
  <r>
    <x v="498"/>
    <x v="10"/>
    <x v="2"/>
    <x v="79"/>
  </r>
  <r>
    <x v="2816"/>
    <x v="10"/>
    <x v="1"/>
    <x v="71"/>
  </r>
  <r>
    <x v="2816"/>
    <x v="10"/>
    <x v="2"/>
    <x v="79"/>
  </r>
  <r>
    <x v="2434"/>
    <x v="10"/>
    <x v="2"/>
    <x v="80"/>
  </r>
  <r>
    <x v="2434"/>
    <x v="10"/>
    <x v="2"/>
    <x v="80"/>
  </r>
  <r>
    <x v="742"/>
    <x v="10"/>
    <x v="2"/>
    <x v="80"/>
  </r>
  <r>
    <x v="3746"/>
    <x v="10"/>
    <x v="4"/>
    <x v="11"/>
  </r>
  <r>
    <x v="3021"/>
    <x v="10"/>
    <x v="4"/>
    <x v="4"/>
  </r>
  <r>
    <x v="1287"/>
    <x v="10"/>
    <x v="4"/>
    <x v="4"/>
  </r>
  <r>
    <x v="498"/>
    <x v="10"/>
    <x v="4"/>
    <x v="4"/>
  </r>
  <r>
    <x v="498"/>
    <x v="10"/>
    <x v="4"/>
    <x v="4"/>
  </r>
  <r>
    <x v="3747"/>
    <x v="10"/>
    <x v="4"/>
    <x v="4"/>
  </r>
  <r>
    <x v="3748"/>
    <x v="10"/>
    <x v="4"/>
    <x v="4"/>
  </r>
  <r>
    <x v="498"/>
    <x v="10"/>
    <x v="4"/>
    <x v="4"/>
  </r>
  <r>
    <x v="3749"/>
    <x v="10"/>
    <x v="4"/>
    <x v="11"/>
  </r>
  <r>
    <x v="2291"/>
    <x v="10"/>
    <x v="4"/>
    <x v="4"/>
  </r>
  <r>
    <x v="2291"/>
    <x v="10"/>
    <x v="4"/>
    <x v="4"/>
  </r>
  <r>
    <x v="3750"/>
    <x v="10"/>
    <x v="4"/>
    <x v="11"/>
  </r>
  <r>
    <x v="546"/>
    <x v="10"/>
    <x v="4"/>
    <x v="4"/>
  </r>
  <r>
    <x v="3751"/>
    <x v="10"/>
    <x v="4"/>
    <x v="11"/>
  </r>
  <r>
    <x v="3752"/>
    <x v="10"/>
    <x v="4"/>
    <x v="4"/>
  </r>
  <r>
    <x v="2614"/>
    <x v="10"/>
    <x v="1"/>
    <x v="45"/>
  </r>
  <r>
    <x v="2626"/>
    <x v="10"/>
    <x v="1"/>
    <x v="45"/>
  </r>
  <r>
    <x v="2623"/>
    <x v="10"/>
    <x v="1"/>
    <x v="45"/>
  </r>
  <r>
    <x v="3753"/>
    <x v="10"/>
    <x v="1"/>
    <x v="23"/>
  </r>
  <r>
    <x v="742"/>
    <x v="10"/>
    <x v="1"/>
    <x v="23"/>
  </r>
  <r>
    <x v="3141"/>
    <x v="10"/>
    <x v="1"/>
    <x v="23"/>
  </r>
  <r>
    <x v="498"/>
    <x v="10"/>
    <x v="1"/>
    <x v="23"/>
  </r>
  <r>
    <x v="498"/>
    <x v="10"/>
    <x v="1"/>
    <x v="23"/>
  </r>
  <r>
    <x v="494"/>
    <x v="10"/>
    <x v="1"/>
    <x v="23"/>
  </r>
  <r>
    <x v="498"/>
    <x v="10"/>
    <x v="1"/>
    <x v="23"/>
  </r>
  <r>
    <x v="498"/>
    <x v="10"/>
    <x v="1"/>
    <x v="23"/>
  </r>
  <r>
    <x v="498"/>
    <x v="10"/>
    <x v="1"/>
    <x v="23"/>
  </r>
  <r>
    <x v="498"/>
    <x v="10"/>
    <x v="1"/>
    <x v="23"/>
  </r>
  <r>
    <x v="498"/>
    <x v="10"/>
    <x v="1"/>
    <x v="23"/>
  </r>
  <r>
    <x v="498"/>
    <x v="10"/>
    <x v="1"/>
    <x v="23"/>
  </r>
  <r>
    <x v="498"/>
    <x v="10"/>
    <x v="1"/>
    <x v="23"/>
  </r>
  <r>
    <x v="498"/>
    <x v="10"/>
    <x v="1"/>
    <x v="23"/>
  </r>
  <r>
    <x v="498"/>
    <x v="10"/>
    <x v="1"/>
    <x v="23"/>
  </r>
  <r>
    <x v="498"/>
    <x v="10"/>
    <x v="1"/>
    <x v="23"/>
  </r>
  <r>
    <x v="399"/>
    <x v="10"/>
    <x v="1"/>
    <x v="23"/>
  </r>
  <r>
    <x v="498"/>
    <x v="10"/>
    <x v="1"/>
    <x v="23"/>
  </r>
  <r>
    <x v="498"/>
    <x v="10"/>
    <x v="1"/>
    <x v="23"/>
  </r>
  <r>
    <x v="498"/>
    <x v="10"/>
    <x v="1"/>
    <x v="23"/>
  </r>
  <r>
    <x v="2296"/>
    <x v="10"/>
    <x v="1"/>
    <x v="23"/>
  </r>
  <r>
    <x v="498"/>
    <x v="10"/>
    <x v="1"/>
    <x v="23"/>
  </r>
  <r>
    <x v="498"/>
    <x v="10"/>
    <x v="1"/>
    <x v="23"/>
  </r>
  <r>
    <x v="498"/>
    <x v="10"/>
    <x v="1"/>
    <x v="23"/>
  </r>
  <r>
    <x v="498"/>
    <x v="10"/>
    <x v="1"/>
    <x v="23"/>
  </r>
  <r>
    <x v="498"/>
    <x v="10"/>
    <x v="1"/>
    <x v="23"/>
  </r>
  <r>
    <x v="498"/>
    <x v="10"/>
    <x v="1"/>
    <x v="23"/>
  </r>
  <r>
    <x v="2626"/>
    <x v="10"/>
    <x v="1"/>
    <x v="23"/>
  </r>
  <r>
    <x v="498"/>
    <x v="10"/>
    <x v="1"/>
    <x v="40"/>
  </r>
  <r>
    <x v="498"/>
    <x v="10"/>
    <x v="1"/>
    <x v="23"/>
  </r>
  <r>
    <x v="498"/>
    <x v="10"/>
    <x v="1"/>
    <x v="40"/>
  </r>
  <r>
    <x v="498"/>
    <x v="10"/>
    <x v="1"/>
    <x v="23"/>
  </r>
  <r>
    <x v="498"/>
    <x v="10"/>
    <x v="1"/>
    <x v="40"/>
  </r>
  <r>
    <x v="3754"/>
    <x v="10"/>
    <x v="4"/>
    <x v="4"/>
  </r>
  <r>
    <x v="498"/>
    <x v="10"/>
    <x v="1"/>
    <x v="71"/>
  </r>
  <r>
    <x v="3755"/>
    <x v="10"/>
    <x v="1"/>
    <x v="91"/>
  </r>
  <r>
    <x v="3756"/>
    <x v="10"/>
    <x v="4"/>
    <x v="11"/>
  </r>
  <r>
    <x v="3757"/>
    <x v="10"/>
    <x v="2"/>
    <x v="34"/>
  </r>
  <r>
    <x v="3757"/>
    <x v="10"/>
    <x v="2"/>
    <x v="72"/>
  </r>
  <r>
    <x v="3757"/>
    <x v="10"/>
    <x v="1"/>
    <x v="71"/>
  </r>
  <r>
    <x v="3758"/>
    <x v="10"/>
    <x v="2"/>
    <x v="34"/>
  </r>
  <r>
    <x v="3758"/>
    <x v="10"/>
    <x v="2"/>
    <x v="72"/>
  </r>
  <r>
    <x v="3758"/>
    <x v="10"/>
    <x v="1"/>
    <x v="71"/>
  </r>
  <r>
    <x v="3759"/>
    <x v="10"/>
    <x v="2"/>
    <x v="34"/>
  </r>
  <r>
    <x v="3759"/>
    <x v="10"/>
    <x v="2"/>
    <x v="72"/>
  </r>
  <r>
    <x v="3759"/>
    <x v="10"/>
    <x v="1"/>
    <x v="71"/>
  </r>
  <r>
    <x v="3760"/>
    <x v="10"/>
    <x v="2"/>
    <x v="34"/>
  </r>
  <r>
    <x v="3760"/>
    <x v="10"/>
    <x v="2"/>
    <x v="72"/>
  </r>
  <r>
    <x v="3760"/>
    <x v="10"/>
    <x v="1"/>
    <x v="71"/>
  </r>
  <r>
    <x v="3761"/>
    <x v="10"/>
    <x v="2"/>
    <x v="34"/>
  </r>
  <r>
    <x v="3761"/>
    <x v="10"/>
    <x v="2"/>
    <x v="72"/>
  </r>
  <r>
    <x v="3761"/>
    <x v="10"/>
    <x v="1"/>
    <x v="71"/>
  </r>
  <r>
    <x v="1177"/>
    <x v="10"/>
    <x v="2"/>
    <x v="34"/>
  </r>
  <r>
    <x v="1177"/>
    <x v="10"/>
    <x v="2"/>
    <x v="72"/>
  </r>
  <r>
    <x v="1177"/>
    <x v="10"/>
    <x v="1"/>
    <x v="71"/>
  </r>
  <r>
    <x v="3762"/>
    <x v="10"/>
    <x v="2"/>
    <x v="34"/>
  </r>
  <r>
    <x v="3762"/>
    <x v="10"/>
    <x v="2"/>
    <x v="72"/>
  </r>
  <r>
    <x v="3762"/>
    <x v="10"/>
    <x v="1"/>
    <x v="71"/>
  </r>
  <r>
    <x v="3763"/>
    <x v="10"/>
    <x v="2"/>
    <x v="34"/>
  </r>
  <r>
    <x v="3763"/>
    <x v="10"/>
    <x v="2"/>
    <x v="72"/>
  </r>
  <r>
    <x v="3763"/>
    <x v="10"/>
    <x v="1"/>
    <x v="71"/>
  </r>
  <r>
    <x v="2352"/>
    <x v="10"/>
    <x v="2"/>
    <x v="34"/>
  </r>
  <r>
    <x v="2352"/>
    <x v="10"/>
    <x v="2"/>
    <x v="72"/>
  </r>
  <r>
    <x v="2352"/>
    <x v="10"/>
    <x v="1"/>
    <x v="71"/>
  </r>
  <r>
    <x v="3764"/>
    <x v="10"/>
    <x v="1"/>
    <x v="92"/>
  </r>
  <r>
    <x v="3764"/>
    <x v="10"/>
    <x v="2"/>
    <x v="72"/>
  </r>
  <r>
    <x v="3764"/>
    <x v="10"/>
    <x v="1"/>
    <x v="71"/>
  </r>
  <r>
    <x v="3765"/>
    <x v="10"/>
    <x v="1"/>
    <x v="40"/>
  </r>
  <r>
    <x v="3766"/>
    <x v="10"/>
    <x v="1"/>
    <x v="45"/>
  </r>
  <r>
    <x v="3767"/>
    <x v="10"/>
    <x v="4"/>
    <x v="4"/>
  </r>
  <r>
    <x v="3768"/>
    <x v="10"/>
    <x v="1"/>
    <x v="40"/>
  </r>
  <r>
    <x v="1280"/>
    <x v="10"/>
    <x v="4"/>
    <x v="4"/>
  </r>
  <r>
    <x v="1145"/>
    <x v="10"/>
    <x v="2"/>
    <x v="80"/>
  </r>
  <r>
    <x v="3769"/>
    <x v="10"/>
    <x v="2"/>
    <x v="80"/>
  </r>
  <r>
    <x v="46"/>
    <x v="10"/>
    <x v="2"/>
    <x v="80"/>
  </r>
  <r>
    <x v="3770"/>
    <x v="10"/>
    <x v="2"/>
    <x v="80"/>
  </r>
  <r>
    <x v="817"/>
    <x v="10"/>
    <x v="2"/>
    <x v="80"/>
  </r>
  <r>
    <x v="3771"/>
    <x v="10"/>
    <x v="2"/>
    <x v="80"/>
  </r>
  <r>
    <x v="3772"/>
    <x v="10"/>
    <x v="2"/>
    <x v="80"/>
  </r>
  <r>
    <x v="2458"/>
    <x v="10"/>
    <x v="2"/>
    <x v="80"/>
  </r>
  <r>
    <x v="147"/>
    <x v="10"/>
    <x v="2"/>
    <x v="80"/>
  </r>
  <r>
    <x v="3773"/>
    <x v="10"/>
    <x v="2"/>
    <x v="80"/>
  </r>
  <r>
    <x v="3774"/>
    <x v="10"/>
    <x v="5"/>
    <x v="0"/>
  </r>
  <r>
    <x v="3775"/>
    <x v="10"/>
    <x v="5"/>
    <x v="0"/>
  </r>
  <r>
    <x v="1628"/>
    <x v="10"/>
    <x v="9"/>
    <x v="40"/>
  </r>
  <r>
    <x v="3776"/>
    <x v="10"/>
    <x v="9"/>
    <x v="93"/>
  </r>
  <r>
    <x v="3326"/>
    <x v="10"/>
    <x v="1"/>
    <x v="94"/>
  </r>
  <r>
    <x v="3777"/>
    <x v="10"/>
    <x v="5"/>
    <x v="0"/>
  </r>
  <r>
    <x v="218"/>
    <x v="10"/>
    <x v="4"/>
    <x v="11"/>
  </r>
  <r>
    <x v="3778"/>
    <x v="10"/>
    <x v="2"/>
    <x v="72"/>
  </r>
  <r>
    <x v="3778"/>
    <x v="10"/>
    <x v="1"/>
    <x v="60"/>
  </r>
  <r>
    <x v="606"/>
    <x v="10"/>
    <x v="1"/>
    <x v="45"/>
  </r>
  <r>
    <x v="118"/>
    <x v="10"/>
    <x v="1"/>
    <x v="45"/>
  </r>
  <r>
    <x v="3779"/>
    <x v="10"/>
    <x v="5"/>
    <x v="0"/>
  </r>
  <r>
    <x v="3780"/>
    <x v="10"/>
    <x v="4"/>
    <x v="4"/>
  </r>
  <r>
    <x v="3781"/>
    <x v="10"/>
    <x v="4"/>
    <x v="4"/>
  </r>
  <r>
    <x v="2209"/>
    <x v="10"/>
    <x v="1"/>
    <x v="40"/>
  </r>
  <r>
    <x v="3782"/>
    <x v="10"/>
    <x v="7"/>
    <x v="0"/>
  </r>
  <r>
    <x v="976"/>
    <x v="10"/>
    <x v="1"/>
    <x v="45"/>
  </r>
  <r>
    <x v="3783"/>
    <x v="10"/>
    <x v="4"/>
    <x v="11"/>
  </r>
  <r>
    <x v="139"/>
    <x v="10"/>
    <x v="4"/>
    <x v="11"/>
  </r>
  <r>
    <x v="3784"/>
    <x v="10"/>
    <x v="5"/>
    <x v="0"/>
  </r>
  <r>
    <x v="3785"/>
    <x v="10"/>
    <x v="5"/>
    <x v="0"/>
  </r>
  <r>
    <x v="3786"/>
    <x v="10"/>
    <x v="1"/>
    <x v="90"/>
  </r>
  <r>
    <x v="3787"/>
    <x v="10"/>
    <x v="6"/>
    <x v="56"/>
  </r>
  <r>
    <x v="3788"/>
    <x v="10"/>
    <x v="4"/>
    <x v="4"/>
  </r>
  <r>
    <x v="3789"/>
    <x v="10"/>
    <x v="4"/>
    <x v="4"/>
  </r>
  <r>
    <x v="3790"/>
    <x v="10"/>
    <x v="4"/>
    <x v="4"/>
  </r>
  <r>
    <x v="3791"/>
    <x v="10"/>
    <x v="4"/>
    <x v="4"/>
  </r>
  <r>
    <x v="3792"/>
    <x v="10"/>
    <x v="4"/>
    <x v="4"/>
  </r>
  <r>
    <x v="3793"/>
    <x v="10"/>
    <x v="4"/>
    <x v="4"/>
  </r>
  <r>
    <x v="3790"/>
    <x v="10"/>
    <x v="4"/>
    <x v="4"/>
  </r>
  <r>
    <x v="3791"/>
    <x v="10"/>
    <x v="4"/>
    <x v="4"/>
  </r>
  <r>
    <x v="472"/>
    <x v="10"/>
    <x v="4"/>
    <x v="4"/>
  </r>
  <r>
    <x v="3794"/>
    <x v="10"/>
    <x v="1"/>
    <x v="24"/>
  </r>
  <r>
    <x v="3795"/>
    <x v="10"/>
    <x v="1"/>
    <x v="71"/>
  </r>
  <r>
    <x v="3796"/>
    <x v="10"/>
    <x v="1"/>
    <x v="71"/>
  </r>
  <r>
    <x v="3797"/>
    <x v="10"/>
    <x v="1"/>
    <x v="40"/>
  </r>
  <r>
    <x v="3798"/>
    <x v="10"/>
    <x v="1"/>
    <x v="40"/>
  </r>
  <r>
    <x v="563"/>
    <x v="10"/>
    <x v="1"/>
    <x v="40"/>
  </r>
  <r>
    <x v="3799"/>
    <x v="10"/>
    <x v="1"/>
    <x v="40"/>
  </r>
  <r>
    <x v="3800"/>
    <x v="10"/>
    <x v="1"/>
    <x v="71"/>
  </r>
  <r>
    <x v="595"/>
    <x v="10"/>
    <x v="1"/>
    <x v="40"/>
  </r>
  <r>
    <x v="3801"/>
    <x v="10"/>
    <x v="1"/>
    <x v="23"/>
  </r>
  <r>
    <x v="3801"/>
    <x v="10"/>
    <x v="1"/>
    <x v="24"/>
  </r>
  <r>
    <x v="3802"/>
    <x v="10"/>
    <x v="1"/>
    <x v="60"/>
  </r>
  <r>
    <x v="3803"/>
    <x v="10"/>
    <x v="1"/>
    <x v="23"/>
  </r>
  <r>
    <x v="3803"/>
    <x v="10"/>
    <x v="1"/>
    <x v="24"/>
  </r>
  <r>
    <x v="3804"/>
    <x v="10"/>
    <x v="1"/>
    <x v="23"/>
  </r>
  <r>
    <x v="3805"/>
    <x v="10"/>
    <x v="1"/>
    <x v="23"/>
  </r>
  <r>
    <x v="1771"/>
    <x v="10"/>
    <x v="1"/>
    <x v="23"/>
  </r>
  <r>
    <x v="3806"/>
    <x v="10"/>
    <x v="4"/>
    <x v="11"/>
  </r>
  <r>
    <x v="599"/>
    <x v="10"/>
    <x v="1"/>
    <x v="60"/>
  </r>
  <r>
    <x v="3807"/>
    <x v="10"/>
    <x v="1"/>
    <x v="60"/>
  </r>
  <r>
    <x v="3808"/>
    <x v="10"/>
    <x v="1"/>
    <x v="24"/>
  </r>
  <r>
    <x v="3809"/>
    <x v="10"/>
    <x v="1"/>
    <x v="24"/>
  </r>
  <r>
    <x v="3810"/>
    <x v="10"/>
    <x v="1"/>
    <x v="23"/>
  </r>
  <r>
    <x v="3811"/>
    <x v="10"/>
    <x v="1"/>
    <x v="71"/>
  </r>
  <r>
    <x v="3812"/>
    <x v="10"/>
    <x v="1"/>
    <x v="40"/>
  </r>
  <r>
    <x v="3812"/>
    <x v="10"/>
    <x v="1"/>
    <x v="66"/>
  </r>
  <r>
    <x v="3813"/>
    <x v="10"/>
    <x v="1"/>
    <x v="23"/>
  </r>
  <r>
    <x v="3814"/>
    <x v="10"/>
    <x v="1"/>
    <x v="24"/>
  </r>
  <r>
    <x v="1065"/>
    <x v="10"/>
    <x v="1"/>
    <x v="71"/>
  </r>
  <r>
    <x v="101"/>
    <x v="10"/>
    <x v="1"/>
    <x v="60"/>
  </r>
  <r>
    <x v="101"/>
    <x v="10"/>
    <x v="2"/>
    <x v="79"/>
  </r>
  <r>
    <x v="3815"/>
    <x v="11"/>
    <x v="1"/>
    <x v="40"/>
  </r>
  <r>
    <x v="3816"/>
    <x v="11"/>
    <x v="2"/>
    <x v="34"/>
  </r>
  <r>
    <x v="3817"/>
    <x v="11"/>
    <x v="1"/>
    <x v="24"/>
  </r>
  <r>
    <x v="3110"/>
    <x v="11"/>
    <x v="1"/>
    <x v="66"/>
  </r>
  <r>
    <x v="3818"/>
    <x v="11"/>
    <x v="1"/>
    <x v="95"/>
  </r>
  <r>
    <x v="2120"/>
    <x v="11"/>
    <x v="3"/>
    <x v="0"/>
  </r>
  <r>
    <x v="3819"/>
    <x v="11"/>
    <x v="0"/>
    <x v="0"/>
  </r>
  <r>
    <x v="3820"/>
    <x v="11"/>
    <x v="5"/>
    <x v="0"/>
  </r>
  <r>
    <x v="3821"/>
    <x v="11"/>
    <x v="1"/>
    <x v="71"/>
  </r>
  <r>
    <x v="3822"/>
    <x v="11"/>
    <x v="2"/>
    <x v="34"/>
  </r>
  <r>
    <x v="1838"/>
    <x v="11"/>
    <x v="2"/>
    <x v="62"/>
  </r>
  <r>
    <x v="3823"/>
    <x v="11"/>
    <x v="2"/>
    <x v="72"/>
  </r>
  <r>
    <x v="3824"/>
    <x v="11"/>
    <x v="1"/>
    <x v="60"/>
  </r>
  <r>
    <x v="3825"/>
    <x v="11"/>
    <x v="1"/>
    <x v="71"/>
  </r>
  <r>
    <x v="3826"/>
    <x v="11"/>
    <x v="1"/>
    <x v="43"/>
  </r>
  <r>
    <x v="3827"/>
    <x v="11"/>
    <x v="1"/>
    <x v="23"/>
  </r>
  <r>
    <x v="3828"/>
    <x v="11"/>
    <x v="2"/>
    <x v="72"/>
  </r>
  <r>
    <x v="3829"/>
    <x v="11"/>
    <x v="2"/>
    <x v="34"/>
  </r>
  <r>
    <x v="578"/>
    <x v="11"/>
    <x v="1"/>
    <x v="31"/>
  </r>
  <r>
    <x v="3830"/>
    <x v="11"/>
    <x v="1"/>
    <x v="31"/>
  </r>
  <r>
    <x v="3831"/>
    <x v="11"/>
    <x v="1"/>
    <x v="3"/>
  </r>
  <r>
    <x v="913"/>
    <x v="11"/>
    <x v="1"/>
    <x v="60"/>
  </r>
  <r>
    <x v="3832"/>
    <x v="11"/>
    <x v="2"/>
    <x v="63"/>
  </r>
  <r>
    <x v="3833"/>
    <x v="11"/>
    <x v="2"/>
    <x v="54"/>
  </r>
  <r>
    <x v="3834"/>
    <x v="11"/>
    <x v="1"/>
    <x v="60"/>
  </r>
  <r>
    <x v="1634"/>
    <x v="11"/>
    <x v="1"/>
    <x v="23"/>
  </r>
  <r>
    <x v="3835"/>
    <x v="11"/>
    <x v="1"/>
    <x v="71"/>
  </r>
  <r>
    <x v="848"/>
    <x v="11"/>
    <x v="2"/>
    <x v="79"/>
  </r>
  <r>
    <x v="442"/>
    <x v="11"/>
    <x v="1"/>
    <x v="55"/>
  </r>
  <r>
    <x v="3836"/>
    <x v="11"/>
    <x v="1"/>
    <x v="71"/>
  </r>
  <r>
    <x v="3837"/>
    <x v="11"/>
    <x v="1"/>
    <x v="71"/>
  </r>
  <r>
    <x v="109"/>
    <x v="11"/>
    <x v="1"/>
    <x v="23"/>
  </r>
  <r>
    <x v="167"/>
    <x v="11"/>
    <x v="1"/>
    <x v="23"/>
  </r>
  <r>
    <x v="186"/>
    <x v="11"/>
    <x v="1"/>
    <x v="23"/>
  </r>
  <r>
    <x v="1420"/>
    <x v="11"/>
    <x v="1"/>
    <x v="23"/>
  </r>
  <r>
    <x v="76"/>
    <x v="11"/>
    <x v="1"/>
    <x v="23"/>
  </r>
  <r>
    <x v="763"/>
    <x v="11"/>
    <x v="1"/>
    <x v="23"/>
  </r>
  <r>
    <x v="81"/>
    <x v="11"/>
    <x v="1"/>
    <x v="23"/>
  </r>
  <r>
    <x v="36"/>
    <x v="11"/>
    <x v="1"/>
    <x v="23"/>
  </r>
  <r>
    <x v="35"/>
    <x v="11"/>
    <x v="1"/>
    <x v="23"/>
  </r>
  <r>
    <x v="103"/>
    <x v="11"/>
    <x v="1"/>
    <x v="23"/>
  </r>
  <r>
    <x v="1822"/>
    <x v="11"/>
    <x v="1"/>
    <x v="23"/>
  </r>
  <r>
    <x v="81"/>
    <x v="11"/>
    <x v="1"/>
    <x v="23"/>
  </r>
  <r>
    <x v="103"/>
    <x v="11"/>
    <x v="1"/>
    <x v="23"/>
  </r>
  <r>
    <x v="2009"/>
    <x v="11"/>
    <x v="1"/>
    <x v="24"/>
  </r>
  <r>
    <x v="1065"/>
    <x v="11"/>
    <x v="1"/>
    <x v="23"/>
  </r>
  <r>
    <x v="76"/>
    <x v="11"/>
    <x v="1"/>
    <x v="23"/>
  </r>
  <r>
    <x v="3838"/>
    <x v="11"/>
    <x v="1"/>
    <x v="23"/>
  </r>
  <r>
    <x v="1943"/>
    <x v="11"/>
    <x v="1"/>
    <x v="23"/>
  </r>
  <r>
    <x v="500"/>
    <x v="11"/>
    <x v="1"/>
    <x v="24"/>
  </r>
  <r>
    <x v="3839"/>
    <x v="11"/>
    <x v="1"/>
    <x v="24"/>
  </r>
  <r>
    <x v="763"/>
    <x v="11"/>
    <x v="1"/>
    <x v="23"/>
  </r>
  <r>
    <x v="81"/>
    <x v="11"/>
    <x v="1"/>
    <x v="23"/>
  </r>
  <r>
    <x v="43"/>
    <x v="11"/>
    <x v="1"/>
    <x v="23"/>
  </r>
  <r>
    <x v="147"/>
    <x v="11"/>
    <x v="1"/>
    <x v="24"/>
  </r>
  <r>
    <x v="975"/>
    <x v="11"/>
    <x v="1"/>
    <x v="23"/>
  </r>
  <r>
    <x v="763"/>
    <x v="11"/>
    <x v="1"/>
    <x v="24"/>
  </r>
  <r>
    <x v="85"/>
    <x v="11"/>
    <x v="1"/>
    <x v="23"/>
  </r>
  <r>
    <x v="2372"/>
    <x v="11"/>
    <x v="1"/>
    <x v="23"/>
  </r>
  <r>
    <x v="276"/>
    <x v="11"/>
    <x v="6"/>
    <x v="56"/>
  </r>
  <r>
    <x v="276"/>
    <x v="11"/>
    <x v="1"/>
    <x v="23"/>
  </r>
  <r>
    <x v="1065"/>
    <x v="11"/>
    <x v="1"/>
    <x v="40"/>
  </r>
  <r>
    <x v="35"/>
    <x v="11"/>
    <x v="1"/>
    <x v="23"/>
  </r>
  <r>
    <x v="3840"/>
    <x v="11"/>
    <x v="1"/>
    <x v="23"/>
  </r>
  <r>
    <x v="76"/>
    <x v="11"/>
    <x v="1"/>
    <x v="40"/>
  </r>
  <r>
    <x v="147"/>
    <x v="11"/>
    <x v="1"/>
    <x v="23"/>
  </r>
  <r>
    <x v="276"/>
    <x v="11"/>
    <x v="4"/>
    <x v="4"/>
  </r>
  <r>
    <x v="422"/>
    <x v="11"/>
    <x v="1"/>
    <x v="23"/>
  </r>
  <r>
    <x v="3841"/>
    <x v="11"/>
    <x v="1"/>
    <x v="23"/>
  </r>
  <r>
    <x v="103"/>
    <x v="11"/>
    <x v="4"/>
    <x v="4"/>
  </r>
  <r>
    <x v="105"/>
    <x v="11"/>
    <x v="1"/>
    <x v="60"/>
  </r>
  <r>
    <x v="2113"/>
    <x v="11"/>
    <x v="4"/>
    <x v="4"/>
  </r>
  <r>
    <x v="99"/>
    <x v="11"/>
    <x v="1"/>
    <x v="60"/>
  </r>
  <r>
    <x v="1529"/>
    <x v="11"/>
    <x v="1"/>
    <x v="60"/>
  </r>
  <r>
    <x v="3842"/>
    <x v="11"/>
    <x v="1"/>
    <x v="60"/>
  </r>
  <r>
    <x v="1970"/>
    <x v="11"/>
    <x v="1"/>
    <x v="60"/>
  </r>
  <r>
    <x v="3843"/>
    <x v="11"/>
    <x v="1"/>
    <x v="71"/>
  </r>
  <r>
    <x v="3844"/>
    <x v="11"/>
    <x v="1"/>
    <x v="60"/>
  </r>
  <r>
    <x v="3845"/>
    <x v="11"/>
    <x v="1"/>
    <x v="71"/>
  </r>
  <r>
    <x v="35"/>
    <x v="11"/>
    <x v="1"/>
    <x v="55"/>
  </r>
  <r>
    <x v="3846"/>
    <x v="11"/>
    <x v="1"/>
    <x v="71"/>
  </r>
  <r>
    <x v="166"/>
    <x v="11"/>
    <x v="1"/>
    <x v="71"/>
  </r>
  <r>
    <x v="160"/>
    <x v="11"/>
    <x v="1"/>
    <x v="71"/>
  </r>
  <r>
    <x v="1642"/>
    <x v="11"/>
    <x v="1"/>
    <x v="71"/>
  </r>
  <r>
    <x v="24"/>
    <x v="11"/>
    <x v="1"/>
    <x v="71"/>
  </r>
  <r>
    <x v="3847"/>
    <x v="11"/>
    <x v="1"/>
    <x v="71"/>
  </r>
  <r>
    <x v="3848"/>
    <x v="11"/>
    <x v="1"/>
    <x v="60"/>
  </r>
  <r>
    <x v="1245"/>
    <x v="11"/>
    <x v="1"/>
    <x v="23"/>
  </r>
  <r>
    <x v="392"/>
    <x v="11"/>
    <x v="1"/>
    <x v="40"/>
  </r>
  <r>
    <x v="460"/>
    <x v="11"/>
    <x v="1"/>
    <x v="40"/>
  </r>
  <r>
    <x v="132"/>
    <x v="11"/>
    <x v="1"/>
    <x v="40"/>
  </r>
  <r>
    <x v="155"/>
    <x v="11"/>
    <x v="1"/>
    <x v="40"/>
  </r>
  <r>
    <x v="1641"/>
    <x v="11"/>
    <x v="4"/>
    <x v="4"/>
  </r>
  <r>
    <x v="81"/>
    <x v="11"/>
    <x v="2"/>
    <x v="79"/>
  </r>
  <r>
    <x v="81"/>
    <x v="11"/>
    <x v="1"/>
    <x v="60"/>
  </r>
  <r>
    <x v="81"/>
    <x v="11"/>
    <x v="1"/>
    <x v="71"/>
  </r>
  <r>
    <x v="115"/>
    <x v="11"/>
    <x v="1"/>
    <x v="71"/>
  </r>
  <r>
    <x v="3849"/>
    <x v="11"/>
    <x v="1"/>
    <x v="55"/>
  </r>
  <r>
    <x v="35"/>
    <x v="11"/>
    <x v="2"/>
    <x v="62"/>
  </r>
  <r>
    <x v="35"/>
    <x v="11"/>
    <x v="2"/>
    <x v="62"/>
  </r>
  <r>
    <x v="276"/>
    <x v="11"/>
    <x v="6"/>
    <x v="56"/>
  </r>
  <r>
    <x v="35"/>
    <x v="11"/>
    <x v="6"/>
    <x v="56"/>
  </r>
  <r>
    <x v="915"/>
    <x v="11"/>
    <x v="6"/>
    <x v="56"/>
  </r>
  <r>
    <x v="35"/>
    <x v="11"/>
    <x v="4"/>
    <x v="11"/>
  </r>
  <r>
    <x v="35"/>
    <x v="11"/>
    <x v="4"/>
    <x v="11"/>
  </r>
  <r>
    <x v="1664"/>
    <x v="11"/>
    <x v="4"/>
    <x v="11"/>
  </r>
  <r>
    <x v="168"/>
    <x v="11"/>
    <x v="4"/>
    <x v="11"/>
  </r>
  <r>
    <x v="551"/>
    <x v="11"/>
    <x v="4"/>
    <x v="11"/>
  </r>
  <r>
    <x v="3850"/>
    <x v="11"/>
    <x v="4"/>
    <x v="11"/>
  </r>
  <r>
    <x v="99"/>
    <x v="11"/>
    <x v="4"/>
    <x v="4"/>
  </r>
  <r>
    <x v="1812"/>
    <x v="11"/>
    <x v="1"/>
    <x v="23"/>
  </r>
  <r>
    <x v="3851"/>
    <x v="11"/>
    <x v="1"/>
    <x v="1"/>
  </r>
  <r>
    <x v="195"/>
    <x v="11"/>
    <x v="1"/>
    <x v="71"/>
  </r>
  <r>
    <x v="552"/>
    <x v="11"/>
    <x v="2"/>
    <x v="79"/>
  </r>
  <r>
    <x v="439"/>
    <x v="11"/>
    <x v="1"/>
    <x v="60"/>
  </r>
  <r>
    <x v="52"/>
    <x v="11"/>
    <x v="2"/>
    <x v="72"/>
  </r>
  <r>
    <x v="3852"/>
    <x v="11"/>
    <x v="1"/>
    <x v="23"/>
  </r>
  <r>
    <x v="99"/>
    <x v="11"/>
    <x v="4"/>
    <x v="4"/>
  </r>
  <r>
    <x v="3853"/>
    <x v="11"/>
    <x v="1"/>
    <x v="23"/>
  </r>
  <r>
    <x v="3854"/>
    <x v="11"/>
    <x v="1"/>
    <x v="23"/>
  </r>
  <r>
    <x v="1642"/>
    <x v="11"/>
    <x v="2"/>
    <x v="79"/>
  </r>
  <r>
    <x v="3855"/>
    <x v="11"/>
    <x v="1"/>
    <x v="71"/>
  </r>
  <r>
    <x v="3856"/>
    <x v="11"/>
    <x v="1"/>
    <x v="71"/>
  </r>
  <r>
    <x v="76"/>
    <x v="11"/>
    <x v="4"/>
    <x v="4"/>
  </r>
  <r>
    <x v="1642"/>
    <x v="11"/>
    <x v="4"/>
    <x v="4"/>
  </r>
  <r>
    <x v="1828"/>
    <x v="11"/>
    <x v="4"/>
    <x v="4"/>
  </r>
  <r>
    <x v="422"/>
    <x v="11"/>
    <x v="1"/>
    <x v="71"/>
  </r>
  <r>
    <x v="160"/>
    <x v="11"/>
    <x v="1"/>
    <x v="71"/>
  </r>
  <r>
    <x v="76"/>
    <x v="11"/>
    <x v="2"/>
    <x v="80"/>
  </r>
  <r>
    <x v="3857"/>
    <x v="11"/>
    <x v="1"/>
    <x v="71"/>
  </r>
  <r>
    <x v="254"/>
    <x v="11"/>
    <x v="4"/>
    <x v="4"/>
  </r>
  <r>
    <x v="159"/>
    <x v="11"/>
    <x v="2"/>
    <x v="79"/>
  </r>
  <r>
    <x v="40"/>
    <x v="11"/>
    <x v="2"/>
    <x v="62"/>
  </r>
  <r>
    <x v="195"/>
    <x v="11"/>
    <x v="2"/>
    <x v="79"/>
  </r>
  <r>
    <x v="3858"/>
    <x v="11"/>
    <x v="1"/>
    <x v="71"/>
  </r>
  <r>
    <x v="102"/>
    <x v="11"/>
    <x v="1"/>
    <x v="60"/>
  </r>
  <r>
    <x v="147"/>
    <x v="11"/>
    <x v="4"/>
    <x v="4"/>
  </r>
  <r>
    <x v="18"/>
    <x v="11"/>
    <x v="4"/>
    <x v="11"/>
  </r>
  <r>
    <x v="904"/>
    <x v="11"/>
    <x v="4"/>
    <x v="11"/>
  </r>
  <r>
    <x v="578"/>
    <x v="11"/>
    <x v="4"/>
    <x v="11"/>
  </r>
  <r>
    <x v="1416"/>
    <x v="11"/>
    <x v="4"/>
    <x v="11"/>
  </r>
  <r>
    <x v="904"/>
    <x v="11"/>
    <x v="4"/>
    <x v="11"/>
  </r>
  <r>
    <x v="276"/>
    <x v="11"/>
    <x v="4"/>
    <x v="11"/>
  </r>
  <r>
    <x v="192"/>
    <x v="11"/>
    <x v="4"/>
    <x v="11"/>
  </r>
  <r>
    <x v="192"/>
    <x v="11"/>
    <x v="4"/>
    <x v="11"/>
  </r>
  <r>
    <x v="192"/>
    <x v="11"/>
    <x v="4"/>
    <x v="11"/>
  </r>
  <r>
    <x v="276"/>
    <x v="11"/>
    <x v="4"/>
    <x v="11"/>
  </r>
  <r>
    <x v="166"/>
    <x v="11"/>
    <x v="4"/>
    <x v="4"/>
  </r>
  <r>
    <x v="3859"/>
    <x v="11"/>
    <x v="2"/>
    <x v="79"/>
  </r>
  <r>
    <x v="3860"/>
    <x v="11"/>
    <x v="1"/>
    <x v="23"/>
  </r>
  <r>
    <x v="3861"/>
    <x v="11"/>
    <x v="2"/>
    <x v="79"/>
  </r>
  <r>
    <x v="3862"/>
    <x v="11"/>
    <x v="1"/>
    <x v="23"/>
  </r>
  <r>
    <x v="3863"/>
    <x v="11"/>
    <x v="4"/>
    <x v="4"/>
  </r>
  <r>
    <x v="75"/>
    <x v="11"/>
    <x v="4"/>
    <x v="4"/>
  </r>
  <r>
    <x v="3574"/>
    <x v="11"/>
    <x v="1"/>
    <x v="45"/>
  </r>
  <r>
    <x v="3864"/>
    <x v="11"/>
    <x v="1"/>
    <x v="83"/>
  </r>
  <r>
    <x v="2172"/>
    <x v="11"/>
    <x v="1"/>
    <x v="84"/>
  </r>
  <r>
    <x v="2172"/>
    <x v="11"/>
    <x v="1"/>
    <x v="83"/>
  </r>
  <r>
    <x v="3865"/>
    <x v="11"/>
    <x v="1"/>
    <x v="23"/>
  </r>
  <r>
    <x v="3865"/>
    <x v="11"/>
    <x v="1"/>
    <x v="40"/>
  </r>
  <r>
    <x v="345"/>
    <x v="11"/>
    <x v="1"/>
    <x v="23"/>
  </r>
  <r>
    <x v="685"/>
    <x v="11"/>
    <x v="4"/>
    <x v="4"/>
  </r>
  <r>
    <x v="3866"/>
    <x v="11"/>
    <x v="1"/>
    <x v="66"/>
  </r>
  <r>
    <x v="3867"/>
    <x v="11"/>
    <x v="1"/>
    <x v="66"/>
  </r>
  <r>
    <x v="3867"/>
    <x v="11"/>
    <x v="1"/>
    <x v="24"/>
  </r>
  <r>
    <x v="3867"/>
    <x v="11"/>
    <x v="1"/>
    <x v="40"/>
  </r>
  <r>
    <x v="3868"/>
    <x v="11"/>
    <x v="1"/>
    <x v="92"/>
  </r>
  <r>
    <x v="3869"/>
    <x v="11"/>
    <x v="1"/>
    <x v="92"/>
  </r>
  <r>
    <x v="3870"/>
    <x v="11"/>
    <x v="1"/>
    <x v="23"/>
  </r>
  <r>
    <x v="3871"/>
    <x v="11"/>
    <x v="4"/>
    <x v="11"/>
  </r>
  <r>
    <x v="656"/>
    <x v="11"/>
    <x v="1"/>
    <x v="23"/>
  </r>
  <r>
    <x v="656"/>
    <x v="11"/>
    <x v="1"/>
    <x v="24"/>
  </r>
  <r>
    <x v="656"/>
    <x v="11"/>
    <x v="1"/>
    <x v="40"/>
  </r>
  <r>
    <x v="3872"/>
    <x v="11"/>
    <x v="1"/>
    <x v="66"/>
  </r>
  <r>
    <x v="3873"/>
    <x v="11"/>
    <x v="1"/>
    <x v="40"/>
  </r>
  <r>
    <x v="3874"/>
    <x v="11"/>
    <x v="1"/>
    <x v="66"/>
  </r>
  <r>
    <x v="3875"/>
    <x v="11"/>
    <x v="1"/>
    <x v="40"/>
  </r>
  <r>
    <x v="3876"/>
    <x v="11"/>
    <x v="1"/>
    <x v="90"/>
  </r>
  <r>
    <x v="3877"/>
    <x v="11"/>
    <x v="4"/>
    <x v="4"/>
  </r>
  <r>
    <x v="3878"/>
    <x v="11"/>
    <x v="4"/>
    <x v="4"/>
  </r>
  <r>
    <x v="1027"/>
    <x v="11"/>
    <x v="1"/>
    <x v="23"/>
  </r>
  <r>
    <x v="1027"/>
    <x v="11"/>
    <x v="1"/>
    <x v="24"/>
  </r>
  <r>
    <x v="1265"/>
    <x v="11"/>
    <x v="4"/>
    <x v="11"/>
  </r>
  <r>
    <x v="448"/>
    <x v="11"/>
    <x v="2"/>
    <x v="80"/>
  </r>
  <r>
    <x v="3879"/>
    <x v="11"/>
    <x v="2"/>
    <x v="80"/>
  </r>
  <r>
    <x v="3880"/>
    <x v="11"/>
    <x v="2"/>
    <x v="80"/>
  </r>
  <r>
    <x v="3881"/>
    <x v="11"/>
    <x v="2"/>
    <x v="80"/>
  </r>
  <r>
    <x v="726"/>
    <x v="11"/>
    <x v="2"/>
    <x v="80"/>
  </r>
  <r>
    <x v="3882"/>
    <x v="11"/>
    <x v="2"/>
    <x v="80"/>
  </r>
  <r>
    <x v="76"/>
    <x v="11"/>
    <x v="2"/>
    <x v="80"/>
  </r>
  <r>
    <x v="3508"/>
    <x v="11"/>
    <x v="2"/>
    <x v="80"/>
  </r>
  <r>
    <x v="3883"/>
    <x v="11"/>
    <x v="2"/>
    <x v="80"/>
  </r>
  <r>
    <x v="1526"/>
    <x v="11"/>
    <x v="2"/>
    <x v="80"/>
  </r>
  <r>
    <x v="3884"/>
    <x v="11"/>
    <x v="1"/>
    <x v="40"/>
  </r>
  <r>
    <x v="3885"/>
    <x v="11"/>
    <x v="1"/>
    <x v="40"/>
  </r>
  <r>
    <x v="3886"/>
    <x v="11"/>
    <x v="1"/>
    <x v="40"/>
  </r>
  <r>
    <x v="3887"/>
    <x v="11"/>
    <x v="4"/>
    <x v="4"/>
  </r>
  <r>
    <x v="431"/>
    <x v="11"/>
    <x v="2"/>
    <x v="79"/>
  </r>
  <r>
    <x v="1167"/>
    <x v="11"/>
    <x v="2"/>
    <x v="79"/>
  </r>
  <r>
    <x v="3888"/>
    <x v="11"/>
    <x v="1"/>
    <x v="23"/>
  </r>
  <r>
    <x v="3889"/>
    <x v="11"/>
    <x v="1"/>
    <x v="24"/>
  </r>
  <r>
    <x v="3890"/>
    <x v="11"/>
    <x v="4"/>
    <x v="4"/>
  </r>
  <r>
    <x v="3081"/>
    <x v="11"/>
    <x v="1"/>
    <x v="40"/>
  </r>
  <r>
    <x v="3891"/>
    <x v="11"/>
    <x v="1"/>
    <x v="23"/>
  </r>
  <r>
    <x v="3891"/>
    <x v="11"/>
    <x v="1"/>
    <x v="24"/>
  </r>
  <r>
    <x v="3892"/>
    <x v="11"/>
    <x v="1"/>
    <x v="40"/>
  </r>
  <r>
    <x v="3891"/>
    <x v="11"/>
    <x v="1"/>
    <x v="23"/>
  </r>
  <r>
    <x v="3891"/>
    <x v="11"/>
    <x v="1"/>
    <x v="24"/>
  </r>
  <r>
    <x v="3893"/>
    <x v="11"/>
    <x v="1"/>
    <x v="84"/>
  </r>
  <r>
    <x v="3894"/>
    <x v="11"/>
    <x v="1"/>
    <x v="83"/>
  </r>
  <r>
    <x v="3895"/>
    <x v="11"/>
    <x v="1"/>
    <x v="23"/>
  </r>
  <r>
    <x v="3895"/>
    <x v="11"/>
    <x v="1"/>
    <x v="23"/>
  </r>
  <r>
    <x v="3896"/>
    <x v="11"/>
    <x v="1"/>
    <x v="24"/>
  </r>
  <r>
    <x v="3897"/>
    <x v="11"/>
    <x v="1"/>
    <x v="83"/>
  </r>
  <r>
    <x v="3898"/>
    <x v="11"/>
    <x v="1"/>
    <x v="60"/>
  </r>
  <r>
    <x v="3899"/>
    <x v="11"/>
    <x v="2"/>
    <x v="79"/>
  </r>
  <r>
    <x v="3900"/>
    <x v="11"/>
    <x v="2"/>
    <x v="79"/>
  </r>
  <r>
    <x v="3901"/>
    <x v="11"/>
    <x v="2"/>
    <x v="79"/>
  </r>
  <r>
    <x v="3902"/>
    <x v="11"/>
    <x v="1"/>
    <x v="45"/>
  </r>
  <r>
    <x v="460"/>
    <x v="11"/>
    <x v="4"/>
    <x v="4"/>
  </r>
  <r>
    <x v="3903"/>
    <x v="11"/>
    <x v="1"/>
    <x v="40"/>
  </r>
  <r>
    <x v="1024"/>
    <x v="11"/>
    <x v="1"/>
    <x v="40"/>
  </r>
  <r>
    <x v="3904"/>
    <x v="11"/>
    <x v="3"/>
    <x v="0"/>
  </r>
  <r>
    <x v="3905"/>
    <x v="11"/>
    <x v="1"/>
    <x v="40"/>
  </r>
  <r>
    <x v="3906"/>
    <x v="11"/>
    <x v="1"/>
    <x v="71"/>
  </r>
  <r>
    <x v="3907"/>
    <x v="11"/>
    <x v="4"/>
    <x v="4"/>
  </r>
  <r>
    <x v="3908"/>
    <x v="11"/>
    <x v="1"/>
    <x v="23"/>
  </r>
  <r>
    <x v="3908"/>
    <x v="11"/>
    <x v="1"/>
    <x v="23"/>
  </r>
  <r>
    <x v="3909"/>
    <x v="11"/>
    <x v="1"/>
    <x v="23"/>
  </r>
  <r>
    <x v="3910"/>
    <x v="11"/>
    <x v="4"/>
    <x v="11"/>
  </r>
  <r>
    <x v="720"/>
    <x v="11"/>
    <x v="1"/>
    <x v="71"/>
  </r>
  <r>
    <x v="3911"/>
    <x v="11"/>
    <x v="1"/>
    <x v="40"/>
  </r>
  <r>
    <x v="3912"/>
    <x v="11"/>
    <x v="1"/>
    <x v="40"/>
  </r>
  <r>
    <x v="3913"/>
    <x v="11"/>
    <x v="1"/>
    <x v="40"/>
  </r>
  <r>
    <x v="3914"/>
    <x v="11"/>
    <x v="1"/>
    <x v="40"/>
  </r>
  <r>
    <x v="3915"/>
    <x v="11"/>
    <x v="1"/>
    <x v="40"/>
  </r>
  <r>
    <x v="3916"/>
    <x v="11"/>
    <x v="9"/>
    <x v="0"/>
  </r>
  <r>
    <x v="3917"/>
    <x v="11"/>
    <x v="5"/>
    <x v="0"/>
  </r>
  <r>
    <x v="3918"/>
    <x v="11"/>
    <x v="5"/>
    <x v="0"/>
  </r>
  <r>
    <x v="3919"/>
    <x v="11"/>
    <x v="4"/>
    <x v="4"/>
  </r>
  <r>
    <x v="3910"/>
    <x v="11"/>
    <x v="1"/>
    <x v="71"/>
  </r>
  <r>
    <x v="166"/>
    <x v="11"/>
    <x v="4"/>
    <x v="11"/>
  </r>
  <r>
    <x v="160"/>
    <x v="11"/>
    <x v="4"/>
    <x v="11"/>
  </r>
  <r>
    <x v="155"/>
    <x v="11"/>
    <x v="4"/>
    <x v="11"/>
  </r>
  <r>
    <x v="3920"/>
    <x v="11"/>
    <x v="4"/>
    <x v="11"/>
  </r>
  <r>
    <x v="1410"/>
    <x v="11"/>
    <x v="4"/>
    <x v="11"/>
  </r>
  <r>
    <x v="3921"/>
    <x v="11"/>
    <x v="4"/>
    <x v="11"/>
  </r>
  <r>
    <x v="3922"/>
    <x v="11"/>
    <x v="1"/>
    <x v="94"/>
  </r>
  <r>
    <x v="3923"/>
    <x v="11"/>
    <x v="5"/>
    <x v="0"/>
  </r>
  <r>
    <x v="3924"/>
    <x v="11"/>
    <x v="1"/>
    <x v="68"/>
  </r>
  <r>
    <x v="3457"/>
    <x v="11"/>
    <x v="16"/>
    <x v="96"/>
  </r>
  <r>
    <x v="3925"/>
    <x v="11"/>
    <x v="1"/>
    <x v="40"/>
  </r>
  <r>
    <x v="3926"/>
    <x v="11"/>
    <x v="2"/>
    <x v="79"/>
  </r>
  <r>
    <x v="852"/>
    <x v="11"/>
    <x v="2"/>
    <x v="72"/>
  </r>
  <r>
    <x v="2865"/>
    <x v="11"/>
    <x v="9"/>
    <x v="40"/>
  </r>
  <r>
    <x v="3927"/>
    <x v="11"/>
    <x v="3"/>
    <x v="0"/>
  </r>
  <r>
    <x v="3928"/>
    <x v="11"/>
    <x v="1"/>
    <x v="66"/>
  </r>
  <r>
    <x v="3929"/>
    <x v="11"/>
    <x v="9"/>
    <x v="66"/>
  </r>
  <r>
    <x v="3930"/>
    <x v="11"/>
    <x v="5"/>
    <x v="0"/>
  </r>
  <r>
    <x v="3931"/>
    <x v="11"/>
    <x v="3"/>
    <x v="0"/>
  </r>
  <r>
    <x v="2865"/>
    <x v="11"/>
    <x v="9"/>
    <x v="40"/>
  </r>
  <r>
    <x v="3932"/>
    <x v="11"/>
    <x v="1"/>
    <x v="92"/>
  </r>
  <r>
    <x v="928"/>
    <x v="11"/>
    <x v="9"/>
    <x v="40"/>
  </r>
  <r>
    <x v="3933"/>
    <x v="11"/>
    <x v="1"/>
    <x v="71"/>
  </r>
  <r>
    <x v="3934"/>
    <x v="11"/>
    <x v="5"/>
    <x v="0"/>
  </r>
  <r>
    <x v="3935"/>
    <x v="11"/>
    <x v="5"/>
    <x v="0"/>
  </r>
  <r>
    <x v="83"/>
    <x v="11"/>
    <x v="4"/>
    <x v="4"/>
  </r>
  <r>
    <x v="75"/>
    <x v="11"/>
    <x v="1"/>
    <x v="23"/>
  </r>
  <r>
    <x v="35"/>
    <x v="11"/>
    <x v="1"/>
    <x v="23"/>
  </r>
  <r>
    <x v="76"/>
    <x v="11"/>
    <x v="1"/>
    <x v="23"/>
  </r>
  <r>
    <x v="42"/>
    <x v="11"/>
    <x v="1"/>
    <x v="40"/>
  </r>
  <r>
    <x v="35"/>
    <x v="11"/>
    <x v="1"/>
    <x v="40"/>
  </r>
  <r>
    <x v="253"/>
    <x v="11"/>
    <x v="1"/>
    <x v="23"/>
  </r>
  <r>
    <x v="3936"/>
    <x v="11"/>
    <x v="1"/>
    <x v="23"/>
  </r>
  <r>
    <x v="3937"/>
    <x v="11"/>
    <x v="1"/>
    <x v="23"/>
  </r>
  <r>
    <x v="76"/>
    <x v="11"/>
    <x v="1"/>
    <x v="23"/>
  </r>
  <r>
    <x v="3938"/>
    <x v="11"/>
    <x v="1"/>
    <x v="23"/>
  </r>
  <r>
    <x v="663"/>
    <x v="11"/>
    <x v="1"/>
    <x v="23"/>
  </r>
  <r>
    <x v="132"/>
    <x v="11"/>
    <x v="1"/>
    <x v="23"/>
  </r>
  <r>
    <x v="42"/>
    <x v="11"/>
    <x v="1"/>
    <x v="23"/>
  </r>
  <r>
    <x v="447"/>
    <x v="11"/>
    <x v="1"/>
    <x v="23"/>
  </r>
  <r>
    <x v="460"/>
    <x v="11"/>
    <x v="1"/>
    <x v="40"/>
  </r>
  <r>
    <x v="35"/>
    <x v="11"/>
    <x v="1"/>
    <x v="40"/>
  </r>
  <r>
    <x v="705"/>
    <x v="11"/>
    <x v="1"/>
    <x v="40"/>
  </r>
  <r>
    <x v="132"/>
    <x v="11"/>
    <x v="1"/>
    <x v="71"/>
  </r>
  <r>
    <x v="18"/>
    <x v="11"/>
    <x v="1"/>
    <x v="90"/>
  </r>
  <r>
    <x v="163"/>
    <x v="11"/>
    <x v="1"/>
    <x v="90"/>
  </r>
  <r>
    <x v="3939"/>
    <x v="11"/>
    <x v="2"/>
    <x v="79"/>
  </r>
  <r>
    <x v="3940"/>
    <x v="11"/>
    <x v="1"/>
    <x v="90"/>
  </r>
  <r>
    <x v="180"/>
    <x v="11"/>
    <x v="4"/>
    <x v="11"/>
  </r>
  <r>
    <x v="2741"/>
    <x v="11"/>
    <x v="1"/>
    <x v="71"/>
  </r>
  <r>
    <x v="552"/>
    <x v="11"/>
    <x v="1"/>
    <x v="71"/>
  </r>
  <r>
    <x v="3941"/>
    <x v="11"/>
    <x v="1"/>
    <x v="71"/>
  </r>
  <r>
    <x v="3942"/>
    <x v="11"/>
    <x v="1"/>
    <x v="71"/>
  </r>
  <r>
    <x v="186"/>
    <x v="11"/>
    <x v="1"/>
    <x v="90"/>
  </r>
  <r>
    <x v="3943"/>
    <x v="11"/>
    <x v="1"/>
    <x v="90"/>
  </r>
  <r>
    <x v="3944"/>
    <x v="11"/>
    <x v="2"/>
    <x v="79"/>
  </r>
  <r>
    <x v="3945"/>
    <x v="11"/>
    <x v="2"/>
    <x v="79"/>
  </r>
  <r>
    <x v="1642"/>
    <x v="11"/>
    <x v="4"/>
    <x v="4"/>
  </r>
  <r>
    <x v="3946"/>
    <x v="11"/>
    <x v="1"/>
    <x v="23"/>
  </r>
  <r>
    <x v="76"/>
    <x v="11"/>
    <x v="1"/>
    <x v="23"/>
  </r>
  <r>
    <x v="103"/>
    <x v="11"/>
    <x v="1"/>
    <x v="23"/>
  </r>
  <r>
    <x v="3947"/>
    <x v="11"/>
    <x v="1"/>
    <x v="23"/>
  </r>
  <r>
    <x v="3948"/>
    <x v="11"/>
    <x v="1"/>
    <x v="23"/>
  </r>
  <r>
    <x v="3949"/>
    <x v="11"/>
    <x v="1"/>
    <x v="40"/>
  </r>
  <r>
    <x v="1664"/>
    <x v="11"/>
    <x v="1"/>
    <x v="71"/>
  </r>
  <r>
    <x v="186"/>
    <x v="11"/>
    <x v="1"/>
    <x v="23"/>
  </r>
  <r>
    <x v="160"/>
    <x v="11"/>
    <x v="4"/>
    <x v="4"/>
  </r>
  <r>
    <x v="160"/>
    <x v="11"/>
    <x v="1"/>
    <x v="83"/>
  </r>
  <r>
    <x v="806"/>
    <x v="11"/>
    <x v="2"/>
    <x v="79"/>
  </r>
  <r>
    <x v="987"/>
    <x v="11"/>
    <x v="1"/>
    <x v="90"/>
  </r>
  <r>
    <x v="3950"/>
    <x v="11"/>
    <x v="1"/>
    <x v="40"/>
  </r>
  <r>
    <x v="3951"/>
    <x v="11"/>
    <x v="1"/>
    <x v="40"/>
  </r>
  <r>
    <x v="369"/>
    <x v="11"/>
    <x v="1"/>
    <x v="90"/>
  </r>
  <r>
    <x v="11"/>
    <x v="11"/>
    <x v="2"/>
    <x v="79"/>
  </r>
  <r>
    <x v="99"/>
    <x v="11"/>
    <x v="4"/>
    <x v="4"/>
  </r>
  <r>
    <x v="3952"/>
    <x v="11"/>
    <x v="1"/>
    <x v="71"/>
  </r>
  <r>
    <x v="132"/>
    <x v="11"/>
    <x v="1"/>
    <x v="83"/>
  </r>
  <r>
    <x v="3953"/>
    <x v="11"/>
    <x v="1"/>
    <x v="71"/>
  </r>
  <r>
    <x v="3954"/>
    <x v="11"/>
    <x v="1"/>
    <x v="71"/>
  </r>
  <r>
    <x v="2376"/>
    <x v="11"/>
    <x v="2"/>
    <x v="79"/>
  </r>
  <r>
    <x v="1338"/>
    <x v="11"/>
    <x v="1"/>
    <x v="23"/>
  </r>
  <r>
    <x v="160"/>
    <x v="11"/>
    <x v="1"/>
    <x v="24"/>
  </r>
  <r>
    <x v="344"/>
    <x v="11"/>
    <x v="1"/>
    <x v="71"/>
  </r>
  <r>
    <x v="43"/>
    <x v="11"/>
    <x v="1"/>
    <x v="90"/>
  </r>
  <r>
    <x v="99"/>
    <x v="11"/>
    <x v="4"/>
    <x v="4"/>
  </r>
  <r>
    <x v="160"/>
    <x v="11"/>
    <x v="1"/>
    <x v="23"/>
  </r>
  <r>
    <x v="103"/>
    <x v="11"/>
    <x v="1"/>
    <x v="60"/>
  </r>
  <r>
    <x v="3955"/>
    <x v="11"/>
    <x v="1"/>
    <x v="23"/>
  </r>
  <r>
    <x v="3956"/>
    <x v="11"/>
    <x v="1"/>
    <x v="23"/>
  </r>
  <r>
    <x v="3957"/>
    <x v="11"/>
    <x v="2"/>
    <x v="79"/>
  </r>
  <r>
    <x v="3958"/>
    <x v="11"/>
    <x v="2"/>
    <x v="79"/>
  </r>
  <r>
    <x v="3959"/>
    <x v="11"/>
    <x v="2"/>
    <x v="79"/>
  </r>
  <r>
    <x v="163"/>
    <x v="11"/>
    <x v="2"/>
    <x v="79"/>
  </r>
  <r>
    <x v="3960"/>
    <x v="11"/>
    <x v="2"/>
    <x v="79"/>
  </r>
  <r>
    <x v="2824"/>
    <x v="11"/>
    <x v="1"/>
    <x v="60"/>
  </r>
  <r>
    <x v="1642"/>
    <x v="11"/>
    <x v="1"/>
    <x v="71"/>
  </r>
  <r>
    <x v="1642"/>
    <x v="11"/>
    <x v="2"/>
    <x v="79"/>
  </r>
  <r>
    <x v="115"/>
    <x v="11"/>
    <x v="1"/>
    <x v="60"/>
  </r>
  <r>
    <x v="81"/>
    <x v="11"/>
    <x v="2"/>
    <x v="79"/>
  </r>
  <r>
    <x v="3961"/>
    <x v="11"/>
    <x v="1"/>
    <x v="71"/>
  </r>
  <r>
    <x v="674"/>
    <x v="11"/>
    <x v="1"/>
    <x v="60"/>
  </r>
  <r>
    <x v="169"/>
    <x v="11"/>
    <x v="1"/>
    <x v="71"/>
  </r>
  <r>
    <x v="3962"/>
    <x v="11"/>
    <x v="1"/>
    <x v="60"/>
  </r>
  <r>
    <x v="1070"/>
    <x v="11"/>
    <x v="1"/>
    <x v="60"/>
  </r>
  <r>
    <x v="3963"/>
    <x v="11"/>
    <x v="2"/>
    <x v="79"/>
  </r>
  <r>
    <x v="76"/>
    <x v="11"/>
    <x v="4"/>
    <x v="4"/>
  </r>
  <r>
    <x v="1065"/>
    <x v="11"/>
    <x v="1"/>
    <x v="71"/>
  </r>
  <r>
    <x v="160"/>
    <x v="11"/>
    <x v="2"/>
    <x v="79"/>
  </r>
  <r>
    <x v="160"/>
    <x v="11"/>
    <x v="1"/>
    <x v="71"/>
  </r>
  <r>
    <x v="160"/>
    <x v="11"/>
    <x v="4"/>
    <x v="4"/>
  </r>
  <r>
    <x v="101"/>
    <x v="11"/>
    <x v="1"/>
    <x v="90"/>
  </r>
  <r>
    <x v="99"/>
    <x v="11"/>
    <x v="2"/>
    <x v="79"/>
  </r>
  <r>
    <x v="52"/>
    <x v="11"/>
    <x v="1"/>
    <x v="71"/>
  </r>
  <r>
    <x v="76"/>
    <x v="11"/>
    <x v="2"/>
    <x v="79"/>
  </r>
  <r>
    <x v="76"/>
    <x v="11"/>
    <x v="4"/>
    <x v="4"/>
  </r>
  <r>
    <x v="832"/>
    <x v="11"/>
    <x v="4"/>
    <x v="4"/>
  </r>
  <r>
    <x v="460"/>
    <x v="11"/>
    <x v="4"/>
    <x v="4"/>
  </r>
  <r>
    <x v="3964"/>
    <x v="11"/>
    <x v="4"/>
    <x v="4"/>
  </r>
  <r>
    <x v="3965"/>
    <x v="11"/>
    <x v="4"/>
    <x v="4"/>
  </r>
  <r>
    <x v="3966"/>
    <x v="11"/>
    <x v="1"/>
    <x v="23"/>
  </r>
  <r>
    <x v="3966"/>
    <x v="11"/>
    <x v="1"/>
    <x v="24"/>
  </r>
  <r>
    <x v="3967"/>
    <x v="11"/>
    <x v="4"/>
    <x v="11"/>
  </r>
  <r>
    <x v="3968"/>
    <x v="11"/>
    <x v="1"/>
    <x v="23"/>
  </r>
  <r>
    <x v="3968"/>
    <x v="11"/>
    <x v="1"/>
    <x v="24"/>
  </r>
  <r>
    <x v="3634"/>
    <x v="11"/>
    <x v="1"/>
    <x v="55"/>
  </r>
  <r>
    <x v="3969"/>
    <x v="11"/>
    <x v="1"/>
    <x v="55"/>
  </r>
  <r>
    <x v="3970"/>
    <x v="11"/>
    <x v="1"/>
    <x v="55"/>
  </r>
  <r>
    <x v="3971"/>
    <x v="11"/>
    <x v="4"/>
    <x v="11"/>
  </r>
  <r>
    <x v="1"/>
    <x v="11"/>
    <x v="4"/>
    <x v="11"/>
  </r>
  <r>
    <x v="3972"/>
    <x v="11"/>
    <x v="4"/>
    <x v="11"/>
  </r>
  <r>
    <x v="3973"/>
    <x v="11"/>
    <x v="2"/>
    <x v="79"/>
  </r>
  <r>
    <x v="3974"/>
    <x v="11"/>
    <x v="1"/>
    <x v="82"/>
  </r>
  <r>
    <x v="2948"/>
    <x v="11"/>
    <x v="1"/>
    <x v="82"/>
  </r>
  <r>
    <x v="3975"/>
    <x v="11"/>
    <x v="1"/>
    <x v="83"/>
  </r>
  <r>
    <x v="3976"/>
    <x v="11"/>
    <x v="1"/>
    <x v="23"/>
  </r>
  <r>
    <x v="3977"/>
    <x v="11"/>
    <x v="1"/>
    <x v="23"/>
  </r>
  <r>
    <x v="3978"/>
    <x v="11"/>
    <x v="1"/>
    <x v="23"/>
  </r>
  <r>
    <x v="3979"/>
    <x v="11"/>
    <x v="2"/>
    <x v="80"/>
  </r>
  <r>
    <x v="3980"/>
    <x v="11"/>
    <x v="2"/>
    <x v="80"/>
  </r>
  <r>
    <x v="3118"/>
    <x v="11"/>
    <x v="4"/>
    <x v="4"/>
  </r>
  <r>
    <x v="3981"/>
    <x v="11"/>
    <x v="1"/>
    <x v="24"/>
  </r>
  <r>
    <x v="3120"/>
    <x v="11"/>
    <x v="4"/>
    <x v="4"/>
  </r>
  <r>
    <x v="1027"/>
    <x v="11"/>
    <x v="1"/>
    <x v="31"/>
  </r>
  <r>
    <x v="3982"/>
    <x v="11"/>
    <x v="1"/>
    <x v="45"/>
  </r>
  <r>
    <x v="3983"/>
    <x v="11"/>
    <x v="4"/>
    <x v="4"/>
  </r>
  <r>
    <x v="1420"/>
    <x v="11"/>
    <x v="4"/>
    <x v="4"/>
  </r>
  <r>
    <x v="3984"/>
    <x v="11"/>
    <x v="4"/>
    <x v="4"/>
  </r>
  <r>
    <x v="3985"/>
    <x v="11"/>
    <x v="4"/>
    <x v="4"/>
  </r>
  <r>
    <x v="3986"/>
    <x v="11"/>
    <x v="4"/>
    <x v="4"/>
  </r>
  <r>
    <x v="3987"/>
    <x v="11"/>
    <x v="7"/>
    <x v="0"/>
  </r>
  <r>
    <x v="3988"/>
    <x v="11"/>
    <x v="7"/>
    <x v="0"/>
  </r>
  <r>
    <x v="3989"/>
    <x v="11"/>
    <x v="1"/>
    <x v="1"/>
  </r>
  <r>
    <x v="3990"/>
    <x v="11"/>
    <x v="2"/>
    <x v="79"/>
  </r>
  <r>
    <x v="3991"/>
    <x v="11"/>
    <x v="2"/>
    <x v="79"/>
  </r>
  <r>
    <x v="3226"/>
    <x v="11"/>
    <x v="4"/>
    <x v="4"/>
  </r>
  <r>
    <x v="3992"/>
    <x v="11"/>
    <x v="1"/>
    <x v="90"/>
  </r>
  <r>
    <x v="3993"/>
    <x v="11"/>
    <x v="1"/>
    <x v="23"/>
  </r>
  <r>
    <x v="3994"/>
    <x v="11"/>
    <x v="1"/>
    <x v="90"/>
  </r>
  <r>
    <x v="3995"/>
    <x v="11"/>
    <x v="1"/>
    <x v="90"/>
  </r>
  <r>
    <x v="3996"/>
    <x v="11"/>
    <x v="1"/>
    <x v="23"/>
  </r>
  <r>
    <x v="3492"/>
    <x v="11"/>
    <x v="1"/>
    <x v="71"/>
  </r>
  <r>
    <x v="3997"/>
    <x v="11"/>
    <x v="1"/>
    <x v="66"/>
  </r>
  <r>
    <x v="3998"/>
    <x v="11"/>
    <x v="1"/>
    <x v="40"/>
  </r>
  <r>
    <x v="3999"/>
    <x v="11"/>
    <x v="1"/>
    <x v="92"/>
  </r>
  <r>
    <x v="4000"/>
    <x v="11"/>
    <x v="1"/>
    <x v="82"/>
  </r>
  <r>
    <x v="4001"/>
    <x v="11"/>
    <x v="1"/>
    <x v="82"/>
  </r>
  <r>
    <x v="4002"/>
    <x v="11"/>
    <x v="1"/>
    <x v="40"/>
  </r>
  <r>
    <x v="102"/>
    <x v="11"/>
    <x v="1"/>
    <x v="40"/>
  </r>
  <r>
    <x v="147"/>
    <x v="11"/>
    <x v="1"/>
    <x v="40"/>
  </r>
  <r>
    <x v="4003"/>
    <x v="11"/>
    <x v="1"/>
    <x v="82"/>
  </r>
  <r>
    <x v="766"/>
    <x v="11"/>
    <x v="4"/>
    <x v="11"/>
  </r>
  <r>
    <x v="4004"/>
    <x v="11"/>
    <x v="4"/>
    <x v="4"/>
  </r>
  <r>
    <x v="4005"/>
    <x v="11"/>
    <x v="4"/>
    <x v="4"/>
  </r>
  <r>
    <x v="4006"/>
    <x v="11"/>
    <x v="4"/>
    <x v="4"/>
  </r>
  <r>
    <x v="4007"/>
    <x v="11"/>
    <x v="2"/>
    <x v="80"/>
  </r>
  <r>
    <x v="4008"/>
    <x v="11"/>
    <x v="1"/>
    <x v="92"/>
  </r>
  <r>
    <x v="1543"/>
    <x v="11"/>
    <x v="1"/>
    <x v="23"/>
  </r>
  <r>
    <x v="1543"/>
    <x v="11"/>
    <x v="1"/>
    <x v="24"/>
  </r>
  <r>
    <x v="3578"/>
    <x v="11"/>
    <x v="1"/>
    <x v="23"/>
  </r>
  <r>
    <x v="1771"/>
    <x v="11"/>
    <x v="1"/>
    <x v="24"/>
  </r>
  <r>
    <x v="4009"/>
    <x v="11"/>
    <x v="2"/>
    <x v="72"/>
  </r>
  <r>
    <x v="4009"/>
    <x v="11"/>
    <x v="1"/>
    <x v="84"/>
  </r>
  <r>
    <x v="4009"/>
    <x v="11"/>
    <x v="1"/>
    <x v="89"/>
  </r>
  <r>
    <x v="4009"/>
    <x v="11"/>
    <x v="1"/>
    <x v="94"/>
  </r>
  <r>
    <x v="4009"/>
    <x v="11"/>
    <x v="1"/>
    <x v="97"/>
  </r>
  <r>
    <x v="4009"/>
    <x v="11"/>
    <x v="1"/>
    <x v="98"/>
  </r>
  <r>
    <x v="4010"/>
    <x v="11"/>
    <x v="1"/>
    <x v="84"/>
  </r>
  <r>
    <x v="583"/>
    <x v="11"/>
    <x v="2"/>
    <x v="80"/>
  </r>
  <r>
    <x v="81"/>
    <x v="11"/>
    <x v="2"/>
    <x v="80"/>
  </r>
  <r>
    <x v="1819"/>
    <x v="11"/>
    <x v="2"/>
    <x v="80"/>
  </r>
  <r>
    <x v="4011"/>
    <x v="11"/>
    <x v="2"/>
    <x v="80"/>
  </r>
  <r>
    <x v="4012"/>
    <x v="11"/>
    <x v="1"/>
    <x v="92"/>
  </r>
  <r>
    <x v="4013"/>
    <x v="11"/>
    <x v="2"/>
    <x v="80"/>
  </r>
  <r>
    <x v="2241"/>
    <x v="11"/>
    <x v="1"/>
    <x v="92"/>
  </r>
  <r>
    <x v="103"/>
    <x v="11"/>
    <x v="1"/>
    <x v="92"/>
  </r>
  <r>
    <x v="35"/>
    <x v="11"/>
    <x v="1"/>
    <x v="92"/>
  </r>
  <r>
    <x v="460"/>
    <x v="11"/>
    <x v="1"/>
    <x v="92"/>
  </r>
  <r>
    <x v="706"/>
    <x v="11"/>
    <x v="1"/>
    <x v="92"/>
  </r>
  <r>
    <x v="460"/>
    <x v="11"/>
    <x v="4"/>
    <x v="11"/>
  </r>
  <r>
    <x v="1140"/>
    <x v="11"/>
    <x v="2"/>
    <x v="80"/>
  </r>
  <r>
    <x v="4014"/>
    <x v="11"/>
    <x v="2"/>
    <x v="80"/>
  </r>
  <r>
    <x v="1001"/>
    <x v="11"/>
    <x v="4"/>
    <x v="11"/>
  </r>
  <r>
    <x v="1753"/>
    <x v="11"/>
    <x v="4"/>
    <x v="11"/>
  </r>
  <r>
    <x v="18"/>
    <x v="11"/>
    <x v="4"/>
    <x v="11"/>
  </r>
  <r>
    <x v="4015"/>
    <x v="11"/>
    <x v="4"/>
    <x v="11"/>
  </r>
  <r>
    <x v="4016"/>
    <x v="11"/>
    <x v="4"/>
    <x v="11"/>
  </r>
  <r>
    <x v="1001"/>
    <x v="11"/>
    <x v="4"/>
    <x v="11"/>
  </r>
  <r>
    <x v="1001"/>
    <x v="11"/>
    <x v="4"/>
    <x v="11"/>
  </r>
  <r>
    <x v="4017"/>
    <x v="11"/>
    <x v="4"/>
    <x v="11"/>
  </r>
  <r>
    <x v="4018"/>
    <x v="11"/>
    <x v="1"/>
    <x v="23"/>
  </r>
  <r>
    <x v="4018"/>
    <x v="11"/>
    <x v="1"/>
    <x v="24"/>
  </r>
  <r>
    <x v="4018"/>
    <x v="11"/>
    <x v="1"/>
    <x v="40"/>
  </r>
  <r>
    <x v="1338"/>
    <x v="11"/>
    <x v="1"/>
    <x v="40"/>
  </r>
  <r>
    <x v="1338"/>
    <x v="11"/>
    <x v="1"/>
    <x v="23"/>
  </r>
  <r>
    <x v="1338"/>
    <x v="11"/>
    <x v="1"/>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A6A1A6-A0B7-4F51-8629-051BE3B5D3D7}" name="TablaDinámica1" cacheId="0" applyNumberFormats="0" applyBorderFormats="0" applyFontFormats="0" applyPatternFormats="0" applyAlignmentFormats="0" applyWidthHeightFormats="1" dataCaption="Valores" updatedVersion="8" minRefreshableVersion="3" useAutoFormatting="1" itemPrintTitles="1" createdVersion="8" indent="0" compact="0" compactData="0" gridDropZones="1" multipleFieldFilters="0">
  <location ref="A5:E9" firstHeaderRow="2" firstDataRow="2" firstDataCol="4"/>
  <pivotFields count="6">
    <pivotField dataField="1" compact="0" outline="0" showAll="0">
      <items count="4020">
        <item x="3"/>
        <item x="3928"/>
        <item x="2823"/>
        <item x="3533"/>
        <item x="3160"/>
        <item x="2226"/>
        <item x="3068"/>
        <item x="2944"/>
        <item x="3162"/>
        <item x="1852"/>
        <item x="2739"/>
        <item x="3261"/>
        <item x="3161"/>
        <item x="954"/>
        <item x="2121"/>
        <item x="3157"/>
        <item x="1853"/>
        <item x="3997"/>
        <item x="3765"/>
        <item x="3924"/>
        <item x="3825"/>
        <item x="3457"/>
        <item x="410"/>
        <item x="3724"/>
        <item x="3223"/>
        <item x="3460"/>
        <item x="2417"/>
        <item x="2141"/>
        <item x="2106"/>
        <item x="1105"/>
        <item x="3988"/>
        <item x="2406"/>
        <item x="2787"/>
        <item x="13"/>
        <item x="2765"/>
        <item x="21"/>
        <item x="2833"/>
        <item x="3902"/>
        <item x="1277"/>
        <item x="2343"/>
        <item x="2344"/>
        <item x="3665"/>
        <item x="2220"/>
        <item x="3966"/>
        <item x="3571"/>
        <item x="931"/>
        <item x="1855"/>
        <item x="3799"/>
        <item x="3989"/>
        <item x="3529"/>
        <item x="2065"/>
        <item x="3584"/>
        <item x="2490"/>
        <item x="397"/>
        <item x="3866"/>
        <item x="67"/>
        <item x="2597"/>
        <item x="1252"/>
        <item x="332"/>
        <item x="2809"/>
        <item x="3054"/>
        <item x="2476"/>
        <item x="3534"/>
        <item x="2"/>
        <item x="1099"/>
        <item x="723"/>
        <item x="3766"/>
        <item x="204"/>
        <item x="1170"/>
        <item x="3664"/>
        <item x="64"/>
        <item x="1088"/>
        <item x="480"/>
        <item x="3998"/>
        <item x="1174"/>
        <item x="3426"/>
        <item x="3126"/>
        <item x="3285"/>
        <item x="3481"/>
        <item x="2990"/>
        <item x="3662"/>
        <item x="2641"/>
        <item x="2148"/>
        <item x="3803"/>
        <item x="3324"/>
        <item x="1713"/>
        <item x="3134"/>
        <item x="2435"/>
        <item x="738"/>
        <item x="722"/>
        <item x="221"/>
        <item x="3663"/>
        <item x="3432"/>
        <item x="2437"/>
        <item x="272"/>
        <item x="1183"/>
        <item x="1309"/>
        <item x="3454"/>
        <item x="1182"/>
        <item x="3051"/>
        <item x="1156"/>
        <item x="3660"/>
        <item x="263"/>
        <item x="2112"/>
        <item x="2100"/>
        <item x="1451"/>
        <item x="1012"/>
        <item x="1922"/>
        <item x="401"/>
        <item x="2785"/>
        <item x="3306"/>
        <item x="1498"/>
        <item x="1255"/>
        <item x="2588"/>
        <item x="3449"/>
        <item x="3448"/>
        <item x="3801"/>
        <item x="3495"/>
        <item x="1841"/>
        <item x="676"/>
        <item x="943"/>
        <item x="2312"/>
        <item x="7"/>
        <item x="1400"/>
        <item x="3300"/>
        <item x="3868"/>
        <item x="113"/>
        <item x="984"/>
        <item x="3115"/>
        <item x="1984"/>
        <item x="2414"/>
        <item x="3435"/>
        <item x="1291"/>
        <item x="2442"/>
        <item x="1735"/>
        <item x="3715"/>
        <item x="1796"/>
        <item x="236"/>
        <item x="2964"/>
        <item x="686"/>
        <item x="2176"/>
        <item x="1086"/>
        <item x="1472"/>
        <item x="3311"/>
        <item x="3884"/>
        <item x="626"/>
        <item x="6"/>
        <item x="1840"/>
        <item x="3053"/>
        <item x="787"/>
        <item x="3240"/>
        <item x="1465"/>
        <item x="1771"/>
        <item x="2408"/>
        <item x="1317"/>
        <item x="2019"/>
        <item x="1087"/>
        <item x="2209"/>
        <item x="3110"/>
        <item x="219"/>
        <item x="1112"/>
        <item x="929"/>
        <item x="796"/>
        <item x="3066"/>
        <item x="2419"/>
        <item x="2968"/>
        <item x="1775"/>
        <item x="3231"/>
        <item x="854"/>
        <item x="1452"/>
        <item x="1169"/>
        <item x="2444"/>
        <item x="349"/>
        <item x="3906"/>
        <item x="1598"/>
        <item x="433"/>
        <item x="1454"/>
        <item x="601"/>
        <item x="2484"/>
        <item x="2120"/>
        <item x="3749"/>
        <item x="635"/>
        <item x="2286"/>
        <item x="678"/>
        <item x="2443"/>
        <item x="269"/>
        <item x="3911"/>
        <item x="720"/>
        <item x="735"/>
        <item x="2810"/>
        <item x="1806"/>
        <item x="1844"/>
        <item x="1923"/>
        <item x="3696"/>
        <item x="3297"/>
        <item x="3783"/>
        <item x="214"/>
        <item x="1181"/>
        <item x="3630"/>
        <item x="2072"/>
        <item x="2650"/>
        <item x="2431"/>
        <item x="483"/>
        <item x="393"/>
        <item x="3243"/>
        <item x="3310"/>
        <item x="2709"/>
        <item x="1244"/>
        <item x="3446"/>
        <item x="2291"/>
        <item x="2632"/>
        <item x="3982"/>
        <item x="1500"/>
        <item x="3376"/>
        <item x="871"/>
        <item x="2991"/>
        <item x="2648"/>
        <item x="2803"/>
        <item x="2494"/>
        <item x="84"/>
        <item x="3219"/>
        <item x="1058"/>
        <item x="3304"/>
        <item x="3661"/>
        <item x="261"/>
        <item x="3293"/>
        <item x="3987"/>
        <item x="3702"/>
        <item x="238"/>
        <item x="2348"/>
        <item x="3309"/>
        <item x="1888"/>
        <item x="3904"/>
        <item x="3452"/>
        <item x="3106"/>
        <item x="2758"/>
        <item x="306"/>
        <item x="1320"/>
        <item x="1580"/>
        <item x="304"/>
        <item x="3587"/>
        <item x="2036"/>
        <item x="784"/>
        <item x="979"/>
        <item x="2999"/>
        <item x="1449"/>
        <item x="2784"/>
        <item x="595"/>
        <item x="780"/>
        <item x="3128"/>
        <item x="639"/>
        <item x="1891"/>
        <item x="1390"/>
        <item x="3888"/>
        <item x="1282"/>
        <item x="3520"/>
        <item x="561"/>
        <item x="3814"/>
        <item x="481"/>
        <item x="2346"/>
        <item x="3303"/>
        <item x="1785"/>
        <item x="3027"/>
        <item x="4001"/>
        <item x="3401"/>
        <item x="459"/>
        <item x="1007"/>
        <item x="1242"/>
        <item x="1782"/>
        <item x="1603"/>
        <item x="3525"/>
        <item x="3251"/>
        <item x="3573"/>
        <item x="737"/>
        <item x="453"/>
        <item x="1441"/>
        <item x="958"/>
        <item x="3971"/>
        <item x="1375"/>
        <item x="3195"/>
        <item x="1159"/>
        <item x="2110"/>
        <item x="3805"/>
        <item x="476"/>
        <item x="300"/>
        <item x="3581"/>
        <item x="2802"/>
        <item x="3118"/>
        <item x="795"/>
        <item x="2111"/>
        <item x="2146"/>
        <item x="3551"/>
        <item x="2024"/>
        <item x="184"/>
        <item x="1470"/>
        <item x="851"/>
        <item x="3925"/>
        <item x="2313"/>
        <item x="22"/>
        <item x="3004"/>
        <item x="2099"/>
        <item x="2751"/>
        <item x="3701"/>
        <item x="1925"/>
        <item x="718"/>
        <item x="1401"/>
        <item x="1599"/>
        <item x="2616"/>
        <item x="3012"/>
        <item x="2724"/>
        <item x="3325"/>
        <item x="2481"/>
        <item x="189"/>
        <item x="4000"/>
        <item x="611"/>
        <item x="3964"/>
        <item x="1471"/>
        <item x="721"/>
        <item x="2956"/>
        <item x="2639"/>
        <item x="1948"/>
        <item x="2589"/>
        <item x="2700"/>
        <item x="329"/>
        <item x="882"/>
        <item x="629"/>
        <item x="2351"/>
        <item x="3523"/>
        <item x="2354"/>
        <item x="3815"/>
        <item x="2627"/>
        <item x="1108"/>
        <item x="1625"/>
        <item x="3428"/>
        <item x="2690"/>
        <item x="3080"/>
        <item x="2584"/>
        <item x="3967"/>
        <item x="3927"/>
        <item x="842"/>
        <item x="3425"/>
        <item x="2022"/>
        <item x="2416"/>
        <item x="3429"/>
        <item x="637"/>
        <item x="1221"/>
        <item x="2295"/>
        <item x="222"/>
        <item x="3892"/>
        <item x="3081"/>
        <item x="531"/>
        <item x="1386"/>
        <item x="3007"/>
        <item x="2407"/>
        <item x="868"/>
        <item x="2418"/>
        <item x="2861"/>
        <item x="1579"/>
        <item x="185"/>
        <item x="1805"/>
        <item x="3557"/>
        <item x="3914"/>
        <item x="2214"/>
        <item x="3430"/>
        <item x="3905"/>
        <item x="2788"/>
        <item x="628"/>
        <item x="1013"/>
        <item x="1964"/>
        <item x="3867"/>
        <item x="1241"/>
        <item x="546"/>
        <item x="3915"/>
        <item x="1880"/>
        <item x="3889"/>
        <item x="1884"/>
        <item x="1444"/>
        <item x="1090"/>
        <item x="273"/>
        <item x="3489"/>
        <item x="2147"/>
        <item x="37"/>
        <item x="2321"/>
        <item x="2971"/>
        <item x="1950"/>
        <item x="3823"/>
        <item x="1703"/>
        <item x="765"/>
        <item x="2098"/>
        <item x="3381"/>
        <item x="2035"/>
        <item x="1380"/>
        <item x="1730"/>
        <item x="2357"/>
        <item x="3768"/>
        <item x="3020"/>
        <item x="1310"/>
        <item x="3284"/>
        <item x="1621"/>
        <item x="2688"/>
        <item x="669"/>
        <item x="2026"/>
        <item x="1850"/>
        <item x="171"/>
        <item x="2109"/>
        <item x="1469"/>
        <item x="1042"/>
        <item x="2736"/>
        <item x="2297"/>
        <item x="2347"/>
        <item x="223"/>
        <item x="1254"/>
        <item x="1381"/>
        <item x="3831"/>
        <item x="3751"/>
        <item x="2977"/>
        <item x="2587"/>
        <item x="3979"/>
        <item x="20"/>
        <item x="1045"/>
        <item x="785"/>
        <item x="3566"/>
        <item x="377"/>
        <item x="3992"/>
        <item x="3558"/>
        <item x="3253"/>
        <item x="677"/>
        <item x="3045"/>
        <item x="27"/>
        <item x="3224"/>
        <item x="3632"/>
        <item x="3062"/>
        <item x="2916"/>
        <item x="2524"/>
        <item x="717"/>
        <item x="1606"/>
        <item x="3592"/>
        <item x="1677"/>
        <item x="2652"/>
        <item x="1377"/>
        <item x="3030"/>
        <item x="1765"/>
        <item x="3455"/>
        <item x="2404"/>
        <item x="1253"/>
        <item x="2426"/>
        <item x="1602"/>
        <item x="2285"/>
        <item x="3753"/>
        <item x="1786"/>
        <item x="2649"/>
        <item x="3965"/>
        <item x="3589"/>
        <item x="857"/>
        <item x="1293"/>
        <item x="2958"/>
        <item x="3025"/>
        <item x="2743"/>
        <item x="3439"/>
        <item x="3484"/>
        <item x="3132"/>
        <item x="2319"/>
        <item x="1453"/>
        <item x="1504"/>
        <item x="1851"/>
        <item x="1060"/>
        <item x="1039"/>
        <item x="1486"/>
        <item x="3981"/>
        <item x="4002"/>
        <item x="2193"/>
        <item x="333"/>
        <item x="3016"/>
        <item x="3292"/>
        <item x="2095"/>
        <item x="3060"/>
        <item x="4008"/>
        <item x="3369"/>
        <item x="1168"/>
        <item x="1839"/>
        <item x="778"/>
        <item x="3819"/>
        <item x="3359"/>
        <item x="244"/>
        <item x="849"/>
        <item x="687"/>
        <item x="240"/>
        <item x="297"/>
        <item x="3348"/>
        <item x="3312"/>
        <item x="1790"/>
        <item x="125"/>
        <item x="2918"/>
        <item x="3608"/>
        <item x="767"/>
        <item x="3717"/>
        <item x="266"/>
        <item x="3109"/>
        <item x="1783"/>
        <item x="298"/>
        <item x="1956"/>
        <item x="3124"/>
        <item x="2614"/>
        <item x="183"/>
        <item x="2653"/>
        <item x="793"/>
        <item x="1699"/>
        <item x="798"/>
        <item x="736"/>
        <item x="313"/>
        <item x="2635"/>
        <item x="3443"/>
        <item x="302"/>
        <item x="3554"/>
        <item x="2104"/>
        <item x="1781"/>
        <item x="775"/>
        <item x="858"/>
        <item x="1166"/>
        <item x="1483"/>
        <item x="2623"/>
        <item x="2633"/>
        <item x="307"/>
        <item x="1283"/>
        <item x="3714"/>
        <item x="1617"/>
        <item x="2959"/>
        <item x="2475"/>
        <item x="3572"/>
        <item x="2789"/>
        <item x="2790"/>
        <item x="2138"/>
        <item x="2744"/>
        <item x="1014"/>
        <item x="1490"/>
        <item x="2702"/>
        <item x="3746"/>
        <item x="2403"/>
        <item x="3434"/>
        <item x="1803"/>
        <item x="3357"/>
        <item x="3218"/>
        <item x="1733"/>
        <item x="1769"/>
        <item x="3444"/>
        <item x="541"/>
        <item x="2289"/>
        <item x="3353"/>
        <item x="883"/>
        <item x="1047"/>
        <item x="776"/>
        <item x="1083"/>
        <item x="610"/>
        <item x="650"/>
        <item x="881"/>
        <item x="1879"/>
        <item x="2359"/>
        <item x="3974"/>
        <item x="3656"/>
        <item x="1546"/>
        <item x="3657"/>
        <item x="1327"/>
        <item x="2619"/>
        <item x="3552"/>
        <item x="2713"/>
        <item x="3370"/>
        <item x="936"/>
        <item x="526"/>
        <item x="2539"/>
        <item x="3750"/>
        <item x="1889"/>
        <item x="1319"/>
        <item x="2489"/>
        <item x="1227"/>
        <item x="3358"/>
        <item x="1682"/>
        <item x="308"/>
        <item x="2205"/>
        <item x="607"/>
        <item x="2529"/>
        <item x="897"/>
        <item x="174"/>
        <item x="1968"/>
        <item x="3026"/>
        <item x="3829"/>
        <item x="850"/>
        <item x="3436"/>
        <item x="3226"/>
        <item x="1299"/>
        <item x="1482"/>
        <item x="3079"/>
        <item x="1440"/>
        <item x="3877"/>
        <item x="1686"/>
        <item x="2140"/>
        <item x="1767"/>
        <item x="2796"/>
        <item x="685"/>
        <item x="3447"/>
        <item x="1792"/>
        <item x="2034"/>
        <item x="666"/>
        <item x="3031"/>
        <item x="1881"/>
        <item x="1787"/>
        <item x="3363"/>
        <item x="1878"/>
        <item x="613"/>
        <item x="532"/>
        <item x="1897"/>
        <item x="3441"/>
        <item x="3602"/>
        <item x="801"/>
        <item x="2420"/>
        <item x="318"/>
        <item x="1113"/>
        <item x="1784"/>
        <item x="252"/>
        <item x="1175"/>
        <item x="1951"/>
        <item x="3781"/>
        <item x="323"/>
        <item x="1508"/>
        <item x="3021"/>
        <item x="242"/>
        <item x="3895"/>
        <item x="1497"/>
        <item x="534"/>
        <item x="3747"/>
        <item x="2626"/>
        <item x="1561"/>
        <item x="3522"/>
        <item x="2216"/>
        <item x="296"/>
        <item x="877"/>
        <item x="2037"/>
        <item x="3833"/>
        <item x="3367"/>
        <item x="2786"/>
        <item x="3048"/>
        <item x="8"/>
        <item x="2218"/>
        <item x="3427"/>
        <item x="3119"/>
        <item x="917"/>
        <item x="2936"/>
        <item x="3972"/>
        <item x="724"/>
        <item x="3874"/>
        <item x="3366"/>
        <item x="2703"/>
        <item x="1835"/>
        <item x="3875"/>
        <item x="1450"/>
        <item x="2602"/>
        <item x="3244"/>
        <item x="682"/>
        <item x="789"/>
        <item x="3822"/>
        <item x="2801"/>
        <item x="3506"/>
        <item x="870"/>
        <item x="825"/>
        <item x="1388"/>
        <item x="3629"/>
        <item x="544"/>
        <item x="530"/>
        <item x="1837"/>
        <item x="2807"/>
        <item x="844"/>
        <item x="2642"/>
        <item x="3451"/>
        <item x="2486"/>
        <item x="1038"/>
        <item x="122"/>
        <item x="1770"/>
        <item x="334"/>
        <item x="3804"/>
        <item x="1685"/>
        <item x="2409"/>
        <item x="1085"/>
        <item x="779"/>
        <item x="3707"/>
        <item x="772"/>
        <item x="2040"/>
        <item x="3022"/>
        <item x="3450"/>
        <item x="179"/>
        <item x="1460"/>
        <item x="2585"/>
        <item x="2628"/>
        <item x="256"/>
        <item x="879"/>
        <item x="725"/>
        <item x="1845"/>
        <item x="867"/>
        <item x="331"/>
        <item x="3352"/>
        <item x="543"/>
        <item x="769"/>
        <item x="3328"/>
        <item x="3368"/>
        <item x="2145"/>
        <item x="3050"/>
        <item x="2255"/>
        <item x="301"/>
        <item x="3899"/>
        <item x="2245"/>
        <item x="53"/>
        <item x="3757"/>
        <item x="1044"/>
        <item x="2298"/>
        <item x="1"/>
        <item x="727"/>
        <item x="181"/>
        <item x="1180"/>
        <item x="2353"/>
        <item x="3076"/>
        <item x="2194"/>
        <item x="2710"/>
        <item x="3241"/>
        <item x="2706"/>
        <item x="3579"/>
        <item x="1392"/>
        <item x="1804"/>
        <item x="597"/>
        <item x="215"/>
        <item x="1397"/>
        <item x="3891"/>
        <item x="1095"/>
        <item x="2219"/>
        <item x="1778"/>
        <item x="2906"/>
        <item x="558"/>
        <item x="1391"/>
        <item x="1697"/>
        <item x="138"/>
        <item x="1904"/>
        <item x="3813"/>
        <item x="3827"/>
        <item x="939"/>
        <item x="3485"/>
        <item x="788"/>
        <item x="2364"/>
        <item x="3298"/>
        <item x="873"/>
        <item x="2965"/>
        <item x="2858"/>
        <item x="1157"/>
        <item x="3576"/>
        <item x="1103"/>
        <item x="3976"/>
        <item x="3668"/>
        <item x="3752"/>
        <item x="1719"/>
        <item x="379"/>
        <item x="3372"/>
        <item x="3058"/>
        <item x="3968"/>
        <item x="1499"/>
        <item x="981"/>
        <item x="2308"/>
        <item x="2735"/>
        <item x="1092"/>
        <item x="1725"/>
        <item x="1545"/>
        <item x="2748"/>
        <item x="3242"/>
        <item x="2032"/>
        <item x="2892"/>
        <item x="3395"/>
        <item x="1288"/>
        <item x="285"/>
        <item x="3782"/>
        <item x="2044"/>
        <item x="2427"/>
        <item x="1957"/>
        <item x="3890"/>
        <item x="1953"/>
        <item x="978"/>
        <item x="2025"/>
        <item x="2716"/>
        <item x="3692"/>
        <item x="3574"/>
        <item x="1503"/>
        <item x="3129"/>
        <item x="3135"/>
        <item x="2910"/>
        <item x="2957"/>
        <item x="2492"/>
        <item x="1475"/>
        <item x="2661"/>
        <item x="3123"/>
        <item x="3150"/>
        <item x="3722"/>
        <item x="3808"/>
        <item x="3294"/>
        <item x="2953"/>
        <item x="1842"/>
        <item x="1326"/>
        <item x="766"/>
        <item x="1734"/>
        <item x="335"/>
        <item x="2441"/>
        <item x="2169"/>
        <item x="1794"/>
        <item x="3116"/>
        <item x="3041"/>
        <item x="3377"/>
        <item x="3453"/>
        <item x="982"/>
        <item x="1766"/>
        <item x="2246"/>
        <item x="1298"/>
        <item x="2808"/>
        <item x="885"/>
        <item x="2485"/>
        <item x="2919"/>
        <item x="293"/>
        <item x="3057"/>
        <item x="3316"/>
        <item x="1457"/>
        <item x="2488"/>
        <item x="2217"/>
        <item x="1041"/>
        <item x="945"/>
        <item x="1622"/>
        <item x="1106"/>
        <item x="3703"/>
        <item x="146"/>
        <item x="3887"/>
        <item x="1547"/>
        <item x="1491"/>
        <item x="967"/>
        <item x="2402"/>
        <item x="1614"/>
        <item x="1620"/>
        <item x="3229"/>
        <item x="878"/>
        <item x="679"/>
        <item x="4003"/>
        <item x="3148"/>
        <item x="755"/>
        <item x="457"/>
        <item x="3993"/>
        <item x="207"/>
        <item x="2863"/>
        <item x="1711"/>
        <item x="971"/>
        <item x="380"/>
        <item x="414"/>
        <item x="3371"/>
        <item x="3780"/>
        <item x="888"/>
        <item x="2143"/>
        <item x="2480"/>
        <item x="2433"/>
        <item x="2715"/>
        <item x="1329"/>
        <item x="647"/>
        <item x="3375"/>
        <item x="1954"/>
        <item x="1726"/>
        <item x="1687"/>
        <item x="1107"/>
        <item x="2039"/>
        <item x="1731"/>
        <item x="248"/>
        <item x="3397"/>
        <item x="3490"/>
        <item x="145"/>
        <item x="398"/>
        <item x="1592"/>
        <item x="1707"/>
        <item x="3289"/>
        <item x="3005"/>
        <item x="524"/>
        <item x="3826"/>
        <item x="2303"/>
        <item x="2302"/>
        <item x="2483"/>
        <item x="3716"/>
        <item x="1572"/>
        <item x="3642"/>
        <item x="1474"/>
        <item x="1896"/>
        <item x="359"/>
        <item x="1705"/>
        <item x="1962"/>
        <item x="70"/>
        <item x="1724"/>
        <item x="934"/>
        <item x="1230"/>
        <item x="1459"/>
        <item x="1111"/>
        <item x="2979"/>
        <item x="2187"/>
        <item x="2604"/>
        <item x="271"/>
        <item x="533"/>
        <item x="2223"/>
        <item x="3433"/>
        <item x="2998"/>
        <item x="277"/>
        <item x="1043"/>
        <item x="3824"/>
        <item x="2617"/>
        <item x="2115"/>
        <item x="491"/>
        <item x="1399"/>
        <item x="416"/>
        <item x="387"/>
        <item x="177"/>
        <item x="1892"/>
        <item x="612"/>
        <item x="430"/>
        <item x="938"/>
        <item x="2629"/>
        <item x="2523"/>
        <item x="2915"/>
        <item x="1690"/>
        <item x="1389"/>
        <item x="2954"/>
        <item x="2309"/>
        <item x="620"/>
        <item x="2108"/>
        <item x="742"/>
        <item x="1900"/>
        <item x="680"/>
        <item x="3351"/>
        <item x="2783"/>
        <item x="2314"/>
        <item x="1104"/>
        <item x="3234"/>
        <item x="977"/>
        <item x="900"/>
        <item x="4009"/>
        <item x="3380"/>
        <item x="1716"/>
        <item x="527"/>
        <item x="209"/>
        <item x="1815"/>
        <item x="514"/>
        <item x="3308"/>
        <item x="143"/>
        <item x="2287"/>
        <item x="1791"/>
        <item x="1295"/>
        <item x="1795"/>
        <item x="32"/>
        <item x="956"/>
        <item x="3252"/>
        <item x="1384"/>
        <item x="1955"/>
        <item x="2491"/>
        <item x="3131"/>
        <item x="2405"/>
        <item x="1343"/>
        <item x="1709"/>
        <item x="2046"/>
        <item x="2974"/>
        <item x="206"/>
        <item x="1623"/>
        <item x="2593"/>
        <item x="2750"/>
        <item x="2101"/>
        <item x="216"/>
        <item x="757"/>
        <item x="3288"/>
        <item x="3065"/>
        <item x="1715"/>
        <item x="966"/>
        <item x="3014"/>
        <item x="3800"/>
        <item x="466"/>
        <item x="2058"/>
        <item x="1084"/>
        <item x="467"/>
        <item x="2211"/>
        <item x="884"/>
        <item x="3130"/>
        <item x="2966"/>
        <item x="2973"/>
        <item x="3378"/>
        <item x="3379"/>
        <item x="540"/>
        <item x="2144"/>
        <item x="800"/>
        <item x="3903"/>
        <item x="731"/>
        <item x="2594"/>
        <item x="843"/>
        <item x="1788"/>
        <item x="792"/>
        <item x="356"/>
        <item x="1206"/>
        <item x="1898"/>
        <item x="2031"/>
        <item x="1297"/>
        <item x="2358"/>
        <item x="2606"/>
        <item x="1442"/>
        <item x="3354"/>
        <item x="1063"/>
        <item x="1728"/>
        <item x="1779"/>
        <item x="2537"/>
        <item x="1895"/>
        <item x="3107"/>
        <item x="2116"/>
        <item x="3764"/>
        <item x="2259"/>
        <item x="1549"/>
        <item x="1434"/>
        <item x="728"/>
        <item x="1467"/>
        <item x="733"/>
        <item x="1772"/>
        <item x="1717"/>
        <item x="2509"/>
        <item x="2812"/>
        <item x="542"/>
        <item x="777"/>
        <item x="1458"/>
        <item x="2611"/>
        <item x="649"/>
        <item x="1714"/>
        <item x="3138"/>
        <item x="3698"/>
        <item x="1768"/>
        <item x="3486"/>
        <item x="2813"/>
        <item x="1721"/>
        <item x="494"/>
        <item x="299"/>
        <item x="3499"/>
        <item x="1960"/>
        <item x="2290"/>
        <item x="1680"/>
        <item x="1115"/>
        <item x="2894"/>
        <item x="2173"/>
        <item x="2552"/>
        <item x="2591"/>
        <item x="1706"/>
        <item x="1578"/>
        <item x="1718"/>
        <item x="3009"/>
        <item x="833"/>
        <item x="1722"/>
        <item x="1723"/>
        <item x="1949"/>
        <item x="3140"/>
        <item x="121"/>
        <item x="2207"/>
        <item x="2778"/>
        <item x="797"/>
        <item x="786"/>
        <item x="88"/>
        <item x="1430"/>
        <item x="3605"/>
        <item x="1488"/>
        <item x="1773"/>
        <item x="2043"/>
        <item x="468"/>
        <item x="3488"/>
        <item x="278"/>
        <item x="2613"/>
        <item x="2612"/>
        <item x="3013"/>
        <item x="609"/>
        <item x="2139"/>
        <item x="3296"/>
        <item x="3143"/>
        <item x="2562"/>
        <item x="537"/>
        <item x="2503"/>
        <item x="3759"/>
        <item x="3141"/>
        <item x="2714"/>
        <item x="1218"/>
        <item x="303"/>
        <item x="3635"/>
        <item x="1315"/>
        <item x="2256"/>
        <item x="3999"/>
        <item x="1507"/>
        <item x="1217"/>
        <item x="1899"/>
        <item x="1216"/>
        <item x="892"/>
        <item x="3355"/>
        <item x="1330"/>
        <item x="1571"/>
        <item x="137"/>
        <item x="3816"/>
        <item x="2651"/>
        <item x="3361"/>
        <item x="1838"/>
        <item x="1286"/>
        <item x="294"/>
        <item x="1222"/>
        <item x="395"/>
        <item x="2411"/>
        <item x="1292"/>
        <item x="1708"/>
        <item x="3233"/>
        <item x="1565"/>
        <item x="3335"/>
        <item x="2862"/>
        <item x="592"/>
        <item x="2972"/>
        <item x="2510"/>
        <item x="2231"/>
        <item x="747"/>
        <item x="935"/>
        <item x="2615"/>
        <item x="1505"/>
        <item x="3299"/>
        <item x="1219"/>
        <item x="217"/>
        <item x="899"/>
        <item x="1396"/>
        <item x="2543"/>
        <item x="1886"/>
        <item x="2261"/>
        <item x="1698"/>
        <item x="2254"/>
        <item x="1178"/>
        <item x="2477"/>
        <item x="2167"/>
        <item x="3521"/>
        <item x="1049"/>
        <item x="1224"/>
        <item x="1700"/>
        <item x="57"/>
        <item x="220"/>
        <item x="822"/>
        <item x="1223"/>
        <item x="1290"/>
        <item x="773"/>
        <item x="600"/>
        <item x="130"/>
        <item x="1567"/>
        <item x="3539"/>
        <item x="972"/>
        <item x="1011"/>
        <item x="969"/>
        <item x="2342"/>
        <item x="1566"/>
        <item x="1575"/>
        <item x="2864"/>
        <item x="1445"/>
        <item x="1114"/>
        <item x="3019"/>
        <item x="3760"/>
        <item x="741"/>
        <item x="3246"/>
        <item x="783"/>
        <item x="937"/>
        <item x="1446"/>
        <item x="3137"/>
        <item x="2054"/>
        <item x="289"/>
        <item x="3872"/>
        <item x="2288"/>
        <item x="2094"/>
        <item x="1238"/>
        <item x="3763"/>
        <item x="790"/>
        <item x="646"/>
        <item x="3498"/>
        <item x="553"/>
        <item x="1285"/>
        <item x="590"/>
        <item x="30"/>
        <item x="2605"/>
        <item x="2634"/>
        <item x="2920"/>
        <item x="1237"/>
        <item x="1240"/>
        <item x="287"/>
        <item x="3178"/>
        <item x="3873"/>
        <item x="3588"/>
        <item x="310"/>
        <item x="1239"/>
        <item x="3006"/>
        <item x="3055"/>
        <item x="1616"/>
        <item x="3282"/>
        <item x="3762"/>
        <item x="2294"/>
        <item x="1220"/>
        <item x="2636"/>
        <item x="3500"/>
        <item x="2296"/>
        <item x="1551"/>
        <item x="2983"/>
        <item x="225"/>
        <item x="3748"/>
        <item x="2921"/>
        <item x="235"/>
        <item x="1101"/>
        <item x="2271"/>
        <item x="856"/>
        <item x="2590"/>
        <item x="2577"/>
        <item x="2210"/>
        <item x="3136"/>
        <item x="1232"/>
        <item x="1368"/>
        <item x="1683"/>
        <item x="3247"/>
        <item x="2708"/>
        <item x="3305"/>
        <item x="3744"/>
        <item x="893"/>
        <item x="894"/>
        <item x="1369"/>
        <item x="671"/>
        <item x="3111"/>
        <item x="2352"/>
        <item x="2989"/>
        <item x="2924"/>
        <item x="3230"/>
        <item x="3973"/>
        <item x="3336"/>
        <item x="2329"/>
        <item x="653"/>
        <item x="1376"/>
        <item x="2057"/>
        <item x="1764"/>
        <item x="1228"/>
        <item x="3570"/>
        <item x="3015"/>
        <item x="824"/>
        <item x="2206"/>
        <item x="1278"/>
        <item x="2900"/>
        <item x="1429"/>
        <item x="2547"/>
        <item x="2434"/>
        <item x="1506"/>
        <item x="3391"/>
        <item x="3209"/>
        <item x="497"/>
        <item x="2527"/>
        <item x="1048"/>
        <item x="1188"/>
        <item x="1448"/>
        <item x="3603"/>
        <item x="3431"/>
        <item x="2177"/>
        <item x="3001"/>
        <item x="1597"/>
        <item x="493"/>
        <item x="2317"/>
        <item x="1094"/>
        <item x="246"/>
        <item x="968"/>
        <item x="2258"/>
        <item x="754"/>
        <item x="3897"/>
        <item x="3423"/>
        <item x="2581"/>
        <item x="1961"/>
        <item x="2536"/>
        <item x="1455"/>
        <item x="165"/>
        <item x="1280"/>
        <item x="1727"/>
        <item x="619"/>
        <item x="1160"/>
        <item x="1496"/>
        <item x="3711"/>
        <item x="2618"/>
        <item x="3364"/>
        <item x="3139"/>
        <item x="3144"/>
        <item x="886"/>
        <item x="866"/>
        <item x="1605"/>
        <item x="944"/>
        <item x="1057"/>
        <item x="295"/>
        <item x="1464"/>
        <item x="3049"/>
        <item x="1287"/>
        <item x="2961"/>
        <item x="305"/>
        <item x="2320"/>
        <item x="1593"/>
        <item x="2603"/>
        <item x="2599"/>
        <item x="2311"/>
        <item x="3493"/>
        <item x="2363"/>
        <item x="2052"/>
        <item x="2513"/>
        <item x="3501"/>
        <item x="539"/>
        <item x="2969"/>
        <item x="3145"/>
        <item x="2903"/>
        <item x="1903"/>
        <item x="2622"/>
        <item x="3024"/>
        <item x="2814"/>
        <item x="3360"/>
        <item x="2171"/>
        <item x="2163"/>
        <item x="3127"/>
        <item x="3146"/>
        <item x="748"/>
        <item x="890"/>
        <item x="1901"/>
        <item x="2665"/>
        <item x="1205"/>
        <item x="1558"/>
        <item x="1595"/>
        <item x="3133"/>
        <item x="1480"/>
        <item x="3519"/>
        <item x="2723"/>
        <item x="495"/>
        <item x="1604"/>
        <item x="1117"/>
        <item x="622"/>
        <item x="1894"/>
        <item x="1552"/>
        <item x="2482"/>
        <item x="2967"/>
        <item x="2811"/>
        <item x="61"/>
        <item x="15"/>
        <item x="743"/>
        <item x="3356"/>
        <item x="496"/>
        <item x="1207"/>
        <item x="1893"/>
        <item x="1336"/>
        <item x="2834"/>
        <item x="492"/>
        <item x="500"/>
        <item x="1761"/>
        <item x="3010"/>
        <item x="2621"/>
        <item x="2620"/>
        <item x="2262"/>
        <item x="1780"/>
        <item x="1096"/>
        <item x="1887"/>
        <item x="623"/>
        <item x="2582"/>
        <item x="3461"/>
        <item x="510"/>
        <item x="1996"/>
        <item x="3627"/>
        <item x="2898"/>
        <item x="1473"/>
        <item x="2293"/>
        <item x="2276"/>
        <item x="3245"/>
        <item x="3817"/>
        <item x="498"/>
        <item x="3172"/>
        <item x="3290"/>
        <item x="2310"/>
        <item x="3761"/>
        <item x="264"/>
        <item x="3067"/>
        <item x="2747"/>
        <item x="2062"/>
        <item x="511"/>
        <item x="2487"/>
        <item x="3639"/>
        <item x="749"/>
        <item x="3741"/>
        <item x="744"/>
        <item x="213"/>
        <item x="3511"/>
        <item x="3362"/>
        <item x="1573"/>
        <item x="1494"/>
        <item x="1915"/>
        <item x="1402"/>
        <item x="1194"/>
        <item x="1905"/>
        <item x="3613"/>
        <item x="855"/>
        <item x="3023"/>
        <item x="3399"/>
        <item x="2479"/>
        <item x="2888"/>
        <item x="291"/>
        <item x="3120"/>
        <item x="1966"/>
        <item x="746"/>
        <item x="823"/>
        <item x="2045"/>
        <item x="2917"/>
        <item x="3142"/>
        <item x="3165"/>
        <item x="350"/>
        <item x="399"/>
        <item x="963"/>
        <item x="2339"/>
        <item x="2525"/>
        <item x="1568"/>
        <item x="835"/>
        <item x="2544"/>
        <item x="964"/>
        <item x="431"/>
        <item x="1235"/>
        <item x="3169"/>
        <item x="846"/>
        <item x="2248"/>
        <item x="3078"/>
        <item x="3232"/>
        <item x="2945"/>
        <item x="3008"/>
        <item x="2528"/>
        <item x="2820"/>
        <item x="750"/>
        <item x="942"/>
        <item x="1958"/>
        <item x="1816"/>
        <item x="3210"/>
        <item x="358"/>
        <item x="3011"/>
        <item x="2030"/>
        <item x="2341"/>
        <item x="1712"/>
        <item x="2794"/>
        <item x="1264"/>
        <item x="2607"/>
        <item x="241"/>
        <item x="3227"/>
        <item x="3125"/>
        <item x="1209"/>
        <item x="2795"/>
        <item x="2545"/>
        <item x="2021"/>
        <item x="4007"/>
        <item x="2299"/>
        <item x="2542"/>
        <item x="1550"/>
        <item x="2440"/>
        <item x="456"/>
        <item x="3052"/>
        <item x="2350"/>
        <item x="2984"/>
        <item x="1562"/>
        <item x="2257"/>
        <item x="2114"/>
        <item x="2922"/>
        <item x="3239"/>
        <item x="2799"/>
        <item x="2798"/>
        <item x="1684"/>
        <item x="2859"/>
        <item x="3543"/>
        <item x="1262"/>
        <item x="2023"/>
        <item x="852"/>
        <item x="2053"/>
        <item x="1732"/>
        <item x="3365"/>
        <item x="1363"/>
        <item x="2164"/>
        <item x="2165"/>
        <item x="2712"/>
        <item x="2711"/>
        <item x="641"/>
        <item x="2817"/>
        <item x="1720"/>
        <item x="1729"/>
        <item x="351"/>
        <item x="1231"/>
        <item x="654"/>
        <item x="172"/>
        <item x="891"/>
        <item x="2600"/>
        <item x="23"/>
        <item x="2356"/>
        <item x="2410"/>
        <item x="3908"/>
        <item x="3637"/>
        <item x="3949"/>
        <item x="2117"/>
        <item x="3197"/>
        <item x="2213"/>
        <item x="508"/>
        <item x="3189"/>
        <item x="898"/>
        <item x="2137"/>
        <item x="2875"/>
        <item x="17"/>
        <item x="2362"/>
        <item x="3860"/>
        <item x="2315"/>
        <item x="348"/>
        <item x="2889"/>
        <item x="3926"/>
        <item x="1102"/>
        <item x="3618"/>
        <item x="68"/>
        <item x="645"/>
        <item x="2275"/>
        <item x="1777"/>
        <item x="1902"/>
        <item x="3527"/>
        <item x="3666"/>
        <item x="1370"/>
        <item x="3754"/>
        <item x="436"/>
        <item x="3561"/>
        <item x="986"/>
        <item x="640"/>
        <item x="1382"/>
        <item x="2322"/>
        <item x="2895"/>
        <item x="2793"/>
        <item x="1367"/>
        <item x="2856"/>
        <item x="2415"/>
        <item x="1476"/>
        <item x="3893"/>
        <item x="3767"/>
        <item x="54"/>
        <item x="3585"/>
        <item x="3028"/>
        <item x="284"/>
        <item x="3228"/>
        <item x="624"/>
        <item x="2596"/>
        <item x="2728"/>
        <item x="1271"/>
        <item x="65"/>
        <item x="3396"/>
        <item x="1691"/>
        <item x="2300"/>
        <item x="2897"/>
        <item x="3063"/>
        <item x="3755"/>
        <item x="614"/>
        <item x="2168"/>
        <item x="2992"/>
        <item x="3869"/>
        <item x="3742"/>
        <item x="1544"/>
        <item x="2103"/>
        <item x="1637"/>
        <item x="1763"/>
        <item x="1210"/>
        <item x="1378"/>
        <item x="3286"/>
        <item x="3556"/>
        <item x="1233"/>
        <item x="617"/>
        <item x="2791"/>
        <item x="2149"/>
        <item x="3811"/>
        <item x="3650"/>
        <item x="2749"/>
        <item x="1600"/>
        <item x="1110"/>
        <item x="2654"/>
        <item x="2899"/>
        <item x="985"/>
        <item x="631"/>
        <item x="3164"/>
        <item x="59"/>
        <item x="3149"/>
        <item x="1276"/>
        <item x="2885"/>
        <item x="648"/>
        <item x="2535"/>
        <item x="194"/>
        <item x="2307"/>
        <item x="957"/>
        <item x="1574"/>
        <item x="819"/>
        <item x="3594"/>
        <item x="3504"/>
        <item x="762"/>
        <item x="3864"/>
        <item x="237"/>
        <item x="366"/>
        <item x="2746"/>
        <item x="621"/>
        <item x="1161"/>
        <item x="739"/>
        <item x="3615"/>
        <item x="3756"/>
        <item x="1543"/>
        <item x="1554"/>
        <item x="1373"/>
        <item x="315"/>
        <item x="502"/>
        <item x="1143"/>
        <item x="1202"/>
        <item x="400"/>
        <item x="1489"/>
        <item x="2097"/>
        <item x="1121"/>
        <item x="1176"/>
        <item x="2511"/>
        <item x="562"/>
        <item x="841"/>
        <item x="2229"/>
        <item x="2792"/>
        <item x="2204"/>
        <item x="26"/>
        <item x="659"/>
        <item x="1395"/>
        <item x="482"/>
        <item x="2428"/>
        <item x="3726"/>
        <item x="1398"/>
        <item x="292"/>
        <item x="2166"/>
        <item x="3333"/>
        <item x="2987"/>
        <item x="3400"/>
        <item x="3851"/>
        <item x="2370"/>
        <item x="2526"/>
        <item x="1351"/>
        <item x="581"/>
        <item x="1570"/>
        <item x="2667"/>
        <item x="774"/>
        <item x="895"/>
        <item x="602"/>
        <item x="1191"/>
        <item x="1203"/>
        <item x="732"/>
        <item x="2514"/>
        <item x="1539"/>
        <item x="2891"/>
        <item x="673"/>
        <item x="2927"/>
        <item x="1164"/>
        <item x="1461"/>
        <item x="1082"/>
        <item x="3921"/>
        <item x="290"/>
        <item x="2266"/>
        <item x="1186"/>
        <item x="3374"/>
        <item x="2912"/>
        <item x="638"/>
        <item x="3330"/>
        <item x="2598"/>
        <item x="2277"/>
        <item x="643"/>
        <item x="2432"/>
        <item x="1270"/>
        <item x="2175"/>
        <item x="3705"/>
        <item x="2707"/>
        <item x="3112"/>
        <item x="2042"/>
        <item x="2345"/>
        <item x="2274"/>
        <item x="2926"/>
        <item x="2572"/>
        <item x="3616"/>
        <item x="3122"/>
        <item x="1762"/>
        <item x="326"/>
        <item x="1692"/>
        <item x="1093"/>
        <item x="1046"/>
        <item x="1947"/>
        <item x="2818"/>
        <item x="791"/>
        <item x="3599"/>
        <item x="1236"/>
        <item x="940"/>
        <item x="1318"/>
        <item x="3331"/>
        <item x="136"/>
        <item x="1443"/>
        <item x="3073"/>
        <item x="3568"/>
        <item x="1229"/>
        <item x="1560"/>
        <item x="2878"/>
        <item x="2330"/>
        <item x="1158"/>
        <item x="2721"/>
        <item x="3114"/>
        <item x="2745"/>
        <item x="1189"/>
        <item x="751"/>
        <item x="3317"/>
        <item x="2263"/>
        <item x="2550"/>
        <item x="2907"/>
        <item x="3199"/>
        <item x="2705"/>
        <item x="2804"/>
        <item x="3614"/>
        <item x="2269"/>
        <item x="3329"/>
        <item x="1195"/>
        <item x="2283"/>
        <item x="2252"/>
        <item x="3171"/>
        <item x="2273"/>
        <item x="2556"/>
        <item x="1427"/>
        <item x="536"/>
        <item x="2541"/>
        <item x="2265"/>
        <item x="288"/>
        <item x="2268"/>
        <item x="2478"/>
        <item x="3743"/>
        <item x="3059"/>
        <item x="1289"/>
        <item x="499"/>
        <item x="2284"/>
        <item x="2270"/>
        <item x="3170"/>
        <item x="3565"/>
        <item x="994"/>
        <item x="918"/>
        <item x="2923"/>
        <item x="2734"/>
        <item x="1214"/>
        <item x="455"/>
        <item x="1789"/>
        <item x="668"/>
        <item x="2260"/>
        <item x="1383"/>
        <item x="2580"/>
        <item x="1211"/>
        <item x="3496"/>
        <item x="311"/>
        <item x="1325"/>
        <item x="2929"/>
        <item x="2532"/>
        <item x="309"/>
        <item x="3302"/>
        <item x="5"/>
        <item x="135"/>
        <item x="2281"/>
        <item x="2272"/>
        <item x="0"/>
        <item x="2551"/>
        <item x="3980"/>
        <item x="1162"/>
        <item x="2540"/>
        <item x="976"/>
        <item x="1702"/>
        <item x="2893"/>
        <item x="2950"/>
        <item x="2546"/>
        <item x="2059"/>
        <item x="390"/>
        <item x="1959"/>
        <item x="3174"/>
        <item x="3673"/>
        <item x="3173"/>
        <item x="2249"/>
        <item x="104"/>
        <item x="1313"/>
        <item x="2020"/>
        <item x="1982"/>
        <item x="3042"/>
        <item x="3595"/>
        <item x="1890"/>
        <item x="2548"/>
        <item x="3721"/>
        <item x="2028"/>
        <item x="983"/>
        <item x="3969"/>
        <item x="1759"/>
        <item x="818"/>
        <item x="1372"/>
        <item x="66"/>
        <item x="1091"/>
        <item x="60"/>
        <item x="3167"/>
        <item x="2890"/>
        <item x="2009"/>
        <item x="1098"/>
        <item x="3620"/>
        <item x="1481"/>
        <item x="512"/>
        <item x="3597"/>
        <item x="3168"/>
        <item x="72"/>
        <item x="2764"/>
        <item x="1279"/>
        <item x="2192"/>
        <item x="2340"/>
        <item x="3640"/>
        <item x="3655"/>
        <item x="2909"/>
        <item x="469"/>
        <item x="1097"/>
        <item x="3225"/>
        <item x="2701"/>
        <item x="2925"/>
        <item x="591"/>
        <item x="3346"/>
        <item x="887"/>
        <item x="3611"/>
        <item x="1564"/>
        <item x="267"/>
        <item x="2010"/>
        <item x="55"/>
        <item x="2208"/>
        <item x="3277"/>
        <item x="2178"/>
        <item x="3208"/>
        <item x="2424"/>
        <item x="627"/>
        <item x="1710"/>
        <item x="3907"/>
        <item x="3617"/>
        <item x="1208"/>
        <item x="1059"/>
        <item x="690"/>
        <item x="153"/>
        <item x="3462"/>
        <item x="1885"/>
        <item x="3802"/>
        <item x="1142"/>
        <item x="683"/>
        <item x="3350"/>
        <item x="1385"/>
        <item x="2506"/>
        <item x="3283"/>
        <item x="2496"/>
        <item x="2195"/>
        <item x="2557"/>
        <item x="2222"/>
        <item x="1245"/>
        <item x="2495"/>
        <item x="1243"/>
        <item x="2264"/>
        <item x="1694"/>
        <item x="3098"/>
        <item x="1234"/>
        <item x="233"/>
        <item x="2549"/>
        <item x="826"/>
        <item x="234"/>
        <item x="3807"/>
        <item x="3287"/>
        <item x="3830"/>
        <item x="1147"/>
        <item x="3626"/>
        <item x="3723"/>
        <item x="1167"/>
        <item x="384"/>
        <item x="2816"/>
        <item x="3505"/>
        <item x="56"/>
        <item x="3619"/>
        <item x="2717"/>
        <item x="2474"/>
        <item x="3559"/>
        <item x="1876"/>
        <item x="1760"/>
        <item x="2048"/>
        <item x="2305"/>
        <item x="3061"/>
        <item x="1487"/>
        <item x="3196"/>
        <item x="394"/>
        <item x="78"/>
        <item x="2006"/>
        <item x="941"/>
        <item x="2640"/>
        <item x="3166"/>
        <item x="1678"/>
        <item x="2412"/>
        <item x="58"/>
        <item x="980"/>
        <item x="3407"/>
        <item x="1501"/>
        <item x="2555"/>
        <item x="3586"/>
        <item x="1199"/>
        <item x="753"/>
        <item x="2189"/>
        <item x="3548"/>
        <item x="2718"/>
        <item x="509"/>
        <item x="3408"/>
        <item x="1751"/>
        <item x="1338"/>
        <item x="2988"/>
        <item x="2250"/>
        <item x="2251"/>
        <item x="2821"/>
        <item x="549"/>
        <item x="2493"/>
        <item x="2304"/>
        <item x="2253"/>
        <item x="3634"/>
        <item x="2172"/>
        <item x="3606"/>
        <item x="975"/>
        <item x="3069"/>
        <item x="3610"/>
        <item x="2608"/>
        <item x="1466"/>
        <item x="2846"/>
        <item x="274"/>
        <item x="2851"/>
        <item x="3806"/>
        <item x="616"/>
        <item x="3745"/>
        <item x="2191"/>
        <item x="3832"/>
        <item x="670"/>
        <item x="2625"/>
        <item x="2624"/>
        <item x="3487"/>
        <item x="1836"/>
        <item x="1689"/>
        <item x="3018"/>
        <item x="3017"/>
        <item x="1576"/>
        <item x="528"/>
        <item x="454"/>
        <item x="2896"/>
        <item x="4004"/>
        <item x="3821"/>
        <item x="3758"/>
        <item x="2960"/>
        <item x="2887"/>
        <item x="96"/>
        <item x="3398"/>
        <item x="123"/>
        <item x="3056"/>
        <item x="3598"/>
        <item x="1179"/>
        <item x="1793"/>
        <item x="3307"/>
        <item x="3725"/>
        <item x="2857"/>
        <item x="1371"/>
        <item x="3175"/>
        <item x="3176"/>
        <item x="1456"/>
        <item x="516"/>
        <item x="1676"/>
        <item x="2029"/>
        <item x="1226"/>
        <item x="1197"/>
        <item x="2050"/>
        <item x="1196"/>
        <item x="3859"/>
        <item x="2854"/>
        <item x="1916"/>
        <item x="3878"/>
        <item x="1630"/>
        <item x="3593"/>
        <item x="2997"/>
        <item x="2867"/>
        <item x="3638"/>
        <item x="2937"/>
        <item x="3334"/>
        <item x="745"/>
        <item x="1055"/>
        <item x="1991"/>
        <item x="2425"/>
        <item x="3205"/>
        <item x="2107"/>
        <item x="425"/>
        <item x="2355"/>
        <item x="3029"/>
        <item x="2819"/>
        <item x="429"/>
        <item x="3778"/>
        <item x="97"/>
        <item x="1559"/>
        <item x="1365"/>
        <item x="3206"/>
        <item x="3510"/>
        <item x="1190"/>
        <item x="396"/>
        <item x="317"/>
        <item x="596"/>
        <item x="3672"/>
        <item x="2033"/>
        <item x="2049"/>
        <item x="2638"/>
        <item x="3332"/>
        <item x="3621"/>
        <item x="896"/>
        <item x="2685"/>
        <item x="2215"/>
        <item x="2976"/>
        <item x="821"/>
        <item x="2318"/>
        <item x="930"/>
        <item x="2361"/>
        <item x="3569"/>
        <item x="932"/>
        <item x="864"/>
        <item x="2601"/>
        <item x="3645"/>
        <item x="3624"/>
        <item x="461"/>
        <item x="1201"/>
        <item x="1877"/>
        <item x="820"/>
        <item x="1215"/>
        <item x="2560"/>
        <item x="3070"/>
        <item x="1393"/>
        <item x="1462"/>
        <item x="1177"/>
        <item x="3828"/>
        <item x="378"/>
        <item x="3937"/>
        <item x="3553"/>
        <item x="3871"/>
        <item x="810"/>
        <item x="1163"/>
        <item x="642"/>
        <item x="513"/>
        <item x="2082"/>
        <item x="719"/>
        <item x="3198"/>
        <item x="1269"/>
        <item x="1364"/>
        <item x="176"/>
        <item x="1952"/>
        <item x="2538"/>
        <item x="2631"/>
        <item x="270"/>
        <item x="2770"/>
        <item x="3047"/>
        <item x="3894"/>
        <item x="1965"/>
        <item x="346"/>
        <item x="1495"/>
        <item x="1468"/>
        <item x="93"/>
        <item x="2993"/>
        <item x="3373"/>
        <item x="3492"/>
        <item x="1204"/>
        <item x="3074"/>
        <item x="2090"/>
        <item x="1502"/>
        <item x="2507"/>
        <item x="2055"/>
        <item x="2292"/>
        <item x="2056"/>
        <item x="2508"/>
        <item x="2004"/>
        <item x="2609"/>
        <item x="2610"/>
        <item x="218"/>
        <item x="1078"/>
        <item x="3409"/>
        <item x="3032"/>
        <item x="3567"/>
        <item x="1052"/>
        <item x="3623"/>
        <item x="33"/>
        <item x="1944"/>
        <item x="1184"/>
        <item x="2978"/>
        <item x="1563"/>
        <item x="127"/>
        <item x="525"/>
        <item x="1798"/>
        <item x="94"/>
        <item x="734"/>
        <item x="3713"/>
        <item x="3526"/>
        <item x="1624"/>
        <item x="1100"/>
        <item x="95"/>
        <item x="3975"/>
        <item x="2696"/>
        <item x="2908"/>
        <item x="2558"/>
        <item x="354"/>
        <item x="337"/>
        <item x="4012"/>
        <item x="1040"/>
        <item x="3503"/>
        <item x="3442"/>
        <item x="373"/>
        <item x="1116"/>
        <item x="1629"/>
        <item x="3631"/>
        <item x="1337"/>
        <item x="1601"/>
        <item x="1594"/>
        <item x="3203"/>
        <item x="1696"/>
        <item x="1797"/>
        <item x="3201"/>
        <item x="3990"/>
        <item x="2722"/>
        <item x="3440"/>
        <item x="2504"/>
        <item x="2051"/>
        <item x="2505"/>
        <item x="205"/>
        <item x="3193"/>
        <item x="2142"/>
        <item x="973"/>
        <item x="14"/>
        <item x="1534"/>
        <item x="2719"/>
        <item x="1963"/>
        <item x="3910"/>
        <item x="965"/>
        <item x="364"/>
        <item x="1008"/>
        <item x="615"/>
        <item x="3555"/>
        <item x="2069"/>
        <item x="2301"/>
        <item x="2068"/>
        <item x="2512"/>
        <item x="960"/>
        <item x="1986"/>
        <item x="1109"/>
        <item x="1776"/>
        <item x="2070"/>
        <item x="2871"/>
        <item x="2190"/>
        <item x="853"/>
        <item x="3213"/>
        <item x="604"/>
        <item x="255"/>
        <item x="2914"/>
        <item x="262"/>
        <item x="535"/>
        <item x="1619"/>
        <item x="3147"/>
        <item x="959"/>
        <item x="2659"/>
        <item x="3733"/>
        <item x="2096"/>
        <item x="1200"/>
        <item x="239"/>
        <item x="2170"/>
        <item x="2212"/>
        <item x="3912"/>
        <item x="3249"/>
        <item x="3085"/>
        <item x="1618"/>
        <item x="1322"/>
        <item x="3812"/>
        <item x="3153"/>
        <item x="1394"/>
        <item x="2583"/>
        <item x="2766"/>
        <item x="1847"/>
        <item x="694"/>
        <item x="2943"/>
        <item x="1387"/>
        <item x="1701"/>
        <item x="599"/>
        <item x="1739"/>
        <item x="2027"/>
        <item x="110"/>
        <item x="1431"/>
        <item x="1849"/>
        <item x="3000"/>
        <item x="618"/>
        <item x="2886"/>
        <item x="3706"/>
        <item x="952"/>
        <item x="3177"/>
        <item x="684"/>
        <item x="1704"/>
        <item x="3625"/>
        <item x="2855"/>
        <item x="420"/>
        <item x="1636"/>
        <item x="330"/>
        <item x="1596"/>
        <item x="3204"/>
        <item x="19"/>
        <item x="2429"/>
        <item x="3789"/>
        <item x="3596"/>
        <item x="3291"/>
        <item x="598"/>
        <item x="3491"/>
        <item x="1128"/>
        <item x="3180"/>
        <item x="1374"/>
        <item x="1027"/>
        <item x="2692"/>
        <item x="2868"/>
        <item x="3960"/>
        <item x="740"/>
        <item x="484"/>
        <item x="3117"/>
        <item x="2196"/>
        <item x="1348"/>
        <item x="2860"/>
        <item x="208"/>
        <item x="1447"/>
        <item x="3945"/>
        <item x="1409"/>
        <item x="3876"/>
        <item x="548"/>
        <item x="1281"/>
        <item x="2881"/>
        <item x="2073"/>
        <item x="1669"/>
        <item x="588"/>
        <item x="2806"/>
        <item x="3184"/>
        <item x="665"/>
        <item x="3847"/>
        <item x="325"/>
        <item x="3882"/>
        <item x="173"/>
        <item x="3524"/>
        <item x="1843"/>
        <item x="2243"/>
        <item x="2773"/>
        <item x="974"/>
        <item x="2515"/>
        <item x="2516"/>
        <item x="1830"/>
        <item x="3343"/>
        <item x="2014"/>
        <item x="426"/>
        <item x="2805"/>
        <item x="1353"/>
        <item x="2776"/>
        <item x="3984"/>
        <item x="2282"/>
        <item x="3607"/>
        <item x="3849"/>
        <item x="3834"/>
        <item x="3108"/>
        <item x="1737"/>
        <item x="3795"/>
        <item x="1089"/>
        <item x="2578"/>
        <item x="63"/>
        <item x="2388"/>
        <item x="2779"/>
        <item x="2323"/>
        <item x="1980"/>
        <item x="3502"/>
        <item x="2630"/>
        <item x="845"/>
        <item x="2941"/>
        <item x="3383"/>
        <item x="1362"/>
        <item x="726"/>
        <item x="1148"/>
        <item x="752"/>
        <item x="1119"/>
        <item x="3628"/>
        <item x="1655"/>
        <item x="1213"/>
        <item x="848"/>
        <item x="228"/>
        <item x="357"/>
        <item x="3885"/>
        <item x="2913"/>
        <item x="644"/>
        <item x="781"/>
        <item x="636"/>
        <item x="198"/>
        <item x="3941"/>
        <item x="1997"/>
        <item x="3191"/>
        <item x="1131"/>
        <item x="1553"/>
        <item x="2280"/>
        <item x="3470"/>
        <item x="486"/>
        <item x="383"/>
        <item x="955"/>
        <item x="3958"/>
        <item x="406"/>
        <item x="2463"/>
        <item x="3421"/>
        <item x="711"/>
        <item x="1536"/>
        <item x="3604"/>
        <item x="808"/>
        <item x="1556"/>
        <item x="2155"/>
        <item x="2247"/>
        <item x="2884"/>
        <item x="260"/>
        <item x="1660"/>
        <item x="3092"/>
        <item x="2387"/>
        <item x="990"/>
        <item x="148"/>
        <item x="2698"/>
        <item x="3035"/>
        <item x="407"/>
        <item x="2963"/>
        <item x="1296"/>
        <item x="2316"/>
        <item x="970"/>
        <item x="471"/>
        <item x="2664"/>
        <item x="2086"/>
        <item x="3200"/>
        <item x="3337"/>
        <item x="1366"/>
        <item x="2904"/>
        <item x="3103"/>
        <item x="4014"/>
        <item x="1198"/>
        <item x="2832"/>
        <item x="1403"/>
        <item x="3727"/>
        <item x="3382"/>
        <item x="3920"/>
        <item x="3064"/>
        <item x="1995"/>
        <item x="962"/>
        <item x="371"/>
        <item x="200"/>
        <item x="2349"/>
        <item x="12"/>
        <item x="3883"/>
        <item x="3855"/>
        <item x="279"/>
        <item x="2883"/>
        <item x="1532"/>
        <item x="1312"/>
        <item x="2174"/>
        <item x="3414"/>
        <item x="3644"/>
        <item x="4010"/>
        <item x="120"/>
        <item x="1613"/>
        <item x="82"/>
        <item x="564"/>
        <item x="1054"/>
        <item x="1688"/>
        <item x="3845"/>
        <item x="1172"/>
        <item x="250"/>
        <item x="1988"/>
        <item x="688"/>
        <item x="3405"/>
        <item x="3961"/>
        <item x="1542"/>
        <item x="1193"/>
        <item x="1192"/>
        <item x="1548"/>
        <item x="2126"/>
        <item x="2934"/>
        <item x="1165"/>
        <item x="1919"/>
        <item x="392"/>
        <item x="2368"/>
        <item x="2234"/>
        <item x="1031"/>
        <item x="3121"/>
        <item x="182"/>
        <item x="2595"/>
        <item x="2768"/>
        <item x="2767"/>
        <item x="3865"/>
        <item x="2534"/>
        <item x="2533"/>
        <item x="1646"/>
        <item x="1861"/>
        <item x="1018"/>
        <item x="51"/>
        <item x="3810"/>
        <item x="4018"/>
        <item x="2102"/>
        <item x="1428"/>
        <item x="3217"/>
        <item x="933"/>
        <item x="1022"/>
        <item x="445"/>
        <item x="565"/>
        <item x="3788"/>
        <item x="689"/>
        <item x="3211"/>
        <item x="1284"/>
        <item x="1936"/>
        <item x="62"/>
        <item x="953"/>
        <item x="3563"/>
        <item x="3546"/>
        <item x="651"/>
        <item x="1335"/>
        <item x="1535"/>
        <item x="3879"/>
        <item x="1260"/>
        <item x="3863"/>
        <item x="1992"/>
        <item x="1756"/>
        <item x="1987"/>
        <item x="3797"/>
        <item x="1152"/>
        <item x="446"/>
        <item x="652"/>
        <item x="419"/>
        <item x="3669"/>
        <item x="3682"/>
        <item x="2853"/>
        <item x="2376"/>
        <item x="2531"/>
        <item x="2530"/>
        <item x="3870"/>
        <item x="478"/>
        <item x="1611"/>
        <item x="2902"/>
        <item x="3394"/>
        <item x="1069"/>
        <item x="2041"/>
        <item x="2762"/>
        <item x="2800"/>
        <item x="3236"/>
        <item x="625"/>
        <item x="2188"/>
        <item x="3090"/>
        <item x="2571"/>
        <item x="1225"/>
        <item x="2267"/>
        <item x="702"/>
        <item x="2561"/>
        <item x="585"/>
        <item x="3622"/>
        <item x="2554"/>
        <item x="2901"/>
        <item x="2553"/>
        <item x="2676"/>
        <item x="1672"/>
        <item x="1212"/>
        <item x="2456"/>
        <item x="2519"/>
        <item x="2520"/>
        <item x="3267"/>
        <item x="1745"/>
        <item x="3214"/>
        <item x="3339"/>
        <item x="485"/>
        <item x="2847"/>
        <item x="131"/>
        <item x="375"/>
        <item x="2470"/>
        <item x="3517"/>
        <item x="4015"/>
        <item x="1075"/>
        <item x="117"/>
        <item x="569"/>
        <item x="1820"/>
        <item x="1432"/>
        <item x="3295"/>
        <item x="2375"/>
        <item x="1941"/>
        <item x="2201"/>
        <item x="382"/>
        <item x="1858"/>
        <item x="134"/>
        <item x="226"/>
        <item x="2413"/>
        <item x="2242"/>
        <item x="1609"/>
        <item x="3963"/>
        <item x="2882"/>
        <item x="1051"/>
        <item x="124"/>
        <item x="961"/>
        <item x="2657"/>
        <item x="193"/>
        <item x="1274"/>
        <item x="2127"/>
        <item x="1695"/>
        <item x="2018"/>
        <item x="521"/>
        <item x="506"/>
        <item x="2360"/>
        <item x="880"/>
        <item x="129"/>
        <item x="1030"/>
        <item x="1056"/>
        <item x="587"/>
        <item x="342"/>
        <item x="1827"/>
        <item x="523"/>
        <item x="830"/>
        <item x="2075"/>
        <item x="353"/>
        <item x="696"/>
        <item x="1328"/>
        <item x="24"/>
        <item x="3649"/>
        <item x="3770"/>
        <item x="1361"/>
        <item x="1324"/>
        <item x="3670"/>
        <item x="1023"/>
        <item x="83"/>
        <item x="340"/>
        <item x="3600"/>
        <item x="1528"/>
        <item x="2981"/>
        <item x="1937"/>
        <item x="2563"/>
        <item x="3474"/>
        <item x="3674"/>
        <item x="1037"/>
        <item x="663"/>
        <item x="452"/>
        <item x="3349"/>
        <item x="997"/>
        <item x="501"/>
        <item x="559"/>
        <item x="1872"/>
        <item x="3222"/>
        <item x="253"/>
        <item x="1305"/>
        <item x="3406"/>
        <item x="730"/>
        <item x="3731"/>
        <item x="2994"/>
        <item x="2236"/>
        <item x="3403"/>
        <item x="16"/>
        <item x="2704"/>
        <item x="3959"/>
        <item x="3272"/>
        <item x="3858"/>
        <item x="2154"/>
        <item x="863"/>
        <item x="1525"/>
        <item x="3034"/>
        <item x="71"/>
        <item x="3497"/>
        <item x="2003"/>
        <item x="1266"/>
        <item x="3221"/>
        <item x="3684"/>
        <item x="77"/>
        <item x="583"/>
        <item x="579"/>
        <item x="2733"/>
        <item x="1420"/>
        <item x="1537"/>
        <item x="1651"/>
        <item x="2592"/>
        <item x="3194"/>
        <item x="403"/>
        <item x="3735"/>
        <item x="3547"/>
        <item x="3601"/>
        <item x="504"/>
        <item x="2637"/>
        <item x="672"/>
        <item x="2158"/>
        <item x="1540"/>
        <item x="3104"/>
        <item x="2279"/>
        <item x="2237"/>
        <item x="386"/>
        <item x="1668"/>
        <item x="3886"/>
        <item x="254"/>
        <item x="889"/>
        <item x="3948"/>
        <item x="1118"/>
        <item x="3679"/>
        <item x="664"/>
        <item x="2952"/>
        <item x="2467"/>
        <item x="566"/>
        <item x="2879"/>
        <item x="1860"/>
        <item x="1412"/>
        <item x="1493"/>
        <item x="1004"/>
        <item x="3274"/>
        <item x="2081"/>
        <item x="227"/>
        <item x="2047"/>
        <item x="2693"/>
        <item x="3560"/>
        <item x="3088"/>
        <item x="2876"/>
        <item x="2430"/>
        <item x="90"/>
        <item x="460"/>
        <item x="1736"/>
        <item x="3390"/>
        <item x="203"/>
        <item x="187"/>
        <item x="1005"/>
        <item x="283"/>
        <item x="811"/>
        <item x="92"/>
        <item x="343"/>
        <item x="1526"/>
        <item x="3458"/>
        <item x="1866"/>
        <item x="987"/>
        <item x="1681"/>
        <item x="3186"/>
        <item x="3445"/>
        <item x="3179"/>
        <item x="2447"/>
        <item x="3188"/>
        <item x="1123"/>
        <item x="2038"/>
        <item x="2013"/>
        <item x="538"/>
        <item x="869"/>
        <item x="2559"/>
        <item x="1135"/>
        <item x="435"/>
        <item x="1527"/>
        <item x="630"/>
        <item x="25"/>
        <item x="1631"/>
        <item x="4013"/>
        <item x="2396"/>
        <item x="3077"/>
        <item x="367"/>
        <item x="1522"/>
        <item x="1006"/>
        <item x="1634"/>
        <item x="2198"/>
        <item x="374"/>
        <item x="3392"/>
        <item x="2574"/>
        <item x="709"/>
        <item x="3835"/>
        <item x="2328"/>
        <item x="807"/>
        <item x="2729"/>
        <item x="3477"/>
        <item x="2332"/>
        <item x="1809"/>
        <item x="2755"/>
        <item x="163"/>
        <item x="667"/>
        <item x="2374"/>
        <item x="1648"/>
        <item x="3919"/>
        <item x="3943"/>
        <item x="1418"/>
        <item x="1661"/>
        <item x="1273"/>
        <item x="3459"/>
        <item x="1658"/>
        <item x="3101"/>
        <item x="133"/>
        <item x="3438"/>
        <item x="3270"/>
        <item x="1520"/>
        <item x="175"/>
        <item x="324"/>
        <item x="1257"/>
        <item x="1306"/>
        <item x="704"/>
        <item x="201"/>
        <item x="1355"/>
        <item x="3083"/>
        <item x="3084"/>
        <item x="2197"/>
        <item x="3939"/>
        <item x="202"/>
        <item x="3590"/>
        <item x="1258"/>
        <item x="245"/>
        <item x="2831"/>
        <item x="1615"/>
        <item x="3798"/>
        <item x="1817"/>
        <item x="3082"/>
        <item x="2737"/>
        <item x="2379"/>
        <item x="1321"/>
        <item x="2880"/>
        <item x="9"/>
        <item x="3994"/>
        <item x="2995"/>
        <item x="1347"/>
        <item x="2517"/>
        <item x="2518"/>
        <item x="1846"/>
        <item x="1153"/>
        <item x="29"/>
        <item x="1610"/>
        <item x="3633"/>
        <item x="3718"/>
        <item x="2754"/>
        <item x="2827"/>
        <item x="3038"/>
        <item x="2369"/>
        <item x="1667"/>
        <item x="421"/>
        <item x="840"/>
        <item x="906"/>
        <item x="3612"/>
        <item x="3345"/>
        <item x="1978"/>
        <item x="11"/>
        <item x="463"/>
        <item x="462"/>
        <item x="657"/>
        <item x="520"/>
        <item x="603"/>
        <item x="2092"/>
        <item x="2761"/>
        <item x="1983"/>
        <item x="1943"/>
        <item x="3609"/>
        <item x="1077"/>
        <item x="876"/>
        <item x="1068"/>
        <item x="2159"/>
        <item x="3952"/>
        <item x="912"/>
        <item x="3550"/>
        <item x="3985"/>
        <item x="3417"/>
        <item x="2838"/>
        <item x="2679"/>
        <item x="2686"/>
        <item x="3957"/>
        <item x="1670"/>
        <item x="3940"/>
        <item x="1064"/>
        <item x="575"/>
        <item x="2185"/>
        <item x="409"/>
        <item x="1066"/>
        <item x="2469"/>
        <item x="80"/>
        <item x="2335"/>
        <item x="3340"/>
        <item x="3516"/>
        <item x="2777"/>
        <item x="257"/>
        <item x="1439"/>
        <item x="806"/>
        <item x="1942"/>
        <item x="1832"/>
        <item x="2970"/>
        <item x="2000"/>
        <item x="3712"/>
        <item x="1819"/>
        <item x="1275"/>
        <item x="3480"/>
        <item x="782"/>
        <item x="1856"/>
        <item x="1859"/>
        <item x="1945"/>
        <item x="1644"/>
        <item x="700"/>
        <item x="3852"/>
        <item x="1016"/>
        <item x="3896"/>
        <item x="1021"/>
        <item x="464"/>
        <item x="2064"/>
        <item x="470"/>
        <item x="1979"/>
        <item x="1867"/>
        <item x="661"/>
        <item x="3841"/>
        <item x="1635"/>
        <item x="447"/>
        <item x="1346"/>
        <item x="2586"/>
        <item x="915"/>
        <item x="2948"/>
        <item x="1813"/>
        <item x="427"/>
        <item x="3187"/>
        <item x="2815"/>
        <item x="805"/>
        <item x="1003"/>
        <item x="2568"/>
        <item x="794"/>
        <item x="188"/>
        <item x="3513"/>
        <item x="3095"/>
        <item x="1017"/>
        <item x="3678"/>
        <item x="339"/>
        <item x="2843"/>
        <item x="434"/>
        <item x="3577"/>
        <item x="503"/>
        <item x="3075"/>
        <item x="477"/>
        <item x="3582"/>
        <item x="79"/>
        <item x="3720"/>
        <item x="355"/>
        <item x="2008"/>
        <item x="3420"/>
        <item x="472"/>
        <item x="3983"/>
        <item x="707"/>
        <item x="1934"/>
        <item x="1774"/>
        <item x="243"/>
        <item x="2781"/>
        <item x="2741"/>
        <item x="3736"/>
        <item x="697"/>
        <item x="465"/>
        <item x="1015"/>
        <item x="86"/>
        <item x="2935"/>
        <item x="1053"/>
        <item x="1410"/>
        <item x="458"/>
        <item x="3809"/>
        <item x="338"/>
        <item x="1569"/>
        <item x="149"/>
        <item x="1356"/>
        <item x="1590"/>
        <item x="568"/>
        <item x="1577"/>
        <item x="999"/>
        <item x="1332"/>
        <item x="1516"/>
        <item x="3182"/>
        <item x="2687"/>
        <item x="1421"/>
        <item x="2828"/>
        <item x="911"/>
        <item x="2017"/>
        <item x="3102"/>
        <item x="589"/>
        <item x="1738"/>
        <item x="18"/>
        <item x="1974"/>
        <item x="1137"/>
        <item x="3850"/>
        <item x="2327"/>
        <item x="1515"/>
        <item x="2385"/>
        <item x="2826"/>
        <item x="1643"/>
        <item x="1990"/>
        <item x="913"/>
        <item x="451"/>
        <item x="1752"/>
        <item x="1146"/>
        <item x="2392"/>
        <item x="2007"/>
        <item x="1323"/>
        <item x="3697"/>
        <item x="2324"/>
        <item x="1663"/>
        <item x="2731"/>
        <item x="3181"/>
        <item x="344"/>
        <item x="1530"/>
        <item x="3393"/>
        <item x="608"/>
        <item x="259"/>
        <item x="3846"/>
        <item x="3771"/>
        <item x="1519"/>
        <item x="3207"/>
        <item x="440"/>
        <item x="4016"/>
        <item x="1138"/>
        <item x="2334"/>
        <item x="1869"/>
        <item x="1868"/>
        <item x="658"/>
        <item x="3839"/>
        <item x="3422"/>
        <item x="2460"/>
        <item x="3564"/>
        <item x="195"/>
        <item x="993"/>
        <item x="3476"/>
        <item x="995"/>
        <item x="1150"/>
        <item x="3091"/>
        <item x="1523"/>
        <item x="910"/>
        <item x="3113"/>
        <item x="577"/>
        <item x="1857"/>
        <item x="1993"/>
        <item x="91"/>
        <item x="2394"/>
        <item x="1339"/>
        <item x="385"/>
        <item x="1664"/>
        <item x="2278"/>
        <item x="347"/>
        <item x="2674"/>
        <item x="1589"/>
        <item x="327"/>
        <item x="815"/>
        <item x="2691"/>
        <item x="2576"/>
        <item x="3689"/>
        <item x="902"/>
        <item x="988"/>
        <item x="3039"/>
        <item x="729"/>
        <item x="763"/>
        <item x="3687"/>
        <item x="2390"/>
        <item x="3842"/>
        <item x="34"/>
        <item x="2331"/>
        <item x="1647"/>
        <item x="1742"/>
        <item x="1818"/>
        <item x="1757"/>
        <item x="3514"/>
        <item x="1518"/>
        <item x="2457"/>
        <item x="1314"/>
        <item x="132"/>
        <item x="2386"/>
        <item x="3541"/>
        <item x="3580"/>
        <item x="441"/>
        <item x="89"/>
        <item x="1918"/>
        <item x="2848"/>
        <item x="3271"/>
        <item x="316"/>
        <item x="578"/>
        <item x="3413"/>
        <item x="3880"/>
        <item x="552"/>
        <item x="1864"/>
        <item x="1674"/>
        <item x="2569"/>
        <item x="180"/>
        <item x="1145"/>
        <item x="2769"/>
        <item x="3709"/>
        <item x="1531"/>
        <item x="1538"/>
        <item x="3794"/>
        <item x="1479"/>
        <item x="360"/>
        <item x="1265"/>
        <item x="1939"/>
        <item x="1122"/>
        <item x="2461"/>
        <item x="1521"/>
        <item x="3729"/>
        <item x="3404"/>
        <item x="1989"/>
        <item x="1050"/>
        <item x="3944"/>
        <item x="1641"/>
        <item x="2371"/>
        <item x="3471"/>
        <item x="2471"/>
        <item x="2682"/>
        <item x="3512"/>
        <item x="280"/>
        <item x="3216"/>
        <item x="817"/>
        <item x="1478"/>
        <item x="116"/>
        <item x="3280"/>
        <item x="3986"/>
        <item x="3671"/>
        <item x="3900"/>
        <item x="2932"/>
        <item x="361"/>
        <item x="1583"/>
        <item x="2076"/>
        <item x="2732"/>
        <item x="3728"/>
        <item x="1132"/>
        <item x="3848"/>
        <item x="804"/>
        <item x="3913"/>
        <item x="3909"/>
        <item x="3936"/>
        <item x="369"/>
        <item x="2797"/>
        <item x="408"/>
        <item x="2760"/>
        <item x="3327"/>
        <item x="1067"/>
        <item x="2656"/>
        <item x="1755"/>
        <item x="3402"/>
        <item x="40"/>
        <item x="2151"/>
        <item x="2942"/>
        <item x="2160"/>
        <item x="3097"/>
        <item x="582"/>
        <item x="229"/>
        <item x="1828"/>
        <item x="1662"/>
        <item x="1814"/>
        <item x="701"/>
        <item x="1883"/>
        <item x="1930"/>
        <item x="1028"/>
        <item x="710"/>
        <item x="1882"/>
        <item x="2015"/>
        <item x="560"/>
        <item x="2011"/>
        <item x="372"/>
        <item x="2186"/>
        <item x="1823"/>
        <item x="2337"/>
        <item x="2221"/>
        <item x="2662"/>
        <item x="1584"/>
        <item x="1408"/>
        <item x="3464"/>
        <item x="1033"/>
        <item x="2933"/>
        <item x="103"/>
        <item x="874"/>
        <item x="2401"/>
        <item x="2333"/>
        <item x="2575"/>
        <item x="2877"/>
        <item x="2742"/>
        <item x="1405"/>
        <item x="1422"/>
        <item x="1062"/>
        <item x="3977"/>
        <item x="3583"/>
        <item x="656"/>
        <item x="834"/>
        <item x="3466"/>
        <item x="365"/>
        <item x="2905"/>
        <item x="594"/>
        <item x="2152"/>
        <item x="2078"/>
        <item x="2199"/>
        <item x="2088"/>
        <item x="3096"/>
        <item x="2446"/>
        <item x="1433"/>
        <item x="3468"/>
        <item x="1331"/>
        <item x="574"/>
        <item x="3680"/>
        <item x="809"/>
        <item x="45"/>
        <item x="3238"/>
        <item x="1019"/>
        <item x="3273"/>
        <item x="836"/>
        <item x="3773"/>
        <item x="3156"/>
        <item x="2063"/>
        <item x="1829"/>
        <item x="1970"/>
        <item x="771"/>
        <item x="832"/>
        <item x="3739"/>
        <item x="1533"/>
        <item x="3796"/>
        <item x="2975"/>
        <item x="1998"/>
        <item x="992"/>
        <item x="1812"/>
        <item x="1294"/>
        <item x="211"/>
        <item x="186"/>
        <item x="3677"/>
        <item x="3338"/>
        <item x="2672"/>
        <item x="2660"/>
        <item x="1645"/>
        <item x="3578"/>
        <item x="3190"/>
        <item x="3700"/>
        <item x="3220"/>
        <item x="74"/>
        <item x="102"/>
        <item x="1555"/>
        <item x="3276"/>
        <item x="3688"/>
        <item x="2658"/>
        <item x="1811"/>
        <item x="3643"/>
        <item x="336"/>
        <item x="1263"/>
        <item x="3248"/>
        <item x="847"/>
        <item x="1753"/>
        <item x="522"/>
        <item x="1557"/>
        <item x="2458"/>
        <item x="210"/>
        <item x="418"/>
        <item x="1940"/>
        <item x="576"/>
        <item x="2869"/>
        <item x="1822"/>
        <item x="2570"/>
        <item x="3475"/>
        <item x="2521"/>
        <item x="2522"/>
        <item x="321"/>
        <item x="2996"/>
        <item x="404"/>
        <item x="593"/>
        <item x="85"/>
        <item x="428"/>
        <item x="4017"/>
        <item x="1825"/>
        <item x="178"/>
        <item x="1411"/>
        <item x="3693"/>
        <item x="155"/>
        <item x="3737"/>
        <item x="3301"/>
        <item x="1151"/>
        <item x="161"/>
        <item x="905"/>
        <item x="2980"/>
        <item x="3347"/>
        <item x="2829"/>
        <item x="2946"/>
        <item x="2087"/>
        <item x="1758"/>
        <item x="572"/>
        <item x="3342"/>
        <item x="3467"/>
        <item x="2091"/>
        <item x="449"/>
        <item x="139"/>
        <item x="1973"/>
        <item x="3544"/>
        <item x="695"/>
        <item x="2830"/>
        <item x="837"/>
        <item x="716"/>
        <item x="1304"/>
        <item x="1134"/>
        <item x="43"/>
        <item x="2202"/>
        <item x="1311"/>
        <item x="1423"/>
        <item x="3215"/>
        <item x="699"/>
        <item x="3545"/>
        <item x="2153"/>
        <item x="1994"/>
        <item x="2695"/>
        <item x="140"/>
        <item x="442"/>
        <item x="114"/>
        <item x="443"/>
        <item x="2567"/>
        <item x="1130"/>
        <item x="3530"/>
        <item x="3269"/>
        <item x="2740"/>
        <item x="1754"/>
        <item x="2670"/>
        <item x="2233"/>
        <item x="196"/>
        <item x="1656"/>
        <item x="3412"/>
        <item x="2699"/>
        <item x="1259"/>
        <item x="3086"/>
        <item x="168"/>
        <item x="73"/>
        <item x="1673"/>
        <item x="10"/>
        <item x="2230"/>
        <item x="1977"/>
        <item x="770"/>
        <item x="713"/>
        <item x="2372"/>
        <item x="1136"/>
        <item x="142"/>
        <item x="1517"/>
        <item x="3202"/>
        <item x="376"/>
        <item x="3792"/>
        <item x="3037"/>
        <item x="705"/>
        <item x="3515"/>
        <item x="1524"/>
        <item x="2678"/>
        <item x="2931"/>
        <item x="914"/>
        <item x="2232"/>
        <item x="586"/>
        <item x="3769"/>
        <item x="1268"/>
        <item x="2389"/>
        <item x="2730"/>
        <item x="3237"/>
        <item x="488"/>
        <item x="439"/>
        <item x="1824"/>
        <item x="550"/>
        <item x="437"/>
        <item x="2468"/>
        <item x="3275"/>
        <item x="712"/>
        <item x="1129"/>
        <item x="87"/>
        <item x="2671"/>
        <item x="3155"/>
        <item x="322"/>
        <item x="2085"/>
        <item x="36"/>
        <item x="2135"/>
        <item x="3772"/>
        <item x="3185"/>
        <item x="1748"/>
        <item x="1416"/>
        <item x="1870"/>
        <item x="865"/>
        <item x="2399"/>
        <item x="1072"/>
        <item x="1379"/>
        <item x="1586"/>
        <item x="230"/>
        <item x="475"/>
        <item x="412"/>
        <item x="2105"/>
        <item x="3469"/>
        <item x="3419"/>
        <item x="2336"/>
        <item x="115"/>
        <item x="199"/>
        <item x="164"/>
        <item x="2780"/>
        <item x="341"/>
        <item x="2982"/>
        <item x="3531"/>
        <item x="3212"/>
        <item x="98"/>
        <item x="1608"/>
        <item x="3183"/>
        <item x="4011"/>
        <item x="655"/>
        <item x="3683"/>
        <item x="3667"/>
        <item x="662"/>
        <item x="3857"/>
        <item x="3463"/>
        <item x="46"/>
        <item x="1341"/>
        <item x="141"/>
        <item x="2373"/>
        <item x="3719"/>
        <item x="706"/>
        <item x="507"/>
        <item x="3094"/>
        <item x="2845"/>
        <item x="1073"/>
        <item x="1862"/>
        <item x="2870"/>
        <item x="1591"/>
        <item x="1975"/>
        <item x="3947"/>
        <item x="107"/>
        <item x="126"/>
        <item x="147"/>
        <item x="606"/>
        <item x="3152"/>
        <item x="991"/>
        <item x="1133"/>
        <item x="3734"/>
        <item x="1666"/>
        <item x="3591"/>
        <item x="1125"/>
        <item x="989"/>
        <item x="2782"/>
        <item x="35"/>
        <item x="1302"/>
        <item x="28"/>
        <item x="3528"/>
        <item x="996"/>
        <item x="2673"/>
        <item x="3704"/>
        <item x="693"/>
        <item x="1352"/>
        <item x="2228"/>
        <item x="119"/>
        <item x="3938"/>
        <item x="1863"/>
        <item x="52"/>
        <item x="2464"/>
        <item x="3509"/>
        <item x="3942"/>
        <item x="551"/>
        <item x="281"/>
        <item x="2203"/>
        <item x="3549"/>
        <item x="660"/>
        <item x="831"/>
        <item x="1972"/>
        <item x="2001"/>
        <item x="42"/>
        <item x="2382"/>
        <item x="1267"/>
        <item x="1926"/>
        <item x="1127"/>
        <item x="554"/>
        <item x="1588"/>
        <item x="2306"/>
        <item x="2680"/>
        <item x="1935"/>
        <item x="1025"/>
        <item x="1124"/>
        <item x="3838"/>
        <item x="2573"/>
        <item x="2771"/>
        <item x="2397"/>
        <item x="1076"/>
        <item x="108"/>
        <item x="479"/>
        <item x="448"/>
        <item x="2459"/>
        <item x="1659"/>
        <item x="901"/>
        <item x="3995"/>
        <item x="1070"/>
        <item x="1946"/>
        <item x="405"/>
        <item x="1126"/>
        <item x="106"/>
        <item x="1679"/>
        <item x="3532"/>
        <item x="1333"/>
        <item x="1149"/>
        <item x="474"/>
        <item x="3040"/>
        <item x="276"/>
        <item x="190"/>
        <item x="3686"/>
        <item x="3105"/>
        <item x="415"/>
        <item x="2675"/>
        <item x="3732"/>
        <item x="3641"/>
        <item x="2825"/>
        <item x="3192"/>
        <item x="112"/>
        <item x="2763"/>
        <item x="2074"/>
        <item x="698"/>
        <item x="1981"/>
        <item x="1642"/>
        <item x="3647"/>
        <item x="2132"/>
        <item x="166"/>
        <item x="69"/>
        <item x="247"/>
        <item x="3575"/>
        <item x="904"/>
        <item x="424"/>
        <item x="1831"/>
        <item x="714"/>
        <item x="2016"/>
        <item x="1514"/>
        <item x="275"/>
        <item x="99"/>
        <item x="3235"/>
        <item x="370"/>
        <item x="584"/>
        <item x="3685"/>
        <item x="580"/>
        <item x="1079"/>
        <item x="2697"/>
        <item x="1065"/>
        <item x="249"/>
        <item x="3154"/>
        <item x="3840"/>
        <item x="3681"/>
        <item x="105"/>
        <item x="570"/>
        <item x="389"/>
        <item x="3730"/>
        <item x="156"/>
        <item x="1541"/>
        <item x="3089"/>
        <item x="450"/>
        <item x="1971"/>
        <item x="571"/>
        <item x="1301"/>
        <item x="109"/>
        <item x="3250"/>
        <item x="547"/>
        <item x="2012"/>
        <item x="1334"/>
        <item x="2162"/>
        <item x="1612"/>
        <item x="101"/>
        <item x="2133"/>
        <item x="2093"/>
        <item x="1585"/>
        <item x="3856"/>
        <item x="2393"/>
        <item x="391"/>
        <item x="2136"/>
        <item x="909"/>
        <item x="1001"/>
        <item x="1821"/>
        <item x="1032"/>
        <item x="3648"/>
        <item x="2241"/>
        <item x="3542"/>
        <item x="2930"/>
        <item x="489"/>
        <item x="1933"/>
        <item x="2720"/>
        <item x="2668"/>
        <item x="2134"/>
        <item x="167"/>
        <item x="473"/>
        <item x="100"/>
        <item x="258"/>
        <item x="151"/>
        <item x="438"/>
        <item x="162"/>
        <item x="2753"/>
        <item x="3344"/>
        <item x="76"/>
        <item x="3093"/>
        <item x="1826"/>
        <item x="1587"/>
        <item x="2235"/>
        <item x="1407"/>
        <item x="169"/>
        <item x="3410"/>
        <item x="3710"/>
        <item x="1917"/>
        <item x="1029"/>
        <item x="2462"/>
        <item x="715"/>
        <item x="3978"/>
        <item x="39"/>
        <item x="2161"/>
        <item x="3518"/>
        <item x="3087"/>
        <item x="1419"/>
        <item x="231"/>
        <item x="2951"/>
        <item x="3901"/>
        <item x="3950"/>
        <item x="1141"/>
        <item x="157"/>
        <item x="998"/>
        <item x="1638"/>
        <item x="573"/>
        <item x="1657"/>
        <item x="2677"/>
        <item x="2985"/>
        <item x="1303"/>
        <item x="1665"/>
        <item x="3418"/>
        <item x="2669"/>
        <item x="1417"/>
        <item x="1875"/>
        <item x="81"/>
        <item x="875"/>
        <item x="314"/>
        <item x="1171"/>
        <item x="1173"/>
        <item x="3946"/>
        <item x="118"/>
        <item x="1340"/>
        <item x="2325"/>
        <item x="1080"/>
        <item x="1671"/>
        <item x="2083"/>
        <item x="2955"/>
        <item x="2002"/>
        <item x="2465"/>
        <item x="2844"/>
        <item x="159"/>
        <item x="3099"/>
        <item x="2772"/>
        <item x="3281"/>
        <item x="381"/>
        <item x="515"/>
        <item x="3424"/>
        <item x="2666"/>
        <item x="160"/>
        <item x="1976"/>
        <item x="545"/>
        <item x="154"/>
        <item x="1938"/>
        <item x="3738"/>
        <item x="1024"/>
        <item x="3843"/>
        <item x="388"/>
        <item x="2694"/>
        <item x="674"/>
        <item x="3043"/>
        <item x="908"/>
        <item x="3278"/>
        <item x="1139"/>
        <item x="192"/>
        <item x="3708"/>
        <item x="191"/>
        <item x="2383"/>
        <item x="4005"/>
        <item x="3955"/>
        <item x="2849"/>
        <item x="41"/>
        <item x="3881"/>
        <item x="3996"/>
        <item x="3699"/>
        <item x="75"/>
        <item x="2200"/>
        <item x="1074"/>
        <item x="413"/>
        <item x="3836"/>
        <item x="1865"/>
        <item x="3991"/>
        <item x="3411"/>
        <item x="1349"/>
        <item x="158"/>
        <item x="1000"/>
        <item x="703"/>
        <item x="1406"/>
        <item x="1920"/>
        <item x="3951"/>
        <item x="681"/>
        <item x="1639"/>
        <item x="2089"/>
        <item x="2395"/>
        <item x="2377"/>
        <item x="2986"/>
        <item x="422"/>
        <item x="1675"/>
        <item x="2466"/>
        <item x="2326"/>
        <item x="2156"/>
        <item x="402"/>
        <item x="3465"/>
        <item x="3793"/>
        <item x="708"/>
        <item x="2084"/>
        <item x="1342"/>
        <item x="2338"/>
        <item x="444"/>
        <item x="3100"/>
        <item x="224"/>
        <item x="2391"/>
        <item x="1513"/>
        <item x="2564"/>
        <item x="1344"/>
        <item x="2398"/>
        <item x="31"/>
        <item x="2238"/>
        <item x="2113"/>
        <item x="3416"/>
        <item x="1967"/>
        <item x="2683"/>
        <item x="3636"/>
        <item x="563"/>
        <item x="3676"/>
        <item x="1404"/>
        <item x="3044"/>
        <item x="3279"/>
        <item x="813"/>
        <item x="3508"/>
        <item x="3415"/>
        <item x="2005"/>
        <item x="3956"/>
        <item x="2852"/>
        <item x="2850"/>
        <item x="1529"/>
        <item x="2752"/>
        <item x="3861"/>
        <item x="352"/>
        <item x="1081"/>
        <item x="1345"/>
        <item x="3837"/>
        <item x="1140"/>
        <item x="2756"/>
        <item x="2775"/>
        <item x="1187"/>
        <item x="1261"/>
        <item x="903"/>
        <item x="417"/>
        <item x="1632"/>
        <item x="872"/>
        <item x="487"/>
        <item x="3494"/>
        <item x="1693"/>
        <item x="2378"/>
        <item x="1747"/>
        <item x="345"/>
        <item x="3562"/>
        <item x="1649"/>
        <item x="328"/>
        <item x="1415"/>
        <item x="1512"/>
        <item x="1873"/>
        <item x="2157"/>
        <item x="3953"/>
        <item x="2565"/>
        <item x="3646"/>
        <item x="2239"/>
        <item x="1002"/>
        <item x="3790"/>
        <item x="3478"/>
        <item x="2384"/>
        <item x="232"/>
        <item x="1931"/>
        <item x="2962"/>
        <item x="2684"/>
        <item x="3853"/>
        <item x="1071"/>
        <item x="3675"/>
        <item x="38"/>
        <item x="3341"/>
        <item x="1509"/>
        <item x="50"/>
        <item x="2472"/>
        <item x="1929"/>
        <item x="3691"/>
        <item x="2757"/>
        <item x="368"/>
        <item x="675"/>
        <item x="1743"/>
        <item x="1652"/>
        <item x="1927"/>
        <item x="3970"/>
        <item x="1749"/>
        <item x="2079"/>
        <item x="282"/>
        <item x="3898"/>
        <item x="1492"/>
        <item x="1633"/>
        <item x="4006"/>
        <item x="150"/>
        <item x="1511"/>
        <item x="814"/>
        <item x="2380"/>
        <item x="1746"/>
        <item x="1154"/>
        <item x="2911"/>
        <item x="1650"/>
        <item x="1020"/>
        <item x="1874"/>
        <item x="812"/>
        <item x="3954"/>
        <item x="3695"/>
        <item x="3791"/>
        <item x="3479"/>
        <item x="3962"/>
        <item x="3862"/>
        <item x="1932"/>
        <item x="3472"/>
        <item x="3854"/>
        <item x="1414"/>
        <item x="3844"/>
        <item x="1510"/>
        <item x="2473"/>
        <item x="3690"/>
        <item x="2824"/>
        <item x="1871"/>
        <item x="1744"/>
        <item x="128"/>
        <item x="1653"/>
        <item x="1928"/>
        <item x="1750"/>
        <item x="2080"/>
        <item x="2381"/>
        <item x="803"/>
        <item x="3694"/>
        <item x="1026"/>
        <item x="3473"/>
        <item x="916"/>
        <item x="799"/>
        <item x="3036"/>
        <item x="2400"/>
        <item x="2150"/>
        <item x="1350"/>
        <item x="1969"/>
        <item x="2681"/>
        <item x="2240"/>
        <item x="1654"/>
        <item x="2077"/>
        <item x="1921"/>
        <item x="2566"/>
        <item x="1640"/>
        <item x="1413"/>
        <item x="1485"/>
        <item x="44"/>
        <item x="861"/>
        <item x="3258"/>
        <item x="3437"/>
        <item x="3151"/>
        <item x="567"/>
        <item x="2663"/>
        <item x="2131"/>
        <item x="2422"/>
        <item x="212"/>
        <item x="816"/>
        <item x="605"/>
        <item x="3740"/>
        <item x="2579"/>
        <item x="3314"/>
        <item x="1354"/>
        <item x="920"/>
        <item x="555"/>
        <item x="319"/>
        <item x="2866"/>
        <item x="2244"/>
        <item x="1484"/>
        <item x="923"/>
        <item x="48"/>
        <item x="827"/>
        <item x="2125"/>
        <item x="2646"/>
        <item x="1009"/>
        <item x="2451"/>
        <item x="2067"/>
        <item x="2502"/>
        <item x="519"/>
        <item x="1308"/>
        <item x="2453"/>
        <item x="2421"/>
        <item x="2071"/>
        <item x="921"/>
        <item x="3158"/>
        <item x="1910"/>
        <item x="3787"/>
        <item x="633"/>
        <item x="1144"/>
        <item x="3659"/>
        <item x="3507"/>
        <item x="2130"/>
        <item x="2822"/>
        <item x="1581"/>
        <item x="197"/>
        <item x="3266"/>
        <item x="2840"/>
        <item x="3264"/>
        <item x="862"/>
        <item x="919"/>
        <item x="634"/>
        <item x="3387"/>
        <item x="3256"/>
        <item x="1913"/>
        <item x="2836"/>
        <item x="1914"/>
        <item x="3931"/>
        <item x="2455"/>
        <item x="1272"/>
        <item x="3384"/>
        <item x="1908"/>
        <item x="3774"/>
        <item x="2727"/>
        <item x="3652"/>
        <item x="1985"/>
        <item x="3540"/>
        <item x="632"/>
        <item x="2182"/>
        <item x="2873"/>
        <item x="3388"/>
        <item x="1911"/>
        <item x="3784"/>
        <item x="363"/>
        <item x="1035"/>
        <item x="1155"/>
        <item x="1249"/>
        <item x="3922"/>
        <item x="2066"/>
        <item x="1801"/>
        <item x="907"/>
        <item x="1424"/>
        <item x="3456"/>
        <item x="2180"/>
        <item x="2449"/>
        <item x="948"/>
        <item x="1741"/>
        <item x="2498"/>
        <item x="1912"/>
        <item x="3389"/>
        <item x="2839"/>
        <item x="2501"/>
        <item x="3323"/>
        <item x="170"/>
        <item x="3265"/>
        <item x="2872"/>
        <item x="3785"/>
        <item x="3820"/>
        <item x="2500"/>
        <item x="2928"/>
        <item x="47"/>
        <item x="950"/>
        <item x="3934"/>
        <item x="2643"/>
        <item x="3538"/>
        <item x="691"/>
        <item x="1185"/>
        <item x="3321"/>
        <item x="3917"/>
        <item x="1360"/>
        <item x="2181"/>
        <item x="2439"/>
        <item x="1250"/>
        <item x="1907"/>
        <item x="2183"/>
        <item x="320"/>
        <item x="3536"/>
        <item x="2179"/>
        <item x="1246"/>
        <item x="2689"/>
        <item x="3259"/>
        <item x="829"/>
        <item x="1436"/>
        <item x="362"/>
        <item x="1307"/>
        <item x="1799"/>
        <item x="3918"/>
        <item x="2842"/>
        <item x="2445"/>
        <item x="1061"/>
        <item x="529"/>
        <item x="1463"/>
        <item x="3923"/>
        <item x="3786"/>
        <item x="1808"/>
        <item x="2499"/>
        <item x="3255"/>
        <item x="1582"/>
        <item x="3159"/>
        <item x="111"/>
        <item x="951"/>
        <item x="3318"/>
        <item x="2454"/>
        <item x="1437"/>
        <item x="860"/>
        <item x="1036"/>
        <item x="2497"/>
        <item x="1425"/>
        <item x="3046"/>
        <item x="1477"/>
        <item x="1810"/>
        <item x="518"/>
        <item x="3315"/>
        <item x="3313"/>
        <item x="3935"/>
        <item x="490"/>
        <item x="49"/>
        <item x="3319"/>
        <item x="1010"/>
        <item x="1248"/>
        <item x="828"/>
        <item x="2184"/>
        <item x="761"/>
        <item x="423"/>
        <item x="1909"/>
        <item x="1438"/>
        <item x="2841"/>
        <item x="3658"/>
        <item x="2438"/>
        <item x="152"/>
        <item x="1357"/>
        <item x="1247"/>
        <item x="1800"/>
        <item x="2124"/>
        <item x="760"/>
        <item x="3651"/>
        <item x="2423"/>
        <item x="2655"/>
        <item x="3257"/>
        <item x="692"/>
        <item x="1627"/>
        <item x="2837"/>
        <item x="144"/>
        <item x="2949"/>
        <item x="3260"/>
        <item x="265"/>
        <item x="764"/>
        <item x="557"/>
        <item x="1034"/>
        <item x="1359"/>
        <item x="839"/>
        <item x="1120"/>
        <item x="1316"/>
        <item x="1807"/>
        <item x="3386"/>
        <item x="1300"/>
        <item x="2448"/>
        <item x="2452"/>
        <item x="2129"/>
        <item x="3322"/>
        <item x="2938"/>
        <item x="2128"/>
        <item x="3654"/>
        <item x="3779"/>
        <item x="517"/>
        <item x="1906"/>
        <item x="505"/>
        <item x="3268"/>
        <item x="2835"/>
        <item x="3775"/>
        <item x="2939"/>
        <item x="2947"/>
        <item x="1854"/>
        <item x="3537"/>
        <item x="3072"/>
        <item x="947"/>
        <item x="2061"/>
        <item x="2726"/>
        <item x="2644"/>
        <item x="3320"/>
        <item x="3002"/>
        <item x="2436"/>
        <item x="1251"/>
        <item x="286"/>
        <item x="3483"/>
        <item x="3033"/>
        <item x="3930"/>
        <item x="1924"/>
        <item x="922"/>
        <item x="927"/>
        <item x="2725"/>
        <item x="1999"/>
        <item x="3933"/>
        <item x="2366"/>
        <item x="1358"/>
        <item x="3482"/>
        <item x="1626"/>
        <item x="802"/>
        <item x="3777"/>
        <item x="3385"/>
        <item x="1802"/>
        <item x="925"/>
        <item x="838"/>
        <item x="926"/>
        <item x="2940"/>
        <item x="859"/>
        <item x="3254"/>
        <item x="2645"/>
        <item x="3326"/>
        <item x="3818"/>
        <item x="758"/>
        <item x="2060"/>
        <item x="3262"/>
        <item x="312"/>
        <item x="3263"/>
        <item x="268"/>
        <item x="4"/>
        <item x="768"/>
        <item x="2647"/>
        <item x="556"/>
        <item x="3932"/>
        <item x="1426"/>
        <item x="924"/>
        <item x="2365"/>
        <item x="2224"/>
        <item x="3163"/>
        <item x="2225"/>
        <item x="1848"/>
        <item x="2774"/>
        <item x="2450"/>
        <item x="2874"/>
        <item x="411"/>
        <item x="1607"/>
        <item x="251"/>
        <item x="1833"/>
        <item x="1435"/>
        <item x="1834"/>
        <item x="759"/>
        <item x="2227"/>
        <item x="3003"/>
        <item x="2367"/>
        <item x="949"/>
        <item x="946"/>
        <item x="1256"/>
        <item x="3776"/>
        <item x="1740"/>
        <item x="2865"/>
        <item x="2118"/>
        <item x="928"/>
        <item x="2119"/>
        <item x="3916"/>
        <item x="2122"/>
        <item x="2123"/>
        <item x="3653"/>
        <item x="3535"/>
        <item x="1628"/>
        <item x="432"/>
        <item x="2738"/>
        <item x="3929"/>
        <item x="3071"/>
        <item x="756"/>
        <item x="2759"/>
        <item t="default"/>
      </items>
    </pivotField>
    <pivotField axis="axisRow" compact="0" numFmtId="17" outline="0" multipleItemSelectionAllowed="1" showAll="0">
      <items count="13">
        <item x="0"/>
        <item x="1"/>
        <item x="3"/>
        <item x="4"/>
        <item x="5"/>
        <item x="2"/>
        <item x="6"/>
        <item x="7"/>
        <item x="8"/>
        <item x="9"/>
        <item x="10"/>
        <item x="11"/>
        <item t="default"/>
      </items>
    </pivotField>
    <pivotField compact="0" outline="0" multipleItemSelectionAllowed="1" showAll="0">
      <items count="18">
        <item h="1" x="4"/>
        <item h="1" x="9"/>
        <item h="1" x="2"/>
        <item x="15"/>
        <item h="1" x="3"/>
        <item h="1" x="7"/>
        <item h="1" x="8"/>
        <item h="1" x="13"/>
        <item h="1" x="5"/>
        <item h="1" x="10"/>
        <item h="1" x="0"/>
        <item h="1" x="12"/>
        <item h="1" x="6"/>
        <item h="1" x="16"/>
        <item h="1" x="14"/>
        <item h="1" x="11"/>
        <item h="1" x="1"/>
        <item t="default"/>
      </items>
    </pivotField>
    <pivotField axis="axisRow" compact="0" outline="0" showAll="0">
      <items count="100">
        <item h="1" x="69"/>
        <item h="1" x="75"/>
        <item h="1" x="22"/>
        <item h="1" x="4"/>
        <item h="1" x="92"/>
        <item h="1" x="9"/>
        <item h="1" x="87"/>
        <item h="1" x="19"/>
        <item h="1" x="31"/>
        <item h="1" x="30"/>
        <item h="1" x="67"/>
        <item h="1" x="43"/>
        <item h="1" x="33"/>
        <item h="1" x="6"/>
        <item h="1" x="90"/>
        <item h="1" x="15"/>
        <item h="1" x="32"/>
        <item h="1" x="52"/>
        <item h="1" x="44"/>
        <item h="1" x="61"/>
        <item h="1" x="83"/>
        <item h="1" x="17"/>
        <item h="1" x="82"/>
        <item h="1" x="2"/>
        <item h="1" x="12"/>
        <item h="1" x="10"/>
        <item h="1" x="5"/>
        <item x="40"/>
        <item h="1" x="89"/>
        <item h="1" x="50"/>
        <item h="1" x="53"/>
        <item h="1" x="78"/>
        <item h="1" x="16"/>
        <item h="1" x="7"/>
        <item h="1" x="98"/>
        <item h="1" x="72"/>
        <item h="1" x="45"/>
        <item h="1" x="91"/>
        <item h="1" x="63"/>
        <item h="1" x="28"/>
        <item h="1" x="25"/>
        <item h="1" x="41"/>
        <item h="1" x="8"/>
        <item h="1" x="21"/>
        <item h="1" x="95"/>
        <item h="1" x="57"/>
        <item h="1" x="18"/>
        <item h="1" x="94"/>
        <item h="1" x="58"/>
        <item h="1" x="27"/>
        <item h="1" x="62"/>
        <item h="1" x="74"/>
        <item h="1" x="68"/>
        <item h="1" x="96"/>
        <item h="1" x="59"/>
        <item h="1" x="84"/>
        <item h="1" x="38"/>
        <item h="1" x="39"/>
        <item h="1" x="3"/>
        <item h="1" x="56"/>
        <item h="1" x="13"/>
        <item h="1" x="49"/>
        <item h="1" x="93"/>
        <item h="1" x="1"/>
        <item h="1" x="23"/>
        <item h="1" x="24"/>
        <item h="1" x="97"/>
        <item h="1" x="86"/>
        <item h="1" x="26"/>
        <item h="1" x="37"/>
        <item h="1" x="46"/>
        <item h="1" x="85"/>
        <item h="1" x="64"/>
        <item h="1" x="29"/>
        <item h="1" x="42"/>
        <item h="1" x="66"/>
        <item h="1" x="70"/>
        <item h="1" x="65"/>
        <item h="1" x="88"/>
        <item h="1" x="51"/>
        <item h="1" x="34"/>
        <item h="1" x="48"/>
        <item h="1" x="77"/>
        <item h="1" x="81"/>
        <item h="1" x="14"/>
        <item h="1" x="79"/>
        <item h="1" x="80"/>
        <item h="1" x="76"/>
        <item h="1" x="60"/>
        <item h="1" x="54"/>
        <item h="1" x="20"/>
        <item h="1" x="47"/>
        <item h="1" x="71"/>
        <item h="1" x="55"/>
        <item h="1" x="11"/>
        <item h="1" x="73"/>
        <item h="1" x="35"/>
        <item h="1" x="36"/>
        <item h="1" x="0"/>
        <item t="default"/>
      </items>
    </pivotField>
    <pivotField axis="axisRow"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compact="0" outline="0" showAll="0">
      <items count="15">
        <item h="1" sd="0" x="0"/>
        <item h="1" sd="0" x="1"/>
        <item h="1" sd="0" x="2"/>
        <item h="1" sd="0" x="3"/>
        <item h="1" sd="0" x="4"/>
        <item h="1" sd="0" x="5"/>
        <item h="1" sd="0" x="6"/>
        <item h="1" sd="0" x="7"/>
        <item h="1" sd="0" x="8"/>
        <item h="1" sd="0" x="9"/>
        <item h="1" sd="0" x="10"/>
        <item h="1" sd="0" x="11"/>
        <item sd="0" x="12"/>
        <item h="1" sd="0" x="13"/>
        <item t="default"/>
      </items>
    </pivotField>
  </pivotFields>
  <rowFields count="4">
    <field x="3"/>
    <field x="5"/>
    <field x="4"/>
    <field x="1"/>
  </rowFields>
  <rowItems count="3">
    <i>
      <x v="27"/>
      <x v="12"/>
    </i>
    <i t="default">
      <x v="27"/>
    </i>
    <i t="grand">
      <x/>
    </i>
  </rowItems>
  <colItems count="1">
    <i/>
  </colItems>
  <dataFields count="1">
    <dataField name="Suma de Monto"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56B4C-8703-4729-89BE-854F9D0FECAA}">
  <dimension ref="A1:F7"/>
  <sheetViews>
    <sheetView workbookViewId="0">
      <selection activeCell="C8" sqref="C8"/>
    </sheetView>
  </sheetViews>
  <sheetFormatPr defaultColWidth="11.3828125" defaultRowHeight="12.45"/>
  <cols>
    <col min="2" max="2" width="30.3046875" bestFit="1" customWidth="1"/>
    <col min="6" max="6" width="13" bestFit="1" customWidth="1"/>
  </cols>
  <sheetData>
    <row r="1" spans="1:6">
      <c r="A1" s="440">
        <v>45292</v>
      </c>
      <c r="B1" s="84" t="s">
        <v>0</v>
      </c>
      <c r="C1" s="242">
        <v>544000</v>
      </c>
    </row>
    <row r="2" spans="1:6">
      <c r="A2" s="440">
        <v>45513</v>
      </c>
      <c r="B2" s="84" t="s">
        <v>1</v>
      </c>
      <c r="C2" s="242">
        <v>211000</v>
      </c>
      <c r="F2" s="721">
        <v>810000</v>
      </c>
    </row>
    <row r="3" spans="1:6">
      <c r="A3" s="440">
        <v>45541</v>
      </c>
      <c r="B3" s="84" t="s">
        <v>2</v>
      </c>
      <c r="C3" s="242">
        <v>75000</v>
      </c>
    </row>
    <row r="7" spans="1:6">
      <c r="B7" s="527" t="s">
        <v>3</v>
      </c>
      <c r="C7" s="528">
        <f>+C6+C5+C4+C3+C2+C1</f>
        <v>830000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4240-777A-493B-8160-910406D07D70}">
  <dimension ref="A5:E9"/>
  <sheetViews>
    <sheetView workbookViewId="0">
      <selection activeCell="F19" sqref="F19"/>
    </sheetView>
  </sheetViews>
  <sheetFormatPr defaultColWidth="11.3828125" defaultRowHeight="12.45"/>
  <cols>
    <col min="1" max="1" width="29.3828125" bestFit="1" customWidth="1"/>
    <col min="2" max="2" width="7.15234375" bestFit="1" customWidth="1"/>
    <col min="3" max="3" width="31.53515625" bestFit="1" customWidth="1"/>
    <col min="4" max="4" width="7.15234375" bestFit="1" customWidth="1"/>
    <col min="5" max="5" width="14.69140625" style="246" bestFit="1" customWidth="1"/>
    <col min="6" max="99" width="31.53515625" bestFit="1" customWidth="1"/>
    <col min="100" max="100" width="12.53515625" bestFit="1" customWidth="1"/>
  </cols>
  <sheetData>
    <row r="5" spans="1:5">
      <c r="A5" s="821" t="s">
        <v>4</v>
      </c>
    </row>
    <row r="6" spans="1:5">
      <c r="A6" s="821" t="s">
        <v>5</v>
      </c>
      <c r="B6" s="821" t="s">
        <v>6</v>
      </c>
      <c r="C6" s="821" t="s">
        <v>7</v>
      </c>
      <c r="D6" s="821" t="s">
        <v>8</v>
      </c>
      <c r="E6" s="246" t="s">
        <v>9</v>
      </c>
    </row>
    <row r="7" spans="1:5">
      <c r="A7" t="s">
        <v>10</v>
      </c>
      <c r="B7" t="s">
        <v>11</v>
      </c>
      <c r="E7" s="246">
        <v>535494660.66000009</v>
      </c>
    </row>
    <row r="8" spans="1:5">
      <c r="A8" t="s">
        <v>12</v>
      </c>
      <c r="E8" s="246">
        <v>535494660.66000009</v>
      </c>
    </row>
    <row r="9" spans="1:5">
      <c r="A9" t="s">
        <v>13</v>
      </c>
      <c r="E9" s="246">
        <v>535494660.66000009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C40C7-FAC1-48AF-A818-7FD13593AE1D}">
  <dimension ref="B2:J394"/>
  <sheetViews>
    <sheetView topLeftCell="A329" zoomScale="66" zoomScaleNormal="75" zoomScaleSheetLayoutView="70" workbookViewId="0">
      <selection activeCell="I354" sqref="I354"/>
    </sheetView>
  </sheetViews>
  <sheetFormatPr defaultColWidth="11.3828125" defaultRowHeight="12.75" customHeight="1"/>
  <cols>
    <col min="1" max="1" width="11.3828125" style="108"/>
    <col min="2" max="2" width="31.84375" style="108" bestFit="1" customWidth="1"/>
    <col min="3" max="3" width="22.3828125" style="108" customWidth="1"/>
    <col min="4" max="4" width="27.53515625" style="108" customWidth="1"/>
    <col min="5" max="5" width="40.53515625" style="108" customWidth="1"/>
    <col min="6" max="6" width="17" style="317" customWidth="1"/>
    <col min="7" max="7" width="18" style="108" customWidth="1"/>
    <col min="8" max="8" width="33.53515625" style="108" bestFit="1" customWidth="1"/>
    <col min="9" max="9" width="13.84375" style="108" bestFit="1" customWidth="1"/>
    <col min="10" max="10" width="14.53515625" style="108" bestFit="1" customWidth="1"/>
    <col min="11" max="11" width="13.53515625" style="108" bestFit="1" customWidth="1"/>
    <col min="12" max="12" width="14.53515625" style="108" bestFit="1" customWidth="1"/>
    <col min="13" max="13" width="13.53515625" style="108" bestFit="1" customWidth="1"/>
    <col min="14" max="14" width="13.53515625" style="108" customWidth="1"/>
    <col min="15" max="15" width="12.69140625" style="108" bestFit="1" customWidth="1"/>
    <col min="16" max="16" width="12.3828125" style="108" bestFit="1" customWidth="1"/>
    <col min="17" max="17" width="13.15234375" style="108" bestFit="1" customWidth="1"/>
    <col min="18" max="16384" width="11.3828125" style="108"/>
  </cols>
  <sheetData>
    <row r="2" spans="2:7" ht="12.45">
      <c r="B2" s="164" t="s">
        <v>14</v>
      </c>
      <c r="C2" s="219">
        <v>45322</v>
      </c>
    </row>
    <row r="3" spans="2:7" ht="12.45">
      <c r="B3" s="213"/>
      <c r="C3" s="213"/>
      <c r="E3" s="233" t="s">
        <v>15</v>
      </c>
      <c r="F3" s="318" t="s">
        <v>16</v>
      </c>
      <c r="G3" s="233" t="s">
        <v>17</v>
      </c>
    </row>
    <row r="4" spans="2:7" ht="12.45">
      <c r="B4" s="164" t="s">
        <v>18</v>
      </c>
      <c r="C4" s="229">
        <v>355621224.30000001</v>
      </c>
    </row>
    <row r="5" spans="2:7" ht="12.45">
      <c r="B5" s="164" t="s">
        <v>19</v>
      </c>
      <c r="C5" s="229">
        <v>10521143.43</v>
      </c>
      <c r="E5" s="118" t="s">
        <v>20</v>
      </c>
      <c r="F5" s="319">
        <v>2458634</v>
      </c>
      <c r="G5" s="118"/>
    </row>
    <row r="6" spans="2:7" ht="12.45">
      <c r="B6" s="164" t="s">
        <v>21</v>
      </c>
      <c r="C6" s="229">
        <v>45938</v>
      </c>
      <c r="E6" s="118" t="s">
        <v>22</v>
      </c>
      <c r="F6" s="319">
        <v>12000000</v>
      </c>
      <c r="G6" s="118" t="s">
        <v>23</v>
      </c>
    </row>
    <row r="7" spans="2:7" ht="12.45">
      <c r="B7" s="225" t="s">
        <v>24</v>
      </c>
      <c r="C7" s="230">
        <v>12231508.390000001</v>
      </c>
      <c r="E7" s="118" t="s">
        <v>22</v>
      </c>
      <c r="F7" s="319">
        <v>500000</v>
      </c>
      <c r="G7" s="118" t="s">
        <v>25</v>
      </c>
    </row>
    <row r="8" spans="2:7" ht="12.45">
      <c r="B8" s="164" t="s">
        <v>26</v>
      </c>
      <c r="C8" s="229">
        <v>122998.22</v>
      </c>
      <c r="E8" s="118" t="s">
        <v>22</v>
      </c>
      <c r="F8" s="319">
        <v>6000000</v>
      </c>
      <c r="G8" s="118" t="s">
        <v>27</v>
      </c>
    </row>
    <row r="9" spans="2:7" ht="12.45">
      <c r="B9" s="164" t="s">
        <v>28</v>
      </c>
      <c r="C9" s="229">
        <f>+F20</f>
        <v>7205194</v>
      </c>
    </row>
    <row r="10" spans="2:7" ht="12.45">
      <c r="B10" s="225"/>
      <c r="C10" s="230">
        <v>0</v>
      </c>
      <c r="E10" s="164" t="s">
        <v>9</v>
      </c>
      <c r="F10" s="320">
        <f>+F5+F6+F7+F8</f>
        <v>20958634</v>
      </c>
      <c r="G10" s="232"/>
    </row>
    <row r="11" spans="2:7" ht="12.45">
      <c r="B11" s="225"/>
      <c r="C11" s="230"/>
      <c r="D11" s="231"/>
      <c r="E11" s="232"/>
    </row>
    <row r="12" spans="2:7" ht="12.45">
      <c r="B12" s="164" t="s">
        <v>9</v>
      </c>
      <c r="C12" s="228">
        <f>+SUM(C4:C11)</f>
        <v>385748006.34000003</v>
      </c>
      <c r="D12" s="226"/>
      <c r="E12" s="164" t="s">
        <v>29</v>
      </c>
      <c r="F12" s="320">
        <v>13753440</v>
      </c>
    </row>
    <row r="13" spans="2:7" ht="12.45">
      <c r="B13" s="164" t="s">
        <v>30</v>
      </c>
      <c r="C13" s="228">
        <f>+'Caja Real mensual '!H41</f>
        <v>385748006.34000015</v>
      </c>
    </row>
    <row r="14" spans="2:7" ht="12.45">
      <c r="B14" s="164" t="s">
        <v>31</v>
      </c>
      <c r="C14" s="227" t="str">
        <f>IF(C12=C13,"La Caja esta cuadrada","Caja descuadrada")</f>
        <v>La Caja esta cuadrada</v>
      </c>
      <c r="E14" s="108" t="s">
        <v>32</v>
      </c>
      <c r="F14" s="317">
        <v>768800</v>
      </c>
    </row>
    <row r="15" spans="2:7" ht="12.45">
      <c r="B15" s="164" t="s">
        <v>33</v>
      </c>
      <c r="C15" s="301">
        <f>+C12-C13</f>
        <v>0</v>
      </c>
      <c r="E15" s="108" t="s">
        <v>34</v>
      </c>
      <c r="F15" s="317">
        <v>4122394</v>
      </c>
    </row>
    <row r="16" spans="2:7" ht="12.45">
      <c r="C16" s="234"/>
      <c r="E16" s="108" t="s">
        <v>35</v>
      </c>
      <c r="F16" s="317">
        <v>1270000</v>
      </c>
    </row>
    <row r="17" spans="2:7" ht="12.45">
      <c r="E17" s="108" t="s">
        <v>36</v>
      </c>
      <c r="F17" s="317">
        <v>500000</v>
      </c>
    </row>
    <row r="18" spans="2:7" ht="12.45">
      <c r="E18" s="108" t="s">
        <v>37</v>
      </c>
      <c r="F18" s="317">
        <v>544000</v>
      </c>
    </row>
    <row r="19" spans="2:7" ht="12.45">
      <c r="B19" s="1096" t="s">
        <v>38</v>
      </c>
      <c r="C19" s="1096"/>
    </row>
    <row r="20" spans="2:7" ht="12.45">
      <c r="B20" s="164" t="s">
        <v>18</v>
      </c>
      <c r="C20" s="229">
        <v>1616835390.97</v>
      </c>
      <c r="E20" s="164" t="s">
        <v>39</v>
      </c>
      <c r="F20" s="320">
        <f>+SUM(F14:F18)</f>
        <v>7205194</v>
      </c>
    </row>
    <row r="21" spans="2:7" ht="12.45">
      <c r="B21" s="164" t="s">
        <v>19</v>
      </c>
      <c r="C21" s="229">
        <v>2322709.4300000002</v>
      </c>
    </row>
    <row r="22" spans="2:7" ht="12.45">
      <c r="B22" s="164" t="s">
        <v>21</v>
      </c>
      <c r="C22" s="229">
        <v>45938</v>
      </c>
      <c r="E22" s="164" t="s">
        <v>33</v>
      </c>
      <c r="F22" s="320">
        <f>+F20-(F10-F12)</f>
        <v>0</v>
      </c>
    </row>
    <row r="23" spans="2:7" ht="12.45">
      <c r="B23" s="225" t="s">
        <v>24</v>
      </c>
      <c r="C23" s="230">
        <v>4530637.42</v>
      </c>
    </row>
    <row r="24" spans="2:7" ht="12.45">
      <c r="B24" s="164" t="s">
        <v>26</v>
      </c>
      <c r="C24" s="229">
        <v>122998.22</v>
      </c>
    </row>
    <row r="25" spans="2:7" ht="12.45">
      <c r="B25" s="164" t="s">
        <v>28</v>
      </c>
      <c r="C25" s="229">
        <v>2434583</v>
      </c>
    </row>
    <row r="26" spans="2:7" ht="12.45">
      <c r="B26" s="164" t="s">
        <v>9</v>
      </c>
      <c r="C26" s="228">
        <f>+SUM(C18:C25)</f>
        <v>1626292257.0400002</v>
      </c>
    </row>
    <row r="27" spans="2:7" ht="12.45">
      <c r="E27" s="302"/>
      <c r="F27" s="321"/>
      <c r="G27" s="302"/>
    </row>
    <row r="28" spans="2:7" s="363" customFormat="1" ht="12.45">
      <c r="F28" s="364"/>
    </row>
    <row r="30" spans="2:7" ht="12.45">
      <c r="B30" s="164" t="s">
        <v>14</v>
      </c>
      <c r="C30" s="219">
        <v>45351</v>
      </c>
    </row>
    <row r="31" spans="2:7" ht="12.45">
      <c r="B31" s="213"/>
      <c r="C31" s="213"/>
      <c r="E31" s="312" t="s">
        <v>15</v>
      </c>
      <c r="F31" s="322" t="s">
        <v>16</v>
      </c>
      <c r="G31" s="313" t="s">
        <v>17</v>
      </c>
    </row>
    <row r="32" spans="2:7" ht="12.45">
      <c r="B32" s="164" t="s">
        <v>18</v>
      </c>
      <c r="C32" s="229">
        <v>316555297.58999997</v>
      </c>
      <c r="E32" s="309"/>
      <c r="F32" s="323"/>
      <c r="G32" s="314"/>
    </row>
    <row r="33" spans="2:7" ht="12.45">
      <c r="B33" s="164" t="s">
        <v>19</v>
      </c>
      <c r="C33" s="229">
        <v>7535686</v>
      </c>
      <c r="E33" s="311" t="s">
        <v>20</v>
      </c>
      <c r="F33" s="324">
        <f>+C9+189-139884</f>
        <v>7065499</v>
      </c>
      <c r="G33" s="312"/>
    </row>
    <row r="34" spans="2:7" ht="12.45">
      <c r="B34" s="164" t="s">
        <v>21</v>
      </c>
      <c r="C34" s="229">
        <v>45938</v>
      </c>
      <c r="E34" s="310" t="s">
        <v>22</v>
      </c>
      <c r="F34" s="325">
        <v>18000000</v>
      </c>
      <c r="G34" s="307" t="s">
        <v>23</v>
      </c>
    </row>
    <row r="35" spans="2:7" ht="12.45">
      <c r="B35" s="225" t="s">
        <v>24</v>
      </c>
      <c r="C35" s="230">
        <v>15638503</v>
      </c>
      <c r="E35" s="164" t="s">
        <v>22</v>
      </c>
      <c r="F35" s="326">
        <v>0</v>
      </c>
      <c r="G35" s="164" t="s">
        <v>25</v>
      </c>
    </row>
    <row r="36" spans="2:7" ht="12.45">
      <c r="B36" s="164" t="s">
        <v>26</v>
      </c>
      <c r="C36" s="229">
        <v>108691.2</v>
      </c>
      <c r="E36" s="308" t="s">
        <v>22</v>
      </c>
      <c r="F36" s="326">
        <v>0</v>
      </c>
      <c r="G36" s="225" t="s">
        <v>27</v>
      </c>
    </row>
    <row r="37" spans="2:7" ht="12.45">
      <c r="B37" s="164" t="s">
        <v>28</v>
      </c>
      <c r="C37" s="229">
        <f>+F51</f>
        <v>4522591</v>
      </c>
      <c r="E37" s="213"/>
      <c r="F37" s="327"/>
      <c r="G37" s="304"/>
    </row>
    <row r="38" spans="2:7" ht="12.45">
      <c r="B38" s="164" t="s">
        <v>40</v>
      </c>
      <c r="C38" s="229">
        <v>100661817.36</v>
      </c>
      <c r="E38" s="164" t="s">
        <v>9</v>
      </c>
      <c r="F38" s="320">
        <f>+F33+F34+F35+F36</f>
        <v>25065499</v>
      </c>
      <c r="G38" s="305"/>
    </row>
    <row r="39" spans="2:7" ht="12.45">
      <c r="B39" s="225"/>
      <c r="C39" s="230"/>
      <c r="E39" s="303"/>
      <c r="F39" s="327"/>
      <c r="G39" s="118"/>
    </row>
    <row r="40" spans="2:7" ht="12.45">
      <c r="B40" s="164" t="s">
        <v>9</v>
      </c>
      <c r="C40" s="228">
        <f>+SUM(C32:C38)</f>
        <v>445068524.14999998</v>
      </c>
      <c r="E40" s="315" t="s">
        <v>29</v>
      </c>
      <c r="F40" s="324">
        <v>20542908</v>
      </c>
      <c r="G40" s="305"/>
    </row>
    <row r="41" spans="2:7" ht="12.45">
      <c r="B41" s="164" t="s">
        <v>30</v>
      </c>
      <c r="C41" s="228">
        <f>+'Caja Real mensual '!I41</f>
        <v>445068524.1500001</v>
      </c>
      <c r="D41" s="310"/>
      <c r="E41" s="303"/>
      <c r="F41" s="327"/>
      <c r="G41" s="118"/>
    </row>
    <row r="42" spans="2:7" ht="12.45">
      <c r="B42" s="164" t="s">
        <v>31</v>
      </c>
      <c r="C42" s="227" t="str">
        <f>IF(C40=C41,"La Caja esta cuadrada","Caja descuadrada")</f>
        <v>La Caja esta cuadrada</v>
      </c>
      <c r="D42" s="310"/>
      <c r="E42" s="164" t="s">
        <v>41</v>
      </c>
      <c r="F42" s="324">
        <v>690950</v>
      </c>
      <c r="G42" s="305"/>
    </row>
    <row r="43" spans="2:7" ht="12.45">
      <c r="B43" s="164" t="s">
        <v>33</v>
      </c>
      <c r="C43" s="228">
        <f>+C40-C41</f>
        <v>0</v>
      </c>
      <c r="D43" s="410"/>
      <c r="E43" s="164" t="s">
        <v>34</v>
      </c>
      <c r="F43" s="324">
        <v>2000000</v>
      </c>
      <c r="G43" s="305"/>
    </row>
    <row r="44" spans="2:7" ht="12.45">
      <c r="C44" s="234"/>
      <c r="E44" s="164" t="s">
        <v>35</v>
      </c>
      <c r="F44" s="324">
        <v>1003641</v>
      </c>
      <c r="G44" s="370"/>
    </row>
    <row r="45" spans="2:7" ht="12.45">
      <c r="E45" s="164" t="s">
        <v>36</v>
      </c>
      <c r="F45" s="324">
        <v>81000</v>
      </c>
      <c r="G45" s="306"/>
    </row>
    <row r="46" spans="2:7" ht="12.45">
      <c r="E46" s="164" t="s">
        <v>42</v>
      </c>
      <c r="F46" s="324">
        <v>150000</v>
      </c>
      <c r="G46" s="306"/>
    </row>
    <row r="47" spans="2:7" ht="12.45">
      <c r="E47" s="164" t="s">
        <v>43</v>
      </c>
      <c r="F47" s="324">
        <v>53000</v>
      </c>
      <c r="G47" s="305"/>
    </row>
    <row r="48" spans="2:7" ht="12.45">
      <c r="E48" s="164" t="s">
        <v>37</v>
      </c>
      <c r="F48" s="324">
        <v>544000</v>
      </c>
      <c r="G48" s="305"/>
    </row>
    <row r="51" spans="2:7" ht="12.45">
      <c r="E51" s="164" t="s">
        <v>39</v>
      </c>
      <c r="F51" s="369">
        <f>+SUM(F42:F48)</f>
        <v>4522591</v>
      </c>
      <c r="G51" s="368"/>
    </row>
    <row r="52" spans="2:7" ht="12.45">
      <c r="E52" s="303"/>
      <c r="F52" s="327"/>
      <c r="G52" s="305"/>
    </row>
    <row r="53" spans="2:7" ht="12.45">
      <c r="E53" s="164" t="s">
        <v>33</v>
      </c>
      <c r="F53" s="324">
        <f>+F51-(F38-F40)</f>
        <v>0</v>
      </c>
      <c r="G53" s="305"/>
    </row>
    <row r="57" spans="2:7" s="363" customFormat="1" ht="12.45">
      <c r="F57" s="364"/>
    </row>
    <row r="61" spans="2:7" ht="12.45">
      <c r="B61" s="164" t="s">
        <v>14</v>
      </c>
      <c r="C61" s="219">
        <v>45382</v>
      </c>
    </row>
    <row r="62" spans="2:7" ht="12.45">
      <c r="B62" s="213"/>
      <c r="C62" s="213"/>
      <c r="E62" s="312" t="s">
        <v>15</v>
      </c>
      <c r="F62" s="322" t="s">
        <v>16</v>
      </c>
      <c r="G62" s="313" t="s">
        <v>17</v>
      </c>
    </row>
    <row r="63" spans="2:7" ht="12.45">
      <c r="B63" s="164" t="s">
        <v>18</v>
      </c>
      <c r="C63" s="229">
        <v>811432136.77999997</v>
      </c>
      <c r="E63" s="309"/>
      <c r="F63" s="323"/>
      <c r="G63" s="314"/>
    </row>
    <row r="64" spans="2:7" ht="12.45">
      <c r="B64" s="164" t="s">
        <v>19</v>
      </c>
      <c r="C64" s="229">
        <v>9842108.4299999997</v>
      </c>
      <c r="E64" s="311" t="s">
        <v>20</v>
      </c>
      <c r="F64" s="324">
        <f>+F51</f>
        <v>4522591</v>
      </c>
      <c r="G64" s="312"/>
    </row>
    <row r="65" spans="2:7" ht="12.45">
      <c r="B65" s="164" t="s">
        <v>21</v>
      </c>
      <c r="C65" s="229">
        <v>45938</v>
      </c>
      <c r="E65" s="310" t="s">
        <v>22</v>
      </c>
      <c r="F65" s="325">
        <v>10000000</v>
      </c>
      <c r="G65" s="307" t="s">
        <v>23</v>
      </c>
    </row>
    <row r="66" spans="2:7" ht="12.45">
      <c r="B66" s="225" t="s">
        <v>24</v>
      </c>
      <c r="C66" s="230">
        <v>14404232.300000001</v>
      </c>
      <c r="E66" s="164" t="s">
        <v>22</v>
      </c>
      <c r="F66" s="326">
        <v>0</v>
      </c>
      <c r="G66" s="164" t="s">
        <v>25</v>
      </c>
    </row>
    <row r="67" spans="2:7" ht="12.45">
      <c r="B67" s="164" t="s">
        <v>26</v>
      </c>
      <c r="C67" s="229">
        <v>108691.2</v>
      </c>
      <c r="E67" s="308" t="s">
        <v>22</v>
      </c>
      <c r="F67" s="326">
        <v>0</v>
      </c>
      <c r="G67" s="225" t="s">
        <v>27</v>
      </c>
    </row>
    <row r="68" spans="2:7" ht="12.45">
      <c r="B68" s="164" t="s">
        <v>28</v>
      </c>
      <c r="C68" s="229">
        <f>+F80</f>
        <v>5590221</v>
      </c>
      <c r="E68" s="213"/>
      <c r="F68" s="327"/>
      <c r="G68" s="304"/>
    </row>
    <row r="69" spans="2:7" ht="12.45">
      <c r="B69" s="164" t="s">
        <v>40</v>
      </c>
      <c r="C69" s="229">
        <v>101579479.93000001</v>
      </c>
      <c r="E69" s="164" t="s">
        <v>9</v>
      </c>
      <c r="F69" s="320">
        <f>+F64+F65+F66+F67</f>
        <v>14522591</v>
      </c>
      <c r="G69" s="305"/>
    </row>
    <row r="70" spans="2:7" ht="12.45">
      <c r="B70" s="225"/>
      <c r="C70" s="230"/>
      <c r="E70" s="303"/>
      <c r="F70" s="327"/>
      <c r="G70" s="118"/>
    </row>
    <row r="71" spans="2:7" ht="12.45">
      <c r="B71" s="164" t="s">
        <v>9</v>
      </c>
      <c r="C71" s="228">
        <f>+SUM(C63:C69)</f>
        <v>943002807.63999987</v>
      </c>
      <c r="E71" s="315" t="s">
        <v>29</v>
      </c>
      <c r="F71" s="324">
        <v>8932370</v>
      </c>
      <c r="G71" s="305"/>
    </row>
    <row r="72" spans="2:7" ht="12.45">
      <c r="B72" s="164" t="s">
        <v>30</v>
      </c>
      <c r="C72" s="228">
        <f>+'Caja Real mensual '!J41</f>
        <v>943002807.63999987</v>
      </c>
      <c r="D72" s="310"/>
      <c r="E72" s="303"/>
      <c r="F72" s="327"/>
      <c r="G72" s="118"/>
    </row>
    <row r="73" spans="2:7" ht="12.45">
      <c r="B73" s="164" t="s">
        <v>31</v>
      </c>
      <c r="C73" s="227" t="str">
        <f>IF(C71=C72,"La Caja esta cuadrada","Caja descuadrada")</f>
        <v>La Caja esta cuadrada</v>
      </c>
      <c r="D73" s="310"/>
      <c r="E73" s="164" t="s">
        <v>41</v>
      </c>
      <c r="F73" s="324">
        <f>1892750-170</f>
        <v>1892580</v>
      </c>
      <c r="G73" s="305"/>
    </row>
    <row r="74" spans="2:7" ht="12.45">
      <c r="B74" s="164" t="s">
        <v>33</v>
      </c>
      <c r="C74" s="228">
        <f>+C71-C72</f>
        <v>0</v>
      </c>
      <c r="D74" s="410"/>
      <c r="E74" s="164" t="s">
        <v>34</v>
      </c>
      <c r="F74" s="324">
        <v>2000000</v>
      </c>
      <c r="G74" s="305"/>
    </row>
    <row r="75" spans="2:7" ht="12.45">
      <c r="C75" s="234"/>
      <c r="D75" s="232"/>
      <c r="E75" s="164" t="s">
        <v>35</v>
      </c>
      <c r="F75" s="324">
        <v>1003641</v>
      </c>
      <c r="G75" s="370"/>
    </row>
    <row r="76" spans="2:7" ht="12.45">
      <c r="E76" s="164" t="s">
        <v>42</v>
      </c>
      <c r="F76" s="324">
        <v>150000</v>
      </c>
      <c r="G76" s="306"/>
    </row>
    <row r="77" spans="2:7" ht="12.45">
      <c r="E77" s="164" t="s">
        <v>37</v>
      </c>
      <c r="F77" s="324">
        <v>544000</v>
      </c>
      <c r="G77" s="305"/>
    </row>
    <row r="78" spans="2:7" ht="12.45">
      <c r="D78" s="232"/>
      <c r="G78" s="370"/>
    </row>
    <row r="79" spans="2:7" ht="12.45">
      <c r="E79" s="316"/>
      <c r="F79" s="326"/>
      <c r="G79" s="370"/>
    </row>
    <row r="80" spans="2:7" ht="12.45">
      <c r="E80" s="164" t="s">
        <v>39</v>
      </c>
      <c r="F80" s="369">
        <f>+SUM(F73:F77)</f>
        <v>5590221</v>
      </c>
      <c r="G80" s="368"/>
    </row>
    <row r="82" spans="2:7" ht="12.45">
      <c r="E82" s="164" t="s">
        <v>33</v>
      </c>
      <c r="F82" s="324">
        <f>+F80-(F69-F71)</f>
        <v>0</v>
      </c>
      <c r="G82" s="305"/>
    </row>
    <row r="84" spans="2:7" s="417" customFormat="1" ht="12.45">
      <c r="F84" s="418"/>
    </row>
    <row r="90" spans="2:7" ht="12.45">
      <c r="B90" s="164" t="s">
        <v>14</v>
      </c>
      <c r="C90" s="219">
        <v>45412</v>
      </c>
    </row>
    <row r="91" spans="2:7" ht="12.45">
      <c r="B91" s="213"/>
      <c r="C91" s="213"/>
      <c r="E91" s="312" t="s">
        <v>15</v>
      </c>
      <c r="F91" s="322" t="s">
        <v>16</v>
      </c>
      <c r="G91" s="313" t="s">
        <v>17</v>
      </c>
    </row>
    <row r="92" spans="2:7" ht="12.45">
      <c r="B92" s="164" t="s">
        <v>18</v>
      </c>
      <c r="C92" s="229">
        <v>367292779.52999997</v>
      </c>
      <c r="E92" s="309"/>
      <c r="F92" s="323"/>
      <c r="G92" s="314"/>
    </row>
    <row r="93" spans="2:7" ht="12.45">
      <c r="B93" s="164" t="s">
        <v>19</v>
      </c>
      <c r="C93" s="229">
        <v>44737578.43</v>
      </c>
      <c r="E93" s="311" t="s">
        <v>20</v>
      </c>
      <c r="F93" s="324">
        <f>+F80</f>
        <v>5590221</v>
      </c>
      <c r="G93" s="312"/>
    </row>
    <row r="94" spans="2:7" ht="12.45">
      <c r="B94" s="164" t="s">
        <v>21</v>
      </c>
      <c r="C94" s="229">
        <v>45938</v>
      </c>
      <c r="E94" s="310" t="s">
        <v>22</v>
      </c>
      <c r="F94" s="325">
        <v>12000000</v>
      </c>
      <c r="G94" s="307" t="s">
        <v>23</v>
      </c>
    </row>
    <row r="95" spans="2:7" ht="12.45">
      <c r="B95" s="225" t="s">
        <v>24</v>
      </c>
      <c r="C95" s="230">
        <v>4999127.0199999996</v>
      </c>
      <c r="E95" s="164" t="s">
        <v>44</v>
      </c>
      <c r="F95" s="326">
        <v>170000</v>
      </c>
      <c r="G95" s="164" t="s">
        <v>25</v>
      </c>
    </row>
    <row r="96" spans="2:7" ht="12.45">
      <c r="B96" s="164" t="s">
        <v>26</v>
      </c>
      <c r="C96" s="229">
        <v>108691.2</v>
      </c>
      <c r="E96" s="308" t="s">
        <v>45</v>
      </c>
      <c r="F96" s="326">
        <f>2422700+2706600+1874090</f>
        <v>7003390</v>
      </c>
      <c r="G96" s="225" t="s">
        <v>27</v>
      </c>
    </row>
    <row r="97" spans="2:6" ht="12.45">
      <c r="B97" s="164" t="s">
        <v>28</v>
      </c>
      <c r="C97" s="229">
        <f>+F113</f>
        <v>8837641</v>
      </c>
      <c r="E97" s="213"/>
      <c r="F97" s="327"/>
    </row>
    <row r="98" spans="2:6" ht="12.45">
      <c r="B98" s="164" t="s">
        <v>40</v>
      </c>
      <c r="C98" s="229">
        <v>303404954.75999999</v>
      </c>
      <c r="E98" s="164" t="s">
        <v>9</v>
      </c>
      <c r="F98" s="320">
        <f>+F93+F94+F95+F96</f>
        <v>24763611</v>
      </c>
    </row>
    <row r="99" spans="2:6" ht="12.45">
      <c r="B99" s="225"/>
      <c r="C99" s="230"/>
      <c r="E99" s="303"/>
      <c r="F99" s="327"/>
    </row>
    <row r="100" spans="2:6" ht="12.45">
      <c r="B100" s="164" t="s">
        <v>9</v>
      </c>
      <c r="C100" s="228">
        <f>+SUM(C92:C98)</f>
        <v>729426709.93999994</v>
      </c>
      <c r="E100" s="315" t="s">
        <v>29</v>
      </c>
      <c r="F100" s="324">
        <f>15925938+32</f>
        <v>15925970</v>
      </c>
    </row>
    <row r="101" spans="2:6" ht="12.45">
      <c r="B101" s="164" t="s">
        <v>30</v>
      </c>
      <c r="C101" s="228">
        <f>+'Caja Real mensual '!K41</f>
        <v>729426710.03999996</v>
      </c>
      <c r="D101" s="310"/>
      <c r="E101" s="303"/>
      <c r="F101" s="327"/>
    </row>
    <row r="102" spans="2:6" ht="12.45">
      <c r="B102" s="164" t="s">
        <v>31</v>
      </c>
      <c r="C102" s="227" t="str">
        <f>IF(C100=C101,"La Caja esta cuadrada","Caja descuadrada")</f>
        <v>Caja descuadrada</v>
      </c>
      <c r="D102" s="310"/>
      <c r="E102" s="164" t="s">
        <v>41</v>
      </c>
      <c r="F102" s="324">
        <f>778000</f>
        <v>778000</v>
      </c>
    </row>
    <row r="103" spans="2:6" ht="12.45">
      <c r="B103" s="164" t="s">
        <v>33</v>
      </c>
      <c r="C103" s="228">
        <f>+C100-C101</f>
        <v>-0.10000002384185791</v>
      </c>
      <c r="D103" s="410"/>
      <c r="E103" s="164" t="s">
        <v>34</v>
      </c>
      <c r="F103" s="324">
        <v>3000000</v>
      </c>
    </row>
    <row r="104" spans="2:6" ht="12.45">
      <c r="C104" s="234"/>
      <c r="D104" s="232"/>
      <c r="E104" s="164" t="s">
        <v>35</v>
      </c>
      <c r="F104" s="324">
        <v>1003641</v>
      </c>
    </row>
    <row r="105" spans="2:6" ht="12.45">
      <c r="C105" s="234"/>
      <c r="D105" s="419"/>
      <c r="E105" s="164" t="s">
        <v>46</v>
      </c>
      <c r="F105" s="324">
        <f>812000+1120000+100000</f>
        <v>2032000</v>
      </c>
    </row>
    <row r="106" spans="2:6" ht="12.45">
      <c r="D106" s="420"/>
      <c r="E106" s="164" t="s">
        <v>47</v>
      </c>
      <c r="F106" s="324">
        <v>150000</v>
      </c>
    </row>
    <row r="107" spans="2:6" ht="12.45">
      <c r="C107" s="232"/>
      <c r="D107" s="420"/>
      <c r="E107" s="164" t="s">
        <v>48</v>
      </c>
      <c r="F107" s="324">
        <v>1000000</v>
      </c>
    </row>
    <row r="108" spans="2:6" ht="12.45">
      <c r="E108" s="164" t="s">
        <v>49</v>
      </c>
      <c r="F108" s="324">
        <v>160000</v>
      </c>
    </row>
    <row r="109" spans="2:6" ht="12.45">
      <c r="D109" s="232"/>
      <c r="E109" s="164" t="s">
        <v>37</v>
      </c>
      <c r="F109" s="324">
        <v>544000</v>
      </c>
    </row>
    <row r="110" spans="2:6" ht="12.45">
      <c r="D110" s="232"/>
      <c r="E110" s="164" t="s">
        <v>50</v>
      </c>
      <c r="F110" s="324">
        <v>170000</v>
      </c>
    </row>
    <row r="113" spans="2:7" ht="12.45">
      <c r="D113" s="232"/>
      <c r="E113" s="164" t="s">
        <v>39</v>
      </c>
      <c r="F113" s="369">
        <f>+SUM(F102:F110)</f>
        <v>8837641</v>
      </c>
      <c r="G113" s="368"/>
    </row>
    <row r="114" spans="2:7" ht="12.45">
      <c r="C114" s="232"/>
      <c r="D114" s="232"/>
      <c r="E114" s="303"/>
      <c r="F114" s="327"/>
      <c r="G114" s="305"/>
    </row>
    <row r="115" spans="2:7" ht="12.45">
      <c r="E115" s="164" t="s">
        <v>33</v>
      </c>
      <c r="F115" s="324">
        <f>+F113-(F98-F100)</f>
        <v>0</v>
      </c>
      <c r="G115" s="305"/>
    </row>
    <row r="117" spans="2:7" s="438" customFormat="1" ht="12.45">
      <c r="F117" s="439"/>
    </row>
    <row r="121" spans="2:7" ht="12.45">
      <c r="B121" s="164" t="s">
        <v>14</v>
      </c>
      <c r="C121" s="219">
        <v>45443</v>
      </c>
    </row>
    <row r="122" spans="2:7" ht="12.45">
      <c r="B122" s="213"/>
      <c r="C122" s="213"/>
      <c r="E122" s="312" t="s">
        <v>15</v>
      </c>
      <c r="F122" s="322" t="s">
        <v>16</v>
      </c>
      <c r="G122" s="313" t="s">
        <v>17</v>
      </c>
    </row>
    <row r="123" spans="2:7" ht="12.45">
      <c r="B123" s="164" t="s">
        <v>18</v>
      </c>
      <c r="C123" s="229">
        <v>150051354.71000001</v>
      </c>
      <c r="E123" s="309"/>
      <c r="F123" s="323"/>
      <c r="G123" s="314"/>
    </row>
    <row r="124" spans="2:7" ht="12.45">
      <c r="B124" s="164" t="s">
        <v>19</v>
      </c>
      <c r="C124" s="229">
        <v>509724041.43000001</v>
      </c>
      <c r="E124" s="311" t="s">
        <v>20</v>
      </c>
      <c r="F124" s="324">
        <f>+F113</f>
        <v>8837641</v>
      </c>
      <c r="G124" s="312"/>
    </row>
    <row r="125" spans="2:7" ht="12.45">
      <c r="B125" s="164" t="s">
        <v>21</v>
      </c>
      <c r="C125" s="229">
        <v>45938</v>
      </c>
      <c r="E125" s="310" t="s">
        <v>22</v>
      </c>
      <c r="F125" s="325">
        <v>18000000</v>
      </c>
      <c r="G125" s="307" t="s">
        <v>23</v>
      </c>
    </row>
    <row r="126" spans="2:7" ht="12.45">
      <c r="B126" s="225" t="s">
        <v>24</v>
      </c>
      <c r="C126" s="230">
        <v>4556351.87</v>
      </c>
      <c r="E126" s="164" t="s">
        <v>51</v>
      </c>
      <c r="F126" s="326"/>
      <c r="G126" s="164" t="s">
        <v>25</v>
      </c>
    </row>
    <row r="127" spans="2:7" ht="12.45">
      <c r="B127" s="164" t="s">
        <v>26</v>
      </c>
      <c r="C127" s="229">
        <v>108691.2</v>
      </c>
      <c r="E127" s="308" t="s">
        <v>51</v>
      </c>
      <c r="F127" s="326">
        <v>7000000</v>
      </c>
      <c r="G127" s="225" t="s">
        <v>27</v>
      </c>
    </row>
    <row r="128" spans="2:7" ht="12.45">
      <c r="B128" s="164" t="s">
        <v>28</v>
      </c>
      <c r="C128" s="229">
        <f>+F144</f>
        <v>10421682</v>
      </c>
      <c r="E128" s="213"/>
      <c r="F128" s="327"/>
      <c r="G128" s="304"/>
    </row>
    <row r="129" spans="2:6" ht="12.45">
      <c r="B129" s="164" t="s">
        <v>40</v>
      </c>
      <c r="C129" s="229">
        <v>50182920.670000002</v>
      </c>
      <c r="E129" s="164" t="s">
        <v>9</v>
      </c>
      <c r="F129" s="320">
        <f>+F124+F125+F126+F127</f>
        <v>33837641</v>
      </c>
    </row>
    <row r="130" spans="2:6" ht="12.45">
      <c r="B130" s="225"/>
      <c r="C130" s="230"/>
      <c r="E130" s="303"/>
      <c r="F130" s="327"/>
    </row>
    <row r="131" spans="2:6" ht="12.45">
      <c r="B131" s="164" t="s">
        <v>9</v>
      </c>
      <c r="C131" s="228">
        <f>+SUM(C123:C129)</f>
        <v>725090979.88</v>
      </c>
      <c r="E131" s="315" t="s">
        <v>29</v>
      </c>
      <c r="F131" s="324">
        <v>23415959</v>
      </c>
    </row>
    <row r="132" spans="2:6" ht="12.45">
      <c r="B132" s="164" t="s">
        <v>30</v>
      </c>
      <c r="C132" s="228">
        <f>+'Caja Real mensual '!L41</f>
        <v>725090979.61744666</v>
      </c>
      <c r="D132" s="310"/>
      <c r="E132" s="303"/>
      <c r="F132" s="327"/>
    </row>
    <row r="133" spans="2:6" ht="12.45">
      <c r="B133" s="164" t="s">
        <v>31</v>
      </c>
      <c r="C133" s="227" t="str">
        <f>IF(C131=C132,"La Caja esta cuadrada","Caja descuadrada")</f>
        <v>Caja descuadrada</v>
      </c>
      <c r="D133" s="310"/>
      <c r="E133" s="164" t="s">
        <v>52</v>
      </c>
      <c r="F133" s="324">
        <f>2149100-59</f>
        <v>2149041</v>
      </c>
    </row>
    <row r="134" spans="2:6" ht="12.45">
      <c r="B134" s="164" t="s">
        <v>33</v>
      </c>
      <c r="C134" s="228">
        <f>+C131-C132</f>
        <v>0.26255333423614502</v>
      </c>
      <c r="D134" s="410"/>
      <c r="E134" s="164" t="s">
        <v>34</v>
      </c>
      <c r="F134" s="324">
        <v>3000000</v>
      </c>
    </row>
    <row r="135" spans="2:6" ht="12.45">
      <c r="C135" s="234"/>
      <c r="D135" s="232"/>
      <c r="E135" s="164" t="s">
        <v>35</v>
      </c>
      <c r="F135" s="324">
        <v>1003641</v>
      </c>
    </row>
    <row r="136" spans="2:6" ht="12.45">
      <c r="C136" s="234"/>
      <c r="D136" s="419"/>
      <c r="E136" s="164" t="s">
        <v>46</v>
      </c>
      <c r="F136" s="324">
        <f>812000+1120000+200000</f>
        <v>2132000</v>
      </c>
    </row>
    <row r="137" spans="2:6" ht="12.45">
      <c r="C137" s="232"/>
      <c r="D137" s="420"/>
      <c r="E137" s="164" t="s">
        <v>53</v>
      </c>
      <c r="F137" s="324">
        <v>400000</v>
      </c>
    </row>
    <row r="138" spans="2:6" ht="12.45">
      <c r="C138" s="232"/>
      <c r="D138" s="420"/>
      <c r="E138" s="164" t="s">
        <v>48</v>
      </c>
      <c r="F138" s="324">
        <v>1000000</v>
      </c>
    </row>
    <row r="139" spans="2:6" ht="12.45">
      <c r="C139" s="232"/>
      <c r="D139" s="232"/>
      <c r="E139" s="164" t="s">
        <v>37</v>
      </c>
      <c r="F139" s="324">
        <v>544000</v>
      </c>
    </row>
    <row r="140" spans="2:6" ht="12.45">
      <c r="C140" s="232"/>
      <c r="D140" s="232"/>
      <c r="E140" s="164" t="s">
        <v>54</v>
      </c>
      <c r="F140" s="324">
        <v>23000</v>
      </c>
    </row>
    <row r="141" spans="2:6" ht="12.45">
      <c r="C141" s="232"/>
      <c r="D141" s="232"/>
      <c r="E141" s="164" t="s">
        <v>50</v>
      </c>
      <c r="F141" s="324">
        <v>170000</v>
      </c>
    </row>
    <row r="143" spans="2:6" ht="12.45">
      <c r="D143" s="232"/>
    </row>
    <row r="144" spans="2:6" ht="12.45">
      <c r="E144" s="164" t="s">
        <v>39</v>
      </c>
      <c r="F144" s="369">
        <f>+SUM(F133:F141)</f>
        <v>10421682</v>
      </c>
    </row>
    <row r="145" spans="2:7" ht="12.45">
      <c r="E145" s="303"/>
      <c r="F145" s="327"/>
    </row>
    <row r="146" spans="2:7" ht="12.45">
      <c r="E146" s="164" t="s">
        <v>33</v>
      </c>
      <c r="F146" s="324">
        <f>+F144-(F129-F131)</f>
        <v>0</v>
      </c>
    </row>
    <row r="148" spans="2:7" s="452" customFormat="1" ht="12.45">
      <c r="F148" s="453"/>
    </row>
    <row r="152" spans="2:7" ht="12.45">
      <c r="B152" s="164" t="s">
        <v>14</v>
      </c>
      <c r="C152" s="219">
        <v>45473</v>
      </c>
    </row>
    <row r="153" spans="2:7" ht="12.45">
      <c r="B153" s="213"/>
      <c r="C153" s="213"/>
      <c r="E153" s="312" t="s">
        <v>15</v>
      </c>
      <c r="F153" s="322" t="s">
        <v>16</v>
      </c>
      <c r="G153" s="313" t="s">
        <v>17</v>
      </c>
    </row>
    <row r="154" spans="2:7" ht="12.45">
      <c r="B154" s="164" t="s">
        <v>18</v>
      </c>
      <c r="C154" s="229">
        <v>7970676.2000000002</v>
      </c>
      <c r="D154" s="232"/>
      <c r="E154" s="309"/>
      <c r="F154" s="323"/>
      <c r="G154" s="314"/>
    </row>
    <row r="155" spans="2:7" ht="12.45">
      <c r="B155" s="164" t="s">
        <v>19</v>
      </c>
      <c r="C155" s="229">
        <v>242992551</v>
      </c>
      <c r="D155" s="232"/>
      <c r="E155" s="311" t="s">
        <v>20</v>
      </c>
      <c r="F155" s="324">
        <f>+F144</f>
        <v>10421682</v>
      </c>
      <c r="G155" s="312"/>
    </row>
    <row r="156" spans="2:7" ht="12.45">
      <c r="B156" s="164" t="s">
        <v>21</v>
      </c>
      <c r="C156" s="229">
        <v>45938</v>
      </c>
      <c r="D156" s="232"/>
      <c r="E156" s="310" t="s">
        <v>22</v>
      </c>
      <c r="F156" s="325">
        <v>14000000</v>
      </c>
      <c r="G156" s="307" t="s">
        <v>23</v>
      </c>
    </row>
    <row r="157" spans="2:7" ht="12.45">
      <c r="B157" s="225" t="s">
        <v>24</v>
      </c>
      <c r="C157" s="230">
        <v>2312742.3199999998</v>
      </c>
      <c r="D157" s="232"/>
      <c r="E157" s="164" t="s">
        <v>51</v>
      </c>
      <c r="F157" s="326">
        <v>790000</v>
      </c>
      <c r="G157" s="164" t="s">
        <v>25</v>
      </c>
    </row>
    <row r="158" spans="2:7" ht="12.45">
      <c r="B158" s="164" t="s">
        <v>26</v>
      </c>
      <c r="C158" s="229">
        <v>108691.2</v>
      </c>
      <c r="D158" s="232"/>
      <c r="E158" s="308" t="s">
        <v>51</v>
      </c>
      <c r="F158" s="326"/>
      <c r="G158" s="225" t="s">
        <v>27</v>
      </c>
    </row>
    <row r="159" spans="2:7" ht="12.45">
      <c r="B159" s="164" t="s">
        <v>28</v>
      </c>
      <c r="C159" s="229">
        <f>+F178</f>
        <v>12961229</v>
      </c>
      <c r="D159" s="232"/>
      <c r="E159" s="213"/>
      <c r="F159" s="327"/>
      <c r="G159" s="304"/>
    </row>
    <row r="160" spans="2:7" ht="12.45">
      <c r="B160" s="164" t="s">
        <v>40</v>
      </c>
      <c r="C160" s="229">
        <v>50545090.450000003</v>
      </c>
      <c r="D160" s="232"/>
      <c r="E160" s="164" t="s">
        <v>9</v>
      </c>
      <c r="F160" s="320">
        <f>+F155+F156+F157+F158</f>
        <v>25211682</v>
      </c>
      <c r="G160" s="232"/>
    </row>
    <row r="161" spans="2:6" ht="12.45">
      <c r="B161" s="225"/>
      <c r="C161" s="230"/>
      <c r="E161" s="303"/>
      <c r="F161" s="327"/>
    </row>
    <row r="162" spans="2:6" ht="12.45">
      <c r="B162" s="164" t="s">
        <v>9</v>
      </c>
      <c r="C162" s="228">
        <f>+SUM(C154:C160)</f>
        <v>316936918.16999996</v>
      </c>
      <c r="D162" s="232"/>
      <c r="E162" s="315" t="s">
        <v>29</v>
      </c>
      <c r="F162" s="324">
        <v>12250453</v>
      </c>
    </row>
    <row r="163" spans="2:6" ht="12.45">
      <c r="B163" s="164" t="s">
        <v>30</v>
      </c>
      <c r="C163" s="228">
        <f>+'Caja Real mensual '!M41</f>
        <v>316936918.17000008</v>
      </c>
      <c r="D163" s="465"/>
      <c r="E163" s="303"/>
      <c r="F163" s="327"/>
    </row>
    <row r="164" spans="2:6" ht="12.45">
      <c r="B164" s="164" t="s">
        <v>31</v>
      </c>
      <c r="C164" s="227" t="str">
        <f>IF(C162=C163,"La Caja esta cuadrada","Caja descuadrada")</f>
        <v>La Caja esta cuadrada</v>
      </c>
      <c r="D164" s="310"/>
      <c r="E164" s="164" t="s">
        <v>52</v>
      </c>
      <c r="F164" s="324">
        <v>61838</v>
      </c>
    </row>
    <row r="165" spans="2:6" ht="12.45">
      <c r="B165" s="164" t="s">
        <v>33</v>
      </c>
      <c r="C165" s="228">
        <f>+C162-C163</f>
        <v>0</v>
      </c>
      <c r="D165" s="410"/>
      <c r="E165" s="164" t="s">
        <v>34</v>
      </c>
      <c r="F165" s="324">
        <v>6000000</v>
      </c>
    </row>
    <row r="166" spans="2:6" ht="12.45">
      <c r="C166" s="234"/>
      <c r="D166" s="232"/>
      <c r="E166" s="164" t="s">
        <v>35</v>
      </c>
      <c r="F166" s="324">
        <v>1003391</v>
      </c>
    </row>
    <row r="167" spans="2:6" ht="12.45">
      <c r="C167" s="234"/>
      <c r="D167" s="419"/>
      <c r="E167" s="164" t="s">
        <v>46</v>
      </c>
      <c r="F167" s="324">
        <f>812000+1120000+200000</f>
        <v>2132000</v>
      </c>
    </row>
    <row r="168" spans="2:6" ht="12.45">
      <c r="C168" s="232"/>
      <c r="D168" s="420"/>
      <c r="E168" s="164" t="s">
        <v>53</v>
      </c>
      <c r="F168" s="324">
        <v>400000</v>
      </c>
    </row>
    <row r="169" spans="2:6" ht="12.45">
      <c r="C169" s="232"/>
      <c r="D169" s="420"/>
      <c r="E169" s="164" t="s">
        <v>48</v>
      </c>
      <c r="F169" s="324">
        <f>1000000+80000+20000</f>
        <v>1100000</v>
      </c>
    </row>
    <row r="170" spans="2:6" ht="12.45">
      <c r="C170" s="232"/>
      <c r="D170" s="232"/>
      <c r="E170" s="164" t="s">
        <v>37</v>
      </c>
      <c r="F170" s="324">
        <v>544000</v>
      </c>
    </row>
    <row r="171" spans="2:6" ht="12.45">
      <c r="C171" s="232"/>
      <c r="D171" s="232"/>
      <c r="E171" s="164" t="s">
        <v>55</v>
      </c>
      <c r="F171" s="324">
        <v>20000</v>
      </c>
    </row>
    <row r="172" spans="2:6" ht="12.45">
      <c r="C172" s="232"/>
      <c r="D172" s="232"/>
      <c r="E172" s="164" t="s">
        <v>56</v>
      </c>
      <c r="F172" s="324">
        <v>270000</v>
      </c>
    </row>
    <row r="173" spans="2:6" ht="12.45">
      <c r="C173" s="232"/>
      <c r="D173" s="232"/>
      <c r="E173" s="164" t="s">
        <v>57</v>
      </c>
      <c r="F173" s="324">
        <v>70000</v>
      </c>
    </row>
    <row r="174" spans="2:6" ht="12.45">
      <c r="C174" s="232"/>
      <c r="D174" s="232"/>
      <c r="E174" s="164" t="s">
        <v>50</v>
      </c>
      <c r="F174" s="324">
        <f>470000+160000+100000+230000</f>
        <v>960000</v>
      </c>
    </row>
    <row r="175" spans="2:6" ht="12.45">
      <c r="E175" s="164" t="s">
        <v>58</v>
      </c>
      <c r="F175" s="324">
        <v>250000</v>
      </c>
    </row>
    <row r="176" spans="2:6" ht="12.45">
      <c r="E176" s="164" t="s">
        <v>59</v>
      </c>
      <c r="F176" s="324">
        <v>100000</v>
      </c>
    </row>
    <row r="177" spans="2:7" ht="12.45">
      <c r="D177" s="232"/>
      <c r="E177" s="164" t="s">
        <v>60</v>
      </c>
      <c r="F177" s="324">
        <v>50000</v>
      </c>
    </row>
    <row r="178" spans="2:7" ht="12.45">
      <c r="E178" s="164" t="s">
        <v>39</v>
      </c>
      <c r="F178" s="324">
        <f>+SUM(F164:F177)</f>
        <v>12961229</v>
      </c>
    </row>
    <row r="179" spans="2:7" ht="12.45">
      <c r="E179" s="303"/>
      <c r="F179" s="327"/>
    </row>
    <row r="180" spans="2:7" ht="12.45">
      <c r="E180" s="164" t="s">
        <v>33</v>
      </c>
      <c r="F180" s="324">
        <f>+F178-(F160-F162)</f>
        <v>0</v>
      </c>
    </row>
    <row r="183" spans="2:7" s="469" customFormat="1" ht="12.45">
      <c r="F183" s="470"/>
    </row>
    <row r="186" spans="2:7" ht="12.45">
      <c r="B186" s="164" t="s">
        <v>14</v>
      </c>
      <c r="C186" s="219">
        <v>45504</v>
      </c>
    </row>
    <row r="187" spans="2:7" ht="12.45">
      <c r="B187" s="213"/>
      <c r="C187" s="213"/>
      <c r="E187" s="312" t="s">
        <v>15</v>
      </c>
      <c r="F187" s="322" t="s">
        <v>16</v>
      </c>
      <c r="G187" s="313" t="s">
        <v>17</v>
      </c>
    </row>
    <row r="188" spans="2:7" ht="12.45">
      <c r="B188" s="164" t="s">
        <v>18</v>
      </c>
      <c r="C188" s="229">
        <v>302755847.95999998</v>
      </c>
      <c r="D188" s="232"/>
      <c r="E188" s="309"/>
      <c r="F188" s="323"/>
      <c r="G188" s="314"/>
    </row>
    <row r="189" spans="2:7" ht="12.45">
      <c r="B189" s="164" t="s">
        <v>19</v>
      </c>
      <c r="C189" s="229">
        <f>48908874-2000000</f>
        <v>46908874</v>
      </c>
      <c r="E189" s="311" t="s">
        <v>20</v>
      </c>
      <c r="F189" s="324">
        <f>+F178</f>
        <v>12961229</v>
      </c>
      <c r="G189" s="312"/>
    </row>
    <row r="190" spans="2:7" ht="12.45">
      <c r="B190" s="164" t="s">
        <v>21</v>
      </c>
      <c r="C190" s="229">
        <v>45938</v>
      </c>
      <c r="D190" s="232"/>
      <c r="E190" s="310" t="s">
        <v>22</v>
      </c>
      <c r="F190" s="325">
        <v>17500000</v>
      </c>
      <c r="G190" s="307" t="s">
        <v>23</v>
      </c>
    </row>
    <row r="191" spans="2:7" ht="12.45">
      <c r="B191" s="225" t="s">
        <v>24</v>
      </c>
      <c r="C191" s="230">
        <v>1911701.97</v>
      </c>
      <c r="D191" s="232"/>
      <c r="E191" s="164" t="s">
        <v>51</v>
      </c>
      <c r="F191" s="326">
        <v>700000</v>
      </c>
      <c r="G191" s="164" t="s">
        <v>25</v>
      </c>
    </row>
    <row r="192" spans="2:7" ht="12.45">
      <c r="B192" s="164" t="s">
        <v>26</v>
      </c>
      <c r="C192" s="229">
        <v>108691.2</v>
      </c>
      <c r="D192" s="232"/>
      <c r="E192" s="308" t="s">
        <v>51</v>
      </c>
      <c r="F192" s="326"/>
      <c r="G192" s="225" t="s">
        <v>27</v>
      </c>
    </row>
    <row r="193" spans="2:7" ht="12.45">
      <c r="B193" s="164" t="s">
        <v>28</v>
      </c>
      <c r="C193" s="229">
        <f>+F205</f>
        <v>7324384</v>
      </c>
      <c r="D193" s="232"/>
      <c r="E193" s="213"/>
      <c r="F193" s="327"/>
      <c r="G193" s="304"/>
    </row>
    <row r="194" spans="2:7" ht="12.45">
      <c r="B194" s="164" t="s">
        <v>40</v>
      </c>
      <c r="C194" s="229">
        <v>10793063.720000001</v>
      </c>
      <c r="D194" s="232"/>
      <c r="E194" s="164" t="s">
        <v>9</v>
      </c>
      <c r="F194" s="320">
        <f>+F189+F190+F191+F192</f>
        <v>31161229</v>
      </c>
      <c r="G194" s="232"/>
    </row>
    <row r="195" spans="2:7" ht="12.45">
      <c r="B195" s="225"/>
      <c r="C195" s="230"/>
      <c r="E195" s="303"/>
      <c r="F195" s="327"/>
    </row>
    <row r="196" spans="2:7" ht="12.45">
      <c r="B196" s="164" t="s">
        <v>9</v>
      </c>
      <c r="C196" s="228">
        <f>+SUM(C188:C194)</f>
        <v>369848500.85000002</v>
      </c>
      <c r="D196" s="232"/>
      <c r="E196" s="315" t="s">
        <v>29</v>
      </c>
      <c r="F196" s="324">
        <v>23836845</v>
      </c>
    </row>
    <row r="197" spans="2:7" ht="12.45">
      <c r="B197" s="164" t="s">
        <v>30</v>
      </c>
      <c r="C197" s="228">
        <f>+'Caja Real mensual '!N41</f>
        <v>369848500.8294186</v>
      </c>
      <c r="D197" s="465"/>
      <c r="E197" s="303"/>
      <c r="F197" s="327"/>
    </row>
    <row r="198" spans="2:7" ht="12.45">
      <c r="B198" s="164" t="s">
        <v>31</v>
      </c>
      <c r="C198" s="227" t="str">
        <f>IF(C196=C197,"La Caja esta cuadrada","Caja descuadrada")</f>
        <v>Caja descuadrada</v>
      </c>
      <c r="D198" s="310"/>
      <c r="E198" s="164" t="s">
        <v>52</v>
      </c>
      <c r="F198" s="324">
        <v>1692900</v>
      </c>
    </row>
    <row r="199" spans="2:7" ht="12.45">
      <c r="B199" s="164" t="s">
        <v>33</v>
      </c>
      <c r="C199" s="228">
        <f>+C196-C197</f>
        <v>2.0581424236297607E-2</v>
      </c>
      <c r="D199" s="410"/>
      <c r="E199" s="164" t="s">
        <v>34</v>
      </c>
      <c r="F199" s="324">
        <v>3000000</v>
      </c>
      <c r="G199" s="472"/>
    </row>
    <row r="200" spans="2:7" ht="12.45">
      <c r="C200" s="234"/>
      <c r="D200" s="232"/>
      <c r="E200" s="164" t="s">
        <v>35</v>
      </c>
      <c r="F200" s="324">
        <f>1003391+4000+93+5000+200000+95000</f>
        <v>1307484</v>
      </c>
    </row>
    <row r="201" spans="2:7" ht="12.45">
      <c r="C201" s="234"/>
      <c r="D201" s="232"/>
      <c r="E201" s="164" t="s">
        <v>61</v>
      </c>
      <c r="F201" s="324">
        <f>20000+50000</f>
        <v>70000</v>
      </c>
    </row>
    <row r="202" spans="2:7" ht="12.45">
      <c r="C202" s="234"/>
      <c r="D202" s="232"/>
      <c r="E202" s="164" t="s">
        <v>62</v>
      </c>
      <c r="F202" s="324">
        <v>10000</v>
      </c>
    </row>
    <row r="203" spans="2:7" ht="12.45">
      <c r="C203" s="234"/>
      <c r="D203" s="232"/>
      <c r="E203" s="164" t="s">
        <v>63</v>
      </c>
      <c r="F203" s="324">
        <v>700000</v>
      </c>
    </row>
    <row r="204" spans="2:7" ht="12.45">
      <c r="C204" s="232"/>
      <c r="D204" s="232"/>
      <c r="E204" s="164" t="s">
        <v>37</v>
      </c>
      <c r="F204" s="324">
        <v>544000</v>
      </c>
    </row>
    <row r="205" spans="2:7" ht="12.45">
      <c r="B205" s="484" t="s">
        <v>64</v>
      </c>
      <c r="E205" s="164" t="s">
        <v>39</v>
      </c>
      <c r="F205" s="324">
        <f>+SUM(F198:F204)</f>
        <v>7324384</v>
      </c>
    </row>
    <row r="206" spans="2:7" ht="12.45">
      <c r="E206" s="303"/>
      <c r="F206" s="327"/>
    </row>
    <row r="207" spans="2:7" ht="12.45">
      <c r="E207" s="164" t="s">
        <v>33</v>
      </c>
      <c r="F207" s="324">
        <f>+F205-(F194-F196)</f>
        <v>0</v>
      </c>
    </row>
    <row r="210" spans="2:7" s="486" customFormat="1" ht="12.45">
      <c r="F210" s="485"/>
    </row>
    <row r="213" spans="2:7" ht="12.45">
      <c r="B213" s="164" t="s">
        <v>14</v>
      </c>
      <c r="C213" s="219">
        <v>45535</v>
      </c>
    </row>
    <row r="214" spans="2:7" ht="12.45">
      <c r="B214" s="213"/>
      <c r="C214" s="213"/>
      <c r="E214" s="312" t="s">
        <v>15</v>
      </c>
      <c r="F214" s="322" t="s">
        <v>16</v>
      </c>
      <c r="G214" s="313" t="s">
        <v>17</v>
      </c>
    </row>
    <row r="215" spans="2:7" ht="12.45">
      <c r="B215" s="164" t="s">
        <v>18</v>
      </c>
      <c r="C215" s="229">
        <v>266628960.31999999</v>
      </c>
      <c r="D215" s="232"/>
      <c r="E215" s="309"/>
      <c r="F215" s="323"/>
      <c r="G215" s="314"/>
    </row>
    <row r="216" spans="2:7" ht="12.45">
      <c r="B216" s="164" t="s">
        <v>19</v>
      </c>
      <c r="C216" s="229">
        <v>110661291.42</v>
      </c>
      <c r="E216" s="311" t="s">
        <v>20</v>
      </c>
      <c r="F216" s="324">
        <f>+F205</f>
        <v>7324384</v>
      </c>
      <c r="G216" s="312"/>
    </row>
    <row r="217" spans="2:7" ht="12.45">
      <c r="B217" s="164" t="s">
        <v>21</v>
      </c>
      <c r="C217" s="229">
        <v>45938</v>
      </c>
      <c r="D217" s="232"/>
      <c r="E217" s="310" t="s">
        <v>22</v>
      </c>
      <c r="F217" s="325">
        <v>18000000</v>
      </c>
      <c r="G217" s="307" t="s">
        <v>23</v>
      </c>
    </row>
    <row r="218" spans="2:7" ht="12.45">
      <c r="B218" s="225" t="s">
        <v>24</v>
      </c>
      <c r="C218" s="230">
        <v>368658.07</v>
      </c>
      <c r="D218" s="232"/>
      <c r="E218" s="164" t="s">
        <v>51</v>
      </c>
      <c r="F218" s="326">
        <v>650000</v>
      </c>
      <c r="G218" s="164" t="s">
        <v>25</v>
      </c>
    </row>
    <row r="219" spans="2:7" ht="12.45">
      <c r="B219" s="164" t="s">
        <v>26</v>
      </c>
      <c r="C219" s="229">
        <v>108691.2</v>
      </c>
      <c r="D219" s="232"/>
      <c r="E219" s="308" t="s">
        <v>51</v>
      </c>
      <c r="F219" s="326">
        <v>2000000</v>
      </c>
      <c r="G219" s="225" t="s">
        <v>27</v>
      </c>
    </row>
    <row r="220" spans="2:7" ht="12.45">
      <c r="B220" s="164" t="s">
        <v>28</v>
      </c>
      <c r="C220" s="229">
        <f>+F238</f>
        <v>11171752</v>
      </c>
      <c r="D220" s="232"/>
      <c r="E220" s="213"/>
      <c r="F220" s="327"/>
      <c r="G220" s="304"/>
    </row>
    <row r="221" spans="2:7" ht="12.45">
      <c r="B221" s="164" t="s">
        <v>40</v>
      </c>
      <c r="C221" s="229">
        <v>10384696.4</v>
      </c>
      <c r="D221" s="232"/>
      <c r="E221" s="164" t="s">
        <v>9</v>
      </c>
      <c r="F221" s="320">
        <f>+F216+F217+F218+F219</f>
        <v>27974384</v>
      </c>
      <c r="G221" s="232"/>
    </row>
    <row r="222" spans="2:7" ht="12.45">
      <c r="B222" s="225" t="s">
        <v>65</v>
      </c>
      <c r="C222" s="228">
        <v>10000000</v>
      </c>
      <c r="E222" s="303"/>
      <c r="F222" s="327"/>
    </row>
    <row r="223" spans="2:7" ht="12.45">
      <c r="B223" s="308" t="s">
        <v>66</v>
      </c>
      <c r="C223" s="228">
        <v>20004041</v>
      </c>
      <c r="D223" s="232"/>
      <c r="E223" s="315" t="s">
        <v>29</v>
      </c>
      <c r="F223" s="324">
        <v>16802632</v>
      </c>
    </row>
    <row r="224" spans="2:7" ht="12.45">
      <c r="D224" s="232"/>
      <c r="E224" s="504"/>
      <c r="F224" s="327"/>
    </row>
    <row r="225" spans="2:7" ht="12.45">
      <c r="E225" s="316" t="s">
        <v>52</v>
      </c>
      <c r="F225" s="324">
        <v>1101400</v>
      </c>
    </row>
    <row r="226" spans="2:7" ht="12.45">
      <c r="B226" s="311" t="s">
        <v>9</v>
      </c>
      <c r="C226" s="228">
        <f>+SUM(C215:C223)</f>
        <v>429374028.40999997</v>
      </c>
      <c r="D226" s="505"/>
      <c r="E226" s="164" t="s">
        <v>34</v>
      </c>
      <c r="F226" s="324">
        <v>3000000</v>
      </c>
      <c r="G226" s="472"/>
    </row>
    <row r="227" spans="2:7" ht="12.45">
      <c r="B227" s="164" t="s">
        <v>30</v>
      </c>
      <c r="C227" s="228">
        <f>+'Caja Real mensual '!O41</f>
        <v>429374028.45959395</v>
      </c>
      <c r="D227" s="232"/>
      <c r="E227" s="164" t="s">
        <v>35</v>
      </c>
      <c r="F227" s="324">
        <f>1003252+4000+5000+200000+95000</f>
        <v>1307252</v>
      </c>
    </row>
    <row r="228" spans="2:7" ht="12.45">
      <c r="B228" s="164" t="s">
        <v>31</v>
      </c>
      <c r="C228" s="227" t="str">
        <f>IF(C226=C227,"La Caja esta cuadrada","Caja descuadrada")</f>
        <v>Caja descuadrada</v>
      </c>
      <c r="D228" s="232" t="s">
        <v>67</v>
      </c>
      <c r="E228" s="164" t="s">
        <v>68</v>
      </c>
      <c r="F228" s="324">
        <v>60000</v>
      </c>
    </row>
    <row r="229" spans="2:7" ht="12.45">
      <c r="B229" s="164" t="s">
        <v>33</v>
      </c>
      <c r="C229" s="228">
        <f>+C226-C227</f>
        <v>-4.9593985080718994E-2</v>
      </c>
      <c r="D229" s="232"/>
      <c r="E229" s="164" t="s">
        <v>47</v>
      </c>
      <c r="F229" s="324">
        <v>600000</v>
      </c>
    </row>
    <row r="230" spans="2:7" ht="12.45">
      <c r="D230" s="232"/>
      <c r="E230" s="164" t="s">
        <v>69</v>
      </c>
      <c r="F230" s="324">
        <v>2000000</v>
      </c>
    </row>
    <row r="231" spans="2:7" ht="12.45">
      <c r="C231" s="234"/>
      <c r="D231" s="232"/>
      <c r="E231" s="164" t="s">
        <v>70</v>
      </c>
      <c r="F231" s="324">
        <v>12500</v>
      </c>
    </row>
    <row r="232" spans="2:7" ht="13.5" customHeight="1">
      <c r="C232" s="234"/>
      <c r="D232" s="232"/>
      <c r="E232" s="500" t="s">
        <v>71</v>
      </c>
      <c r="F232" s="324">
        <v>450000</v>
      </c>
    </row>
    <row r="233" spans="2:7" ht="13.5" customHeight="1">
      <c r="C233" s="234"/>
      <c r="D233" s="232"/>
      <c r="E233" s="500" t="s">
        <v>72</v>
      </c>
      <c r="F233" s="324">
        <v>461600</v>
      </c>
    </row>
    <row r="234" spans="2:7" ht="12.45">
      <c r="C234" s="234"/>
      <c r="D234" s="232"/>
      <c r="E234" s="164" t="s">
        <v>73</v>
      </c>
      <c r="F234" s="324">
        <v>25000</v>
      </c>
    </row>
    <row r="235" spans="2:7" ht="12.45">
      <c r="C235" s="234"/>
      <c r="D235" s="232"/>
      <c r="E235" s="164" t="s">
        <v>62</v>
      </c>
      <c r="F235" s="324">
        <v>260000</v>
      </c>
    </row>
    <row r="236" spans="2:7" ht="12.45">
      <c r="C236" s="234"/>
      <c r="D236" s="232"/>
      <c r="E236" s="164" t="s">
        <v>63</v>
      </c>
      <c r="F236" s="324">
        <v>1350000</v>
      </c>
    </row>
    <row r="237" spans="2:7" ht="12.45">
      <c r="C237" s="232"/>
      <c r="D237" s="232"/>
      <c r="E237" s="164" t="s">
        <v>37</v>
      </c>
      <c r="F237" s="324">
        <v>544000</v>
      </c>
    </row>
    <row r="238" spans="2:7" ht="12.45">
      <c r="B238" s="484"/>
      <c r="E238" s="164" t="s">
        <v>39</v>
      </c>
      <c r="F238" s="324">
        <f>+SUM(F225:F237)</f>
        <v>11171752</v>
      </c>
    </row>
    <row r="239" spans="2:7" ht="12.45">
      <c r="E239" s="303"/>
      <c r="F239" s="327"/>
    </row>
    <row r="240" spans="2:7" ht="12.45">
      <c r="E240" s="164" t="s">
        <v>33</v>
      </c>
      <c r="F240" s="324">
        <f>+F238-(F221-F223)</f>
        <v>0</v>
      </c>
    </row>
    <row r="242" spans="2:7" s="509" customFormat="1" ht="12.45">
      <c r="F242" s="508"/>
    </row>
    <row r="245" spans="2:7" ht="12.45">
      <c r="B245" s="164" t="s">
        <v>14</v>
      </c>
      <c r="C245" s="219">
        <v>45565</v>
      </c>
    </row>
    <row r="246" spans="2:7" ht="12.45">
      <c r="B246" s="213"/>
      <c r="C246" s="213"/>
      <c r="E246" s="312" t="s">
        <v>15</v>
      </c>
      <c r="F246" s="322" t="s">
        <v>16</v>
      </c>
      <c r="G246" s="313" t="s">
        <v>17</v>
      </c>
    </row>
    <row r="247" spans="2:7" ht="12.45">
      <c r="B247" s="551" t="s">
        <v>18</v>
      </c>
      <c r="C247" s="531">
        <v>155796572.50999999</v>
      </c>
      <c r="D247" s="232"/>
      <c r="E247" s="309"/>
      <c r="F247" s="323"/>
      <c r="G247" s="314"/>
    </row>
    <row r="248" spans="2:7" ht="12.45">
      <c r="B248" s="551" t="s">
        <v>19</v>
      </c>
      <c r="C248" s="531">
        <v>50236598.420000002</v>
      </c>
      <c r="E248" s="311" t="s">
        <v>20</v>
      </c>
      <c r="F248" s="324">
        <f>+F238</f>
        <v>11171752</v>
      </c>
      <c r="G248" s="312"/>
    </row>
    <row r="249" spans="2:7" ht="12.45">
      <c r="B249" s="551" t="s">
        <v>21</v>
      </c>
      <c r="C249" s="531">
        <v>45938</v>
      </c>
      <c r="D249" s="232"/>
      <c r="E249" s="310" t="s">
        <v>22</v>
      </c>
      <c r="F249" s="325">
        <v>22000000</v>
      </c>
      <c r="G249" s="307" t="s">
        <v>23</v>
      </c>
    </row>
    <row r="250" spans="2:7" ht="12.45">
      <c r="B250" s="552" t="s">
        <v>24</v>
      </c>
      <c r="C250" s="553">
        <v>3781479.31</v>
      </c>
      <c r="D250" s="232"/>
      <c r="E250" s="164" t="s">
        <v>51</v>
      </c>
      <c r="F250" s="326">
        <v>840000</v>
      </c>
      <c r="G250" s="164" t="s">
        <v>25</v>
      </c>
    </row>
    <row r="251" spans="2:7" ht="12.45">
      <c r="B251" s="551" t="s">
        <v>26</v>
      </c>
      <c r="C251" s="531">
        <v>108691.2</v>
      </c>
      <c r="D251" s="232"/>
      <c r="E251" s="308" t="s">
        <v>51</v>
      </c>
      <c r="F251" s="326"/>
      <c r="G251" s="225" t="s">
        <v>27</v>
      </c>
    </row>
    <row r="252" spans="2:7" ht="12.45">
      <c r="B252" s="551" t="s">
        <v>28</v>
      </c>
      <c r="C252" s="531">
        <f>+F267</f>
        <v>8980489</v>
      </c>
      <c r="D252" s="232"/>
      <c r="E252" s="213"/>
      <c r="F252" s="327"/>
      <c r="G252" s="304"/>
    </row>
    <row r="253" spans="2:7" ht="12.45">
      <c r="B253" s="551" t="s">
        <v>40</v>
      </c>
      <c r="C253" s="531">
        <v>6934557.3899999997</v>
      </c>
      <c r="D253" s="232"/>
      <c r="E253" s="164" t="s">
        <v>9</v>
      </c>
      <c r="F253" s="320">
        <f>+F248+F249+F250+F251</f>
        <v>34011752</v>
      </c>
      <c r="G253" s="232"/>
    </row>
    <row r="254" spans="2:7" ht="12.45">
      <c r="B254" s="552" t="s">
        <v>65</v>
      </c>
      <c r="C254" s="554">
        <v>83958284.340000004</v>
      </c>
      <c r="E254" s="303"/>
      <c r="F254" s="327"/>
    </row>
    <row r="255" spans="2:7" ht="12.45">
      <c r="B255" s="555" t="s">
        <v>66</v>
      </c>
      <c r="C255" s="554">
        <v>321947754.25999999</v>
      </c>
      <c r="D255" s="232"/>
      <c r="E255" s="315" t="s">
        <v>29</v>
      </c>
      <c r="F255" s="324">
        <v>25031263</v>
      </c>
    </row>
    <row r="256" spans="2:7" ht="12.45">
      <c r="D256" s="232"/>
      <c r="E256" s="504"/>
      <c r="F256" s="327"/>
    </row>
    <row r="257" spans="2:7" ht="12.45">
      <c r="E257" s="316" t="s">
        <v>52</v>
      </c>
      <c r="F257" s="324">
        <v>1382600</v>
      </c>
    </row>
    <row r="258" spans="2:7" ht="12.45">
      <c r="B258" s="311" t="s">
        <v>9</v>
      </c>
      <c r="C258" s="228">
        <f>+SUM(C247:C255)</f>
        <v>631790364.42999995</v>
      </c>
      <c r="D258" s="505"/>
      <c r="E258" s="316" t="s">
        <v>74</v>
      </c>
      <c r="F258" s="324">
        <v>1000000</v>
      </c>
      <c r="G258" s="472"/>
    </row>
    <row r="259" spans="2:7" ht="12.45">
      <c r="B259" s="164" t="s">
        <v>30</v>
      </c>
      <c r="C259" s="228">
        <f>+'Caja Real mensual '!P41</f>
        <v>631790364.35365248</v>
      </c>
      <c r="D259" s="232"/>
      <c r="E259" s="164" t="s">
        <v>34</v>
      </c>
      <c r="F259" s="324">
        <v>3000000</v>
      </c>
    </row>
    <row r="260" spans="2:7" ht="12.45">
      <c r="B260" s="164" t="s">
        <v>31</v>
      </c>
      <c r="C260" s="227" t="str">
        <f>IF(C258=C259,"La Caja esta cuadrada","Caja descuadrada")</f>
        <v>Caja descuadrada</v>
      </c>
      <c r="D260" s="232" t="s">
        <v>67</v>
      </c>
      <c r="E260" s="164" t="s">
        <v>75</v>
      </c>
      <c r="F260" s="324">
        <v>3000000</v>
      </c>
    </row>
    <row r="261" spans="2:7" ht="12.45">
      <c r="B261" s="164" t="s">
        <v>33</v>
      </c>
      <c r="C261" s="228">
        <f>+C258-C259</f>
        <v>7.6347470283508301E-2</v>
      </c>
      <c r="D261" s="232"/>
      <c r="E261" s="164" t="s">
        <v>68</v>
      </c>
      <c r="F261" s="324">
        <v>60000</v>
      </c>
    </row>
    <row r="262" spans="2:7" ht="12.45">
      <c r="D262" s="232"/>
      <c r="E262" s="164" t="s">
        <v>76</v>
      </c>
      <c r="F262" s="324">
        <v>20000</v>
      </c>
    </row>
    <row r="263" spans="2:7" ht="12.45">
      <c r="D263" s="232"/>
      <c r="E263" s="164" t="s">
        <v>77</v>
      </c>
      <c r="F263" s="324">
        <v>240000</v>
      </c>
    </row>
    <row r="264" spans="2:7" ht="12.45">
      <c r="C264" s="234"/>
      <c r="D264" s="232"/>
      <c r="E264" s="164" t="s">
        <v>70</v>
      </c>
      <c r="F264" s="324">
        <f>12500+11100+289</f>
        <v>23889</v>
      </c>
    </row>
    <row r="265" spans="2:7" ht="14.25" customHeight="1">
      <c r="C265" s="234"/>
      <c r="D265" s="232"/>
      <c r="E265" s="510" t="s">
        <v>78</v>
      </c>
      <c r="F265" s="324">
        <v>240000</v>
      </c>
    </row>
    <row r="266" spans="2:7" ht="12.45">
      <c r="C266" s="232"/>
      <c r="D266" s="232"/>
      <c r="E266" s="510" t="s">
        <v>72</v>
      </c>
      <c r="F266" s="324">
        <v>14000</v>
      </c>
    </row>
    <row r="267" spans="2:7" ht="12.45">
      <c r="E267" s="164" t="s">
        <v>39</v>
      </c>
      <c r="F267" s="324">
        <f>+SUM(F257:F266)</f>
        <v>8980489</v>
      </c>
    </row>
    <row r="268" spans="2:7" ht="12.45">
      <c r="E268" s="303"/>
      <c r="F268" s="327"/>
    </row>
    <row r="269" spans="2:7" ht="12.45">
      <c r="E269" s="164" t="s">
        <v>33</v>
      </c>
      <c r="F269" s="324">
        <f>+F267-(F253-F255)</f>
        <v>0</v>
      </c>
    </row>
    <row r="271" spans="2:7" s="529" customFormat="1" ht="12.45">
      <c r="F271" s="530"/>
    </row>
    <row r="274" spans="2:10" ht="12.45">
      <c r="B274" s="164" t="s">
        <v>14</v>
      </c>
      <c r="C274" s="219">
        <v>45596</v>
      </c>
    </row>
    <row r="275" spans="2:10" ht="12.45">
      <c r="B275" s="213"/>
      <c r="C275" s="213"/>
      <c r="E275" s="312" t="s">
        <v>15</v>
      </c>
      <c r="F275" s="322" t="s">
        <v>16</v>
      </c>
      <c r="G275" s="313" t="s">
        <v>17</v>
      </c>
    </row>
    <row r="276" spans="2:10" ht="12.45">
      <c r="B276" s="164" t="s">
        <v>18</v>
      </c>
      <c r="C276" s="531">
        <v>171680477.97999999</v>
      </c>
      <c r="D276" s="232"/>
      <c r="E276" s="309"/>
      <c r="F276" s="323"/>
      <c r="G276" s="314"/>
    </row>
    <row r="277" spans="2:10" ht="12.45">
      <c r="B277" s="164" t="s">
        <v>19</v>
      </c>
      <c r="C277" s="531">
        <v>58982265.420000002</v>
      </c>
      <c r="D277" s="232"/>
      <c r="E277" s="311" t="s">
        <v>20</v>
      </c>
      <c r="F277" s="324">
        <f>+F267</f>
        <v>8980489</v>
      </c>
      <c r="G277" s="312"/>
    </row>
    <row r="278" spans="2:10" ht="12.45">
      <c r="B278" s="164" t="s">
        <v>21</v>
      </c>
      <c r="C278" s="229">
        <v>45938</v>
      </c>
      <c r="D278" s="232"/>
      <c r="E278" s="310" t="s">
        <v>22</v>
      </c>
      <c r="F278" s="324">
        <v>18000000</v>
      </c>
      <c r="G278" s="307" t="s">
        <v>23</v>
      </c>
      <c r="H278" s="232"/>
    </row>
    <row r="279" spans="2:10" ht="12.45">
      <c r="B279" s="225" t="s">
        <v>24</v>
      </c>
      <c r="C279" s="230">
        <v>1530452.1</v>
      </c>
      <c r="D279" s="232"/>
      <c r="E279" s="164" t="s">
        <v>51</v>
      </c>
      <c r="F279" s="324">
        <v>700000</v>
      </c>
      <c r="G279" s="164" t="s">
        <v>25</v>
      </c>
      <c r="H279" s="556"/>
    </row>
    <row r="280" spans="2:10" ht="12.45">
      <c r="B280" s="164" t="s">
        <v>26</v>
      </c>
      <c r="C280" s="229">
        <v>108691.2</v>
      </c>
      <c r="D280" s="232"/>
      <c r="E280" s="308" t="s">
        <v>51</v>
      </c>
      <c r="F280" s="324">
        <v>4000000</v>
      </c>
      <c r="G280" s="225" t="s">
        <v>27</v>
      </c>
    </row>
    <row r="281" spans="2:10" ht="12.45">
      <c r="B281" s="164" t="s">
        <v>28</v>
      </c>
      <c r="C281" s="229">
        <f>+F301</f>
        <v>12975600</v>
      </c>
      <c r="D281" s="232"/>
      <c r="E281" s="213"/>
      <c r="F281" s="327"/>
      <c r="G281" s="304"/>
    </row>
    <row r="282" spans="2:10" ht="12.45">
      <c r="B282" s="164" t="s">
        <v>40</v>
      </c>
      <c r="C282" s="229">
        <v>6976964.0700000003</v>
      </c>
      <c r="D282" s="232"/>
      <c r="E282" s="164" t="s">
        <v>9</v>
      </c>
      <c r="F282" s="320">
        <f>+F277+F278+F279+F280</f>
        <v>31680489</v>
      </c>
      <c r="G282" s="232"/>
    </row>
    <row r="283" spans="2:10" ht="12.45">
      <c r="B283" s="225" t="s">
        <v>65</v>
      </c>
      <c r="C283" s="228">
        <v>131415143.78</v>
      </c>
      <c r="D283" s="232"/>
      <c r="E283" s="303"/>
      <c r="F283" s="327"/>
      <c r="H283" s="557"/>
      <c r="J283" s="557"/>
    </row>
    <row r="284" spans="2:10" ht="12.45">
      <c r="B284" s="308" t="s">
        <v>66</v>
      </c>
      <c r="C284" s="228">
        <v>22248126</v>
      </c>
      <c r="D284" s="232"/>
      <c r="E284" s="315" t="s">
        <v>29</v>
      </c>
      <c r="F284" s="324">
        <v>18704888.510000002</v>
      </c>
    </row>
    <row r="285" spans="2:10" ht="12.45">
      <c r="D285" s="232"/>
      <c r="E285" s="504"/>
      <c r="F285" s="327"/>
    </row>
    <row r="286" spans="2:10" ht="12.45">
      <c r="E286" s="316" t="s">
        <v>52</v>
      </c>
      <c r="F286" s="324">
        <v>205600</v>
      </c>
    </row>
    <row r="287" spans="2:10" ht="12.45">
      <c r="B287" s="311" t="s">
        <v>9</v>
      </c>
      <c r="C287" s="228">
        <f>+SUM(C276:C284)-23</f>
        <v>405963635.54999995</v>
      </c>
      <c r="D287" s="505"/>
      <c r="E287" s="316" t="s">
        <v>79</v>
      </c>
      <c r="F287" s="324">
        <v>1000000</v>
      </c>
      <c r="G287" s="472"/>
    </row>
    <row r="288" spans="2:10" ht="12.45">
      <c r="B288" s="164" t="s">
        <v>30</v>
      </c>
      <c r="C288" s="228">
        <f>+'Caja Real mensual '!Q41</f>
        <v>405963635.16298586</v>
      </c>
      <c r="D288" s="232"/>
      <c r="E288" s="316" t="s">
        <v>74</v>
      </c>
      <c r="F288" s="324">
        <f>1000000</f>
        <v>1000000</v>
      </c>
    </row>
    <row r="289" spans="2:6" ht="12.45">
      <c r="B289" s="164" t="s">
        <v>31</v>
      </c>
      <c r="C289" s="227" t="str">
        <f>IF(C287=C288,"La Caja esta cuadrada","Caja descuadrada")</f>
        <v>Caja descuadrada</v>
      </c>
      <c r="D289" s="232" t="s">
        <v>67</v>
      </c>
      <c r="E289" s="164" t="s">
        <v>34</v>
      </c>
      <c r="F289" s="324">
        <v>3000000</v>
      </c>
    </row>
    <row r="290" spans="2:6" ht="12.45">
      <c r="B290" s="164" t="s">
        <v>33</v>
      </c>
      <c r="C290" s="228">
        <f>+C287-C288</f>
        <v>0.38701409101486206</v>
      </c>
      <c r="D290" s="232"/>
      <c r="E290" s="164" t="s">
        <v>75</v>
      </c>
      <c r="F290" s="324">
        <v>6000000</v>
      </c>
    </row>
    <row r="291" spans="2:6" ht="12.45">
      <c r="C291" s="232"/>
      <c r="D291" s="232"/>
      <c r="E291" s="164" t="s">
        <v>80</v>
      </c>
      <c r="F291" s="715">
        <v>100000</v>
      </c>
    </row>
    <row r="292" spans="2:6" ht="12.45">
      <c r="C292" s="232"/>
      <c r="D292" s="232"/>
      <c r="E292" s="164" t="s">
        <v>81</v>
      </c>
      <c r="F292" s="324">
        <v>50000</v>
      </c>
    </row>
    <row r="293" spans="2:6" ht="12.45">
      <c r="C293" s="232"/>
      <c r="D293" s="232"/>
      <c r="E293" s="164" t="s">
        <v>82</v>
      </c>
      <c r="F293" s="715">
        <v>200000</v>
      </c>
    </row>
    <row r="294" spans="2:6" ht="12.45">
      <c r="C294" s="232"/>
      <c r="D294" s="232"/>
      <c r="E294" s="164" t="s">
        <v>56</v>
      </c>
      <c r="F294" s="324">
        <v>50000</v>
      </c>
    </row>
    <row r="295" spans="2:6" ht="12.45">
      <c r="C295" s="232"/>
      <c r="D295" s="232"/>
      <c r="E295" s="164" t="s">
        <v>83</v>
      </c>
      <c r="F295" s="324">
        <v>70000</v>
      </c>
    </row>
    <row r="296" spans="2:6" ht="12.45">
      <c r="C296" s="232"/>
      <c r="D296" s="232"/>
      <c r="E296" s="164" t="s">
        <v>84</v>
      </c>
      <c r="F296" s="324">
        <v>300000</v>
      </c>
    </row>
    <row r="297" spans="2:6" ht="12.45">
      <c r="C297" s="232"/>
      <c r="D297" s="232"/>
      <c r="E297" s="164" t="s">
        <v>85</v>
      </c>
      <c r="F297" s="324">
        <v>100000</v>
      </c>
    </row>
    <row r="298" spans="2:6" ht="12.45">
      <c r="C298" s="232"/>
      <c r="D298" s="232"/>
      <c r="E298" s="164" t="s">
        <v>86</v>
      </c>
      <c r="F298" s="324">
        <v>100000</v>
      </c>
    </row>
    <row r="299" spans="2:6" ht="12.45">
      <c r="C299" s="232"/>
      <c r="D299" s="232"/>
      <c r="E299" s="164" t="s">
        <v>87</v>
      </c>
      <c r="F299" s="715">
        <v>100000</v>
      </c>
    </row>
    <row r="300" spans="2:6" ht="12.45">
      <c r="E300" s="164" t="s">
        <v>88</v>
      </c>
      <c r="F300" s="324">
        <v>700000</v>
      </c>
    </row>
    <row r="301" spans="2:6" ht="12.45">
      <c r="E301" s="164" t="s">
        <v>39</v>
      </c>
      <c r="F301" s="324">
        <f>+SUM(F286:F300)</f>
        <v>12975600</v>
      </c>
    </row>
    <row r="302" spans="2:6" ht="12.45">
      <c r="E302" s="303"/>
      <c r="F302" s="327"/>
    </row>
    <row r="303" spans="2:6" ht="12.45">
      <c r="E303" s="164" t="s">
        <v>33</v>
      </c>
      <c r="F303" s="324">
        <f>+F301-(F282-F284)</f>
        <v>-0.48999999836087227</v>
      </c>
    </row>
    <row r="305" spans="2:7" s="717" customFormat="1" ht="12.45">
      <c r="F305" s="716"/>
    </row>
    <row r="307" spans="2:7" ht="12.45">
      <c r="B307" s="164" t="s">
        <v>14</v>
      </c>
      <c r="C307" s="219" t="s">
        <v>89</v>
      </c>
    </row>
    <row r="308" spans="2:7" ht="12.45">
      <c r="B308" s="213"/>
      <c r="C308" s="213"/>
      <c r="E308" s="312" t="s">
        <v>15</v>
      </c>
      <c r="F308" s="322" t="s">
        <v>16</v>
      </c>
      <c r="G308" s="313" t="s">
        <v>17</v>
      </c>
    </row>
    <row r="309" spans="2:7" ht="12.45">
      <c r="B309" s="164" t="s">
        <v>18</v>
      </c>
      <c r="C309" s="531">
        <v>161317704.75999999</v>
      </c>
      <c r="D309" s="232"/>
      <c r="E309" s="309"/>
      <c r="F309" s="323"/>
      <c r="G309" s="314"/>
    </row>
    <row r="310" spans="2:7" ht="12.45">
      <c r="B310" s="164" t="s">
        <v>19</v>
      </c>
      <c r="C310" s="531">
        <v>34279839.420000002</v>
      </c>
      <c r="D310" s="232"/>
      <c r="E310" s="311" t="s">
        <v>20</v>
      </c>
      <c r="F310" s="324">
        <f>+F301</f>
        <v>12975600</v>
      </c>
      <c r="G310" s="312"/>
    </row>
    <row r="311" spans="2:7" ht="12.45">
      <c r="B311" s="164" t="s">
        <v>21</v>
      </c>
      <c r="C311" s="229">
        <v>45938</v>
      </c>
      <c r="D311" s="232"/>
      <c r="E311" s="310" t="s">
        <v>22</v>
      </c>
      <c r="F311" s="324">
        <v>20000000</v>
      </c>
      <c r="G311" s="307" t="s">
        <v>23</v>
      </c>
    </row>
    <row r="312" spans="2:7" ht="12.45">
      <c r="B312" s="225" t="s">
        <v>24</v>
      </c>
      <c r="C312" s="230">
        <v>5184136.1100000003</v>
      </c>
      <c r="D312" s="232"/>
      <c r="E312" s="164" t="s">
        <v>51</v>
      </c>
      <c r="F312" s="324">
        <v>150000</v>
      </c>
      <c r="G312" s="164" t="s">
        <v>25</v>
      </c>
    </row>
    <row r="313" spans="2:7" ht="12.45">
      <c r="B313" s="164" t="s">
        <v>26</v>
      </c>
      <c r="C313" s="229">
        <v>108691.2</v>
      </c>
      <c r="D313" s="232"/>
      <c r="E313" s="308" t="s">
        <v>51</v>
      </c>
      <c r="F313" s="324">
        <v>0</v>
      </c>
      <c r="G313" s="225" t="s">
        <v>27</v>
      </c>
    </row>
    <row r="314" spans="2:7" ht="12.45">
      <c r="B314" s="164" t="s">
        <v>28</v>
      </c>
      <c r="C314" s="229">
        <f>+F331</f>
        <v>15948195</v>
      </c>
      <c r="D314" s="232"/>
      <c r="E314" s="213"/>
      <c r="F314" s="327"/>
      <c r="G314" s="304"/>
    </row>
    <row r="315" spans="2:7" ht="12.45">
      <c r="B315" s="164" t="s">
        <v>40</v>
      </c>
      <c r="C315" s="229">
        <v>6976964.0700000003</v>
      </c>
      <c r="D315" s="232"/>
      <c r="E315" s="164" t="s">
        <v>9</v>
      </c>
      <c r="F315" s="320">
        <f>+F310+F311+F312+F313</f>
        <v>33125600</v>
      </c>
      <c r="G315" s="232"/>
    </row>
    <row r="316" spans="2:7" ht="12.45">
      <c r="B316" s="225" t="s">
        <v>65</v>
      </c>
      <c r="C316" s="228">
        <v>46871315.490000002</v>
      </c>
      <c r="D316" s="232"/>
      <c r="E316" s="303"/>
      <c r="F316" s="327"/>
    </row>
    <row r="317" spans="2:7" ht="12.45">
      <c r="B317" s="308" t="s">
        <v>66</v>
      </c>
      <c r="C317" s="228">
        <v>22248126</v>
      </c>
      <c r="D317" s="232"/>
      <c r="E317" s="315" t="s">
        <v>29</v>
      </c>
      <c r="F317" s="324">
        <v>17177405.420000002</v>
      </c>
    </row>
    <row r="318" spans="2:7" ht="12.45">
      <c r="D318" s="232"/>
      <c r="E318" s="504"/>
      <c r="F318" s="327"/>
    </row>
    <row r="319" spans="2:7" ht="12.45">
      <c r="E319" s="316" t="s">
        <v>90</v>
      </c>
      <c r="F319" s="324">
        <f>2179500-5</f>
        <v>2179495</v>
      </c>
    </row>
    <row r="320" spans="2:7" ht="12.45">
      <c r="B320" s="311" t="s">
        <v>9</v>
      </c>
      <c r="C320" s="228">
        <f>+SUM(C309:C317)-23</f>
        <v>292980887.05000001</v>
      </c>
      <c r="D320" s="505"/>
      <c r="E320" s="316" t="s">
        <v>79</v>
      </c>
      <c r="F320" s="324">
        <v>1000000</v>
      </c>
      <c r="G320" s="472"/>
    </row>
    <row r="321" spans="2:6" ht="12.45">
      <c r="B321" s="164" t="s">
        <v>30</v>
      </c>
      <c r="C321" s="228">
        <f>+'Caja Real mensual '!R41</f>
        <v>292980887.01298565</v>
      </c>
      <c r="D321" s="232"/>
      <c r="E321" s="316" t="s">
        <v>74</v>
      </c>
      <c r="F321" s="324">
        <v>2000000</v>
      </c>
    </row>
    <row r="322" spans="2:6" ht="12.45">
      <c r="B322" s="164" t="s">
        <v>31</v>
      </c>
      <c r="C322" s="227" t="str">
        <f>IF(C320=C321,"La Caja esta cuadrada","Caja descuadrada")</f>
        <v>Caja descuadrada</v>
      </c>
      <c r="D322" s="232" t="s">
        <v>67</v>
      </c>
      <c r="E322" s="164" t="s">
        <v>34</v>
      </c>
      <c r="F322" s="324">
        <v>4000000</v>
      </c>
    </row>
    <row r="323" spans="2:6" ht="12.45">
      <c r="B323" s="164" t="s">
        <v>33</v>
      </c>
      <c r="C323" s="228">
        <f>+C320-C321</f>
        <v>3.7014365196228027E-2</v>
      </c>
      <c r="D323" s="232"/>
      <c r="E323" s="164" t="s">
        <v>75</v>
      </c>
      <c r="F323" s="324">
        <v>6000000</v>
      </c>
    </row>
    <row r="324" spans="2:6" ht="12.45">
      <c r="C324" s="232"/>
      <c r="D324" s="232"/>
      <c r="E324" s="164" t="s">
        <v>81</v>
      </c>
      <c r="F324" s="324">
        <v>18700</v>
      </c>
    </row>
    <row r="325" spans="2:6" ht="12.45">
      <c r="C325" s="232"/>
      <c r="D325" s="232"/>
      <c r="E325" s="164" t="s">
        <v>56</v>
      </c>
      <c r="F325" s="324">
        <v>150000</v>
      </c>
    </row>
    <row r="326" spans="2:6" ht="12.45">
      <c r="C326" s="232"/>
      <c r="D326" s="232"/>
      <c r="E326" s="164" t="s">
        <v>91</v>
      </c>
      <c r="F326" s="324">
        <v>150000</v>
      </c>
    </row>
    <row r="327" spans="2:6" ht="12.45">
      <c r="C327" s="232"/>
      <c r="D327" s="232"/>
      <c r="E327" s="164" t="s">
        <v>92</v>
      </c>
      <c r="F327" s="324">
        <v>30000</v>
      </c>
    </row>
    <row r="328" spans="2:6" ht="12.45">
      <c r="C328" s="232"/>
      <c r="D328" s="232"/>
      <c r="E328" s="164" t="s">
        <v>93</v>
      </c>
      <c r="F328" s="324">
        <v>200000</v>
      </c>
    </row>
    <row r="329" spans="2:6" ht="12.45">
      <c r="C329" s="232"/>
      <c r="D329" s="232"/>
      <c r="E329" s="164" t="s">
        <v>60</v>
      </c>
      <c r="F329" s="324">
        <v>100000</v>
      </c>
    </row>
    <row r="330" spans="2:6" ht="12.45">
      <c r="C330" s="232"/>
      <c r="D330" s="232"/>
      <c r="E330" s="164" t="s">
        <v>85</v>
      </c>
      <c r="F330" s="324">
        <v>120000</v>
      </c>
    </row>
    <row r="331" spans="2:6" ht="12.45">
      <c r="C331" s="232"/>
      <c r="D331" s="232"/>
      <c r="E331" s="164" t="s">
        <v>39</v>
      </c>
      <c r="F331" s="324">
        <f>+SUM(F319:F330)</f>
        <v>15948195</v>
      </c>
    </row>
    <row r="332" spans="2:6" ht="12.45">
      <c r="C332" s="232"/>
      <c r="D332" s="232"/>
      <c r="E332" s="303"/>
      <c r="F332" s="327"/>
    </row>
    <row r="333" spans="2:6" ht="12.45">
      <c r="C333" s="232"/>
      <c r="D333" s="232"/>
      <c r="E333" s="164" t="s">
        <v>33</v>
      </c>
      <c r="F333" s="324">
        <f>+F331-(F315-F317)</f>
        <v>0.42000000178813934</v>
      </c>
    </row>
    <row r="334" spans="2:6" ht="12.45">
      <c r="C334" s="232"/>
      <c r="D334" s="232"/>
    </row>
    <row r="335" spans="2:6" ht="12.45">
      <c r="C335" s="232"/>
      <c r="D335" s="232"/>
    </row>
    <row r="338" spans="2:7" s="789" customFormat="1" ht="12.45">
      <c r="F338" s="788"/>
    </row>
    <row r="340" spans="2:7" ht="12.45">
      <c r="B340" s="164" t="s">
        <v>14</v>
      </c>
      <c r="C340" s="219">
        <v>45657</v>
      </c>
    </row>
    <row r="341" spans="2:7" ht="12.45">
      <c r="B341" s="213"/>
      <c r="C341" s="213"/>
      <c r="E341" s="312" t="s">
        <v>15</v>
      </c>
      <c r="F341" s="322" t="s">
        <v>16</v>
      </c>
      <c r="G341" s="313" t="s">
        <v>17</v>
      </c>
    </row>
    <row r="342" spans="2:7" ht="12.45">
      <c r="B342" s="164" t="s">
        <v>18</v>
      </c>
      <c r="C342" s="855">
        <v>129446955.59999999</v>
      </c>
      <c r="D342" s="232"/>
      <c r="E342" s="309"/>
      <c r="F342" s="323"/>
      <c r="G342" s="314"/>
    </row>
    <row r="343" spans="2:7" ht="12.45">
      <c r="B343" s="164" t="s">
        <v>19</v>
      </c>
      <c r="C343" s="531">
        <v>55728591.420000002</v>
      </c>
      <c r="D343" s="232"/>
      <c r="E343" s="311" t="s">
        <v>20</v>
      </c>
      <c r="F343" s="324">
        <f>+F331</f>
        <v>15948195</v>
      </c>
      <c r="G343" s="312"/>
    </row>
    <row r="344" spans="2:7" ht="12.45">
      <c r="B344" s="164" t="s">
        <v>21</v>
      </c>
      <c r="C344" s="229">
        <v>45938</v>
      </c>
      <c r="D344" s="232"/>
      <c r="E344" s="310" t="s">
        <v>22</v>
      </c>
      <c r="F344" s="324">
        <v>13500000</v>
      </c>
      <c r="G344" s="307" t="s">
        <v>23</v>
      </c>
    </row>
    <row r="345" spans="2:7" ht="12.45">
      <c r="B345" s="225" t="s">
        <v>24</v>
      </c>
      <c r="C345" s="230">
        <v>3713312.73</v>
      </c>
      <c r="D345" s="232"/>
      <c r="E345" s="164" t="s">
        <v>51</v>
      </c>
      <c r="F345" s="324">
        <v>400000</v>
      </c>
      <c r="G345" s="164" t="s">
        <v>25</v>
      </c>
    </row>
    <row r="346" spans="2:7" ht="12.45">
      <c r="B346" s="164" t="s">
        <v>26</v>
      </c>
      <c r="C346" s="229">
        <v>108691.2</v>
      </c>
      <c r="D346" s="232"/>
      <c r="E346" s="308" t="s">
        <v>51</v>
      </c>
      <c r="F346" s="861">
        <v>3560902</v>
      </c>
      <c r="G346" s="225" t="s">
        <v>27</v>
      </c>
    </row>
    <row r="347" spans="2:7" ht="12.45">
      <c r="B347" s="164" t="s">
        <v>28</v>
      </c>
      <c r="C347" s="229">
        <f>+F361</f>
        <v>7164593</v>
      </c>
      <c r="D347" s="232"/>
      <c r="E347" s="213"/>
      <c r="F347" s="327"/>
      <c r="G347" s="304"/>
    </row>
    <row r="348" spans="2:7" ht="12.45">
      <c r="B348" s="164" t="s">
        <v>40</v>
      </c>
      <c r="C348" s="229">
        <v>6976964.0700000003</v>
      </c>
      <c r="D348" s="232"/>
      <c r="E348" s="164" t="s">
        <v>9</v>
      </c>
      <c r="F348" s="320">
        <f>+F343+F344+F345+F346</f>
        <v>33409097</v>
      </c>
      <c r="G348" s="232"/>
    </row>
    <row r="349" spans="2:7" ht="12.45">
      <c r="B349" s="225" t="s">
        <v>65</v>
      </c>
      <c r="C349" s="861">
        <v>3375752</v>
      </c>
      <c r="D349" s="232"/>
      <c r="E349" s="303"/>
      <c r="F349" s="327"/>
    </row>
    <row r="350" spans="2:7" ht="12.45">
      <c r="B350" s="308" t="s">
        <v>66</v>
      </c>
      <c r="C350" s="228">
        <v>22248126</v>
      </c>
      <c r="D350" s="232"/>
      <c r="E350" s="315" t="s">
        <v>29</v>
      </c>
      <c r="F350" s="861">
        <f>26244395.17+109</f>
        <v>26244504.170000002</v>
      </c>
    </row>
    <row r="351" spans="2:7" ht="12.45">
      <c r="D351" s="232"/>
      <c r="E351" s="504"/>
      <c r="F351" s="327"/>
    </row>
    <row r="352" spans="2:7" ht="12.45">
      <c r="E352" s="862" t="s">
        <v>90</v>
      </c>
      <c r="F352" s="863">
        <v>986350</v>
      </c>
    </row>
    <row r="353" spans="2:7" ht="12.45">
      <c r="B353" s="311" t="s">
        <v>9</v>
      </c>
      <c r="C353" s="228">
        <f>+SUM(C342:C350)-23</f>
        <v>228808901.01999995</v>
      </c>
      <c r="D353" s="505"/>
      <c r="E353" s="864" t="s">
        <v>79</v>
      </c>
      <c r="F353" s="865">
        <v>700000</v>
      </c>
      <c r="G353" s="472"/>
    </row>
    <row r="354" spans="2:7" ht="12.45">
      <c r="B354" s="164" t="s">
        <v>30</v>
      </c>
      <c r="C354" s="228">
        <f>+'Caja Real mensual '!S41</f>
        <v>228808901.12830395</v>
      </c>
      <c r="D354" s="232"/>
      <c r="E354" s="864" t="s">
        <v>94</v>
      </c>
      <c r="F354" s="865">
        <v>3000000</v>
      </c>
    </row>
    <row r="355" spans="2:7" ht="12.45">
      <c r="B355" s="164" t="s">
        <v>31</v>
      </c>
      <c r="C355" s="227" t="str">
        <f>IF(C353=C354,"La Caja esta cuadrada","Caja descuadrada")</f>
        <v>Caja descuadrada</v>
      </c>
      <c r="D355" s="232" t="s">
        <v>67</v>
      </c>
      <c r="E355" s="866" t="s">
        <v>91</v>
      </c>
      <c r="F355" s="865">
        <v>550000</v>
      </c>
    </row>
    <row r="356" spans="2:7" ht="12.45">
      <c r="B356" s="164" t="s">
        <v>33</v>
      </c>
      <c r="C356" s="228">
        <f>+C353-C354</f>
        <v>-0.10830399394035339</v>
      </c>
      <c r="D356" s="232"/>
      <c r="E356" s="866" t="s">
        <v>95</v>
      </c>
      <c r="F356" s="865">
        <v>1000000</v>
      </c>
    </row>
    <row r="357" spans="2:7" ht="12.45">
      <c r="C357" s="232"/>
      <c r="D357" s="232"/>
      <c r="E357" s="866" t="s">
        <v>96</v>
      </c>
      <c r="F357" s="865">
        <v>30000</v>
      </c>
    </row>
    <row r="358" spans="2:7" ht="12.45">
      <c r="C358" s="232"/>
      <c r="D358" s="232"/>
      <c r="E358" s="866" t="s">
        <v>97</v>
      </c>
      <c r="F358" s="865">
        <v>40000</v>
      </c>
    </row>
    <row r="359" spans="2:7" ht="12.45">
      <c r="C359" s="232"/>
      <c r="D359" s="232"/>
      <c r="E359" s="866" t="s">
        <v>98</v>
      </c>
      <c r="F359" s="865">
        <v>-141757</v>
      </c>
    </row>
    <row r="360" spans="2:7" ht="12.45">
      <c r="C360" s="232"/>
      <c r="D360" s="232"/>
      <c r="E360" s="866" t="s">
        <v>99</v>
      </c>
      <c r="F360" s="865">
        <v>1000000</v>
      </c>
    </row>
    <row r="361" spans="2:7" ht="12.45">
      <c r="C361" s="232"/>
      <c r="D361" s="232"/>
      <c r="E361" s="164" t="s">
        <v>39</v>
      </c>
      <c r="F361" s="324">
        <f>+SUM(F352:F360)</f>
        <v>7164593</v>
      </c>
    </row>
    <row r="362" spans="2:7" ht="12.45">
      <c r="C362" s="232"/>
      <c r="D362" s="232"/>
      <c r="E362" s="303"/>
      <c r="F362" s="327"/>
    </row>
    <row r="363" spans="2:7" ht="12.45">
      <c r="C363" s="232"/>
      <c r="D363" s="232"/>
      <c r="E363" s="164" t="s">
        <v>33</v>
      </c>
      <c r="F363" s="324">
        <f>+F361-(F348-F350)</f>
        <v>0.17000000178813934</v>
      </c>
    </row>
    <row r="364" spans="2:7" ht="12.45">
      <c r="C364" s="232"/>
      <c r="D364" s="232"/>
    </row>
    <row r="365" spans="2:7" ht="12.45">
      <c r="C365" s="232"/>
      <c r="D365" s="232"/>
    </row>
    <row r="366" spans="2:7" s="877" customFormat="1" ht="12.45">
      <c r="C366" s="878"/>
      <c r="D366" s="878"/>
      <c r="F366" s="879"/>
    </row>
    <row r="367" spans="2:7" ht="12.45">
      <c r="C367" s="232"/>
      <c r="D367" s="232"/>
    </row>
    <row r="368" spans="2:7" ht="12.45">
      <c r="C368" s="232"/>
      <c r="D368" s="232"/>
    </row>
    <row r="370" spans="2:7" ht="12.75" customHeight="1">
      <c r="B370" s="164" t="s">
        <v>14</v>
      </c>
      <c r="C370" s="219">
        <v>45660</v>
      </c>
    </row>
    <row r="371" spans="2:7" ht="12.75" customHeight="1">
      <c r="B371" s="213"/>
      <c r="C371" s="213"/>
      <c r="E371" s="312" t="s">
        <v>15</v>
      </c>
      <c r="F371" s="322" t="s">
        <v>16</v>
      </c>
      <c r="G371" s="313" t="s">
        <v>17</v>
      </c>
    </row>
    <row r="372" spans="2:7" ht="12.75" customHeight="1">
      <c r="B372" s="164" t="s">
        <v>18</v>
      </c>
      <c r="C372" s="855">
        <v>110310679.59999999</v>
      </c>
      <c r="D372" s="232"/>
      <c r="E372" s="309"/>
      <c r="F372" s="323"/>
      <c r="G372" s="314"/>
    </row>
    <row r="373" spans="2:7" ht="12.75" customHeight="1">
      <c r="B373" s="164" t="s">
        <v>19</v>
      </c>
      <c r="C373" s="531">
        <v>41235324.420000002</v>
      </c>
      <c r="D373" s="232"/>
      <c r="E373" s="311" t="s">
        <v>20</v>
      </c>
      <c r="F373" s="324">
        <f>+F361</f>
        <v>7164593</v>
      </c>
      <c r="G373" s="312"/>
    </row>
    <row r="374" spans="2:7" ht="12.75" customHeight="1">
      <c r="B374" s="164" t="s">
        <v>21</v>
      </c>
      <c r="C374" s="229">
        <v>45938</v>
      </c>
      <c r="D374" s="232"/>
      <c r="E374" s="310" t="s">
        <v>22</v>
      </c>
      <c r="F374" s="324">
        <v>0</v>
      </c>
      <c r="G374" s="307" t="s">
        <v>23</v>
      </c>
    </row>
    <row r="375" spans="2:7" ht="12.75" customHeight="1">
      <c r="B375" s="225" t="s">
        <v>24</v>
      </c>
      <c r="C375" s="230">
        <v>3713312.73</v>
      </c>
      <c r="D375" s="232"/>
      <c r="E375" s="164" t="s">
        <v>51</v>
      </c>
      <c r="F375" s="324">
        <v>0</v>
      </c>
      <c r="G375" s="164" t="s">
        <v>25</v>
      </c>
    </row>
    <row r="376" spans="2:7" ht="12.75" customHeight="1">
      <c r="B376" s="164" t="s">
        <v>26</v>
      </c>
      <c r="C376" s="229">
        <v>108691.2</v>
      </c>
      <c r="D376" s="232"/>
      <c r="E376" s="308" t="s">
        <v>51</v>
      </c>
      <c r="F376" s="324">
        <v>0</v>
      </c>
      <c r="G376" s="225" t="s">
        <v>27</v>
      </c>
    </row>
    <row r="377" spans="2:7" ht="12.75" customHeight="1">
      <c r="B377" s="164" t="s">
        <v>28</v>
      </c>
      <c r="C377" s="229">
        <f>+F392</f>
        <v>7087193</v>
      </c>
      <c r="D377" s="232"/>
      <c r="E377" s="213"/>
      <c r="F377" s="327"/>
      <c r="G377" s="304"/>
    </row>
    <row r="378" spans="2:7" ht="12.75" customHeight="1">
      <c r="B378" s="164" t="s">
        <v>40</v>
      </c>
      <c r="C378" s="229">
        <v>6976964.0700000003</v>
      </c>
      <c r="D378" s="232"/>
      <c r="E378" s="164" t="s">
        <v>9</v>
      </c>
      <c r="F378" s="320">
        <f>+F373+F374+F375+F376</f>
        <v>7164593</v>
      </c>
      <c r="G378" s="232"/>
    </row>
    <row r="379" spans="2:7" ht="12.75" customHeight="1">
      <c r="B379" s="225" t="s">
        <v>65</v>
      </c>
      <c r="C379" s="861">
        <v>8173454.6299999999</v>
      </c>
      <c r="D379" s="232"/>
      <c r="E379" s="303"/>
      <c r="F379" s="327"/>
    </row>
    <row r="380" spans="2:7" ht="12.75" customHeight="1">
      <c r="B380" s="308" t="s">
        <v>66</v>
      </c>
      <c r="C380" s="228">
        <v>22248126</v>
      </c>
      <c r="D380" s="232"/>
      <c r="E380" s="315" t="s">
        <v>29</v>
      </c>
      <c r="F380" s="861">
        <v>77400</v>
      </c>
    </row>
    <row r="381" spans="2:7" ht="12.75" customHeight="1">
      <c r="D381" s="232"/>
      <c r="E381" s="504"/>
      <c r="F381" s="327"/>
    </row>
    <row r="382" spans="2:7" ht="12.75" customHeight="1">
      <c r="E382" s="862" t="s">
        <v>90</v>
      </c>
      <c r="F382" s="863">
        <v>808950</v>
      </c>
    </row>
    <row r="383" spans="2:7" ht="12.75" customHeight="1">
      <c r="B383" s="311" t="s">
        <v>9</v>
      </c>
      <c r="C383" s="228">
        <f>+SUM(C372:C380)-23</f>
        <v>199899660.64999995</v>
      </c>
      <c r="D383" s="505"/>
      <c r="E383" s="864" t="s">
        <v>79</v>
      </c>
      <c r="F383" s="865">
        <v>700000</v>
      </c>
    </row>
    <row r="384" spans="2:7" ht="12.75" customHeight="1">
      <c r="B384" s="164" t="s">
        <v>30</v>
      </c>
      <c r="C384" s="228">
        <f>+'Caja Real mensual '!T41</f>
        <v>199899660.86830395</v>
      </c>
      <c r="D384" s="232"/>
      <c r="E384" s="864" t="s">
        <v>94</v>
      </c>
      <c r="F384" s="865">
        <v>3000000</v>
      </c>
    </row>
    <row r="385" spans="2:6" ht="12.75" customHeight="1">
      <c r="B385" s="164" t="s">
        <v>31</v>
      </c>
      <c r="C385" s="227" t="str">
        <f>IF(C383=C384,"La Caja esta cuadrada","Caja descuadrada")</f>
        <v>Caja descuadrada</v>
      </c>
      <c r="D385" s="232" t="s">
        <v>67</v>
      </c>
      <c r="E385" s="866" t="s">
        <v>91</v>
      </c>
      <c r="F385" s="865">
        <v>550000</v>
      </c>
    </row>
    <row r="386" spans="2:6" ht="12.75" customHeight="1">
      <c r="B386" s="164" t="s">
        <v>33</v>
      </c>
      <c r="C386" s="228">
        <f>+C383-C384</f>
        <v>-0.21830400824546814</v>
      </c>
      <c r="D386" s="232"/>
      <c r="E386" s="866" t="s">
        <v>95</v>
      </c>
      <c r="F386" s="865">
        <v>1000000</v>
      </c>
    </row>
    <row r="387" spans="2:6" ht="12.75" customHeight="1">
      <c r="C387" s="232"/>
      <c r="D387" s="232"/>
      <c r="E387" s="866" t="s">
        <v>96</v>
      </c>
      <c r="F387" s="865">
        <v>30000</v>
      </c>
    </row>
    <row r="388" spans="2:6" ht="12.75" customHeight="1">
      <c r="C388" s="232"/>
      <c r="D388" s="232"/>
      <c r="E388" s="866" t="s">
        <v>97</v>
      </c>
      <c r="F388" s="865">
        <v>40000</v>
      </c>
    </row>
    <row r="389" spans="2:6" ht="12.75" customHeight="1">
      <c r="C389" s="232"/>
      <c r="D389" s="232"/>
      <c r="E389" s="866" t="s">
        <v>98</v>
      </c>
      <c r="F389" s="865">
        <v>-141757</v>
      </c>
    </row>
    <row r="390" spans="2:6" ht="12.75" customHeight="1">
      <c r="C390" s="232"/>
      <c r="D390" s="232"/>
      <c r="E390" s="866" t="s">
        <v>99</v>
      </c>
      <c r="F390" s="865">
        <v>1000000</v>
      </c>
    </row>
    <row r="391" spans="2:6" ht="12.75" customHeight="1">
      <c r="C391" s="232"/>
      <c r="D391" s="232"/>
      <c r="E391" s="866" t="s">
        <v>100</v>
      </c>
      <c r="F391" s="865">
        <v>100000</v>
      </c>
    </row>
    <row r="392" spans="2:6" ht="12.75" customHeight="1">
      <c r="C392" s="232"/>
      <c r="D392" s="232"/>
      <c r="E392" s="164" t="s">
        <v>39</v>
      </c>
      <c r="F392" s="324">
        <f>+SUM(F382:F391)</f>
        <v>7087193</v>
      </c>
    </row>
    <row r="393" spans="2:6" ht="12.75" customHeight="1">
      <c r="C393" s="232"/>
      <c r="D393" s="232"/>
      <c r="E393" s="303"/>
      <c r="F393" s="327"/>
    </row>
    <row r="394" spans="2:6" ht="12.75" customHeight="1">
      <c r="C394" s="232"/>
      <c r="D394" s="232"/>
      <c r="E394" s="164" t="s">
        <v>33</v>
      </c>
      <c r="F394" s="324">
        <f>+F392-(F378-F380)</f>
        <v>0</v>
      </c>
    </row>
  </sheetData>
  <mergeCells count="1">
    <mergeCell ref="B19:C19"/>
  </mergeCells>
  <conditionalFormatting sqref="C14">
    <cfRule type="expression" dxfId="42" priority="45">
      <formula>$C$14="Caja descuadrada"</formula>
    </cfRule>
    <cfRule type="expression" dxfId="41" priority="44">
      <formula>$C$14="caja cuadrada"</formula>
    </cfRule>
    <cfRule type="expression" dxfId="40" priority="37">
      <formula>$C$12=$C$13</formula>
    </cfRule>
  </conditionalFormatting>
  <conditionalFormatting sqref="C42">
    <cfRule type="expression" dxfId="39" priority="36">
      <formula>$C$14="Caja descuadrada"</formula>
    </cfRule>
    <cfRule type="expression" dxfId="38" priority="35">
      <formula>$C$14="caja cuadrada"</formula>
    </cfRule>
    <cfRule type="expression" dxfId="37" priority="34">
      <formula>$C$12=$C$13</formula>
    </cfRule>
  </conditionalFormatting>
  <conditionalFormatting sqref="C73">
    <cfRule type="expression" dxfId="36" priority="33">
      <formula>$C$14="Caja descuadrada"</formula>
    </cfRule>
    <cfRule type="expression" dxfId="35" priority="32">
      <formula>$C$14="caja cuadrada"</formula>
    </cfRule>
    <cfRule type="expression" dxfId="34" priority="31">
      <formula>$C$12=$C$13</formula>
    </cfRule>
  </conditionalFormatting>
  <conditionalFormatting sqref="C102">
    <cfRule type="expression" dxfId="33" priority="30">
      <formula>$C$14="Caja descuadrada"</formula>
    </cfRule>
    <cfRule type="expression" dxfId="32" priority="29">
      <formula>$C$14="caja cuadrada"</formula>
    </cfRule>
    <cfRule type="expression" dxfId="31" priority="28">
      <formula>$C$12=$C$13</formula>
    </cfRule>
  </conditionalFormatting>
  <conditionalFormatting sqref="C133">
    <cfRule type="expression" dxfId="30" priority="27">
      <formula>$C$14="Caja descuadrada"</formula>
    </cfRule>
    <cfRule type="expression" dxfId="29" priority="26">
      <formula>$C$14="caja cuadrada"</formula>
    </cfRule>
    <cfRule type="expression" dxfId="28" priority="25">
      <formula>$C$12=$C$13</formula>
    </cfRule>
  </conditionalFormatting>
  <conditionalFormatting sqref="C164">
    <cfRule type="expression" dxfId="27" priority="24">
      <formula>$C$14="Caja descuadrada"</formula>
    </cfRule>
    <cfRule type="expression" dxfId="26" priority="23">
      <formula>$C$14="caja cuadrada"</formula>
    </cfRule>
    <cfRule type="expression" dxfId="25" priority="22">
      <formula>$C$12=$C$13</formula>
    </cfRule>
  </conditionalFormatting>
  <conditionalFormatting sqref="C198">
    <cfRule type="expression" dxfId="24" priority="19">
      <formula>$C$12=$C$13</formula>
    </cfRule>
    <cfRule type="expression" dxfId="23" priority="20">
      <formula>$C$14="caja cuadrada"</formula>
    </cfRule>
    <cfRule type="expression" dxfId="22" priority="21">
      <formula>$C$14="Caja descuadrada"</formula>
    </cfRule>
  </conditionalFormatting>
  <conditionalFormatting sqref="C228">
    <cfRule type="expression" dxfId="21" priority="18">
      <formula>$C$14="Caja descuadrada"</formula>
    </cfRule>
    <cfRule type="expression" dxfId="20" priority="17">
      <formula>$C$14="caja cuadrada"</formula>
    </cfRule>
    <cfRule type="expression" dxfId="19" priority="16">
      <formula>$C$12=$C$13</formula>
    </cfRule>
  </conditionalFormatting>
  <conditionalFormatting sqref="C260">
    <cfRule type="expression" dxfId="18" priority="15">
      <formula>$C$14="Caja descuadrada"</formula>
    </cfRule>
    <cfRule type="expression" dxfId="17" priority="14">
      <formula>$C$14="caja cuadrada"</formula>
    </cfRule>
    <cfRule type="expression" dxfId="16" priority="13">
      <formula>$C$12=$C$13</formula>
    </cfRule>
  </conditionalFormatting>
  <conditionalFormatting sqref="C289">
    <cfRule type="expression" dxfId="15" priority="12">
      <formula>$C$14="Caja descuadrada"</formula>
    </cfRule>
    <cfRule type="expression" dxfId="14" priority="11">
      <formula>$C$14="caja cuadrada"</formula>
    </cfRule>
    <cfRule type="expression" dxfId="13" priority="10">
      <formula>$C$12=$C$13</formula>
    </cfRule>
  </conditionalFormatting>
  <conditionalFormatting sqref="C322">
    <cfRule type="expression" dxfId="12" priority="9">
      <formula>$C$14="Caja descuadrada"</formula>
    </cfRule>
    <cfRule type="expression" dxfId="11" priority="8">
      <formula>$C$14="caja cuadrada"</formula>
    </cfRule>
    <cfRule type="expression" dxfId="10" priority="7">
      <formula>$C$12=$C$13</formula>
    </cfRule>
  </conditionalFormatting>
  <conditionalFormatting sqref="C355">
    <cfRule type="expression" dxfId="9" priority="6">
      <formula>$C$14="Caja descuadrada"</formula>
    </cfRule>
    <cfRule type="expression" dxfId="8" priority="5">
      <formula>$C$14="caja cuadrada"</formula>
    </cfRule>
    <cfRule type="expression" dxfId="7" priority="4">
      <formula>$C$12=$C$13</formula>
    </cfRule>
  </conditionalFormatting>
  <conditionalFormatting sqref="C385">
    <cfRule type="expression" dxfId="6" priority="3">
      <formula>$C$14="Caja descuadrada"</formula>
    </cfRule>
    <cfRule type="expression" dxfId="5" priority="2">
      <formula>$C$14="caja cuadrada"</formula>
    </cfRule>
    <cfRule type="expression" dxfId="4" priority="1">
      <formula>$C$12=$C$13</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AE880-60FC-42AD-BC97-1580201D5853}">
  <sheetPr filterMode="1">
    <outlinePr summaryBelow="0" summaryRight="0"/>
  </sheetPr>
  <dimension ref="A1:ES1048569"/>
  <sheetViews>
    <sheetView topLeftCell="A4" zoomScale="85" zoomScaleNormal="85" workbookViewId="0">
      <selection activeCell="D9077" sqref="D9077"/>
    </sheetView>
  </sheetViews>
  <sheetFormatPr defaultColWidth="14.3828125" defaultRowHeight="15" customHeight="1"/>
  <cols>
    <col min="1" max="1" width="14.3828125" style="206"/>
    <col min="2" max="2" width="63.69140625" style="208" customWidth="1"/>
    <col min="3" max="3" width="19.53515625" style="206" customWidth="1"/>
    <col min="4" max="4" width="19.15234375" style="211" customWidth="1"/>
    <col min="5" max="5" width="12.3046875" style="206" bestFit="1" customWidth="1"/>
    <col min="6" max="6" width="17.84375" style="206" bestFit="1" customWidth="1"/>
    <col min="7" max="7" width="35.15234375" style="206" bestFit="1" customWidth="1"/>
    <col min="8" max="8" width="27.69140625" style="206" customWidth="1"/>
    <col min="9" max="9" width="24" style="165" bestFit="1" customWidth="1"/>
    <col min="10" max="11" width="14.3828125" style="165"/>
    <col min="12" max="12" width="24.15234375" style="165" customWidth="1"/>
    <col min="13" max="13" width="17.15234375" style="165" bestFit="1" customWidth="1"/>
    <col min="14" max="14" width="15.84375" style="165" bestFit="1" customWidth="1"/>
    <col min="15" max="15" width="17.15234375" style="165" bestFit="1" customWidth="1"/>
    <col min="16" max="16" width="14.69140625" style="165" bestFit="1" customWidth="1"/>
    <col min="17" max="17" width="14.3828125" style="165"/>
    <col min="18" max="18" width="18.3046875" style="165" bestFit="1" customWidth="1"/>
    <col min="19" max="19" width="18.3046875" style="165" customWidth="1"/>
    <col min="20" max="20" width="18.3046875" style="165" bestFit="1" customWidth="1"/>
    <col min="21" max="16384" width="14.3828125" style="165"/>
  </cols>
  <sheetData>
    <row r="1" spans="1:20" ht="15" customHeight="1">
      <c r="A1" s="209"/>
      <c r="B1" s="209"/>
      <c r="C1" s="564"/>
      <c r="D1" s="565" t="s">
        <v>101</v>
      </c>
      <c r="E1" s="564"/>
      <c r="F1" s="566"/>
      <c r="G1" s="564"/>
      <c r="H1" s="564"/>
      <c r="I1" s="209"/>
      <c r="J1" s="209"/>
      <c r="K1" s="209"/>
      <c r="L1" s="1097" t="s">
        <v>102</v>
      </c>
      <c r="M1" s="1098" t="s">
        <v>103</v>
      </c>
      <c r="N1" s="1098"/>
      <c r="O1" s="1098"/>
      <c r="P1" s="1098"/>
      <c r="Q1" s="1098"/>
      <c r="R1" s="1098"/>
      <c r="S1" s="1098"/>
      <c r="T1" s="209"/>
    </row>
    <row r="2" spans="1:20" ht="15" customHeight="1">
      <c r="A2" s="209"/>
      <c r="B2" s="564"/>
      <c r="C2" s="564"/>
      <c r="D2" s="290"/>
      <c r="E2" s="564"/>
      <c r="F2" s="564"/>
      <c r="G2" s="564"/>
      <c r="H2" s="209"/>
      <c r="I2" s="209"/>
      <c r="J2" s="209"/>
      <c r="K2" s="209"/>
      <c r="L2" s="1097"/>
      <c r="M2" s="1098"/>
      <c r="N2" s="1098"/>
      <c r="O2" s="1098"/>
      <c r="P2" s="1098"/>
      <c r="Q2" s="1098"/>
      <c r="R2" s="1098"/>
      <c r="S2" s="1098"/>
      <c r="T2" s="209"/>
    </row>
    <row r="3" spans="1:20" ht="15.65" customHeight="1">
      <c r="A3" s="567"/>
      <c r="B3" s="567"/>
      <c r="C3" s="567"/>
      <c r="D3" s="290"/>
      <c r="E3" s="567"/>
      <c r="F3" s="209"/>
      <c r="G3" s="209"/>
      <c r="H3" s="209"/>
      <c r="I3" s="209"/>
      <c r="J3" s="209"/>
      <c r="K3" s="209"/>
      <c r="L3" s="1097"/>
      <c r="M3" s="568" t="s">
        <v>104</v>
      </c>
      <c r="N3" s="568" t="s">
        <v>105</v>
      </c>
      <c r="O3" s="568" t="s">
        <v>106</v>
      </c>
      <c r="P3" s="568" t="s">
        <v>107</v>
      </c>
      <c r="Q3" s="568" t="s">
        <v>108</v>
      </c>
      <c r="R3" s="568" t="s">
        <v>109</v>
      </c>
      <c r="S3" s="568" t="s">
        <v>110</v>
      </c>
      <c r="T3" s="568" t="s">
        <v>111</v>
      </c>
    </row>
    <row r="4" spans="1:20" s="426" customFormat="1" ht="14.5" customHeight="1">
      <c r="A4" s="569" t="s">
        <v>102</v>
      </c>
      <c r="B4" s="569" t="s">
        <v>112</v>
      </c>
      <c r="C4" s="570" t="s">
        <v>113</v>
      </c>
      <c r="D4" s="570" t="s">
        <v>16</v>
      </c>
      <c r="E4" s="571" t="s">
        <v>8</v>
      </c>
      <c r="F4" s="571" t="s">
        <v>114</v>
      </c>
      <c r="G4" s="572" t="s">
        <v>5</v>
      </c>
      <c r="H4" s="571" t="s">
        <v>115</v>
      </c>
      <c r="I4" s="572" t="s">
        <v>116</v>
      </c>
      <c r="J4" s="573"/>
      <c r="K4" s="573"/>
      <c r="L4" s="574">
        <v>45292</v>
      </c>
      <c r="M4" s="575">
        <f>-SUMIFS(D$5:D$143,E$5:E$143,L4,F$5:F$143,$M$3)</f>
        <v>13436950.1</v>
      </c>
      <c r="N4" s="575"/>
      <c r="O4" s="575">
        <f t="shared" ref="O4" si="0">+M4+N4</f>
        <v>13436950.1</v>
      </c>
      <c r="P4" s="575"/>
      <c r="Q4" s="575"/>
      <c r="R4" s="575">
        <f>SUMIFS(D$5:D$6061,E$5:E$6061,L4,F$5:F$6061,$R$3)</f>
        <v>-1044125205.98</v>
      </c>
      <c r="S4" s="575">
        <f>-SUMIFS(D$5:D$6061,E$5:E$6061,L4,F$5:F$6061,$S$3)</f>
        <v>109791319.01999998</v>
      </c>
      <c r="T4" s="575">
        <f>SUMIFS(D$5:D$6061,E$5:E$6061,L4,F$5:F$6061,$T$3)</f>
        <v>-130844098.59</v>
      </c>
    </row>
    <row r="5" spans="1:20" s="182" customFormat="1" ht="15.75" hidden="1" customHeight="1">
      <c r="A5" s="468">
        <v>45293</v>
      </c>
      <c r="B5" s="208" t="s">
        <v>117</v>
      </c>
      <c r="C5" s="208" t="s">
        <v>27</v>
      </c>
      <c r="D5" s="211">
        <v>-398285</v>
      </c>
      <c r="E5" s="212">
        <v>45292</v>
      </c>
      <c r="F5" s="208" t="s">
        <v>118</v>
      </c>
      <c r="G5" s="208"/>
      <c r="H5" s="208"/>
      <c r="I5" s="201"/>
      <c r="J5" s="202"/>
      <c r="K5" s="202"/>
      <c r="L5" s="576"/>
      <c r="M5" s="577"/>
      <c r="N5" s="577"/>
      <c r="O5" s="577"/>
      <c r="P5" s="577"/>
      <c r="Q5" s="577"/>
      <c r="R5" s="577"/>
      <c r="S5" s="577"/>
      <c r="T5" s="577"/>
    </row>
    <row r="6" spans="1:20" s="182" customFormat="1" ht="15.75" hidden="1" customHeight="1">
      <c r="A6" s="468">
        <v>45293</v>
      </c>
      <c r="B6" s="208" t="s">
        <v>119</v>
      </c>
      <c r="C6" s="208" t="s">
        <v>27</v>
      </c>
      <c r="D6" s="578">
        <v>-2000000</v>
      </c>
      <c r="E6" s="212">
        <v>45292</v>
      </c>
      <c r="F6" s="208" t="s">
        <v>109</v>
      </c>
      <c r="G6" s="208" t="s">
        <v>120</v>
      </c>
      <c r="H6" s="208"/>
      <c r="I6" s="201"/>
      <c r="J6" s="202"/>
      <c r="K6" s="202"/>
      <c r="L6" s="576">
        <v>45383</v>
      </c>
      <c r="M6" s="577">
        <f>-SUMIFS(D$5:D$143,E$5:E$143,L6,F$5:F$143,$M$3)</f>
        <v>0</v>
      </c>
      <c r="N6" s="577"/>
      <c r="O6" s="577">
        <f>+M6+N6</f>
        <v>0</v>
      </c>
      <c r="P6" s="577"/>
      <c r="Q6" s="577"/>
      <c r="R6" s="577">
        <f>SUMIFS(D$5:D$6061,E$5:E$6061,L6,F$5:F$6061,$R$3)</f>
        <v>-422238568.92224109</v>
      </c>
      <c r="S6" s="577">
        <f>-SUMIFS(D$5:D$6061,E$5:E$6061,L6,F$5:F$6061,$S$3)</f>
        <v>62023233.737758853</v>
      </c>
      <c r="T6" s="577">
        <f>SUMIFS(D$5:D$6061,E$5:E$6061,L6,F$5:F$6061,$T$3)</f>
        <v>353557229.22000003</v>
      </c>
    </row>
    <row r="7" spans="1:20" s="182" customFormat="1" ht="15.75" hidden="1" customHeight="1">
      <c r="A7" s="468">
        <v>45293</v>
      </c>
      <c r="B7" s="208" t="s">
        <v>121</v>
      </c>
      <c r="C7" s="208" t="s">
        <v>27</v>
      </c>
      <c r="D7" s="211">
        <v>-44312665.409999982</v>
      </c>
      <c r="E7" s="212">
        <v>45292</v>
      </c>
      <c r="F7" s="208" t="s">
        <v>110</v>
      </c>
      <c r="G7" s="208" t="s">
        <v>122</v>
      </c>
      <c r="H7" s="201" t="s">
        <v>123</v>
      </c>
      <c r="I7" s="201"/>
      <c r="J7" s="202"/>
      <c r="K7" s="202"/>
      <c r="L7" s="579">
        <v>45474</v>
      </c>
      <c r="M7" s="577">
        <f>-SUMIFS(D$5:D$143,E$5:E$143,L7,F$5:F$143,$M$3)</f>
        <v>0</v>
      </c>
      <c r="N7" s="577"/>
      <c r="O7" s="577">
        <f>+M7+N7</f>
        <v>0</v>
      </c>
      <c r="P7" s="577"/>
      <c r="Q7" s="577"/>
      <c r="R7" s="577">
        <f>SUMIFS(D$5:D$6061,E$5:E$6061,L7,F$5:F$6061,$R$3)</f>
        <v>-796320014.82999992</v>
      </c>
      <c r="S7" s="577">
        <f>-SUMIFS(D$5:D$6061,E$5:E$6061,L7,F$5:F$6061,$S$3)</f>
        <v>153123967.66671473</v>
      </c>
      <c r="T7" s="577">
        <f>SUMIFS(D$5:D$6061,E$5:E$6061,L7,F$5:F$6061,$T$3)</f>
        <v>48709270.209999993</v>
      </c>
    </row>
    <row r="8" spans="1:20" s="182" customFormat="1" ht="15.75" hidden="1" customHeight="1">
      <c r="A8" s="468">
        <v>45293</v>
      </c>
      <c r="B8" s="208" t="s">
        <v>121</v>
      </c>
      <c r="C8" s="208" t="s">
        <v>27</v>
      </c>
      <c r="D8" s="211">
        <f>-661395801.6-119013-1000</f>
        <v>-661515814.60000002</v>
      </c>
      <c r="E8" s="212">
        <v>45292</v>
      </c>
      <c r="F8" s="208" t="s">
        <v>109</v>
      </c>
      <c r="G8" s="208" t="s">
        <v>120</v>
      </c>
      <c r="H8" s="208"/>
      <c r="I8" s="201"/>
      <c r="J8" s="202"/>
      <c r="K8" s="202"/>
      <c r="L8" s="576">
        <v>45505</v>
      </c>
      <c r="M8" s="577">
        <f>-SUMIFS(D$5:D$143,E$5:E$143,L8,F$5:F$143,$M$3)</f>
        <v>0</v>
      </c>
      <c r="N8" s="577"/>
      <c r="O8" s="577">
        <f>+M8+N8</f>
        <v>0</v>
      </c>
      <c r="P8" s="577"/>
      <c r="Q8" s="577"/>
      <c r="R8" s="577">
        <f>SUMIFS(D$5:D$6061,E$5:E$6061,L8,F$5:F$6061,$R$3)</f>
        <v>-605688304.25955915</v>
      </c>
      <c r="S8" s="577">
        <f>-SUMIFS(D$5:D$6061,E$5:E$6061,L8,F$5:F$6061,$S$3)</f>
        <v>269757825.45869422</v>
      </c>
      <c r="T8" s="577">
        <f>SUMIFS(D$5:D$6061,E$5:E$6061,L8,F$5:F$6061,$T$3)</f>
        <v>80331385</v>
      </c>
    </row>
    <row r="9" spans="1:20" s="182" customFormat="1" ht="15.75" hidden="1" customHeight="1">
      <c r="A9" s="468">
        <v>45293</v>
      </c>
      <c r="B9" s="208" t="s">
        <v>124</v>
      </c>
      <c r="C9" s="208" t="s">
        <v>27</v>
      </c>
      <c r="D9" s="211">
        <v>44604522</v>
      </c>
      <c r="E9" s="212">
        <v>45292</v>
      </c>
      <c r="F9" s="208" t="s">
        <v>109</v>
      </c>
      <c r="G9" s="208" t="s">
        <v>125</v>
      </c>
      <c r="H9" s="208"/>
      <c r="I9" s="201"/>
      <c r="J9" s="202"/>
      <c r="K9" s="202"/>
      <c r="L9" s="579">
        <v>45536</v>
      </c>
      <c r="M9" s="577">
        <f>-SUMIFS(D$5:D$143,E$5:E$143,L9,F$5:F$143,$M$3)</f>
        <v>0</v>
      </c>
      <c r="N9" s="577"/>
      <c r="O9" s="577">
        <f>+M9+N9</f>
        <v>0</v>
      </c>
      <c r="P9" s="577"/>
      <c r="Q9" s="577"/>
      <c r="R9" s="577">
        <f>SUMIFS(D$5:D$6061,E$5:E$6061,L9,F$5:F$6061,$R$3)</f>
        <v>401440.28000000119</v>
      </c>
      <c r="S9" s="577">
        <f>-SUMIFS(D$5:D$6061,E$5:E$6061,L9,F$5:F$6061,$S$3)</f>
        <v>110623318</v>
      </c>
      <c r="T9" s="577">
        <v>0</v>
      </c>
    </row>
    <row r="10" spans="1:20" s="182" customFormat="1" ht="15.75" hidden="1" customHeight="1">
      <c r="A10" s="468">
        <v>45293</v>
      </c>
      <c r="B10" s="208" t="s">
        <v>126</v>
      </c>
      <c r="C10" s="208" t="s">
        <v>27</v>
      </c>
      <c r="D10" s="211">
        <v>-398783</v>
      </c>
      <c r="E10" s="212">
        <v>45292</v>
      </c>
      <c r="F10" s="208" t="s">
        <v>118</v>
      </c>
      <c r="G10" s="208"/>
      <c r="H10" s="208"/>
      <c r="I10" s="201"/>
      <c r="J10" s="202"/>
      <c r="K10" s="202"/>
      <c r="L10" s="576"/>
      <c r="M10" s="577"/>
      <c r="N10" s="577"/>
      <c r="O10" s="577"/>
      <c r="P10" s="577"/>
      <c r="Q10" s="577"/>
      <c r="R10" s="577"/>
      <c r="S10" s="577"/>
      <c r="T10" s="577"/>
    </row>
    <row r="11" spans="1:20" s="182" customFormat="1" ht="15.75" hidden="1" customHeight="1">
      <c r="A11" s="468">
        <v>45293</v>
      </c>
      <c r="B11" s="208" t="s">
        <v>127</v>
      </c>
      <c r="C11" s="208" t="s">
        <v>27</v>
      </c>
      <c r="D11" s="211">
        <v>-17000000</v>
      </c>
      <c r="E11" s="212">
        <v>45292</v>
      </c>
      <c r="F11" s="84" t="s">
        <v>111</v>
      </c>
      <c r="G11" s="208"/>
      <c r="H11" s="208"/>
      <c r="I11" s="201"/>
      <c r="J11" s="202"/>
      <c r="K11" s="202"/>
      <c r="L11" s="579">
        <v>45597</v>
      </c>
      <c r="M11" s="577">
        <f>-SUMIFS(D$5:D$2346,E$5:E$2346,L11,F$5:F$2346,$M$3)</f>
        <v>0</v>
      </c>
      <c r="N11" s="577"/>
      <c r="O11" s="577">
        <f>+M11+N11</f>
        <v>0</v>
      </c>
      <c r="P11" s="577"/>
      <c r="Q11" s="577"/>
      <c r="R11" s="577">
        <f>SUMIFS(D$5:D$6061,E$5:E$6061,L11,F$5:F$6061,$R$3)</f>
        <v>0</v>
      </c>
      <c r="S11" s="577">
        <f>-SUMIFS(D$5:D$6061,E$5:E$6061,L11,F$5:F$6061,$S$3)</f>
        <v>0</v>
      </c>
      <c r="T11" s="577">
        <f>SUMIFS(D$5:D$6061,E$5:E$6061,L11,F$5:F$6061,$T$3)</f>
        <v>0</v>
      </c>
    </row>
    <row r="12" spans="1:20" s="182" customFormat="1" ht="15.75" hidden="1" customHeight="1">
      <c r="A12" s="468">
        <v>45293</v>
      </c>
      <c r="B12" s="208" t="s">
        <v>128</v>
      </c>
      <c r="C12" s="208" t="s">
        <v>27</v>
      </c>
      <c r="D12" s="211">
        <v>-22000000</v>
      </c>
      <c r="E12" s="212">
        <v>45292</v>
      </c>
      <c r="F12" s="84" t="s">
        <v>111</v>
      </c>
      <c r="G12" s="208"/>
      <c r="H12" s="208"/>
      <c r="I12" s="201"/>
      <c r="J12" s="202"/>
      <c r="K12" s="202"/>
      <c r="L12" s="576">
        <v>45566</v>
      </c>
      <c r="M12" s="577">
        <f>-SUMIFS(D$5:D$2346,E$5:E$2346,L12,F$5:F$2346,$M$3)</f>
        <v>0</v>
      </c>
      <c r="N12" s="577"/>
      <c r="O12" s="577">
        <f>+M12+N12</f>
        <v>0</v>
      </c>
      <c r="P12" s="577"/>
      <c r="Q12" s="577"/>
      <c r="R12" s="577">
        <f>SUMIFS(D$5:D$6061,E$5:E$6061,L12,F$5:F$6061,$R$3)</f>
        <v>0</v>
      </c>
      <c r="S12" s="577">
        <f>-SUMIFS(D$5:D$6061,E$5:E$6061,L12,F$5:F$6061,$S$3)</f>
        <v>0</v>
      </c>
      <c r="T12" s="577">
        <f>SUMIFS(D$5:D$6061,E$5:E$6061,L12,F$5:F$6061,$T$3)</f>
        <v>0</v>
      </c>
    </row>
    <row r="13" spans="1:20" s="182" customFormat="1" ht="15.75" hidden="1" customHeight="1">
      <c r="A13" s="468">
        <v>45293</v>
      </c>
      <c r="B13" s="208" t="s">
        <v>129</v>
      </c>
      <c r="C13" s="208" t="s">
        <v>27</v>
      </c>
      <c r="D13" s="211">
        <v>-2409709</v>
      </c>
      <c r="E13" s="212">
        <v>45292</v>
      </c>
      <c r="F13" s="208" t="s">
        <v>130</v>
      </c>
      <c r="G13" s="208" t="s">
        <v>130</v>
      </c>
      <c r="H13" s="208" t="s">
        <v>131</v>
      </c>
      <c r="I13" s="201"/>
      <c r="J13" s="202"/>
      <c r="K13" s="202"/>
      <c r="L13" s="579">
        <v>45413</v>
      </c>
      <c r="M13" s="577">
        <f>-SUMIFS(D$5:D$143,E$5:E$143,L13,F$5:F$143,$M$3)</f>
        <v>0</v>
      </c>
      <c r="N13" s="577"/>
      <c r="O13" s="577">
        <f>+M13+N13</f>
        <v>0</v>
      </c>
      <c r="P13" s="577"/>
      <c r="Q13" s="577"/>
      <c r="R13" s="577">
        <f>SUMIFS(D$5:D$6061,E$5:E$6061,L13,F$5:F$6061,$R$3)</f>
        <v>-36205262.361702144</v>
      </c>
      <c r="S13" s="577">
        <f>-SUMIFS(D$5:D$6061,E$5:E$6061,L13,F$5:F$6061,$S$3)</f>
        <v>131762695.96453901</v>
      </c>
      <c r="T13" s="577">
        <f>SUMIFS(D$5:D$6061,E$5:E$6061,L13,F$5:F$6061,$T$3)</f>
        <v>273212962.18000001</v>
      </c>
    </row>
    <row r="14" spans="1:20" s="182" customFormat="1" ht="15.75" hidden="1" customHeight="1">
      <c r="A14" s="468">
        <v>45293</v>
      </c>
      <c r="B14" s="208" t="s">
        <v>132</v>
      </c>
      <c r="C14" s="208" t="s">
        <v>133</v>
      </c>
      <c r="D14" s="211">
        <v>-83815</v>
      </c>
      <c r="E14" s="212">
        <v>45292</v>
      </c>
      <c r="F14" s="208" t="s">
        <v>130</v>
      </c>
      <c r="G14" s="208" t="s">
        <v>130</v>
      </c>
      <c r="H14" s="208" t="s">
        <v>131</v>
      </c>
      <c r="I14" s="201"/>
      <c r="J14" s="202"/>
      <c r="K14" s="202"/>
      <c r="L14" s="576">
        <v>45444</v>
      </c>
      <c r="M14" s="577">
        <f>-SUMIFS(D$5:D$143,E$5:E$143,L14,F$5:F$143,$M$3)</f>
        <v>0</v>
      </c>
      <c r="N14" s="577"/>
      <c r="O14" s="577">
        <f>+M14+N14</f>
        <v>0</v>
      </c>
      <c r="P14" s="577"/>
      <c r="Q14" s="577"/>
      <c r="R14" s="577">
        <f>SUMIFS(D$5:D$6061,E$5:E$6061,L14,F$5:F$6061,$R$3)</f>
        <v>-423028813.73333329</v>
      </c>
      <c r="S14" s="577">
        <f>-SUMIFS(D$5:D$6061,E$5:E$6061,L14,F$5:F$6061,$S$3)</f>
        <v>123594942.93333332</v>
      </c>
      <c r="T14" s="577">
        <f>SUMIFS(D$5:D$6061,E$5:E$6061,L14,F$5:F$6061,$T$3)</f>
        <v>-9835282.1799999997</v>
      </c>
    </row>
    <row r="15" spans="1:20" s="182" customFormat="1" ht="15.75" hidden="1" customHeight="1">
      <c r="A15" s="468">
        <v>45293</v>
      </c>
      <c r="B15" s="208" t="s">
        <v>134</v>
      </c>
      <c r="C15" s="208" t="s">
        <v>133</v>
      </c>
      <c r="D15" s="211">
        <v>-27880</v>
      </c>
      <c r="E15" s="212">
        <v>45292</v>
      </c>
      <c r="F15" s="84" t="s">
        <v>111</v>
      </c>
      <c r="G15" s="208"/>
      <c r="H15" s="208"/>
      <c r="I15" s="201"/>
      <c r="J15" s="202"/>
      <c r="K15" s="202"/>
      <c r="L15" s="576">
        <v>45627</v>
      </c>
      <c r="M15" s="577">
        <f>-SUMIFS(D$5:D$2346,E$5:E$2346,L15,F$5:F$2346,$M$3)</f>
        <v>0</v>
      </c>
      <c r="N15" s="577"/>
      <c r="O15" s="577">
        <f>+M15+N15</f>
        <v>0</v>
      </c>
      <c r="P15" s="577"/>
      <c r="Q15" s="577"/>
      <c r="R15" s="577">
        <f>SUMIFS(D$5:D$6061,E$5:E$6061,L15,F$5:F$6061,$R$3)</f>
        <v>0</v>
      </c>
      <c r="S15" s="577">
        <f>-SUMIFS(D$5:D$6061,E$5:E$6061,L15,F$5:F$6061,$S$3)</f>
        <v>0</v>
      </c>
      <c r="T15" s="577">
        <f>SUMIFS(D$5:D$6061,E$5:E$6061,L15,F$5:F$6061,$T$3)</f>
        <v>0</v>
      </c>
    </row>
    <row r="16" spans="1:20" s="182" customFormat="1" ht="15.75" hidden="1" customHeight="1">
      <c r="A16" s="468">
        <v>45293</v>
      </c>
      <c r="B16" s="208" t="s">
        <v>135</v>
      </c>
      <c r="C16" s="208" t="s">
        <v>136</v>
      </c>
      <c r="D16" s="211">
        <v>-80000</v>
      </c>
      <c r="E16" s="212">
        <v>45292</v>
      </c>
      <c r="F16" s="208" t="s">
        <v>109</v>
      </c>
      <c r="G16" s="208" t="s">
        <v>137</v>
      </c>
      <c r="H16" s="81" t="s">
        <v>138</v>
      </c>
      <c r="I16" s="201"/>
      <c r="J16" s="202"/>
      <c r="K16" s="202"/>
      <c r="L16" s="576"/>
      <c r="M16" s="577"/>
      <c r="N16" s="577"/>
      <c r="O16" s="577"/>
      <c r="P16" s="577"/>
      <c r="Q16" s="577"/>
      <c r="R16" s="577"/>
      <c r="S16" s="577"/>
      <c r="T16" s="577"/>
    </row>
    <row r="17" spans="1:20" s="182" customFormat="1" ht="15.75" hidden="1" customHeight="1">
      <c r="A17" s="468">
        <v>45294</v>
      </c>
      <c r="B17" s="208" t="s">
        <v>135</v>
      </c>
      <c r="C17" s="208" t="s">
        <v>136</v>
      </c>
      <c r="D17" s="211">
        <v>-160000</v>
      </c>
      <c r="E17" s="212">
        <v>45292</v>
      </c>
      <c r="F17" s="208" t="s">
        <v>109</v>
      </c>
      <c r="G17" s="208" t="s">
        <v>137</v>
      </c>
      <c r="H17" s="81" t="s">
        <v>138</v>
      </c>
      <c r="I17" s="201"/>
      <c r="J17" s="202"/>
      <c r="K17" s="202"/>
      <c r="L17" s="576"/>
      <c r="M17" s="577"/>
      <c r="N17" s="577"/>
      <c r="O17" s="577"/>
      <c r="P17" s="577"/>
      <c r="Q17" s="577"/>
      <c r="R17" s="577"/>
      <c r="S17" s="577"/>
      <c r="T17" s="577"/>
    </row>
    <row r="18" spans="1:20" s="182" customFormat="1" ht="15.75" hidden="1" customHeight="1">
      <c r="A18" s="468">
        <v>45296</v>
      </c>
      <c r="B18" s="208" t="s">
        <v>139</v>
      </c>
      <c r="C18" s="208" t="s">
        <v>27</v>
      </c>
      <c r="D18" s="211">
        <v>-70656250</v>
      </c>
      <c r="E18" s="212">
        <v>45292</v>
      </c>
      <c r="F18" s="208" t="s">
        <v>109</v>
      </c>
      <c r="G18" s="208" t="s">
        <v>120</v>
      </c>
      <c r="H18" s="208"/>
      <c r="I18" s="201"/>
      <c r="J18" s="202"/>
      <c r="K18" s="202"/>
      <c r="L18" s="576"/>
      <c r="M18" s="577"/>
      <c r="N18" s="577"/>
      <c r="O18" s="577"/>
      <c r="P18" s="577"/>
      <c r="Q18" s="577"/>
      <c r="R18" s="577"/>
      <c r="S18" s="577"/>
      <c r="T18" s="577"/>
    </row>
    <row r="19" spans="1:20" s="182" customFormat="1" ht="15.75" hidden="1" customHeight="1">
      <c r="A19" s="468">
        <v>45296</v>
      </c>
      <c r="B19" s="208" t="s">
        <v>140</v>
      </c>
      <c r="C19" s="208" t="s">
        <v>141</v>
      </c>
      <c r="D19" s="211">
        <v>-231300</v>
      </c>
      <c r="E19" s="212">
        <v>45292</v>
      </c>
      <c r="F19" s="208" t="s">
        <v>109</v>
      </c>
      <c r="G19" s="208" t="s">
        <v>120</v>
      </c>
      <c r="H19" s="208"/>
      <c r="I19" s="291"/>
      <c r="J19" s="202"/>
      <c r="K19" s="202"/>
      <c r="L19" s="576"/>
      <c r="M19" s="577"/>
      <c r="N19" s="577"/>
      <c r="O19" s="577"/>
      <c r="P19" s="577"/>
      <c r="Q19" s="577"/>
      <c r="R19" s="577"/>
      <c r="S19" s="577"/>
      <c r="T19" s="577"/>
    </row>
    <row r="20" spans="1:20" s="182" customFormat="1" ht="15.75" hidden="1" customHeight="1">
      <c r="A20" s="468">
        <v>45296</v>
      </c>
      <c r="B20" s="208" t="s">
        <v>140</v>
      </c>
      <c r="C20" s="208" t="s">
        <v>141</v>
      </c>
      <c r="D20" s="211">
        <v>-231300</v>
      </c>
      <c r="E20" s="212">
        <v>45292</v>
      </c>
      <c r="F20" s="208" t="s">
        <v>109</v>
      </c>
      <c r="G20" s="208" t="s">
        <v>120</v>
      </c>
      <c r="H20" s="208"/>
      <c r="I20" s="291"/>
      <c r="J20" s="202"/>
      <c r="K20" s="202"/>
      <c r="L20" s="576"/>
      <c r="M20" s="577"/>
      <c r="N20" s="577"/>
      <c r="O20" s="577"/>
      <c r="P20" s="577"/>
      <c r="Q20" s="577"/>
      <c r="R20" s="577"/>
      <c r="S20" s="577"/>
      <c r="T20" s="577"/>
    </row>
    <row r="21" spans="1:20" s="182" customFormat="1" ht="15.75" hidden="1" customHeight="1">
      <c r="A21" s="468">
        <v>45296</v>
      </c>
      <c r="B21" s="208" t="s">
        <v>140</v>
      </c>
      <c r="C21" s="208" t="s">
        <v>141</v>
      </c>
      <c r="D21" s="211">
        <v>-693900</v>
      </c>
      <c r="E21" s="212">
        <v>45292</v>
      </c>
      <c r="F21" s="208" t="s">
        <v>109</v>
      </c>
      <c r="G21" s="208" t="s">
        <v>120</v>
      </c>
      <c r="H21" s="208"/>
      <c r="I21" s="291"/>
      <c r="J21" s="202"/>
      <c r="K21" s="202"/>
      <c r="L21" s="576"/>
      <c r="M21" s="577"/>
      <c r="N21" s="577"/>
      <c r="O21" s="577"/>
      <c r="P21" s="577"/>
      <c r="Q21" s="577"/>
      <c r="R21" s="577"/>
      <c r="S21" s="577"/>
      <c r="T21" s="577"/>
    </row>
    <row r="22" spans="1:20" s="182" customFormat="1" ht="15.75" hidden="1" customHeight="1">
      <c r="A22" s="222">
        <v>45300</v>
      </c>
      <c r="B22" s="208" t="s">
        <v>142</v>
      </c>
      <c r="C22" s="208" t="s">
        <v>141</v>
      </c>
      <c r="D22" s="211">
        <v>-113669</v>
      </c>
      <c r="E22" s="212">
        <v>45292</v>
      </c>
      <c r="F22" s="208" t="s">
        <v>130</v>
      </c>
      <c r="G22" s="208" t="s">
        <v>104</v>
      </c>
      <c r="H22" s="208" t="s">
        <v>143</v>
      </c>
      <c r="I22" s="291"/>
      <c r="J22" s="202"/>
      <c r="K22" s="202"/>
      <c r="L22" s="576"/>
      <c r="M22" s="577"/>
      <c r="N22" s="577"/>
      <c r="O22" s="577"/>
      <c r="P22" s="577"/>
      <c r="Q22" s="577"/>
      <c r="R22" s="577"/>
      <c r="S22" s="577"/>
      <c r="T22" s="577"/>
    </row>
    <row r="23" spans="1:20" s="182" customFormat="1" ht="15.75" hidden="1" customHeight="1">
      <c r="A23" s="222">
        <v>45300</v>
      </c>
      <c r="B23" s="208" t="s">
        <v>144</v>
      </c>
      <c r="C23" s="208" t="s">
        <v>141</v>
      </c>
      <c r="D23" s="211">
        <v>-586630</v>
      </c>
      <c r="E23" s="212">
        <v>45292</v>
      </c>
      <c r="F23" s="208" t="s">
        <v>130</v>
      </c>
      <c r="G23" s="208" t="s">
        <v>130</v>
      </c>
      <c r="H23" s="81" t="s">
        <v>138</v>
      </c>
      <c r="I23" s="291"/>
      <c r="J23" s="202"/>
      <c r="K23" s="202"/>
      <c r="L23" s="576"/>
      <c r="M23" s="577"/>
      <c r="N23" s="577"/>
      <c r="O23" s="577"/>
      <c r="P23" s="577"/>
      <c r="Q23" s="577"/>
      <c r="R23" s="577"/>
      <c r="S23" s="577"/>
      <c r="T23" s="577"/>
    </row>
    <row r="24" spans="1:20" s="182" customFormat="1" ht="15.75" hidden="1" customHeight="1">
      <c r="A24" s="468">
        <v>45301</v>
      </c>
      <c r="B24" s="208" t="s">
        <v>145</v>
      </c>
      <c r="C24" s="208" t="s">
        <v>146</v>
      </c>
      <c r="D24" s="211">
        <v>-60000</v>
      </c>
      <c r="E24" s="212">
        <v>45292</v>
      </c>
      <c r="F24" s="208" t="s">
        <v>109</v>
      </c>
      <c r="G24" s="208" t="s">
        <v>137</v>
      </c>
      <c r="H24" s="208" t="s">
        <v>147</v>
      </c>
      <c r="I24" s="201"/>
      <c r="J24" s="202"/>
      <c r="K24" s="202"/>
      <c r="L24" s="576"/>
      <c r="M24" s="577"/>
      <c r="N24" s="577"/>
      <c r="O24" s="577"/>
      <c r="P24" s="577"/>
      <c r="Q24" s="577"/>
      <c r="R24" s="577"/>
      <c r="S24" s="577"/>
      <c r="T24" s="577"/>
    </row>
    <row r="25" spans="1:20" s="182" customFormat="1" ht="15.75" hidden="1" customHeight="1">
      <c r="A25" s="468">
        <v>45301</v>
      </c>
      <c r="B25" s="208" t="s">
        <v>148</v>
      </c>
      <c r="C25" s="208" t="s">
        <v>146</v>
      </c>
      <c r="D25" s="211">
        <v>-202000</v>
      </c>
      <c r="E25" s="212">
        <v>45292</v>
      </c>
      <c r="F25" s="208" t="s">
        <v>109</v>
      </c>
      <c r="G25" s="208" t="s">
        <v>137</v>
      </c>
      <c r="H25" s="208" t="s">
        <v>147</v>
      </c>
      <c r="I25" s="201"/>
      <c r="J25" s="202"/>
      <c r="K25" s="202"/>
      <c r="L25" s="576"/>
      <c r="M25" s="577"/>
      <c r="N25" s="577"/>
      <c r="O25" s="577"/>
      <c r="P25" s="577"/>
      <c r="Q25" s="577"/>
      <c r="R25" s="577"/>
      <c r="S25" s="577"/>
      <c r="T25" s="577"/>
    </row>
    <row r="26" spans="1:20" s="182" customFormat="1" ht="15.75" hidden="1" customHeight="1">
      <c r="A26" s="468">
        <v>45301</v>
      </c>
      <c r="B26" s="208" t="s">
        <v>149</v>
      </c>
      <c r="C26" s="208" t="s">
        <v>27</v>
      </c>
      <c r="D26" s="211">
        <v>-3900000</v>
      </c>
      <c r="E26" s="212">
        <v>45292</v>
      </c>
      <c r="F26" s="208" t="s">
        <v>109</v>
      </c>
      <c r="G26" s="208" t="s">
        <v>150</v>
      </c>
      <c r="H26" s="208"/>
      <c r="I26" s="201"/>
      <c r="J26" s="202"/>
      <c r="K26" s="202"/>
      <c r="L26" s="576"/>
      <c r="M26" s="577"/>
      <c r="N26" s="577"/>
      <c r="O26" s="577"/>
      <c r="P26" s="577"/>
      <c r="Q26" s="577"/>
      <c r="R26" s="577"/>
      <c r="S26" s="577"/>
      <c r="T26" s="577"/>
    </row>
    <row r="27" spans="1:20" s="182" customFormat="1" ht="15.75" hidden="1" customHeight="1">
      <c r="A27" s="468">
        <v>45301</v>
      </c>
      <c r="B27" s="208" t="s">
        <v>151</v>
      </c>
      <c r="C27" s="208" t="s">
        <v>27</v>
      </c>
      <c r="D27" s="211">
        <v>-68673358</v>
      </c>
      <c r="E27" s="212">
        <v>45292</v>
      </c>
      <c r="F27" s="208" t="s">
        <v>109</v>
      </c>
      <c r="G27" s="208" t="s">
        <v>120</v>
      </c>
      <c r="H27" s="208"/>
      <c r="I27" s="201"/>
      <c r="J27" s="202"/>
      <c r="K27" s="202"/>
      <c r="L27" s="576"/>
      <c r="M27" s="577"/>
      <c r="N27" s="577"/>
      <c r="O27" s="577"/>
      <c r="P27" s="577"/>
      <c r="Q27" s="577"/>
      <c r="R27" s="577"/>
      <c r="S27" s="577"/>
      <c r="T27" s="577"/>
    </row>
    <row r="28" spans="1:20" s="182" customFormat="1" ht="15.75" hidden="1" customHeight="1">
      <c r="A28" s="468">
        <v>45301</v>
      </c>
      <c r="B28" s="208" t="s">
        <v>152</v>
      </c>
      <c r="C28" s="208" t="s">
        <v>27</v>
      </c>
      <c r="D28" s="211">
        <v>-6261092</v>
      </c>
      <c r="E28" s="212">
        <v>45292</v>
      </c>
      <c r="F28" s="208" t="s">
        <v>109</v>
      </c>
      <c r="G28" s="208" t="s">
        <v>120</v>
      </c>
      <c r="H28" s="208"/>
      <c r="I28" s="201"/>
      <c r="J28" s="202"/>
      <c r="K28" s="202"/>
      <c r="L28" s="576"/>
      <c r="M28" s="577"/>
      <c r="N28" s="577"/>
      <c r="O28" s="577"/>
      <c r="P28" s="577"/>
      <c r="Q28" s="577"/>
      <c r="R28" s="577"/>
      <c r="S28" s="577"/>
      <c r="T28" s="577"/>
    </row>
    <row r="29" spans="1:20" s="182" customFormat="1" ht="15.75" hidden="1" customHeight="1">
      <c r="A29" s="468">
        <v>45301</v>
      </c>
      <c r="B29" s="208" t="s">
        <v>153</v>
      </c>
      <c r="C29" s="208" t="s">
        <v>27</v>
      </c>
      <c r="D29" s="211">
        <v>-597000</v>
      </c>
      <c r="E29" s="212">
        <v>45292</v>
      </c>
      <c r="F29" s="208" t="s">
        <v>109</v>
      </c>
      <c r="G29" s="208" t="s">
        <v>120</v>
      </c>
      <c r="H29" s="208"/>
      <c r="I29" s="201"/>
      <c r="J29" s="202"/>
      <c r="K29" s="202"/>
      <c r="L29" s="576"/>
      <c r="M29" s="577"/>
      <c r="N29" s="577"/>
      <c r="O29" s="577"/>
      <c r="P29" s="577"/>
      <c r="Q29" s="577"/>
      <c r="R29" s="577"/>
      <c r="S29" s="577"/>
      <c r="T29" s="577"/>
    </row>
    <row r="30" spans="1:20" s="182" customFormat="1" ht="15.75" hidden="1" customHeight="1">
      <c r="A30" s="468">
        <v>45301</v>
      </c>
      <c r="B30" s="208" t="s">
        <v>154</v>
      </c>
      <c r="C30" s="208" t="s">
        <v>146</v>
      </c>
      <c r="D30" s="211">
        <v>-120000</v>
      </c>
      <c r="E30" s="212">
        <v>45292</v>
      </c>
      <c r="F30" s="208" t="s">
        <v>109</v>
      </c>
      <c r="G30" s="208" t="s">
        <v>137</v>
      </c>
      <c r="H30" s="81" t="s">
        <v>138</v>
      </c>
      <c r="I30" s="201"/>
      <c r="J30" s="202"/>
      <c r="K30" s="202"/>
      <c r="L30" s="576"/>
      <c r="M30" s="577"/>
      <c r="N30" s="577"/>
      <c r="O30" s="577"/>
      <c r="P30" s="577"/>
      <c r="Q30" s="577"/>
      <c r="R30" s="577"/>
      <c r="S30" s="577"/>
      <c r="T30" s="577"/>
    </row>
    <row r="31" spans="1:20" s="182" customFormat="1" ht="15.75" hidden="1" customHeight="1">
      <c r="A31" s="468">
        <v>45301</v>
      </c>
      <c r="B31" s="208" t="s">
        <v>155</v>
      </c>
      <c r="C31" s="208" t="s">
        <v>146</v>
      </c>
      <c r="D31" s="211">
        <v>-95000</v>
      </c>
      <c r="E31" s="212">
        <v>45292</v>
      </c>
      <c r="F31" s="208" t="s">
        <v>109</v>
      </c>
      <c r="G31" s="208" t="s">
        <v>137</v>
      </c>
      <c r="H31" s="81" t="s">
        <v>138</v>
      </c>
      <c r="I31" s="201"/>
      <c r="J31" s="202"/>
      <c r="K31" s="202"/>
      <c r="L31" s="576"/>
      <c r="M31" s="577"/>
      <c r="N31" s="577"/>
      <c r="O31" s="577"/>
      <c r="P31" s="577"/>
      <c r="Q31" s="577"/>
      <c r="R31" s="577"/>
      <c r="S31" s="577"/>
      <c r="T31" s="577"/>
    </row>
    <row r="32" spans="1:20" s="182" customFormat="1" ht="15.75" hidden="1" customHeight="1">
      <c r="A32" s="468">
        <v>45302</v>
      </c>
      <c r="B32" s="208" t="s">
        <v>156</v>
      </c>
      <c r="C32" s="208" t="s">
        <v>27</v>
      </c>
      <c r="D32" s="211">
        <v>-472250</v>
      </c>
      <c r="E32" s="212">
        <v>45292</v>
      </c>
      <c r="F32" s="208" t="s">
        <v>109</v>
      </c>
      <c r="G32" s="208" t="s">
        <v>120</v>
      </c>
      <c r="H32" s="208"/>
      <c r="I32" s="201"/>
      <c r="J32" s="202"/>
      <c r="K32" s="565"/>
      <c r="L32" s="580"/>
      <c r="M32" s="580"/>
      <c r="N32" s="580"/>
      <c r="O32" s="580"/>
      <c r="P32" s="580"/>
      <c r="Q32" s="580"/>
      <c r="R32" s="580"/>
      <c r="S32" s="580"/>
      <c r="T32" s="580"/>
    </row>
    <row r="33" spans="1:20" s="182" customFormat="1" ht="15.75" hidden="1" customHeight="1">
      <c r="A33" s="468">
        <v>45302</v>
      </c>
      <c r="B33" s="208" t="s">
        <v>157</v>
      </c>
      <c r="C33" s="208" t="s">
        <v>27</v>
      </c>
      <c r="D33" s="211">
        <v>-3847100</v>
      </c>
      <c r="E33" s="212">
        <v>45292</v>
      </c>
      <c r="F33" s="208" t="s">
        <v>109</v>
      </c>
      <c r="G33" s="208" t="s">
        <v>120</v>
      </c>
      <c r="H33" s="208"/>
      <c r="I33" s="201"/>
      <c r="J33" s="581"/>
      <c r="K33" s="202"/>
      <c r="L33" s="580"/>
      <c r="M33" s="580"/>
      <c r="N33" s="582"/>
      <c r="O33" s="583"/>
      <c r="P33" s="580"/>
      <c r="Q33" s="580"/>
      <c r="R33" s="580"/>
      <c r="S33" s="580"/>
      <c r="T33" s="580"/>
    </row>
    <row r="34" spans="1:20" s="182" customFormat="1" ht="15.75" hidden="1" customHeight="1">
      <c r="A34" s="468">
        <v>45302</v>
      </c>
      <c r="B34" s="208" t="s">
        <v>158</v>
      </c>
      <c r="C34" s="208" t="s">
        <v>133</v>
      </c>
      <c r="D34" s="211">
        <v>-19915</v>
      </c>
      <c r="E34" s="212">
        <v>45292</v>
      </c>
      <c r="F34" s="208" t="s">
        <v>109</v>
      </c>
      <c r="G34" s="208" t="s">
        <v>120</v>
      </c>
      <c r="H34" s="208"/>
      <c r="I34" s="201"/>
      <c r="J34" s="202"/>
      <c r="K34" s="202"/>
      <c r="L34" s="580"/>
      <c r="M34" s="580"/>
      <c r="N34" s="582"/>
      <c r="O34" s="583"/>
      <c r="P34" s="580"/>
      <c r="Q34" s="580"/>
      <c r="R34" s="580"/>
      <c r="S34" s="580"/>
      <c r="T34" s="580"/>
    </row>
    <row r="35" spans="1:20" s="182" customFormat="1" ht="15.75" hidden="1" customHeight="1">
      <c r="A35" s="468">
        <v>45302</v>
      </c>
      <c r="B35" s="208" t="s">
        <v>159</v>
      </c>
      <c r="C35" s="208" t="s">
        <v>133</v>
      </c>
      <c r="D35" s="211">
        <v>-82983</v>
      </c>
      <c r="E35" s="212">
        <v>45292</v>
      </c>
      <c r="F35" s="208" t="s">
        <v>109</v>
      </c>
      <c r="G35" s="208" t="s">
        <v>120</v>
      </c>
      <c r="H35" s="208"/>
      <c r="I35" s="201"/>
      <c r="J35" s="202"/>
      <c r="K35" s="202"/>
      <c r="L35" s="580"/>
      <c r="M35" s="580"/>
      <c r="N35" s="582"/>
      <c r="O35" s="583"/>
      <c r="P35" s="580"/>
      <c r="Q35" s="580"/>
      <c r="R35" s="580"/>
      <c r="S35" s="580"/>
      <c r="T35" s="580"/>
    </row>
    <row r="36" spans="1:20" s="182" customFormat="1" ht="15.75" hidden="1" customHeight="1">
      <c r="A36" s="468">
        <v>45302</v>
      </c>
      <c r="B36" s="208" t="s">
        <v>160</v>
      </c>
      <c r="C36" s="208" t="s">
        <v>27</v>
      </c>
      <c r="D36" s="211">
        <v>-832824</v>
      </c>
      <c r="E36" s="212">
        <v>45292</v>
      </c>
      <c r="F36" s="208" t="s">
        <v>109</v>
      </c>
      <c r="G36" s="208" t="s">
        <v>120</v>
      </c>
      <c r="H36" s="208"/>
      <c r="I36" s="201"/>
      <c r="J36" s="202"/>
      <c r="K36" s="565"/>
      <c r="L36" s="580"/>
      <c r="M36" s="580"/>
      <c r="N36" s="582"/>
      <c r="O36" s="583"/>
      <c r="P36" s="580"/>
      <c r="Q36" s="580"/>
      <c r="R36" s="580"/>
      <c r="S36" s="580"/>
      <c r="T36" s="580"/>
    </row>
    <row r="37" spans="1:20" s="182" customFormat="1" ht="15.75" hidden="1" customHeight="1">
      <c r="A37" s="468">
        <v>45302</v>
      </c>
      <c r="B37" s="208" t="s">
        <v>161</v>
      </c>
      <c r="C37" s="208" t="s">
        <v>133</v>
      </c>
      <c r="D37" s="211">
        <v>-4376</v>
      </c>
      <c r="E37" s="212">
        <v>45292</v>
      </c>
      <c r="F37" s="208" t="s">
        <v>109</v>
      </c>
      <c r="G37" s="208" t="s">
        <v>120</v>
      </c>
      <c r="H37" s="208"/>
      <c r="I37" s="201"/>
      <c r="J37" s="202"/>
      <c r="K37" s="565"/>
      <c r="L37" s="580"/>
      <c r="M37" s="580"/>
      <c r="N37" s="582"/>
      <c r="O37" s="583"/>
      <c r="P37" s="580"/>
      <c r="Q37" s="580"/>
      <c r="R37" s="580"/>
      <c r="S37" s="580"/>
      <c r="T37" s="580"/>
    </row>
    <row r="38" spans="1:20" s="182" customFormat="1" ht="15.75" hidden="1" customHeight="1">
      <c r="A38" s="468">
        <v>45302</v>
      </c>
      <c r="B38" s="208" t="s">
        <v>162</v>
      </c>
      <c r="C38" s="208" t="s">
        <v>27</v>
      </c>
      <c r="D38" s="211">
        <v>-1186800</v>
      </c>
      <c r="E38" s="212">
        <v>45292</v>
      </c>
      <c r="F38" s="208" t="s">
        <v>130</v>
      </c>
      <c r="G38" s="208" t="s">
        <v>130</v>
      </c>
      <c r="H38" s="81" t="s">
        <v>163</v>
      </c>
      <c r="I38" s="201"/>
      <c r="J38" s="202"/>
      <c r="K38" s="202"/>
      <c r="L38" s="576"/>
      <c r="M38" s="577"/>
      <c r="N38" s="577"/>
      <c r="O38" s="577"/>
      <c r="P38" s="577"/>
      <c r="Q38" s="577"/>
      <c r="R38" s="577"/>
      <c r="S38" s="577"/>
      <c r="T38" s="577"/>
    </row>
    <row r="39" spans="1:20" s="182" customFormat="1" ht="15.75" hidden="1" customHeight="1">
      <c r="A39" s="468">
        <v>45302</v>
      </c>
      <c r="B39" s="208" t="s">
        <v>164</v>
      </c>
      <c r="C39" s="208" t="s">
        <v>27</v>
      </c>
      <c r="D39" s="211">
        <v>-247600</v>
      </c>
      <c r="E39" s="212">
        <v>45292</v>
      </c>
      <c r="F39" s="208" t="s">
        <v>109</v>
      </c>
      <c r="G39" s="208" t="s">
        <v>120</v>
      </c>
      <c r="H39" s="208"/>
      <c r="I39" s="201"/>
      <c r="J39" s="202"/>
      <c r="K39" s="565"/>
      <c r="L39" s="580"/>
      <c r="M39" s="580"/>
      <c r="N39" s="580"/>
      <c r="O39" s="580"/>
      <c r="P39" s="580"/>
      <c r="Q39" s="580"/>
      <c r="R39" s="580"/>
      <c r="S39" s="580"/>
      <c r="T39" s="580"/>
    </row>
    <row r="40" spans="1:20" s="182" customFormat="1" ht="15.75" hidden="1" customHeight="1">
      <c r="A40" s="468">
        <v>45302</v>
      </c>
      <c r="B40" s="208" t="s">
        <v>165</v>
      </c>
      <c r="C40" s="208" t="s">
        <v>133</v>
      </c>
      <c r="D40" s="211">
        <v>-51600</v>
      </c>
      <c r="E40" s="212">
        <v>45292</v>
      </c>
      <c r="F40" s="208" t="s">
        <v>130</v>
      </c>
      <c r="G40" s="208" t="s">
        <v>130</v>
      </c>
      <c r="H40" s="81" t="s">
        <v>163</v>
      </c>
      <c r="I40" s="201"/>
      <c r="J40" s="202"/>
      <c r="K40" s="202"/>
      <c r="L40" s="576"/>
      <c r="M40" s="577"/>
      <c r="N40" s="577"/>
      <c r="O40" s="577"/>
      <c r="P40" s="577"/>
      <c r="Q40" s="577"/>
      <c r="R40" s="577"/>
      <c r="S40" s="577"/>
      <c r="T40" s="577"/>
    </row>
    <row r="41" spans="1:20" s="182" customFormat="1" ht="15.75" hidden="1" customHeight="1">
      <c r="A41" s="468">
        <v>45302</v>
      </c>
      <c r="B41" s="208" t="s">
        <v>166</v>
      </c>
      <c r="C41" s="208" t="s">
        <v>133</v>
      </c>
      <c r="D41" s="211">
        <v>-51600</v>
      </c>
      <c r="E41" s="212">
        <v>45292</v>
      </c>
      <c r="F41" s="208" t="s">
        <v>130</v>
      </c>
      <c r="G41" s="208" t="s">
        <v>130</v>
      </c>
      <c r="H41" s="81" t="s">
        <v>163</v>
      </c>
      <c r="I41" s="201"/>
      <c r="J41" s="202"/>
      <c r="K41" s="202"/>
      <c r="L41" s="202"/>
      <c r="M41" s="202"/>
      <c r="N41" s="584"/>
      <c r="O41" s="565"/>
      <c r="P41" s="202"/>
      <c r="Q41" s="202"/>
      <c r="R41" s="202"/>
      <c r="S41" s="202"/>
      <c r="T41" s="202"/>
    </row>
    <row r="42" spans="1:20" s="182" customFormat="1" ht="15" hidden="1" customHeight="1">
      <c r="A42" s="468">
        <v>45302</v>
      </c>
      <c r="B42" s="208" t="s">
        <v>167</v>
      </c>
      <c r="C42" s="208" t="s">
        <v>146</v>
      </c>
      <c r="D42" s="211">
        <v>-95000</v>
      </c>
      <c r="E42" s="212">
        <v>45292</v>
      </c>
      <c r="F42" s="208" t="s">
        <v>109</v>
      </c>
      <c r="G42" s="208" t="s">
        <v>137</v>
      </c>
      <c r="H42" s="81" t="s">
        <v>138</v>
      </c>
      <c r="I42" s="201"/>
      <c r="J42" s="202"/>
      <c r="K42" s="202"/>
      <c r="L42" s="585"/>
      <c r="M42" s="586"/>
      <c r="N42" s="586"/>
      <c r="O42" s="586"/>
      <c r="P42" s="586"/>
      <c r="Q42" s="586"/>
      <c r="R42" s="586"/>
      <c r="S42" s="586"/>
      <c r="T42" s="586"/>
    </row>
    <row r="43" spans="1:20" s="182" customFormat="1" ht="15.75" hidden="1" customHeight="1">
      <c r="A43" s="468">
        <v>45302</v>
      </c>
      <c r="B43" s="208" t="s">
        <v>167</v>
      </c>
      <c r="C43" s="208" t="s">
        <v>146</v>
      </c>
      <c r="D43" s="211">
        <v>-60000</v>
      </c>
      <c r="E43" s="212">
        <v>45292</v>
      </c>
      <c r="F43" s="208" t="s">
        <v>109</v>
      </c>
      <c r="G43" s="208" t="s">
        <v>168</v>
      </c>
      <c r="H43" s="81" t="s">
        <v>138</v>
      </c>
      <c r="I43" s="201"/>
      <c r="J43" s="202"/>
      <c r="K43" s="202"/>
      <c r="L43" s="585"/>
      <c r="M43" s="586"/>
      <c r="N43" s="586"/>
      <c r="O43" s="586"/>
      <c r="P43" s="586"/>
      <c r="Q43" s="586"/>
      <c r="R43" s="586"/>
      <c r="S43" s="586"/>
      <c r="T43" s="586"/>
    </row>
    <row r="44" spans="1:20" s="182" customFormat="1" ht="15.75" hidden="1" customHeight="1">
      <c r="A44" s="468">
        <v>45302</v>
      </c>
      <c r="B44" s="208" t="s">
        <v>167</v>
      </c>
      <c r="C44" s="208" t="s">
        <v>146</v>
      </c>
      <c r="D44" s="211">
        <v>-20000</v>
      </c>
      <c r="E44" s="212">
        <v>45292</v>
      </c>
      <c r="F44" s="208" t="s">
        <v>109</v>
      </c>
      <c r="G44" s="208" t="s">
        <v>169</v>
      </c>
      <c r="H44" s="81" t="s">
        <v>138</v>
      </c>
      <c r="I44" s="201"/>
      <c r="J44" s="202"/>
      <c r="K44" s="587"/>
      <c r="L44" s="585"/>
      <c r="M44" s="586"/>
      <c r="N44" s="586"/>
      <c r="O44" s="586"/>
      <c r="P44" s="586"/>
      <c r="Q44" s="586"/>
      <c r="R44" s="586"/>
      <c r="S44" s="586"/>
      <c r="T44" s="586"/>
    </row>
    <row r="45" spans="1:20" s="182" customFormat="1" ht="15.75" hidden="1" customHeight="1">
      <c r="A45" s="468">
        <v>45302</v>
      </c>
      <c r="B45" s="208" t="s">
        <v>167</v>
      </c>
      <c r="C45" s="208" t="s">
        <v>146</v>
      </c>
      <c r="D45" s="211">
        <v>-25000</v>
      </c>
      <c r="E45" s="212">
        <v>45292</v>
      </c>
      <c r="F45" s="208" t="s">
        <v>109</v>
      </c>
      <c r="G45" s="208" t="s">
        <v>170</v>
      </c>
      <c r="H45" s="81" t="s">
        <v>138</v>
      </c>
      <c r="I45" s="201"/>
      <c r="J45" s="202"/>
      <c r="K45" s="202"/>
      <c r="L45" s="585"/>
      <c r="M45" s="586"/>
      <c r="N45" s="586"/>
      <c r="O45" s="586"/>
      <c r="P45" s="586"/>
      <c r="Q45" s="586"/>
      <c r="R45" s="586"/>
      <c r="S45" s="586"/>
      <c r="T45" s="586"/>
    </row>
    <row r="46" spans="1:20" s="182" customFormat="1" ht="15.75" hidden="1" customHeight="1">
      <c r="A46" s="468">
        <v>45302</v>
      </c>
      <c r="B46" s="208" t="s">
        <v>167</v>
      </c>
      <c r="C46" s="208" t="s">
        <v>146</v>
      </c>
      <c r="D46" s="211">
        <v>-95000</v>
      </c>
      <c r="E46" s="212">
        <v>45292</v>
      </c>
      <c r="F46" s="208" t="s">
        <v>109</v>
      </c>
      <c r="G46" s="208" t="s">
        <v>137</v>
      </c>
      <c r="H46" s="81" t="s">
        <v>138</v>
      </c>
      <c r="I46" s="201"/>
      <c r="J46" s="202"/>
      <c r="K46" s="202"/>
      <c r="L46" s="585"/>
      <c r="M46" s="586"/>
      <c r="N46" s="586"/>
      <c r="O46" s="586"/>
      <c r="P46" s="586"/>
      <c r="Q46" s="586"/>
      <c r="R46" s="586"/>
      <c r="S46" s="586"/>
      <c r="T46" s="586"/>
    </row>
    <row r="47" spans="1:20" s="182" customFormat="1" ht="15.75" hidden="1" customHeight="1">
      <c r="A47" s="468">
        <v>45303</v>
      </c>
      <c r="B47" s="208" t="s">
        <v>171</v>
      </c>
      <c r="C47" s="208" t="s">
        <v>27</v>
      </c>
      <c r="D47" s="211">
        <v>-4400000</v>
      </c>
      <c r="E47" s="212">
        <v>45292</v>
      </c>
      <c r="F47" s="208" t="s">
        <v>109</v>
      </c>
      <c r="G47" s="208" t="s">
        <v>120</v>
      </c>
      <c r="H47" s="208"/>
      <c r="I47" s="291"/>
      <c r="J47" s="202"/>
      <c r="K47" s="202"/>
      <c r="L47" s="202"/>
      <c r="M47" s="202"/>
      <c r="N47" s="202"/>
      <c r="O47" s="202"/>
      <c r="P47" s="202"/>
      <c r="Q47" s="202"/>
      <c r="R47" s="202"/>
      <c r="S47" s="202"/>
      <c r="T47" s="202"/>
    </row>
    <row r="48" spans="1:20" s="182" customFormat="1" ht="15.75" hidden="1" customHeight="1">
      <c r="A48" s="468">
        <v>45303</v>
      </c>
      <c r="B48" s="223" t="s">
        <v>172</v>
      </c>
      <c r="C48" s="208" t="s">
        <v>146</v>
      </c>
      <c r="D48" s="211">
        <v>-2300</v>
      </c>
      <c r="E48" s="212">
        <v>45292</v>
      </c>
      <c r="F48" s="208" t="s">
        <v>130</v>
      </c>
      <c r="G48" s="208" t="s">
        <v>130</v>
      </c>
      <c r="H48" s="81" t="s">
        <v>138</v>
      </c>
      <c r="I48" s="201" t="s">
        <v>173</v>
      </c>
      <c r="J48" s="202"/>
      <c r="K48" s="202"/>
      <c r="L48" s="202"/>
      <c r="M48" s="202"/>
      <c r="N48" s="202"/>
      <c r="O48" s="202"/>
      <c r="P48" s="202"/>
      <c r="Q48" s="202"/>
      <c r="R48" s="202"/>
      <c r="S48" s="202"/>
      <c r="T48" s="202"/>
    </row>
    <row r="49" spans="1:20" s="182" customFormat="1" ht="15.75" hidden="1" customHeight="1">
      <c r="A49" s="468">
        <v>45303</v>
      </c>
      <c r="B49" s="223" t="s">
        <v>174</v>
      </c>
      <c r="C49" s="208" t="s">
        <v>146</v>
      </c>
      <c r="D49" s="211">
        <v>-9400</v>
      </c>
      <c r="E49" s="212">
        <v>45292</v>
      </c>
      <c r="F49" s="208" t="s">
        <v>109</v>
      </c>
      <c r="G49" s="208" t="s">
        <v>120</v>
      </c>
      <c r="H49" s="208" t="s">
        <v>175</v>
      </c>
      <c r="I49" s="201"/>
      <c r="J49" s="202"/>
      <c r="K49" s="202"/>
      <c r="L49" s="202"/>
      <c r="M49" s="202"/>
      <c r="N49" s="202"/>
      <c r="O49" s="202"/>
      <c r="P49" s="202"/>
      <c r="Q49" s="202"/>
      <c r="R49" s="202"/>
      <c r="S49" s="202"/>
      <c r="T49" s="202"/>
    </row>
    <row r="50" spans="1:20" s="182" customFormat="1" ht="15.75" hidden="1" customHeight="1">
      <c r="A50" s="468">
        <v>45303</v>
      </c>
      <c r="B50" s="588" t="s">
        <v>176</v>
      </c>
      <c r="C50" s="208" t="s">
        <v>146</v>
      </c>
      <c r="D50" s="211">
        <v>-42000</v>
      </c>
      <c r="E50" s="212">
        <v>45292</v>
      </c>
      <c r="F50" s="208" t="s">
        <v>109</v>
      </c>
      <c r="G50" s="208" t="s">
        <v>170</v>
      </c>
      <c r="H50" s="208" t="s">
        <v>175</v>
      </c>
      <c r="I50" s="201"/>
      <c r="J50" s="202"/>
      <c r="K50" s="202"/>
      <c r="L50" s="202"/>
      <c r="M50" s="202"/>
      <c r="N50" s="202"/>
      <c r="O50" s="202"/>
      <c r="P50" s="202"/>
      <c r="Q50" s="202"/>
      <c r="R50" s="202"/>
      <c r="S50" s="202"/>
      <c r="T50" s="202"/>
    </row>
    <row r="51" spans="1:20" s="182" customFormat="1" ht="15.75" hidden="1" customHeight="1">
      <c r="A51" s="468">
        <v>45303</v>
      </c>
      <c r="B51" s="223" t="s">
        <v>177</v>
      </c>
      <c r="C51" s="208" t="s">
        <v>146</v>
      </c>
      <c r="D51" s="211">
        <v>-6200</v>
      </c>
      <c r="E51" s="212">
        <v>45292</v>
      </c>
      <c r="F51" s="208" t="s">
        <v>109</v>
      </c>
      <c r="G51" s="208" t="s">
        <v>120</v>
      </c>
      <c r="H51" s="208" t="s">
        <v>175</v>
      </c>
      <c r="I51" s="201"/>
      <c r="J51" s="202"/>
      <c r="K51" s="202"/>
      <c r="L51" s="202"/>
      <c r="M51" s="202"/>
      <c r="N51" s="202"/>
      <c r="O51" s="202"/>
      <c r="P51" s="202"/>
      <c r="Q51" s="202"/>
      <c r="R51" s="202"/>
      <c r="S51" s="202"/>
      <c r="T51" s="202"/>
    </row>
    <row r="52" spans="1:20" s="182" customFormat="1" ht="15.75" hidden="1" customHeight="1">
      <c r="A52" s="468">
        <v>45303</v>
      </c>
      <c r="B52" s="223" t="s">
        <v>178</v>
      </c>
      <c r="C52" s="208" t="s">
        <v>146</v>
      </c>
      <c r="D52" s="211">
        <v>-18000</v>
      </c>
      <c r="E52" s="212">
        <v>45292</v>
      </c>
      <c r="F52" s="208" t="s">
        <v>109</v>
      </c>
      <c r="G52" s="208" t="s">
        <v>120</v>
      </c>
      <c r="H52" s="208" t="s">
        <v>175</v>
      </c>
      <c r="I52" s="201"/>
      <c r="J52" s="202"/>
      <c r="K52" s="202"/>
      <c r="L52" s="202"/>
      <c r="M52" s="202"/>
      <c r="N52" s="202"/>
      <c r="O52" s="202"/>
      <c r="P52" s="202"/>
      <c r="Q52" s="202"/>
      <c r="R52" s="202"/>
      <c r="S52" s="202"/>
      <c r="T52" s="202"/>
    </row>
    <row r="53" spans="1:20" s="182" customFormat="1" ht="15.75" hidden="1" customHeight="1">
      <c r="A53" s="468">
        <v>45303</v>
      </c>
      <c r="B53" s="223" t="s">
        <v>179</v>
      </c>
      <c r="C53" s="208" t="s">
        <v>146</v>
      </c>
      <c r="D53" s="211">
        <v>-30000</v>
      </c>
      <c r="E53" s="212">
        <v>45292</v>
      </c>
      <c r="F53" s="208" t="s">
        <v>109</v>
      </c>
      <c r="G53" s="208" t="s">
        <v>120</v>
      </c>
      <c r="H53" s="208" t="s">
        <v>175</v>
      </c>
      <c r="I53" s="201"/>
      <c r="J53" s="202"/>
      <c r="K53" s="202"/>
      <c r="L53" s="202"/>
      <c r="M53" s="202"/>
      <c r="N53" s="202"/>
      <c r="O53" s="202"/>
      <c r="P53" s="202"/>
      <c r="Q53" s="202"/>
      <c r="R53" s="202"/>
      <c r="S53" s="202"/>
      <c r="T53" s="202"/>
    </row>
    <row r="54" spans="1:20" s="182" customFormat="1" ht="14.15" hidden="1">
      <c r="A54" s="468">
        <v>45303</v>
      </c>
      <c r="B54" s="208" t="s">
        <v>180</v>
      </c>
      <c r="C54" s="208" t="s">
        <v>181</v>
      </c>
      <c r="D54" s="450">
        <v>38667</v>
      </c>
      <c r="E54" s="212">
        <v>45292</v>
      </c>
      <c r="F54" s="208" t="s">
        <v>130</v>
      </c>
      <c r="G54" s="208" t="s">
        <v>130</v>
      </c>
      <c r="H54" s="208" t="s">
        <v>182</v>
      </c>
      <c r="I54" s="291"/>
      <c r="J54" s="589"/>
      <c r="K54" s="202"/>
      <c r="L54" s="202"/>
      <c r="M54" s="202"/>
      <c r="N54" s="202"/>
      <c r="O54" s="202"/>
      <c r="P54" s="202"/>
      <c r="Q54" s="202"/>
      <c r="R54" s="202"/>
      <c r="S54" s="202"/>
      <c r="T54" s="202"/>
    </row>
    <row r="55" spans="1:20" s="182" customFormat="1" ht="15.75" hidden="1" customHeight="1">
      <c r="A55" s="468">
        <v>45303</v>
      </c>
      <c r="B55" s="223" t="s">
        <v>183</v>
      </c>
      <c r="C55" s="208" t="s">
        <v>146</v>
      </c>
      <c r="D55" s="211">
        <v>-37900</v>
      </c>
      <c r="E55" s="212">
        <v>45292</v>
      </c>
      <c r="F55" s="208" t="s">
        <v>130</v>
      </c>
      <c r="G55" s="208" t="s">
        <v>130</v>
      </c>
      <c r="H55" s="208" t="s">
        <v>184</v>
      </c>
      <c r="I55" s="201"/>
      <c r="J55" s="202"/>
      <c r="K55" s="202"/>
      <c r="L55" s="202"/>
      <c r="M55" s="202"/>
      <c r="N55" s="202"/>
      <c r="O55" s="202"/>
      <c r="P55" s="202"/>
      <c r="Q55" s="202"/>
      <c r="R55" s="202"/>
      <c r="S55" s="202"/>
      <c r="T55" s="202"/>
    </row>
    <row r="56" spans="1:20" s="182" customFormat="1" ht="15.75" hidden="1" customHeight="1">
      <c r="A56" s="468">
        <v>45303</v>
      </c>
      <c r="B56" s="590" t="s">
        <v>185</v>
      </c>
      <c r="C56" s="208" t="s">
        <v>146</v>
      </c>
      <c r="D56" s="211">
        <v>-22500</v>
      </c>
      <c r="E56" s="212">
        <v>45292</v>
      </c>
      <c r="F56" s="208" t="s">
        <v>130</v>
      </c>
      <c r="G56" s="208" t="s">
        <v>130</v>
      </c>
      <c r="H56" s="208" t="s">
        <v>184</v>
      </c>
      <c r="I56" s="201"/>
      <c r="J56" s="202"/>
      <c r="K56" s="202"/>
      <c r="L56" s="202"/>
      <c r="M56" s="202"/>
      <c r="N56" s="202"/>
      <c r="O56" s="202"/>
      <c r="P56" s="202"/>
      <c r="Q56" s="202"/>
      <c r="R56" s="202"/>
      <c r="S56" s="202"/>
      <c r="T56" s="202"/>
    </row>
    <row r="57" spans="1:20" s="182" customFormat="1" ht="15.75" hidden="1" customHeight="1">
      <c r="A57" s="468">
        <v>45303</v>
      </c>
      <c r="B57" s="591" t="s">
        <v>186</v>
      </c>
      <c r="C57" s="208" t="s">
        <v>181</v>
      </c>
      <c r="D57" s="211">
        <v>1504718</v>
      </c>
      <c r="E57" s="212">
        <v>45292</v>
      </c>
      <c r="F57" s="208" t="s">
        <v>108</v>
      </c>
      <c r="G57" s="208"/>
      <c r="H57" s="208"/>
      <c r="I57" s="201"/>
      <c r="J57" s="202" t="s">
        <v>187</v>
      </c>
      <c r="K57" s="202"/>
      <c r="L57" s="202"/>
      <c r="M57" s="202"/>
      <c r="N57" s="202"/>
      <c r="O57" s="202"/>
      <c r="P57" s="202"/>
      <c r="Q57" s="202"/>
      <c r="R57" s="202"/>
      <c r="S57" s="202"/>
      <c r="T57" s="202"/>
    </row>
    <row r="58" spans="1:20" s="182" customFormat="1" ht="15.75" hidden="1" customHeight="1">
      <c r="A58" s="468">
        <v>45303</v>
      </c>
      <c r="B58" s="591" t="s">
        <v>188</v>
      </c>
      <c r="C58" s="208" t="s">
        <v>181</v>
      </c>
      <c r="D58" s="211">
        <v>390728</v>
      </c>
      <c r="E58" s="212">
        <v>45292</v>
      </c>
      <c r="F58" s="208" t="s">
        <v>108</v>
      </c>
      <c r="G58" s="208"/>
      <c r="H58" s="208"/>
      <c r="I58" s="201"/>
      <c r="J58" s="202"/>
      <c r="K58" s="202"/>
      <c r="L58" s="202"/>
      <c r="M58" s="202"/>
      <c r="N58" s="202"/>
      <c r="O58" s="202"/>
      <c r="P58" s="202"/>
      <c r="Q58" s="202"/>
      <c r="R58" s="202"/>
      <c r="S58" s="202"/>
      <c r="T58" s="202"/>
    </row>
    <row r="59" spans="1:20" s="182" customFormat="1" ht="15.75" hidden="1" customHeight="1">
      <c r="A59" s="468">
        <v>45303</v>
      </c>
      <c r="B59" s="591" t="s">
        <v>189</v>
      </c>
      <c r="C59" s="208" t="s">
        <v>181</v>
      </c>
      <c r="D59" s="211">
        <v>2845985</v>
      </c>
      <c r="E59" s="212">
        <v>45292</v>
      </c>
      <c r="F59" s="208" t="s">
        <v>108</v>
      </c>
      <c r="G59" s="208"/>
      <c r="H59" s="208"/>
      <c r="I59" s="201"/>
      <c r="J59" s="202"/>
      <c r="K59" s="202"/>
      <c r="L59" s="202"/>
      <c r="M59" s="202"/>
      <c r="N59" s="202"/>
      <c r="O59" s="202"/>
      <c r="P59" s="202"/>
      <c r="Q59" s="202"/>
      <c r="R59" s="202"/>
      <c r="S59" s="202"/>
      <c r="T59" s="202"/>
    </row>
    <row r="60" spans="1:20" s="182" customFormat="1" ht="15.75" hidden="1" customHeight="1">
      <c r="A60" s="468">
        <v>45303</v>
      </c>
      <c r="B60" s="590" t="s">
        <v>190</v>
      </c>
      <c r="C60" s="208" t="s">
        <v>146</v>
      </c>
      <c r="D60" s="211">
        <v>-2200</v>
      </c>
      <c r="E60" s="212">
        <v>45292</v>
      </c>
      <c r="F60" s="208" t="s">
        <v>109</v>
      </c>
      <c r="G60" s="208" t="s">
        <v>137</v>
      </c>
      <c r="H60" s="208" t="s">
        <v>175</v>
      </c>
      <c r="I60" s="291"/>
      <c r="J60" s="202"/>
      <c r="K60" s="202"/>
      <c r="L60" s="202"/>
      <c r="M60" s="202"/>
      <c r="N60" s="202"/>
      <c r="O60" s="202"/>
      <c r="P60" s="202"/>
      <c r="Q60" s="202"/>
      <c r="R60" s="202"/>
      <c r="S60" s="202"/>
      <c r="T60" s="202"/>
    </row>
    <row r="61" spans="1:20" s="182" customFormat="1" ht="15.75" hidden="1" customHeight="1">
      <c r="A61" s="468">
        <v>45303</v>
      </c>
      <c r="B61" s="590" t="s">
        <v>191</v>
      </c>
      <c r="C61" s="208" t="s">
        <v>146</v>
      </c>
      <c r="D61" s="211">
        <v>-147800</v>
      </c>
      <c r="E61" s="212">
        <v>45292</v>
      </c>
      <c r="F61" s="208" t="s">
        <v>109</v>
      </c>
      <c r="G61" s="208" t="s">
        <v>120</v>
      </c>
      <c r="H61" s="208" t="s">
        <v>175</v>
      </c>
      <c r="I61" s="201"/>
      <c r="J61" s="202"/>
      <c r="K61" s="202"/>
      <c r="L61" s="202"/>
      <c r="M61" s="202"/>
      <c r="N61" s="202"/>
      <c r="O61" s="202"/>
      <c r="P61" s="202"/>
      <c r="Q61" s="202"/>
      <c r="R61" s="202"/>
      <c r="S61" s="202"/>
      <c r="T61" s="202"/>
    </row>
    <row r="62" spans="1:20" s="182" customFormat="1" ht="15.75" hidden="1" customHeight="1">
      <c r="A62" s="468">
        <v>45303</v>
      </c>
      <c r="B62" s="590" t="s">
        <v>192</v>
      </c>
      <c r="C62" s="208" t="s">
        <v>146</v>
      </c>
      <c r="D62" s="211">
        <v>-19000</v>
      </c>
      <c r="E62" s="212">
        <v>45292</v>
      </c>
      <c r="F62" s="208" t="s">
        <v>109</v>
      </c>
      <c r="G62" s="208" t="s">
        <v>137</v>
      </c>
      <c r="H62" s="208" t="s">
        <v>175</v>
      </c>
      <c r="I62" s="201"/>
      <c r="J62" s="202"/>
      <c r="K62" s="202"/>
      <c r="L62" s="202"/>
      <c r="M62" s="202"/>
      <c r="N62" s="202"/>
      <c r="O62" s="202"/>
      <c r="P62" s="202"/>
      <c r="Q62" s="202"/>
      <c r="R62" s="202"/>
      <c r="S62" s="202"/>
      <c r="T62" s="202"/>
    </row>
    <row r="63" spans="1:20" s="182" customFormat="1" ht="15.75" hidden="1" customHeight="1">
      <c r="A63" s="468">
        <v>45303</v>
      </c>
      <c r="B63" s="591" t="s">
        <v>193</v>
      </c>
      <c r="C63" s="208" t="s">
        <v>27</v>
      </c>
      <c r="D63" s="211">
        <v>-2024000</v>
      </c>
      <c r="E63" s="212">
        <v>45292</v>
      </c>
      <c r="F63" s="208" t="s">
        <v>130</v>
      </c>
      <c r="G63" s="208" t="s">
        <v>130</v>
      </c>
      <c r="H63" s="208" t="s">
        <v>182</v>
      </c>
      <c r="I63" s="291"/>
      <c r="J63" s="565"/>
      <c r="K63" s="202"/>
      <c r="L63" s="202"/>
      <c r="M63" s="202"/>
      <c r="N63" s="202"/>
      <c r="O63" s="202"/>
      <c r="P63" s="202"/>
      <c r="Q63" s="202"/>
      <c r="R63" s="202"/>
      <c r="S63" s="202"/>
      <c r="T63" s="202"/>
    </row>
    <row r="64" spans="1:20" s="182" customFormat="1" ht="15.75" hidden="1" customHeight="1">
      <c r="A64" s="468">
        <v>45303</v>
      </c>
      <c r="B64" s="591" t="s">
        <v>194</v>
      </c>
      <c r="C64" s="208" t="s">
        <v>27</v>
      </c>
      <c r="D64" s="211">
        <v>-545940</v>
      </c>
      <c r="E64" s="212">
        <v>45292</v>
      </c>
      <c r="F64" s="208" t="s">
        <v>130</v>
      </c>
      <c r="G64" s="208" t="s">
        <v>130</v>
      </c>
      <c r="H64" s="208" t="s">
        <v>182</v>
      </c>
      <c r="I64" s="592"/>
      <c r="J64" s="202"/>
      <c r="K64" s="202"/>
      <c r="L64" s="202"/>
      <c r="M64" s="202"/>
      <c r="N64" s="202"/>
      <c r="O64" s="202"/>
      <c r="P64" s="202"/>
      <c r="Q64" s="202"/>
      <c r="R64" s="202"/>
      <c r="S64" s="202"/>
      <c r="T64" s="202"/>
    </row>
    <row r="65" spans="1:20" s="182" customFormat="1" ht="15.75" hidden="1" customHeight="1">
      <c r="A65" s="468">
        <v>45303</v>
      </c>
      <c r="B65" s="591" t="s">
        <v>195</v>
      </c>
      <c r="C65" s="208" t="s">
        <v>27</v>
      </c>
      <c r="D65" s="211">
        <f>-735140/2</f>
        <v>-367570</v>
      </c>
      <c r="E65" s="212">
        <v>45292</v>
      </c>
      <c r="F65" s="208" t="s">
        <v>130</v>
      </c>
      <c r="G65" s="208" t="s">
        <v>130</v>
      </c>
      <c r="H65" s="208" t="s">
        <v>182</v>
      </c>
      <c r="I65" s="592"/>
      <c r="J65" s="202"/>
      <c r="K65" s="202"/>
      <c r="L65" s="202"/>
      <c r="M65" s="202"/>
      <c r="N65" s="202"/>
      <c r="O65" s="202"/>
      <c r="P65" s="202"/>
      <c r="Q65" s="202"/>
      <c r="R65" s="202"/>
      <c r="S65" s="202"/>
      <c r="T65" s="202"/>
    </row>
    <row r="66" spans="1:20" s="182" customFormat="1" ht="15.75" hidden="1" customHeight="1">
      <c r="A66" s="468">
        <v>45303</v>
      </c>
      <c r="B66" s="591" t="s">
        <v>195</v>
      </c>
      <c r="C66" s="208" t="s">
        <v>27</v>
      </c>
      <c r="D66" s="211">
        <f>-735140/2</f>
        <v>-367570</v>
      </c>
      <c r="E66" s="212">
        <v>45292</v>
      </c>
      <c r="F66" s="208" t="s">
        <v>109</v>
      </c>
      <c r="G66" s="208" t="s">
        <v>170</v>
      </c>
      <c r="H66" s="208" t="s">
        <v>147</v>
      </c>
      <c r="I66" s="592"/>
      <c r="J66" s="202"/>
      <c r="K66" s="202"/>
      <c r="L66" s="202"/>
      <c r="M66" s="202"/>
      <c r="N66" s="202"/>
      <c r="O66" s="202"/>
      <c r="P66" s="202"/>
      <c r="Q66" s="202"/>
      <c r="R66" s="202"/>
      <c r="S66" s="202"/>
      <c r="T66" s="202"/>
    </row>
    <row r="67" spans="1:20" s="182" customFormat="1" ht="15.75" hidden="1" customHeight="1">
      <c r="A67" s="468">
        <v>45303</v>
      </c>
      <c r="B67" s="591" t="s">
        <v>196</v>
      </c>
      <c r="C67" s="208" t="s">
        <v>27</v>
      </c>
      <c r="D67" s="211">
        <f>-677640/2</f>
        <v>-338820</v>
      </c>
      <c r="E67" s="212">
        <v>45292</v>
      </c>
      <c r="F67" s="208" t="s">
        <v>130</v>
      </c>
      <c r="G67" s="208" t="s">
        <v>130</v>
      </c>
      <c r="H67" s="208" t="s">
        <v>182</v>
      </c>
      <c r="I67" s="592"/>
      <c r="J67" s="202"/>
      <c r="K67" s="202"/>
      <c r="L67" s="202"/>
      <c r="M67" s="202"/>
      <c r="N67" s="202"/>
      <c r="O67" s="202"/>
      <c r="P67" s="202"/>
      <c r="Q67" s="202"/>
      <c r="R67" s="202"/>
      <c r="S67" s="202"/>
      <c r="T67" s="202"/>
    </row>
    <row r="68" spans="1:20" s="182" customFormat="1" ht="15.75" hidden="1" customHeight="1">
      <c r="A68" s="468">
        <v>45303</v>
      </c>
      <c r="B68" s="591" t="s">
        <v>196</v>
      </c>
      <c r="C68" s="208" t="s">
        <v>27</v>
      </c>
      <c r="D68" s="211">
        <f>-677640/2</f>
        <v>-338820</v>
      </c>
      <c r="E68" s="212">
        <v>45292</v>
      </c>
      <c r="F68" s="208" t="s">
        <v>109</v>
      </c>
      <c r="G68" s="208" t="s">
        <v>170</v>
      </c>
      <c r="H68" s="208" t="s">
        <v>147</v>
      </c>
      <c r="I68" s="592"/>
      <c r="J68" s="202"/>
      <c r="K68" s="202"/>
      <c r="L68" s="202"/>
      <c r="M68" s="202"/>
      <c r="N68" s="202"/>
      <c r="O68" s="202"/>
      <c r="P68" s="202"/>
      <c r="Q68" s="202"/>
      <c r="R68" s="202"/>
      <c r="S68" s="202"/>
      <c r="T68" s="202"/>
    </row>
    <row r="69" spans="1:20" s="182" customFormat="1" ht="15.75" hidden="1" customHeight="1">
      <c r="A69" s="468">
        <v>45303</v>
      </c>
      <c r="B69" s="591" t="s">
        <v>197</v>
      </c>
      <c r="C69" s="208" t="s">
        <v>27</v>
      </c>
      <c r="D69" s="211">
        <v>-881400</v>
      </c>
      <c r="E69" s="212">
        <v>45292</v>
      </c>
      <c r="F69" s="208" t="s">
        <v>130</v>
      </c>
      <c r="G69" s="208" t="s">
        <v>130</v>
      </c>
      <c r="H69" s="208" t="s">
        <v>182</v>
      </c>
      <c r="I69" s="592"/>
      <c r="J69" s="202"/>
      <c r="K69" s="202"/>
      <c r="L69" s="202"/>
      <c r="M69" s="202"/>
      <c r="N69" s="202"/>
      <c r="O69" s="202"/>
      <c r="P69" s="202"/>
      <c r="Q69" s="202"/>
      <c r="R69" s="202"/>
      <c r="S69" s="202"/>
      <c r="T69" s="202"/>
    </row>
    <row r="70" spans="1:20" s="182" customFormat="1" ht="15.75" hidden="1" customHeight="1">
      <c r="A70" s="468">
        <v>45303</v>
      </c>
      <c r="B70" s="591" t="s">
        <v>198</v>
      </c>
      <c r="C70" s="208" t="s">
        <v>27</v>
      </c>
      <c r="D70" s="211">
        <f>-657400/2</f>
        <v>-328700</v>
      </c>
      <c r="E70" s="212">
        <v>45292</v>
      </c>
      <c r="F70" s="208" t="s">
        <v>109</v>
      </c>
      <c r="G70" s="208" t="s">
        <v>120</v>
      </c>
      <c r="H70" s="208"/>
      <c r="I70" s="592"/>
      <c r="J70" s="202"/>
      <c r="K70" s="202"/>
      <c r="L70" s="202"/>
      <c r="M70" s="202"/>
      <c r="N70" s="202"/>
      <c r="O70" s="202"/>
      <c r="P70" s="202"/>
      <c r="Q70" s="202"/>
      <c r="R70" s="202"/>
      <c r="S70" s="202"/>
      <c r="T70" s="202"/>
    </row>
    <row r="71" spans="1:20" s="182" customFormat="1" ht="15.75" hidden="1" customHeight="1">
      <c r="A71" s="468">
        <v>45303</v>
      </c>
      <c r="B71" s="591" t="s">
        <v>198</v>
      </c>
      <c r="C71" s="208" t="s">
        <v>27</v>
      </c>
      <c r="D71" s="211">
        <f>-657400/2</f>
        <v>-328700</v>
      </c>
      <c r="E71" s="212">
        <v>45292</v>
      </c>
      <c r="F71" s="208" t="s">
        <v>130</v>
      </c>
      <c r="G71" s="208" t="s">
        <v>130</v>
      </c>
      <c r="H71" s="208" t="s">
        <v>182</v>
      </c>
      <c r="I71" s="592"/>
      <c r="J71" s="202"/>
      <c r="K71" s="202"/>
      <c r="L71" s="202"/>
      <c r="M71" s="202"/>
      <c r="N71" s="202"/>
      <c r="O71" s="202"/>
      <c r="P71" s="202"/>
      <c r="Q71" s="202"/>
      <c r="R71" s="202"/>
      <c r="S71" s="202"/>
      <c r="T71" s="202"/>
    </row>
    <row r="72" spans="1:20" s="182" customFormat="1" ht="15.75" hidden="1" customHeight="1">
      <c r="A72" s="468">
        <v>45303</v>
      </c>
      <c r="B72" s="591" t="s">
        <v>199</v>
      </c>
      <c r="C72" s="208" t="s">
        <v>27</v>
      </c>
      <c r="D72" s="211">
        <f>-657400/2</f>
        <v>-328700</v>
      </c>
      <c r="E72" s="212">
        <v>45292</v>
      </c>
      <c r="F72" s="208" t="s">
        <v>130</v>
      </c>
      <c r="G72" s="208" t="s">
        <v>130</v>
      </c>
      <c r="H72" s="208" t="s">
        <v>182</v>
      </c>
      <c r="I72" s="592"/>
      <c r="J72" s="202"/>
      <c r="K72" s="202"/>
      <c r="L72" s="202"/>
      <c r="M72" s="202"/>
      <c r="N72" s="202"/>
      <c r="O72" s="202"/>
      <c r="P72" s="202"/>
      <c r="Q72" s="202"/>
      <c r="R72" s="202"/>
      <c r="S72" s="202"/>
      <c r="T72" s="202"/>
    </row>
    <row r="73" spans="1:20" s="182" customFormat="1" ht="15.75" hidden="1" customHeight="1">
      <c r="A73" s="468">
        <v>45303</v>
      </c>
      <c r="B73" s="591" t="s">
        <v>199</v>
      </c>
      <c r="C73" s="208" t="s">
        <v>27</v>
      </c>
      <c r="D73" s="211">
        <f>-657400/2</f>
        <v>-328700</v>
      </c>
      <c r="E73" s="212">
        <v>45292</v>
      </c>
      <c r="F73" s="208" t="s">
        <v>109</v>
      </c>
      <c r="G73" s="208" t="s">
        <v>170</v>
      </c>
      <c r="H73" s="208" t="s">
        <v>147</v>
      </c>
      <c r="I73" s="592"/>
      <c r="J73" s="202"/>
      <c r="K73" s="202"/>
      <c r="L73" s="202"/>
      <c r="M73" s="202"/>
      <c r="N73" s="202"/>
      <c r="O73" s="202"/>
      <c r="P73" s="202"/>
      <c r="Q73" s="202"/>
      <c r="R73" s="202"/>
      <c r="S73" s="202"/>
      <c r="T73" s="202"/>
    </row>
    <row r="74" spans="1:20" s="182" customFormat="1" ht="15.75" hidden="1" customHeight="1">
      <c r="A74" s="468">
        <v>45303</v>
      </c>
      <c r="B74" s="591" t="s">
        <v>200</v>
      </c>
      <c r="C74" s="208" t="s">
        <v>27</v>
      </c>
      <c r="D74" s="211">
        <f>-1016660/2</f>
        <v>-508330</v>
      </c>
      <c r="E74" s="212">
        <v>45292</v>
      </c>
      <c r="F74" s="208" t="s">
        <v>130</v>
      </c>
      <c r="G74" s="208" t="s">
        <v>130</v>
      </c>
      <c r="H74" s="208" t="s">
        <v>182</v>
      </c>
      <c r="I74" s="592"/>
      <c r="J74" s="202"/>
      <c r="K74" s="202"/>
      <c r="L74" s="202"/>
      <c r="M74" s="202"/>
      <c r="N74" s="202"/>
      <c r="O74" s="202"/>
      <c r="P74" s="202"/>
      <c r="Q74" s="202"/>
      <c r="R74" s="202"/>
      <c r="S74" s="202"/>
      <c r="T74" s="202"/>
    </row>
    <row r="75" spans="1:20" s="182" customFormat="1" ht="15.75" hidden="1" customHeight="1">
      <c r="A75" s="468">
        <v>45303</v>
      </c>
      <c r="B75" s="591" t="s">
        <v>200</v>
      </c>
      <c r="C75" s="208" t="s">
        <v>27</v>
      </c>
      <c r="D75" s="211">
        <f>-1016660/2</f>
        <v>-508330</v>
      </c>
      <c r="E75" s="212">
        <v>45292</v>
      </c>
      <c r="F75" s="208" t="s">
        <v>109</v>
      </c>
      <c r="G75" s="208" t="s">
        <v>170</v>
      </c>
      <c r="H75" s="208" t="s">
        <v>147</v>
      </c>
      <c r="I75" s="592"/>
      <c r="J75" s="202"/>
      <c r="K75" s="202"/>
      <c r="L75" s="202"/>
      <c r="M75" s="202"/>
      <c r="N75" s="202"/>
      <c r="O75" s="202"/>
      <c r="P75" s="202"/>
      <c r="Q75" s="202"/>
      <c r="R75" s="202"/>
      <c r="S75" s="202"/>
      <c r="T75" s="202"/>
    </row>
    <row r="76" spans="1:20" s="182" customFormat="1" ht="15.75" hidden="1" customHeight="1">
      <c r="A76" s="468">
        <v>45303</v>
      </c>
      <c r="B76" s="591" t="s">
        <v>201</v>
      </c>
      <c r="C76" s="208" t="s">
        <v>27</v>
      </c>
      <c r="D76" s="211">
        <f>-677640/2</f>
        <v>-338820</v>
      </c>
      <c r="E76" s="212">
        <v>45292</v>
      </c>
      <c r="F76" s="208" t="s">
        <v>109</v>
      </c>
      <c r="G76" s="208" t="s">
        <v>120</v>
      </c>
      <c r="H76" s="208"/>
      <c r="I76" s="592"/>
      <c r="J76" s="202"/>
      <c r="K76" s="202"/>
      <c r="L76" s="202"/>
      <c r="M76" s="202"/>
      <c r="N76" s="202"/>
      <c r="O76" s="202"/>
      <c r="P76" s="202"/>
      <c r="Q76" s="202"/>
      <c r="R76" s="202"/>
      <c r="S76" s="202"/>
      <c r="T76" s="202"/>
    </row>
    <row r="77" spans="1:20" s="182" customFormat="1" ht="15.75" hidden="1" customHeight="1">
      <c r="A77" s="468">
        <v>45303</v>
      </c>
      <c r="B77" s="591" t="s">
        <v>201</v>
      </c>
      <c r="C77" s="208" t="s">
        <v>27</v>
      </c>
      <c r="D77" s="211">
        <f>-677640/2</f>
        <v>-338820</v>
      </c>
      <c r="E77" s="212">
        <v>45292</v>
      </c>
      <c r="F77" s="208" t="s">
        <v>130</v>
      </c>
      <c r="G77" s="208" t="s">
        <v>130</v>
      </c>
      <c r="H77" s="208" t="s">
        <v>182</v>
      </c>
      <c r="I77" s="592"/>
      <c r="J77" s="202"/>
      <c r="K77" s="202"/>
      <c r="L77" s="202"/>
      <c r="M77" s="202"/>
      <c r="N77" s="202"/>
      <c r="O77" s="202"/>
      <c r="P77" s="202"/>
      <c r="Q77" s="202"/>
      <c r="R77" s="202"/>
      <c r="S77" s="202"/>
      <c r="T77" s="202"/>
    </row>
    <row r="78" spans="1:20" s="182" customFormat="1" ht="15.75" hidden="1" customHeight="1">
      <c r="A78" s="468">
        <v>45303</v>
      </c>
      <c r="B78" s="591" t="s">
        <v>202</v>
      </c>
      <c r="C78" s="208" t="s">
        <v>27</v>
      </c>
      <c r="D78" s="211">
        <f>-758200/2</f>
        <v>-379100</v>
      </c>
      <c r="E78" s="212">
        <v>45292</v>
      </c>
      <c r="F78" s="208" t="s">
        <v>109</v>
      </c>
      <c r="G78" s="208" t="s">
        <v>120</v>
      </c>
      <c r="H78" s="208"/>
      <c r="I78" s="592"/>
      <c r="J78" s="202"/>
      <c r="K78" s="202"/>
      <c r="L78" s="202"/>
      <c r="M78" s="202"/>
      <c r="N78" s="202"/>
      <c r="O78" s="202"/>
      <c r="P78" s="202"/>
      <c r="Q78" s="202"/>
      <c r="R78" s="202"/>
      <c r="S78" s="202"/>
      <c r="T78" s="202"/>
    </row>
    <row r="79" spans="1:20" s="182" customFormat="1" ht="15.75" hidden="1" customHeight="1">
      <c r="A79" s="468">
        <v>45303</v>
      </c>
      <c r="B79" s="208" t="s">
        <v>202</v>
      </c>
      <c r="C79" s="208" t="s">
        <v>27</v>
      </c>
      <c r="D79" s="211">
        <f>-758200/2</f>
        <v>-379100</v>
      </c>
      <c r="E79" s="212">
        <v>45292</v>
      </c>
      <c r="F79" s="208" t="s">
        <v>130</v>
      </c>
      <c r="G79" s="208" t="s">
        <v>130</v>
      </c>
      <c r="H79" s="208" t="s">
        <v>182</v>
      </c>
      <c r="I79" s="592"/>
      <c r="J79" s="202"/>
      <c r="K79" s="202"/>
      <c r="L79" s="202"/>
      <c r="M79" s="202"/>
      <c r="N79" s="202"/>
      <c r="O79" s="202"/>
      <c r="P79" s="202"/>
      <c r="Q79" s="202"/>
      <c r="R79" s="202"/>
      <c r="S79" s="202"/>
      <c r="T79" s="202"/>
    </row>
    <row r="80" spans="1:20" s="182" customFormat="1" ht="15.75" hidden="1" customHeight="1">
      <c r="A80" s="468">
        <v>45303</v>
      </c>
      <c r="B80" s="208" t="s">
        <v>203</v>
      </c>
      <c r="C80" s="208" t="s">
        <v>27</v>
      </c>
      <c r="D80" s="211">
        <f>-657400/2</f>
        <v>-328700</v>
      </c>
      <c r="E80" s="212">
        <v>45292</v>
      </c>
      <c r="F80" s="208" t="s">
        <v>109</v>
      </c>
      <c r="G80" s="208" t="s">
        <v>120</v>
      </c>
      <c r="H80" s="208"/>
      <c r="I80" s="592"/>
      <c r="J80" s="202"/>
      <c r="K80" s="202"/>
      <c r="L80" s="202"/>
      <c r="M80" s="202"/>
      <c r="N80" s="202"/>
      <c r="O80" s="202"/>
      <c r="P80" s="202"/>
      <c r="Q80" s="202"/>
      <c r="R80" s="202"/>
      <c r="S80" s="202"/>
      <c r="T80" s="202"/>
    </row>
    <row r="81" spans="1:20" s="182" customFormat="1" ht="15.75" hidden="1" customHeight="1">
      <c r="A81" s="468">
        <v>45303</v>
      </c>
      <c r="B81" s="208" t="s">
        <v>203</v>
      </c>
      <c r="C81" s="208" t="s">
        <v>27</v>
      </c>
      <c r="D81" s="211">
        <f>-657400/2</f>
        <v>-328700</v>
      </c>
      <c r="E81" s="212">
        <v>45292</v>
      </c>
      <c r="F81" s="208" t="s">
        <v>130</v>
      </c>
      <c r="G81" s="208" t="s">
        <v>130</v>
      </c>
      <c r="H81" s="208" t="s">
        <v>182</v>
      </c>
      <c r="I81" s="592"/>
      <c r="J81" s="202"/>
      <c r="K81" s="202"/>
      <c r="L81" s="202"/>
      <c r="M81" s="202"/>
      <c r="N81" s="202"/>
      <c r="O81" s="202"/>
      <c r="P81" s="202"/>
      <c r="Q81" s="202"/>
      <c r="R81" s="202"/>
      <c r="S81" s="202"/>
      <c r="T81" s="202"/>
    </row>
    <row r="82" spans="1:20" s="182" customFormat="1" ht="15.75" hidden="1" customHeight="1">
      <c r="A82" s="468">
        <v>45303</v>
      </c>
      <c r="B82" s="208" t="s">
        <v>204</v>
      </c>
      <c r="C82" s="208" t="s">
        <v>27</v>
      </c>
      <c r="D82" s="211">
        <f>-1387900/2</f>
        <v>-693950</v>
      </c>
      <c r="E82" s="212">
        <v>45292</v>
      </c>
      <c r="F82" s="208" t="s">
        <v>109</v>
      </c>
      <c r="G82" s="208" t="s">
        <v>120</v>
      </c>
      <c r="H82" s="208"/>
      <c r="I82" s="592"/>
      <c r="J82" s="202"/>
      <c r="K82" s="202"/>
      <c r="L82" s="202"/>
      <c r="M82" s="202"/>
      <c r="N82" s="202"/>
      <c r="O82" s="202"/>
      <c r="P82" s="202"/>
      <c r="Q82" s="202"/>
      <c r="R82" s="202"/>
      <c r="S82" s="202"/>
      <c r="T82" s="202"/>
    </row>
    <row r="83" spans="1:20" s="182" customFormat="1" ht="15.75" hidden="1" customHeight="1">
      <c r="A83" s="468">
        <v>45303</v>
      </c>
      <c r="B83" s="208" t="s">
        <v>204</v>
      </c>
      <c r="C83" s="208" t="s">
        <v>27</v>
      </c>
      <c r="D83" s="211">
        <f>-1387900/2</f>
        <v>-693950</v>
      </c>
      <c r="E83" s="212">
        <v>45292</v>
      </c>
      <c r="F83" s="208" t="s">
        <v>130</v>
      </c>
      <c r="G83" s="208" t="s">
        <v>130</v>
      </c>
      <c r="H83" s="208" t="s">
        <v>182</v>
      </c>
      <c r="I83" s="291"/>
      <c r="J83" s="202"/>
      <c r="K83" s="202"/>
      <c r="L83" s="202"/>
      <c r="M83" s="202"/>
      <c r="N83" s="202"/>
      <c r="O83" s="202"/>
      <c r="P83" s="202"/>
      <c r="Q83" s="202"/>
      <c r="R83" s="202"/>
      <c r="S83" s="202"/>
      <c r="T83" s="202"/>
    </row>
    <row r="84" spans="1:20" s="182" customFormat="1" ht="15.75" hidden="1" customHeight="1">
      <c r="A84" s="468">
        <v>45303</v>
      </c>
      <c r="B84" s="208" t="s">
        <v>205</v>
      </c>
      <c r="C84" s="208" t="s">
        <v>27</v>
      </c>
      <c r="D84" s="211">
        <f>-657400/2</f>
        <v>-328700</v>
      </c>
      <c r="E84" s="212">
        <v>45292</v>
      </c>
      <c r="F84" s="208" t="s">
        <v>130</v>
      </c>
      <c r="G84" s="208" t="s">
        <v>130</v>
      </c>
      <c r="H84" s="208" t="s">
        <v>182</v>
      </c>
      <c r="I84" s="592"/>
      <c r="J84" s="589"/>
      <c r="K84" s="202"/>
      <c r="L84" s="202"/>
      <c r="M84" s="202"/>
      <c r="N84" s="202"/>
      <c r="O84" s="202"/>
      <c r="P84" s="202"/>
      <c r="Q84" s="202"/>
      <c r="R84" s="202"/>
      <c r="S84" s="202"/>
      <c r="T84" s="202"/>
    </row>
    <row r="85" spans="1:20" s="182" customFormat="1" ht="15.75" hidden="1" customHeight="1">
      <c r="A85" s="468">
        <v>45303</v>
      </c>
      <c r="B85" s="208" t="s">
        <v>205</v>
      </c>
      <c r="C85" s="208" t="s">
        <v>27</v>
      </c>
      <c r="D85" s="211">
        <f>-657400/2</f>
        <v>-328700</v>
      </c>
      <c r="E85" s="212">
        <v>45292</v>
      </c>
      <c r="F85" s="208" t="s">
        <v>109</v>
      </c>
      <c r="G85" s="208" t="s">
        <v>170</v>
      </c>
      <c r="H85" s="208" t="s">
        <v>147</v>
      </c>
      <c r="I85" s="592"/>
      <c r="J85" s="565"/>
      <c r="K85" s="202"/>
      <c r="L85" s="202"/>
      <c r="M85" s="202"/>
      <c r="N85" s="202"/>
      <c r="O85" s="202"/>
      <c r="P85" s="202"/>
      <c r="Q85" s="202"/>
      <c r="R85" s="202"/>
      <c r="S85" s="202"/>
      <c r="T85" s="202"/>
    </row>
    <row r="86" spans="1:20" s="182" customFormat="1" ht="15.75" hidden="1" customHeight="1">
      <c r="A86" s="468">
        <v>45303</v>
      </c>
      <c r="B86" s="208" t="s">
        <v>206</v>
      </c>
      <c r="C86" s="208" t="s">
        <v>27</v>
      </c>
      <c r="D86" s="211">
        <v>-144244</v>
      </c>
      <c r="E86" s="212">
        <v>45292</v>
      </c>
      <c r="F86" s="208" t="s">
        <v>207</v>
      </c>
      <c r="G86" s="208"/>
      <c r="H86" s="208"/>
      <c r="I86" s="291"/>
      <c r="J86" s="202" t="s">
        <v>208</v>
      </c>
      <c r="K86" s="202"/>
      <c r="L86" s="202"/>
      <c r="M86" s="202"/>
      <c r="N86" s="202"/>
      <c r="O86" s="202"/>
      <c r="P86" s="202"/>
      <c r="Q86" s="202"/>
      <c r="R86" s="202"/>
      <c r="S86" s="202"/>
      <c r="T86" s="202"/>
    </row>
    <row r="87" spans="1:20" s="182" customFormat="1" ht="15.75" hidden="1" customHeight="1">
      <c r="A87" s="468">
        <v>45303</v>
      </c>
      <c r="B87" s="208" t="s">
        <v>209</v>
      </c>
      <c r="C87" s="208" t="s">
        <v>27</v>
      </c>
      <c r="D87" s="211">
        <v>-183000</v>
      </c>
      <c r="E87" s="212">
        <v>45292</v>
      </c>
      <c r="F87" s="208" t="s">
        <v>210</v>
      </c>
      <c r="G87" s="208"/>
      <c r="H87" s="208"/>
      <c r="I87" s="593"/>
      <c r="J87" s="202"/>
      <c r="K87" s="565"/>
      <c r="L87" s="202"/>
      <c r="M87" s="202"/>
      <c r="N87" s="202"/>
      <c r="O87" s="202"/>
      <c r="P87" s="202"/>
      <c r="Q87" s="202"/>
      <c r="R87" s="202"/>
      <c r="S87" s="202"/>
      <c r="T87" s="202"/>
    </row>
    <row r="88" spans="1:20" s="182" customFormat="1" ht="15.75" hidden="1" customHeight="1">
      <c r="A88" s="468">
        <v>45303</v>
      </c>
      <c r="B88" s="208" t="s">
        <v>209</v>
      </c>
      <c r="C88" s="208" t="s">
        <v>27</v>
      </c>
      <c r="D88" s="211">
        <v>-40182000</v>
      </c>
      <c r="E88" s="212">
        <v>45292</v>
      </c>
      <c r="F88" s="208" t="s">
        <v>210</v>
      </c>
      <c r="G88" s="208"/>
      <c r="H88" s="208"/>
      <c r="I88" s="201"/>
      <c r="J88" s="202"/>
      <c r="K88" s="565"/>
      <c r="L88" s="202"/>
      <c r="M88" s="202"/>
      <c r="N88" s="202"/>
      <c r="O88" s="202"/>
      <c r="P88" s="202"/>
      <c r="Q88" s="202"/>
      <c r="R88" s="202"/>
      <c r="S88" s="202"/>
      <c r="T88" s="202"/>
    </row>
    <row r="89" spans="1:20" s="182" customFormat="1" ht="15.75" hidden="1" customHeight="1">
      <c r="A89" s="468">
        <v>45303</v>
      </c>
      <c r="B89" s="208" t="s">
        <v>209</v>
      </c>
      <c r="C89" s="208" t="s">
        <v>27</v>
      </c>
      <c r="D89" s="211">
        <v>-541000</v>
      </c>
      <c r="E89" s="212">
        <v>45292</v>
      </c>
      <c r="F89" s="208" t="s">
        <v>210</v>
      </c>
      <c r="G89" s="208"/>
      <c r="H89" s="208"/>
      <c r="I89" s="201"/>
      <c r="J89" s="202"/>
      <c r="K89" s="202"/>
      <c r="L89" s="202"/>
      <c r="M89" s="202"/>
      <c r="N89" s="202"/>
      <c r="O89" s="202"/>
      <c r="P89" s="202"/>
      <c r="Q89" s="202"/>
      <c r="R89" s="202"/>
      <c r="S89" s="202"/>
      <c r="T89" s="202"/>
    </row>
    <row r="90" spans="1:20" s="182" customFormat="1" ht="15.75" hidden="1" customHeight="1">
      <c r="A90" s="468">
        <v>45303</v>
      </c>
      <c r="B90" s="208" t="s">
        <v>211</v>
      </c>
      <c r="C90" s="208" t="s">
        <v>27</v>
      </c>
      <c r="D90" s="211">
        <v>-380000</v>
      </c>
      <c r="E90" s="212">
        <v>45292</v>
      </c>
      <c r="F90" s="208" t="s">
        <v>109</v>
      </c>
      <c r="G90" s="208" t="s">
        <v>170</v>
      </c>
      <c r="H90" s="208" t="s">
        <v>212</v>
      </c>
      <c r="I90" s="201"/>
      <c r="J90" s="202"/>
      <c r="K90" s="202"/>
      <c r="L90" s="202"/>
      <c r="M90" s="202"/>
      <c r="N90" s="202"/>
      <c r="O90" s="202"/>
      <c r="P90" s="202"/>
      <c r="Q90" s="202"/>
      <c r="R90" s="202"/>
      <c r="S90" s="202"/>
      <c r="T90" s="202"/>
    </row>
    <row r="91" spans="1:20" s="182" customFormat="1" ht="15.75" hidden="1" customHeight="1">
      <c r="A91" s="468">
        <v>45303</v>
      </c>
      <c r="B91" s="208" t="s">
        <v>213</v>
      </c>
      <c r="C91" s="208" t="s">
        <v>27</v>
      </c>
      <c r="D91" s="211">
        <v>-50000000</v>
      </c>
      <c r="E91" s="212">
        <v>45292</v>
      </c>
      <c r="F91" s="84" t="s">
        <v>111</v>
      </c>
      <c r="G91" s="208"/>
      <c r="H91" s="208"/>
      <c r="I91" s="201"/>
      <c r="J91" s="202"/>
      <c r="K91" s="202"/>
      <c r="L91" s="202"/>
      <c r="M91" s="202"/>
      <c r="N91" s="202"/>
      <c r="O91" s="202"/>
      <c r="P91" s="202"/>
      <c r="Q91" s="202"/>
      <c r="R91" s="202"/>
      <c r="S91" s="202"/>
      <c r="T91" s="202"/>
    </row>
    <row r="92" spans="1:20" s="182" customFormat="1" ht="15.75" hidden="1" customHeight="1">
      <c r="A92" s="468">
        <v>45303</v>
      </c>
      <c r="B92" s="208" t="s">
        <v>214</v>
      </c>
      <c r="C92" s="208" t="s">
        <v>27</v>
      </c>
      <c r="D92" s="211">
        <v>-575601</v>
      </c>
      <c r="E92" s="212">
        <v>45292</v>
      </c>
      <c r="F92" s="208" t="s">
        <v>109</v>
      </c>
      <c r="G92" s="208" t="s">
        <v>120</v>
      </c>
      <c r="H92" s="208"/>
      <c r="I92" s="594"/>
      <c r="J92" s="202"/>
      <c r="K92" s="202"/>
      <c r="L92" s="202"/>
      <c r="M92" s="202"/>
      <c r="N92" s="202"/>
      <c r="O92" s="202"/>
      <c r="P92" s="202"/>
      <c r="Q92" s="202"/>
      <c r="R92" s="202"/>
      <c r="S92" s="202"/>
      <c r="T92" s="202"/>
    </row>
    <row r="93" spans="1:20" s="182" customFormat="1" ht="15.75" hidden="1" customHeight="1">
      <c r="A93" s="468">
        <v>45303</v>
      </c>
      <c r="B93" s="223" t="s">
        <v>215</v>
      </c>
      <c r="C93" s="208" t="s">
        <v>146</v>
      </c>
      <c r="D93" s="211">
        <v>-20000</v>
      </c>
      <c r="E93" s="212">
        <v>45292</v>
      </c>
      <c r="F93" s="208" t="s">
        <v>109</v>
      </c>
      <c r="G93" s="208" t="s">
        <v>170</v>
      </c>
      <c r="H93" s="81" t="s">
        <v>138</v>
      </c>
      <c r="I93" s="201" t="s">
        <v>173</v>
      </c>
      <c r="J93" s="202"/>
      <c r="K93" s="202"/>
      <c r="L93" s="202"/>
      <c r="M93" s="202"/>
      <c r="N93" s="202"/>
      <c r="O93" s="202"/>
      <c r="P93" s="202"/>
      <c r="Q93" s="202"/>
      <c r="R93" s="202"/>
      <c r="S93" s="202"/>
      <c r="T93" s="202"/>
    </row>
    <row r="94" spans="1:20" s="182" customFormat="1" ht="15.75" hidden="1" customHeight="1">
      <c r="A94" s="468">
        <v>45303</v>
      </c>
      <c r="B94" s="223" t="s">
        <v>216</v>
      </c>
      <c r="C94" s="208" t="s">
        <v>146</v>
      </c>
      <c r="D94" s="211">
        <v>-20000</v>
      </c>
      <c r="E94" s="212">
        <v>45292</v>
      </c>
      <c r="F94" s="208" t="s">
        <v>109</v>
      </c>
      <c r="G94" s="208" t="s">
        <v>170</v>
      </c>
      <c r="H94" s="81" t="s">
        <v>138</v>
      </c>
      <c r="I94" s="201" t="s">
        <v>173</v>
      </c>
      <c r="J94" s="202"/>
      <c r="K94" s="202"/>
      <c r="L94" s="202"/>
      <c r="M94" s="202"/>
      <c r="N94" s="202"/>
      <c r="O94" s="202"/>
      <c r="P94" s="202"/>
      <c r="Q94" s="202"/>
      <c r="R94" s="202"/>
      <c r="S94" s="202"/>
      <c r="T94" s="202"/>
    </row>
    <row r="95" spans="1:20" s="182" customFormat="1" ht="15.75" hidden="1" customHeight="1">
      <c r="A95" s="468">
        <v>45303</v>
      </c>
      <c r="B95" s="223" t="s">
        <v>217</v>
      </c>
      <c r="C95" s="208" t="s">
        <v>146</v>
      </c>
      <c r="D95" s="211">
        <v>-14900</v>
      </c>
      <c r="E95" s="212">
        <v>45292</v>
      </c>
      <c r="F95" s="208" t="s">
        <v>130</v>
      </c>
      <c r="G95" s="208" t="s">
        <v>130</v>
      </c>
      <c r="H95" s="208" t="s">
        <v>184</v>
      </c>
      <c r="I95" s="201"/>
      <c r="J95" s="202"/>
      <c r="K95" s="202"/>
      <c r="L95" s="202"/>
      <c r="M95" s="202"/>
      <c r="N95" s="202"/>
      <c r="O95" s="202"/>
      <c r="P95" s="202"/>
      <c r="Q95" s="202"/>
      <c r="R95" s="202"/>
      <c r="S95" s="202"/>
      <c r="T95" s="202"/>
    </row>
    <row r="96" spans="1:20" s="182" customFormat="1" ht="15.75" hidden="1" customHeight="1">
      <c r="A96" s="468">
        <v>45303</v>
      </c>
      <c r="B96" s="208" t="s">
        <v>218</v>
      </c>
      <c r="C96" s="208" t="s">
        <v>27</v>
      </c>
      <c r="D96" s="211">
        <v>-1295434</v>
      </c>
      <c r="E96" s="212">
        <v>45292</v>
      </c>
      <c r="F96" s="84" t="s">
        <v>111</v>
      </c>
      <c r="G96" s="208"/>
      <c r="H96" s="208"/>
      <c r="I96" s="594"/>
      <c r="J96" s="202"/>
      <c r="K96" s="202"/>
      <c r="L96" s="202"/>
      <c r="M96" s="202"/>
      <c r="N96" s="202"/>
      <c r="O96" s="202"/>
      <c r="P96" s="202"/>
      <c r="Q96" s="202"/>
      <c r="R96" s="202"/>
      <c r="S96" s="202"/>
      <c r="T96" s="202"/>
    </row>
    <row r="97" spans="1:20" s="182" customFormat="1" ht="15.75" hidden="1" customHeight="1">
      <c r="A97" s="468">
        <v>45303</v>
      </c>
      <c r="B97" s="223" t="s">
        <v>219</v>
      </c>
      <c r="C97" s="208" t="s">
        <v>146</v>
      </c>
      <c r="D97" s="211">
        <v>-111500</v>
      </c>
      <c r="E97" s="212">
        <v>45292</v>
      </c>
      <c r="F97" s="208" t="s">
        <v>109</v>
      </c>
      <c r="G97" s="208" t="s">
        <v>120</v>
      </c>
      <c r="H97" s="208" t="s">
        <v>175</v>
      </c>
      <c r="I97" s="201"/>
      <c r="J97" s="202"/>
      <c r="K97" s="202"/>
      <c r="L97" s="202"/>
      <c r="M97" s="202"/>
      <c r="N97" s="202"/>
      <c r="O97" s="202"/>
      <c r="P97" s="202"/>
      <c r="Q97" s="202"/>
      <c r="R97" s="202"/>
      <c r="S97" s="202"/>
      <c r="T97" s="202"/>
    </row>
    <row r="98" spans="1:20" s="182" customFormat="1" ht="15.75" hidden="1" customHeight="1">
      <c r="A98" s="595">
        <v>45303</v>
      </c>
      <c r="B98" s="208" t="s">
        <v>220</v>
      </c>
      <c r="C98" s="208" t="s">
        <v>27</v>
      </c>
      <c r="D98" s="211">
        <v>-375600</v>
      </c>
      <c r="E98" s="212">
        <v>45292</v>
      </c>
      <c r="F98" s="208" t="s">
        <v>109</v>
      </c>
      <c r="G98" s="208" t="s">
        <v>120</v>
      </c>
      <c r="H98" s="208"/>
      <c r="I98" s="201"/>
      <c r="J98" s="202"/>
      <c r="K98" s="202"/>
      <c r="L98" s="202"/>
      <c r="M98" s="202"/>
      <c r="N98" s="202"/>
      <c r="O98" s="202"/>
      <c r="P98" s="202"/>
      <c r="Q98" s="202"/>
      <c r="R98" s="202"/>
      <c r="S98" s="202"/>
      <c r="T98" s="202"/>
    </row>
    <row r="99" spans="1:20" s="182" customFormat="1" ht="15.75" hidden="1" customHeight="1">
      <c r="A99" s="595">
        <v>45303</v>
      </c>
      <c r="B99" s="223" t="s">
        <v>221</v>
      </c>
      <c r="C99" s="208" t="s">
        <v>133</v>
      </c>
      <c r="D99" s="211">
        <v>-27915</v>
      </c>
      <c r="E99" s="212">
        <v>45292</v>
      </c>
      <c r="F99" s="84" t="s">
        <v>111</v>
      </c>
      <c r="G99" s="208"/>
      <c r="H99" s="208"/>
      <c r="I99" s="291"/>
      <c r="J99" s="202"/>
      <c r="K99" s="202"/>
      <c r="L99" s="202"/>
      <c r="M99" s="202"/>
      <c r="N99" s="202"/>
      <c r="O99" s="202"/>
      <c r="P99" s="202"/>
      <c r="Q99" s="202"/>
      <c r="R99" s="202"/>
      <c r="S99" s="202"/>
      <c r="T99" s="202"/>
    </row>
    <row r="100" spans="1:20" s="182" customFormat="1" ht="15.75" hidden="1" customHeight="1">
      <c r="A100" s="595">
        <v>45303</v>
      </c>
      <c r="B100" s="223" t="s">
        <v>222</v>
      </c>
      <c r="C100" s="208" t="s">
        <v>146</v>
      </c>
      <c r="D100" s="211">
        <v>-35136</v>
      </c>
      <c r="E100" s="212">
        <v>45292</v>
      </c>
      <c r="F100" s="208" t="s">
        <v>109</v>
      </c>
      <c r="G100" s="208" t="s">
        <v>170</v>
      </c>
      <c r="H100" s="208" t="s">
        <v>175</v>
      </c>
      <c r="I100" s="201"/>
      <c r="J100" s="202"/>
      <c r="K100" s="202"/>
      <c r="L100" s="202"/>
      <c r="M100" s="202"/>
      <c r="N100" s="202"/>
      <c r="O100" s="202"/>
      <c r="P100" s="202"/>
      <c r="Q100" s="202"/>
      <c r="R100" s="202"/>
      <c r="S100" s="202"/>
      <c r="T100" s="202"/>
    </row>
    <row r="101" spans="1:20" s="182" customFormat="1" ht="15.75" hidden="1" customHeight="1">
      <c r="A101" s="595">
        <v>45303</v>
      </c>
      <c r="B101" s="223" t="s">
        <v>223</v>
      </c>
      <c r="C101" s="208" t="s">
        <v>146</v>
      </c>
      <c r="D101" s="211">
        <v>-6000</v>
      </c>
      <c r="E101" s="212">
        <v>45292</v>
      </c>
      <c r="F101" s="208" t="s">
        <v>109</v>
      </c>
      <c r="G101" s="208" t="s">
        <v>170</v>
      </c>
      <c r="H101" s="81" t="s">
        <v>138</v>
      </c>
      <c r="I101" s="201" t="s">
        <v>173</v>
      </c>
      <c r="J101" s="202"/>
      <c r="K101" s="202"/>
      <c r="L101" s="202"/>
      <c r="M101" s="202"/>
      <c r="N101" s="202"/>
      <c r="O101" s="202"/>
      <c r="P101" s="202"/>
      <c r="Q101" s="202"/>
      <c r="R101" s="202"/>
      <c r="S101" s="202"/>
      <c r="T101" s="202"/>
    </row>
    <row r="102" spans="1:20" s="182" customFormat="1" ht="15.75" hidden="1" customHeight="1">
      <c r="A102" s="595">
        <v>45303</v>
      </c>
      <c r="B102" s="223" t="s">
        <v>224</v>
      </c>
      <c r="C102" s="208" t="s">
        <v>146</v>
      </c>
      <c r="D102" s="211">
        <v>-6000</v>
      </c>
      <c r="E102" s="212">
        <v>45292</v>
      </c>
      <c r="F102" s="208" t="s">
        <v>109</v>
      </c>
      <c r="G102" s="208" t="s">
        <v>120</v>
      </c>
      <c r="H102" s="81" t="s">
        <v>138</v>
      </c>
      <c r="I102" s="201" t="s">
        <v>173</v>
      </c>
      <c r="J102" s="202"/>
      <c r="K102" s="202"/>
      <c r="L102" s="202"/>
      <c r="M102" s="202"/>
      <c r="N102" s="202"/>
      <c r="O102" s="202"/>
      <c r="P102" s="202"/>
      <c r="Q102" s="202"/>
      <c r="R102" s="202"/>
      <c r="S102" s="202"/>
      <c r="T102" s="202"/>
    </row>
    <row r="103" spans="1:20" s="182" customFormat="1" ht="15.75" hidden="1" customHeight="1">
      <c r="A103" s="595">
        <v>45303</v>
      </c>
      <c r="B103" s="223" t="s">
        <v>225</v>
      </c>
      <c r="C103" s="208" t="s">
        <v>146</v>
      </c>
      <c r="D103" s="211">
        <v>-10000</v>
      </c>
      <c r="E103" s="212">
        <v>45292</v>
      </c>
      <c r="F103" s="208" t="s">
        <v>130</v>
      </c>
      <c r="G103" s="208" t="s">
        <v>130</v>
      </c>
      <c r="H103" s="81" t="s">
        <v>138</v>
      </c>
      <c r="I103" s="201" t="s">
        <v>173</v>
      </c>
      <c r="J103" s="202"/>
      <c r="K103" s="202"/>
      <c r="L103" s="202"/>
      <c r="M103" s="202"/>
      <c r="N103" s="202"/>
      <c r="O103" s="202"/>
      <c r="P103" s="202"/>
      <c r="Q103" s="202"/>
      <c r="R103" s="202"/>
      <c r="S103" s="202"/>
      <c r="T103" s="202"/>
    </row>
    <row r="104" spans="1:20" s="182" customFormat="1" ht="15.75" hidden="1" customHeight="1">
      <c r="A104" s="595">
        <v>45303</v>
      </c>
      <c r="B104" s="223" t="s">
        <v>226</v>
      </c>
      <c r="C104" s="208" t="s">
        <v>146</v>
      </c>
      <c r="D104" s="211">
        <v>-6000</v>
      </c>
      <c r="E104" s="212">
        <v>45292</v>
      </c>
      <c r="F104" s="208" t="s">
        <v>110</v>
      </c>
      <c r="G104" s="81" t="s">
        <v>227</v>
      </c>
      <c r="H104" s="81" t="s">
        <v>138</v>
      </c>
      <c r="I104" s="201" t="s">
        <v>173</v>
      </c>
      <c r="J104" s="202"/>
      <c r="K104" s="202"/>
      <c r="L104" s="202"/>
      <c r="M104" s="202"/>
      <c r="N104" s="202"/>
      <c r="O104" s="202"/>
      <c r="P104" s="202"/>
      <c r="Q104" s="202"/>
      <c r="R104" s="202"/>
      <c r="S104" s="202"/>
      <c r="T104" s="202"/>
    </row>
    <row r="105" spans="1:20" s="182" customFormat="1" ht="15.75" hidden="1" customHeight="1">
      <c r="A105" s="595">
        <v>45303</v>
      </c>
      <c r="B105" s="223" t="s">
        <v>228</v>
      </c>
      <c r="C105" s="208" t="s">
        <v>146</v>
      </c>
      <c r="D105" s="211">
        <v>-6200</v>
      </c>
      <c r="E105" s="212">
        <v>45292</v>
      </c>
      <c r="F105" s="208" t="s">
        <v>109</v>
      </c>
      <c r="G105" s="208" t="s">
        <v>137</v>
      </c>
      <c r="H105" s="81" t="s">
        <v>138</v>
      </c>
      <c r="I105" s="201" t="s">
        <v>173</v>
      </c>
      <c r="J105" s="202"/>
      <c r="K105" s="202"/>
      <c r="L105" s="202"/>
      <c r="M105" s="202"/>
      <c r="N105" s="202"/>
      <c r="O105" s="202"/>
      <c r="P105" s="202"/>
      <c r="Q105" s="202"/>
      <c r="R105" s="202"/>
      <c r="S105" s="202"/>
      <c r="T105" s="202"/>
    </row>
    <row r="106" spans="1:20" s="182" customFormat="1" ht="15.75" hidden="1" customHeight="1">
      <c r="A106" s="595">
        <v>45303</v>
      </c>
      <c r="B106" s="223" t="s">
        <v>229</v>
      </c>
      <c r="C106" s="208" t="s">
        <v>146</v>
      </c>
      <c r="D106" s="211">
        <v>-6000</v>
      </c>
      <c r="E106" s="212">
        <v>45292</v>
      </c>
      <c r="F106" s="208" t="s">
        <v>110</v>
      </c>
      <c r="G106" s="81" t="s">
        <v>227</v>
      </c>
      <c r="H106" s="81" t="s">
        <v>138</v>
      </c>
      <c r="I106" s="201" t="s">
        <v>173</v>
      </c>
      <c r="J106" s="202"/>
      <c r="K106" s="202"/>
      <c r="L106" s="202"/>
      <c r="M106" s="202"/>
      <c r="N106" s="202"/>
      <c r="O106" s="202"/>
      <c r="P106" s="202"/>
      <c r="Q106" s="202"/>
      <c r="R106" s="202"/>
      <c r="S106" s="202"/>
      <c r="T106" s="202"/>
    </row>
    <row r="107" spans="1:20" s="182" customFormat="1" ht="15.75" hidden="1" customHeight="1">
      <c r="A107" s="596">
        <v>45304</v>
      </c>
      <c r="B107" s="208" t="s">
        <v>230</v>
      </c>
      <c r="C107" s="208" t="s">
        <v>146</v>
      </c>
      <c r="D107" s="211">
        <v>-110200</v>
      </c>
      <c r="E107" s="212">
        <v>45292</v>
      </c>
      <c r="F107" s="208" t="s">
        <v>109</v>
      </c>
      <c r="G107" s="208" t="s">
        <v>120</v>
      </c>
      <c r="H107" s="208" t="s">
        <v>175</v>
      </c>
      <c r="I107" s="201"/>
      <c r="J107" s="589"/>
      <c r="K107" s="289"/>
      <c r="L107" s="289"/>
      <c r="M107" s="289"/>
      <c r="N107" s="289"/>
      <c r="O107" s="289"/>
      <c r="P107" s="289"/>
      <c r="Q107" s="289"/>
      <c r="R107" s="289"/>
      <c r="S107" s="289"/>
      <c r="T107" s="289"/>
    </row>
    <row r="108" spans="1:20" s="182" customFormat="1" ht="15.75" hidden="1" customHeight="1">
      <c r="A108" s="597">
        <v>45304</v>
      </c>
      <c r="B108" s="208" t="s">
        <v>231</v>
      </c>
      <c r="C108" s="208" t="s">
        <v>141</v>
      </c>
      <c r="D108" s="211">
        <v>-331124.09999999998</v>
      </c>
      <c r="E108" s="212">
        <v>45292</v>
      </c>
      <c r="F108" s="208" t="s">
        <v>130</v>
      </c>
      <c r="G108" s="208" t="s">
        <v>130</v>
      </c>
      <c r="H108" s="208" t="s">
        <v>143</v>
      </c>
      <c r="I108" s="291"/>
      <c r="J108" s="589"/>
      <c r="K108" s="289"/>
      <c r="L108" s="289"/>
      <c r="M108" s="289"/>
      <c r="N108" s="289"/>
      <c r="O108" s="289"/>
      <c r="P108" s="289"/>
      <c r="Q108" s="289"/>
      <c r="R108" s="289"/>
      <c r="S108" s="289"/>
      <c r="T108" s="289"/>
    </row>
    <row r="109" spans="1:20" s="182" customFormat="1" ht="15.75" hidden="1" customHeight="1">
      <c r="A109" s="596">
        <v>45304</v>
      </c>
      <c r="B109" s="208" t="s">
        <v>232</v>
      </c>
      <c r="C109" s="208" t="s">
        <v>146</v>
      </c>
      <c r="D109" s="211">
        <v>-60000</v>
      </c>
      <c r="E109" s="212">
        <v>45292</v>
      </c>
      <c r="F109" s="208" t="s">
        <v>109</v>
      </c>
      <c r="G109" s="208" t="s">
        <v>120</v>
      </c>
      <c r="H109" s="208"/>
      <c r="I109" s="201"/>
      <c r="J109" s="589"/>
      <c r="K109" s="202"/>
      <c r="L109" s="202"/>
      <c r="M109" s="202"/>
      <c r="N109" s="202"/>
      <c r="O109" s="202"/>
      <c r="P109" s="202"/>
      <c r="Q109" s="202"/>
      <c r="R109" s="202"/>
      <c r="S109" s="202"/>
      <c r="T109" s="202"/>
    </row>
    <row r="110" spans="1:20" s="182" customFormat="1" ht="15.75" hidden="1" customHeight="1">
      <c r="A110" s="598">
        <v>45304</v>
      </c>
      <c r="B110" s="208" t="s">
        <v>233</v>
      </c>
      <c r="C110" s="208" t="s">
        <v>146</v>
      </c>
      <c r="D110" s="211">
        <v>-20000</v>
      </c>
      <c r="E110" s="212">
        <v>45292</v>
      </c>
      <c r="F110" s="208" t="s">
        <v>109</v>
      </c>
      <c r="G110" s="208" t="s">
        <v>120</v>
      </c>
      <c r="H110" s="208" t="s">
        <v>175</v>
      </c>
      <c r="I110" s="201" t="s">
        <v>173</v>
      </c>
      <c r="J110" s="589"/>
      <c r="K110" s="289"/>
      <c r="L110" s="289"/>
      <c r="M110" s="289"/>
      <c r="N110" s="289"/>
      <c r="O110" s="289"/>
      <c r="P110" s="289"/>
      <c r="Q110" s="289"/>
      <c r="R110" s="289"/>
      <c r="S110" s="289"/>
      <c r="T110" s="289"/>
    </row>
    <row r="111" spans="1:20" s="182" customFormat="1" ht="15.75" hidden="1" customHeight="1">
      <c r="A111" s="598">
        <v>45304</v>
      </c>
      <c r="B111" s="208" t="s">
        <v>234</v>
      </c>
      <c r="C111" s="208" t="s">
        <v>146</v>
      </c>
      <c r="D111" s="211">
        <v>-65400</v>
      </c>
      <c r="E111" s="212">
        <v>45292</v>
      </c>
      <c r="F111" s="208" t="s">
        <v>109</v>
      </c>
      <c r="G111" s="208" t="s">
        <v>120</v>
      </c>
      <c r="H111" s="208" t="s">
        <v>175</v>
      </c>
      <c r="I111" s="201"/>
      <c r="J111" s="589"/>
      <c r="K111" s="289"/>
      <c r="L111" s="289"/>
      <c r="M111" s="289"/>
      <c r="N111" s="289"/>
      <c r="O111" s="289"/>
      <c r="P111" s="289"/>
      <c r="Q111" s="289"/>
      <c r="R111" s="289"/>
      <c r="S111" s="289"/>
      <c r="T111" s="289"/>
    </row>
    <row r="112" spans="1:20" s="182" customFormat="1" ht="15.75" hidden="1" customHeight="1">
      <c r="A112" s="598">
        <v>45304</v>
      </c>
      <c r="B112" s="201" t="s">
        <v>235</v>
      </c>
      <c r="C112" s="208" t="s">
        <v>146</v>
      </c>
      <c r="D112" s="291">
        <v>-20000</v>
      </c>
      <c r="E112" s="212">
        <v>45292</v>
      </c>
      <c r="F112" s="208" t="s">
        <v>109</v>
      </c>
      <c r="G112" s="208" t="s">
        <v>170</v>
      </c>
      <c r="H112" s="81" t="s">
        <v>138</v>
      </c>
      <c r="I112" s="201" t="s">
        <v>173</v>
      </c>
      <c r="J112" s="565"/>
      <c r="K112" s="202"/>
      <c r="L112" s="202"/>
      <c r="M112" s="202"/>
      <c r="N112" s="202"/>
      <c r="O112" s="202"/>
      <c r="P112" s="202"/>
      <c r="Q112" s="202"/>
      <c r="R112" s="202"/>
      <c r="S112" s="202"/>
      <c r="T112" s="202"/>
    </row>
    <row r="113" spans="1:20" s="182" customFormat="1" ht="15.75" hidden="1" customHeight="1">
      <c r="A113" s="598">
        <v>45304</v>
      </c>
      <c r="B113" s="208" t="s">
        <v>236</v>
      </c>
      <c r="C113" s="208" t="s">
        <v>146</v>
      </c>
      <c r="D113" s="211">
        <v>-76000</v>
      </c>
      <c r="E113" s="212">
        <v>45292</v>
      </c>
      <c r="F113" s="208" t="s">
        <v>109</v>
      </c>
      <c r="G113" s="208" t="s">
        <v>120</v>
      </c>
      <c r="H113" s="208" t="s">
        <v>175</v>
      </c>
      <c r="I113" s="201"/>
      <c r="J113" s="565"/>
      <c r="K113" s="202"/>
      <c r="L113" s="202"/>
      <c r="M113" s="202"/>
      <c r="N113" s="202"/>
      <c r="O113" s="202"/>
      <c r="P113" s="202"/>
      <c r="Q113" s="202"/>
      <c r="R113" s="202"/>
      <c r="S113" s="202"/>
      <c r="T113" s="202"/>
    </row>
    <row r="114" spans="1:20" s="182" customFormat="1" ht="15.75" hidden="1" customHeight="1">
      <c r="A114" s="599">
        <v>45305</v>
      </c>
      <c r="B114" s="201" t="s">
        <v>237</v>
      </c>
      <c r="C114" s="208" t="s">
        <v>27</v>
      </c>
      <c r="D114" s="291">
        <v>-25000</v>
      </c>
      <c r="E114" s="212">
        <v>45292</v>
      </c>
      <c r="F114" s="291" t="s">
        <v>109</v>
      </c>
      <c r="G114" s="208" t="s">
        <v>120</v>
      </c>
      <c r="H114" s="201"/>
      <c r="I114" s="201"/>
      <c r="J114" s="202"/>
      <c r="K114" s="202"/>
      <c r="L114" s="202"/>
      <c r="M114" s="202"/>
      <c r="N114" s="202"/>
      <c r="O114" s="202"/>
      <c r="P114" s="202"/>
      <c r="Q114" s="202"/>
      <c r="R114" s="202"/>
      <c r="S114" s="202"/>
      <c r="T114" s="202"/>
    </row>
    <row r="115" spans="1:20" s="182" customFormat="1" ht="15.75" hidden="1" customHeight="1">
      <c r="A115" s="222">
        <v>45305</v>
      </c>
      <c r="B115" s="201" t="s">
        <v>238</v>
      </c>
      <c r="C115" s="208" t="s">
        <v>27</v>
      </c>
      <c r="D115" s="291">
        <v>-25000</v>
      </c>
      <c r="E115" s="212">
        <v>45292</v>
      </c>
      <c r="F115" s="291" t="s">
        <v>130</v>
      </c>
      <c r="G115" s="208" t="s">
        <v>130</v>
      </c>
      <c r="H115" s="208" t="s">
        <v>143</v>
      </c>
      <c r="I115" s="201"/>
      <c r="J115" s="202"/>
      <c r="K115" s="202"/>
      <c r="L115" s="202"/>
      <c r="M115" s="202"/>
      <c r="N115" s="202"/>
      <c r="O115" s="202"/>
      <c r="P115" s="202"/>
      <c r="Q115" s="202"/>
      <c r="R115" s="202"/>
      <c r="S115" s="202"/>
      <c r="T115" s="202"/>
    </row>
    <row r="116" spans="1:20" s="182" customFormat="1" ht="15.75" hidden="1" customHeight="1">
      <c r="A116" s="222">
        <v>45305</v>
      </c>
      <c r="B116" s="201" t="s">
        <v>239</v>
      </c>
      <c r="C116" s="208" t="s">
        <v>27</v>
      </c>
      <c r="D116" s="291">
        <v>-8000</v>
      </c>
      <c r="E116" s="212">
        <v>45292</v>
      </c>
      <c r="F116" s="291" t="s">
        <v>130</v>
      </c>
      <c r="G116" s="208" t="s">
        <v>130</v>
      </c>
      <c r="H116" s="81" t="s">
        <v>138</v>
      </c>
      <c r="I116" s="201"/>
      <c r="J116" s="202"/>
      <c r="K116" s="202"/>
      <c r="L116" s="202"/>
      <c r="M116" s="202"/>
      <c r="N116" s="202"/>
      <c r="O116" s="202"/>
      <c r="P116" s="202"/>
      <c r="Q116" s="202"/>
      <c r="R116" s="202"/>
      <c r="S116" s="202"/>
      <c r="T116" s="202"/>
    </row>
    <row r="117" spans="1:20" s="182" customFormat="1" ht="15.75" hidden="1" customHeight="1">
      <c r="A117" s="598">
        <v>45306</v>
      </c>
      <c r="B117" s="208" t="s">
        <v>240</v>
      </c>
      <c r="C117" s="208" t="s">
        <v>146</v>
      </c>
      <c r="D117" s="211">
        <v>-155000</v>
      </c>
      <c r="E117" s="212">
        <v>45292</v>
      </c>
      <c r="F117" s="208" t="s">
        <v>109</v>
      </c>
      <c r="G117" s="208" t="s">
        <v>170</v>
      </c>
      <c r="H117" s="208" t="s">
        <v>175</v>
      </c>
      <c r="I117" s="201"/>
      <c r="J117" s="589"/>
      <c r="K117" s="289"/>
      <c r="L117" s="289"/>
      <c r="M117" s="289"/>
      <c r="N117" s="289"/>
      <c r="O117" s="289"/>
      <c r="P117" s="289"/>
      <c r="Q117" s="289"/>
      <c r="R117" s="289"/>
      <c r="S117" s="289"/>
      <c r="T117" s="289"/>
    </row>
    <row r="118" spans="1:20" s="182" customFormat="1" ht="15.65" hidden="1" customHeight="1">
      <c r="A118" s="222">
        <v>45306</v>
      </c>
      <c r="B118" s="208" t="s">
        <v>241</v>
      </c>
      <c r="C118" s="208" t="s">
        <v>146</v>
      </c>
      <c r="D118" s="211">
        <v>-119000</v>
      </c>
      <c r="E118" s="212">
        <v>45292</v>
      </c>
      <c r="F118" s="208" t="s">
        <v>207</v>
      </c>
      <c r="G118" s="208"/>
      <c r="H118" s="208"/>
      <c r="I118" s="291"/>
      <c r="J118" s="565"/>
      <c r="K118" s="202"/>
      <c r="L118" s="202"/>
      <c r="M118" s="202"/>
      <c r="N118" s="202"/>
      <c r="O118" s="202"/>
      <c r="P118" s="202"/>
      <c r="Q118" s="202"/>
      <c r="R118" s="202"/>
      <c r="S118" s="202"/>
      <c r="T118" s="202"/>
    </row>
    <row r="119" spans="1:20" s="182" customFormat="1" ht="15.75" hidden="1" customHeight="1">
      <c r="A119" s="468">
        <v>45306</v>
      </c>
      <c r="B119" s="208" t="s">
        <v>242</v>
      </c>
      <c r="C119" s="208" t="s">
        <v>27</v>
      </c>
      <c r="D119" s="211">
        <v>-8700000</v>
      </c>
      <c r="E119" s="212">
        <v>45292</v>
      </c>
      <c r="F119" s="208" t="s">
        <v>109</v>
      </c>
      <c r="G119" s="208" t="s">
        <v>120</v>
      </c>
      <c r="H119" s="208"/>
      <c r="I119" s="201"/>
      <c r="J119" s="565"/>
      <c r="K119" s="202"/>
      <c r="L119" s="202"/>
      <c r="M119" s="202"/>
      <c r="N119" s="202"/>
      <c r="O119" s="202"/>
      <c r="P119" s="202"/>
      <c r="Q119" s="202"/>
      <c r="R119" s="202"/>
      <c r="S119" s="202"/>
      <c r="T119" s="202"/>
    </row>
    <row r="120" spans="1:20" s="182" customFormat="1" ht="15.65" hidden="1" customHeight="1">
      <c r="A120" s="598">
        <v>45306</v>
      </c>
      <c r="B120" s="208" t="s">
        <v>243</v>
      </c>
      <c r="C120" s="208" t="s">
        <v>146</v>
      </c>
      <c r="D120" s="211">
        <v>-33000</v>
      </c>
      <c r="E120" s="212">
        <v>45292</v>
      </c>
      <c r="F120" s="208" t="s">
        <v>109</v>
      </c>
      <c r="G120" s="208" t="s">
        <v>170</v>
      </c>
      <c r="H120" s="208" t="s">
        <v>175</v>
      </c>
      <c r="I120" s="201"/>
      <c r="J120" s="589"/>
      <c r="K120" s="289"/>
      <c r="L120" s="289"/>
      <c r="M120" s="289"/>
      <c r="N120" s="289"/>
      <c r="O120" s="289"/>
      <c r="P120" s="289"/>
      <c r="Q120" s="289"/>
      <c r="R120" s="289"/>
      <c r="S120" s="289"/>
      <c r="T120" s="289"/>
    </row>
    <row r="121" spans="1:20" s="182" customFormat="1" ht="15.75" hidden="1" customHeight="1">
      <c r="A121" s="598">
        <v>45306</v>
      </c>
      <c r="B121" s="208" t="s">
        <v>244</v>
      </c>
      <c r="C121" s="208" t="s">
        <v>146</v>
      </c>
      <c r="D121" s="211">
        <v>-62790</v>
      </c>
      <c r="E121" s="212">
        <v>45292</v>
      </c>
      <c r="F121" s="208" t="s">
        <v>109</v>
      </c>
      <c r="G121" s="208" t="s">
        <v>170</v>
      </c>
      <c r="H121" s="208" t="s">
        <v>175</v>
      </c>
      <c r="I121" s="291"/>
      <c r="J121" s="565"/>
      <c r="K121" s="202"/>
      <c r="L121" s="202"/>
      <c r="M121" s="202"/>
      <c r="N121" s="202"/>
      <c r="O121" s="202"/>
      <c r="P121" s="202"/>
      <c r="Q121" s="202"/>
      <c r="R121" s="202"/>
      <c r="S121" s="202"/>
      <c r="T121" s="202"/>
    </row>
    <row r="122" spans="1:20" s="182" customFormat="1" ht="15.75" hidden="1" customHeight="1">
      <c r="A122" s="598">
        <v>45306</v>
      </c>
      <c r="B122" s="208" t="s">
        <v>245</v>
      </c>
      <c r="C122" s="208" t="s">
        <v>146</v>
      </c>
      <c r="D122" s="211">
        <v>-25500</v>
      </c>
      <c r="E122" s="212">
        <v>45292</v>
      </c>
      <c r="F122" s="208" t="s">
        <v>130</v>
      </c>
      <c r="G122" s="208" t="s">
        <v>130</v>
      </c>
      <c r="H122" s="81" t="s">
        <v>138</v>
      </c>
      <c r="I122" s="291"/>
      <c r="J122" s="589"/>
      <c r="K122" s="289"/>
      <c r="L122" s="289"/>
      <c r="M122" s="289"/>
      <c r="N122" s="289"/>
      <c r="O122" s="289"/>
      <c r="P122" s="289"/>
      <c r="Q122" s="289"/>
      <c r="R122" s="289"/>
      <c r="S122" s="289"/>
      <c r="T122" s="289"/>
    </row>
    <row r="123" spans="1:20" s="182" customFormat="1" ht="15.75" hidden="1" customHeight="1">
      <c r="A123" s="222">
        <v>45306</v>
      </c>
      <c r="B123" s="208" t="s">
        <v>246</v>
      </c>
      <c r="C123" s="208" t="s">
        <v>27</v>
      </c>
      <c r="D123" s="211">
        <v>-985612</v>
      </c>
      <c r="E123" s="212">
        <v>45292</v>
      </c>
      <c r="F123" s="208" t="s">
        <v>118</v>
      </c>
      <c r="G123" s="208"/>
      <c r="H123" s="208"/>
      <c r="I123" s="208"/>
      <c r="J123" s="565"/>
      <c r="K123" s="202"/>
      <c r="L123" s="202"/>
      <c r="M123" s="202"/>
      <c r="N123" s="202"/>
      <c r="O123" s="202"/>
      <c r="P123" s="202"/>
      <c r="Q123" s="202"/>
      <c r="R123" s="202"/>
      <c r="S123" s="202"/>
      <c r="T123" s="202"/>
    </row>
    <row r="124" spans="1:20" s="182" customFormat="1" ht="15.75" hidden="1" customHeight="1">
      <c r="A124" s="598">
        <v>45306</v>
      </c>
      <c r="B124" s="208" t="s">
        <v>247</v>
      </c>
      <c r="C124" s="208" t="s">
        <v>146</v>
      </c>
      <c r="D124" s="211">
        <v>-49857</v>
      </c>
      <c r="E124" s="212">
        <v>45292</v>
      </c>
      <c r="F124" s="208" t="s">
        <v>109</v>
      </c>
      <c r="G124" s="208" t="s">
        <v>170</v>
      </c>
      <c r="H124" s="208" t="s">
        <v>175</v>
      </c>
      <c r="I124" s="291"/>
      <c r="J124" s="589"/>
      <c r="K124" s="202"/>
      <c r="L124" s="202"/>
      <c r="M124" s="202"/>
      <c r="N124" s="202"/>
      <c r="O124" s="202"/>
      <c r="P124" s="202"/>
      <c r="Q124" s="202"/>
      <c r="R124" s="202"/>
      <c r="S124" s="202"/>
      <c r="T124" s="202"/>
    </row>
    <row r="125" spans="1:20" s="182" customFormat="1" ht="15.65" hidden="1" customHeight="1">
      <c r="A125" s="468">
        <v>45306</v>
      </c>
      <c r="B125" s="208" t="s">
        <v>248</v>
      </c>
      <c r="C125" s="208" t="s">
        <v>27</v>
      </c>
      <c r="D125" s="211">
        <v>-100060</v>
      </c>
      <c r="E125" s="212">
        <v>45292</v>
      </c>
      <c r="F125" s="208" t="s">
        <v>130</v>
      </c>
      <c r="G125" s="208" t="s">
        <v>130</v>
      </c>
      <c r="H125" s="208" t="s">
        <v>249</v>
      </c>
      <c r="I125" s="201"/>
      <c r="J125" s="589"/>
      <c r="K125" s="289"/>
      <c r="L125" s="289"/>
      <c r="M125" s="289"/>
      <c r="N125" s="289"/>
      <c r="O125" s="289"/>
      <c r="P125" s="289"/>
      <c r="Q125" s="289"/>
      <c r="R125" s="289"/>
      <c r="S125" s="289"/>
      <c r="T125" s="289"/>
    </row>
    <row r="126" spans="1:20" s="182" customFormat="1" ht="15.75" hidden="1" customHeight="1">
      <c r="A126" s="468">
        <v>45306</v>
      </c>
      <c r="B126" s="208" t="s">
        <v>250</v>
      </c>
      <c r="C126" s="208" t="s">
        <v>27</v>
      </c>
      <c r="D126" s="211">
        <v>-54480</v>
      </c>
      <c r="E126" s="212">
        <v>45292</v>
      </c>
      <c r="F126" s="208" t="s">
        <v>130</v>
      </c>
      <c r="G126" s="208" t="s">
        <v>130</v>
      </c>
      <c r="H126" s="208" t="s">
        <v>249</v>
      </c>
      <c r="I126" s="201"/>
      <c r="J126" s="589"/>
      <c r="K126" s="289"/>
      <c r="L126" s="289"/>
      <c r="M126" s="289"/>
      <c r="N126" s="289"/>
      <c r="O126" s="289"/>
      <c r="P126" s="289"/>
      <c r="Q126" s="289"/>
      <c r="R126" s="289"/>
      <c r="S126" s="289"/>
      <c r="T126" s="289"/>
    </row>
    <row r="127" spans="1:20" s="182" customFormat="1" ht="15.75" hidden="1" customHeight="1">
      <c r="A127" s="468">
        <v>45306</v>
      </c>
      <c r="B127" s="208" t="s">
        <v>251</v>
      </c>
      <c r="C127" s="208" t="s">
        <v>27</v>
      </c>
      <c r="D127" s="211">
        <v>-98900</v>
      </c>
      <c r="E127" s="212">
        <v>45292</v>
      </c>
      <c r="F127" s="208" t="s">
        <v>130</v>
      </c>
      <c r="G127" s="208" t="s">
        <v>130</v>
      </c>
      <c r="H127" s="208" t="s">
        <v>249</v>
      </c>
      <c r="I127" s="201"/>
      <c r="J127" s="589"/>
      <c r="K127" s="289"/>
      <c r="L127" s="289"/>
      <c r="M127" s="289"/>
      <c r="N127" s="289"/>
      <c r="O127" s="289"/>
      <c r="P127" s="289"/>
      <c r="Q127" s="289"/>
      <c r="R127" s="289"/>
      <c r="S127" s="289"/>
      <c r="T127" s="289"/>
    </row>
    <row r="128" spans="1:20" s="182" customFormat="1" ht="15.75" hidden="1" customHeight="1">
      <c r="A128" s="468">
        <v>45306</v>
      </c>
      <c r="B128" s="208" t="s">
        <v>252</v>
      </c>
      <c r="C128" s="208" t="s">
        <v>27</v>
      </c>
      <c r="D128" s="211">
        <v>-254572</v>
      </c>
      <c r="E128" s="212">
        <v>45292</v>
      </c>
      <c r="F128" s="208" t="s">
        <v>109</v>
      </c>
      <c r="G128" s="208" t="s">
        <v>170</v>
      </c>
      <c r="H128" s="208" t="s">
        <v>175</v>
      </c>
      <c r="I128" s="201"/>
      <c r="J128" s="589"/>
      <c r="K128" s="289"/>
      <c r="L128" s="289"/>
      <c r="M128" s="289"/>
      <c r="N128" s="289"/>
      <c r="O128" s="289"/>
      <c r="P128" s="289"/>
      <c r="Q128" s="289"/>
      <c r="R128" s="289"/>
      <c r="S128" s="289"/>
      <c r="T128" s="289"/>
    </row>
    <row r="129" spans="1:20" s="182" customFormat="1" ht="15.75" hidden="1" customHeight="1">
      <c r="A129" s="468">
        <v>45306</v>
      </c>
      <c r="B129" s="208" t="s">
        <v>253</v>
      </c>
      <c r="C129" s="208" t="s">
        <v>27</v>
      </c>
      <c r="D129" s="211">
        <v>-245100</v>
      </c>
      <c r="E129" s="212">
        <v>45292</v>
      </c>
      <c r="F129" s="208" t="s">
        <v>130</v>
      </c>
      <c r="G129" s="208" t="s">
        <v>130</v>
      </c>
      <c r="H129" s="81" t="s">
        <v>163</v>
      </c>
      <c r="I129" s="201"/>
      <c r="J129" s="589"/>
      <c r="K129" s="289"/>
      <c r="L129" s="289"/>
      <c r="M129" s="289"/>
      <c r="N129" s="289"/>
      <c r="O129" s="289"/>
      <c r="P129" s="289"/>
      <c r="Q129" s="289"/>
      <c r="R129" s="289"/>
      <c r="S129" s="289"/>
      <c r="T129" s="289"/>
    </row>
    <row r="130" spans="1:20" s="182" customFormat="1" ht="15.75" hidden="1" customHeight="1">
      <c r="A130" s="468">
        <v>45306</v>
      </c>
      <c r="B130" s="208" t="s">
        <v>254</v>
      </c>
      <c r="C130" s="208" t="s">
        <v>146</v>
      </c>
      <c r="D130" s="211">
        <v>-243000</v>
      </c>
      <c r="E130" s="212">
        <v>45292</v>
      </c>
      <c r="F130" s="208" t="s">
        <v>109</v>
      </c>
      <c r="G130" s="208" t="s">
        <v>120</v>
      </c>
      <c r="H130" s="208"/>
      <c r="I130" s="291"/>
      <c r="J130" s="565"/>
      <c r="K130" s="202"/>
      <c r="L130" s="202"/>
      <c r="M130" s="202"/>
      <c r="N130" s="202"/>
      <c r="O130" s="202"/>
      <c r="P130" s="202"/>
      <c r="Q130" s="202"/>
      <c r="R130" s="202"/>
      <c r="S130" s="202"/>
      <c r="T130" s="202"/>
    </row>
    <row r="131" spans="1:20" s="182" customFormat="1" ht="15.75" hidden="1" customHeight="1">
      <c r="A131" s="598">
        <v>45306</v>
      </c>
      <c r="B131" s="208" t="s">
        <v>255</v>
      </c>
      <c r="C131" s="208" t="s">
        <v>146</v>
      </c>
      <c r="D131" s="211">
        <v>-6200</v>
      </c>
      <c r="E131" s="212">
        <v>45292</v>
      </c>
      <c r="F131" s="208" t="s">
        <v>109</v>
      </c>
      <c r="G131" s="208" t="s">
        <v>170</v>
      </c>
      <c r="H131" s="81" t="s">
        <v>138</v>
      </c>
      <c r="I131" s="201" t="s">
        <v>173</v>
      </c>
      <c r="J131" s="565"/>
      <c r="K131" s="202"/>
      <c r="L131" s="202"/>
      <c r="M131" s="202"/>
      <c r="N131" s="202"/>
      <c r="O131" s="202"/>
      <c r="P131" s="202"/>
      <c r="Q131" s="202"/>
      <c r="R131" s="202"/>
      <c r="S131" s="202"/>
      <c r="T131" s="202"/>
    </row>
    <row r="132" spans="1:20" s="182" customFormat="1" ht="15.75" hidden="1" customHeight="1">
      <c r="A132" s="468">
        <v>45306</v>
      </c>
      <c r="B132" s="208" t="s">
        <v>256</v>
      </c>
      <c r="C132" s="208" t="s">
        <v>27</v>
      </c>
      <c r="D132" s="211">
        <v>-301450</v>
      </c>
      <c r="E132" s="212">
        <v>45292</v>
      </c>
      <c r="F132" s="208" t="s">
        <v>130</v>
      </c>
      <c r="G132" s="208" t="s">
        <v>257</v>
      </c>
      <c r="H132" s="81" t="s">
        <v>138</v>
      </c>
      <c r="I132" s="201"/>
      <c r="J132" s="589"/>
      <c r="K132" s="289"/>
      <c r="L132" s="289"/>
      <c r="M132" s="289"/>
      <c r="N132" s="289"/>
      <c r="O132" s="289"/>
      <c r="P132" s="289"/>
      <c r="Q132" s="289"/>
      <c r="R132" s="289"/>
      <c r="S132" s="289"/>
      <c r="T132" s="289"/>
    </row>
    <row r="133" spans="1:20" s="182" customFormat="1" ht="15.75" hidden="1" customHeight="1">
      <c r="A133" s="468">
        <v>45306</v>
      </c>
      <c r="B133" s="208" t="s">
        <v>258</v>
      </c>
      <c r="C133" s="208" t="s">
        <v>27</v>
      </c>
      <c r="D133" s="211">
        <v>-281850</v>
      </c>
      <c r="E133" s="212">
        <v>45292</v>
      </c>
      <c r="F133" s="208" t="s">
        <v>130</v>
      </c>
      <c r="G133" s="208" t="s">
        <v>257</v>
      </c>
      <c r="H133" s="81" t="s">
        <v>138</v>
      </c>
      <c r="I133" s="201"/>
      <c r="J133" s="589"/>
      <c r="K133" s="289"/>
      <c r="L133" s="289"/>
      <c r="M133" s="289"/>
      <c r="N133" s="289"/>
      <c r="O133" s="289"/>
      <c r="P133" s="289"/>
      <c r="Q133" s="289"/>
      <c r="R133" s="289"/>
      <c r="S133" s="289"/>
      <c r="T133" s="289"/>
    </row>
    <row r="134" spans="1:20" s="182" customFormat="1" ht="15.75" hidden="1" customHeight="1">
      <c r="A134" s="598">
        <v>45306</v>
      </c>
      <c r="B134" s="208" t="s">
        <v>259</v>
      </c>
      <c r="C134" s="208" t="s">
        <v>146</v>
      </c>
      <c r="D134" s="211">
        <v>-23300</v>
      </c>
      <c r="E134" s="212">
        <v>45292</v>
      </c>
      <c r="F134" s="208" t="s">
        <v>109</v>
      </c>
      <c r="G134" s="208" t="s">
        <v>170</v>
      </c>
      <c r="H134" s="208" t="s">
        <v>175</v>
      </c>
      <c r="I134" s="201"/>
      <c r="J134" s="589"/>
      <c r="K134" s="289"/>
      <c r="L134" s="289"/>
      <c r="M134" s="289"/>
      <c r="N134" s="289"/>
      <c r="O134" s="289"/>
      <c r="P134" s="289"/>
      <c r="Q134" s="289"/>
      <c r="R134" s="289"/>
      <c r="S134" s="289"/>
      <c r="T134" s="289"/>
    </row>
    <row r="135" spans="1:20" s="182" customFormat="1" ht="15.75" hidden="1" customHeight="1">
      <c r="A135" s="468">
        <v>45306</v>
      </c>
      <c r="B135" s="208" t="s">
        <v>260</v>
      </c>
      <c r="C135" s="208" t="s">
        <v>146</v>
      </c>
      <c r="D135" s="211">
        <v>-14000</v>
      </c>
      <c r="E135" s="212">
        <v>45292</v>
      </c>
      <c r="F135" s="208" t="s">
        <v>109</v>
      </c>
      <c r="G135" s="208" t="s">
        <v>120</v>
      </c>
      <c r="H135" s="81" t="s">
        <v>138</v>
      </c>
      <c r="I135" s="201"/>
      <c r="J135" s="565"/>
      <c r="K135" s="202"/>
      <c r="L135" s="202"/>
      <c r="M135" s="202"/>
      <c r="N135" s="202"/>
      <c r="O135" s="202"/>
      <c r="P135" s="202"/>
      <c r="Q135" s="202"/>
      <c r="R135" s="202"/>
      <c r="S135" s="202"/>
      <c r="T135" s="202"/>
    </row>
    <row r="136" spans="1:20" s="182" customFormat="1" ht="15.75" hidden="1" customHeight="1">
      <c r="A136" s="468">
        <v>45306</v>
      </c>
      <c r="B136" s="208" t="s">
        <v>261</v>
      </c>
      <c r="C136" s="208" t="s">
        <v>146</v>
      </c>
      <c r="D136" s="211">
        <v>-10800</v>
      </c>
      <c r="E136" s="212">
        <v>45292</v>
      </c>
      <c r="F136" s="208" t="s">
        <v>110</v>
      </c>
      <c r="G136" s="208" t="s">
        <v>262</v>
      </c>
      <c r="H136" s="81" t="s">
        <v>138</v>
      </c>
      <c r="I136" s="201"/>
      <c r="J136" s="589"/>
      <c r="K136" s="289"/>
      <c r="L136" s="289"/>
      <c r="M136" s="289"/>
      <c r="N136" s="289"/>
      <c r="O136" s="289"/>
      <c r="P136" s="289"/>
      <c r="Q136" s="289"/>
      <c r="R136" s="289"/>
      <c r="S136" s="289"/>
      <c r="T136" s="289"/>
    </row>
    <row r="137" spans="1:20" s="182" customFormat="1" ht="14.15" hidden="1">
      <c r="A137" s="468">
        <v>45306</v>
      </c>
      <c r="B137" s="208" t="s">
        <v>263</v>
      </c>
      <c r="C137" s="208" t="s">
        <v>146</v>
      </c>
      <c r="D137" s="211">
        <v>-6000</v>
      </c>
      <c r="E137" s="212">
        <v>45292</v>
      </c>
      <c r="F137" s="208" t="s">
        <v>110</v>
      </c>
      <c r="G137" s="208" t="s">
        <v>262</v>
      </c>
      <c r="H137" s="81" t="s">
        <v>138</v>
      </c>
      <c r="I137" s="201"/>
      <c r="J137" s="589"/>
      <c r="K137" s="289"/>
      <c r="L137" s="289"/>
      <c r="M137" s="289"/>
      <c r="N137" s="289"/>
      <c r="O137" s="289"/>
      <c r="P137" s="289"/>
      <c r="Q137" s="289"/>
      <c r="R137" s="289"/>
      <c r="S137" s="289"/>
      <c r="T137" s="289"/>
    </row>
    <row r="138" spans="1:20" s="182" customFormat="1" ht="14.15" hidden="1">
      <c r="A138" s="468">
        <v>45306</v>
      </c>
      <c r="B138" s="208" t="s">
        <v>264</v>
      </c>
      <c r="C138" s="208" t="s">
        <v>146</v>
      </c>
      <c r="D138" s="211">
        <v>-12000</v>
      </c>
      <c r="E138" s="212">
        <v>45292</v>
      </c>
      <c r="F138" s="208" t="s">
        <v>109</v>
      </c>
      <c r="G138" s="208" t="s">
        <v>169</v>
      </c>
      <c r="H138" s="81" t="s">
        <v>138</v>
      </c>
      <c r="I138" s="201"/>
      <c r="J138" s="589"/>
      <c r="K138" s="289"/>
      <c r="L138" s="289"/>
      <c r="M138" s="289"/>
      <c r="N138" s="289"/>
      <c r="O138" s="289"/>
      <c r="P138" s="289"/>
      <c r="Q138" s="289"/>
      <c r="R138" s="289"/>
      <c r="S138" s="289"/>
      <c r="T138" s="289"/>
    </row>
    <row r="139" spans="1:20" s="182" customFormat="1" ht="14.15" hidden="1">
      <c r="A139" s="468">
        <v>45306</v>
      </c>
      <c r="B139" s="208" t="s">
        <v>265</v>
      </c>
      <c r="C139" s="208" t="s">
        <v>146</v>
      </c>
      <c r="D139" s="211">
        <v>-35000</v>
      </c>
      <c r="E139" s="212">
        <v>45292</v>
      </c>
      <c r="F139" s="208" t="s">
        <v>109</v>
      </c>
      <c r="G139" s="208" t="s">
        <v>170</v>
      </c>
      <c r="H139" s="81" t="s">
        <v>138</v>
      </c>
      <c r="I139" s="201"/>
      <c r="J139" s="589"/>
      <c r="K139" s="289"/>
      <c r="L139" s="289"/>
      <c r="M139" s="289"/>
      <c r="N139" s="289"/>
      <c r="O139" s="289"/>
      <c r="P139" s="289"/>
      <c r="Q139" s="289"/>
      <c r="R139" s="289"/>
      <c r="S139" s="289"/>
      <c r="T139" s="289"/>
    </row>
    <row r="140" spans="1:20" s="182" customFormat="1" ht="15.75" hidden="1" customHeight="1">
      <c r="A140" s="468">
        <v>45306</v>
      </c>
      <c r="B140" s="208" t="s">
        <v>265</v>
      </c>
      <c r="C140" s="208" t="s">
        <v>146</v>
      </c>
      <c r="D140" s="211">
        <v>-40000</v>
      </c>
      <c r="E140" s="212">
        <v>45292</v>
      </c>
      <c r="F140" s="208" t="s">
        <v>130</v>
      </c>
      <c r="G140" s="208" t="s">
        <v>130</v>
      </c>
      <c r="H140" s="81" t="s">
        <v>138</v>
      </c>
      <c r="I140" s="201"/>
      <c r="J140" s="589"/>
      <c r="K140" s="289"/>
      <c r="L140" s="289"/>
      <c r="M140" s="289"/>
      <c r="N140" s="289"/>
      <c r="O140" s="289"/>
      <c r="P140" s="289"/>
      <c r="Q140" s="289"/>
      <c r="R140" s="289"/>
      <c r="S140" s="289"/>
      <c r="T140" s="289"/>
    </row>
    <row r="141" spans="1:20" s="182" customFormat="1" ht="14.15" hidden="1">
      <c r="A141" s="468">
        <v>45306</v>
      </c>
      <c r="B141" s="208" t="s">
        <v>265</v>
      </c>
      <c r="C141" s="208" t="s">
        <v>146</v>
      </c>
      <c r="D141" s="211">
        <v>-387000</v>
      </c>
      <c r="E141" s="212">
        <v>45292</v>
      </c>
      <c r="F141" s="208" t="s">
        <v>109</v>
      </c>
      <c r="G141" s="208" t="s">
        <v>120</v>
      </c>
      <c r="H141" s="81" t="s">
        <v>138</v>
      </c>
      <c r="I141" s="201"/>
      <c r="J141" s="565"/>
      <c r="K141" s="202"/>
      <c r="L141" s="202"/>
      <c r="M141" s="202"/>
      <c r="N141" s="202"/>
      <c r="O141" s="202"/>
      <c r="P141" s="202"/>
      <c r="Q141" s="202"/>
      <c r="R141" s="202"/>
      <c r="S141" s="202"/>
      <c r="T141" s="202"/>
    </row>
    <row r="142" spans="1:20" ht="14.15" hidden="1">
      <c r="A142" s="468">
        <v>45306</v>
      </c>
      <c r="B142" s="208" t="s">
        <v>266</v>
      </c>
      <c r="C142" s="208" t="s">
        <v>146</v>
      </c>
      <c r="D142" s="211">
        <v>-13000</v>
      </c>
      <c r="E142" s="212">
        <v>45292</v>
      </c>
      <c r="F142" s="208" t="s">
        <v>109</v>
      </c>
      <c r="G142" s="208" t="s">
        <v>170</v>
      </c>
      <c r="H142" s="81" t="s">
        <v>138</v>
      </c>
      <c r="I142" s="202"/>
      <c r="J142" s="589"/>
      <c r="K142" s="289"/>
      <c r="L142" s="289"/>
      <c r="M142" s="289"/>
      <c r="N142" s="289"/>
      <c r="O142" s="289"/>
      <c r="P142" s="289"/>
      <c r="Q142" s="289"/>
      <c r="R142" s="289"/>
      <c r="S142" s="289"/>
      <c r="T142" s="289"/>
    </row>
    <row r="143" spans="1:20" s="182" customFormat="1" ht="15.75" hidden="1" customHeight="1">
      <c r="A143" s="222">
        <v>45306</v>
      </c>
      <c r="B143" s="208" t="s">
        <v>267</v>
      </c>
      <c r="C143" s="208" t="s">
        <v>141</v>
      </c>
      <c r="D143" s="211">
        <v>-80000</v>
      </c>
      <c r="E143" s="212">
        <v>45292</v>
      </c>
      <c r="F143" s="208" t="s">
        <v>109</v>
      </c>
      <c r="G143" s="208" t="s">
        <v>120</v>
      </c>
      <c r="H143" s="208"/>
      <c r="I143" s="291"/>
      <c r="J143" s="565"/>
      <c r="K143" s="202"/>
      <c r="L143" s="202"/>
      <c r="M143" s="202"/>
      <c r="N143" s="202"/>
      <c r="O143" s="202"/>
      <c r="P143" s="202"/>
      <c r="Q143" s="202"/>
      <c r="R143" s="202"/>
      <c r="S143" s="202"/>
      <c r="T143" s="202"/>
    </row>
    <row r="144" spans="1:20" ht="15" hidden="1" customHeight="1">
      <c r="A144" s="600">
        <v>45306</v>
      </c>
      <c r="B144" s="601" t="s">
        <v>268</v>
      </c>
      <c r="C144" s="208" t="s">
        <v>269</v>
      </c>
      <c r="D144" s="592">
        <v>-16500</v>
      </c>
      <c r="E144" s="212">
        <v>45292</v>
      </c>
      <c r="F144" s="592" t="s">
        <v>109</v>
      </c>
      <c r="G144" s="208" t="s">
        <v>120</v>
      </c>
      <c r="H144" s="601"/>
      <c r="I144" s="289"/>
      <c r="J144" s="289"/>
      <c r="K144" s="289"/>
      <c r="L144" s="289"/>
      <c r="M144" s="289"/>
      <c r="N144" s="289"/>
      <c r="O144" s="289"/>
      <c r="P144" s="289"/>
      <c r="Q144" s="289"/>
      <c r="R144" s="289"/>
      <c r="S144" s="289"/>
      <c r="T144" s="289"/>
    </row>
    <row r="145" spans="1:20" ht="14.15" hidden="1">
      <c r="A145" s="600">
        <v>45306</v>
      </c>
      <c r="B145" s="601" t="s">
        <v>270</v>
      </c>
      <c r="C145" s="208" t="s">
        <v>269</v>
      </c>
      <c r="D145" s="592">
        <v>-10000</v>
      </c>
      <c r="E145" s="212">
        <v>45292</v>
      </c>
      <c r="F145" s="592" t="s">
        <v>109</v>
      </c>
      <c r="G145" s="208" t="s">
        <v>120</v>
      </c>
      <c r="H145" s="601"/>
      <c r="I145" s="289"/>
      <c r="J145" s="289"/>
      <c r="K145" s="289"/>
      <c r="L145" s="289"/>
      <c r="M145" s="289"/>
      <c r="N145" s="289"/>
      <c r="O145" s="289"/>
      <c r="P145" s="289"/>
      <c r="Q145" s="289"/>
      <c r="R145" s="289"/>
      <c r="S145" s="289"/>
      <c r="T145" s="289"/>
    </row>
    <row r="146" spans="1:20" s="182" customFormat="1" ht="14.15" hidden="1">
      <c r="A146" s="600">
        <v>45306</v>
      </c>
      <c r="B146" s="601" t="s">
        <v>271</v>
      </c>
      <c r="C146" s="208" t="s">
        <v>269</v>
      </c>
      <c r="D146" s="592">
        <v>-21090</v>
      </c>
      <c r="E146" s="212">
        <v>45292</v>
      </c>
      <c r="F146" s="592" t="s">
        <v>109</v>
      </c>
      <c r="G146" s="208" t="s">
        <v>120</v>
      </c>
      <c r="H146" s="601"/>
      <c r="I146" s="601"/>
      <c r="J146" s="289"/>
      <c r="K146" s="289"/>
      <c r="L146" s="289"/>
      <c r="M146" s="289"/>
      <c r="N146" s="289"/>
      <c r="O146" s="289"/>
      <c r="P146" s="289"/>
      <c r="Q146" s="289"/>
      <c r="R146" s="289"/>
      <c r="S146" s="289"/>
      <c r="T146" s="289"/>
    </row>
    <row r="147" spans="1:20" s="182" customFormat="1" ht="15.75" hidden="1" customHeight="1">
      <c r="A147" s="600">
        <v>45306</v>
      </c>
      <c r="B147" s="601" t="s">
        <v>272</v>
      </c>
      <c r="C147" s="208" t="s">
        <v>269</v>
      </c>
      <c r="D147" s="592">
        <v>-17080</v>
      </c>
      <c r="E147" s="212">
        <v>45292</v>
      </c>
      <c r="F147" s="592" t="s">
        <v>109</v>
      </c>
      <c r="G147" s="208" t="s">
        <v>120</v>
      </c>
      <c r="H147" s="601"/>
      <c r="I147" s="601"/>
      <c r="J147" s="289"/>
      <c r="K147" s="289"/>
      <c r="L147" s="289"/>
      <c r="M147" s="289"/>
      <c r="N147" s="289"/>
      <c r="O147" s="289"/>
      <c r="P147" s="289"/>
      <c r="Q147" s="289"/>
      <c r="R147" s="289"/>
      <c r="S147" s="289"/>
      <c r="T147" s="289"/>
    </row>
    <row r="148" spans="1:20" s="182" customFormat="1" ht="15.75" hidden="1" customHeight="1">
      <c r="A148" s="599">
        <v>45306</v>
      </c>
      <c r="B148" s="201" t="s">
        <v>273</v>
      </c>
      <c r="C148" s="208" t="s">
        <v>27</v>
      </c>
      <c r="D148" s="291">
        <v>-12500</v>
      </c>
      <c r="E148" s="212">
        <v>45292</v>
      </c>
      <c r="F148" s="291" t="s">
        <v>109</v>
      </c>
      <c r="G148" s="208" t="s">
        <v>120</v>
      </c>
      <c r="H148" s="201"/>
      <c r="I148" s="201"/>
      <c r="J148" s="202"/>
      <c r="K148" s="202"/>
      <c r="L148" s="202"/>
      <c r="M148" s="202"/>
      <c r="N148" s="202"/>
      <c r="O148" s="202"/>
      <c r="P148" s="202"/>
      <c r="Q148" s="202"/>
      <c r="R148" s="202"/>
      <c r="S148" s="202"/>
      <c r="T148" s="202"/>
    </row>
    <row r="149" spans="1:20" s="182" customFormat="1" ht="15.75" hidden="1" customHeight="1">
      <c r="A149" s="599">
        <v>45306</v>
      </c>
      <c r="B149" s="201" t="s">
        <v>237</v>
      </c>
      <c r="C149" s="208" t="s">
        <v>27</v>
      </c>
      <c r="D149" s="291">
        <v>-25000</v>
      </c>
      <c r="E149" s="212">
        <v>45292</v>
      </c>
      <c r="F149" s="291" t="s">
        <v>109</v>
      </c>
      <c r="G149" s="208" t="s">
        <v>120</v>
      </c>
      <c r="H149" s="201"/>
      <c r="I149" s="201"/>
      <c r="J149" s="202"/>
      <c r="K149" s="201"/>
      <c r="L149" s="202"/>
      <c r="M149" s="202"/>
      <c r="N149" s="202"/>
      <c r="O149" s="202"/>
      <c r="P149" s="202"/>
      <c r="Q149" s="202"/>
      <c r="R149" s="202"/>
      <c r="S149" s="202"/>
      <c r="T149" s="202"/>
    </row>
    <row r="150" spans="1:20" s="182" customFormat="1" ht="15.75" hidden="1" customHeight="1">
      <c r="A150" s="222">
        <v>45306</v>
      </c>
      <c r="B150" s="201" t="s">
        <v>274</v>
      </c>
      <c r="C150" s="208" t="s">
        <v>27</v>
      </c>
      <c r="D150" s="291">
        <v>-12500</v>
      </c>
      <c r="E150" s="212">
        <v>45292</v>
      </c>
      <c r="F150" s="291" t="s">
        <v>130</v>
      </c>
      <c r="G150" s="208" t="s">
        <v>130</v>
      </c>
      <c r="H150" s="201" t="s">
        <v>275</v>
      </c>
      <c r="I150" s="201"/>
      <c r="J150" s="202"/>
      <c r="K150" s="201"/>
      <c r="L150" s="202"/>
      <c r="M150" s="202"/>
      <c r="N150" s="202"/>
      <c r="O150" s="202"/>
      <c r="P150" s="202"/>
      <c r="Q150" s="202"/>
      <c r="R150" s="202"/>
      <c r="S150" s="202"/>
      <c r="T150" s="202"/>
    </row>
    <row r="151" spans="1:20" s="182" customFormat="1" ht="15.75" hidden="1" customHeight="1">
      <c r="A151" s="222">
        <v>45306</v>
      </c>
      <c r="B151" s="201" t="s">
        <v>238</v>
      </c>
      <c r="C151" s="208" t="s">
        <v>27</v>
      </c>
      <c r="D151" s="291">
        <v>-25000</v>
      </c>
      <c r="E151" s="212">
        <v>45292</v>
      </c>
      <c r="F151" s="291" t="s">
        <v>130</v>
      </c>
      <c r="G151" s="208" t="s">
        <v>130</v>
      </c>
      <c r="H151" s="201" t="s">
        <v>275</v>
      </c>
      <c r="I151" s="201"/>
      <c r="J151" s="202"/>
      <c r="K151" s="202"/>
      <c r="L151" s="202"/>
      <c r="M151" s="202"/>
      <c r="N151" s="202"/>
      <c r="O151" s="202"/>
      <c r="P151" s="202"/>
      <c r="Q151" s="202"/>
      <c r="R151" s="202"/>
      <c r="S151" s="202"/>
      <c r="T151" s="202"/>
    </row>
    <row r="152" spans="1:20" s="182" customFormat="1" ht="15.75" hidden="1" customHeight="1">
      <c r="A152" s="468">
        <v>45307</v>
      </c>
      <c r="B152" s="208" t="s">
        <v>276</v>
      </c>
      <c r="C152" s="208" t="s">
        <v>141</v>
      </c>
      <c r="D152" s="211">
        <v>-208950</v>
      </c>
      <c r="E152" s="212">
        <v>45292</v>
      </c>
      <c r="F152" s="208" t="s">
        <v>109</v>
      </c>
      <c r="G152" s="208" t="s">
        <v>120</v>
      </c>
      <c r="H152" s="208"/>
      <c r="I152" s="201"/>
      <c r="J152" s="209"/>
      <c r="K152" s="209"/>
      <c r="L152" s="209"/>
      <c r="M152" s="209"/>
      <c r="N152" s="209"/>
      <c r="O152" s="209"/>
      <c r="P152" s="209"/>
      <c r="Q152" s="209"/>
      <c r="R152" s="209"/>
      <c r="S152" s="209"/>
      <c r="T152" s="209"/>
    </row>
    <row r="153" spans="1:20" s="182" customFormat="1" ht="15.75" hidden="1" customHeight="1">
      <c r="A153" s="468">
        <v>45307</v>
      </c>
      <c r="B153" s="208" t="s">
        <v>276</v>
      </c>
      <c r="C153" s="208" t="s">
        <v>141</v>
      </c>
      <c r="D153" s="211">
        <v>-208950</v>
      </c>
      <c r="E153" s="212">
        <v>45292</v>
      </c>
      <c r="F153" s="208" t="s">
        <v>109</v>
      </c>
      <c r="G153" s="208" t="s">
        <v>120</v>
      </c>
      <c r="H153" s="208"/>
      <c r="I153" s="201"/>
      <c r="J153" s="209"/>
      <c r="K153" s="209"/>
      <c r="L153" s="209"/>
      <c r="M153" s="209"/>
      <c r="N153" s="209"/>
      <c r="O153" s="209"/>
      <c r="P153" s="209"/>
      <c r="Q153" s="209"/>
      <c r="R153" s="209"/>
      <c r="S153" s="209"/>
      <c r="T153" s="209"/>
    </row>
    <row r="154" spans="1:20" s="182" customFormat="1" ht="14.15" hidden="1">
      <c r="A154" s="468">
        <v>45307</v>
      </c>
      <c r="B154" s="208" t="s">
        <v>277</v>
      </c>
      <c r="C154" s="208" t="s">
        <v>27</v>
      </c>
      <c r="D154" s="211">
        <v>2423230</v>
      </c>
      <c r="E154" s="212">
        <v>45292</v>
      </c>
      <c r="F154" s="208" t="s">
        <v>108</v>
      </c>
      <c r="G154" s="208"/>
      <c r="H154" s="208"/>
      <c r="I154" s="291"/>
      <c r="J154" s="565"/>
      <c r="K154" s="202"/>
      <c r="L154" s="202"/>
      <c r="M154" s="202"/>
      <c r="N154" s="202"/>
      <c r="O154" s="202"/>
      <c r="P154" s="202"/>
      <c r="Q154" s="202"/>
      <c r="R154" s="202"/>
      <c r="S154" s="202"/>
      <c r="T154" s="202"/>
    </row>
    <row r="155" spans="1:20" s="182" customFormat="1" ht="14.15" hidden="1">
      <c r="A155" s="222">
        <v>45307</v>
      </c>
      <c r="B155" s="201" t="s">
        <v>278</v>
      </c>
      <c r="C155" s="208" t="s">
        <v>146</v>
      </c>
      <c r="D155" s="291">
        <v>-10000</v>
      </c>
      <c r="E155" s="212">
        <v>45292</v>
      </c>
      <c r="F155" s="208" t="s">
        <v>109</v>
      </c>
      <c r="G155" s="208" t="s">
        <v>170</v>
      </c>
      <c r="H155" s="208" t="s">
        <v>175</v>
      </c>
      <c r="I155" s="201"/>
      <c r="J155" s="565"/>
      <c r="K155" s="565">
        <v>127664</v>
      </c>
      <c r="L155" s="202"/>
      <c r="M155" s="202"/>
      <c r="N155" s="202"/>
      <c r="O155" s="202"/>
      <c r="P155" s="202"/>
      <c r="Q155" s="202"/>
      <c r="R155" s="202"/>
      <c r="S155" s="202"/>
      <c r="T155" s="202"/>
    </row>
    <row r="156" spans="1:20" s="182" customFormat="1" ht="14.15" hidden="1">
      <c r="A156" s="222">
        <v>45307</v>
      </c>
      <c r="B156" s="201" t="s">
        <v>279</v>
      </c>
      <c r="C156" s="208" t="s">
        <v>146</v>
      </c>
      <c r="D156" s="291">
        <v>-15500</v>
      </c>
      <c r="E156" s="212">
        <v>45292</v>
      </c>
      <c r="F156" s="208" t="s">
        <v>109</v>
      </c>
      <c r="G156" s="208" t="s">
        <v>170</v>
      </c>
      <c r="H156" s="208" t="s">
        <v>175</v>
      </c>
      <c r="I156" s="201"/>
      <c r="J156" s="202"/>
      <c r="K156" s="202"/>
      <c r="L156" s="202"/>
      <c r="M156" s="202"/>
      <c r="N156" s="202"/>
      <c r="O156" s="202"/>
      <c r="P156" s="202"/>
      <c r="Q156" s="202"/>
      <c r="R156" s="202"/>
      <c r="S156" s="202"/>
      <c r="T156" s="202"/>
    </row>
    <row r="157" spans="1:20" s="182" customFormat="1" ht="14.15" hidden="1">
      <c r="A157" s="468">
        <v>45307</v>
      </c>
      <c r="B157" s="208" t="s">
        <v>280</v>
      </c>
      <c r="C157" s="208" t="s">
        <v>27</v>
      </c>
      <c r="D157" s="211">
        <v>-20627218</v>
      </c>
      <c r="E157" s="212">
        <v>45292</v>
      </c>
      <c r="F157" s="208" t="s">
        <v>109</v>
      </c>
      <c r="G157" s="208" t="s">
        <v>120</v>
      </c>
      <c r="H157" s="208"/>
      <c r="I157" s="201"/>
      <c r="J157" s="209"/>
      <c r="K157" s="209"/>
      <c r="L157" s="209"/>
      <c r="M157" s="209"/>
      <c r="N157" s="209"/>
      <c r="O157" s="209"/>
      <c r="P157" s="209"/>
      <c r="Q157" s="209"/>
      <c r="R157" s="209"/>
      <c r="S157" s="209"/>
      <c r="T157" s="209"/>
    </row>
    <row r="158" spans="1:20" s="182" customFormat="1" ht="14.15" hidden="1">
      <c r="A158" s="222">
        <v>45307</v>
      </c>
      <c r="B158" s="201" t="s">
        <v>281</v>
      </c>
      <c r="C158" s="208" t="s">
        <v>146</v>
      </c>
      <c r="D158" s="291">
        <v>-28906</v>
      </c>
      <c r="E158" s="212">
        <v>45292</v>
      </c>
      <c r="F158" s="208" t="s">
        <v>109</v>
      </c>
      <c r="G158" s="208" t="s">
        <v>170</v>
      </c>
      <c r="H158" s="208" t="s">
        <v>175</v>
      </c>
      <c r="I158" s="201"/>
      <c r="J158" s="565"/>
      <c r="K158" s="202"/>
      <c r="L158" s="202"/>
      <c r="M158" s="202"/>
      <c r="N158" s="202"/>
      <c r="O158" s="202"/>
      <c r="P158" s="202"/>
      <c r="Q158" s="202"/>
      <c r="R158" s="202"/>
      <c r="S158" s="202"/>
      <c r="T158" s="202"/>
    </row>
    <row r="159" spans="1:20" s="182" customFormat="1" ht="14.15" hidden="1">
      <c r="A159" s="222">
        <v>45307</v>
      </c>
      <c r="B159" s="201" t="s">
        <v>282</v>
      </c>
      <c r="C159" s="208" t="s">
        <v>146</v>
      </c>
      <c r="D159" s="291">
        <v>-6000</v>
      </c>
      <c r="E159" s="212">
        <v>45292</v>
      </c>
      <c r="F159" s="208" t="s">
        <v>109</v>
      </c>
      <c r="G159" s="208" t="s">
        <v>170</v>
      </c>
      <c r="H159" s="208" t="s">
        <v>175</v>
      </c>
      <c r="I159" s="201"/>
      <c r="J159" s="565"/>
      <c r="K159" s="565">
        <v>28889</v>
      </c>
      <c r="L159" s="202"/>
      <c r="M159" s="202"/>
      <c r="N159" s="202"/>
      <c r="O159" s="202"/>
      <c r="P159" s="202"/>
      <c r="Q159" s="202"/>
      <c r="R159" s="202"/>
      <c r="S159" s="202"/>
      <c r="T159" s="202"/>
    </row>
    <row r="160" spans="1:20" s="182" customFormat="1" ht="14.15" hidden="1">
      <c r="A160" s="222">
        <v>45307</v>
      </c>
      <c r="B160" s="208" t="s">
        <v>283</v>
      </c>
      <c r="C160" s="208" t="s">
        <v>269</v>
      </c>
      <c r="D160" s="211">
        <v>-13000</v>
      </c>
      <c r="E160" s="212">
        <v>45292</v>
      </c>
      <c r="F160" s="208" t="s">
        <v>130</v>
      </c>
      <c r="G160" s="208" t="s">
        <v>257</v>
      </c>
      <c r="H160" s="81" t="s">
        <v>138</v>
      </c>
      <c r="I160" s="201"/>
      <c r="J160" s="202"/>
      <c r="K160" s="202"/>
      <c r="L160" s="202"/>
      <c r="M160" s="202"/>
      <c r="N160" s="202"/>
      <c r="O160" s="202"/>
      <c r="P160" s="202"/>
      <c r="Q160" s="202"/>
      <c r="R160" s="202"/>
      <c r="S160" s="202"/>
      <c r="T160" s="202"/>
    </row>
    <row r="161" spans="1:20" s="182" customFormat="1" ht="15.75" hidden="1" customHeight="1">
      <c r="A161" s="600">
        <v>45307</v>
      </c>
      <c r="B161" s="601" t="s">
        <v>284</v>
      </c>
      <c r="C161" s="208" t="s">
        <v>269</v>
      </c>
      <c r="D161" s="592">
        <v>-24000</v>
      </c>
      <c r="E161" s="212">
        <v>45292</v>
      </c>
      <c r="F161" s="592" t="s">
        <v>109</v>
      </c>
      <c r="G161" s="208" t="s">
        <v>120</v>
      </c>
      <c r="H161" s="601"/>
      <c r="I161" s="601"/>
      <c r="J161" s="289"/>
      <c r="K161" s="289"/>
      <c r="L161" s="289"/>
      <c r="M161" s="289"/>
      <c r="N161" s="289"/>
      <c r="O161" s="289"/>
      <c r="P161" s="289"/>
      <c r="Q161" s="289"/>
      <c r="R161" s="289"/>
      <c r="S161" s="289"/>
      <c r="T161" s="289"/>
    </row>
    <row r="162" spans="1:20" s="182" customFormat="1" ht="15" hidden="1" customHeight="1">
      <c r="A162" s="600">
        <v>45307</v>
      </c>
      <c r="B162" s="601" t="s">
        <v>285</v>
      </c>
      <c r="C162" s="208" t="s">
        <v>269</v>
      </c>
      <c r="D162" s="592">
        <v>-44800</v>
      </c>
      <c r="E162" s="212">
        <v>45292</v>
      </c>
      <c r="F162" s="592" t="s">
        <v>109</v>
      </c>
      <c r="G162" s="208" t="s">
        <v>120</v>
      </c>
      <c r="H162" s="601"/>
      <c r="I162" s="601"/>
      <c r="J162" s="289"/>
      <c r="K162" s="289"/>
      <c r="L162" s="289"/>
      <c r="M162" s="289"/>
      <c r="N162" s="289"/>
      <c r="O162" s="289"/>
      <c r="P162" s="289"/>
      <c r="Q162" s="289"/>
      <c r="R162" s="289"/>
      <c r="S162" s="289"/>
      <c r="T162" s="289"/>
    </row>
    <row r="163" spans="1:20" s="182" customFormat="1" ht="14.25" hidden="1" customHeight="1">
      <c r="A163" s="599">
        <v>45307</v>
      </c>
      <c r="B163" s="201" t="s">
        <v>273</v>
      </c>
      <c r="C163" s="208" t="s">
        <v>27</v>
      </c>
      <c r="D163" s="291">
        <v>-12500</v>
      </c>
      <c r="E163" s="212">
        <v>45292</v>
      </c>
      <c r="F163" s="291" t="s">
        <v>109</v>
      </c>
      <c r="G163" s="208" t="s">
        <v>120</v>
      </c>
      <c r="H163" s="201"/>
      <c r="I163" s="201"/>
      <c r="J163" s="202"/>
      <c r="K163" s="202"/>
      <c r="L163" s="202"/>
      <c r="M163" s="202"/>
      <c r="N163" s="202"/>
      <c r="O163" s="202"/>
      <c r="P163" s="202"/>
      <c r="Q163" s="202"/>
      <c r="R163" s="202"/>
      <c r="S163" s="202"/>
      <c r="T163" s="202"/>
    </row>
    <row r="164" spans="1:20" s="182" customFormat="1" ht="14.15" hidden="1">
      <c r="A164" s="599">
        <v>45307</v>
      </c>
      <c r="B164" s="201" t="s">
        <v>237</v>
      </c>
      <c r="C164" s="208" t="s">
        <v>27</v>
      </c>
      <c r="D164" s="291">
        <v>-25000</v>
      </c>
      <c r="E164" s="212">
        <v>45292</v>
      </c>
      <c r="F164" s="291" t="s">
        <v>109</v>
      </c>
      <c r="G164" s="208" t="s">
        <v>120</v>
      </c>
      <c r="H164" s="201"/>
      <c r="I164" s="201"/>
      <c r="J164" s="202"/>
      <c r="K164" s="202"/>
      <c r="L164" s="202"/>
      <c r="M164" s="202"/>
      <c r="N164" s="202"/>
      <c r="O164" s="202"/>
      <c r="P164" s="202"/>
      <c r="Q164" s="202"/>
      <c r="R164" s="202"/>
      <c r="S164" s="202"/>
      <c r="T164" s="202"/>
    </row>
    <row r="165" spans="1:20" s="182" customFormat="1" ht="14.15" hidden="1">
      <c r="A165" s="222">
        <v>45307</v>
      </c>
      <c r="B165" s="201" t="s">
        <v>274</v>
      </c>
      <c r="C165" s="208" t="s">
        <v>27</v>
      </c>
      <c r="D165" s="291">
        <v>-12500</v>
      </c>
      <c r="E165" s="212">
        <v>45292</v>
      </c>
      <c r="F165" s="291" t="s">
        <v>130</v>
      </c>
      <c r="G165" s="208" t="s">
        <v>130</v>
      </c>
      <c r="H165" s="201" t="s">
        <v>275</v>
      </c>
      <c r="I165" s="201"/>
      <c r="J165" s="202"/>
      <c r="K165" s="202"/>
      <c r="L165" s="202"/>
      <c r="M165" s="202"/>
      <c r="N165" s="202"/>
      <c r="O165" s="202"/>
      <c r="P165" s="202"/>
      <c r="Q165" s="202"/>
      <c r="R165" s="202"/>
      <c r="S165" s="202"/>
      <c r="T165" s="202"/>
    </row>
    <row r="166" spans="1:20" s="182" customFormat="1" ht="14.15" hidden="1">
      <c r="A166" s="222">
        <v>45307</v>
      </c>
      <c r="B166" s="201" t="s">
        <v>238</v>
      </c>
      <c r="C166" s="208" t="s">
        <v>27</v>
      </c>
      <c r="D166" s="291">
        <v>-25000</v>
      </c>
      <c r="E166" s="212">
        <v>45292</v>
      </c>
      <c r="F166" s="291" t="s">
        <v>130</v>
      </c>
      <c r="G166" s="208" t="s">
        <v>130</v>
      </c>
      <c r="H166" s="201" t="s">
        <v>275</v>
      </c>
      <c r="I166" s="201"/>
      <c r="J166" s="202"/>
      <c r="K166" s="202"/>
      <c r="L166" s="202"/>
      <c r="M166" s="202"/>
      <c r="N166" s="202"/>
      <c r="O166" s="202"/>
      <c r="P166" s="202"/>
      <c r="Q166" s="202"/>
      <c r="R166" s="202"/>
      <c r="S166" s="202"/>
      <c r="T166" s="202"/>
    </row>
    <row r="167" spans="1:20" s="182" customFormat="1" ht="14.15" hidden="1">
      <c r="A167" s="222">
        <v>45308</v>
      </c>
      <c r="B167" s="201" t="s">
        <v>286</v>
      </c>
      <c r="C167" s="208" t="s">
        <v>146</v>
      </c>
      <c r="D167" s="291">
        <v>-130000</v>
      </c>
      <c r="E167" s="212">
        <v>45292</v>
      </c>
      <c r="F167" s="208" t="s">
        <v>109</v>
      </c>
      <c r="G167" s="208" t="s">
        <v>170</v>
      </c>
      <c r="H167" s="208" t="s">
        <v>175</v>
      </c>
      <c r="I167" s="201"/>
      <c r="J167" s="202"/>
      <c r="K167" s="202"/>
      <c r="L167" s="202"/>
      <c r="M167" s="202"/>
      <c r="N167" s="202"/>
      <c r="O167" s="202"/>
      <c r="P167" s="202"/>
      <c r="Q167" s="202"/>
      <c r="R167" s="202"/>
      <c r="S167" s="202"/>
      <c r="T167" s="202"/>
    </row>
    <row r="168" spans="1:20" s="182" customFormat="1" ht="14.15" hidden="1">
      <c r="A168" s="222">
        <v>45308</v>
      </c>
      <c r="B168" s="201" t="s">
        <v>287</v>
      </c>
      <c r="C168" s="208" t="s">
        <v>146</v>
      </c>
      <c r="D168" s="291">
        <v>-20000</v>
      </c>
      <c r="E168" s="212">
        <v>45292</v>
      </c>
      <c r="F168" s="208" t="s">
        <v>109</v>
      </c>
      <c r="G168" s="208" t="s">
        <v>170</v>
      </c>
      <c r="H168" s="208" t="s">
        <v>175</v>
      </c>
      <c r="I168" s="201"/>
      <c r="J168" s="202"/>
      <c r="K168" s="202"/>
      <c r="L168" s="202"/>
      <c r="M168" s="202"/>
      <c r="N168" s="202"/>
      <c r="O168" s="202"/>
      <c r="P168" s="202"/>
      <c r="Q168" s="202"/>
      <c r="R168" s="202"/>
      <c r="S168" s="202"/>
      <c r="T168" s="202"/>
    </row>
    <row r="169" spans="1:20" s="182" customFormat="1" ht="16.5" hidden="1" customHeight="1">
      <c r="A169" s="222">
        <v>45308</v>
      </c>
      <c r="B169" s="208" t="s">
        <v>288</v>
      </c>
      <c r="C169" s="208" t="s">
        <v>27</v>
      </c>
      <c r="D169" s="211">
        <v>-7900</v>
      </c>
      <c r="E169" s="212">
        <v>45292</v>
      </c>
      <c r="F169" s="208" t="s">
        <v>109</v>
      </c>
      <c r="G169" s="208" t="s">
        <v>120</v>
      </c>
      <c r="H169" s="208"/>
      <c r="I169" s="208"/>
      <c r="J169" s="202"/>
      <c r="K169" s="202"/>
      <c r="L169" s="202"/>
      <c r="M169" s="202"/>
      <c r="N169" s="202"/>
      <c r="O169" s="202"/>
      <c r="P169" s="202"/>
      <c r="Q169" s="202"/>
      <c r="R169" s="202"/>
      <c r="S169" s="202"/>
      <c r="T169" s="202"/>
    </row>
    <row r="170" spans="1:20" s="182" customFormat="1" ht="18" hidden="1" customHeight="1">
      <c r="A170" s="222">
        <v>45308</v>
      </c>
      <c r="B170" s="208" t="s">
        <v>289</v>
      </c>
      <c r="C170" s="208" t="s">
        <v>27</v>
      </c>
      <c r="D170" s="211">
        <v>-19200</v>
      </c>
      <c r="E170" s="212">
        <v>45292</v>
      </c>
      <c r="F170" s="208" t="s">
        <v>109</v>
      </c>
      <c r="G170" s="208" t="s">
        <v>120</v>
      </c>
      <c r="H170" s="208"/>
      <c r="I170" s="208"/>
      <c r="J170" s="202"/>
      <c r="K170" s="202"/>
      <c r="L170" s="202"/>
      <c r="M170" s="202"/>
      <c r="N170" s="202"/>
      <c r="O170" s="202"/>
      <c r="P170" s="202"/>
      <c r="Q170" s="202"/>
      <c r="R170" s="202"/>
      <c r="S170" s="202"/>
      <c r="T170" s="202"/>
    </row>
    <row r="171" spans="1:20" s="182" customFormat="1" ht="18" hidden="1" customHeight="1">
      <c r="A171" s="222">
        <v>45308</v>
      </c>
      <c r="B171" s="201" t="s">
        <v>290</v>
      </c>
      <c r="C171" s="208" t="s">
        <v>146</v>
      </c>
      <c r="D171" s="291">
        <v>-155452</v>
      </c>
      <c r="E171" s="212">
        <v>45292</v>
      </c>
      <c r="F171" s="208" t="s">
        <v>109</v>
      </c>
      <c r="G171" s="208" t="s">
        <v>170</v>
      </c>
      <c r="H171" s="208" t="s">
        <v>175</v>
      </c>
      <c r="I171" s="201"/>
      <c r="J171" s="202"/>
      <c r="K171" s="202"/>
      <c r="L171" s="202"/>
      <c r="M171" s="202"/>
      <c r="N171" s="202"/>
      <c r="O171" s="202"/>
      <c r="P171" s="202"/>
      <c r="Q171" s="202"/>
      <c r="R171" s="202"/>
      <c r="S171" s="202"/>
      <c r="T171" s="202"/>
    </row>
    <row r="172" spans="1:20" s="182" customFormat="1" ht="14.25" hidden="1" customHeight="1">
      <c r="A172" s="222">
        <v>45308</v>
      </c>
      <c r="B172" s="201" t="s">
        <v>291</v>
      </c>
      <c r="C172" s="208" t="s">
        <v>27</v>
      </c>
      <c r="D172" s="291">
        <v>-1000000</v>
      </c>
      <c r="E172" s="212">
        <v>45292</v>
      </c>
      <c r="F172" s="208" t="s">
        <v>109</v>
      </c>
      <c r="G172" s="208" t="s">
        <v>120</v>
      </c>
      <c r="H172" s="201"/>
      <c r="I172" s="201"/>
      <c r="J172" s="202"/>
      <c r="K172" s="202"/>
      <c r="L172" s="202"/>
      <c r="M172" s="202"/>
      <c r="N172" s="202"/>
      <c r="O172" s="202"/>
      <c r="P172" s="202"/>
      <c r="Q172" s="202"/>
      <c r="R172" s="202"/>
      <c r="S172" s="202"/>
      <c r="T172" s="202"/>
    </row>
    <row r="173" spans="1:20" s="182" customFormat="1" ht="15.75" hidden="1" customHeight="1">
      <c r="A173" s="222">
        <v>45308</v>
      </c>
      <c r="B173" s="201" t="s">
        <v>291</v>
      </c>
      <c r="C173" s="208" t="s">
        <v>27</v>
      </c>
      <c r="D173" s="291">
        <v>-1000000</v>
      </c>
      <c r="E173" s="212">
        <v>45292</v>
      </c>
      <c r="F173" s="208" t="s">
        <v>109</v>
      </c>
      <c r="G173" s="208" t="s">
        <v>120</v>
      </c>
      <c r="H173" s="201"/>
      <c r="I173" s="201"/>
      <c r="J173" s="202"/>
      <c r="K173" s="202"/>
      <c r="L173" s="202"/>
      <c r="M173" s="202"/>
      <c r="N173" s="202"/>
      <c r="O173" s="202"/>
      <c r="P173" s="202"/>
      <c r="Q173" s="202"/>
      <c r="R173" s="202"/>
      <c r="S173" s="202"/>
      <c r="T173" s="202"/>
    </row>
    <row r="174" spans="1:20" s="182" customFormat="1" ht="15" hidden="1" customHeight="1">
      <c r="A174" s="222">
        <v>45308</v>
      </c>
      <c r="B174" s="201" t="s">
        <v>291</v>
      </c>
      <c r="C174" s="208" t="s">
        <v>27</v>
      </c>
      <c r="D174" s="291">
        <v>-1000000</v>
      </c>
      <c r="E174" s="212">
        <v>45292</v>
      </c>
      <c r="F174" s="208" t="s">
        <v>109</v>
      </c>
      <c r="G174" s="208" t="s">
        <v>120</v>
      </c>
      <c r="H174" s="201"/>
      <c r="I174" s="201"/>
      <c r="J174" s="202"/>
      <c r="K174" s="202"/>
      <c r="L174" s="202"/>
      <c r="M174" s="202"/>
      <c r="N174" s="202"/>
      <c r="O174" s="202"/>
      <c r="P174" s="202"/>
      <c r="Q174" s="202"/>
      <c r="R174" s="202"/>
      <c r="S174" s="202"/>
      <c r="T174" s="202"/>
    </row>
    <row r="175" spans="1:20" s="182" customFormat="1" ht="15" hidden="1" customHeight="1">
      <c r="A175" s="222">
        <v>45308</v>
      </c>
      <c r="B175" s="201" t="s">
        <v>292</v>
      </c>
      <c r="C175" s="208" t="s">
        <v>146</v>
      </c>
      <c r="D175" s="291">
        <v>-2250000</v>
      </c>
      <c r="E175" s="212">
        <v>45292</v>
      </c>
      <c r="F175" s="208" t="s">
        <v>109</v>
      </c>
      <c r="G175" s="208" t="s">
        <v>120</v>
      </c>
      <c r="H175" s="201"/>
      <c r="I175" s="201"/>
      <c r="J175" s="202"/>
      <c r="K175" s="202"/>
      <c r="L175" s="202"/>
      <c r="M175" s="202"/>
      <c r="N175" s="202"/>
      <c r="O175" s="202"/>
      <c r="P175" s="202"/>
      <c r="Q175" s="202"/>
      <c r="R175" s="202"/>
      <c r="S175" s="202"/>
      <c r="T175" s="202"/>
    </row>
    <row r="176" spans="1:20" s="182" customFormat="1" ht="13" hidden="1" customHeight="1">
      <c r="A176" s="222">
        <v>45308</v>
      </c>
      <c r="B176" s="201" t="s">
        <v>293</v>
      </c>
      <c r="C176" s="208" t="s">
        <v>133</v>
      </c>
      <c r="D176" s="291">
        <v>-300000</v>
      </c>
      <c r="E176" s="212">
        <v>45292</v>
      </c>
      <c r="F176" s="201" t="s">
        <v>109</v>
      </c>
      <c r="G176" s="208" t="s">
        <v>120</v>
      </c>
      <c r="H176" s="201"/>
      <c r="I176" s="201"/>
      <c r="J176" s="202"/>
      <c r="K176" s="202"/>
      <c r="L176" s="202"/>
      <c r="M176" s="202"/>
      <c r="N176" s="202"/>
      <c r="O176" s="202"/>
      <c r="P176" s="202"/>
      <c r="Q176" s="202"/>
      <c r="R176" s="202"/>
      <c r="S176" s="202"/>
      <c r="T176" s="202"/>
    </row>
    <row r="177" spans="1:20" s="182" customFormat="1" ht="16.5" hidden="1" customHeight="1">
      <c r="A177" s="222">
        <v>45308</v>
      </c>
      <c r="B177" s="201" t="s">
        <v>294</v>
      </c>
      <c r="C177" s="208" t="s">
        <v>27</v>
      </c>
      <c r="D177" s="291">
        <v>-125800</v>
      </c>
      <c r="E177" s="212">
        <v>45292</v>
      </c>
      <c r="F177" s="201" t="s">
        <v>130</v>
      </c>
      <c r="G177" s="208" t="s">
        <v>130</v>
      </c>
      <c r="H177" s="208" t="s">
        <v>249</v>
      </c>
      <c r="I177" s="201"/>
      <c r="J177" s="202"/>
      <c r="K177" s="202"/>
      <c r="L177" s="202"/>
      <c r="M177" s="202"/>
      <c r="N177" s="202"/>
      <c r="O177" s="202"/>
      <c r="P177" s="202"/>
      <c r="Q177" s="202"/>
      <c r="R177" s="202"/>
      <c r="S177" s="202"/>
      <c r="T177" s="202"/>
    </row>
    <row r="178" spans="1:20" s="182" customFormat="1" ht="16.5" hidden="1" customHeight="1">
      <c r="A178" s="222">
        <v>45308</v>
      </c>
      <c r="B178" s="201" t="s">
        <v>295</v>
      </c>
      <c r="C178" s="208" t="s">
        <v>27</v>
      </c>
      <c r="D178" s="291">
        <v>-3246936</v>
      </c>
      <c r="E178" s="212">
        <v>45292</v>
      </c>
      <c r="F178" s="201" t="s">
        <v>118</v>
      </c>
      <c r="G178" s="208"/>
      <c r="H178" s="201"/>
      <c r="I178" s="201"/>
      <c r="J178" s="202"/>
      <c r="K178" s="202"/>
      <c r="L178" s="202"/>
      <c r="M178" s="202"/>
      <c r="N178" s="202"/>
      <c r="O178" s="202"/>
      <c r="P178" s="202"/>
      <c r="Q178" s="202"/>
      <c r="R178" s="202"/>
      <c r="S178" s="202"/>
      <c r="T178" s="202"/>
    </row>
    <row r="179" spans="1:20" ht="14.15" hidden="1">
      <c r="A179" s="222">
        <v>45308</v>
      </c>
      <c r="B179" s="201" t="s">
        <v>296</v>
      </c>
      <c r="C179" s="208" t="s">
        <v>133</v>
      </c>
      <c r="D179" s="291">
        <v>-21084</v>
      </c>
      <c r="E179" s="212">
        <v>45292</v>
      </c>
      <c r="F179" s="201" t="s">
        <v>118</v>
      </c>
      <c r="G179" s="208"/>
      <c r="H179" s="201"/>
      <c r="I179" s="202"/>
      <c r="J179" s="202"/>
      <c r="K179" s="202"/>
      <c r="L179" s="202"/>
      <c r="M179" s="202"/>
      <c r="N179" s="202"/>
      <c r="O179" s="202"/>
      <c r="P179" s="202"/>
      <c r="Q179" s="202"/>
      <c r="R179" s="202"/>
      <c r="S179" s="202"/>
      <c r="T179" s="202"/>
    </row>
    <row r="180" spans="1:20" s="182" customFormat="1" ht="16.5" hidden="1" customHeight="1">
      <c r="A180" s="222">
        <v>45308</v>
      </c>
      <c r="B180" s="201" t="s">
        <v>297</v>
      </c>
      <c r="C180" s="208" t="s">
        <v>133</v>
      </c>
      <c r="D180" s="291">
        <v>-245980</v>
      </c>
      <c r="E180" s="212">
        <v>45292</v>
      </c>
      <c r="F180" s="201" t="s">
        <v>118</v>
      </c>
      <c r="G180" s="208"/>
      <c r="H180" s="201"/>
      <c r="I180" s="201"/>
      <c r="J180" s="202"/>
      <c r="K180" s="202"/>
      <c r="L180" s="202"/>
      <c r="M180" s="202"/>
      <c r="N180" s="202"/>
      <c r="O180" s="202"/>
      <c r="P180" s="202"/>
      <c r="Q180" s="202"/>
      <c r="R180" s="202"/>
      <c r="S180" s="202"/>
      <c r="T180" s="202"/>
    </row>
    <row r="181" spans="1:20" s="182" customFormat="1" ht="16.5" hidden="1" customHeight="1">
      <c r="A181" s="222">
        <v>45308</v>
      </c>
      <c r="B181" s="201" t="s">
        <v>298</v>
      </c>
      <c r="C181" s="208" t="s">
        <v>146</v>
      </c>
      <c r="D181" s="291">
        <v>-1180</v>
      </c>
      <c r="E181" s="212">
        <v>45292</v>
      </c>
      <c r="F181" s="208" t="s">
        <v>109</v>
      </c>
      <c r="G181" s="208" t="s">
        <v>170</v>
      </c>
      <c r="H181" s="208" t="s">
        <v>175</v>
      </c>
      <c r="I181" s="201"/>
      <c r="J181" s="202"/>
      <c r="K181" s="202"/>
      <c r="L181" s="202"/>
      <c r="M181" s="202"/>
      <c r="N181" s="202"/>
      <c r="O181" s="202"/>
      <c r="P181" s="202"/>
      <c r="Q181" s="202"/>
      <c r="R181" s="202"/>
      <c r="S181" s="202"/>
      <c r="T181" s="202"/>
    </row>
    <row r="182" spans="1:20" s="182" customFormat="1" ht="16.5" hidden="1" customHeight="1">
      <c r="A182" s="222">
        <v>45308</v>
      </c>
      <c r="B182" s="201" t="s">
        <v>299</v>
      </c>
      <c r="C182" s="208" t="s">
        <v>146</v>
      </c>
      <c r="D182" s="291">
        <v>-6000</v>
      </c>
      <c r="E182" s="212">
        <v>45292</v>
      </c>
      <c r="F182" s="208" t="s">
        <v>109</v>
      </c>
      <c r="G182" s="208" t="s">
        <v>170</v>
      </c>
      <c r="H182" s="81" t="s">
        <v>138</v>
      </c>
      <c r="I182" s="201" t="s">
        <v>173</v>
      </c>
      <c r="J182" s="202"/>
      <c r="K182" s="202"/>
      <c r="L182" s="202"/>
      <c r="M182" s="202"/>
      <c r="N182" s="202"/>
      <c r="O182" s="202"/>
      <c r="P182" s="202"/>
      <c r="Q182" s="202"/>
      <c r="R182" s="202"/>
      <c r="S182" s="202"/>
      <c r="T182" s="202"/>
    </row>
    <row r="183" spans="1:20" s="182" customFormat="1" ht="16.5" hidden="1" customHeight="1">
      <c r="A183" s="222">
        <v>45308</v>
      </c>
      <c r="B183" s="201" t="s">
        <v>300</v>
      </c>
      <c r="C183" s="208" t="s">
        <v>301</v>
      </c>
      <c r="D183" s="291">
        <v>-123112.15</v>
      </c>
      <c r="E183" s="212">
        <v>45292</v>
      </c>
      <c r="F183" s="291" t="s">
        <v>130</v>
      </c>
      <c r="G183" s="208" t="s">
        <v>130</v>
      </c>
      <c r="H183" s="208" t="s">
        <v>143</v>
      </c>
      <c r="I183" s="201"/>
      <c r="J183" s="202"/>
      <c r="K183" s="202"/>
      <c r="L183" s="202"/>
      <c r="M183" s="202"/>
      <c r="N183" s="202"/>
      <c r="O183" s="202"/>
      <c r="P183" s="202"/>
      <c r="Q183" s="202"/>
      <c r="R183" s="202"/>
      <c r="S183" s="202"/>
      <c r="T183" s="202"/>
    </row>
    <row r="184" spans="1:20" s="182" customFormat="1" ht="16.5" hidden="1" customHeight="1">
      <c r="A184" s="222">
        <v>45308</v>
      </c>
      <c r="B184" s="201" t="s">
        <v>302</v>
      </c>
      <c r="C184" s="208" t="s">
        <v>301</v>
      </c>
      <c r="D184" s="291">
        <v>-22500</v>
      </c>
      <c r="E184" s="212">
        <v>45292</v>
      </c>
      <c r="F184" s="208" t="s">
        <v>130</v>
      </c>
      <c r="G184" s="208" t="s">
        <v>257</v>
      </c>
      <c r="H184" s="201" t="s">
        <v>303</v>
      </c>
      <c r="I184" s="201"/>
      <c r="J184" s="202"/>
      <c r="K184" s="202"/>
      <c r="L184" s="202"/>
      <c r="M184" s="202"/>
      <c r="N184" s="202"/>
      <c r="O184" s="202"/>
      <c r="P184" s="202"/>
      <c r="Q184" s="202"/>
      <c r="R184" s="202"/>
      <c r="S184" s="202"/>
      <c r="T184" s="202"/>
    </row>
    <row r="185" spans="1:20" s="182" customFormat="1" ht="16.5" hidden="1" customHeight="1">
      <c r="A185" s="600">
        <v>45308</v>
      </c>
      <c r="B185" s="601" t="s">
        <v>304</v>
      </c>
      <c r="C185" s="208" t="s">
        <v>269</v>
      </c>
      <c r="D185" s="592">
        <v>-869500</v>
      </c>
      <c r="E185" s="212">
        <v>45292</v>
      </c>
      <c r="F185" s="592" t="s">
        <v>109</v>
      </c>
      <c r="G185" s="208" t="s">
        <v>120</v>
      </c>
      <c r="H185" s="601"/>
      <c r="I185" s="601"/>
      <c r="J185" s="289"/>
      <c r="K185" s="289"/>
      <c r="L185" s="289"/>
      <c r="M185" s="289"/>
      <c r="N185" s="289"/>
      <c r="O185" s="289"/>
      <c r="P185" s="289"/>
      <c r="Q185" s="289"/>
      <c r="R185" s="289"/>
      <c r="S185" s="289"/>
      <c r="T185" s="289"/>
    </row>
    <row r="186" spans="1:20" s="182" customFormat="1" ht="16.5" hidden="1" customHeight="1">
      <c r="A186" s="600">
        <v>45308</v>
      </c>
      <c r="B186" s="601" t="s">
        <v>305</v>
      </c>
      <c r="C186" s="208" t="s">
        <v>269</v>
      </c>
      <c r="D186" s="592">
        <v>-20000</v>
      </c>
      <c r="E186" s="212">
        <v>45292</v>
      </c>
      <c r="F186" s="592" t="s">
        <v>109</v>
      </c>
      <c r="G186" s="208" t="s">
        <v>120</v>
      </c>
      <c r="H186" s="601"/>
      <c r="I186" s="601"/>
      <c r="J186" s="289"/>
      <c r="K186" s="289"/>
      <c r="L186" s="289"/>
      <c r="M186" s="289"/>
      <c r="N186" s="289"/>
      <c r="O186" s="289"/>
      <c r="P186" s="289"/>
      <c r="Q186" s="289"/>
      <c r="R186" s="289"/>
      <c r="S186" s="289"/>
      <c r="T186" s="289"/>
    </row>
    <row r="187" spans="1:20" s="182" customFormat="1" ht="16.5" hidden="1" customHeight="1">
      <c r="A187" s="600">
        <v>45308</v>
      </c>
      <c r="B187" s="601" t="s">
        <v>306</v>
      </c>
      <c r="C187" s="208" t="s">
        <v>269</v>
      </c>
      <c r="D187" s="592">
        <v>-131300</v>
      </c>
      <c r="E187" s="212">
        <v>45292</v>
      </c>
      <c r="F187" s="592" t="s">
        <v>109</v>
      </c>
      <c r="G187" s="208" t="s">
        <v>120</v>
      </c>
      <c r="H187" s="601"/>
      <c r="I187" s="601"/>
      <c r="J187" s="289"/>
      <c r="K187" s="289"/>
      <c r="L187" s="289"/>
      <c r="M187" s="289"/>
      <c r="N187" s="289"/>
      <c r="O187" s="289"/>
      <c r="P187" s="289"/>
      <c r="Q187" s="289"/>
      <c r="R187" s="289"/>
      <c r="S187" s="289"/>
      <c r="T187" s="289"/>
    </row>
    <row r="188" spans="1:20" s="182" customFormat="1" ht="16.5" hidden="1" customHeight="1">
      <c r="A188" s="600">
        <v>45308</v>
      </c>
      <c r="B188" s="601" t="s">
        <v>307</v>
      </c>
      <c r="C188" s="208" t="s">
        <v>269</v>
      </c>
      <c r="D188" s="592">
        <v>-50000</v>
      </c>
      <c r="E188" s="212">
        <v>45292</v>
      </c>
      <c r="F188" s="592" t="s">
        <v>109</v>
      </c>
      <c r="G188" s="208" t="s">
        <v>120</v>
      </c>
      <c r="H188" s="601"/>
      <c r="I188" s="601"/>
      <c r="J188" s="289"/>
      <c r="K188" s="289"/>
      <c r="L188" s="289"/>
      <c r="M188" s="289"/>
      <c r="N188" s="289"/>
      <c r="O188" s="289"/>
      <c r="P188" s="289"/>
      <c r="Q188" s="289"/>
      <c r="R188" s="289"/>
      <c r="S188" s="289"/>
      <c r="T188" s="289"/>
    </row>
    <row r="189" spans="1:20" s="182" customFormat="1" ht="16.5" hidden="1" customHeight="1">
      <c r="A189" s="599">
        <v>45308</v>
      </c>
      <c r="B189" s="201" t="s">
        <v>273</v>
      </c>
      <c r="C189" s="208" t="s">
        <v>27</v>
      </c>
      <c r="D189" s="291">
        <v>-13000</v>
      </c>
      <c r="E189" s="212">
        <v>45292</v>
      </c>
      <c r="F189" s="291" t="s">
        <v>109</v>
      </c>
      <c r="G189" s="208" t="s">
        <v>120</v>
      </c>
      <c r="H189" s="201"/>
      <c r="I189" s="201"/>
      <c r="J189" s="202"/>
      <c r="K189" s="202"/>
      <c r="L189" s="202"/>
      <c r="M189" s="202"/>
      <c r="N189" s="202"/>
      <c r="O189" s="202"/>
      <c r="P189" s="202"/>
      <c r="Q189" s="202"/>
      <c r="R189" s="202"/>
      <c r="S189" s="202"/>
      <c r="T189" s="202"/>
    </row>
    <row r="190" spans="1:20" s="182" customFormat="1" ht="16.5" hidden="1" customHeight="1">
      <c r="A190" s="599">
        <v>45308</v>
      </c>
      <c r="B190" s="201" t="s">
        <v>237</v>
      </c>
      <c r="C190" s="208" t="s">
        <v>27</v>
      </c>
      <c r="D190" s="291">
        <v>-25000</v>
      </c>
      <c r="E190" s="212">
        <v>45292</v>
      </c>
      <c r="F190" s="291" t="s">
        <v>109</v>
      </c>
      <c r="G190" s="208" t="s">
        <v>120</v>
      </c>
      <c r="H190" s="201"/>
      <c r="I190" s="201"/>
      <c r="J190" s="202"/>
      <c r="K190" s="202"/>
      <c r="L190" s="202"/>
      <c r="M190" s="202"/>
      <c r="N190" s="202"/>
      <c r="O190" s="202"/>
      <c r="P190" s="202"/>
      <c r="Q190" s="202"/>
      <c r="R190" s="202"/>
      <c r="S190" s="202"/>
      <c r="T190" s="202"/>
    </row>
    <row r="191" spans="1:20" s="182" customFormat="1" ht="16.5" hidden="1" customHeight="1">
      <c r="A191" s="222">
        <v>45308</v>
      </c>
      <c r="B191" s="201" t="s">
        <v>274</v>
      </c>
      <c r="C191" s="208" t="s">
        <v>27</v>
      </c>
      <c r="D191" s="291">
        <v>-12500</v>
      </c>
      <c r="E191" s="212">
        <v>45292</v>
      </c>
      <c r="F191" s="291" t="s">
        <v>130</v>
      </c>
      <c r="G191" s="208" t="s">
        <v>130</v>
      </c>
      <c r="H191" s="201" t="s">
        <v>275</v>
      </c>
      <c r="I191" s="201"/>
      <c r="J191" s="202"/>
      <c r="K191" s="202"/>
      <c r="L191" s="202"/>
      <c r="M191" s="202"/>
      <c r="N191" s="202"/>
      <c r="O191" s="202"/>
      <c r="P191" s="202"/>
      <c r="Q191" s="202"/>
      <c r="R191" s="202"/>
      <c r="S191" s="202"/>
      <c r="T191" s="202"/>
    </row>
    <row r="192" spans="1:20" s="182" customFormat="1" ht="16.5" hidden="1" customHeight="1">
      <c r="A192" s="222">
        <v>45308</v>
      </c>
      <c r="B192" s="201" t="s">
        <v>238</v>
      </c>
      <c r="C192" s="208" t="s">
        <v>27</v>
      </c>
      <c r="D192" s="291">
        <v>-22500</v>
      </c>
      <c r="E192" s="212">
        <v>45292</v>
      </c>
      <c r="F192" s="291" t="s">
        <v>130</v>
      </c>
      <c r="G192" s="208" t="s">
        <v>130</v>
      </c>
      <c r="H192" s="201" t="s">
        <v>275</v>
      </c>
      <c r="I192" s="201"/>
      <c r="J192" s="202"/>
      <c r="K192" s="202"/>
      <c r="L192" s="202"/>
      <c r="M192" s="202"/>
      <c r="N192" s="202"/>
      <c r="O192" s="202"/>
      <c r="P192" s="202"/>
      <c r="Q192" s="202"/>
      <c r="R192" s="202"/>
      <c r="S192" s="202"/>
      <c r="T192" s="202"/>
    </row>
    <row r="193" spans="1:20" s="182" customFormat="1" ht="16.5" hidden="1" customHeight="1">
      <c r="A193" s="222">
        <v>45309</v>
      </c>
      <c r="B193" s="602" t="s">
        <v>308</v>
      </c>
      <c r="C193" s="208" t="s">
        <v>269</v>
      </c>
      <c r="D193" s="291">
        <v>-88000</v>
      </c>
      <c r="E193" s="212">
        <v>45292</v>
      </c>
      <c r="F193" s="291" t="s">
        <v>130</v>
      </c>
      <c r="G193" s="208" t="s">
        <v>130</v>
      </c>
      <c r="H193" s="201" t="s">
        <v>275</v>
      </c>
      <c r="I193" s="201"/>
      <c r="J193" s="202"/>
      <c r="K193" s="202"/>
      <c r="L193" s="202"/>
      <c r="M193" s="202"/>
      <c r="N193" s="202"/>
      <c r="O193" s="202"/>
      <c r="P193" s="202"/>
      <c r="Q193" s="202"/>
      <c r="R193" s="202"/>
      <c r="S193" s="202"/>
      <c r="T193" s="202"/>
    </row>
    <row r="194" spans="1:20" s="182" customFormat="1" ht="16.5" hidden="1" customHeight="1">
      <c r="A194" s="222">
        <v>45309</v>
      </c>
      <c r="B194" s="201" t="s">
        <v>309</v>
      </c>
      <c r="C194" s="208" t="s">
        <v>146</v>
      </c>
      <c r="D194" s="291">
        <v>-127400</v>
      </c>
      <c r="E194" s="212">
        <v>45292</v>
      </c>
      <c r="F194" s="208" t="s">
        <v>109</v>
      </c>
      <c r="G194" s="208" t="s">
        <v>170</v>
      </c>
      <c r="H194" s="201" t="s">
        <v>310</v>
      </c>
      <c r="I194" s="201"/>
      <c r="J194" s="202"/>
      <c r="K194" s="202"/>
      <c r="L194" s="202"/>
      <c r="M194" s="202"/>
      <c r="N194" s="202"/>
      <c r="O194" s="202"/>
      <c r="P194" s="202"/>
      <c r="Q194" s="202"/>
      <c r="R194" s="202"/>
      <c r="S194" s="202"/>
      <c r="T194" s="202"/>
    </row>
    <row r="195" spans="1:20" s="182" customFormat="1" ht="16.5" hidden="1" customHeight="1">
      <c r="A195" s="222">
        <v>45309</v>
      </c>
      <c r="B195" s="201" t="s">
        <v>279</v>
      </c>
      <c r="C195" s="208" t="s">
        <v>146</v>
      </c>
      <c r="D195" s="291">
        <v>-15500</v>
      </c>
      <c r="E195" s="212">
        <v>45292</v>
      </c>
      <c r="F195" s="208" t="s">
        <v>109</v>
      </c>
      <c r="G195" s="208" t="s">
        <v>170</v>
      </c>
      <c r="H195" s="208" t="s">
        <v>175</v>
      </c>
      <c r="I195" s="201"/>
      <c r="J195" s="202"/>
      <c r="K195" s="202"/>
      <c r="L195" s="202"/>
      <c r="M195" s="202"/>
      <c r="N195" s="202"/>
      <c r="O195" s="202"/>
      <c r="P195" s="202"/>
      <c r="Q195" s="202"/>
      <c r="R195" s="202"/>
      <c r="S195" s="202"/>
      <c r="T195" s="202"/>
    </row>
    <row r="196" spans="1:20" s="182" customFormat="1" ht="16.5" hidden="1" customHeight="1">
      <c r="A196" s="222">
        <v>45309</v>
      </c>
      <c r="B196" s="201" t="s">
        <v>311</v>
      </c>
      <c r="C196" s="208" t="s">
        <v>27</v>
      </c>
      <c r="D196" s="291">
        <v>-398650</v>
      </c>
      <c r="E196" s="212">
        <v>45292</v>
      </c>
      <c r="F196" s="208" t="s">
        <v>207</v>
      </c>
      <c r="G196" s="208" t="s">
        <v>312</v>
      </c>
      <c r="H196" s="201"/>
      <c r="I196" s="201"/>
      <c r="J196" s="202"/>
      <c r="K196" s="202"/>
      <c r="L196" s="202"/>
      <c r="M196" s="202"/>
      <c r="N196" s="202"/>
      <c r="O196" s="202"/>
      <c r="P196" s="202"/>
      <c r="Q196" s="202"/>
      <c r="R196" s="202"/>
      <c r="S196" s="202"/>
      <c r="T196" s="202"/>
    </row>
    <row r="197" spans="1:20" s="182" customFormat="1" ht="16.5" hidden="1" customHeight="1">
      <c r="A197" s="222">
        <v>45309</v>
      </c>
      <c r="B197" s="201" t="s">
        <v>313</v>
      </c>
      <c r="C197" s="208" t="s">
        <v>27</v>
      </c>
      <c r="D197" s="291">
        <f>-849200/2</f>
        <v>-424600</v>
      </c>
      <c r="E197" s="212">
        <v>45292</v>
      </c>
      <c r="F197" s="201" t="s">
        <v>130</v>
      </c>
      <c r="G197" s="208" t="s">
        <v>130</v>
      </c>
      <c r="H197" s="201" t="s">
        <v>275</v>
      </c>
      <c r="I197" s="201"/>
      <c r="J197" s="202"/>
      <c r="K197" s="202"/>
      <c r="L197" s="202"/>
      <c r="M197" s="202"/>
      <c r="N197" s="202"/>
      <c r="O197" s="202"/>
      <c r="P197" s="202"/>
      <c r="Q197" s="202"/>
      <c r="R197" s="202"/>
      <c r="S197" s="202"/>
      <c r="T197" s="202"/>
    </row>
    <row r="198" spans="1:20" s="182" customFormat="1" ht="16.5" hidden="1" customHeight="1">
      <c r="A198" s="222">
        <v>45309</v>
      </c>
      <c r="B198" s="201" t="s">
        <v>314</v>
      </c>
      <c r="C198" s="208" t="s">
        <v>27</v>
      </c>
      <c r="D198" s="291">
        <f>-849200/2</f>
        <v>-424600</v>
      </c>
      <c r="E198" s="212">
        <v>45292</v>
      </c>
      <c r="F198" s="208" t="s">
        <v>109</v>
      </c>
      <c r="G198" s="208" t="s">
        <v>120</v>
      </c>
      <c r="H198" s="201"/>
      <c r="I198" s="201"/>
      <c r="J198" s="202"/>
      <c r="K198" s="202"/>
      <c r="L198" s="202"/>
      <c r="M198" s="202"/>
      <c r="N198" s="202"/>
      <c r="O198" s="202"/>
      <c r="P198" s="202"/>
      <c r="Q198" s="202"/>
      <c r="R198" s="202"/>
      <c r="S198" s="202"/>
      <c r="T198" s="202"/>
    </row>
    <row r="199" spans="1:20" s="182" customFormat="1" ht="16.5" hidden="1" customHeight="1">
      <c r="A199" s="603">
        <v>45309</v>
      </c>
      <c r="B199" s="604" t="s">
        <v>315</v>
      </c>
      <c r="C199" s="208" t="s">
        <v>27</v>
      </c>
      <c r="D199" s="291">
        <v>-933453</v>
      </c>
      <c r="E199" s="212">
        <v>45292</v>
      </c>
      <c r="F199" s="208" t="s">
        <v>109</v>
      </c>
      <c r="G199" s="208" t="s">
        <v>120</v>
      </c>
      <c r="H199" s="201"/>
      <c r="I199" s="201"/>
      <c r="J199" s="202"/>
      <c r="K199" s="202"/>
      <c r="L199" s="202"/>
      <c r="M199" s="202"/>
      <c r="N199" s="202"/>
      <c r="O199" s="202"/>
      <c r="P199" s="202"/>
      <c r="Q199" s="202"/>
      <c r="R199" s="202"/>
      <c r="S199" s="202"/>
      <c r="T199" s="202"/>
    </row>
    <row r="200" spans="1:20" s="182" customFormat="1" ht="16.5" hidden="1" customHeight="1">
      <c r="A200" s="603">
        <v>45309</v>
      </c>
      <c r="B200" s="604" t="s">
        <v>316</v>
      </c>
      <c r="C200" s="208" t="s">
        <v>27</v>
      </c>
      <c r="D200" s="291">
        <v>-1889357</v>
      </c>
      <c r="E200" s="212">
        <v>45292</v>
      </c>
      <c r="F200" s="208" t="s">
        <v>109</v>
      </c>
      <c r="G200" s="208" t="s">
        <v>317</v>
      </c>
      <c r="H200" s="201" t="s">
        <v>318</v>
      </c>
      <c r="I200" s="201"/>
      <c r="J200" s="202"/>
      <c r="K200" s="202"/>
      <c r="L200" s="202"/>
      <c r="M200" s="202"/>
      <c r="N200" s="202"/>
      <c r="O200" s="202"/>
      <c r="P200" s="202"/>
      <c r="Q200" s="202"/>
      <c r="R200" s="202"/>
      <c r="S200" s="202"/>
      <c r="T200" s="202"/>
    </row>
    <row r="201" spans="1:20" s="182" customFormat="1" ht="16.5" hidden="1" customHeight="1">
      <c r="A201" s="222">
        <v>45309</v>
      </c>
      <c r="B201" s="201" t="s">
        <v>319</v>
      </c>
      <c r="C201" s="208" t="s">
        <v>133</v>
      </c>
      <c r="D201" s="291">
        <v>-30800</v>
      </c>
      <c r="E201" s="212">
        <v>45292</v>
      </c>
      <c r="F201" s="208" t="s">
        <v>109</v>
      </c>
      <c r="G201" s="208" t="s">
        <v>120</v>
      </c>
      <c r="H201" s="201"/>
      <c r="I201" s="201"/>
      <c r="J201" s="202"/>
      <c r="K201" s="202"/>
      <c r="L201" s="202"/>
      <c r="M201" s="202"/>
      <c r="N201" s="202"/>
      <c r="O201" s="202"/>
      <c r="P201" s="202"/>
      <c r="Q201" s="202"/>
      <c r="R201" s="202"/>
      <c r="S201" s="202"/>
      <c r="T201" s="202"/>
    </row>
    <row r="202" spans="1:20" s="182" customFormat="1" ht="16.5" hidden="1" customHeight="1">
      <c r="A202" s="222">
        <v>45309</v>
      </c>
      <c r="B202" s="201" t="s">
        <v>320</v>
      </c>
      <c r="C202" s="208" t="s">
        <v>146</v>
      </c>
      <c r="D202" s="291">
        <v>-29050</v>
      </c>
      <c r="E202" s="212">
        <v>45292</v>
      </c>
      <c r="F202" s="208" t="s">
        <v>109</v>
      </c>
      <c r="G202" s="208" t="s">
        <v>170</v>
      </c>
      <c r="H202" s="208" t="s">
        <v>175</v>
      </c>
      <c r="I202" s="201"/>
      <c r="J202" s="202"/>
      <c r="K202" s="202"/>
      <c r="L202" s="202"/>
      <c r="M202" s="202"/>
      <c r="N202" s="202"/>
      <c r="O202" s="202"/>
      <c r="P202" s="202"/>
      <c r="Q202" s="202"/>
      <c r="R202" s="202"/>
      <c r="S202" s="202"/>
      <c r="T202" s="202"/>
    </row>
    <row r="203" spans="1:20" s="182" customFormat="1" ht="16.5" hidden="1" customHeight="1">
      <c r="A203" s="605">
        <v>45309</v>
      </c>
      <c r="B203" s="601" t="s">
        <v>321</v>
      </c>
      <c r="C203" s="208" t="s">
        <v>269</v>
      </c>
      <c r="D203" s="592">
        <v>-22401</v>
      </c>
      <c r="E203" s="212">
        <v>45292</v>
      </c>
      <c r="F203" s="592" t="s">
        <v>109</v>
      </c>
      <c r="G203" s="208" t="s">
        <v>169</v>
      </c>
      <c r="H203" s="208" t="s">
        <v>175</v>
      </c>
      <c r="I203" s="601"/>
      <c r="J203" s="289"/>
      <c r="K203" s="289"/>
      <c r="L203" s="289"/>
      <c r="M203" s="289"/>
      <c r="N203" s="289"/>
      <c r="O203" s="289"/>
      <c r="P203" s="289"/>
      <c r="Q203" s="289"/>
      <c r="R203" s="289"/>
      <c r="S203" s="289"/>
      <c r="T203" s="289"/>
    </row>
    <row r="204" spans="1:20" s="182" customFormat="1" ht="16.5" hidden="1" customHeight="1">
      <c r="A204" s="605">
        <v>45309</v>
      </c>
      <c r="B204" s="601" t="s">
        <v>322</v>
      </c>
      <c r="C204" s="208" t="s">
        <v>269</v>
      </c>
      <c r="D204" s="606">
        <v>-27300</v>
      </c>
      <c r="E204" s="212">
        <v>45292</v>
      </c>
      <c r="F204" s="592" t="s">
        <v>130</v>
      </c>
      <c r="G204" s="208" t="s">
        <v>130</v>
      </c>
      <c r="H204" s="601" t="s">
        <v>323</v>
      </c>
      <c r="I204" s="601"/>
      <c r="J204" s="289"/>
      <c r="K204" s="289"/>
      <c r="L204" s="289"/>
      <c r="M204" s="289"/>
      <c r="N204" s="289"/>
      <c r="O204" s="289"/>
      <c r="P204" s="289"/>
      <c r="Q204" s="289"/>
      <c r="R204" s="289"/>
      <c r="S204" s="289"/>
      <c r="T204" s="289"/>
    </row>
    <row r="205" spans="1:20" s="182" customFormat="1" ht="16.5" hidden="1" customHeight="1">
      <c r="A205" s="599">
        <v>45309</v>
      </c>
      <c r="B205" s="201" t="s">
        <v>273</v>
      </c>
      <c r="C205" s="208" t="s">
        <v>27</v>
      </c>
      <c r="D205" s="291">
        <v>-14000</v>
      </c>
      <c r="E205" s="212">
        <v>45292</v>
      </c>
      <c r="F205" s="291" t="s">
        <v>109</v>
      </c>
      <c r="G205" s="208" t="s">
        <v>120</v>
      </c>
      <c r="H205" s="201"/>
      <c r="I205" s="201"/>
      <c r="J205" s="202"/>
      <c r="K205" s="202"/>
      <c r="L205" s="202"/>
      <c r="M205" s="202"/>
      <c r="N205" s="202"/>
      <c r="O205" s="202"/>
      <c r="P205" s="202"/>
      <c r="Q205" s="202"/>
      <c r="R205" s="202"/>
      <c r="S205" s="202"/>
      <c r="T205" s="202"/>
    </row>
    <row r="206" spans="1:20" s="182" customFormat="1" ht="16.5" hidden="1" customHeight="1">
      <c r="A206" s="222">
        <v>45309</v>
      </c>
      <c r="B206" s="201" t="s">
        <v>274</v>
      </c>
      <c r="C206" s="208" t="s">
        <v>27</v>
      </c>
      <c r="D206" s="291">
        <v>-14000</v>
      </c>
      <c r="E206" s="212">
        <v>45292</v>
      </c>
      <c r="F206" s="291" t="s">
        <v>130</v>
      </c>
      <c r="G206" s="208" t="s">
        <v>130</v>
      </c>
      <c r="H206" s="201" t="s">
        <v>275</v>
      </c>
      <c r="I206" s="201"/>
      <c r="J206" s="202"/>
      <c r="K206" s="202"/>
      <c r="L206" s="202"/>
      <c r="M206" s="202"/>
      <c r="N206" s="202"/>
      <c r="O206" s="202"/>
      <c r="P206" s="202"/>
      <c r="Q206" s="202"/>
      <c r="R206" s="202"/>
      <c r="S206" s="202"/>
      <c r="T206" s="202"/>
    </row>
    <row r="207" spans="1:20" s="182" customFormat="1" ht="16.5" hidden="1" customHeight="1">
      <c r="A207" s="222">
        <v>45310</v>
      </c>
      <c r="B207" s="201" t="s">
        <v>324</v>
      </c>
      <c r="C207" s="208" t="s">
        <v>27</v>
      </c>
      <c r="D207" s="291">
        <v>-1191000</v>
      </c>
      <c r="E207" s="212">
        <v>45292</v>
      </c>
      <c r="F207" s="208" t="s">
        <v>109</v>
      </c>
      <c r="G207" s="208" t="s">
        <v>120</v>
      </c>
      <c r="H207" s="201"/>
      <c r="I207" s="201"/>
      <c r="J207" s="202"/>
      <c r="K207" s="202"/>
      <c r="L207" s="202"/>
      <c r="M207" s="202"/>
      <c r="N207" s="202"/>
      <c r="O207" s="202"/>
      <c r="P207" s="202"/>
      <c r="Q207" s="202"/>
      <c r="R207" s="202"/>
      <c r="S207" s="202"/>
      <c r="T207" s="202"/>
    </row>
    <row r="208" spans="1:20" s="182" customFormat="1" ht="16.5" hidden="1" customHeight="1">
      <c r="A208" s="222">
        <v>45310</v>
      </c>
      <c r="B208" s="201" t="s">
        <v>325</v>
      </c>
      <c r="C208" s="208" t="s">
        <v>27</v>
      </c>
      <c r="D208" s="291">
        <v>-7900</v>
      </c>
      <c r="E208" s="212">
        <v>45292</v>
      </c>
      <c r="F208" s="201" t="s">
        <v>130</v>
      </c>
      <c r="G208" s="208" t="s">
        <v>130</v>
      </c>
      <c r="H208" s="208" t="s">
        <v>184</v>
      </c>
      <c r="I208" s="201"/>
      <c r="J208" s="202"/>
      <c r="K208" s="202"/>
      <c r="L208" s="202"/>
      <c r="M208" s="202"/>
      <c r="N208" s="202"/>
      <c r="O208" s="202"/>
      <c r="P208" s="202"/>
      <c r="Q208" s="202"/>
      <c r="R208" s="202"/>
      <c r="S208" s="202"/>
      <c r="T208" s="202"/>
    </row>
    <row r="209" spans="1:20" s="182" customFormat="1" ht="16.5" hidden="1" customHeight="1">
      <c r="A209" s="222">
        <v>45310</v>
      </c>
      <c r="B209" s="201" t="s">
        <v>326</v>
      </c>
      <c r="C209" s="208" t="s">
        <v>25</v>
      </c>
      <c r="D209" s="291">
        <v>3930241.66</v>
      </c>
      <c r="E209" s="212">
        <v>45292</v>
      </c>
      <c r="F209" s="201" t="s">
        <v>108</v>
      </c>
      <c r="G209" s="208"/>
      <c r="H209" s="201"/>
      <c r="I209" s="201"/>
      <c r="J209" s="202"/>
      <c r="K209" s="202"/>
      <c r="L209" s="202"/>
      <c r="M209" s="202"/>
      <c r="N209" s="202"/>
      <c r="O209" s="202"/>
      <c r="P209" s="202"/>
      <c r="Q209" s="202"/>
      <c r="R209" s="202"/>
      <c r="S209" s="202"/>
      <c r="T209" s="202"/>
    </row>
    <row r="210" spans="1:20" s="182" customFormat="1" ht="16.5" hidden="1" customHeight="1">
      <c r="A210" s="222">
        <v>45310</v>
      </c>
      <c r="B210" s="201" t="s">
        <v>327</v>
      </c>
      <c r="C210" s="208" t="s">
        <v>27</v>
      </c>
      <c r="D210" s="291">
        <v>-1331306</v>
      </c>
      <c r="E210" s="212">
        <v>45292</v>
      </c>
      <c r="F210" s="208" t="s">
        <v>110</v>
      </c>
      <c r="G210" s="81" t="s">
        <v>227</v>
      </c>
      <c r="H210" s="201" t="s">
        <v>310</v>
      </c>
      <c r="I210" s="201"/>
      <c r="J210" s="202"/>
      <c r="K210" s="202"/>
      <c r="L210" s="202"/>
      <c r="M210" s="202"/>
      <c r="N210" s="202"/>
      <c r="O210" s="202"/>
      <c r="P210" s="202"/>
      <c r="Q210" s="202"/>
      <c r="R210" s="202"/>
      <c r="S210" s="202"/>
      <c r="T210" s="202"/>
    </row>
    <row r="211" spans="1:20" s="182" customFormat="1" ht="16.5" hidden="1" customHeight="1">
      <c r="A211" s="222">
        <v>45310</v>
      </c>
      <c r="B211" s="201" t="s">
        <v>328</v>
      </c>
      <c r="C211" s="208" t="s">
        <v>27</v>
      </c>
      <c r="D211" s="291">
        <v>-1500000</v>
      </c>
      <c r="E211" s="212">
        <v>45292</v>
      </c>
      <c r="F211" s="208" t="s">
        <v>109</v>
      </c>
      <c r="G211" s="208" t="s">
        <v>120</v>
      </c>
      <c r="H211" s="201"/>
      <c r="I211" s="201"/>
      <c r="J211" s="202"/>
      <c r="K211" s="202"/>
      <c r="L211" s="202"/>
      <c r="M211" s="202"/>
      <c r="N211" s="202"/>
      <c r="O211" s="202"/>
      <c r="P211" s="202"/>
      <c r="Q211" s="202"/>
      <c r="R211" s="202"/>
      <c r="S211" s="202"/>
      <c r="T211" s="202"/>
    </row>
    <row r="212" spans="1:20" s="182" customFormat="1" ht="16.5" hidden="1" customHeight="1">
      <c r="A212" s="222">
        <v>45310</v>
      </c>
      <c r="B212" s="201" t="s">
        <v>329</v>
      </c>
      <c r="C212" s="208" t="s">
        <v>330</v>
      </c>
      <c r="D212" s="291">
        <v>-21000</v>
      </c>
      <c r="E212" s="212">
        <v>45292</v>
      </c>
      <c r="F212" s="208" t="s">
        <v>109</v>
      </c>
      <c r="G212" s="208" t="s">
        <v>169</v>
      </c>
      <c r="H212" s="81" t="s">
        <v>138</v>
      </c>
      <c r="I212" s="201"/>
      <c r="J212" s="202"/>
      <c r="K212" s="202"/>
      <c r="L212" s="585">
        <v>45323</v>
      </c>
      <c r="M212" s="586">
        <f>-SUMIFS(D$5:D$143,E$5:E$143,L212,F$5:F$143,$M$3)</f>
        <v>0</v>
      </c>
      <c r="N212" s="586"/>
      <c r="O212" s="586">
        <f>+M212+N212</f>
        <v>0</v>
      </c>
      <c r="P212" s="586"/>
      <c r="Q212" s="586"/>
      <c r="R212" s="586">
        <f>SUMIFS(D$5:D$6061,E$5:E$6061,L212,F$5:F$6061,$R$3)</f>
        <v>-264568457.77482274</v>
      </c>
      <c r="S212" s="586">
        <f>-SUMIFS(D$5:D$6061,E$5:E$6061,L212,F$5:F$6061,$S$3)</f>
        <v>47328328.085106388</v>
      </c>
      <c r="T212" s="586">
        <f>SUMIFS(D$5:D$6061,E$5:E$6061,L212,F$5:F$6061,$T$3)</f>
        <v>-9413404.9299999997</v>
      </c>
    </row>
    <row r="213" spans="1:20" s="182" customFormat="1" ht="16.5" hidden="1" customHeight="1">
      <c r="A213" s="222">
        <v>45310</v>
      </c>
      <c r="B213" s="201" t="s">
        <v>331</v>
      </c>
      <c r="C213" s="208" t="s">
        <v>27</v>
      </c>
      <c r="D213" s="291">
        <v>-167600</v>
      </c>
      <c r="E213" s="212">
        <v>45292</v>
      </c>
      <c r="F213" s="201" t="s">
        <v>130</v>
      </c>
      <c r="G213" s="208" t="s">
        <v>130</v>
      </c>
      <c r="H213" s="201" t="s">
        <v>275</v>
      </c>
      <c r="I213" s="201"/>
      <c r="J213" s="209"/>
      <c r="K213" s="209"/>
      <c r="L213" s="209"/>
      <c r="M213" s="209"/>
      <c r="N213" s="209"/>
      <c r="O213" s="209"/>
      <c r="P213" s="209"/>
      <c r="Q213" s="209"/>
      <c r="R213" s="209"/>
      <c r="S213" s="209"/>
      <c r="T213" s="209"/>
    </row>
    <row r="214" spans="1:20" s="182" customFormat="1" ht="16.5" hidden="1" customHeight="1">
      <c r="A214" s="222">
        <v>45310</v>
      </c>
      <c r="B214" s="208" t="s">
        <v>332</v>
      </c>
      <c r="C214" s="208" t="s">
        <v>25</v>
      </c>
      <c r="D214" s="211">
        <v>-61800</v>
      </c>
      <c r="E214" s="212">
        <v>45292</v>
      </c>
      <c r="F214" s="208" t="s">
        <v>109</v>
      </c>
      <c r="G214" s="208" t="s">
        <v>120</v>
      </c>
      <c r="H214" s="208"/>
      <c r="I214" s="208"/>
      <c r="J214" s="202"/>
      <c r="K214" s="202"/>
      <c r="L214" s="202"/>
      <c r="M214" s="202"/>
      <c r="N214" s="202"/>
      <c r="O214" s="202"/>
      <c r="P214" s="202"/>
      <c r="Q214" s="202"/>
      <c r="R214" s="202"/>
      <c r="S214" s="202"/>
      <c r="T214" s="202"/>
    </row>
    <row r="215" spans="1:20" s="182" customFormat="1" ht="16.5" hidden="1" customHeight="1">
      <c r="A215" s="222">
        <v>45310</v>
      </c>
      <c r="B215" s="201" t="s">
        <v>333</v>
      </c>
      <c r="C215" s="208" t="s">
        <v>133</v>
      </c>
      <c r="D215" s="291">
        <v>-1877</v>
      </c>
      <c r="E215" s="212">
        <v>45292</v>
      </c>
      <c r="F215" s="84" t="s">
        <v>111</v>
      </c>
      <c r="G215" s="208"/>
      <c r="H215" s="201"/>
      <c r="I215" s="201"/>
      <c r="J215" s="202"/>
      <c r="K215" s="202"/>
      <c r="L215" s="202"/>
      <c r="M215" s="202"/>
      <c r="N215" s="202"/>
      <c r="O215" s="202"/>
      <c r="P215" s="202"/>
      <c r="Q215" s="202"/>
      <c r="R215" s="202"/>
      <c r="S215" s="202"/>
      <c r="T215" s="202"/>
    </row>
    <row r="216" spans="1:20" s="182" customFormat="1" ht="16.5" hidden="1" customHeight="1">
      <c r="A216" s="222">
        <v>45310</v>
      </c>
      <c r="B216" s="201" t="s">
        <v>334</v>
      </c>
      <c r="C216" s="208" t="s">
        <v>133</v>
      </c>
      <c r="D216" s="291">
        <v>-10565</v>
      </c>
      <c r="E216" s="212">
        <v>45292</v>
      </c>
      <c r="F216" s="84" t="s">
        <v>111</v>
      </c>
      <c r="G216" s="208"/>
      <c r="H216" s="201"/>
      <c r="I216" s="201"/>
      <c r="J216" s="202"/>
      <c r="K216" s="202"/>
      <c r="L216" s="202"/>
      <c r="M216" s="202"/>
      <c r="N216" s="202"/>
      <c r="O216" s="202"/>
      <c r="P216" s="202"/>
      <c r="Q216" s="202"/>
      <c r="R216" s="202"/>
      <c r="S216" s="202"/>
      <c r="T216" s="202"/>
    </row>
    <row r="217" spans="1:20" s="182" customFormat="1" ht="16.5" hidden="1" customHeight="1">
      <c r="A217" s="222">
        <v>45310</v>
      </c>
      <c r="B217" s="201" t="s">
        <v>335</v>
      </c>
      <c r="C217" s="208" t="s">
        <v>27</v>
      </c>
      <c r="D217" s="291">
        <v>3509942.21</v>
      </c>
      <c r="E217" s="212">
        <v>45292</v>
      </c>
      <c r="F217" s="291" t="s">
        <v>108</v>
      </c>
      <c r="G217" s="208"/>
      <c r="H217" s="201"/>
      <c r="I217" s="201"/>
      <c r="J217" s="202"/>
      <c r="K217" s="202"/>
      <c r="L217" s="202"/>
      <c r="M217" s="202"/>
      <c r="N217" s="202"/>
      <c r="O217" s="202"/>
      <c r="P217" s="202"/>
      <c r="Q217" s="202"/>
      <c r="R217" s="202"/>
      <c r="S217" s="202"/>
      <c r="T217" s="202"/>
    </row>
    <row r="218" spans="1:20" s="182" customFormat="1" ht="16.5" hidden="1" customHeight="1">
      <c r="A218" s="222">
        <v>45310</v>
      </c>
      <c r="B218" s="201" t="s">
        <v>336</v>
      </c>
      <c r="C218" s="208" t="s">
        <v>25</v>
      </c>
      <c r="D218" s="291">
        <v>-358600</v>
      </c>
      <c r="E218" s="212">
        <v>45292</v>
      </c>
      <c r="F218" s="291" t="s">
        <v>130</v>
      </c>
      <c r="G218" s="208" t="s">
        <v>130</v>
      </c>
      <c r="H218" s="201" t="s">
        <v>275</v>
      </c>
      <c r="I218" s="201"/>
      <c r="J218" s="202"/>
      <c r="K218" s="202"/>
      <c r="L218" s="202"/>
      <c r="M218" s="202"/>
      <c r="N218" s="202"/>
      <c r="O218" s="202"/>
      <c r="P218" s="202"/>
      <c r="Q218" s="202"/>
      <c r="R218" s="202"/>
      <c r="S218" s="202"/>
      <c r="T218" s="202"/>
    </row>
    <row r="219" spans="1:20" s="182" customFormat="1" ht="16.5" hidden="1" customHeight="1">
      <c r="A219" s="605">
        <v>45310</v>
      </c>
      <c r="B219" s="601" t="s">
        <v>337</v>
      </c>
      <c r="C219" s="208" t="s">
        <v>269</v>
      </c>
      <c r="D219" s="592">
        <v>-6800</v>
      </c>
      <c r="E219" s="212">
        <v>45292</v>
      </c>
      <c r="F219" s="592" t="s">
        <v>109</v>
      </c>
      <c r="G219" s="208" t="s">
        <v>169</v>
      </c>
      <c r="H219" s="208" t="s">
        <v>175</v>
      </c>
      <c r="I219" s="601"/>
      <c r="J219" s="289"/>
      <c r="K219" s="289"/>
      <c r="L219" s="289"/>
      <c r="M219" s="289"/>
      <c r="N219" s="289"/>
      <c r="O219" s="289"/>
      <c r="P219" s="289"/>
      <c r="Q219" s="289"/>
      <c r="R219" s="289"/>
      <c r="S219" s="289"/>
      <c r="T219" s="289"/>
    </row>
    <row r="220" spans="1:20" s="182" customFormat="1" ht="16.5" hidden="1" customHeight="1">
      <c r="A220" s="605">
        <v>45310</v>
      </c>
      <c r="B220" s="601" t="s">
        <v>338</v>
      </c>
      <c r="C220" s="208" t="s">
        <v>269</v>
      </c>
      <c r="D220" s="592">
        <v>-32500</v>
      </c>
      <c r="E220" s="212">
        <v>45292</v>
      </c>
      <c r="F220" s="592" t="s">
        <v>109</v>
      </c>
      <c r="G220" s="208" t="s">
        <v>169</v>
      </c>
      <c r="H220" s="208" t="s">
        <v>175</v>
      </c>
      <c r="I220" s="601"/>
      <c r="J220" s="289"/>
      <c r="K220" s="289"/>
      <c r="L220" s="289"/>
      <c r="M220" s="289"/>
      <c r="N220" s="289"/>
      <c r="O220" s="289"/>
      <c r="P220" s="289"/>
      <c r="Q220" s="289"/>
      <c r="R220" s="289"/>
      <c r="S220" s="289"/>
      <c r="T220" s="289"/>
    </row>
    <row r="221" spans="1:20" s="182" customFormat="1" ht="16.5" hidden="1" customHeight="1">
      <c r="A221" s="605">
        <v>45310</v>
      </c>
      <c r="B221" s="601" t="s">
        <v>339</v>
      </c>
      <c r="C221" s="208" t="s">
        <v>269</v>
      </c>
      <c r="D221" s="592">
        <v>-12800</v>
      </c>
      <c r="E221" s="212">
        <v>45292</v>
      </c>
      <c r="F221" s="592" t="s">
        <v>109</v>
      </c>
      <c r="G221" s="208" t="s">
        <v>170</v>
      </c>
      <c r="H221" s="208" t="s">
        <v>175</v>
      </c>
      <c r="I221" s="601"/>
      <c r="J221" s="289"/>
      <c r="K221" s="289"/>
      <c r="L221" s="289"/>
      <c r="M221" s="289"/>
      <c r="N221" s="289"/>
      <c r="O221" s="289"/>
      <c r="P221" s="289"/>
      <c r="Q221" s="289"/>
      <c r="R221" s="289"/>
      <c r="S221" s="289"/>
      <c r="T221" s="289"/>
    </row>
    <row r="222" spans="1:20" s="182" customFormat="1" ht="16.5" hidden="1" customHeight="1">
      <c r="A222" s="605">
        <v>45310</v>
      </c>
      <c r="B222" s="601" t="s">
        <v>340</v>
      </c>
      <c r="C222" s="208" t="s">
        <v>269</v>
      </c>
      <c r="D222" s="592">
        <v>-6200</v>
      </c>
      <c r="E222" s="212">
        <v>45292</v>
      </c>
      <c r="F222" s="592" t="s">
        <v>109</v>
      </c>
      <c r="G222" s="208" t="s">
        <v>169</v>
      </c>
      <c r="H222" s="208" t="s">
        <v>175</v>
      </c>
      <c r="I222" s="601"/>
      <c r="J222" s="289"/>
      <c r="K222" s="289"/>
      <c r="L222" s="289"/>
      <c r="M222" s="289"/>
      <c r="N222" s="289"/>
      <c r="O222" s="289"/>
      <c r="P222" s="289"/>
      <c r="Q222" s="289"/>
      <c r="R222" s="289"/>
      <c r="S222" s="289"/>
      <c r="T222" s="289"/>
    </row>
    <row r="223" spans="1:20" s="182" customFormat="1" ht="16.5" hidden="1" customHeight="1">
      <c r="A223" s="605">
        <v>45310</v>
      </c>
      <c r="B223" s="601" t="s">
        <v>341</v>
      </c>
      <c r="C223" s="208" t="s">
        <v>269</v>
      </c>
      <c r="D223" s="592">
        <v>-8750</v>
      </c>
      <c r="E223" s="212">
        <v>45292</v>
      </c>
      <c r="F223" s="592" t="s">
        <v>109</v>
      </c>
      <c r="G223" s="208" t="s">
        <v>169</v>
      </c>
      <c r="H223" s="208" t="s">
        <v>175</v>
      </c>
      <c r="I223" s="601"/>
      <c r="J223" s="289"/>
      <c r="K223" s="289"/>
      <c r="L223" s="289"/>
      <c r="M223" s="289"/>
      <c r="N223" s="289"/>
      <c r="O223" s="289"/>
      <c r="P223" s="289"/>
      <c r="Q223" s="289"/>
      <c r="R223" s="289"/>
      <c r="S223" s="289"/>
      <c r="T223" s="289"/>
    </row>
    <row r="224" spans="1:20" s="182" customFormat="1" ht="16.5" hidden="1" customHeight="1">
      <c r="A224" s="605">
        <v>45310</v>
      </c>
      <c r="B224" s="601" t="s">
        <v>342</v>
      </c>
      <c r="C224" s="208" t="s">
        <v>269</v>
      </c>
      <c r="D224" s="606">
        <v>-5600</v>
      </c>
      <c r="E224" s="212">
        <v>45292</v>
      </c>
      <c r="F224" s="592" t="s">
        <v>109</v>
      </c>
      <c r="G224" s="208" t="s">
        <v>170</v>
      </c>
      <c r="H224" s="208" t="s">
        <v>175</v>
      </c>
      <c r="I224" s="601"/>
      <c r="J224" s="289"/>
      <c r="K224" s="289"/>
      <c r="L224" s="289"/>
      <c r="M224" s="289"/>
      <c r="N224" s="289"/>
      <c r="O224" s="289"/>
      <c r="P224" s="289"/>
      <c r="Q224" s="289"/>
      <c r="R224" s="289"/>
      <c r="S224" s="289"/>
      <c r="T224" s="289"/>
    </row>
    <row r="225" spans="1:20" s="182" customFormat="1" ht="16.5" hidden="1" customHeight="1">
      <c r="A225" s="605">
        <v>45310</v>
      </c>
      <c r="B225" s="601" t="s">
        <v>343</v>
      </c>
      <c r="C225" s="208" t="s">
        <v>269</v>
      </c>
      <c r="D225" s="592">
        <v>-7500</v>
      </c>
      <c r="E225" s="212">
        <v>45292</v>
      </c>
      <c r="F225" s="592" t="s">
        <v>109</v>
      </c>
      <c r="G225" s="208" t="s">
        <v>169</v>
      </c>
      <c r="H225" s="81" t="s">
        <v>138</v>
      </c>
      <c r="I225" s="201" t="s">
        <v>173</v>
      </c>
      <c r="J225" s="289"/>
      <c r="K225" s="289"/>
      <c r="L225" s="289"/>
      <c r="M225" s="289"/>
      <c r="N225" s="289"/>
      <c r="O225" s="289"/>
      <c r="P225" s="289"/>
      <c r="Q225" s="289"/>
      <c r="R225" s="289"/>
      <c r="S225" s="289"/>
      <c r="T225" s="289"/>
    </row>
    <row r="226" spans="1:20" s="182" customFormat="1" ht="16.5" hidden="1" customHeight="1">
      <c r="A226" s="605">
        <v>45310</v>
      </c>
      <c r="B226" s="601" t="s">
        <v>344</v>
      </c>
      <c r="C226" s="208" t="s">
        <v>269</v>
      </c>
      <c r="D226" s="592">
        <v>-7500</v>
      </c>
      <c r="E226" s="212">
        <v>45292</v>
      </c>
      <c r="F226" s="592" t="s">
        <v>109</v>
      </c>
      <c r="G226" s="208" t="s">
        <v>169</v>
      </c>
      <c r="H226" s="81" t="s">
        <v>138</v>
      </c>
      <c r="I226" s="201" t="s">
        <v>173</v>
      </c>
      <c r="J226" s="289"/>
      <c r="K226" s="289"/>
      <c r="L226" s="289"/>
      <c r="M226" s="289"/>
      <c r="N226" s="289"/>
      <c r="O226" s="289"/>
      <c r="P226" s="289"/>
      <c r="Q226" s="289"/>
      <c r="R226" s="289"/>
      <c r="S226" s="289"/>
      <c r="T226" s="289"/>
    </row>
    <row r="227" spans="1:20" s="182" customFormat="1" ht="16.5" hidden="1" customHeight="1">
      <c r="A227" s="605">
        <v>45310</v>
      </c>
      <c r="B227" s="601" t="s">
        <v>345</v>
      </c>
      <c r="C227" s="208" t="s">
        <v>269</v>
      </c>
      <c r="D227" s="592">
        <v>-7000</v>
      </c>
      <c r="E227" s="212">
        <v>45292</v>
      </c>
      <c r="F227" s="592" t="s">
        <v>109</v>
      </c>
      <c r="G227" s="208" t="s">
        <v>169</v>
      </c>
      <c r="H227" s="81" t="s">
        <v>138</v>
      </c>
      <c r="I227" s="201" t="s">
        <v>173</v>
      </c>
      <c r="J227" s="289"/>
      <c r="K227" s="289"/>
      <c r="L227" s="289"/>
      <c r="M227" s="289"/>
      <c r="N227" s="289"/>
      <c r="O227" s="289"/>
      <c r="P227" s="289"/>
      <c r="Q227" s="289"/>
      <c r="R227" s="289"/>
      <c r="S227" s="289"/>
      <c r="T227" s="289"/>
    </row>
    <row r="228" spans="1:20" s="182" customFormat="1" ht="16.5" hidden="1" customHeight="1">
      <c r="A228" s="605">
        <v>45310</v>
      </c>
      <c r="B228" s="601" t="s">
        <v>346</v>
      </c>
      <c r="C228" s="208" t="s">
        <v>269</v>
      </c>
      <c r="D228" s="606">
        <v>-7500</v>
      </c>
      <c r="E228" s="212">
        <v>45292</v>
      </c>
      <c r="F228" s="592" t="s">
        <v>109</v>
      </c>
      <c r="G228" s="208" t="s">
        <v>170</v>
      </c>
      <c r="H228" s="81" t="s">
        <v>138</v>
      </c>
      <c r="I228" s="201" t="s">
        <v>173</v>
      </c>
      <c r="J228" s="289"/>
      <c r="K228" s="289"/>
      <c r="L228" s="289"/>
      <c r="M228" s="289"/>
      <c r="N228" s="289"/>
      <c r="O228" s="289"/>
      <c r="P228" s="289"/>
      <c r="Q228" s="289"/>
      <c r="R228" s="289"/>
      <c r="S228" s="289"/>
      <c r="T228" s="289"/>
    </row>
    <row r="229" spans="1:20" s="182" customFormat="1" ht="16.5" hidden="1" customHeight="1">
      <c r="A229" s="600">
        <v>45310</v>
      </c>
      <c r="B229" s="601" t="s">
        <v>347</v>
      </c>
      <c r="C229" s="208" t="s">
        <v>269</v>
      </c>
      <c r="D229" s="592">
        <v>-32000</v>
      </c>
      <c r="E229" s="212">
        <v>45292</v>
      </c>
      <c r="F229" s="592" t="s">
        <v>109</v>
      </c>
      <c r="G229" s="208" t="s">
        <v>120</v>
      </c>
      <c r="H229" s="601"/>
      <c r="I229" s="601"/>
      <c r="J229" s="289"/>
      <c r="K229" s="289"/>
      <c r="L229" s="289"/>
      <c r="M229" s="289"/>
      <c r="N229" s="289"/>
      <c r="O229" s="289"/>
      <c r="P229" s="289"/>
      <c r="Q229" s="289"/>
      <c r="R229" s="289"/>
      <c r="S229" s="289"/>
      <c r="T229" s="289"/>
    </row>
    <row r="230" spans="1:20" s="182" customFormat="1" ht="16.5" hidden="1" customHeight="1">
      <c r="A230" s="599">
        <v>45310</v>
      </c>
      <c r="B230" s="201" t="s">
        <v>273</v>
      </c>
      <c r="C230" s="208" t="s">
        <v>27</v>
      </c>
      <c r="D230" s="291">
        <v>-10500</v>
      </c>
      <c r="E230" s="212">
        <v>45292</v>
      </c>
      <c r="F230" s="291" t="s">
        <v>109</v>
      </c>
      <c r="G230" s="208" t="s">
        <v>120</v>
      </c>
      <c r="H230" s="201"/>
      <c r="I230" s="201"/>
      <c r="J230" s="202"/>
      <c r="K230" s="202"/>
      <c r="L230" s="202"/>
      <c r="M230" s="202"/>
      <c r="N230" s="202"/>
      <c r="O230" s="202"/>
      <c r="P230" s="202"/>
      <c r="Q230" s="202"/>
      <c r="R230" s="202"/>
      <c r="S230" s="202"/>
      <c r="T230" s="202"/>
    </row>
    <row r="231" spans="1:20" s="182" customFormat="1" ht="16.5" hidden="1" customHeight="1">
      <c r="A231" s="599">
        <v>45310</v>
      </c>
      <c r="B231" s="201" t="s">
        <v>348</v>
      </c>
      <c r="C231" s="208" t="s">
        <v>27</v>
      </c>
      <c r="D231" s="291">
        <v>-90000</v>
      </c>
      <c r="E231" s="212">
        <v>45292</v>
      </c>
      <c r="F231" s="291" t="s">
        <v>109</v>
      </c>
      <c r="G231" s="208" t="s">
        <v>120</v>
      </c>
      <c r="H231" s="201"/>
      <c r="I231" s="201"/>
      <c r="J231" s="202"/>
      <c r="K231" s="202"/>
      <c r="L231" s="202"/>
      <c r="M231" s="202"/>
      <c r="N231" s="202"/>
      <c r="O231" s="202"/>
      <c r="P231" s="202"/>
      <c r="Q231" s="202"/>
      <c r="R231" s="202"/>
      <c r="S231" s="202"/>
      <c r="T231" s="202"/>
    </row>
    <row r="232" spans="1:20" s="182" customFormat="1" ht="16.5" hidden="1" customHeight="1">
      <c r="A232" s="599">
        <v>45310</v>
      </c>
      <c r="B232" s="201" t="s">
        <v>349</v>
      </c>
      <c r="C232" s="208" t="s">
        <v>27</v>
      </c>
      <c r="D232" s="291">
        <v>-23800</v>
      </c>
      <c r="E232" s="212">
        <v>45292</v>
      </c>
      <c r="F232" s="291" t="s">
        <v>109</v>
      </c>
      <c r="G232" s="208" t="s">
        <v>120</v>
      </c>
      <c r="H232" s="201"/>
      <c r="I232" s="201"/>
      <c r="J232" s="202"/>
      <c r="K232" s="202"/>
      <c r="L232" s="202"/>
      <c r="M232" s="202"/>
      <c r="N232" s="202"/>
      <c r="O232" s="202"/>
      <c r="P232" s="202"/>
      <c r="Q232" s="202"/>
      <c r="R232" s="202"/>
      <c r="S232" s="202"/>
      <c r="T232" s="202"/>
    </row>
    <row r="233" spans="1:20" s="182" customFormat="1" ht="16.5" hidden="1" customHeight="1">
      <c r="A233" s="599">
        <v>45310</v>
      </c>
      <c r="B233" s="201" t="s">
        <v>350</v>
      </c>
      <c r="C233" s="208" t="s">
        <v>27</v>
      </c>
      <c r="D233" s="291">
        <v>-8000</v>
      </c>
      <c r="E233" s="212">
        <v>45292</v>
      </c>
      <c r="F233" s="291" t="s">
        <v>109</v>
      </c>
      <c r="G233" s="208" t="s">
        <v>120</v>
      </c>
      <c r="H233" s="201"/>
      <c r="I233" s="201"/>
      <c r="J233" s="202"/>
      <c r="K233" s="202"/>
      <c r="L233" s="202"/>
      <c r="M233" s="202"/>
      <c r="N233" s="202"/>
      <c r="O233" s="202"/>
      <c r="P233" s="202"/>
      <c r="Q233" s="202"/>
      <c r="R233" s="202"/>
      <c r="S233" s="202"/>
      <c r="T233" s="202"/>
    </row>
    <row r="234" spans="1:20" s="182" customFormat="1" ht="16.5" hidden="1" customHeight="1">
      <c r="A234" s="222">
        <v>45310</v>
      </c>
      <c r="B234" s="201" t="s">
        <v>274</v>
      </c>
      <c r="C234" s="208" t="s">
        <v>27</v>
      </c>
      <c r="D234" s="291">
        <v>-10500</v>
      </c>
      <c r="E234" s="212">
        <v>45292</v>
      </c>
      <c r="F234" s="291" t="s">
        <v>130</v>
      </c>
      <c r="G234" s="208" t="s">
        <v>130</v>
      </c>
      <c r="H234" s="201" t="s">
        <v>275</v>
      </c>
      <c r="I234" s="201"/>
      <c r="J234" s="202"/>
      <c r="K234" s="202"/>
      <c r="L234" s="202"/>
      <c r="M234" s="202"/>
      <c r="N234" s="202"/>
      <c r="O234" s="202"/>
      <c r="P234" s="202"/>
      <c r="Q234" s="202"/>
      <c r="R234" s="202"/>
      <c r="S234" s="202"/>
      <c r="T234" s="202"/>
    </row>
    <row r="235" spans="1:20" s="182" customFormat="1" ht="16.5" hidden="1" customHeight="1">
      <c r="A235" s="222">
        <v>45310</v>
      </c>
      <c r="B235" s="201" t="s">
        <v>238</v>
      </c>
      <c r="C235" s="208" t="s">
        <v>27</v>
      </c>
      <c r="D235" s="291">
        <v>-25000</v>
      </c>
      <c r="E235" s="212">
        <v>45292</v>
      </c>
      <c r="F235" s="291" t="s">
        <v>130</v>
      </c>
      <c r="G235" s="208" t="s">
        <v>130</v>
      </c>
      <c r="H235" s="201" t="s">
        <v>275</v>
      </c>
      <c r="I235" s="201"/>
      <c r="J235" s="202"/>
      <c r="K235" s="202"/>
      <c r="L235" s="202"/>
      <c r="M235" s="202"/>
      <c r="N235" s="202"/>
      <c r="O235" s="202"/>
      <c r="P235" s="202"/>
      <c r="Q235" s="202"/>
      <c r="R235" s="202"/>
      <c r="S235" s="202"/>
      <c r="T235" s="202"/>
    </row>
    <row r="236" spans="1:20" s="182" customFormat="1" ht="16.5" hidden="1" customHeight="1">
      <c r="A236" s="222">
        <v>45311</v>
      </c>
      <c r="B236" s="201" t="s">
        <v>351</v>
      </c>
      <c r="C236" s="208" t="s">
        <v>301</v>
      </c>
      <c r="D236" s="291">
        <v>-742038.88</v>
      </c>
      <c r="E236" s="212">
        <v>45292</v>
      </c>
      <c r="F236" s="291" t="s">
        <v>130</v>
      </c>
      <c r="G236" s="208" t="s">
        <v>130</v>
      </c>
      <c r="H236" s="208" t="s">
        <v>143</v>
      </c>
      <c r="I236" s="201"/>
      <c r="J236" s="202"/>
      <c r="K236" s="202"/>
      <c r="L236" s="202"/>
      <c r="M236" s="202"/>
      <c r="N236" s="202"/>
      <c r="O236" s="202"/>
      <c r="P236" s="202"/>
      <c r="Q236" s="202"/>
      <c r="R236" s="202"/>
      <c r="S236" s="202"/>
      <c r="T236" s="202"/>
    </row>
    <row r="237" spans="1:20" s="182" customFormat="1" ht="16.5" hidden="1" customHeight="1">
      <c r="A237" s="600">
        <v>45311</v>
      </c>
      <c r="B237" s="601" t="s">
        <v>307</v>
      </c>
      <c r="C237" s="208" t="s">
        <v>269</v>
      </c>
      <c r="D237" s="592">
        <v>-50000</v>
      </c>
      <c r="E237" s="212">
        <v>45292</v>
      </c>
      <c r="F237" s="592" t="s">
        <v>109</v>
      </c>
      <c r="G237" s="208" t="s">
        <v>120</v>
      </c>
      <c r="H237" s="601"/>
      <c r="I237" s="601"/>
      <c r="J237" s="289"/>
      <c r="K237" s="289"/>
      <c r="L237" s="289"/>
      <c r="M237" s="289"/>
      <c r="N237" s="289"/>
      <c r="O237" s="289"/>
      <c r="P237" s="289"/>
      <c r="Q237" s="289"/>
      <c r="R237" s="289"/>
      <c r="S237" s="289"/>
      <c r="T237" s="289"/>
    </row>
    <row r="238" spans="1:20" s="182" customFormat="1" ht="16.5" hidden="1" customHeight="1">
      <c r="A238" s="222">
        <v>45311</v>
      </c>
      <c r="B238" s="201" t="s">
        <v>274</v>
      </c>
      <c r="C238" s="208" t="s">
        <v>27</v>
      </c>
      <c r="D238" s="291">
        <v>-15000</v>
      </c>
      <c r="E238" s="212">
        <v>45292</v>
      </c>
      <c r="F238" s="291" t="s">
        <v>130</v>
      </c>
      <c r="G238" s="208" t="s">
        <v>130</v>
      </c>
      <c r="H238" s="201" t="s">
        <v>275</v>
      </c>
      <c r="I238" s="201"/>
      <c r="J238" s="202"/>
      <c r="K238" s="202"/>
      <c r="L238" s="202"/>
      <c r="M238" s="202"/>
      <c r="N238" s="202"/>
      <c r="O238" s="202"/>
      <c r="P238" s="202"/>
      <c r="Q238" s="202"/>
      <c r="R238" s="202"/>
      <c r="S238" s="202"/>
      <c r="T238" s="202"/>
    </row>
    <row r="239" spans="1:20" s="182" customFormat="1" ht="16.5" hidden="1" customHeight="1">
      <c r="A239" s="222">
        <v>45311</v>
      </c>
      <c r="B239" s="201" t="s">
        <v>352</v>
      </c>
      <c r="C239" s="208" t="s">
        <v>27</v>
      </c>
      <c r="D239" s="291">
        <v>-25000</v>
      </c>
      <c r="E239" s="212">
        <v>45292</v>
      </c>
      <c r="F239" s="291" t="s">
        <v>130</v>
      </c>
      <c r="G239" s="208" t="s">
        <v>130</v>
      </c>
      <c r="H239" s="201" t="s">
        <v>275</v>
      </c>
      <c r="I239" s="201"/>
      <c r="J239" s="202"/>
      <c r="K239" s="202"/>
      <c r="L239" s="202"/>
      <c r="M239" s="202"/>
      <c r="N239" s="202"/>
      <c r="O239" s="202"/>
      <c r="P239" s="202"/>
      <c r="Q239" s="202"/>
      <c r="R239" s="202"/>
      <c r="S239" s="202"/>
      <c r="T239" s="202"/>
    </row>
    <row r="240" spans="1:20" s="182" customFormat="1" ht="16.5" hidden="1" customHeight="1">
      <c r="A240" s="222">
        <v>45311</v>
      </c>
      <c r="B240" s="201" t="s">
        <v>238</v>
      </c>
      <c r="C240" s="208" t="s">
        <v>27</v>
      </c>
      <c r="D240" s="291">
        <v>-25000</v>
      </c>
      <c r="E240" s="212">
        <v>45292</v>
      </c>
      <c r="F240" s="291" t="s">
        <v>130</v>
      </c>
      <c r="G240" s="208" t="s">
        <v>130</v>
      </c>
      <c r="H240" s="201" t="s">
        <v>275</v>
      </c>
      <c r="I240" s="201"/>
      <c r="J240" s="202"/>
      <c r="K240" s="202"/>
      <c r="L240" s="202"/>
      <c r="M240" s="202"/>
      <c r="N240" s="202"/>
      <c r="O240" s="202"/>
      <c r="P240" s="202"/>
      <c r="Q240" s="202"/>
      <c r="R240" s="202"/>
      <c r="S240" s="202"/>
      <c r="T240" s="202"/>
    </row>
    <row r="241" spans="1:20" s="182" customFormat="1" ht="16.5" hidden="1" customHeight="1">
      <c r="A241" s="600">
        <v>45312</v>
      </c>
      <c r="B241" s="601" t="s">
        <v>353</v>
      </c>
      <c r="C241" s="208" t="s">
        <v>269</v>
      </c>
      <c r="D241" s="592">
        <v>-11000</v>
      </c>
      <c r="E241" s="212">
        <v>45292</v>
      </c>
      <c r="F241" s="592" t="s">
        <v>109</v>
      </c>
      <c r="G241" s="208" t="s">
        <v>120</v>
      </c>
      <c r="H241" s="601"/>
      <c r="I241" s="601"/>
      <c r="J241" s="289"/>
      <c r="K241" s="289"/>
      <c r="L241" s="289"/>
      <c r="M241" s="289"/>
      <c r="N241" s="289"/>
      <c r="O241" s="289"/>
      <c r="P241" s="289"/>
      <c r="Q241" s="289"/>
      <c r="R241" s="289"/>
      <c r="S241" s="289"/>
      <c r="T241" s="289"/>
    </row>
    <row r="242" spans="1:20" s="182" customFormat="1" ht="16.5" hidden="1" customHeight="1">
      <c r="A242" s="600">
        <v>45312</v>
      </c>
      <c r="B242" s="601" t="s">
        <v>354</v>
      </c>
      <c r="C242" s="208" t="s">
        <v>269</v>
      </c>
      <c r="D242" s="592">
        <v>-11000</v>
      </c>
      <c r="E242" s="212">
        <v>45292</v>
      </c>
      <c r="F242" s="592" t="s">
        <v>109</v>
      </c>
      <c r="G242" s="208" t="s">
        <v>120</v>
      </c>
      <c r="H242" s="601"/>
      <c r="I242" s="289"/>
      <c r="J242" s="289"/>
      <c r="K242" s="289"/>
      <c r="L242" s="289"/>
      <c r="M242" s="289"/>
      <c r="N242" s="289"/>
      <c r="O242" s="289"/>
      <c r="P242" s="289"/>
      <c r="Q242" s="289"/>
      <c r="R242" s="289"/>
      <c r="S242" s="289"/>
      <c r="T242" s="289"/>
    </row>
    <row r="243" spans="1:20" s="182" customFormat="1" ht="16.5" hidden="1" customHeight="1">
      <c r="A243" s="600">
        <v>45312</v>
      </c>
      <c r="B243" s="601" t="s">
        <v>355</v>
      </c>
      <c r="C243" s="208" t="s">
        <v>269</v>
      </c>
      <c r="D243" s="592">
        <v>-10800</v>
      </c>
      <c r="E243" s="212">
        <v>45292</v>
      </c>
      <c r="F243" s="592" t="s">
        <v>109</v>
      </c>
      <c r="G243" s="208" t="s">
        <v>120</v>
      </c>
      <c r="H243" s="601"/>
      <c r="I243" s="289"/>
      <c r="J243" s="289"/>
      <c r="K243" s="289"/>
      <c r="L243" s="289"/>
      <c r="M243" s="289"/>
      <c r="N243" s="289"/>
      <c r="O243" s="289"/>
      <c r="P243" s="289"/>
      <c r="Q243" s="289"/>
      <c r="R243" s="289"/>
      <c r="S243" s="289"/>
      <c r="T243" s="289"/>
    </row>
    <row r="244" spans="1:20" ht="14.15" hidden="1">
      <c r="A244" s="600">
        <v>45312</v>
      </c>
      <c r="B244" s="601" t="s">
        <v>356</v>
      </c>
      <c r="C244" s="208" t="s">
        <v>269</v>
      </c>
      <c r="D244" s="592">
        <v>-28000</v>
      </c>
      <c r="E244" s="212">
        <v>45292</v>
      </c>
      <c r="F244" s="592" t="s">
        <v>109</v>
      </c>
      <c r="G244" s="208" t="s">
        <v>120</v>
      </c>
      <c r="H244" s="601"/>
      <c r="I244" s="289"/>
      <c r="J244" s="289"/>
      <c r="K244" s="289"/>
      <c r="L244" s="289"/>
      <c r="M244" s="289"/>
      <c r="N244" s="289"/>
      <c r="O244" s="289"/>
      <c r="P244" s="289"/>
      <c r="Q244" s="289"/>
      <c r="R244" s="289"/>
      <c r="S244" s="289"/>
      <c r="T244" s="289"/>
    </row>
    <row r="245" spans="1:20" s="182" customFormat="1" ht="16.5" hidden="1" customHeight="1">
      <c r="A245" s="600">
        <v>45312</v>
      </c>
      <c r="B245" s="601" t="s">
        <v>357</v>
      </c>
      <c r="C245" s="208" t="s">
        <v>269</v>
      </c>
      <c r="D245" s="592">
        <v>-60000</v>
      </c>
      <c r="E245" s="212">
        <v>45292</v>
      </c>
      <c r="F245" s="592" t="s">
        <v>109</v>
      </c>
      <c r="G245" s="208" t="s">
        <v>120</v>
      </c>
      <c r="H245" s="601"/>
      <c r="I245" s="601"/>
      <c r="J245" s="289"/>
      <c r="K245" s="289"/>
      <c r="L245" s="289"/>
      <c r="M245" s="289"/>
      <c r="N245" s="289"/>
      <c r="O245" s="289"/>
      <c r="P245" s="289"/>
      <c r="Q245" s="289"/>
      <c r="R245" s="289"/>
      <c r="S245" s="289"/>
      <c r="T245" s="289"/>
    </row>
    <row r="246" spans="1:20" s="182" customFormat="1" ht="16.5" hidden="1" customHeight="1">
      <c r="A246" s="222">
        <v>45312</v>
      </c>
      <c r="B246" s="201" t="s">
        <v>274</v>
      </c>
      <c r="C246" s="208" t="s">
        <v>27</v>
      </c>
      <c r="D246" s="291">
        <v>-9600</v>
      </c>
      <c r="E246" s="212">
        <v>45292</v>
      </c>
      <c r="F246" s="291" t="s">
        <v>130</v>
      </c>
      <c r="G246" s="208" t="s">
        <v>130</v>
      </c>
      <c r="H246" s="201" t="s">
        <v>275</v>
      </c>
      <c r="I246" s="201"/>
      <c r="J246" s="202"/>
      <c r="K246" s="202"/>
      <c r="L246" s="202"/>
      <c r="M246" s="202"/>
      <c r="N246" s="202"/>
      <c r="O246" s="202"/>
      <c r="P246" s="202"/>
      <c r="Q246" s="202"/>
      <c r="R246" s="202"/>
      <c r="S246" s="202"/>
      <c r="T246" s="202"/>
    </row>
    <row r="247" spans="1:20" s="182" customFormat="1" ht="16.5" hidden="1" customHeight="1">
      <c r="A247" s="222">
        <v>45312</v>
      </c>
      <c r="B247" s="201" t="s">
        <v>352</v>
      </c>
      <c r="C247" s="208" t="s">
        <v>27</v>
      </c>
      <c r="D247" s="291">
        <v>-25000</v>
      </c>
      <c r="E247" s="212">
        <v>45292</v>
      </c>
      <c r="F247" s="291" t="s">
        <v>130</v>
      </c>
      <c r="G247" s="208" t="s">
        <v>130</v>
      </c>
      <c r="H247" s="201" t="s">
        <v>275</v>
      </c>
      <c r="I247" s="201"/>
      <c r="J247" s="202"/>
      <c r="K247" s="202"/>
      <c r="L247" s="202"/>
      <c r="M247" s="202"/>
      <c r="N247" s="202"/>
      <c r="O247" s="202"/>
      <c r="P247" s="202"/>
      <c r="Q247" s="202"/>
      <c r="R247" s="202"/>
      <c r="S247" s="202"/>
      <c r="T247" s="202"/>
    </row>
    <row r="248" spans="1:20" s="182" customFormat="1" ht="16.5" hidden="1" customHeight="1">
      <c r="A248" s="222">
        <v>45313</v>
      </c>
      <c r="B248" s="201" t="s">
        <v>358</v>
      </c>
      <c r="C248" s="208" t="s">
        <v>181</v>
      </c>
      <c r="D248" s="291">
        <v>1377384</v>
      </c>
      <c r="E248" s="212">
        <v>45292</v>
      </c>
      <c r="F248" s="291" t="s">
        <v>108</v>
      </c>
      <c r="G248" s="208"/>
      <c r="H248" s="201"/>
      <c r="I248" s="201"/>
      <c r="J248" s="202"/>
      <c r="K248" s="202"/>
      <c r="L248" s="202"/>
      <c r="M248" s="202"/>
      <c r="N248" s="202"/>
      <c r="O248" s="202"/>
      <c r="P248" s="202"/>
      <c r="Q248" s="202"/>
      <c r="R248" s="202"/>
      <c r="S248" s="202"/>
      <c r="T248" s="202"/>
    </row>
    <row r="249" spans="1:20" s="182" customFormat="1" ht="16.5" hidden="1" customHeight="1">
      <c r="A249" s="222">
        <v>45313</v>
      </c>
      <c r="B249" s="201" t="s">
        <v>359</v>
      </c>
      <c r="C249" s="208" t="s">
        <v>27</v>
      </c>
      <c r="D249" s="291">
        <v>-4065250</v>
      </c>
      <c r="E249" s="212">
        <v>45292</v>
      </c>
      <c r="F249" s="208" t="s">
        <v>130</v>
      </c>
      <c r="G249" s="208" t="s">
        <v>130</v>
      </c>
      <c r="H249" s="81" t="s">
        <v>360</v>
      </c>
      <c r="I249" s="201"/>
      <c r="J249" s="202"/>
      <c r="K249" s="202"/>
      <c r="L249" s="202"/>
      <c r="M249" s="202"/>
      <c r="N249" s="202"/>
      <c r="O249" s="202"/>
      <c r="P249" s="202"/>
      <c r="Q249" s="202"/>
      <c r="R249" s="202"/>
      <c r="S249" s="202"/>
      <c r="T249" s="202"/>
    </row>
    <row r="250" spans="1:20" s="182" customFormat="1" ht="16.5" hidden="1" customHeight="1">
      <c r="A250" s="222">
        <v>45313</v>
      </c>
      <c r="B250" s="201" t="s">
        <v>361</v>
      </c>
      <c r="C250" s="208" t="s">
        <v>27</v>
      </c>
      <c r="D250" s="291">
        <v>-600000</v>
      </c>
      <c r="E250" s="212">
        <v>45292</v>
      </c>
      <c r="F250" s="208" t="s">
        <v>109</v>
      </c>
      <c r="G250" s="208" t="s">
        <v>120</v>
      </c>
      <c r="H250" s="201"/>
      <c r="I250" s="201"/>
      <c r="J250" s="202"/>
      <c r="K250" s="202"/>
      <c r="L250" s="202"/>
      <c r="M250" s="202"/>
      <c r="N250" s="202"/>
      <c r="O250" s="202"/>
      <c r="P250" s="202"/>
      <c r="Q250" s="202"/>
      <c r="R250" s="202"/>
      <c r="S250" s="202"/>
      <c r="T250" s="202"/>
    </row>
    <row r="251" spans="1:20" s="182" customFormat="1" ht="16.5" hidden="1" customHeight="1">
      <c r="A251" s="222">
        <v>45313</v>
      </c>
      <c r="B251" s="201" t="s">
        <v>362</v>
      </c>
      <c r="C251" s="208" t="s">
        <v>27</v>
      </c>
      <c r="D251" s="291">
        <v>-190000</v>
      </c>
      <c r="E251" s="212">
        <v>45292</v>
      </c>
      <c r="F251" s="208" t="s">
        <v>109</v>
      </c>
      <c r="G251" s="208" t="s">
        <v>169</v>
      </c>
      <c r="H251" s="201" t="s">
        <v>363</v>
      </c>
      <c r="I251" s="201"/>
      <c r="J251" s="202"/>
      <c r="K251" s="202"/>
      <c r="L251" s="202"/>
      <c r="M251" s="202"/>
      <c r="N251" s="202"/>
      <c r="O251" s="202"/>
      <c r="P251" s="202"/>
      <c r="Q251" s="202"/>
      <c r="R251" s="202"/>
      <c r="S251" s="202"/>
      <c r="T251" s="202"/>
    </row>
    <row r="252" spans="1:20" s="182" customFormat="1" ht="16.5" hidden="1" customHeight="1">
      <c r="A252" s="222">
        <v>45313</v>
      </c>
      <c r="B252" s="201" t="s">
        <v>364</v>
      </c>
      <c r="C252" s="208" t="s">
        <v>27</v>
      </c>
      <c r="D252" s="291">
        <f>-2750599+86922</f>
        <v>-2663677</v>
      </c>
      <c r="E252" s="212">
        <v>45292</v>
      </c>
      <c r="F252" s="84" t="s">
        <v>111</v>
      </c>
      <c r="G252" s="208"/>
      <c r="H252" s="201"/>
      <c r="I252" s="201"/>
      <c r="J252" s="202"/>
      <c r="K252" s="202"/>
      <c r="L252" s="202"/>
      <c r="M252" s="202"/>
      <c r="N252" s="202"/>
      <c r="O252" s="202"/>
      <c r="P252" s="202"/>
      <c r="Q252" s="202"/>
      <c r="R252" s="202"/>
      <c r="S252" s="202"/>
      <c r="T252" s="202"/>
    </row>
    <row r="253" spans="1:20" s="182" customFormat="1" ht="16.5" hidden="1" customHeight="1">
      <c r="A253" s="222">
        <v>45313</v>
      </c>
      <c r="B253" s="201" t="s">
        <v>365</v>
      </c>
      <c r="C253" s="208" t="s">
        <v>133</v>
      </c>
      <c r="D253" s="291">
        <v>-86922</v>
      </c>
      <c r="E253" s="212">
        <v>45292</v>
      </c>
      <c r="F253" s="84" t="s">
        <v>111</v>
      </c>
      <c r="G253" s="208"/>
      <c r="H253" s="201"/>
      <c r="I253" s="201"/>
      <c r="J253" s="202"/>
      <c r="K253" s="202"/>
      <c r="L253" s="202"/>
      <c r="M253" s="202"/>
      <c r="N253" s="202"/>
      <c r="O253" s="202"/>
      <c r="P253" s="202"/>
      <c r="Q253" s="202"/>
      <c r="R253" s="202"/>
      <c r="S253" s="202"/>
      <c r="T253" s="202"/>
    </row>
    <row r="254" spans="1:20" s="182" customFormat="1" ht="16.5" hidden="1" customHeight="1">
      <c r="A254" s="222">
        <v>45313</v>
      </c>
      <c r="B254" s="201" t="s">
        <v>366</v>
      </c>
      <c r="C254" s="208" t="s">
        <v>269</v>
      </c>
      <c r="D254" s="291">
        <v>-259364</v>
      </c>
      <c r="E254" s="212">
        <v>45292</v>
      </c>
      <c r="F254" s="291" t="s">
        <v>130</v>
      </c>
      <c r="G254" s="208" t="s">
        <v>130</v>
      </c>
      <c r="H254" s="208" t="s">
        <v>184</v>
      </c>
      <c r="I254" s="201"/>
      <c r="J254" s="202"/>
      <c r="K254" s="202"/>
      <c r="L254" s="202"/>
      <c r="M254" s="202"/>
      <c r="N254" s="202"/>
      <c r="O254" s="202"/>
      <c r="P254" s="202"/>
      <c r="Q254" s="202"/>
      <c r="R254" s="202"/>
      <c r="S254" s="202"/>
      <c r="T254" s="202"/>
    </row>
    <row r="255" spans="1:20" s="182" customFormat="1" ht="16.5" hidden="1" customHeight="1">
      <c r="A255" s="222">
        <v>45313</v>
      </c>
      <c r="B255" s="201" t="s">
        <v>367</v>
      </c>
      <c r="C255" s="208" t="s">
        <v>27</v>
      </c>
      <c r="D255" s="291">
        <v>-1241518</v>
      </c>
      <c r="E255" s="212">
        <v>45292</v>
      </c>
      <c r="F255" s="291" t="s">
        <v>118</v>
      </c>
      <c r="G255" s="208"/>
      <c r="H255" s="201"/>
      <c r="I255" s="201"/>
      <c r="J255" s="202"/>
      <c r="K255" s="202"/>
      <c r="L255" s="202"/>
      <c r="M255" s="202"/>
      <c r="N255" s="202"/>
      <c r="O255" s="202"/>
      <c r="P255" s="202"/>
      <c r="Q255" s="202"/>
      <c r="R255" s="202"/>
      <c r="S255" s="202"/>
      <c r="T255" s="202"/>
    </row>
    <row r="256" spans="1:20" s="182" customFormat="1" ht="16.5" hidden="1" customHeight="1">
      <c r="A256" s="222">
        <v>45313</v>
      </c>
      <c r="B256" s="201" t="s">
        <v>368</v>
      </c>
      <c r="C256" s="208" t="s">
        <v>27</v>
      </c>
      <c r="D256" s="291">
        <v>-32731</v>
      </c>
      <c r="E256" s="212">
        <v>45292</v>
      </c>
      <c r="F256" s="291" t="s">
        <v>118</v>
      </c>
      <c r="G256" s="208"/>
      <c r="H256" s="201"/>
      <c r="I256" s="201"/>
      <c r="J256" s="202"/>
      <c r="K256" s="202"/>
      <c r="L256" s="202"/>
      <c r="M256" s="202"/>
      <c r="N256" s="202"/>
      <c r="O256" s="202"/>
      <c r="P256" s="202"/>
      <c r="Q256" s="202"/>
      <c r="R256" s="202"/>
      <c r="S256" s="202"/>
      <c r="T256" s="202"/>
    </row>
    <row r="257" spans="1:20" s="182" customFormat="1" ht="16.5" hidden="1" customHeight="1">
      <c r="A257" s="222">
        <v>45313</v>
      </c>
      <c r="B257" s="201" t="s">
        <v>369</v>
      </c>
      <c r="C257" s="208" t="s">
        <v>27</v>
      </c>
      <c r="D257" s="291">
        <v>-2182298.59</v>
      </c>
      <c r="E257" s="212">
        <v>45292</v>
      </c>
      <c r="F257" s="84" t="s">
        <v>111</v>
      </c>
      <c r="G257" s="208"/>
      <c r="H257" s="201"/>
      <c r="I257" s="201"/>
      <c r="J257" s="202"/>
      <c r="K257" s="202"/>
      <c r="L257" s="202"/>
      <c r="M257" s="202"/>
      <c r="N257" s="202"/>
      <c r="O257" s="202"/>
      <c r="P257" s="202"/>
      <c r="Q257" s="202"/>
      <c r="R257" s="202"/>
      <c r="S257" s="202"/>
      <c r="T257" s="202"/>
    </row>
    <row r="258" spans="1:20" s="182" customFormat="1" ht="16.5" hidden="1" customHeight="1">
      <c r="A258" s="222">
        <v>45313</v>
      </c>
      <c r="B258" s="201" t="s">
        <v>370</v>
      </c>
      <c r="C258" s="208" t="s">
        <v>269</v>
      </c>
      <c r="D258" s="291">
        <v>-24000</v>
      </c>
      <c r="E258" s="212">
        <v>45292</v>
      </c>
      <c r="F258" s="208" t="s">
        <v>207</v>
      </c>
      <c r="G258" s="208" t="s">
        <v>312</v>
      </c>
      <c r="H258" s="201"/>
      <c r="I258" s="201"/>
      <c r="J258" s="202"/>
      <c r="K258" s="202"/>
      <c r="L258" s="202"/>
      <c r="M258" s="202"/>
      <c r="N258" s="202"/>
      <c r="O258" s="202"/>
      <c r="P258" s="202"/>
      <c r="Q258" s="202"/>
      <c r="R258" s="202"/>
      <c r="S258" s="202"/>
      <c r="T258" s="202"/>
    </row>
    <row r="259" spans="1:20" s="182" customFormat="1" ht="16.5" hidden="1" customHeight="1">
      <c r="A259" s="222">
        <v>45313</v>
      </c>
      <c r="B259" s="201" t="s">
        <v>370</v>
      </c>
      <c r="C259" s="208" t="s">
        <v>269</v>
      </c>
      <c r="D259" s="291">
        <v>-24000</v>
      </c>
      <c r="E259" s="212">
        <v>45292</v>
      </c>
      <c r="F259" s="208" t="s">
        <v>109</v>
      </c>
      <c r="G259" s="208" t="s">
        <v>168</v>
      </c>
      <c r="H259" s="81" t="s">
        <v>138</v>
      </c>
      <c r="I259" s="201"/>
      <c r="J259" s="202"/>
      <c r="K259" s="202"/>
      <c r="L259" s="202"/>
      <c r="M259" s="202"/>
      <c r="N259" s="202"/>
      <c r="O259" s="202"/>
      <c r="P259" s="202"/>
      <c r="Q259" s="202"/>
      <c r="R259" s="202"/>
      <c r="S259" s="202"/>
      <c r="T259" s="202"/>
    </row>
    <row r="260" spans="1:20" s="182" customFormat="1" ht="16.5" hidden="1" customHeight="1">
      <c r="A260" s="222">
        <v>45313</v>
      </c>
      <c r="B260" s="201" t="s">
        <v>370</v>
      </c>
      <c r="C260" s="208" t="s">
        <v>269</v>
      </c>
      <c r="D260" s="291">
        <v>-48000</v>
      </c>
      <c r="E260" s="212">
        <v>45292</v>
      </c>
      <c r="F260" s="208" t="s">
        <v>109</v>
      </c>
      <c r="G260" s="208" t="s">
        <v>170</v>
      </c>
      <c r="H260" s="81" t="s">
        <v>138</v>
      </c>
      <c r="I260" s="201"/>
      <c r="J260" s="202"/>
      <c r="K260" s="202"/>
      <c r="L260" s="202"/>
      <c r="M260" s="202"/>
      <c r="N260" s="202"/>
      <c r="O260" s="202"/>
      <c r="P260" s="202"/>
      <c r="Q260" s="202"/>
      <c r="R260" s="202"/>
      <c r="S260" s="202"/>
      <c r="T260" s="202"/>
    </row>
    <row r="261" spans="1:20" s="182" customFormat="1" ht="16.5" hidden="1" customHeight="1">
      <c r="A261" s="222">
        <v>45313</v>
      </c>
      <c r="B261" s="201" t="s">
        <v>370</v>
      </c>
      <c r="C261" s="208" t="s">
        <v>269</v>
      </c>
      <c r="D261" s="291">
        <v>-28000</v>
      </c>
      <c r="E261" s="212">
        <v>45292</v>
      </c>
      <c r="F261" s="208" t="s">
        <v>130</v>
      </c>
      <c r="G261" s="208" t="s">
        <v>257</v>
      </c>
      <c r="H261" s="81" t="s">
        <v>138</v>
      </c>
      <c r="I261" s="201"/>
      <c r="J261" s="202"/>
      <c r="K261" s="202"/>
      <c r="L261" s="202"/>
      <c r="M261" s="202"/>
      <c r="N261" s="202"/>
      <c r="O261" s="202"/>
      <c r="P261" s="202"/>
      <c r="Q261" s="202"/>
      <c r="R261" s="202"/>
      <c r="S261" s="202"/>
      <c r="T261" s="202"/>
    </row>
    <row r="262" spans="1:20" s="182" customFormat="1" ht="16.5" hidden="1" customHeight="1">
      <c r="A262" s="222">
        <v>45313</v>
      </c>
      <c r="B262" s="201" t="s">
        <v>371</v>
      </c>
      <c r="C262" s="208" t="s">
        <v>27</v>
      </c>
      <c r="D262" s="291">
        <v>-1986651.41</v>
      </c>
      <c r="E262" s="212">
        <v>45292</v>
      </c>
      <c r="F262" s="291" t="s">
        <v>118</v>
      </c>
      <c r="G262" s="208"/>
      <c r="H262" s="201"/>
      <c r="I262" s="201"/>
      <c r="J262" s="202"/>
      <c r="K262" s="202"/>
      <c r="L262" s="202"/>
      <c r="M262" s="202"/>
      <c r="N262" s="202"/>
      <c r="O262" s="202"/>
      <c r="P262" s="202"/>
      <c r="Q262" s="202"/>
      <c r="R262" s="202"/>
      <c r="S262" s="202"/>
      <c r="T262" s="202"/>
    </row>
    <row r="263" spans="1:20" s="182" customFormat="1" ht="16.5" hidden="1" customHeight="1">
      <c r="A263" s="222">
        <v>45313</v>
      </c>
      <c r="B263" s="201" t="s">
        <v>372</v>
      </c>
      <c r="C263" s="208" t="s">
        <v>133</v>
      </c>
      <c r="D263" s="291">
        <v>-149532.71</v>
      </c>
      <c r="E263" s="212">
        <v>45292</v>
      </c>
      <c r="F263" s="291" t="s">
        <v>118</v>
      </c>
      <c r="G263" s="208"/>
      <c r="H263" s="201"/>
      <c r="I263" s="201"/>
      <c r="J263" s="202"/>
      <c r="K263" s="202"/>
      <c r="L263" s="202"/>
      <c r="M263" s="202"/>
      <c r="N263" s="202"/>
      <c r="O263" s="202"/>
      <c r="P263" s="202"/>
      <c r="Q263" s="202"/>
      <c r="R263" s="202"/>
      <c r="S263" s="202"/>
      <c r="T263" s="202"/>
    </row>
    <row r="264" spans="1:20" s="182" customFormat="1" ht="16.5" hidden="1" customHeight="1">
      <c r="A264" s="222">
        <v>45313</v>
      </c>
      <c r="B264" s="201" t="s">
        <v>373</v>
      </c>
      <c r="C264" s="208" t="s">
        <v>27</v>
      </c>
      <c r="D264" s="291">
        <v>-3118200</v>
      </c>
      <c r="E264" s="212">
        <v>45292</v>
      </c>
      <c r="F264" s="291" t="s">
        <v>130</v>
      </c>
      <c r="G264" s="208" t="s">
        <v>130</v>
      </c>
      <c r="H264" s="208" t="s">
        <v>182</v>
      </c>
      <c r="I264" s="201"/>
      <c r="J264" s="202"/>
      <c r="K264" s="202"/>
      <c r="L264" s="202"/>
      <c r="M264" s="202"/>
      <c r="N264" s="202"/>
      <c r="O264" s="202"/>
      <c r="P264" s="202"/>
      <c r="Q264" s="202"/>
      <c r="R264" s="202"/>
      <c r="S264" s="202"/>
      <c r="T264" s="202"/>
    </row>
    <row r="265" spans="1:20" s="182" customFormat="1" ht="16.5" hidden="1" customHeight="1">
      <c r="A265" s="222">
        <v>45313</v>
      </c>
      <c r="B265" s="201" t="s">
        <v>374</v>
      </c>
      <c r="C265" s="208" t="s">
        <v>27</v>
      </c>
      <c r="D265" s="291">
        <v>-6304300</v>
      </c>
      <c r="E265" s="212">
        <v>45292</v>
      </c>
      <c r="F265" s="291" t="s">
        <v>130</v>
      </c>
      <c r="G265" s="208" t="s">
        <v>130</v>
      </c>
      <c r="H265" s="208" t="s">
        <v>182</v>
      </c>
      <c r="I265" s="201"/>
      <c r="J265" s="202"/>
      <c r="K265" s="202"/>
      <c r="L265" s="202"/>
      <c r="M265" s="202"/>
      <c r="N265" s="202"/>
      <c r="O265" s="202"/>
      <c r="P265" s="202"/>
      <c r="Q265" s="202"/>
      <c r="R265" s="202"/>
      <c r="S265" s="202"/>
      <c r="T265" s="202"/>
    </row>
    <row r="266" spans="1:20" s="182" customFormat="1" ht="16.5" hidden="1" customHeight="1">
      <c r="A266" s="222">
        <v>45313</v>
      </c>
      <c r="B266" s="201" t="s">
        <v>375</v>
      </c>
      <c r="C266" s="208" t="s">
        <v>27</v>
      </c>
      <c r="D266" s="291">
        <v>-4861600</v>
      </c>
      <c r="E266" s="212">
        <v>45292</v>
      </c>
      <c r="F266" s="291" t="s">
        <v>130</v>
      </c>
      <c r="G266" s="208" t="s">
        <v>130</v>
      </c>
      <c r="H266" s="208" t="s">
        <v>182</v>
      </c>
      <c r="I266" s="201"/>
      <c r="J266" s="202"/>
      <c r="K266" s="202"/>
      <c r="L266" s="202"/>
      <c r="M266" s="202"/>
      <c r="N266" s="202"/>
      <c r="O266" s="202"/>
      <c r="P266" s="202"/>
      <c r="Q266" s="202"/>
      <c r="R266" s="202"/>
      <c r="S266" s="202"/>
      <c r="T266" s="202"/>
    </row>
    <row r="267" spans="1:20" s="182" customFormat="1" ht="16.5" hidden="1" customHeight="1">
      <c r="A267" s="222">
        <v>45313</v>
      </c>
      <c r="B267" s="201" t="s">
        <v>376</v>
      </c>
      <c r="C267" s="208" t="s">
        <v>330</v>
      </c>
      <c r="D267" s="291">
        <v>-36000</v>
      </c>
      <c r="E267" s="212">
        <v>45292</v>
      </c>
      <c r="F267" s="208" t="s">
        <v>109</v>
      </c>
      <c r="G267" s="208" t="s">
        <v>170</v>
      </c>
      <c r="H267" s="81" t="s">
        <v>138</v>
      </c>
      <c r="I267" s="201"/>
      <c r="J267" s="202"/>
      <c r="K267" s="202"/>
      <c r="L267" s="607">
        <v>45352</v>
      </c>
      <c r="M267" s="586">
        <f>-SUMIFS(D$5:D$143,E$5:E$143,L267,F$5:F$143,$M$3)</f>
        <v>0</v>
      </c>
      <c r="N267" s="586"/>
      <c r="O267" s="586">
        <f>+M267+N267</f>
        <v>0</v>
      </c>
      <c r="P267" s="586"/>
      <c r="Q267" s="586"/>
      <c r="R267" s="586">
        <f>SUMIFS(D$5:D$6061,E$5:E$6061,L267,F$5:F$6061,$R$3)</f>
        <v>-98814135.167375892</v>
      </c>
      <c r="S267" s="586">
        <f>-SUMIFS(D$5:D$6061,E$5:E$6061,L267,F$5:F$6061,$S$3)</f>
        <v>111962029.94042553</v>
      </c>
      <c r="T267" s="586">
        <f>SUMIFS(D$5:D$6061,E$5:E$6061,L267,F$5:F$6061,$T$3)</f>
        <v>35178265.390000001</v>
      </c>
    </row>
    <row r="268" spans="1:20" s="182" customFormat="1" ht="16.5" hidden="1" customHeight="1">
      <c r="A268" s="222">
        <v>45313</v>
      </c>
      <c r="B268" s="201" t="s">
        <v>377</v>
      </c>
      <c r="C268" s="208" t="s">
        <v>133</v>
      </c>
      <c r="D268" s="291">
        <v>-99750</v>
      </c>
      <c r="E268" s="212">
        <v>45292</v>
      </c>
      <c r="F268" s="208" t="s">
        <v>130</v>
      </c>
      <c r="G268" s="208" t="s">
        <v>130</v>
      </c>
      <c r="H268" s="81" t="s">
        <v>360</v>
      </c>
      <c r="I268" s="201"/>
      <c r="J268" s="202"/>
      <c r="K268" s="202"/>
      <c r="L268" s="202"/>
      <c r="M268" s="202"/>
      <c r="N268" s="202"/>
      <c r="O268" s="202"/>
      <c r="P268" s="202"/>
      <c r="Q268" s="202"/>
      <c r="R268" s="202"/>
      <c r="S268" s="202"/>
      <c r="T268" s="202"/>
    </row>
    <row r="269" spans="1:20" s="182" customFormat="1" ht="16.5" hidden="1" customHeight="1">
      <c r="A269" s="222">
        <v>45313</v>
      </c>
      <c r="B269" s="201" t="s">
        <v>378</v>
      </c>
      <c r="C269" s="208" t="s">
        <v>133</v>
      </c>
      <c r="D269" s="291">
        <v>-67185</v>
      </c>
      <c r="E269" s="212">
        <v>45292</v>
      </c>
      <c r="F269" s="84" t="s">
        <v>111</v>
      </c>
      <c r="G269" s="208"/>
      <c r="H269" s="201"/>
      <c r="I269" s="201"/>
      <c r="J269" s="202"/>
      <c r="K269" s="202"/>
      <c r="L269" s="202"/>
      <c r="M269" s="202"/>
      <c r="N269" s="202"/>
      <c r="O269" s="202"/>
      <c r="P269" s="202"/>
      <c r="Q269" s="202"/>
      <c r="R269" s="202"/>
      <c r="S269" s="202"/>
      <c r="T269" s="202"/>
    </row>
    <row r="270" spans="1:20" s="182" customFormat="1" ht="16.5" hidden="1" customHeight="1">
      <c r="A270" s="222">
        <v>45313</v>
      </c>
      <c r="B270" s="201" t="s">
        <v>379</v>
      </c>
      <c r="C270" s="208" t="s">
        <v>27</v>
      </c>
      <c r="D270" s="291">
        <v>-5862955</v>
      </c>
      <c r="E270" s="212">
        <v>45292</v>
      </c>
      <c r="F270" s="208" t="s">
        <v>109</v>
      </c>
      <c r="G270" s="208" t="s">
        <v>120</v>
      </c>
      <c r="H270" s="201"/>
      <c r="I270" s="201"/>
      <c r="J270" s="202"/>
      <c r="K270" s="202"/>
      <c r="L270" s="202"/>
      <c r="M270" s="202"/>
      <c r="N270" s="202"/>
      <c r="O270" s="202"/>
      <c r="P270" s="202"/>
      <c r="Q270" s="202"/>
      <c r="R270" s="202"/>
      <c r="S270" s="202"/>
      <c r="T270" s="202"/>
    </row>
    <row r="271" spans="1:20" s="182" customFormat="1" ht="16.5" hidden="1" customHeight="1">
      <c r="A271" s="222">
        <v>45313</v>
      </c>
      <c r="B271" s="201" t="s">
        <v>380</v>
      </c>
      <c r="C271" s="208" t="s">
        <v>301</v>
      </c>
      <c r="D271" s="291">
        <v>-15946</v>
      </c>
      <c r="E271" s="212">
        <v>45292</v>
      </c>
      <c r="F271" s="208" t="s">
        <v>109</v>
      </c>
      <c r="G271" s="208" t="s">
        <v>120</v>
      </c>
      <c r="H271" s="201"/>
      <c r="I271" s="201"/>
      <c r="J271" s="202"/>
      <c r="K271" s="202"/>
      <c r="L271" s="202"/>
      <c r="M271" s="202"/>
      <c r="N271" s="202"/>
      <c r="O271" s="202"/>
      <c r="P271" s="202"/>
      <c r="Q271" s="202"/>
      <c r="R271" s="202"/>
      <c r="S271" s="202"/>
      <c r="T271" s="202"/>
    </row>
    <row r="272" spans="1:20" s="182" customFormat="1" ht="16.5" hidden="1" customHeight="1">
      <c r="A272" s="605">
        <v>45313</v>
      </c>
      <c r="B272" s="601" t="s">
        <v>381</v>
      </c>
      <c r="C272" s="208" t="s">
        <v>269</v>
      </c>
      <c r="D272" s="592">
        <v>-12000</v>
      </c>
      <c r="E272" s="212">
        <v>45292</v>
      </c>
      <c r="F272" s="592" t="s">
        <v>109</v>
      </c>
      <c r="G272" s="208" t="s">
        <v>170</v>
      </c>
      <c r="H272" s="208" t="s">
        <v>175</v>
      </c>
      <c r="I272" s="601"/>
      <c r="J272" s="289"/>
      <c r="K272" s="289"/>
      <c r="L272" s="289"/>
      <c r="M272" s="289"/>
      <c r="N272" s="289"/>
      <c r="O272" s="289"/>
      <c r="P272" s="289"/>
      <c r="Q272" s="289"/>
      <c r="R272" s="289"/>
      <c r="S272" s="289"/>
      <c r="T272" s="289"/>
    </row>
    <row r="273" spans="1:20" s="182" customFormat="1" ht="16.5" hidden="1" customHeight="1">
      <c r="A273" s="605">
        <v>45313</v>
      </c>
      <c r="B273" s="601" t="s">
        <v>382</v>
      </c>
      <c r="C273" s="208" t="s">
        <v>269</v>
      </c>
      <c r="D273" s="606">
        <v>-6300</v>
      </c>
      <c r="E273" s="212">
        <v>45292</v>
      </c>
      <c r="F273" s="592" t="s">
        <v>109</v>
      </c>
      <c r="G273" s="208" t="s">
        <v>383</v>
      </c>
      <c r="H273" s="81" t="s">
        <v>138</v>
      </c>
      <c r="I273" s="201" t="s">
        <v>173</v>
      </c>
      <c r="J273" s="289"/>
      <c r="K273" s="289"/>
      <c r="L273" s="289"/>
      <c r="M273" s="289"/>
      <c r="N273" s="289"/>
      <c r="O273" s="289"/>
      <c r="P273" s="289"/>
      <c r="Q273" s="289"/>
      <c r="R273" s="289"/>
      <c r="S273" s="289"/>
      <c r="T273" s="289"/>
    </row>
    <row r="274" spans="1:20" s="182" customFormat="1" ht="16.5" hidden="1" customHeight="1">
      <c r="A274" s="605">
        <v>45313</v>
      </c>
      <c r="B274" s="601" t="s">
        <v>382</v>
      </c>
      <c r="C274" s="208" t="s">
        <v>269</v>
      </c>
      <c r="D274" s="606">
        <v>-6500</v>
      </c>
      <c r="E274" s="212">
        <v>45292</v>
      </c>
      <c r="F274" s="592" t="s">
        <v>109</v>
      </c>
      <c r="G274" s="208" t="s">
        <v>383</v>
      </c>
      <c r="H274" s="81" t="s">
        <v>138</v>
      </c>
      <c r="I274" s="201" t="s">
        <v>173</v>
      </c>
      <c r="J274" s="289"/>
      <c r="K274" s="289"/>
      <c r="L274" s="289"/>
      <c r="M274" s="289"/>
      <c r="N274" s="289"/>
      <c r="O274" s="289"/>
      <c r="P274" s="289"/>
      <c r="Q274" s="289"/>
      <c r="R274" s="289"/>
      <c r="S274" s="289"/>
      <c r="T274" s="289"/>
    </row>
    <row r="275" spans="1:20" s="182" customFormat="1" ht="16.5" hidden="1" customHeight="1">
      <c r="A275" s="605">
        <v>45313</v>
      </c>
      <c r="B275" s="601" t="s">
        <v>384</v>
      </c>
      <c r="C275" s="208" t="s">
        <v>269</v>
      </c>
      <c r="D275" s="606">
        <v>-6500</v>
      </c>
      <c r="E275" s="212">
        <v>45292</v>
      </c>
      <c r="F275" s="592" t="s">
        <v>109</v>
      </c>
      <c r="G275" s="208" t="s">
        <v>383</v>
      </c>
      <c r="H275" s="81" t="s">
        <v>138</v>
      </c>
      <c r="I275" s="201" t="s">
        <v>173</v>
      </c>
      <c r="J275" s="289"/>
      <c r="K275" s="289"/>
      <c r="L275" s="289"/>
      <c r="M275" s="289"/>
      <c r="N275" s="289"/>
      <c r="O275" s="289"/>
      <c r="P275" s="289"/>
      <c r="Q275" s="289"/>
      <c r="R275" s="289"/>
      <c r="S275" s="289"/>
      <c r="T275" s="289"/>
    </row>
    <row r="276" spans="1:20" s="182" customFormat="1" ht="16.5" hidden="1" customHeight="1">
      <c r="A276" s="603">
        <v>45314</v>
      </c>
      <c r="B276" s="604" t="s">
        <v>385</v>
      </c>
      <c r="C276" s="208" t="s">
        <v>330</v>
      </c>
      <c r="D276" s="608">
        <v>-120000</v>
      </c>
      <c r="E276" s="212">
        <v>45292</v>
      </c>
      <c r="F276" s="208" t="s">
        <v>109</v>
      </c>
      <c r="G276" s="208" t="s">
        <v>383</v>
      </c>
      <c r="H276" s="81" t="s">
        <v>138</v>
      </c>
      <c r="I276" s="201"/>
      <c r="J276" s="202"/>
      <c r="K276" s="202"/>
      <c r="L276" s="202"/>
      <c r="M276" s="202"/>
      <c r="N276" s="202"/>
      <c r="O276" s="202"/>
      <c r="P276" s="202"/>
      <c r="Q276" s="202"/>
      <c r="R276" s="202"/>
      <c r="S276" s="202"/>
      <c r="T276" s="202"/>
    </row>
    <row r="277" spans="1:20" s="182" customFormat="1" ht="16.5" hidden="1" customHeight="1">
      <c r="A277" s="603">
        <v>45314</v>
      </c>
      <c r="B277" s="604" t="s">
        <v>385</v>
      </c>
      <c r="C277" s="208" t="s">
        <v>269</v>
      </c>
      <c r="D277" s="608">
        <v>-120000</v>
      </c>
      <c r="E277" s="212">
        <v>45292</v>
      </c>
      <c r="F277" s="208" t="s">
        <v>109</v>
      </c>
      <c r="G277" s="208" t="s">
        <v>383</v>
      </c>
      <c r="H277" s="81" t="s">
        <v>138</v>
      </c>
      <c r="I277" s="201"/>
      <c r="J277" s="202"/>
      <c r="K277" s="202"/>
      <c r="L277" s="202"/>
      <c r="M277" s="202"/>
      <c r="N277" s="202"/>
      <c r="O277" s="202"/>
      <c r="P277" s="202"/>
      <c r="Q277" s="202"/>
      <c r="R277" s="202"/>
      <c r="S277" s="202"/>
      <c r="T277" s="202"/>
    </row>
    <row r="278" spans="1:20" s="182" customFormat="1" ht="16.5" hidden="1" customHeight="1">
      <c r="A278" s="222">
        <v>45314</v>
      </c>
      <c r="B278" s="201" t="s">
        <v>386</v>
      </c>
      <c r="C278" s="208" t="s">
        <v>269</v>
      </c>
      <c r="D278" s="291">
        <v>-125000</v>
      </c>
      <c r="E278" s="212">
        <v>45292</v>
      </c>
      <c r="F278" s="208" t="s">
        <v>109</v>
      </c>
      <c r="G278" s="208" t="s">
        <v>120</v>
      </c>
      <c r="H278" s="201"/>
      <c r="I278" s="201"/>
      <c r="J278" s="202"/>
      <c r="K278" s="202"/>
      <c r="L278" s="202"/>
      <c r="M278" s="202"/>
      <c r="N278" s="202"/>
      <c r="O278" s="202"/>
      <c r="P278" s="202"/>
      <c r="Q278" s="202"/>
      <c r="R278" s="202"/>
      <c r="S278" s="202"/>
      <c r="T278" s="202"/>
    </row>
    <row r="279" spans="1:20" s="182" customFormat="1" ht="16.5" hidden="1" customHeight="1">
      <c r="A279" s="603">
        <v>45314</v>
      </c>
      <c r="B279" s="604" t="s">
        <v>387</v>
      </c>
      <c r="C279" s="208" t="s">
        <v>27</v>
      </c>
      <c r="D279" s="608">
        <v>-504000</v>
      </c>
      <c r="E279" s="212">
        <v>45292</v>
      </c>
      <c r="F279" s="208" t="s">
        <v>109</v>
      </c>
      <c r="G279" s="208" t="s">
        <v>120</v>
      </c>
      <c r="H279" s="201"/>
      <c r="I279" s="201"/>
      <c r="J279" s="202"/>
      <c r="K279" s="202"/>
      <c r="L279" s="202"/>
      <c r="M279" s="202"/>
      <c r="N279" s="202"/>
      <c r="O279" s="202"/>
      <c r="P279" s="202"/>
      <c r="Q279" s="202"/>
      <c r="R279" s="202"/>
      <c r="S279" s="202"/>
      <c r="T279" s="202"/>
    </row>
    <row r="280" spans="1:20" s="182" customFormat="1" ht="16.5" hidden="1" customHeight="1">
      <c r="A280" s="603">
        <v>45314</v>
      </c>
      <c r="B280" s="604" t="s">
        <v>388</v>
      </c>
      <c r="C280" s="208" t="s">
        <v>133</v>
      </c>
      <c r="D280" s="608">
        <v>-56000</v>
      </c>
      <c r="E280" s="212">
        <v>45292</v>
      </c>
      <c r="F280" s="208" t="s">
        <v>109</v>
      </c>
      <c r="G280" s="208" t="s">
        <v>120</v>
      </c>
      <c r="H280" s="201"/>
      <c r="I280" s="201"/>
      <c r="J280" s="202"/>
      <c r="K280" s="202"/>
      <c r="L280" s="202"/>
      <c r="M280" s="202"/>
      <c r="N280" s="202"/>
      <c r="O280" s="202"/>
      <c r="P280" s="202"/>
      <c r="Q280" s="202"/>
      <c r="R280" s="202"/>
      <c r="S280" s="202"/>
      <c r="T280" s="202"/>
    </row>
    <row r="281" spans="1:20" s="182" customFormat="1" ht="16.5" hidden="1" customHeight="1">
      <c r="A281" s="222">
        <v>45314</v>
      </c>
      <c r="B281" s="201" t="s">
        <v>389</v>
      </c>
      <c r="C281" s="208" t="s">
        <v>269</v>
      </c>
      <c r="D281" s="291">
        <v>-28400</v>
      </c>
      <c r="E281" s="609">
        <v>45292</v>
      </c>
      <c r="F281" s="608" t="s">
        <v>130</v>
      </c>
      <c r="G281" s="208" t="s">
        <v>257</v>
      </c>
      <c r="H281" s="81" t="s">
        <v>138</v>
      </c>
      <c r="I281" s="201"/>
      <c r="J281" s="202"/>
      <c r="K281" s="202"/>
      <c r="L281" s="202"/>
      <c r="M281" s="202"/>
      <c r="N281" s="202"/>
      <c r="O281" s="202"/>
      <c r="P281" s="202"/>
      <c r="Q281" s="202"/>
      <c r="R281" s="202"/>
      <c r="S281" s="202"/>
      <c r="T281" s="202"/>
    </row>
    <row r="282" spans="1:20" s="182" customFormat="1" ht="16.5" hidden="1" customHeight="1">
      <c r="A282" s="222">
        <v>45314</v>
      </c>
      <c r="B282" s="201" t="s">
        <v>390</v>
      </c>
      <c r="C282" s="208" t="s">
        <v>181</v>
      </c>
      <c r="D282" s="291">
        <v>576805</v>
      </c>
      <c r="E282" s="212">
        <v>45292</v>
      </c>
      <c r="F282" s="291" t="s">
        <v>108</v>
      </c>
      <c r="G282" s="208"/>
      <c r="H282" s="201"/>
      <c r="I282" s="201"/>
      <c r="J282" s="202"/>
      <c r="K282" s="202"/>
      <c r="L282" s="202"/>
      <c r="M282" s="202"/>
      <c r="N282" s="202"/>
      <c r="O282" s="202"/>
      <c r="P282" s="202"/>
      <c r="Q282" s="202"/>
      <c r="R282" s="202"/>
      <c r="S282" s="202"/>
      <c r="T282" s="202"/>
    </row>
    <row r="283" spans="1:20" s="182" customFormat="1" ht="16.5" hidden="1" customHeight="1">
      <c r="A283" s="605">
        <v>45314</v>
      </c>
      <c r="B283" s="601" t="s">
        <v>391</v>
      </c>
      <c r="C283" s="208" t="s">
        <v>269</v>
      </c>
      <c r="D283" s="592">
        <v>-60000</v>
      </c>
      <c r="E283" s="212">
        <v>45292</v>
      </c>
      <c r="F283" s="592" t="s">
        <v>109</v>
      </c>
      <c r="G283" s="208" t="s">
        <v>383</v>
      </c>
      <c r="H283" s="208" t="s">
        <v>175</v>
      </c>
      <c r="I283" s="601"/>
      <c r="J283" s="289"/>
      <c r="K283" s="289"/>
      <c r="L283" s="289"/>
      <c r="M283" s="289"/>
      <c r="N283" s="289"/>
      <c r="O283" s="289"/>
      <c r="P283" s="289"/>
      <c r="Q283" s="289"/>
      <c r="R283" s="289"/>
      <c r="S283" s="289"/>
      <c r="T283" s="289"/>
    </row>
    <row r="284" spans="1:20" s="182" customFormat="1" ht="16.5" hidden="1" customHeight="1">
      <c r="A284" s="605">
        <v>45314</v>
      </c>
      <c r="B284" s="601" t="s">
        <v>392</v>
      </c>
      <c r="C284" s="208" t="s">
        <v>269</v>
      </c>
      <c r="D284" s="606">
        <v>-175260</v>
      </c>
      <c r="E284" s="212">
        <v>45292</v>
      </c>
      <c r="F284" s="592" t="s">
        <v>109</v>
      </c>
      <c r="G284" s="208" t="s">
        <v>383</v>
      </c>
      <c r="H284" s="208" t="s">
        <v>175</v>
      </c>
      <c r="I284" s="601"/>
      <c r="J284" s="289"/>
      <c r="K284" s="289"/>
      <c r="L284" s="289"/>
      <c r="M284" s="289"/>
      <c r="N284" s="289"/>
      <c r="O284" s="289"/>
      <c r="P284" s="289"/>
      <c r="Q284" s="289"/>
      <c r="R284" s="289"/>
      <c r="S284" s="289"/>
      <c r="T284" s="289"/>
    </row>
    <row r="285" spans="1:20" s="182" customFormat="1" ht="16.5" hidden="1" customHeight="1">
      <c r="A285" s="605">
        <v>45314</v>
      </c>
      <c r="B285" s="601" t="s">
        <v>393</v>
      </c>
      <c r="C285" s="208" t="s">
        <v>269</v>
      </c>
      <c r="D285" s="606">
        <v>-23900</v>
      </c>
      <c r="E285" s="212">
        <v>45292</v>
      </c>
      <c r="F285" s="592" t="s">
        <v>130</v>
      </c>
      <c r="G285" s="208" t="s">
        <v>130</v>
      </c>
      <c r="H285" s="208" t="s">
        <v>184</v>
      </c>
      <c r="I285" s="601"/>
      <c r="J285" s="289"/>
      <c r="K285" s="289"/>
      <c r="L285" s="289"/>
      <c r="M285" s="289"/>
      <c r="N285" s="289"/>
      <c r="O285" s="289"/>
      <c r="P285" s="289"/>
      <c r="Q285" s="289"/>
      <c r="R285" s="289"/>
      <c r="S285" s="289"/>
      <c r="T285" s="289"/>
    </row>
    <row r="286" spans="1:20" s="182" customFormat="1" ht="16.5" hidden="1" customHeight="1">
      <c r="A286" s="600">
        <v>45314</v>
      </c>
      <c r="B286" s="601" t="s">
        <v>394</v>
      </c>
      <c r="C286" s="208" t="s">
        <v>269</v>
      </c>
      <c r="D286" s="592">
        <v>-160036</v>
      </c>
      <c r="E286" s="212">
        <v>45292</v>
      </c>
      <c r="F286" s="592" t="s">
        <v>109</v>
      </c>
      <c r="G286" s="208" t="s">
        <v>120</v>
      </c>
      <c r="H286" s="601"/>
      <c r="I286" s="601"/>
      <c r="J286" s="289"/>
      <c r="K286" s="289"/>
      <c r="L286" s="289"/>
      <c r="M286" s="289"/>
      <c r="N286" s="289"/>
      <c r="O286" s="289"/>
      <c r="P286" s="289"/>
      <c r="Q286" s="289"/>
      <c r="R286" s="289"/>
      <c r="S286" s="289"/>
      <c r="T286" s="289"/>
    </row>
    <row r="287" spans="1:20" s="182" customFormat="1" ht="16.5" hidden="1" customHeight="1">
      <c r="A287" s="600">
        <v>45314</v>
      </c>
      <c r="B287" s="601" t="s">
        <v>395</v>
      </c>
      <c r="C287" s="208" t="s">
        <v>269</v>
      </c>
      <c r="D287" s="592">
        <v>-86000</v>
      </c>
      <c r="E287" s="212">
        <v>45292</v>
      </c>
      <c r="F287" s="592" t="s">
        <v>109</v>
      </c>
      <c r="G287" s="208" t="s">
        <v>120</v>
      </c>
      <c r="H287" s="601"/>
      <c r="I287" s="601"/>
      <c r="J287" s="289"/>
      <c r="K287" s="289"/>
      <c r="L287" s="289"/>
      <c r="M287" s="289"/>
      <c r="N287" s="289"/>
      <c r="O287" s="289"/>
      <c r="P287" s="289"/>
      <c r="Q287" s="289"/>
      <c r="R287" s="289"/>
      <c r="S287" s="289"/>
      <c r="T287" s="289"/>
    </row>
    <row r="288" spans="1:20" s="182" customFormat="1" ht="16.5" hidden="1" customHeight="1">
      <c r="A288" s="600">
        <v>45314</v>
      </c>
      <c r="B288" s="601" t="s">
        <v>396</v>
      </c>
      <c r="C288" s="208" t="s">
        <v>269</v>
      </c>
      <c r="D288" s="592">
        <v>-28000</v>
      </c>
      <c r="E288" s="212">
        <v>45292</v>
      </c>
      <c r="F288" s="592" t="s">
        <v>109</v>
      </c>
      <c r="G288" s="208" t="s">
        <v>120</v>
      </c>
      <c r="H288" s="601"/>
      <c r="I288" s="601"/>
      <c r="J288" s="289"/>
      <c r="K288" s="289"/>
      <c r="L288" s="289"/>
      <c r="M288" s="289"/>
      <c r="N288" s="289"/>
      <c r="O288" s="289"/>
      <c r="P288" s="289"/>
      <c r="Q288" s="289"/>
      <c r="R288" s="289"/>
      <c r="S288" s="289"/>
      <c r="T288" s="289"/>
    </row>
    <row r="289" spans="1:20" s="182" customFormat="1" ht="16.5" hidden="1" customHeight="1">
      <c r="A289" s="600">
        <v>45314</v>
      </c>
      <c r="B289" s="601" t="s">
        <v>397</v>
      </c>
      <c r="C289" s="208" t="s">
        <v>269</v>
      </c>
      <c r="D289" s="592">
        <v>-85000</v>
      </c>
      <c r="E289" s="212">
        <v>45292</v>
      </c>
      <c r="F289" s="592" t="s">
        <v>109</v>
      </c>
      <c r="G289" s="208" t="s">
        <v>120</v>
      </c>
      <c r="H289" s="601"/>
      <c r="I289" s="601"/>
      <c r="J289" s="289"/>
      <c r="K289" s="289"/>
      <c r="L289" s="289"/>
      <c r="M289" s="289"/>
      <c r="N289" s="289"/>
      <c r="O289" s="289"/>
      <c r="P289" s="289"/>
      <c r="Q289" s="289"/>
      <c r="R289" s="289"/>
      <c r="S289" s="289"/>
      <c r="T289" s="289"/>
    </row>
    <row r="290" spans="1:20" s="182" customFormat="1" ht="16.5" hidden="1" customHeight="1">
      <c r="A290" s="600">
        <v>45314</v>
      </c>
      <c r="B290" s="601" t="s">
        <v>398</v>
      </c>
      <c r="C290" s="208" t="s">
        <v>269</v>
      </c>
      <c r="D290" s="592">
        <v>-99800</v>
      </c>
      <c r="E290" s="212">
        <v>45292</v>
      </c>
      <c r="F290" s="592" t="s">
        <v>109</v>
      </c>
      <c r="G290" s="208" t="s">
        <v>120</v>
      </c>
      <c r="H290" s="601"/>
      <c r="I290" s="601"/>
      <c r="J290" s="289"/>
      <c r="K290" s="289"/>
      <c r="L290" s="289"/>
      <c r="M290" s="289"/>
      <c r="N290" s="289"/>
      <c r="O290" s="289"/>
      <c r="P290" s="289"/>
      <c r="Q290" s="289"/>
      <c r="R290" s="289"/>
      <c r="S290" s="289"/>
      <c r="T290" s="289"/>
    </row>
    <row r="291" spans="1:20" s="182" customFormat="1" ht="16.5" hidden="1" customHeight="1">
      <c r="A291" s="222">
        <v>45315</v>
      </c>
      <c r="B291" s="201" t="s">
        <v>399</v>
      </c>
      <c r="C291" s="208" t="s">
        <v>27</v>
      </c>
      <c r="D291" s="291">
        <v>-41204015</v>
      </c>
      <c r="E291" s="212">
        <v>45292</v>
      </c>
      <c r="F291" s="208" t="s">
        <v>109</v>
      </c>
      <c r="G291" s="208" t="s">
        <v>120</v>
      </c>
      <c r="H291" s="201"/>
      <c r="I291" s="201"/>
      <c r="J291" s="202"/>
      <c r="K291" s="202"/>
      <c r="L291" s="202"/>
      <c r="M291" s="202"/>
      <c r="N291" s="202"/>
      <c r="O291" s="202"/>
      <c r="P291" s="202"/>
      <c r="Q291" s="202"/>
      <c r="R291" s="202"/>
      <c r="S291" s="202"/>
      <c r="T291" s="202"/>
    </row>
    <row r="292" spans="1:20" s="182" customFormat="1" ht="16.5" hidden="1" customHeight="1">
      <c r="A292" s="222">
        <v>45315</v>
      </c>
      <c r="B292" s="201" t="s">
        <v>400</v>
      </c>
      <c r="C292" s="208" t="s">
        <v>27</v>
      </c>
      <c r="D292" s="291">
        <v>-233042</v>
      </c>
      <c r="E292" s="212">
        <v>45292</v>
      </c>
      <c r="F292" s="208" t="s">
        <v>109</v>
      </c>
      <c r="G292" s="208" t="s">
        <v>383</v>
      </c>
      <c r="H292" s="208" t="s">
        <v>175</v>
      </c>
      <c r="I292" s="201"/>
      <c r="J292" s="202"/>
      <c r="K292" s="202"/>
      <c r="L292" s="202"/>
      <c r="M292" s="202"/>
      <c r="N292" s="202"/>
      <c r="O292" s="202"/>
      <c r="P292" s="202"/>
      <c r="Q292" s="202"/>
      <c r="R292" s="202"/>
      <c r="S292" s="202"/>
      <c r="T292" s="202"/>
    </row>
    <row r="293" spans="1:20" s="182" customFormat="1" ht="16.5" hidden="1" customHeight="1">
      <c r="A293" s="222">
        <v>45315</v>
      </c>
      <c r="B293" s="201" t="s">
        <v>401</v>
      </c>
      <c r="C293" s="208" t="s">
        <v>27</v>
      </c>
      <c r="D293" s="291">
        <v>-1152000</v>
      </c>
      <c r="E293" s="609">
        <v>45292</v>
      </c>
      <c r="F293" s="84" t="s">
        <v>111</v>
      </c>
      <c r="G293" s="208"/>
      <c r="H293" s="201"/>
      <c r="I293" s="201"/>
      <c r="J293" s="202"/>
      <c r="K293" s="202"/>
      <c r="L293" s="202"/>
      <c r="M293" s="202"/>
      <c r="N293" s="202"/>
      <c r="O293" s="202"/>
      <c r="P293" s="202"/>
      <c r="Q293" s="202"/>
      <c r="R293" s="202"/>
      <c r="S293" s="202"/>
      <c r="T293" s="202"/>
    </row>
    <row r="294" spans="1:20" s="182" customFormat="1" ht="16.5" hidden="1" customHeight="1">
      <c r="A294" s="222">
        <v>45315</v>
      </c>
      <c r="B294" s="201" t="s">
        <v>402</v>
      </c>
      <c r="C294" s="208" t="s">
        <v>27</v>
      </c>
      <c r="D294" s="291">
        <v>-1433000</v>
      </c>
      <c r="E294" s="609">
        <v>45292</v>
      </c>
      <c r="F294" s="84" t="s">
        <v>111</v>
      </c>
      <c r="G294" s="208"/>
      <c r="H294" s="201"/>
      <c r="I294" s="201"/>
      <c r="J294" s="202"/>
      <c r="K294" s="202"/>
      <c r="L294" s="202"/>
      <c r="M294" s="202"/>
      <c r="N294" s="202"/>
      <c r="O294" s="202"/>
      <c r="P294" s="202"/>
      <c r="Q294" s="202"/>
      <c r="R294" s="202"/>
      <c r="S294" s="202"/>
      <c r="T294" s="202"/>
    </row>
    <row r="295" spans="1:20" s="182" customFormat="1" ht="16.5" hidden="1" customHeight="1">
      <c r="A295" s="222">
        <v>45315</v>
      </c>
      <c r="B295" s="201" t="s">
        <v>403</v>
      </c>
      <c r="C295" s="208" t="s">
        <v>27</v>
      </c>
      <c r="D295" s="291">
        <v>-196000</v>
      </c>
      <c r="E295" s="609">
        <v>45292</v>
      </c>
      <c r="F295" s="291" t="s">
        <v>130</v>
      </c>
      <c r="G295" s="208" t="s">
        <v>130</v>
      </c>
      <c r="H295" s="201" t="s">
        <v>323</v>
      </c>
      <c r="I295" s="201"/>
      <c r="J295" s="202"/>
      <c r="K295" s="202"/>
      <c r="L295" s="202"/>
      <c r="M295" s="202"/>
      <c r="N295" s="202"/>
      <c r="O295" s="202"/>
      <c r="P295" s="202"/>
      <c r="Q295" s="202"/>
      <c r="R295" s="202"/>
      <c r="S295" s="202"/>
      <c r="T295" s="202"/>
    </row>
    <row r="296" spans="1:20" s="182" customFormat="1" ht="16.5" hidden="1" customHeight="1">
      <c r="A296" s="222">
        <v>45315</v>
      </c>
      <c r="B296" s="201" t="s">
        <v>404</v>
      </c>
      <c r="C296" s="208" t="s">
        <v>27</v>
      </c>
      <c r="D296" s="291">
        <v>-1200000</v>
      </c>
      <c r="E296" s="212">
        <v>45292</v>
      </c>
      <c r="F296" s="208" t="s">
        <v>109</v>
      </c>
      <c r="G296" s="208" t="s">
        <v>120</v>
      </c>
      <c r="H296" s="201"/>
      <c r="I296" s="201"/>
      <c r="J296" s="202"/>
      <c r="K296" s="202"/>
      <c r="L296" s="202"/>
      <c r="M296" s="202"/>
      <c r="N296" s="202"/>
      <c r="O296" s="202"/>
      <c r="P296" s="202"/>
      <c r="Q296" s="202"/>
      <c r="R296" s="202"/>
      <c r="S296" s="202"/>
      <c r="T296" s="202"/>
    </row>
    <row r="297" spans="1:20" s="287" customFormat="1" ht="16.5" hidden="1" customHeight="1">
      <c r="A297" s="222">
        <v>45315</v>
      </c>
      <c r="B297" s="201" t="s">
        <v>405</v>
      </c>
      <c r="C297" s="208" t="s">
        <v>27</v>
      </c>
      <c r="D297" s="291">
        <v>-33824</v>
      </c>
      <c r="E297" s="609">
        <v>45292</v>
      </c>
      <c r="F297" s="291" t="s">
        <v>130</v>
      </c>
      <c r="G297" s="208" t="s">
        <v>257</v>
      </c>
      <c r="H297" s="201" t="s">
        <v>406</v>
      </c>
      <c r="I297" s="201"/>
      <c r="J297" s="202"/>
      <c r="K297" s="202"/>
      <c r="L297" s="202"/>
      <c r="M297" s="202"/>
      <c r="N297" s="202"/>
      <c r="O297" s="202"/>
      <c r="P297" s="202"/>
      <c r="Q297" s="202"/>
      <c r="R297" s="202"/>
      <c r="S297" s="202"/>
      <c r="T297" s="202"/>
    </row>
    <row r="298" spans="1:20" s="182" customFormat="1" ht="16.5" hidden="1" customHeight="1">
      <c r="A298" s="222">
        <v>45315</v>
      </c>
      <c r="B298" s="201" t="s">
        <v>407</v>
      </c>
      <c r="C298" s="208" t="s">
        <v>27</v>
      </c>
      <c r="D298" s="291">
        <v>-36040</v>
      </c>
      <c r="E298" s="609">
        <v>45292</v>
      </c>
      <c r="F298" s="291" t="s">
        <v>130</v>
      </c>
      <c r="G298" s="208" t="s">
        <v>130</v>
      </c>
      <c r="H298" s="201" t="s">
        <v>406</v>
      </c>
      <c r="I298" s="201"/>
      <c r="J298" s="202"/>
      <c r="K298" s="202"/>
      <c r="L298" s="202"/>
      <c r="M298" s="202"/>
      <c r="N298" s="202"/>
      <c r="O298" s="202"/>
      <c r="P298" s="202"/>
      <c r="Q298" s="202"/>
      <c r="R298" s="202"/>
      <c r="S298" s="202"/>
      <c r="T298" s="202"/>
    </row>
    <row r="299" spans="1:20" s="182" customFormat="1" ht="16.5" hidden="1" customHeight="1">
      <c r="A299" s="222">
        <v>45315</v>
      </c>
      <c r="B299" s="201" t="s">
        <v>408</v>
      </c>
      <c r="C299" s="208" t="s">
        <v>269</v>
      </c>
      <c r="D299" s="291">
        <v>-7000</v>
      </c>
      <c r="E299" s="212">
        <v>45292</v>
      </c>
      <c r="F299" s="208" t="s">
        <v>109</v>
      </c>
      <c r="G299" s="208" t="s">
        <v>383</v>
      </c>
      <c r="H299" s="81" t="s">
        <v>138</v>
      </c>
      <c r="I299" s="201"/>
      <c r="J299" s="202"/>
      <c r="K299" s="202"/>
      <c r="L299" s="202"/>
      <c r="M299" s="202"/>
      <c r="N299" s="202"/>
      <c r="O299" s="202"/>
      <c r="P299" s="202"/>
      <c r="Q299" s="202"/>
      <c r="R299" s="202"/>
      <c r="S299" s="202"/>
      <c r="T299" s="202"/>
    </row>
    <row r="300" spans="1:20" s="182" customFormat="1" ht="16.5" hidden="1" customHeight="1">
      <c r="A300" s="222">
        <v>45315</v>
      </c>
      <c r="B300" s="201" t="s">
        <v>409</v>
      </c>
      <c r="C300" s="208" t="s">
        <v>330</v>
      </c>
      <c r="D300" s="291">
        <v>-28400</v>
      </c>
      <c r="E300" s="212">
        <v>45292</v>
      </c>
      <c r="F300" s="291" t="s">
        <v>130</v>
      </c>
      <c r="G300" s="208" t="s">
        <v>257</v>
      </c>
      <c r="H300" s="81" t="s">
        <v>138</v>
      </c>
      <c r="I300" s="201"/>
      <c r="J300" s="202"/>
      <c r="K300" s="202"/>
      <c r="L300" s="202"/>
      <c r="M300" s="202"/>
      <c r="N300" s="202"/>
      <c r="O300" s="202"/>
      <c r="P300" s="202"/>
      <c r="Q300" s="202"/>
      <c r="R300" s="202"/>
      <c r="S300" s="202"/>
      <c r="T300" s="202"/>
    </row>
    <row r="301" spans="1:20" s="182" customFormat="1" ht="16.5" hidden="1" customHeight="1">
      <c r="A301" s="222">
        <v>45315</v>
      </c>
      <c r="B301" s="201" t="s">
        <v>410</v>
      </c>
      <c r="C301" s="208" t="s">
        <v>181</v>
      </c>
      <c r="D301" s="291">
        <v>88889</v>
      </c>
      <c r="E301" s="212">
        <v>45292</v>
      </c>
      <c r="F301" s="291" t="s">
        <v>130</v>
      </c>
      <c r="G301" s="208" t="s">
        <v>130</v>
      </c>
      <c r="H301" s="208" t="s">
        <v>182</v>
      </c>
      <c r="I301" s="201"/>
      <c r="J301" s="202"/>
      <c r="K301" s="202"/>
      <c r="L301" s="202"/>
      <c r="M301" s="202"/>
      <c r="N301" s="202"/>
      <c r="O301" s="202"/>
      <c r="P301" s="202"/>
      <c r="Q301" s="202"/>
      <c r="R301" s="202"/>
      <c r="S301" s="202"/>
      <c r="T301" s="202"/>
    </row>
    <row r="302" spans="1:20" s="182" customFormat="1" ht="16.5" hidden="1" customHeight="1">
      <c r="A302" s="222">
        <v>45315</v>
      </c>
      <c r="B302" s="201" t="s">
        <v>411</v>
      </c>
      <c r="C302" s="208" t="s">
        <v>301</v>
      </c>
      <c r="D302" s="291">
        <v>-30800</v>
      </c>
      <c r="E302" s="212">
        <v>45292</v>
      </c>
      <c r="F302" s="291" t="s">
        <v>130</v>
      </c>
      <c r="G302" s="208" t="s">
        <v>130</v>
      </c>
      <c r="H302" s="208" t="s">
        <v>143</v>
      </c>
      <c r="I302" s="201"/>
      <c r="J302" s="202"/>
      <c r="K302" s="202"/>
      <c r="L302" s="202"/>
      <c r="M302" s="202"/>
      <c r="N302" s="202"/>
      <c r="O302" s="202"/>
      <c r="P302" s="202"/>
      <c r="Q302" s="202"/>
      <c r="R302" s="202"/>
      <c r="S302" s="202"/>
      <c r="T302" s="202"/>
    </row>
    <row r="303" spans="1:20" s="182" customFormat="1" ht="16.5" hidden="1" customHeight="1">
      <c r="A303" s="600">
        <v>45315</v>
      </c>
      <c r="B303" s="601" t="s">
        <v>307</v>
      </c>
      <c r="C303" s="208" t="s">
        <v>269</v>
      </c>
      <c r="D303" s="592">
        <v>-50000</v>
      </c>
      <c r="E303" s="212">
        <v>45292</v>
      </c>
      <c r="F303" s="592" t="s">
        <v>109</v>
      </c>
      <c r="G303" s="208" t="s">
        <v>120</v>
      </c>
      <c r="H303" s="601"/>
      <c r="I303" s="601"/>
      <c r="J303" s="289"/>
      <c r="K303" s="289"/>
      <c r="L303" s="289"/>
      <c r="M303" s="289"/>
      <c r="N303" s="289"/>
      <c r="O303" s="289"/>
      <c r="P303" s="289"/>
      <c r="Q303" s="289"/>
      <c r="R303" s="289"/>
      <c r="S303" s="289"/>
      <c r="T303" s="289"/>
    </row>
    <row r="304" spans="1:20" s="182" customFormat="1" ht="16.5" hidden="1" customHeight="1">
      <c r="A304" s="600">
        <v>45315</v>
      </c>
      <c r="B304" s="601" t="s">
        <v>412</v>
      </c>
      <c r="C304" s="208" t="s">
        <v>269</v>
      </c>
      <c r="D304" s="592">
        <v>-669000</v>
      </c>
      <c r="E304" s="212">
        <v>45292</v>
      </c>
      <c r="F304" s="592" t="s">
        <v>109</v>
      </c>
      <c r="G304" s="208" t="s">
        <v>120</v>
      </c>
      <c r="H304" s="601"/>
      <c r="I304" s="601"/>
      <c r="J304" s="289"/>
      <c r="K304" s="289"/>
      <c r="L304" s="289"/>
      <c r="M304" s="289"/>
      <c r="N304" s="289"/>
      <c r="O304" s="289"/>
      <c r="P304" s="289"/>
      <c r="Q304" s="289"/>
      <c r="R304" s="289"/>
      <c r="S304" s="289"/>
      <c r="T304" s="289"/>
    </row>
    <row r="305" spans="1:20" s="203" customFormat="1" ht="16.5" hidden="1" customHeight="1">
      <c r="A305" s="222">
        <v>45316</v>
      </c>
      <c r="B305" s="201" t="s">
        <v>413</v>
      </c>
      <c r="C305" s="208" t="s">
        <v>27</v>
      </c>
      <c r="D305" s="291">
        <f>-7492863-2015041+8999+5000-5000</f>
        <v>-9498905</v>
      </c>
      <c r="E305" s="212">
        <v>45292</v>
      </c>
      <c r="F305" s="208" t="s">
        <v>109</v>
      </c>
      <c r="G305" s="208" t="s">
        <v>383</v>
      </c>
      <c r="H305" s="201" t="s">
        <v>363</v>
      </c>
      <c r="I305" s="201"/>
      <c r="J305" s="202"/>
      <c r="K305" s="202"/>
      <c r="L305" s="202"/>
      <c r="M305" s="202"/>
      <c r="N305" s="202"/>
      <c r="O305" s="202"/>
      <c r="P305" s="202"/>
      <c r="Q305" s="202"/>
      <c r="R305" s="202"/>
      <c r="S305" s="202"/>
      <c r="T305" s="202"/>
    </row>
    <row r="306" spans="1:20" s="182" customFormat="1" ht="16.5" hidden="1" customHeight="1">
      <c r="A306" s="605">
        <v>45316</v>
      </c>
      <c r="B306" s="201" t="s">
        <v>413</v>
      </c>
      <c r="C306" s="208" t="s">
        <v>27</v>
      </c>
      <c r="D306" s="291">
        <v>-1931866.5</v>
      </c>
      <c r="E306" s="212">
        <v>45292</v>
      </c>
      <c r="F306" s="208" t="s">
        <v>109</v>
      </c>
      <c r="G306" s="208" t="s">
        <v>168</v>
      </c>
      <c r="H306" s="208" t="s">
        <v>212</v>
      </c>
      <c r="I306" s="201"/>
      <c r="J306" s="202"/>
      <c r="K306" s="202"/>
      <c r="L306" s="202"/>
      <c r="M306" s="202"/>
      <c r="N306" s="202"/>
      <c r="O306" s="202"/>
      <c r="P306" s="202"/>
      <c r="Q306" s="202"/>
      <c r="R306" s="202"/>
      <c r="S306" s="202"/>
      <c r="T306" s="202"/>
    </row>
    <row r="307" spans="1:20" s="182" customFormat="1" ht="16.5" hidden="1" customHeight="1">
      <c r="A307" s="222">
        <v>45316</v>
      </c>
      <c r="B307" s="201" t="s">
        <v>413</v>
      </c>
      <c r="C307" s="208" t="s">
        <v>27</v>
      </c>
      <c r="D307" s="291">
        <f>-958113-186709-2500+5000</f>
        <v>-1142322</v>
      </c>
      <c r="E307" s="212">
        <v>45292</v>
      </c>
      <c r="F307" s="208" t="s">
        <v>109</v>
      </c>
      <c r="G307" s="208" t="s">
        <v>414</v>
      </c>
      <c r="H307" s="208" t="s">
        <v>212</v>
      </c>
      <c r="I307" s="201"/>
      <c r="J307" s="202"/>
      <c r="K307" s="202"/>
      <c r="L307" s="202"/>
      <c r="M307" s="202"/>
      <c r="N307" s="202"/>
      <c r="O307" s="202"/>
      <c r="P307" s="202"/>
      <c r="Q307" s="202"/>
      <c r="R307" s="202"/>
      <c r="S307" s="202"/>
      <c r="T307" s="202"/>
    </row>
    <row r="308" spans="1:20" s="182" customFormat="1" ht="16.5" hidden="1" customHeight="1">
      <c r="A308" s="222">
        <v>45316</v>
      </c>
      <c r="B308" s="201" t="s">
        <v>415</v>
      </c>
      <c r="C308" s="208" t="s">
        <v>27</v>
      </c>
      <c r="D308" s="291">
        <v>-900000</v>
      </c>
      <c r="E308" s="212">
        <v>45292</v>
      </c>
      <c r="F308" s="208" t="s">
        <v>109</v>
      </c>
      <c r="G308" s="208" t="s">
        <v>383</v>
      </c>
      <c r="H308" s="201" t="s">
        <v>416</v>
      </c>
      <c r="I308" s="201"/>
      <c r="J308" s="202"/>
      <c r="K308" s="202"/>
      <c r="L308" s="202"/>
      <c r="M308" s="202"/>
      <c r="N308" s="202"/>
      <c r="O308" s="202"/>
      <c r="P308" s="202"/>
      <c r="Q308" s="202"/>
      <c r="R308" s="202"/>
      <c r="S308" s="202"/>
      <c r="T308" s="202"/>
    </row>
    <row r="309" spans="1:20" s="182" customFormat="1" ht="16.5" hidden="1" customHeight="1">
      <c r="A309" s="605">
        <v>45316</v>
      </c>
      <c r="B309" s="201" t="s">
        <v>415</v>
      </c>
      <c r="C309" s="208" t="s">
        <v>27</v>
      </c>
      <c r="D309" s="291">
        <v>-250000</v>
      </c>
      <c r="E309" s="212">
        <v>45292</v>
      </c>
      <c r="F309" s="208" t="s">
        <v>109</v>
      </c>
      <c r="G309" s="208" t="s">
        <v>168</v>
      </c>
      <c r="H309" s="201" t="s">
        <v>416</v>
      </c>
      <c r="I309" s="201"/>
      <c r="J309" s="202"/>
      <c r="K309" s="202"/>
      <c r="L309" s="202"/>
      <c r="M309" s="202"/>
      <c r="N309" s="202"/>
      <c r="O309" s="202"/>
      <c r="P309" s="202"/>
      <c r="Q309" s="202"/>
      <c r="R309" s="202"/>
      <c r="S309" s="202"/>
      <c r="T309" s="202"/>
    </row>
    <row r="310" spans="1:20" s="182" customFormat="1" ht="16.5" hidden="1" customHeight="1">
      <c r="A310" s="222">
        <v>45316</v>
      </c>
      <c r="B310" s="201" t="s">
        <v>415</v>
      </c>
      <c r="C310" s="208" t="s">
        <v>27</v>
      </c>
      <c r="D310" s="291">
        <v>-250000</v>
      </c>
      <c r="E310" s="212">
        <v>45292</v>
      </c>
      <c r="F310" s="208" t="s">
        <v>109</v>
      </c>
      <c r="G310" s="208" t="s">
        <v>414</v>
      </c>
      <c r="H310" s="201" t="s">
        <v>416</v>
      </c>
      <c r="I310" s="201"/>
      <c r="J310" s="202"/>
      <c r="K310" s="202"/>
      <c r="L310" s="202"/>
      <c r="M310" s="202"/>
      <c r="N310" s="202"/>
      <c r="O310" s="202"/>
      <c r="P310" s="202"/>
      <c r="Q310" s="202"/>
      <c r="R310" s="202"/>
      <c r="S310" s="202"/>
      <c r="T310" s="202"/>
    </row>
    <row r="311" spans="1:20" s="182" customFormat="1" ht="16.5" hidden="1" customHeight="1">
      <c r="A311" s="222">
        <v>45316</v>
      </c>
      <c r="B311" s="201" t="s">
        <v>417</v>
      </c>
      <c r="C311" s="208" t="s">
        <v>27</v>
      </c>
      <c r="D311" s="291">
        <v>-13704300</v>
      </c>
      <c r="E311" s="212">
        <v>45292</v>
      </c>
      <c r="F311" s="208" t="s">
        <v>109</v>
      </c>
      <c r="G311" s="208" t="s">
        <v>383</v>
      </c>
      <c r="H311" s="201" t="s">
        <v>418</v>
      </c>
      <c r="I311" s="201"/>
      <c r="J311" s="202"/>
      <c r="K311" s="202"/>
      <c r="L311" s="202"/>
      <c r="M311" s="202"/>
      <c r="N311" s="202"/>
      <c r="O311" s="202"/>
      <c r="P311" s="202"/>
      <c r="Q311" s="202"/>
      <c r="R311" s="202"/>
      <c r="S311" s="202"/>
      <c r="T311" s="202"/>
    </row>
    <row r="312" spans="1:20" s="182" customFormat="1" ht="16.5" hidden="1" customHeight="1">
      <c r="A312" s="222">
        <v>45316</v>
      </c>
      <c r="B312" s="201" t="s">
        <v>419</v>
      </c>
      <c r="C312" s="208" t="s">
        <v>27</v>
      </c>
      <c r="D312" s="291">
        <v>-879505</v>
      </c>
      <c r="E312" s="212">
        <v>45292</v>
      </c>
      <c r="F312" s="208" t="s">
        <v>109</v>
      </c>
      <c r="G312" s="208" t="s">
        <v>420</v>
      </c>
      <c r="H312" s="201" t="s">
        <v>421</v>
      </c>
      <c r="I312" s="201"/>
      <c r="J312" s="202"/>
      <c r="K312" s="202"/>
      <c r="L312" s="202"/>
      <c r="M312" s="202"/>
      <c r="N312" s="202"/>
      <c r="O312" s="202"/>
      <c r="P312" s="202"/>
      <c r="Q312" s="202"/>
      <c r="R312" s="202"/>
      <c r="S312" s="202"/>
      <c r="T312" s="202"/>
    </row>
    <row r="313" spans="1:20" s="182" customFormat="1" ht="16.5" hidden="1" customHeight="1">
      <c r="A313" s="222">
        <v>45316</v>
      </c>
      <c r="B313" s="201" t="s">
        <v>422</v>
      </c>
      <c r="C313" s="208" t="s">
        <v>27</v>
      </c>
      <c r="D313" s="291">
        <v>-30944160</v>
      </c>
      <c r="E313" s="212">
        <v>45292</v>
      </c>
      <c r="F313" s="208" t="s">
        <v>109</v>
      </c>
      <c r="G313" s="208" t="s">
        <v>383</v>
      </c>
      <c r="H313" s="201" t="s">
        <v>123</v>
      </c>
      <c r="I313" s="201"/>
      <c r="J313" s="202"/>
      <c r="K313" s="202"/>
      <c r="L313" s="202"/>
      <c r="M313" s="202"/>
      <c r="N313" s="202"/>
      <c r="O313" s="202"/>
      <c r="P313" s="202"/>
      <c r="Q313" s="202"/>
      <c r="R313" s="202"/>
      <c r="S313" s="202"/>
      <c r="T313" s="202"/>
    </row>
    <row r="314" spans="1:20" s="182" customFormat="1" ht="16.5" hidden="1" customHeight="1">
      <c r="A314" s="605">
        <v>45316</v>
      </c>
      <c r="B314" s="201" t="s">
        <v>422</v>
      </c>
      <c r="C314" s="208" t="s">
        <v>27</v>
      </c>
      <c r="D314" s="291">
        <v>-4962262.5</v>
      </c>
      <c r="E314" s="212">
        <v>45292</v>
      </c>
      <c r="F314" s="208" t="s">
        <v>109</v>
      </c>
      <c r="G314" s="208" t="s">
        <v>168</v>
      </c>
      <c r="H314" s="201" t="s">
        <v>123</v>
      </c>
      <c r="I314" s="201"/>
      <c r="J314" s="202"/>
      <c r="K314" s="202"/>
      <c r="L314" s="202"/>
      <c r="M314" s="202"/>
      <c r="N314" s="202"/>
      <c r="O314" s="202"/>
      <c r="P314" s="202"/>
      <c r="Q314" s="202"/>
      <c r="R314" s="202"/>
      <c r="S314" s="202"/>
      <c r="T314" s="202"/>
    </row>
    <row r="315" spans="1:20" s="182" customFormat="1" ht="16.5" hidden="1" customHeight="1">
      <c r="A315" s="222">
        <v>45316</v>
      </c>
      <c r="B315" s="201" t="s">
        <v>422</v>
      </c>
      <c r="C315" s="208" t="s">
        <v>27</v>
      </c>
      <c r="D315" s="291">
        <v>-3969810</v>
      </c>
      <c r="E315" s="212">
        <v>45292</v>
      </c>
      <c r="F315" s="208" t="s">
        <v>109</v>
      </c>
      <c r="G315" s="208" t="s">
        <v>414</v>
      </c>
      <c r="H315" s="201" t="s">
        <v>123</v>
      </c>
      <c r="I315" s="201"/>
      <c r="J315" s="202"/>
      <c r="K315" s="202"/>
      <c r="L315" s="202"/>
      <c r="M315" s="202"/>
      <c r="N315" s="202"/>
      <c r="O315" s="202"/>
      <c r="P315" s="202"/>
      <c r="Q315" s="202"/>
      <c r="R315" s="202"/>
      <c r="S315" s="202"/>
      <c r="T315" s="202"/>
    </row>
    <row r="316" spans="1:20" s="182" customFormat="1" ht="16.5" hidden="1" customHeight="1">
      <c r="A316" s="222">
        <v>45316</v>
      </c>
      <c r="B316" s="201" t="s">
        <v>423</v>
      </c>
      <c r="C316" s="208" t="s">
        <v>133</v>
      </c>
      <c r="D316" s="291">
        <v>-4457</v>
      </c>
      <c r="E316" s="212">
        <v>45292</v>
      </c>
      <c r="F316" s="208" t="s">
        <v>109</v>
      </c>
      <c r="G316" s="208" t="s">
        <v>420</v>
      </c>
      <c r="H316" s="201" t="s">
        <v>421</v>
      </c>
      <c r="I316" s="201"/>
      <c r="J316" s="202"/>
      <c r="K316" s="202"/>
      <c r="L316" s="202"/>
      <c r="M316" s="202"/>
      <c r="N316" s="202"/>
      <c r="O316" s="202"/>
      <c r="P316" s="202"/>
      <c r="Q316" s="202"/>
      <c r="R316" s="202"/>
      <c r="S316" s="202"/>
      <c r="T316" s="202"/>
    </row>
    <row r="317" spans="1:20" s="288" customFormat="1" ht="16.5" hidden="1" customHeight="1">
      <c r="A317" s="610">
        <v>45316</v>
      </c>
      <c r="B317" s="201" t="s">
        <v>424</v>
      </c>
      <c r="C317" s="208" t="s">
        <v>133</v>
      </c>
      <c r="D317" s="291">
        <v>-814320</v>
      </c>
      <c r="E317" s="212">
        <v>45292</v>
      </c>
      <c r="F317" s="208" t="s">
        <v>109</v>
      </c>
      <c r="G317" s="208" t="s">
        <v>383</v>
      </c>
      <c r="H317" s="201" t="s">
        <v>123</v>
      </c>
      <c r="I317" s="201"/>
      <c r="J317" s="202"/>
      <c r="K317" s="202"/>
      <c r="L317" s="202"/>
      <c r="M317" s="202"/>
      <c r="N317" s="202"/>
      <c r="O317" s="202"/>
      <c r="P317" s="202"/>
      <c r="Q317" s="202"/>
      <c r="R317" s="202"/>
      <c r="S317" s="202"/>
      <c r="T317" s="202"/>
    </row>
    <row r="318" spans="1:20" s="182" customFormat="1" ht="16.5" hidden="1" customHeight="1">
      <c r="A318" s="611">
        <v>45316</v>
      </c>
      <c r="B318" s="201" t="s">
        <v>424</v>
      </c>
      <c r="C318" s="208" t="s">
        <v>133</v>
      </c>
      <c r="D318" s="291">
        <v>-127237.5</v>
      </c>
      <c r="E318" s="212">
        <v>45292</v>
      </c>
      <c r="F318" s="208" t="s">
        <v>109</v>
      </c>
      <c r="G318" s="208" t="s">
        <v>168</v>
      </c>
      <c r="H318" s="201" t="s">
        <v>123</v>
      </c>
      <c r="I318" s="201"/>
      <c r="J318" s="202"/>
      <c r="K318" s="202"/>
      <c r="L318" s="202"/>
      <c r="M318" s="202"/>
      <c r="N318" s="202"/>
      <c r="O318" s="202"/>
      <c r="P318" s="202"/>
      <c r="Q318" s="202"/>
      <c r="R318" s="202"/>
      <c r="S318" s="202"/>
      <c r="T318" s="202"/>
    </row>
    <row r="319" spans="1:20" s="182" customFormat="1" ht="16.5" hidden="1" customHeight="1">
      <c r="A319" s="610">
        <v>45316</v>
      </c>
      <c r="B319" s="201" t="s">
        <v>424</v>
      </c>
      <c r="C319" s="208" t="s">
        <v>133</v>
      </c>
      <c r="D319" s="291">
        <v>-101790</v>
      </c>
      <c r="E319" s="212">
        <v>45292</v>
      </c>
      <c r="F319" s="208" t="s">
        <v>109</v>
      </c>
      <c r="G319" s="208" t="s">
        <v>414</v>
      </c>
      <c r="H319" s="201" t="s">
        <v>123</v>
      </c>
      <c r="I319" s="201"/>
      <c r="J319" s="202"/>
      <c r="K319" s="202"/>
      <c r="L319" s="202"/>
      <c r="M319" s="202"/>
      <c r="N319" s="202"/>
      <c r="O319" s="202"/>
      <c r="P319" s="202"/>
      <c r="Q319" s="202"/>
      <c r="R319" s="202"/>
      <c r="S319" s="202"/>
      <c r="T319" s="202"/>
    </row>
    <row r="320" spans="1:20" s="182" customFormat="1" ht="16.5" hidden="1" customHeight="1">
      <c r="A320" s="610">
        <v>45316</v>
      </c>
      <c r="B320" s="201" t="s">
        <v>425</v>
      </c>
      <c r="C320" s="208" t="s">
        <v>133</v>
      </c>
      <c r="D320" s="291">
        <v>-176887</v>
      </c>
      <c r="E320" s="212">
        <v>45292</v>
      </c>
      <c r="F320" s="208" t="s">
        <v>109</v>
      </c>
      <c r="G320" s="208" t="s">
        <v>383</v>
      </c>
      <c r="H320" s="208" t="s">
        <v>212</v>
      </c>
      <c r="I320" s="201"/>
      <c r="J320" s="202"/>
      <c r="K320" s="202"/>
      <c r="L320" s="202"/>
      <c r="M320" s="202"/>
      <c r="N320" s="202"/>
      <c r="O320" s="202"/>
      <c r="P320" s="202"/>
      <c r="Q320" s="202"/>
      <c r="R320" s="202"/>
      <c r="S320" s="202"/>
      <c r="T320" s="202"/>
    </row>
    <row r="321" spans="1:20" s="182" customFormat="1" ht="16.5" hidden="1" customHeight="1">
      <c r="A321" s="611">
        <v>45316</v>
      </c>
      <c r="B321" s="201" t="s">
        <v>425</v>
      </c>
      <c r="C321" s="208" t="s">
        <v>133</v>
      </c>
      <c r="D321" s="291">
        <v>-41510.5</v>
      </c>
      <c r="E321" s="212">
        <v>45292</v>
      </c>
      <c r="F321" s="208" t="s">
        <v>109</v>
      </c>
      <c r="G321" s="208" t="s">
        <v>168</v>
      </c>
      <c r="H321" s="208" t="s">
        <v>212</v>
      </c>
      <c r="I321" s="201"/>
      <c r="J321" s="202"/>
      <c r="K321" s="202"/>
      <c r="L321" s="202"/>
      <c r="M321" s="202"/>
      <c r="N321" s="202"/>
      <c r="O321" s="202"/>
      <c r="P321" s="202"/>
      <c r="Q321" s="202"/>
      <c r="R321" s="202"/>
      <c r="S321" s="202"/>
      <c r="T321" s="202"/>
    </row>
    <row r="322" spans="1:20" s="182" customFormat="1" ht="16.5" hidden="1" customHeight="1">
      <c r="A322" s="610">
        <v>45316</v>
      </c>
      <c r="B322" s="201" t="s">
        <v>425</v>
      </c>
      <c r="C322" s="208" t="s">
        <v>133</v>
      </c>
      <c r="D322" s="291">
        <v>-24567</v>
      </c>
      <c r="E322" s="212">
        <v>45292</v>
      </c>
      <c r="F322" s="208" t="s">
        <v>109</v>
      </c>
      <c r="G322" s="208" t="s">
        <v>414</v>
      </c>
      <c r="H322" s="208" t="s">
        <v>212</v>
      </c>
      <c r="I322" s="201"/>
      <c r="J322" s="202"/>
      <c r="K322" s="202"/>
      <c r="L322" s="202"/>
      <c r="M322" s="202"/>
      <c r="N322" s="202"/>
      <c r="O322" s="202"/>
      <c r="P322" s="202"/>
      <c r="Q322" s="202"/>
      <c r="R322" s="202"/>
      <c r="S322" s="202"/>
      <c r="T322" s="202"/>
    </row>
    <row r="323" spans="1:20" s="182" customFormat="1" ht="16.5" hidden="1" customHeight="1">
      <c r="A323" s="610">
        <v>45316</v>
      </c>
      <c r="B323" s="201" t="s">
        <v>426</v>
      </c>
      <c r="C323" s="208" t="s">
        <v>133</v>
      </c>
      <c r="D323" s="291">
        <v>-9000</v>
      </c>
      <c r="E323" s="212">
        <v>45292</v>
      </c>
      <c r="F323" s="208" t="s">
        <v>109</v>
      </c>
      <c r="G323" s="208" t="s">
        <v>383</v>
      </c>
      <c r="H323" s="201" t="s">
        <v>416</v>
      </c>
      <c r="I323" s="201"/>
      <c r="J323" s="202"/>
      <c r="K323" s="202"/>
      <c r="L323" s="202"/>
      <c r="M323" s="202"/>
      <c r="N323" s="202"/>
      <c r="O323" s="202"/>
      <c r="P323" s="202"/>
      <c r="Q323" s="202"/>
      <c r="R323" s="202"/>
      <c r="S323" s="202"/>
      <c r="T323" s="202"/>
    </row>
    <row r="324" spans="1:20" s="182" customFormat="1" ht="16.5" hidden="1" customHeight="1">
      <c r="A324" s="611">
        <v>45316</v>
      </c>
      <c r="B324" s="201" t="s">
        <v>426</v>
      </c>
      <c r="C324" s="208" t="s">
        <v>133</v>
      </c>
      <c r="D324" s="291">
        <v>-2500</v>
      </c>
      <c r="E324" s="212">
        <v>45292</v>
      </c>
      <c r="F324" s="208" t="s">
        <v>109</v>
      </c>
      <c r="G324" s="208" t="s">
        <v>168</v>
      </c>
      <c r="H324" s="201" t="s">
        <v>416</v>
      </c>
      <c r="I324" s="201"/>
      <c r="J324" s="202"/>
      <c r="K324" s="202"/>
      <c r="L324" s="202"/>
      <c r="M324" s="202"/>
      <c r="N324" s="202"/>
      <c r="O324" s="202"/>
      <c r="P324" s="202"/>
      <c r="Q324" s="202"/>
      <c r="R324" s="202"/>
      <c r="S324" s="202"/>
      <c r="T324" s="202"/>
    </row>
    <row r="325" spans="1:20" s="182" customFormat="1" ht="16.5" hidden="1" customHeight="1">
      <c r="A325" s="610">
        <v>45316</v>
      </c>
      <c r="B325" s="201" t="s">
        <v>426</v>
      </c>
      <c r="C325" s="208" t="s">
        <v>133</v>
      </c>
      <c r="D325" s="291">
        <v>-2500</v>
      </c>
      <c r="E325" s="212">
        <v>45292</v>
      </c>
      <c r="F325" s="208" t="s">
        <v>109</v>
      </c>
      <c r="G325" s="208" t="s">
        <v>414</v>
      </c>
      <c r="H325" s="201" t="s">
        <v>416</v>
      </c>
      <c r="I325" s="201"/>
      <c r="J325" s="202"/>
      <c r="K325" s="202"/>
      <c r="L325" s="202"/>
      <c r="M325" s="202"/>
      <c r="N325" s="202"/>
      <c r="O325" s="202"/>
      <c r="P325" s="202"/>
      <c r="Q325" s="202"/>
      <c r="R325" s="202"/>
      <c r="S325" s="202"/>
      <c r="T325" s="202"/>
    </row>
    <row r="326" spans="1:20" s="182" customFormat="1" ht="16.5" hidden="1" customHeight="1">
      <c r="A326" s="610">
        <v>45316</v>
      </c>
      <c r="B326" s="201" t="s">
        <v>427</v>
      </c>
      <c r="C326" s="208" t="s">
        <v>133</v>
      </c>
      <c r="D326" s="291">
        <v>-345750</v>
      </c>
      <c r="E326" s="212">
        <v>45292</v>
      </c>
      <c r="F326" s="208" t="s">
        <v>109</v>
      </c>
      <c r="G326" s="208" t="s">
        <v>383</v>
      </c>
      <c r="H326" s="201" t="s">
        <v>418</v>
      </c>
      <c r="I326" s="201"/>
      <c r="J326" s="202"/>
      <c r="K326" s="202"/>
      <c r="L326" s="202"/>
      <c r="M326" s="202"/>
      <c r="N326" s="202"/>
      <c r="O326" s="202"/>
      <c r="P326" s="202"/>
      <c r="Q326" s="202"/>
      <c r="R326" s="202"/>
      <c r="S326" s="202"/>
      <c r="T326" s="202"/>
    </row>
    <row r="327" spans="1:20" s="182" customFormat="1" ht="16.5" hidden="1" customHeight="1">
      <c r="A327" s="610">
        <v>45316</v>
      </c>
      <c r="B327" s="201" t="s">
        <v>428</v>
      </c>
      <c r="C327" s="208" t="s">
        <v>27</v>
      </c>
      <c r="D327" s="291">
        <v>-345000</v>
      </c>
      <c r="E327" s="212">
        <v>45292</v>
      </c>
      <c r="F327" s="208" t="s">
        <v>109</v>
      </c>
      <c r="G327" s="208" t="s">
        <v>120</v>
      </c>
      <c r="H327" s="201"/>
      <c r="I327" s="201"/>
      <c r="J327" s="202"/>
      <c r="K327" s="202"/>
      <c r="L327" s="202"/>
      <c r="M327" s="202"/>
      <c r="N327" s="202"/>
      <c r="O327" s="202"/>
      <c r="P327" s="202"/>
      <c r="Q327" s="202"/>
      <c r="R327" s="202"/>
      <c r="S327" s="202"/>
      <c r="T327" s="202"/>
    </row>
    <row r="328" spans="1:20" s="289" customFormat="1" ht="16.5" hidden="1" customHeight="1">
      <c r="A328" s="610">
        <v>45316</v>
      </c>
      <c r="B328" s="201" t="s">
        <v>429</v>
      </c>
      <c r="C328" s="208" t="s">
        <v>27</v>
      </c>
      <c r="D328" s="291">
        <v>-809200</v>
      </c>
      <c r="E328" s="212">
        <v>45292</v>
      </c>
      <c r="F328" s="291" t="s">
        <v>130</v>
      </c>
      <c r="G328" s="208" t="s">
        <v>130</v>
      </c>
      <c r="H328" s="208" t="s">
        <v>184</v>
      </c>
      <c r="I328" s="201"/>
      <c r="J328" s="202"/>
      <c r="K328" s="202"/>
      <c r="L328" s="202"/>
      <c r="M328" s="202"/>
      <c r="N328" s="202"/>
      <c r="O328" s="202"/>
      <c r="P328" s="202"/>
      <c r="Q328" s="202"/>
      <c r="R328" s="202"/>
      <c r="S328" s="202"/>
      <c r="T328" s="202"/>
    </row>
    <row r="329" spans="1:20" s="182" customFormat="1" ht="16.5" hidden="1" customHeight="1">
      <c r="A329" s="610">
        <v>45316</v>
      </c>
      <c r="B329" s="201" t="s">
        <v>430</v>
      </c>
      <c r="C329" s="208" t="s">
        <v>27</v>
      </c>
      <c r="D329" s="291">
        <v>-190000</v>
      </c>
      <c r="E329" s="212">
        <v>45292</v>
      </c>
      <c r="F329" s="208" t="s">
        <v>109</v>
      </c>
      <c r="G329" s="208" t="s">
        <v>169</v>
      </c>
      <c r="H329" s="208" t="s">
        <v>175</v>
      </c>
      <c r="I329" s="201"/>
      <c r="J329" s="202"/>
      <c r="K329" s="202"/>
      <c r="L329" s="202"/>
      <c r="M329" s="202"/>
      <c r="N329" s="202"/>
      <c r="O329" s="202"/>
      <c r="P329" s="202"/>
      <c r="Q329" s="202"/>
      <c r="R329" s="202"/>
      <c r="S329" s="202"/>
      <c r="T329" s="202"/>
    </row>
    <row r="330" spans="1:20" s="182" customFormat="1" ht="16.5" hidden="1" customHeight="1">
      <c r="A330" s="611">
        <v>45316</v>
      </c>
      <c r="B330" s="601" t="s">
        <v>422</v>
      </c>
      <c r="C330" s="208" t="s">
        <v>27</v>
      </c>
      <c r="D330" s="592">
        <f>-19734000-D331</f>
        <v>-19240650</v>
      </c>
      <c r="E330" s="212">
        <v>45292</v>
      </c>
      <c r="F330" s="208" t="s">
        <v>109</v>
      </c>
      <c r="G330" s="208" t="s">
        <v>170</v>
      </c>
      <c r="H330" s="201" t="s">
        <v>123</v>
      </c>
      <c r="I330" s="601"/>
      <c r="J330" s="202"/>
      <c r="K330" s="202"/>
      <c r="L330" s="202"/>
      <c r="M330" s="202"/>
      <c r="N330" s="202"/>
      <c r="O330" s="202"/>
      <c r="P330" s="202"/>
      <c r="Q330" s="202"/>
      <c r="R330" s="202"/>
      <c r="S330" s="202"/>
      <c r="T330" s="202"/>
    </row>
    <row r="331" spans="1:20" s="182" customFormat="1" ht="16.5" hidden="1" customHeight="1">
      <c r="A331" s="611">
        <v>45316</v>
      </c>
      <c r="B331" s="601" t="s">
        <v>424</v>
      </c>
      <c r="C331" s="208" t="s">
        <v>133</v>
      </c>
      <c r="D331" s="592">
        <v>-493350</v>
      </c>
      <c r="E331" s="212">
        <v>45292</v>
      </c>
      <c r="F331" s="208" t="s">
        <v>109</v>
      </c>
      <c r="G331" s="208" t="s">
        <v>383</v>
      </c>
      <c r="H331" s="201" t="s">
        <v>123</v>
      </c>
      <c r="I331" s="601"/>
      <c r="J331" s="202"/>
      <c r="K331" s="202"/>
      <c r="L331" s="202"/>
      <c r="M331" s="202"/>
      <c r="N331" s="202"/>
      <c r="O331" s="202"/>
      <c r="P331" s="202"/>
      <c r="Q331" s="202"/>
      <c r="R331" s="202"/>
      <c r="S331" s="202"/>
      <c r="T331" s="202"/>
    </row>
    <row r="332" spans="1:20" s="182" customFormat="1" ht="16.5" hidden="1" customHeight="1">
      <c r="A332" s="611">
        <v>45316</v>
      </c>
      <c r="B332" s="601" t="s">
        <v>417</v>
      </c>
      <c r="C332" s="208" t="s">
        <v>27</v>
      </c>
      <c r="D332" s="592">
        <v>-8472750</v>
      </c>
      <c r="E332" s="212">
        <v>45292</v>
      </c>
      <c r="F332" s="208" t="s">
        <v>109</v>
      </c>
      <c r="G332" s="208" t="s">
        <v>170</v>
      </c>
      <c r="H332" s="201" t="s">
        <v>418</v>
      </c>
      <c r="I332" s="601"/>
      <c r="J332" s="202"/>
      <c r="K332" s="202"/>
      <c r="L332" s="202"/>
      <c r="M332" s="202"/>
      <c r="N332" s="202"/>
      <c r="O332" s="202"/>
      <c r="P332" s="202"/>
      <c r="Q332" s="202"/>
      <c r="R332" s="202"/>
      <c r="S332" s="202"/>
      <c r="T332" s="202"/>
    </row>
    <row r="333" spans="1:20" s="182" customFormat="1" ht="16.5" hidden="1" customHeight="1">
      <c r="A333" s="611">
        <v>45316</v>
      </c>
      <c r="B333" s="601" t="s">
        <v>427</v>
      </c>
      <c r="C333" s="208" t="s">
        <v>133</v>
      </c>
      <c r="D333" s="592">
        <v>-217250</v>
      </c>
      <c r="E333" s="212">
        <v>45292</v>
      </c>
      <c r="F333" s="208" t="s">
        <v>109</v>
      </c>
      <c r="G333" s="208" t="s">
        <v>383</v>
      </c>
      <c r="H333" s="201" t="s">
        <v>418</v>
      </c>
      <c r="I333" s="601"/>
      <c r="J333" s="202"/>
      <c r="K333" s="202"/>
      <c r="L333" s="202"/>
      <c r="M333" s="202"/>
      <c r="N333" s="202"/>
      <c r="O333" s="202"/>
      <c r="P333" s="202"/>
      <c r="Q333" s="202"/>
      <c r="R333" s="202"/>
      <c r="S333" s="202"/>
      <c r="T333" s="202"/>
    </row>
    <row r="334" spans="1:20" s="182" customFormat="1" ht="16.5" hidden="1" customHeight="1">
      <c r="A334" s="611">
        <v>45316</v>
      </c>
      <c r="B334" s="601" t="s">
        <v>413</v>
      </c>
      <c r="C334" s="208" t="s">
        <v>27</v>
      </c>
      <c r="D334" s="592">
        <f>-31903940-D330-D331-D332-D333-D335-422147</f>
        <v>-3275730</v>
      </c>
      <c r="E334" s="212">
        <v>45292</v>
      </c>
      <c r="F334" s="208" t="s">
        <v>109</v>
      </c>
      <c r="G334" s="208" t="s">
        <v>170</v>
      </c>
      <c r="H334" s="208" t="s">
        <v>212</v>
      </c>
      <c r="I334" s="601"/>
      <c r="J334" s="202"/>
      <c r="K334" s="202"/>
      <c r="L334" s="202"/>
      <c r="M334" s="202"/>
      <c r="N334" s="202"/>
      <c r="O334" s="202"/>
      <c r="P334" s="202"/>
      <c r="Q334" s="202"/>
      <c r="R334" s="202"/>
      <c r="S334" s="202"/>
      <c r="T334" s="202"/>
    </row>
    <row r="335" spans="1:20" s="182" customFormat="1" ht="16.5" hidden="1" customHeight="1">
      <c r="A335" s="611">
        <v>45316</v>
      </c>
      <c r="B335" s="601" t="s">
        <v>425</v>
      </c>
      <c r="C335" s="208" t="s">
        <v>133</v>
      </c>
      <c r="D335" s="592">
        <f>-1336957-D331-D333</f>
        <v>-626357</v>
      </c>
      <c r="E335" s="212">
        <v>45292</v>
      </c>
      <c r="F335" s="208" t="s">
        <v>109</v>
      </c>
      <c r="G335" s="208" t="s">
        <v>383</v>
      </c>
      <c r="H335" s="208" t="s">
        <v>212</v>
      </c>
      <c r="I335" s="601"/>
      <c r="J335" s="202"/>
      <c r="K335" s="202"/>
      <c r="L335" s="202"/>
      <c r="M335" s="202"/>
      <c r="N335" s="202"/>
      <c r="O335" s="202"/>
      <c r="P335" s="202"/>
      <c r="Q335" s="202"/>
      <c r="R335" s="202"/>
      <c r="S335" s="202"/>
      <c r="T335" s="202"/>
    </row>
    <row r="336" spans="1:20" s="182" customFormat="1" ht="16.5" hidden="1" customHeight="1">
      <c r="A336" s="611">
        <v>45316</v>
      </c>
      <c r="B336" s="601" t="s">
        <v>415</v>
      </c>
      <c r="C336" s="208" t="s">
        <v>27</v>
      </c>
      <c r="D336" s="592">
        <f>-900000</f>
        <v>-900000</v>
      </c>
      <c r="E336" s="212">
        <v>45292</v>
      </c>
      <c r="F336" s="208" t="s">
        <v>109</v>
      </c>
      <c r="G336" s="208" t="s">
        <v>170</v>
      </c>
      <c r="H336" s="201" t="s">
        <v>416</v>
      </c>
      <c r="I336" s="601"/>
      <c r="J336" s="202"/>
      <c r="K336" s="202"/>
      <c r="L336" s="202"/>
      <c r="M336" s="202"/>
      <c r="N336" s="202"/>
      <c r="O336" s="202"/>
      <c r="P336" s="202"/>
      <c r="Q336" s="202"/>
      <c r="R336" s="202"/>
      <c r="S336" s="202"/>
      <c r="T336" s="202"/>
    </row>
    <row r="337" spans="1:20" s="182" customFormat="1" ht="16.5" hidden="1" customHeight="1">
      <c r="A337" s="611">
        <v>45316</v>
      </c>
      <c r="B337" s="601" t="s">
        <v>426</v>
      </c>
      <c r="C337" s="208" t="s">
        <v>133</v>
      </c>
      <c r="D337" s="592">
        <v>-9000</v>
      </c>
      <c r="E337" s="212">
        <v>45292</v>
      </c>
      <c r="F337" s="208" t="s">
        <v>109</v>
      </c>
      <c r="G337" s="208" t="s">
        <v>383</v>
      </c>
      <c r="H337" s="201" t="s">
        <v>416</v>
      </c>
      <c r="I337" s="601"/>
      <c r="J337" s="202"/>
      <c r="K337" s="202"/>
      <c r="L337" s="202"/>
      <c r="M337" s="202"/>
      <c r="N337" s="202"/>
      <c r="O337" s="202"/>
      <c r="P337" s="202"/>
      <c r="Q337" s="202"/>
      <c r="R337" s="202"/>
      <c r="S337" s="202"/>
      <c r="T337" s="202"/>
    </row>
    <row r="338" spans="1:20" s="182" customFormat="1" ht="16.5" hidden="1" customHeight="1">
      <c r="A338" s="611">
        <v>45316</v>
      </c>
      <c r="B338" s="601" t="s">
        <v>422</v>
      </c>
      <c r="C338" s="208" t="s">
        <v>27</v>
      </c>
      <c r="D338" s="592">
        <f>-2544750-D339</f>
        <v>-2481131.25</v>
      </c>
      <c r="E338" s="212">
        <v>45292</v>
      </c>
      <c r="F338" s="208" t="s">
        <v>109</v>
      </c>
      <c r="G338" s="208" t="s">
        <v>137</v>
      </c>
      <c r="H338" s="201" t="s">
        <v>123</v>
      </c>
      <c r="I338" s="201"/>
      <c r="J338" s="202"/>
      <c r="K338" s="202"/>
      <c r="L338" s="202"/>
      <c r="M338" s="202"/>
      <c r="N338" s="202"/>
      <c r="O338" s="202"/>
      <c r="P338" s="202"/>
      <c r="Q338" s="202"/>
      <c r="R338" s="202"/>
      <c r="S338" s="202"/>
      <c r="T338" s="202"/>
    </row>
    <row r="339" spans="1:20" s="182" customFormat="1" ht="16.5" hidden="1" customHeight="1">
      <c r="A339" s="611">
        <v>45316</v>
      </c>
      <c r="B339" s="601" t="s">
        <v>424</v>
      </c>
      <c r="C339" s="208" t="s">
        <v>133</v>
      </c>
      <c r="D339" s="592">
        <v>-63618.75</v>
      </c>
      <c r="E339" s="212">
        <v>45292</v>
      </c>
      <c r="F339" s="208" t="s">
        <v>109</v>
      </c>
      <c r="G339" s="208" t="s">
        <v>137</v>
      </c>
      <c r="H339" s="201" t="s">
        <v>123</v>
      </c>
      <c r="I339" s="201"/>
      <c r="J339" s="202"/>
      <c r="K339" s="202"/>
      <c r="L339" s="202"/>
      <c r="M339" s="202"/>
      <c r="N339" s="202"/>
      <c r="O339" s="202"/>
      <c r="P339" s="202"/>
      <c r="Q339" s="202"/>
      <c r="R339" s="202"/>
      <c r="S339" s="202"/>
      <c r="T339" s="202"/>
    </row>
    <row r="340" spans="1:20" s="182" customFormat="1" ht="16.5" hidden="1" customHeight="1">
      <c r="A340" s="611">
        <v>45316</v>
      </c>
      <c r="B340" s="601" t="s">
        <v>417</v>
      </c>
      <c r="C340" s="208" t="s">
        <v>27</v>
      </c>
      <c r="D340" s="592">
        <f>-3390000-D341</f>
        <v>-3305250</v>
      </c>
      <c r="E340" s="212">
        <v>45292</v>
      </c>
      <c r="F340" s="208" t="s">
        <v>109</v>
      </c>
      <c r="G340" s="208" t="s">
        <v>137</v>
      </c>
      <c r="H340" s="201" t="s">
        <v>418</v>
      </c>
      <c r="I340" s="201"/>
      <c r="J340" s="202"/>
      <c r="K340" s="202"/>
      <c r="L340" s="202"/>
      <c r="M340" s="202"/>
      <c r="N340" s="202"/>
      <c r="O340" s="202"/>
      <c r="P340" s="202"/>
      <c r="Q340" s="202"/>
      <c r="R340" s="202"/>
      <c r="S340" s="202"/>
      <c r="T340" s="202"/>
    </row>
    <row r="341" spans="1:20" s="182" customFormat="1" ht="16.5" hidden="1" customHeight="1">
      <c r="A341" s="611">
        <v>45316</v>
      </c>
      <c r="B341" s="601" t="s">
        <v>427</v>
      </c>
      <c r="C341" s="208" t="s">
        <v>133</v>
      </c>
      <c r="D341" s="592">
        <v>-84750</v>
      </c>
      <c r="E341" s="212">
        <v>45292</v>
      </c>
      <c r="F341" s="208" t="s">
        <v>109</v>
      </c>
      <c r="G341" s="208" t="s">
        <v>137</v>
      </c>
      <c r="H341" s="201" t="s">
        <v>418</v>
      </c>
      <c r="I341" s="201"/>
      <c r="J341" s="202"/>
      <c r="K341" s="202"/>
      <c r="L341" s="202"/>
      <c r="M341" s="202"/>
      <c r="N341" s="202"/>
      <c r="O341" s="202"/>
      <c r="P341" s="202"/>
      <c r="Q341" s="202"/>
      <c r="R341" s="202"/>
      <c r="S341" s="202"/>
      <c r="T341" s="202"/>
    </row>
    <row r="342" spans="1:20" s="182" customFormat="1" ht="16.5" hidden="1" customHeight="1">
      <c r="A342" s="611">
        <v>45316</v>
      </c>
      <c r="B342" s="601" t="s">
        <v>413</v>
      </c>
      <c r="C342" s="208" t="s">
        <v>27</v>
      </c>
      <c r="D342" s="592">
        <f>-577979.75-173352</f>
        <v>-751331.75</v>
      </c>
      <c r="E342" s="212">
        <v>45292</v>
      </c>
      <c r="F342" s="208" t="s">
        <v>109</v>
      </c>
      <c r="G342" s="208" t="s">
        <v>137</v>
      </c>
      <c r="H342" s="208" t="s">
        <v>212</v>
      </c>
      <c r="I342" s="201"/>
      <c r="J342" s="202"/>
      <c r="K342" s="202"/>
      <c r="L342" s="202"/>
      <c r="M342" s="202"/>
      <c r="N342" s="202"/>
      <c r="O342" s="202"/>
      <c r="P342" s="202"/>
      <c r="Q342" s="202"/>
      <c r="R342" s="202"/>
      <c r="S342" s="202"/>
      <c r="T342" s="202"/>
    </row>
    <row r="343" spans="1:20" s="182" customFormat="1" ht="16.5" hidden="1" customHeight="1">
      <c r="A343" s="611">
        <v>45316</v>
      </c>
      <c r="B343" s="601" t="s">
        <v>425</v>
      </c>
      <c r="C343" s="208" t="s">
        <v>133</v>
      </c>
      <c r="D343" s="592">
        <v>-14820.25</v>
      </c>
      <c r="E343" s="212">
        <v>45292</v>
      </c>
      <c r="F343" s="208" t="s">
        <v>109</v>
      </c>
      <c r="G343" s="208" t="s">
        <v>137</v>
      </c>
      <c r="H343" s="208" t="s">
        <v>212</v>
      </c>
      <c r="I343" s="201"/>
      <c r="J343" s="202"/>
      <c r="K343" s="202"/>
      <c r="L343" s="202"/>
      <c r="M343" s="202"/>
      <c r="N343" s="202"/>
      <c r="O343" s="202"/>
      <c r="P343" s="202"/>
      <c r="Q343" s="202"/>
      <c r="R343" s="202"/>
      <c r="S343" s="202"/>
      <c r="T343" s="202"/>
    </row>
    <row r="344" spans="1:20" s="182" customFormat="1" ht="16.5" hidden="1" customHeight="1">
      <c r="A344" s="611">
        <v>45316</v>
      </c>
      <c r="B344" s="601" t="s">
        <v>415</v>
      </c>
      <c r="C344" s="208" t="s">
        <v>27</v>
      </c>
      <c r="D344" s="592">
        <v>-1338000</v>
      </c>
      <c r="E344" s="212">
        <v>45292</v>
      </c>
      <c r="F344" s="208" t="s">
        <v>109</v>
      </c>
      <c r="G344" s="208" t="s">
        <v>137</v>
      </c>
      <c r="H344" s="201" t="s">
        <v>416</v>
      </c>
      <c r="I344" s="201"/>
      <c r="J344" s="202"/>
      <c r="K344" s="202"/>
      <c r="L344" s="202"/>
      <c r="M344" s="202"/>
      <c r="N344" s="202"/>
      <c r="O344" s="202"/>
      <c r="P344" s="202"/>
      <c r="Q344" s="202"/>
      <c r="R344" s="202"/>
      <c r="S344" s="202"/>
      <c r="T344" s="202"/>
    </row>
    <row r="345" spans="1:20" s="182" customFormat="1" ht="16.5" hidden="1" customHeight="1">
      <c r="A345" s="611">
        <v>45316</v>
      </c>
      <c r="B345" s="601" t="s">
        <v>426</v>
      </c>
      <c r="C345" s="208" t="s">
        <v>133</v>
      </c>
      <c r="D345" s="592">
        <v>-13380</v>
      </c>
      <c r="E345" s="212">
        <v>45292</v>
      </c>
      <c r="F345" s="208" t="s">
        <v>109</v>
      </c>
      <c r="G345" s="208" t="s">
        <v>137</v>
      </c>
      <c r="H345" s="201" t="s">
        <v>416</v>
      </c>
      <c r="I345" s="201"/>
      <c r="J345" s="202"/>
      <c r="K345" s="202"/>
      <c r="L345" s="202"/>
      <c r="M345" s="202"/>
      <c r="N345" s="202"/>
      <c r="O345" s="202"/>
      <c r="P345" s="202"/>
      <c r="Q345" s="202"/>
      <c r="R345" s="202"/>
      <c r="S345" s="202"/>
      <c r="T345" s="202"/>
    </row>
    <row r="346" spans="1:20" s="182" customFormat="1" ht="16.5" hidden="1" customHeight="1">
      <c r="A346" s="610">
        <v>45316</v>
      </c>
      <c r="B346" s="201" t="s">
        <v>431</v>
      </c>
      <c r="C346" s="208" t="s">
        <v>269</v>
      </c>
      <c r="D346" s="291">
        <v>-7000</v>
      </c>
      <c r="E346" s="212">
        <v>45292</v>
      </c>
      <c r="F346" s="208" t="s">
        <v>109</v>
      </c>
      <c r="G346" s="208" t="s">
        <v>169</v>
      </c>
      <c r="H346" s="81" t="s">
        <v>138</v>
      </c>
      <c r="I346" s="201"/>
      <c r="J346" s="202"/>
      <c r="K346" s="202"/>
      <c r="L346" s="202"/>
      <c r="M346" s="202"/>
      <c r="N346" s="202"/>
      <c r="O346" s="202"/>
      <c r="P346" s="202"/>
      <c r="Q346" s="202"/>
      <c r="R346" s="202"/>
      <c r="S346" s="202"/>
      <c r="T346" s="202"/>
    </row>
    <row r="347" spans="1:20" s="182" customFormat="1" ht="16.5" hidden="1" customHeight="1">
      <c r="A347" s="610">
        <v>45316</v>
      </c>
      <c r="B347" s="201" t="s">
        <v>432</v>
      </c>
      <c r="C347" s="208" t="s">
        <v>330</v>
      </c>
      <c r="D347" s="291">
        <v>-153038</v>
      </c>
      <c r="E347" s="212">
        <v>45292</v>
      </c>
      <c r="F347" s="291" t="s">
        <v>130</v>
      </c>
      <c r="G347" s="208" t="s">
        <v>257</v>
      </c>
      <c r="H347" s="81" t="s">
        <v>138</v>
      </c>
      <c r="I347" s="201"/>
      <c r="J347" s="202"/>
      <c r="K347" s="202"/>
      <c r="L347" s="202"/>
      <c r="M347" s="202"/>
      <c r="N347" s="202"/>
      <c r="O347" s="202"/>
      <c r="P347" s="202"/>
      <c r="Q347" s="202"/>
      <c r="R347" s="202"/>
      <c r="S347" s="202"/>
      <c r="T347" s="202"/>
    </row>
    <row r="348" spans="1:20" s="182" customFormat="1" ht="16.5" hidden="1" customHeight="1">
      <c r="A348" s="610">
        <v>45316</v>
      </c>
      <c r="B348" s="201" t="s">
        <v>433</v>
      </c>
      <c r="C348" s="208" t="s">
        <v>27</v>
      </c>
      <c r="D348" s="291">
        <v>118146600</v>
      </c>
      <c r="E348" s="212">
        <v>45292</v>
      </c>
      <c r="F348" s="208" t="s">
        <v>434</v>
      </c>
      <c r="G348" s="208" t="s">
        <v>317</v>
      </c>
      <c r="H348" s="201"/>
      <c r="I348" s="201"/>
      <c r="J348" s="202"/>
      <c r="K348" s="202"/>
      <c r="L348" s="202"/>
      <c r="M348" s="202"/>
      <c r="N348" s="202"/>
      <c r="O348" s="202"/>
      <c r="P348" s="202"/>
      <c r="Q348" s="202"/>
      <c r="R348" s="202"/>
      <c r="S348" s="202"/>
      <c r="T348" s="202"/>
    </row>
    <row r="349" spans="1:20" s="182" customFormat="1" ht="16.5" hidden="1" customHeight="1">
      <c r="A349" s="222">
        <v>45316</v>
      </c>
      <c r="B349" s="201" t="s">
        <v>435</v>
      </c>
      <c r="C349" s="208" t="s">
        <v>181</v>
      </c>
      <c r="D349" s="291">
        <v>-2500000</v>
      </c>
      <c r="E349" s="212">
        <v>45292</v>
      </c>
      <c r="F349" s="84" t="s">
        <v>111</v>
      </c>
      <c r="G349" s="208"/>
      <c r="H349" s="201"/>
      <c r="I349" s="201"/>
      <c r="J349" s="202"/>
      <c r="K349" s="202"/>
      <c r="L349" s="202"/>
      <c r="M349" s="202"/>
      <c r="N349" s="202"/>
      <c r="O349" s="202"/>
      <c r="P349" s="202"/>
      <c r="Q349" s="202"/>
      <c r="R349" s="202"/>
      <c r="S349" s="202"/>
      <c r="T349" s="202"/>
    </row>
    <row r="350" spans="1:20" s="182" customFormat="1" ht="16.5" hidden="1" customHeight="1">
      <c r="A350" s="222">
        <v>45316</v>
      </c>
      <c r="B350" s="201" t="s">
        <v>436</v>
      </c>
      <c r="C350" s="208" t="s">
        <v>269</v>
      </c>
      <c r="D350" s="291">
        <v>-115000</v>
      </c>
      <c r="E350" s="212">
        <v>45292</v>
      </c>
      <c r="F350" s="208" t="s">
        <v>109</v>
      </c>
      <c r="G350" s="208" t="s">
        <v>383</v>
      </c>
      <c r="H350" s="81" t="s">
        <v>138</v>
      </c>
      <c r="I350" s="201"/>
      <c r="J350" s="202"/>
      <c r="K350" s="202"/>
      <c r="L350" s="202"/>
      <c r="M350" s="202"/>
      <c r="N350" s="202"/>
      <c r="O350" s="202"/>
      <c r="P350" s="202"/>
      <c r="Q350" s="202"/>
      <c r="R350" s="202"/>
      <c r="S350" s="202"/>
      <c r="T350" s="202"/>
    </row>
    <row r="351" spans="1:20" s="182" customFormat="1" ht="16.5" hidden="1" customHeight="1">
      <c r="A351" s="222">
        <v>45316</v>
      </c>
      <c r="B351" s="201" t="s">
        <v>437</v>
      </c>
      <c r="C351" s="208" t="s">
        <v>269</v>
      </c>
      <c r="D351" s="291">
        <v>-40000</v>
      </c>
      <c r="E351" s="212">
        <v>45292</v>
      </c>
      <c r="F351" s="291" t="s">
        <v>130</v>
      </c>
      <c r="G351" s="208" t="s">
        <v>130</v>
      </c>
      <c r="H351" s="81" t="s">
        <v>138</v>
      </c>
      <c r="I351" s="201"/>
      <c r="J351" s="202"/>
      <c r="K351" s="202"/>
      <c r="L351" s="202"/>
      <c r="M351" s="202"/>
      <c r="N351" s="202"/>
      <c r="O351" s="202"/>
      <c r="P351" s="202"/>
      <c r="Q351" s="202"/>
      <c r="R351" s="202"/>
      <c r="S351" s="202"/>
      <c r="T351" s="202"/>
    </row>
    <row r="352" spans="1:20" s="182" customFormat="1" ht="16.5" hidden="1" customHeight="1">
      <c r="A352" s="222">
        <v>45316</v>
      </c>
      <c r="B352" s="201" t="s">
        <v>438</v>
      </c>
      <c r="C352" s="208" t="s">
        <v>269</v>
      </c>
      <c r="D352" s="291">
        <v>-105000</v>
      </c>
      <c r="E352" s="212">
        <v>45292</v>
      </c>
      <c r="F352" s="208" t="s">
        <v>109</v>
      </c>
      <c r="G352" s="208" t="s">
        <v>170</v>
      </c>
      <c r="H352" s="81" t="s">
        <v>138</v>
      </c>
      <c r="I352" s="201"/>
      <c r="J352" s="202"/>
      <c r="K352" s="202"/>
      <c r="L352" s="202"/>
      <c r="M352" s="202"/>
      <c r="N352" s="202"/>
      <c r="O352" s="202"/>
      <c r="P352" s="202"/>
      <c r="Q352" s="202"/>
      <c r="R352" s="202"/>
      <c r="S352" s="202"/>
      <c r="T352" s="202"/>
    </row>
    <row r="353" spans="1:20" s="182" customFormat="1" ht="16.5" hidden="1" customHeight="1">
      <c r="A353" s="222">
        <v>45316</v>
      </c>
      <c r="B353" s="201" t="s">
        <v>439</v>
      </c>
      <c r="C353" s="208" t="s">
        <v>181</v>
      </c>
      <c r="D353" s="291">
        <v>-221867</v>
      </c>
      <c r="E353" s="212">
        <v>45292</v>
      </c>
      <c r="F353" s="291" t="s">
        <v>118</v>
      </c>
      <c r="G353" s="208"/>
      <c r="H353" s="201"/>
      <c r="I353" s="201"/>
      <c r="J353" s="202"/>
      <c r="K353" s="202"/>
      <c r="L353" s="202"/>
      <c r="M353" s="202"/>
      <c r="N353" s="202"/>
      <c r="O353" s="202"/>
      <c r="P353" s="202"/>
      <c r="Q353" s="202"/>
      <c r="R353" s="202"/>
      <c r="S353" s="202"/>
      <c r="T353" s="202"/>
    </row>
    <row r="354" spans="1:20" s="182" customFormat="1" ht="16.5" hidden="1" customHeight="1">
      <c r="A354" s="600">
        <v>45316</v>
      </c>
      <c r="B354" s="601" t="s">
        <v>395</v>
      </c>
      <c r="C354" s="208" t="s">
        <v>269</v>
      </c>
      <c r="D354" s="592">
        <v>-50000</v>
      </c>
      <c r="E354" s="212">
        <v>45292</v>
      </c>
      <c r="F354" s="592" t="s">
        <v>109</v>
      </c>
      <c r="G354" s="208" t="s">
        <v>120</v>
      </c>
      <c r="H354" s="601"/>
      <c r="I354" s="601"/>
      <c r="J354" s="289"/>
      <c r="K354" s="289"/>
      <c r="L354" s="289"/>
      <c r="M354" s="289"/>
      <c r="N354" s="289"/>
      <c r="O354" s="289"/>
      <c r="P354" s="289"/>
      <c r="Q354" s="289"/>
      <c r="R354" s="289"/>
      <c r="S354" s="289"/>
      <c r="T354" s="289"/>
    </row>
    <row r="355" spans="1:20" s="182" customFormat="1" ht="16.5" hidden="1" customHeight="1">
      <c r="A355" s="600">
        <v>45316</v>
      </c>
      <c r="B355" s="601" t="s">
        <v>397</v>
      </c>
      <c r="C355" s="208" t="s">
        <v>269</v>
      </c>
      <c r="D355" s="592">
        <v>-20000</v>
      </c>
      <c r="E355" s="212">
        <v>45292</v>
      </c>
      <c r="F355" s="592" t="s">
        <v>109</v>
      </c>
      <c r="G355" s="208" t="s">
        <v>120</v>
      </c>
      <c r="H355" s="601"/>
      <c r="I355" s="601"/>
      <c r="J355" s="289"/>
      <c r="K355" s="289"/>
      <c r="L355" s="289"/>
      <c r="M355" s="289"/>
      <c r="N355" s="289"/>
      <c r="O355" s="289"/>
      <c r="P355" s="289"/>
      <c r="Q355" s="289"/>
      <c r="R355" s="289"/>
      <c r="S355" s="289"/>
      <c r="T355" s="289"/>
    </row>
    <row r="356" spans="1:20" s="182" customFormat="1" ht="16.5" hidden="1" customHeight="1">
      <c r="A356" s="600">
        <v>45316</v>
      </c>
      <c r="B356" s="601" t="s">
        <v>440</v>
      </c>
      <c r="C356" s="208" t="s">
        <v>269</v>
      </c>
      <c r="D356" s="592">
        <v>-20000</v>
      </c>
      <c r="E356" s="212">
        <v>45292</v>
      </c>
      <c r="F356" s="592" t="s">
        <v>109</v>
      </c>
      <c r="G356" s="208" t="s">
        <v>120</v>
      </c>
      <c r="H356" s="601"/>
      <c r="I356" s="601"/>
      <c r="J356" s="289"/>
      <c r="K356" s="289"/>
      <c r="L356" s="289"/>
      <c r="M356" s="289"/>
      <c r="N356" s="289"/>
      <c r="O356" s="289"/>
      <c r="P356" s="289"/>
      <c r="Q356" s="289"/>
      <c r="R356" s="289"/>
      <c r="S356" s="289"/>
      <c r="T356" s="289"/>
    </row>
    <row r="357" spans="1:20" s="182" customFormat="1" ht="16.5" hidden="1" customHeight="1">
      <c r="A357" s="600">
        <v>45316</v>
      </c>
      <c r="B357" s="601" t="s">
        <v>441</v>
      </c>
      <c r="C357" s="208" t="s">
        <v>269</v>
      </c>
      <c r="D357" s="592">
        <v>-2147000</v>
      </c>
      <c r="E357" s="212">
        <v>45292</v>
      </c>
      <c r="F357" s="592" t="s">
        <v>109</v>
      </c>
      <c r="G357" s="208" t="s">
        <v>120</v>
      </c>
      <c r="H357" s="601"/>
      <c r="I357" s="601"/>
      <c r="J357" s="289"/>
      <c r="K357" s="289"/>
      <c r="L357" s="289"/>
      <c r="M357" s="289"/>
      <c r="N357" s="289"/>
      <c r="O357" s="289"/>
      <c r="P357" s="289"/>
      <c r="Q357" s="289"/>
      <c r="R357" s="289"/>
      <c r="S357" s="289"/>
      <c r="T357" s="289"/>
    </row>
    <row r="358" spans="1:20" s="182" customFormat="1" ht="16.5" hidden="1" customHeight="1">
      <c r="A358" s="600">
        <v>45316</v>
      </c>
      <c r="B358" s="601" t="s">
        <v>442</v>
      </c>
      <c r="C358" s="208" t="s">
        <v>133</v>
      </c>
      <c r="D358" s="592">
        <v>-75145</v>
      </c>
      <c r="E358" s="212">
        <v>45292</v>
      </c>
      <c r="F358" s="84" t="s">
        <v>111</v>
      </c>
      <c r="G358" s="208"/>
      <c r="H358" s="601"/>
      <c r="I358" s="601"/>
      <c r="J358" s="289"/>
      <c r="K358" s="289"/>
      <c r="L358" s="289"/>
      <c r="M358" s="289"/>
      <c r="N358" s="289"/>
      <c r="O358" s="289"/>
      <c r="P358" s="289"/>
      <c r="Q358" s="289"/>
      <c r="R358" s="289"/>
      <c r="S358" s="289"/>
      <c r="T358" s="289"/>
    </row>
    <row r="359" spans="1:20" s="182" customFormat="1" ht="16.5" hidden="1" customHeight="1">
      <c r="A359" s="612">
        <v>45316</v>
      </c>
      <c r="B359" s="601" t="s">
        <v>443</v>
      </c>
      <c r="C359" s="208" t="s">
        <v>269</v>
      </c>
      <c r="D359" s="592">
        <v>-25000</v>
      </c>
      <c r="E359" s="212">
        <v>45292</v>
      </c>
      <c r="F359" s="592" t="s">
        <v>109</v>
      </c>
      <c r="G359" s="208" t="s">
        <v>120</v>
      </c>
      <c r="H359" s="601"/>
      <c r="I359" s="601"/>
      <c r="J359" s="289"/>
      <c r="K359" s="289"/>
      <c r="L359" s="289"/>
      <c r="M359" s="289"/>
      <c r="N359" s="289"/>
      <c r="O359" s="289"/>
      <c r="P359" s="289"/>
      <c r="Q359" s="289"/>
      <c r="R359" s="289"/>
      <c r="S359" s="289"/>
      <c r="T359" s="289"/>
    </row>
    <row r="360" spans="1:20" s="182" customFormat="1" ht="16.5" hidden="1" customHeight="1">
      <c r="A360" s="612">
        <v>45316</v>
      </c>
      <c r="B360" s="601" t="s">
        <v>444</v>
      </c>
      <c r="C360" s="208" t="s">
        <v>269</v>
      </c>
      <c r="D360" s="592">
        <v>-10700</v>
      </c>
      <c r="E360" s="212">
        <v>45292</v>
      </c>
      <c r="F360" s="592" t="s">
        <v>109</v>
      </c>
      <c r="G360" s="208" t="s">
        <v>120</v>
      </c>
      <c r="H360" s="601"/>
      <c r="I360" s="601"/>
      <c r="J360" s="289"/>
      <c r="K360" s="289"/>
      <c r="L360" s="289"/>
      <c r="M360" s="289"/>
      <c r="N360" s="289"/>
      <c r="O360" s="289"/>
      <c r="P360" s="289"/>
      <c r="Q360" s="289"/>
      <c r="R360" s="289"/>
      <c r="S360" s="289"/>
      <c r="T360" s="289"/>
    </row>
    <row r="361" spans="1:20" s="182" customFormat="1" ht="16.5" hidden="1" customHeight="1">
      <c r="A361" s="612">
        <v>45316</v>
      </c>
      <c r="B361" s="601" t="s">
        <v>305</v>
      </c>
      <c r="C361" s="208" t="s">
        <v>269</v>
      </c>
      <c r="D361" s="592">
        <v>-20000</v>
      </c>
      <c r="E361" s="212">
        <v>45292</v>
      </c>
      <c r="F361" s="592" t="s">
        <v>109</v>
      </c>
      <c r="G361" s="208" t="s">
        <v>120</v>
      </c>
      <c r="H361" s="601"/>
      <c r="I361" s="601"/>
      <c r="J361" s="289"/>
      <c r="K361" s="289"/>
      <c r="L361" s="289"/>
      <c r="M361" s="289"/>
      <c r="N361" s="289"/>
      <c r="O361" s="289"/>
      <c r="P361" s="289"/>
      <c r="Q361" s="289"/>
      <c r="R361" s="289"/>
      <c r="S361" s="289"/>
      <c r="T361" s="289"/>
    </row>
    <row r="362" spans="1:20" s="182" customFormat="1" ht="16.5" hidden="1" customHeight="1">
      <c r="A362" s="610">
        <v>45316</v>
      </c>
      <c r="B362" s="201" t="s">
        <v>445</v>
      </c>
      <c r="C362" s="208" t="s">
        <v>146</v>
      </c>
      <c r="D362" s="291">
        <v>-8750</v>
      </c>
      <c r="E362" s="212">
        <v>45292</v>
      </c>
      <c r="F362" s="291" t="s">
        <v>109</v>
      </c>
      <c r="G362" s="208" t="s">
        <v>120</v>
      </c>
      <c r="H362" s="201"/>
      <c r="I362" s="201"/>
      <c r="J362" s="202"/>
      <c r="K362" s="202"/>
      <c r="L362" s="202"/>
      <c r="M362" s="202"/>
      <c r="N362" s="202"/>
      <c r="O362" s="202"/>
      <c r="P362" s="202"/>
      <c r="Q362" s="202"/>
      <c r="R362" s="202"/>
      <c r="S362" s="202"/>
      <c r="T362" s="202"/>
    </row>
    <row r="363" spans="1:20" s="182" customFormat="1" ht="16.5" hidden="1" customHeight="1">
      <c r="A363" s="610">
        <v>45316</v>
      </c>
      <c r="B363" s="201" t="s">
        <v>446</v>
      </c>
      <c r="C363" s="208" t="s">
        <v>146</v>
      </c>
      <c r="D363" s="291">
        <v>-57600</v>
      </c>
      <c r="E363" s="212">
        <v>45292</v>
      </c>
      <c r="F363" s="291" t="s">
        <v>109</v>
      </c>
      <c r="G363" s="208" t="s">
        <v>120</v>
      </c>
      <c r="H363" s="201"/>
      <c r="I363" s="201"/>
      <c r="J363" s="202"/>
      <c r="K363" s="202"/>
      <c r="L363" s="202"/>
      <c r="M363" s="202"/>
      <c r="N363" s="202"/>
      <c r="O363" s="202"/>
      <c r="P363" s="202"/>
      <c r="Q363" s="202"/>
      <c r="R363" s="202"/>
      <c r="S363" s="202"/>
      <c r="T363" s="202"/>
    </row>
    <row r="364" spans="1:20" s="182" customFormat="1" ht="16.5" hidden="1" customHeight="1">
      <c r="A364" s="610">
        <v>45316</v>
      </c>
      <c r="B364" s="201" t="s">
        <v>447</v>
      </c>
      <c r="C364" s="208" t="s">
        <v>146</v>
      </c>
      <c r="D364" s="291">
        <v>-10000</v>
      </c>
      <c r="E364" s="212">
        <v>45292</v>
      </c>
      <c r="F364" s="291" t="s">
        <v>109</v>
      </c>
      <c r="G364" s="208" t="s">
        <v>120</v>
      </c>
      <c r="H364" s="201"/>
      <c r="I364" s="201" t="s">
        <v>173</v>
      </c>
      <c r="J364" s="202"/>
      <c r="K364" s="202"/>
      <c r="L364" s="202"/>
      <c r="M364" s="202"/>
      <c r="N364" s="202"/>
      <c r="O364" s="202"/>
      <c r="P364" s="202"/>
      <c r="Q364" s="202"/>
      <c r="R364" s="202"/>
      <c r="S364" s="202"/>
      <c r="T364" s="202"/>
    </row>
    <row r="365" spans="1:20" s="182" customFormat="1" ht="16.5" hidden="1" customHeight="1">
      <c r="A365" s="610">
        <v>45316</v>
      </c>
      <c r="B365" s="201" t="s">
        <v>448</v>
      </c>
      <c r="C365" s="208" t="s">
        <v>146</v>
      </c>
      <c r="D365" s="291">
        <v>-168500</v>
      </c>
      <c r="E365" s="212">
        <v>45292</v>
      </c>
      <c r="F365" s="291" t="s">
        <v>109</v>
      </c>
      <c r="G365" s="208" t="s">
        <v>120</v>
      </c>
      <c r="H365" s="201"/>
      <c r="I365" s="201"/>
      <c r="J365" s="202"/>
      <c r="K365" s="202"/>
      <c r="L365" s="202"/>
      <c r="M365" s="202"/>
      <c r="N365" s="202"/>
      <c r="O365" s="202"/>
      <c r="P365" s="202"/>
      <c r="Q365" s="202"/>
      <c r="R365" s="202"/>
      <c r="S365" s="202"/>
      <c r="T365" s="202"/>
    </row>
    <row r="366" spans="1:20" s="182" customFormat="1" ht="16.5" hidden="1" customHeight="1">
      <c r="A366" s="610">
        <v>45317</v>
      </c>
      <c r="B366" s="201" t="s">
        <v>449</v>
      </c>
      <c r="C366" s="208" t="s">
        <v>27</v>
      </c>
      <c r="D366" s="291">
        <v>-8614944</v>
      </c>
      <c r="E366" s="212">
        <v>45292</v>
      </c>
      <c r="F366" s="291" t="s">
        <v>110</v>
      </c>
      <c r="G366" s="208" t="s">
        <v>450</v>
      </c>
      <c r="H366" s="201" t="s">
        <v>123</v>
      </c>
      <c r="I366" s="201"/>
      <c r="J366" s="202"/>
      <c r="K366" s="202"/>
      <c r="L366" s="202"/>
      <c r="M366" s="202"/>
      <c r="N366" s="202"/>
      <c r="O366" s="202"/>
      <c r="P366" s="202"/>
      <c r="Q366" s="202"/>
      <c r="R366" s="202"/>
      <c r="S366" s="202"/>
      <c r="T366" s="202"/>
    </row>
    <row r="367" spans="1:20" s="182" customFormat="1" ht="16.5" hidden="1" customHeight="1">
      <c r="A367" s="610">
        <v>45317</v>
      </c>
      <c r="B367" s="201" t="s">
        <v>451</v>
      </c>
      <c r="C367" s="208" t="s">
        <v>133</v>
      </c>
      <c r="D367" s="291">
        <v>-220896</v>
      </c>
      <c r="E367" s="212">
        <v>45292</v>
      </c>
      <c r="F367" s="291" t="s">
        <v>110</v>
      </c>
      <c r="G367" s="208" t="s">
        <v>450</v>
      </c>
      <c r="H367" s="201" t="s">
        <v>123</v>
      </c>
      <c r="I367" s="201"/>
      <c r="J367" s="202"/>
      <c r="K367" s="202"/>
      <c r="L367" s="202"/>
      <c r="M367" s="202"/>
      <c r="N367" s="202"/>
      <c r="O367" s="202"/>
      <c r="P367" s="202"/>
      <c r="Q367" s="202"/>
      <c r="R367" s="202"/>
      <c r="S367" s="202"/>
      <c r="T367" s="202"/>
    </row>
    <row r="368" spans="1:20" s="182" customFormat="1" ht="16.5" hidden="1" customHeight="1">
      <c r="A368" s="610">
        <v>45317</v>
      </c>
      <c r="B368" s="201" t="s">
        <v>452</v>
      </c>
      <c r="C368" s="208" t="s">
        <v>27</v>
      </c>
      <c r="D368" s="291">
        <v>-26383266</v>
      </c>
      <c r="E368" s="212">
        <v>45292</v>
      </c>
      <c r="F368" s="291" t="s">
        <v>110</v>
      </c>
      <c r="G368" s="208" t="s">
        <v>453</v>
      </c>
      <c r="H368" s="201" t="s">
        <v>123</v>
      </c>
      <c r="I368" s="201"/>
      <c r="J368" s="202"/>
      <c r="K368" s="202"/>
      <c r="L368" s="202"/>
      <c r="M368" s="202"/>
      <c r="N368" s="202"/>
      <c r="O368" s="202"/>
      <c r="P368" s="202"/>
      <c r="Q368" s="202"/>
      <c r="R368" s="202"/>
      <c r="S368" s="202"/>
      <c r="T368" s="202"/>
    </row>
    <row r="369" spans="1:20" s="182" customFormat="1" ht="16.5" hidden="1" customHeight="1">
      <c r="A369" s="610">
        <v>45317</v>
      </c>
      <c r="B369" s="201" t="s">
        <v>451</v>
      </c>
      <c r="C369" s="208" t="s">
        <v>133</v>
      </c>
      <c r="D369" s="291">
        <v>-676494</v>
      </c>
      <c r="E369" s="212">
        <v>45292</v>
      </c>
      <c r="F369" s="291" t="s">
        <v>110</v>
      </c>
      <c r="G369" s="208" t="s">
        <v>453</v>
      </c>
      <c r="H369" s="201" t="s">
        <v>123</v>
      </c>
      <c r="I369" s="201"/>
      <c r="J369" s="202"/>
      <c r="K369" s="202"/>
      <c r="L369" s="202"/>
      <c r="M369" s="202"/>
      <c r="N369" s="202"/>
      <c r="O369" s="202"/>
      <c r="P369" s="202"/>
      <c r="Q369" s="202"/>
      <c r="R369" s="202"/>
      <c r="S369" s="202"/>
      <c r="T369" s="202"/>
    </row>
    <row r="370" spans="1:20" s="182" customFormat="1" ht="16.5" hidden="1" customHeight="1">
      <c r="A370" s="610">
        <v>45317</v>
      </c>
      <c r="B370" s="201" t="s">
        <v>454</v>
      </c>
      <c r="C370" s="208" t="s">
        <v>330</v>
      </c>
      <c r="D370" s="291">
        <v>-120000</v>
      </c>
      <c r="E370" s="212">
        <v>45292</v>
      </c>
      <c r="F370" s="208" t="s">
        <v>109</v>
      </c>
      <c r="G370" s="208" t="s">
        <v>383</v>
      </c>
      <c r="H370" s="81" t="s">
        <v>138</v>
      </c>
      <c r="I370" s="201"/>
      <c r="J370" s="202"/>
      <c r="K370" s="202"/>
      <c r="L370" s="202"/>
      <c r="M370" s="202"/>
      <c r="N370" s="202"/>
      <c r="O370" s="202"/>
      <c r="P370" s="202"/>
      <c r="Q370" s="202"/>
      <c r="R370" s="202"/>
      <c r="S370" s="202"/>
      <c r="T370" s="202"/>
    </row>
    <row r="371" spans="1:20" s="182" customFormat="1" ht="16.5" hidden="1" customHeight="1">
      <c r="A371" s="222">
        <v>45317</v>
      </c>
      <c r="B371" s="201" t="s">
        <v>455</v>
      </c>
      <c r="C371" s="208" t="s">
        <v>181</v>
      </c>
      <c r="D371" s="291">
        <v>4062323</v>
      </c>
      <c r="E371" s="212">
        <v>45292</v>
      </c>
      <c r="F371" s="291" t="s">
        <v>108</v>
      </c>
      <c r="G371" s="208"/>
      <c r="H371" s="201"/>
      <c r="I371" s="201"/>
      <c r="J371" s="202"/>
      <c r="K371" s="202"/>
      <c r="L371" s="202"/>
      <c r="M371" s="202"/>
      <c r="N371" s="202"/>
      <c r="O371" s="202"/>
      <c r="P371" s="202"/>
      <c r="Q371" s="202"/>
      <c r="R371" s="202"/>
      <c r="S371" s="202"/>
      <c r="T371" s="202"/>
    </row>
    <row r="372" spans="1:20" s="182" customFormat="1" ht="16.5" hidden="1" customHeight="1">
      <c r="A372" s="222">
        <v>45317</v>
      </c>
      <c r="B372" s="201" t="s">
        <v>454</v>
      </c>
      <c r="C372" s="208" t="s">
        <v>269</v>
      </c>
      <c r="D372" s="291">
        <v>-120000</v>
      </c>
      <c r="E372" s="212">
        <v>45292</v>
      </c>
      <c r="F372" s="208" t="s">
        <v>109</v>
      </c>
      <c r="G372" s="208" t="s">
        <v>383</v>
      </c>
      <c r="H372" s="81" t="s">
        <v>138</v>
      </c>
      <c r="I372" s="201"/>
      <c r="J372" s="202"/>
      <c r="K372" s="202"/>
      <c r="L372" s="202"/>
      <c r="M372" s="202"/>
      <c r="N372" s="202"/>
      <c r="O372" s="202"/>
      <c r="P372" s="202"/>
      <c r="Q372" s="202"/>
      <c r="R372" s="202"/>
      <c r="S372" s="202"/>
      <c r="T372" s="202"/>
    </row>
    <row r="373" spans="1:20" s="182" customFormat="1" ht="16.5" hidden="1" customHeight="1">
      <c r="A373" s="222">
        <v>45317</v>
      </c>
      <c r="B373" s="201" t="s">
        <v>456</v>
      </c>
      <c r="C373" s="208" t="s">
        <v>269</v>
      </c>
      <c r="D373" s="291">
        <v>-14000</v>
      </c>
      <c r="E373" s="212">
        <v>45292</v>
      </c>
      <c r="F373" s="208" t="s">
        <v>109</v>
      </c>
      <c r="G373" s="208" t="s">
        <v>170</v>
      </c>
      <c r="H373" s="81" t="s">
        <v>138</v>
      </c>
      <c r="I373" s="201"/>
      <c r="J373" s="202"/>
      <c r="K373" s="202"/>
      <c r="L373" s="202"/>
      <c r="M373" s="202"/>
      <c r="N373" s="202"/>
      <c r="O373" s="202"/>
      <c r="P373" s="202"/>
      <c r="Q373" s="202"/>
      <c r="R373" s="202"/>
      <c r="S373" s="202"/>
      <c r="T373" s="202"/>
    </row>
    <row r="374" spans="1:20" s="182" customFormat="1" ht="16.5" hidden="1" customHeight="1">
      <c r="A374" s="222">
        <v>45317</v>
      </c>
      <c r="B374" s="201" t="s">
        <v>457</v>
      </c>
      <c r="C374" s="208" t="s">
        <v>27</v>
      </c>
      <c r="D374" s="291">
        <v>-88000</v>
      </c>
      <c r="E374" s="212">
        <v>45292</v>
      </c>
      <c r="F374" s="291" t="s">
        <v>118</v>
      </c>
      <c r="G374" s="208"/>
      <c r="H374" s="201"/>
      <c r="I374" s="201"/>
      <c r="J374" s="202"/>
      <c r="K374" s="202"/>
      <c r="L374" s="202"/>
      <c r="M374" s="202"/>
      <c r="N374" s="202"/>
      <c r="O374" s="202"/>
      <c r="P374" s="202"/>
      <c r="Q374" s="202"/>
      <c r="R374" s="202"/>
      <c r="S374" s="202"/>
      <c r="T374" s="202"/>
    </row>
    <row r="375" spans="1:20" s="182" customFormat="1" ht="16.5" hidden="1" customHeight="1">
      <c r="A375" s="222">
        <v>45317</v>
      </c>
      <c r="B375" s="201" t="s">
        <v>458</v>
      </c>
      <c r="C375" s="208" t="s">
        <v>27</v>
      </c>
      <c r="D375" s="291">
        <v>-3196800</v>
      </c>
      <c r="E375" s="212">
        <v>45292</v>
      </c>
      <c r="F375" s="291" t="s">
        <v>130</v>
      </c>
      <c r="G375" s="208" t="s">
        <v>130</v>
      </c>
      <c r="H375" s="81" t="s">
        <v>360</v>
      </c>
      <c r="I375" s="201"/>
      <c r="J375" s="202"/>
      <c r="K375" s="202"/>
      <c r="L375" s="202"/>
      <c r="M375" s="202"/>
      <c r="N375" s="202"/>
      <c r="O375" s="202"/>
      <c r="P375" s="202"/>
      <c r="Q375" s="202"/>
      <c r="R375" s="202"/>
      <c r="S375" s="202"/>
      <c r="T375" s="202"/>
    </row>
    <row r="376" spans="1:20" s="182" customFormat="1" ht="16.5" hidden="1" customHeight="1">
      <c r="A376" s="222">
        <v>45317</v>
      </c>
      <c r="B376" s="201" t="s">
        <v>459</v>
      </c>
      <c r="C376" s="208" t="s">
        <v>27</v>
      </c>
      <c r="D376" s="291">
        <v>-368220</v>
      </c>
      <c r="E376" s="212">
        <v>45292</v>
      </c>
      <c r="F376" s="291" t="s">
        <v>130</v>
      </c>
      <c r="G376" s="208" t="s">
        <v>130</v>
      </c>
      <c r="H376" s="201" t="s">
        <v>275</v>
      </c>
      <c r="I376" s="201"/>
      <c r="J376" s="202"/>
      <c r="K376" s="202"/>
      <c r="L376" s="202"/>
      <c r="M376" s="202"/>
      <c r="N376" s="202"/>
      <c r="O376" s="202"/>
      <c r="P376" s="202"/>
      <c r="Q376" s="202"/>
      <c r="R376" s="202"/>
      <c r="S376" s="202"/>
      <c r="T376" s="202"/>
    </row>
    <row r="377" spans="1:20" s="182" customFormat="1" ht="16.5" hidden="1" customHeight="1">
      <c r="A377" s="222">
        <v>45317</v>
      </c>
      <c r="B377" s="201" t="s">
        <v>460</v>
      </c>
      <c r="C377" s="208" t="s">
        <v>27</v>
      </c>
      <c r="D377" s="291">
        <v>43710353</v>
      </c>
      <c r="E377" s="212">
        <v>45292</v>
      </c>
      <c r="F377" s="208" t="s">
        <v>434</v>
      </c>
      <c r="G377" s="208" t="s">
        <v>170</v>
      </c>
      <c r="H377" s="201" t="s">
        <v>461</v>
      </c>
      <c r="I377" s="201"/>
      <c r="J377" s="202"/>
      <c r="K377" s="202"/>
      <c r="L377" s="202"/>
      <c r="M377" s="202"/>
      <c r="N377" s="202"/>
      <c r="O377" s="202"/>
      <c r="P377" s="202"/>
      <c r="Q377" s="202"/>
      <c r="R377" s="202"/>
      <c r="S377" s="202"/>
      <c r="T377" s="202"/>
    </row>
    <row r="378" spans="1:20" s="182" customFormat="1" ht="16.5" hidden="1" customHeight="1">
      <c r="A378" s="222">
        <v>45317</v>
      </c>
      <c r="B378" s="201" t="s">
        <v>462</v>
      </c>
      <c r="C378" s="208" t="s">
        <v>27</v>
      </c>
      <c r="D378" s="291">
        <v>-10130662</v>
      </c>
      <c r="E378" s="212">
        <v>45292</v>
      </c>
      <c r="F378" s="208" t="s">
        <v>109</v>
      </c>
      <c r="G378" s="208" t="s">
        <v>120</v>
      </c>
      <c r="H378" s="201"/>
      <c r="I378" s="201"/>
      <c r="J378" s="202"/>
      <c r="K378" s="202"/>
      <c r="L378" s="202"/>
      <c r="M378" s="202"/>
      <c r="N378" s="202"/>
      <c r="O378" s="202"/>
      <c r="P378" s="202"/>
      <c r="Q378" s="202"/>
      <c r="R378" s="202"/>
      <c r="S378" s="202"/>
      <c r="T378" s="202"/>
    </row>
    <row r="379" spans="1:20" s="182" customFormat="1" ht="16.5" hidden="1" customHeight="1">
      <c r="A379" s="222">
        <v>45317</v>
      </c>
      <c r="B379" s="201" t="s">
        <v>463</v>
      </c>
      <c r="C379" s="208" t="s">
        <v>27</v>
      </c>
      <c r="D379" s="291">
        <v>-256200</v>
      </c>
      <c r="E379" s="212">
        <v>45292</v>
      </c>
      <c r="F379" s="208" t="s">
        <v>109</v>
      </c>
      <c r="G379" s="208" t="s">
        <v>120</v>
      </c>
      <c r="H379" s="201"/>
      <c r="I379" s="201"/>
      <c r="J379" s="202"/>
      <c r="K379" s="202"/>
      <c r="L379" s="202"/>
      <c r="M379" s="202"/>
      <c r="N379" s="202"/>
      <c r="O379" s="202"/>
      <c r="P379" s="202"/>
      <c r="Q379" s="202"/>
      <c r="R379" s="202"/>
      <c r="S379" s="202"/>
      <c r="T379" s="202"/>
    </row>
    <row r="380" spans="1:20" s="182" customFormat="1" ht="16.5" hidden="1" customHeight="1">
      <c r="A380" s="222">
        <v>45317</v>
      </c>
      <c r="B380" s="201" t="s">
        <v>464</v>
      </c>
      <c r="C380" s="208" t="s">
        <v>269</v>
      </c>
      <c r="D380" s="291">
        <v>-20000</v>
      </c>
      <c r="E380" s="212">
        <v>45292</v>
      </c>
      <c r="F380" s="208" t="s">
        <v>109</v>
      </c>
      <c r="G380" s="208" t="s">
        <v>120</v>
      </c>
      <c r="H380" s="201"/>
      <c r="I380" s="201" t="s">
        <v>173</v>
      </c>
      <c r="J380" s="202"/>
      <c r="K380" s="202"/>
      <c r="L380" s="202"/>
      <c r="M380" s="202"/>
      <c r="N380" s="202"/>
      <c r="O380" s="202"/>
      <c r="P380" s="202"/>
      <c r="Q380" s="202"/>
      <c r="R380" s="202"/>
      <c r="S380" s="202"/>
      <c r="T380" s="202"/>
    </row>
    <row r="381" spans="1:20" s="182" customFormat="1" ht="16.5" hidden="1" customHeight="1">
      <c r="A381" s="222">
        <v>45317</v>
      </c>
      <c r="B381" s="201" t="s">
        <v>465</v>
      </c>
      <c r="C381" s="208" t="s">
        <v>27</v>
      </c>
      <c r="D381" s="291">
        <v>-1278000</v>
      </c>
      <c r="E381" s="212">
        <v>45292</v>
      </c>
      <c r="F381" s="291" t="s">
        <v>210</v>
      </c>
      <c r="G381" s="208"/>
      <c r="H381" s="201"/>
      <c r="I381" s="201"/>
      <c r="J381" s="202"/>
      <c r="K381" s="202"/>
      <c r="L381" s="202"/>
      <c r="M381" s="202"/>
      <c r="N381" s="202"/>
      <c r="O381" s="202"/>
      <c r="P381" s="202"/>
      <c r="Q381" s="202"/>
      <c r="R381" s="202"/>
      <c r="S381" s="202"/>
      <c r="T381" s="202"/>
    </row>
    <row r="382" spans="1:20" s="182" customFormat="1" ht="16.5" hidden="1" customHeight="1">
      <c r="A382" s="222">
        <v>45317</v>
      </c>
      <c r="B382" s="201" t="s">
        <v>466</v>
      </c>
      <c r="C382" s="208" t="s">
        <v>27</v>
      </c>
      <c r="D382" s="291">
        <v>-30000000</v>
      </c>
      <c r="E382" s="212">
        <v>45292</v>
      </c>
      <c r="F382" s="84" t="s">
        <v>111</v>
      </c>
      <c r="G382" s="208"/>
      <c r="H382" s="201"/>
      <c r="I382" s="201"/>
      <c r="J382" s="202"/>
      <c r="K382" s="202"/>
      <c r="L382" s="202"/>
      <c r="M382" s="202"/>
      <c r="N382" s="202"/>
      <c r="O382" s="202"/>
      <c r="P382" s="202"/>
      <c r="Q382" s="202"/>
      <c r="R382" s="202"/>
      <c r="S382" s="202"/>
      <c r="T382" s="202"/>
    </row>
    <row r="383" spans="1:20" s="182" customFormat="1" ht="16.5" hidden="1" customHeight="1">
      <c r="A383" s="222">
        <v>45317</v>
      </c>
      <c r="B383" s="201" t="s">
        <v>467</v>
      </c>
      <c r="C383" s="208" t="s">
        <v>27</v>
      </c>
      <c r="D383" s="291">
        <v>-4460158</v>
      </c>
      <c r="E383" s="212">
        <v>45292</v>
      </c>
      <c r="F383" s="291" t="s">
        <v>118</v>
      </c>
      <c r="G383" s="208"/>
      <c r="H383" s="201"/>
      <c r="I383" s="201"/>
      <c r="J383" s="202"/>
      <c r="K383" s="202"/>
      <c r="L383" s="202"/>
      <c r="M383" s="202"/>
      <c r="N383" s="202"/>
      <c r="O383" s="202"/>
      <c r="P383" s="202"/>
      <c r="Q383" s="202"/>
      <c r="R383" s="202"/>
      <c r="S383" s="202"/>
      <c r="T383" s="202"/>
    </row>
    <row r="384" spans="1:20" s="182" customFormat="1" ht="16.5" hidden="1" customHeight="1">
      <c r="A384" s="222">
        <v>45317</v>
      </c>
      <c r="B384" s="201" t="s">
        <v>468</v>
      </c>
      <c r="C384" s="208" t="s">
        <v>133</v>
      </c>
      <c r="D384" s="291">
        <v>-312211</v>
      </c>
      <c r="E384" s="212">
        <v>45292</v>
      </c>
      <c r="F384" s="84" t="s">
        <v>111</v>
      </c>
      <c r="G384" s="208"/>
      <c r="H384" s="201"/>
      <c r="I384" s="201"/>
      <c r="J384" s="202"/>
      <c r="K384" s="202"/>
      <c r="L384" s="202"/>
      <c r="M384" s="202"/>
      <c r="N384" s="202"/>
      <c r="O384" s="202"/>
      <c r="P384" s="202"/>
      <c r="Q384" s="202"/>
      <c r="R384" s="202"/>
      <c r="S384" s="202"/>
      <c r="T384" s="202"/>
    </row>
    <row r="385" spans="1:20" s="182" customFormat="1" ht="16.5" hidden="1" customHeight="1">
      <c r="A385" s="222">
        <v>45317</v>
      </c>
      <c r="B385" s="201" t="s">
        <v>447</v>
      </c>
      <c r="C385" s="208" t="s">
        <v>146</v>
      </c>
      <c r="D385" s="291">
        <v>-12000</v>
      </c>
      <c r="E385" s="212">
        <v>45292</v>
      </c>
      <c r="F385" s="291" t="s">
        <v>109</v>
      </c>
      <c r="G385" s="208" t="s">
        <v>120</v>
      </c>
      <c r="H385" s="201"/>
      <c r="I385" s="201" t="s">
        <v>173</v>
      </c>
      <c r="J385" s="202"/>
      <c r="K385" s="202"/>
      <c r="L385" s="202"/>
      <c r="M385" s="202"/>
      <c r="N385" s="202"/>
      <c r="O385" s="202"/>
      <c r="P385" s="202"/>
      <c r="Q385" s="202"/>
      <c r="R385" s="202"/>
      <c r="S385" s="202"/>
      <c r="T385" s="202"/>
    </row>
    <row r="386" spans="1:20" s="182" customFormat="1" ht="16.5" hidden="1" customHeight="1">
      <c r="A386" s="222">
        <v>45317</v>
      </c>
      <c r="B386" s="201" t="s">
        <v>469</v>
      </c>
      <c r="C386" s="208" t="s">
        <v>146</v>
      </c>
      <c r="D386" s="291">
        <v>-32000</v>
      </c>
      <c r="E386" s="212">
        <v>45292</v>
      </c>
      <c r="F386" s="291" t="s">
        <v>130</v>
      </c>
      <c r="G386" s="208" t="s">
        <v>257</v>
      </c>
      <c r="H386" s="81" t="s">
        <v>138</v>
      </c>
      <c r="I386" s="201"/>
      <c r="J386" s="202"/>
      <c r="K386" s="202"/>
      <c r="L386" s="202"/>
      <c r="M386" s="202"/>
      <c r="N386" s="202"/>
      <c r="O386" s="202"/>
      <c r="P386" s="202"/>
      <c r="Q386" s="202"/>
      <c r="R386" s="202"/>
      <c r="S386" s="202"/>
      <c r="T386" s="202"/>
    </row>
    <row r="387" spans="1:20" s="182" customFormat="1" ht="16.5" hidden="1" customHeight="1">
      <c r="A387" s="222">
        <v>45317</v>
      </c>
      <c r="B387" s="201" t="s">
        <v>470</v>
      </c>
      <c r="C387" s="208" t="s">
        <v>146</v>
      </c>
      <c r="D387" s="291">
        <v>-6000</v>
      </c>
      <c r="E387" s="212">
        <v>45292</v>
      </c>
      <c r="F387" s="291" t="s">
        <v>130</v>
      </c>
      <c r="G387" s="208" t="s">
        <v>257</v>
      </c>
      <c r="H387" s="81" t="s">
        <v>138</v>
      </c>
      <c r="I387" s="201"/>
      <c r="J387" s="202"/>
      <c r="K387" s="202"/>
      <c r="L387" s="202"/>
      <c r="M387" s="202"/>
      <c r="N387" s="202"/>
      <c r="O387" s="202"/>
      <c r="P387" s="202"/>
      <c r="Q387" s="202"/>
      <c r="R387" s="202"/>
      <c r="S387" s="202"/>
      <c r="T387" s="202"/>
    </row>
    <row r="388" spans="1:20" s="182" customFormat="1" ht="16.5" hidden="1" customHeight="1">
      <c r="A388" s="222">
        <v>45317</v>
      </c>
      <c r="B388" s="201" t="s">
        <v>471</v>
      </c>
      <c r="C388" s="208" t="s">
        <v>146</v>
      </c>
      <c r="D388" s="291">
        <v>-6000</v>
      </c>
      <c r="E388" s="212">
        <v>45292</v>
      </c>
      <c r="F388" s="291" t="s">
        <v>130</v>
      </c>
      <c r="G388" s="208" t="s">
        <v>257</v>
      </c>
      <c r="H388" s="81" t="s">
        <v>138</v>
      </c>
      <c r="I388" s="201"/>
      <c r="J388" s="202"/>
      <c r="K388" s="202"/>
      <c r="L388" s="202"/>
      <c r="M388" s="202"/>
      <c r="N388" s="202"/>
      <c r="O388" s="202"/>
      <c r="P388" s="202"/>
      <c r="Q388" s="202"/>
      <c r="R388" s="202"/>
      <c r="S388" s="202"/>
      <c r="T388" s="202"/>
    </row>
    <row r="389" spans="1:20" s="182" customFormat="1" ht="16.5" hidden="1" customHeight="1">
      <c r="A389" s="222">
        <v>45317</v>
      </c>
      <c r="B389" s="201" t="s">
        <v>472</v>
      </c>
      <c r="C389" s="208" t="s">
        <v>146</v>
      </c>
      <c r="D389" s="291">
        <v>-6000</v>
      </c>
      <c r="E389" s="212">
        <v>45292</v>
      </c>
      <c r="F389" s="291" t="s">
        <v>130</v>
      </c>
      <c r="G389" s="208" t="s">
        <v>257</v>
      </c>
      <c r="H389" s="81" t="s">
        <v>138</v>
      </c>
      <c r="I389" s="201"/>
      <c r="J389" s="202"/>
      <c r="K389" s="202"/>
      <c r="L389" s="202"/>
      <c r="M389" s="202"/>
      <c r="N389" s="202"/>
      <c r="O389" s="202"/>
      <c r="P389" s="202"/>
      <c r="Q389" s="202"/>
      <c r="R389" s="202"/>
      <c r="S389" s="202"/>
      <c r="T389" s="202"/>
    </row>
    <row r="390" spans="1:20" s="182" customFormat="1" ht="16.5" hidden="1" customHeight="1">
      <c r="A390" s="222">
        <v>45317</v>
      </c>
      <c r="B390" s="201" t="s">
        <v>473</v>
      </c>
      <c r="C390" s="208" t="s">
        <v>146</v>
      </c>
      <c r="D390" s="291">
        <v>-42000</v>
      </c>
      <c r="E390" s="212">
        <v>45292</v>
      </c>
      <c r="F390" s="291" t="s">
        <v>130</v>
      </c>
      <c r="G390" s="208" t="s">
        <v>257</v>
      </c>
      <c r="H390" s="201" t="s">
        <v>303</v>
      </c>
      <c r="I390" s="201"/>
      <c r="J390" s="202"/>
      <c r="K390" s="202"/>
      <c r="L390" s="202"/>
      <c r="M390" s="202"/>
      <c r="N390" s="202"/>
      <c r="O390" s="202"/>
      <c r="P390" s="202"/>
      <c r="Q390" s="202"/>
      <c r="R390" s="202"/>
      <c r="S390" s="202"/>
      <c r="T390" s="202"/>
    </row>
    <row r="391" spans="1:20" s="182" customFormat="1" ht="16.5" hidden="1" customHeight="1">
      <c r="A391" s="222">
        <v>45317</v>
      </c>
      <c r="B391" s="201" t="s">
        <v>474</v>
      </c>
      <c r="C391" s="208" t="s">
        <v>146</v>
      </c>
      <c r="D391" s="291">
        <v>-14200</v>
      </c>
      <c r="E391" s="212">
        <v>45292</v>
      </c>
      <c r="F391" s="291" t="s">
        <v>130</v>
      </c>
      <c r="G391" s="208" t="s">
        <v>257</v>
      </c>
      <c r="H391" s="81" t="s">
        <v>138</v>
      </c>
      <c r="I391" s="201"/>
      <c r="J391" s="202"/>
      <c r="K391" s="202"/>
      <c r="L391" s="202"/>
      <c r="M391" s="202"/>
      <c r="N391" s="202"/>
      <c r="O391" s="202"/>
      <c r="P391" s="202"/>
      <c r="Q391" s="202"/>
      <c r="R391" s="202"/>
      <c r="S391" s="202"/>
      <c r="T391" s="202"/>
    </row>
    <row r="392" spans="1:20" s="182" customFormat="1" ht="16.5" hidden="1" customHeight="1">
      <c r="A392" s="222">
        <v>45319</v>
      </c>
      <c r="B392" s="201" t="s">
        <v>475</v>
      </c>
      <c r="C392" s="208" t="s">
        <v>146</v>
      </c>
      <c r="D392" s="291">
        <v>-16000</v>
      </c>
      <c r="E392" s="212">
        <v>45292</v>
      </c>
      <c r="F392" s="291" t="s">
        <v>130</v>
      </c>
      <c r="G392" s="208" t="s">
        <v>257</v>
      </c>
      <c r="H392" s="81" t="s">
        <v>138</v>
      </c>
      <c r="I392" s="201"/>
      <c r="J392" s="202"/>
      <c r="K392" s="202"/>
      <c r="L392" s="202"/>
      <c r="M392" s="202"/>
      <c r="N392" s="202"/>
      <c r="O392" s="202"/>
      <c r="P392" s="202"/>
      <c r="Q392" s="202"/>
      <c r="R392" s="202"/>
      <c r="S392" s="202"/>
      <c r="T392" s="202"/>
    </row>
    <row r="393" spans="1:20" s="182" customFormat="1" ht="16.5" hidden="1" customHeight="1">
      <c r="A393" s="222">
        <v>45320</v>
      </c>
      <c r="B393" s="201" t="s">
        <v>476</v>
      </c>
      <c r="C393" s="208" t="s">
        <v>27</v>
      </c>
      <c r="D393" s="291">
        <v>-1266655</v>
      </c>
      <c r="E393" s="212">
        <v>45292</v>
      </c>
      <c r="F393" s="291" t="s">
        <v>109</v>
      </c>
      <c r="G393" s="208" t="s">
        <v>120</v>
      </c>
      <c r="H393" s="201"/>
      <c r="I393" s="201"/>
      <c r="J393" s="202"/>
      <c r="K393" s="202"/>
      <c r="L393" s="202"/>
      <c r="M393" s="202"/>
      <c r="N393" s="202"/>
      <c r="O393" s="202"/>
      <c r="P393" s="202"/>
      <c r="Q393" s="202"/>
      <c r="R393" s="202"/>
      <c r="S393" s="202"/>
      <c r="T393" s="202"/>
    </row>
    <row r="394" spans="1:20" s="182" customFormat="1" ht="16.5" hidden="1" customHeight="1">
      <c r="A394" s="222">
        <v>45320</v>
      </c>
      <c r="B394" s="201" t="s">
        <v>477</v>
      </c>
      <c r="C394" s="208" t="s">
        <v>27</v>
      </c>
      <c r="D394" s="291">
        <v>-972000</v>
      </c>
      <c r="E394" s="212">
        <v>45292</v>
      </c>
      <c r="F394" s="291" t="s">
        <v>130</v>
      </c>
      <c r="G394" s="208" t="s">
        <v>130</v>
      </c>
      <c r="H394" s="81" t="s">
        <v>360</v>
      </c>
      <c r="I394" s="201"/>
      <c r="J394" s="202"/>
      <c r="K394" s="202"/>
      <c r="L394" s="202"/>
      <c r="M394" s="202"/>
      <c r="N394" s="202"/>
      <c r="O394" s="202"/>
      <c r="P394" s="202"/>
      <c r="Q394" s="202"/>
      <c r="R394" s="202"/>
      <c r="S394" s="202"/>
      <c r="T394" s="202"/>
    </row>
    <row r="395" spans="1:20" s="182" customFormat="1" ht="16.5" hidden="1" customHeight="1">
      <c r="A395" s="605">
        <v>45320</v>
      </c>
      <c r="B395" s="601" t="s">
        <v>478</v>
      </c>
      <c r="C395" s="208" t="s">
        <v>269</v>
      </c>
      <c r="D395" s="592">
        <v>-7900</v>
      </c>
      <c r="E395" s="212">
        <v>45292</v>
      </c>
      <c r="F395" s="592" t="s">
        <v>109</v>
      </c>
      <c r="G395" s="208" t="s">
        <v>120</v>
      </c>
      <c r="H395" s="601"/>
      <c r="I395" s="601"/>
      <c r="J395" s="289" t="s">
        <v>479</v>
      </c>
      <c r="K395" s="289"/>
      <c r="L395" s="289"/>
      <c r="M395" s="289"/>
      <c r="N395" s="289"/>
      <c r="O395" s="289"/>
      <c r="P395" s="289"/>
      <c r="Q395" s="289"/>
      <c r="R395" s="289"/>
      <c r="S395" s="289"/>
      <c r="T395" s="289"/>
    </row>
    <row r="396" spans="1:20" s="182" customFormat="1" ht="16.5" hidden="1" customHeight="1">
      <c r="A396" s="222">
        <v>45320</v>
      </c>
      <c r="B396" s="201" t="s">
        <v>480</v>
      </c>
      <c r="C396" s="208" t="s">
        <v>146</v>
      </c>
      <c r="D396" s="291">
        <v>-159400</v>
      </c>
      <c r="E396" s="212">
        <v>45292</v>
      </c>
      <c r="F396" s="291" t="s">
        <v>109</v>
      </c>
      <c r="G396" s="208" t="s">
        <v>120</v>
      </c>
      <c r="H396" s="201"/>
      <c r="I396" s="201"/>
      <c r="J396" s="202"/>
      <c r="K396" s="202"/>
      <c r="L396" s="202"/>
      <c r="M396" s="202"/>
      <c r="N396" s="202"/>
      <c r="O396" s="202"/>
      <c r="P396" s="202"/>
      <c r="Q396" s="202"/>
      <c r="R396" s="202"/>
      <c r="S396" s="202"/>
      <c r="T396" s="202"/>
    </row>
    <row r="397" spans="1:20" s="182" customFormat="1" ht="16.5" hidden="1" customHeight="1">
      <c r="A397" s="222">
        <v>45320</v>
      </c>
      <c r="B397" s="201" t="s">
        <v>481</v>
      </c>
      <c r="C397" s="208" t="s">
        <v>146</v>
      </c>
      <c r="D397" s="291">
        <v>-45400</v>
      </c>
      <c r="E397" s="212">
        <v>45292</v>
      </c>
      <c r="F397" s="291" t="s">
        <v>109</v>
      </c>
      <c r="G397" s="208" t="s">
        <v>120</v>
      </c>
      <c r="H397" s="201"/>
      <c r="I397" s="201"/>
      <c r="J397" s="202"/>
      <c r="K397" s="202"/>
      <c r="L397" s="202"/>
      <c r="M397" s="202"/>
      <c r="N397" s="202"/>
      <c r="O397" s="202"/>
      <c r="P397" s="202"/>
      <c r="Q397" s="202"/>
      <c r="R397" s="202"/>
      <c r="S397" s="202"/>
      <c r="T397" s="202"/>
    </row>
    <row r="398" spans="1:20" s="182" customFormat="1" ht="16.5" hidden="1" customHeight="1">
      <c r="A398" s="222">
        <v>45320</v>
      </c>
      <c r="B398" s="201" t="s">
        <v>482</v>
      </c>
      <c r="C398" s="208" t="s">
        <v>146</v>
      </c>
      <c r="D398" s="291">
        <v>-2500</v>
      </c>
      <c r="E398" s="212">
        <v>45292</v>
      </c>
      <c r="F398" s="291" t="s">
        <v>109</v>
      </c>
      <c r="G398" s="208" t="s">
        <v>120</v>
      </c>
      <c r="H398" s="201"/>
      <c r="I398" s="201"/>
      <c r="J398" s="202"/>
      <c r="K398" s="202"/>
      <c r="L398" s="202"/>
      <c r="M398" s="202"/>
      <c r="N398" s="202"/>
      <c r="O398" s="202"/>
      <c r="P398" s="202"/>
      <c r="Q398" s="202"/>
      <c r="R398" s="202"/>
      <c r="S398" s="202"/>
      <c r="T398" s="202"/>
    </row>
    <row r="399" spans="1:20" s="182" customFormat="1" ht="16.5" hidden="1" customHeight="1">
      <c r="A399" s="222">
        <v>45320</v>
      </c>
      <c r="B399" s="201" t="s">
        <v>483</v>
      </c>
      <c r="C399" s="208" t="s">
        <v>146</v>
      </c>
      <c r="D399" s="291">
        <v>-18600</v>
      </c>
      <c r="E399" s="212">
        <v>45292</v>
      </c>
      <c r="F399" s="291" t="s">
        <v>109</v>
      </c>
      <c r="G399" s="208" t="s">
        <v>120</v>
      </c>
      <c r="H399" s="201"/>
      <c r="I399" s="201"/>
      <c r="J399" s="202"/>
      <c r="K399" s="202"/>
      <c r="L399" s="202"/>
      <c r="M399" s="202"/>
      <c r="N399" s="202"/>
      <c r="O399" s="202"/>
      <c r="P399" s="202"/>
      <c r="Q399" s="202"/>
      <c r="R399" s="202"/>
      <c r="S399" s="202"/>
      <c r="T399" s="202"/>
    </row>
    <row r="400" spans="1:20" s="182" customFormat="1" ht="16.5" hidden="1" customHeight="1">
      <c r="A400" s="222">
        <v>45320</v>
      </c>
      <c r="B400" s="201" t="s">
        <v>484</v>
      </c>
      <c r="C400" s="208" t="s">
        <v>146</v>
      </c>
      <c r="D400" s="291">
        <v>-12500</v>
      </c>
      <c r="E400" s="212">
        <v>45292</v>
      </c>
      <c r="F400" s="291" t="s">
        <v>109</v>
      </c>
      <c r="G400" s="208" t="s">
        <v>120</v>
      </c>
      <c r="H400" s="201"/>
      <c r="I400" s="201"/>
      <c r="J400" s="202"/>
      <c r="K400" s="202"/>
      <c r="L400" s="202"/>
      <c r="M400" s="202"/>
      <c r="N400" s="202"/>
      <c r="O400" s="202"/>
      <c r="P400" s="202"/>
      <c r="Q400" s="202"/>
      <c r="R400" s="202"/>
      <c r="S400" s="202"/>
      <c r="T400" s="202"/>
    </row>
    <row r="401" spans="1:20" s="182" customFormat="1" ht="16.5" hidden="1" customHeight="1">
      <c r="A401" s="222">
        <v>45320</v>
      </c>
      <c r="B401" s="201" t="s">
        <v>485</v>
      </c>
      <c r="C401" s="208" t="s">
        <v>146</v>
      </c>
      <c r="D401" s="291">
        <v>-1900</v>
      </c>
      <c r="E401" s="212">
        <v>45292</v>
      </c>
      <c r="F401" s="291" t="s">
        <v>109</v>
      </c>
      <c r="G401" s="208" t="s">
        <v>120</v>
      </c>
      <c r="H401" s="201"/>
      <c r="I401" s="201"/>
      <c r="J401" s="202"/>
      <c r="K401" s="202"/>
      <c r="L401" s="202"/>
      <c r="M401" s="202"/>
      <c r="N401" s="202"/>
      <c r="O401" s="202"/>
      <c r="P401" s="202"/>
      <c r="Q401" s="202"/>
      <c r="R401" s="202"/>
      <c r="S401" s="202"/>
      <c r="T401" s="202"/>
    </row>
    <row r="402" spans="1:20" s="182" customFormat="1" ht="16.5" hidden="1" customHeight="1">
      <c r="A402" s="222">
        <v>45321</v>
      </c>
      <c r="B402" s="201" t="s">
        <v>486</v>
      </c>
      <c r="C402" s="208" t="s">
        <v>133</v>
      </c>
      <c r="D402" s="291">
        <v>-99000</v>
      </c>
      <c r="E402" s="212">
        <v>45292</v>
      </c>
      <c r="F402" s="291" t="s">
        <v>130</v>
      </c>
      <c r="G402" s="208" t="s">
        <v>130</v>
      </c>
      <c r="H402" s="81" t="s">
        <v>360</v>
      </c>
      <c r="I402" s="201"/>
      <c r="J402" s="202"/>
      <c r="K402" s="202"/>
      <c r="L402" s="202"/>
      <c r="M402" s="202"/>
      <c r="N402" s="202"/>
      <c r="O402" s="202"/>
      <c r="P402" s="202"/>
      <c r="Q402" s="202"/>
      <c r="R402" s="202"/>
      <c r="S402" s="202"/>
      <c r="T402" s="202"/>
    </row>
    <row r="403" spans="1:20" s="182" customFormat="1" ht="16.5" hidden="1" customHeight="1">
      <c r="A403" s="222">
        <v>45321</v>
      </c>
      <c r="B403" s="201" t="s">
        <v>487</v>
      </c>
      <c r="C403" s="208" t="s">
        <v>27</v>
      </c>
      <c r="D403" s="291">
        <v>-60000</v>
      </c>
      <c r="E403" s="212">
        <v>45292</v>
      </c>
      <c r="F403" s="291" t="s">
        <v>130</v>
      </c>
      <c r="G403" s="208" t="s">
        <v>130</v>
      </c>
      <c r="H403" s="208" t="s">
        <v>184</v>
      </c>
      <c r="I403" s="201"/>
      <c r="J403" s="202"/>
      <c r="K403" s="202"/>
      <c r="L403" s="202"/>
      <c r="M403" s="202"/>
      <c r="N403" s="202"/>
      <c r="O403" s="202"/>
      <c r="P403" s="202"/>
      <c r="Q403" s="202"/>
      <c r="R403" s="202"/>
      <c r="S403" s="202"/>
      <c r="T403" s="202"/>
    </row>
    <row r="404" spans="1:20" s="182" customFormat="1" ht="16.5" hidden="1" customHeight="1">
      <c r="A404" s="222">
        <v>45321</v>
      </c>
      <c r="B404" s="201" t="s">
        <v>488</v>
      </c>
      <c r="C404" s="208" t="s">
        <v>27</v>
      </c>
      <c r="D404" s="291">
        <v>-543600</v>
      </c>
      <c r="E404" s="212">
        <v>45292</v>
      </c>
      <c r="F404" s="291" t="s">
        <v>130</v>
      </c>
      <c r="G404" s="208" t="s">
        <v>130</v>
      </c>
      <c r="H404" s="208" t="s">
        <v>182</v>
      </c>
      <c r="I404" s="201"/>
      <c r="J404" s="202"/>
      <c r="K404" s="202"/>
      <c r="L404" s="202"/>
      <c r="M404" s="202"/>
      <c r="N404" s="202"/>
      <c r="O404" s="202"/>
      <c r="P404" s="202"/>
      <c r="Q404" s="202"/>
      <c r="R404" s="202"/>
      <c r="S404" s="202"/>
      <c r="T404" s="202"/>
    </row>
    <row r="405" spans="1:20" s="182" customFormat="1" ht="16.5" hidden="1" customHeight="1">
      <c r="A405" s="222">
        <v>45321</v>
      </c>
      <c r="B405" s="201" t="s">
        <v>489</v>
      </c>
      <c r="C405" s="208" t="s">
        <v>27</v>
      </c>
      <c r="D405" s="291">
        <v>-1730000</v>
      </c>
      <c r="E405" s="212">
        <v>45292</v>
      </c>
      <c r="F405" s="291" t="s">
        <v>109</v>
      </c>
      <c r="G405" s="208" t="s">
        <v>120</v>
      </c>
      <c r="H405" s="201"/>
      <c r="I405" s="201"/>
      <c r="J405" s="202"/>
      <c r="K405" s="202"/>
      <c r="L405" s="202"/>
      <c r="M405" s="202"/>
      <c r="N405" s="202"/>
      <c r="O405" s="202"/>
      <c r="P405" s="202"/>
      <c r="Q405" s="202"/>
      <c r="R405" s="202"/>
      <c r="S405" s="202"/>
      <c r="T405" s="202"/>
    </row>
    <row r="406" spans="1:20" s="182" customFormat="1" ht="16.5" hidden="1" customHeight="1">
      <c r="A406" s="222">
        <v>45321</v>
      </c>
      <c r="B406" s="201" t="s">
        <v>490</v>
      </c>
      <c r="C406" s="208" t="s">
        <v>301</v>
      </c>
      <c r="D406" s="291">
        <v>8325236</v>
      </c>
      <c r="E406" s="212">
        <v>45292</v>
      </c>
      <c r="F406" s="291" t="s">
        <v>109</v>
      </c>
      <c r="G406" s="208" t="s">
        <v>420</v>
      </c>
      <c r="H406" s="201" t="s">
        <v>461</v>
      </c>
      <c r="I406" s="201"/>
      <c r="J406" s="202"/>
      <c r="K406" s="202"/>
      <c r="L406" s="202"/>
      <c r="M406" s="202"/>
      <c r="N406" s="202"/>
      <c r="O406" s="202"/>
      <c r="P406" s="202"/>
      <c r="Q406" s="202"/>
      <c r="R406" s="202"/>
      <c r="S406" s="202"/>
      <c r="T406" s="202"/>
    </row>
    <row r="407" spans="1:20" s="182" customFormat="1" ht="16.5" hidden="1" customHeight="1">
      <c r="A407" s="222">
        <v>45321</v>
      </c>
      <c r="B407" s="201" t="s">
        <v>491</v>
      </c>
      <c r="C407" s="208" t="s">
        <v>269</v>
      </c>
      <c r="D407" s="291">
        <v>-14000</v>
      </c>
      <c r="E407" s="212">
        <v>45292</v>
      </c>
      <c r="F407" s="291" t="s">
        <v>207</v>
      </c>
      <c r="G407" s="208" t="s">
        <v>492</v>
      </c>
      <c r="H407" s="201"/>
      <c r="I407" s="201"/>
      <c r="J407" s="202"/>
      <c r="K407" s="202"/>
      <c r="L407" s="202"/>
      <c r="M407" s="202"/>
      <c r="N407" s="202"/>
      <c r="O407" s="202"/>
      <c r="P407" s="202"/>
      <c r="Q407" s="202"/>
      <c r="R407" s="202"/>
      <c r="S407" s="202"/>
      <c r="T407" s="202"/>
    </row>
    <row r="408" spans="1:20" s="182" customFormat="1" ht="16.5" hidden="1" customHeight="1">
      <c r="A408" s="222">
        <v>45321</v>
      </c>
      <c r="B408" s="201" t="s">
        <v>493</v>
      </c>
      <c r="C408" s="208" t="s">
        <v>269</v>
      </c>
      <c r="D408" s="291">
        <v>-14000</v>
      </c>
      <c r="E408" s="212">
        <v>45292</v>
      </c>
      <c r="F408" s="291" t="s">
        <v>207</v>
      </c>
      <c r="G408" s="208" t="s">
        <v>494</v>
      </c>
      <c r="H408" s="81" t="s">
        <v>138</v>
      </c>
      <c r="I408" s="201"/>
      <c r="J408" s="202"/>
      <c r="K408" s="202"/>
      <c r="L408" s="202"/>
      <c r="M408" s="202"/>
      <c r="N408" s="202"/>
      <c r="O408" s="202"/>
      <c r="P408" s="202"/>
      <c r="Q408" s="202"/>
      <c r="R408" s="202"/>
      <c r="S408" s="202"/>
      <c r="T408" s="202"/>
    </row>
    <row r="409" spans="1:20" s="182" customFormat="1" ht="16.5" hidden="1" customHeight="1">
      <c r="A409" s="222">
        <v>45321</v>
      </c>
      <c r="B409" s="201" t="s">
        <v>495</v>
      </c>
      <c r="C409" s="208" t="s">
        <v>269</v>
      </c>
      <c r="D409" s="291">
        <v>-6000</v>
      </c>
      <c r="E409" s="212">
        <v>45292</v>
      </c>
      <c r="F409" s="291" t="s">
        <v>109</v>
      </c>
      <c r="G409" s="208" t="s">
        <v>420</v>
      </c>
      <c r="H409" s="81" t="s">
        <v>138</v>
      </c>
      <c r="I409" s="201"/>
      <c r="J409" s="202"/>
      <c r="K409" s="202"/>
      <c r="L409" s="202"/>
      <c r="M409" s="202"/>
      <c r="N409" s="202"/>
      <c r="O409" s="202"/>
      <c r="P409" s="202"/>
      <c r="Q409" s="202"/>
      <c r="R409" s="202"/>
      <c r="S409" s="202"/>
      <c r="T409" s="202"/>
    </row>
    <row r="410" spans="1:20" s="182" customFormat="1" ht="16.5" hidden="1" customHeight="1">
      <c r="A410" s="222">
        <v>45321</v>
      </c>
      <c r="B410" s="201" t="s">
        <v>447</v>
      </c>
      <c r="C410" s="208" t="s">
        <v>146</v>
      </c>
      <c r="D410" s="291">
        <v>-15000</v>
      </c>
      <c r="E410" s="212">
        <v>45292</v>
      </c>
      <c r="F410" s="291" t="s">
        <v>109</v>
      </c>
      <c r="G410" s="208" t="s">
        <v>120</v>
      </c>
      <c r="H410" s="201"/>
      <c r="I410" s="201" t="s">
        <v>173</v>
      </c>
      <c r="J410" s="202"/>
      <c r="K410" s="202"/>
      <c r="L410" s="202"/>
      <c r="M410" s="202"/>
      <c r="N410" s="202"/>
      <c r="O410" s="202"/>
      <c r="P410" s="202"/>
      <c r="Q410" s="202"/>
      <c r="R410" s="202"/>
      <c r="S410" s="202"/>
      <c r="T410" s="202"/>
    </row>
    <row r="411" spans="1:20" s="182" customFormat="1" ht="16.5" hidden="1" customHeight="1">
      <c r="A411" s="222">
        <v>45321</v>
      </c>
      <c r="B411" s="201" t="s">
        <v>203</v>
      </c>
      <c r="C411" s="208" t="s">
        <v>27</v>
      </c>
      <c r="D411" s="291">
        <v>-828499</v>
      </c>
      <c r="E411" s="212">
        <v>45292</v>
      </c>
      <c r="F411" s="291" t="s">
        <v>109</v>
      </c>
      <c r="G411" s="208" t="s">
        <v>120</v>
      </c>
      <c r="H411" s="208" t="s">
        <v>147</v>
      </c>
      <c r="I411" s="201"/>
      <c r="J411" s="202"/>
      <c r="K411" s="202"/>
      <c r="L411" s="202"/>
      <c r="M411" s="202"/>
      <c r="N411" s="202"/>
      <c r="O411" s="202"/>
      <c r="P411" s="202"/>
      <c r="Q411" s="202"/>
      <c r="R411" s="202"/>
      <c r="S411" s="202"/>
      <c r="T411" s="202"/>
    </row>
    <row r="412" spans="1:20" s="182" customFormat="1" ht="16.5" hidden="1" customHeight="1">
      <c r="A412" s="222">
        <v>45321</v>
      </c>
      <c r="B412" s="201" t="s">
        <v>496</v>
      </c>
      <c r="C412" s="208" t="s">
        <v>27</v>
      </c>
      <c r="D412" s="291">
        <f>-822582/2</f>
        <v>-411291</v>
      </c>
      <c r="E412" s="212">
        <v>45292</v>
      </c>
      <c r="F412" s="291" t="s">
        <v>109</v>
      </c>
      <c r="G412" s="208" t="s">
        <v>383</v>
      </c>
      <c r="H412" s="208" t="s">
        <v>147</v>
      </c>
      <c r="I412" s="201"/>
      <c r="J412" s="202"/>
      <c r="K412" s="202"/>
      <c r="L412" s="202"/>
      <c r="M412" s="202"/>
      <c r="N412" s="202"/>
      <c r="O412" s="202"/>
      <c r="P412" s="202"/>
      <c r="Q412" s="202"/>
      <c r="R412" s="202"/>
      <c r="S412" s="202"/>
      <c r="T412" s="202"/>
    </row>
    <row r="413" spans="1:20" s="182" customFormat="1" ht="16.5" hidden="1" customHeight="1">
      <c r="A413" s="222">
        <v>45321</v>
      </c>
      <c r="B413" s="201" t="s">
        <v>497</v>
      </c>
      <c r="C413" s="208" t="s">
        <v>27</v>
      </c>
      <c r="D413" s="291">
        <f>-822582/2</f>
        <v>-411291</v>
      </c>
      <c r="E413" s="212">
        <v>45292</v>
      </c>
      <c r="F413" s="291" t="s">
        <v>109</v>
      </c>
      <c r="G413" s="208" t="s">
        <v>170</v>
      </c>
      <c r="H413" s="208" t="s">
        <v>147</v>
      </c>
      <c r="I413" s="201"/>
      <c r="J413" s="202"/>
      <c r="K413" s="202"/>
      <c r="L413" s="202"/>
      <c r="M413" s="202"/>
      <c r="N413" s="202"/>
      <c r="O413" s="202"/>
      <c r="P413" s="202"/>
      <c r="Q413" s="202"/>
      <c r="R413" s="202"/>
      <c r="S413" s="202"/>
      <c r="T413" s="202"/>
    </row>
    <row r="414" spans="1:20" s="182" customFormat="1" ht="16.5" hidden="1" customHeight="1">
      <c r="A414" s="222">
        <v>45321</v>
      </c>
      <c r="B414" s="201" t="s">
        <v>198</v>
      </c>
      <c r="C414" s="208" t="s">
        <v>27</v>
      </c>
      <c r="D414" s="291">
        <v>-841661</v>
      </c>
      <c r="E414" s="212">
        <v>45292</v>
      </c>
      <c r="F414" s="291" t="s">
        <v>109</v>
      </c>
      <c r="G414" s="208" t="s">
        <v>120</v>
      </c>
      <c r="H414" s="208" t="s">
        <v>147</v>
      </c>
      <c r="I414" s="201"/>
      <c r="J414" s="202"/>
      <c r="K414" s="202"/>
      <c r="L414" s="202"/>
      <c r="M414" s="202"/>
      <c r="N414" s="202"/>
      <c r="O414" s="202"/>
      <c r="P414" s="202"/>
      <c r="Q414" s="202"/>
      <c r="R414" s="202"/>
      <c r="S414" s="202"/>
      <c r="T414" s="202"/>
    </row>
    <row r="415" spans="1:20" s="182" customFormat="1" ht="16.5" hidden="1" customHeight="1">
      <c r="A415" s="222">
        <v>45321</v>
      </c>
      <c r="B415" s="201" t="s">
        <v>498</v>
      </c>
      <c r="C415" s="208" t="s">
        <v>27</v>
      </c>
      <c r="D415" s="291">
        <f>-897454/2</f>
        <v>-448727</v>
      </c>
      <c r="E415" s="212">
        <v>45292</v>
      </c>
      <c r="F415" s="291" t="s">
        <v>109</v>
      </c>
      <c r="G415" s="208" t="s">
        <v>383</v>
      </c>
      <c r="H415" s="208" t="s">
        <v>147</v>
      </c>
      <c r="I415" s="201"/>
      <c r="J415" s="202"/>
      <c r="K415" s="202"/>
      <c r="L415" s="202"/>
      <c r="M415" s="202"/>
      <c r="N415" s="202"/>
      <c r="O415" s="202"/>
      <c r="P415" s="202"/>
      <c r="Q415" s="202"/>
      <c r="R415" s="202"/>
      <c r="S415" s="202"/>
      <c r="T415" s="202"/>
    </row>
    <row r="416" spans="1:20" s="182" customFormat="1" ht="16.5" hidden="1" customHeight="1">
      <c r="A416" s="222">
        <v>45321</v>
      </c>
      <c r="B416" s="201" t="s">
        <v>499</v>
      </c>
      <c r="C416" s="208" t="s">
        <v>27</v>
      </c>
      <c r="D416" s="291">
        <f>-897454/2</f>
        <v>-448727</v>
      </c>
      <c r="E416" s="212">
        <v>45292</v>
      </c>
      <c r="F416" s="291" t="s">
        <v>109</v>
      </c>
      <c r="G416" s="208" t="s">
        <v>170</v>
      </c>
      <c r="H416" s="208" t="s">
        <v>147</v>
      </c>
      <c r="I416" s="201"/>
      <c r="J416" s="202"/>
      <c r="K416" s="202"/>
      <c r="L416" s="202"/>
      <c r="M416" s="202"/>
      <c r="N416" s="202"/>
      <c r="O416" s="202"/>
      <c r="P416" s="202"/>
      <c r="Q416" s="202"/>
      <c r="R416" s="202"/>
      <c r="S416" s="202"/>
      <c r="T416" s="202"/>
    </row>
    <row r="417" spans="1:20" s="182" customFormat="1" ht="16.5" hidden="1" customHeight="1">
      <c r="A417" s="222">
        <v>45321</v>
      </c>
      <c r="B417" s="201" t="s">
        <v>500</v>
      </c>
      <c r="C417" s="208" t="s">
        <v>27</v>
      </c>
      <c r="D417" s="291">
        <f>-1318111/2</f>
        <v>-659055.5</v>
      </c>
      <c r="E417" s="212">
        <v>45292</v>
      </c>
      <c r="F417" s="291" t="s">
        <v>109</v>
      </c>
      <c r="G417" s="208" t="s">
        <v>383</v>
      </c>
      <c r="H417" s="208" t="s">
        <v>147</v>
      </c>
      <c r="I417" s="201"/>
      <c r="J417" s="202"/>
      <c r="K417" s="202"/>
      <c r="L417" s="202"/>
      <c r="M417" s="202"/>
      <c r="N417" s="202"/>
      <c r="O417" s="202"/>
      <c r="P417" s="202"/>
      <c r="Q417" s="202"/>
      <c r="R417" s="202"/>
      <c r="S417" s="202"/>
      <c r="T417" s="202"/>
    </row>
    <row r="418" spans="1:20" s="182" customFormat="1" ht="16.5" hidden="1" customHeight="1">
      <c r="A418" s="222">
        <v>45321</v>
      </c>
      <c r="B418" s="201" t="s">
        <v>501</v>
      </c>
      <c r="C418" s="208" t="s">
        <v>27</v>
      </c>
      <c r="D418" s="291">
        <f>-1318111/2</f>
        <v>-659055.5</v>
      </c>
      <c r="E418" s="212">
        <v>45292</v>
      </c>
      <c r="F418" s="291" t="s">
        <v>109</v>
      </c>
      <c r="G418" s="208" t="s">
        <v>170</v>
      </c>
      <c r="H418" s="208" t="s">
        <v>147</v>
      </c>
      <c r="I418" s="201"/>
      <c r="J418" s="202"/>
      <c r="K418" s="202"/>
      <c r="L418" s="202"/>
      <c r="M418" s="202"/>
      <c r="N418" s="202"/>
      <c r="O418" s="202"/>
      <c r="P418" s="202"/>
      <c r="Q418" s="202"/>
      <c r="R418" s="202"/>
      <c r="S418" s="202"/>
      <c r="T418" s="202"/>
    </row>
    <row r="419" spans="1:20" s="182" customFormat="1" ht="16.5" hidden="1" customHeight="1">
      <c r="A419" s="222">
        <v>45321</v>
      </c>
      <c r="B419" s="201" t="s">
        <v>502</v>
      </c>
      <c r="C419" s="208" t="s">
        <v>27</v>
      </c>
      <c r="D419" s="291">
        <f>-936448/2</f>
        <v>-468224</v>
      </c>
      <c r="E419" s="212">
        <v>45292</v>
      </c>
      <c r="F419" s="291" t="s">
        <v>109</v>
      </c>
      <c r="G419" s="208" t="s">
        <v>383</v>
      </c>
      <c r="H419" s="208" t="s">
        <v>147</v>
      </c>
      <c r="I419" s="201"/>
      <c r="J419" s="202"/>
      <c r="K419" s="202"/>
      <c r="L419" s="202"/>
      <c r="M419" s="202"/>
      <c r="N419" s="202"/>
      <c r="O419" s="202"/>
      <c r="P419" s="202"/>
      <c r="Q419" s="202"/>
      <c r="R419" s="202"/>
      <c r="S419" s="202"/>
      <c r="T419" s="202"/>
    </row>
    <row r="420" spans="1:20" s="182" customFormat="1" ht="16.5" hidden="1" customHeight="1">
      <c r="A420" s="222">
        <v>45321</v>
      </c>
      <c r="B420" s="201" t="s">
        <v>503</v>
      </c>
      <c r="C420" s="208" t="s">
        <v>27</v>
      </c>
      <c r="D420" s="291">
        <f>-936448/2</f>
        <v>-468224</v>
      </c>
      <c r="E420" s="212">
        <v>45292</v>
      </c>
      <c r="F420" s="291" t="s">
        <v>109</v>
      </c>
      <c r="G420" s="208" t="s">
        <v>170</v>
      </c>
      <c r="H420" s="208" t="s">
        <v>147</v>
      </c>
      <c r="I420" s="201"/>
      <c r="J420" s="202"/>
      <c r="K420" s="202"/>
      <c r="L420" s="202"/>
      <c r="M420" s="202"/>
      <c r="N420" s="202"/>
      <c r="O420" s="202"/>
      <c r="P420" s="202"/>
      <c r="Q420" s="202"/>
      <c r="R420" s="202"/>
      <c r="S420" s="202"/>
      <c r="T420" s="202"/>
    </row>
    <row r="421" spans="1:20" s="182" customFormat="1" ht="16.5" hidden="1" customHeight="1">
      <c r="A421" s="222">
        <v>45321</v>
      </c>
      <c r="B421" s="201" t="s">
        <v>504</v>
      </c>
      <c r="C421" s="208" t="s">
        <v>27</v>
      </c>
      <c r="D421" s="291">
        <v>-1540626</v>
      </c>
      <c r="E421" s="212">
        <v>45292</v>
      </c>
      <c r="F421" s="291" t="s">
        <v>109</v>
      </c>
      <c r="G421" s="208" t="s">
        <v>120</v>
      </c>
      <c r="H421" s="208" t="s">
        <v>147</v>
      </c>
      <c r="I421" s="201"/>
      <c r="J421" s="202"/>
      <c r="K421" s="202"/>
      <c r="L421" s="202"/>
      <c r="M421" s="202"/>
      <c r="N421" s="202"/>
      <c r="O421" s="202"/>
      <c r="P421" s="202"/>
      <c r="Q421" s="202"/>
      <c r="R421" s="202"/>
      <c r="S421" s="202"/>
      <c r="T421" s="202"/>
    </row>
    <row r="422" spans="1:20" s="182" customFormat="1" ht="16.5" hidden="1" customHeight="1">
      <c r="A422" s="222">
        <v>45321</v>
      </c>
      <c r="B422" s="201" t="s">
        <v>505</v>
      </c>
      <c r="C422" s="208" t="s">
        <v>27</v>
      </c>
      <c r="D422" s="291">
        <v>-922198</v>
      </c>
      <c r="E422" s="212">
        <v>45292</v>
      </c>
      <c r="F422" s="291" t="s">
        <v>109</v>
      </c>
      <c r="G422" s="208" t="s">
        <v>120</v>
      </c>
      <c r="H422" s="208" t="s">
        <v>147</v>
      </c>
      <c r="I422" s="201"/>
      <c r="J422" s="202"/>
      <c r="K422" s="202"/>
      <c r="L422" s="202"/>
      <c r="M422" s="202"/>
      <c r="N422" s="202"/>
      <c r="O422" s="202"/>
      <c r="P422" s="202"/>
      <c r="Q422" s="202"/>
      <c r="R422" s="202"/>
      <c r="S422" s="202"/>
      <c r="T422" s="202"/>
    </row>
    <row r="423" spans="1:20" s="182" customFormat="1" ht="16.5" hidden="1" customHeight="1">
      <c r="A423" s="222">
        <v>45321</v>
      </c>
      <c r="B423" s="201" t="s">
        <v>506</v>
      </c>
      <c r="C423" s="208" t="s">
        <v>27</v>
      </c>
      <c r="D423" s="291">
        <v>-726673</v>
      </c>
      <c r="E423" s="212">
        <v>45292</v>
      </c>
      <c r="F423" s="291" t="s">
        <v>130</v>
      </c>
      <c r="G423" s="201" t="s">
        <v>130</v>
      </c>
      <c r="H423" s="208" t="s">
        <v>182</v>
      </c>
      <c r="I423" s="201"/>
      <c r="J423" s="202"/>
      <c r="K423" s="202"/>
      <c r="L423" s="202"/>
      <c r="M423" s="202"/>
      <c r="N423" s="202"/>
      <c r="O423" s="202"/>
      <c r="P423" s="202"/>
      <c r="Q423" s="202"/>
      <c r="R423" s="202"/>
      <c r="S423" s="202"/>
      <c r="T423" s="202"/>
    </row>
    <row r="424" spans="1:20" s="182" customFormat="1" ht="16.5" hidden="1" customHeight="1">
      <c r="A424" s="222">
        <v>45321</v>
      </c>
      <c r="B424" s="201" t="s">
        <v>507</v>
      </c>
      <c r="C424" s="208" t="s">
        <v>27</v>
      </c>
      <c r="D424" s="291">
        <v>-2445298</v>
      </c>
      <c r="E424" s="212">
        <v>45292</v>
      </c>
      <c r="F424" s="291" t="s">
        <v>109</v>
      </c>
      <c r="G424" s="208" t="s">
        <v>170</v>
      </c>
      <c r="H424" s="201" t="s">
        <v>508</v>
      </c>
      <c r="I424" s="201"/>
      <c r="J424" s="202"/>
      <c r="K424" s="202"/>
      <c r="L424" s="202"/>
      <c r="M424" s="202"/>
      <c r="N424" s="202"/>
      <c r="O424" s="202"/>
      <c r="P424" s="202"/>
      <c r="Q424" s="202"/>
      <c r="R424" s="202"/>
      <c r="S424" s="202"/>
      <c r="T424" s="202"/>
    </row>
    <row r="425" spans="1:20" s="182" customFormat="1" ht="16.5" hidden="1" customHeight="1">
      <c r="A425" s="222">
        <v>45321</v>
      </c>
      <c r="B425" s="201" t="s">
        <v>509</v>
      </c>
      <c r="C425" s="208" t="s">
        <v>27</v>
      </c>
      <c r="D425" s="291">
        <v>-3267000</v>
      </c>
      <c r="E425" s="212">
        <v>45292</v>
      </c>
      <c r="F425" s="291" t="s">
        <v>109</v>
      </c>
      <c r="G425" s="208" t="s">
        <v>120</v>
      </c>
      <c r="H425" s="201" t="s">
        <v>508</v>
      </c>
      <c r="I425" s="201"/>
      <c r="J425" s="202"/>
      <c r="K425" s="202"/>
      <c r="L425" s="202"/>
      <c r="M425" s="202"/>
      <c r="N425" s="202"/>
      <c r="O425" s="202"/>
      <c r="P425" s="202"/>
      <c r="Q425" s="202"/>
      <c r="R425" s="202"/>
      <c r="S425" s="202"/>
      <c r="T425" s="202"/>
    </row>
    <row r="426" spans="1:20" s="182" customFormat="1" ht="16.5" hidden="1" customHeight="1">
      <c r="A426" s="222">
        <v>45321</v>
      </c>
      <c r="B426" s="201" t="s">
        <v>510</v>
      </c>
      <c r="C426" s="208" t="s">
        <v>27</v>
      </c>
      <c r="D426" s="291">
        <v>-3129012</v>
      </c>
      <c r="E426" s="212">
        <v>45292</v>
      </c>
      <c r="F426" s="291" t="s">
        <v>109</v>
      </c>
      <c r="G426" s="208" t="s">
        <v>383</v>
      </c>
      <c r="H426" s="201" t="s">
        <v>508</v>
      </c>
      <c r="I426" s="201"/>
      <c r="J426" s="202"/>
      <c r="K426" s="202"/>
      <c r="L426" s="202"/>
      <c r="M426" s="202"/>
      <c r="N426" s="202"/>
      <c r="O426" s="202"/>
      <c r="P426" s="202"/>
      <c r="Q426" s="202"/>
      <c r="R426" s="202"/>
      <c r="S426" s="202"/>
      <c r="T426" s="202"/>
    </row>
    <row r="427" spans="1:20" s="182" customFormat="1" ht="16.5" hidden="1" customHeight="1">
      <c r="A427" s="222">
        <v>45321</v>
      </c>
      <c r="B427" s="201" t="s">
        <v>197</v>
      </c>
      <c r="C427" s="208" t="s">
        <v>27</v>
      </c>
      <c r="D427" s="291">
        <v>-1037004</v>
      </c>
      <c r="E427" s="212">
        <v>45292</v>
      </c>
      <c r="F427" s="291" t="s">
        <v>130</v>
      </c>
      <c r="G427" s="201" t="s">
        <v>130</v>
      </c>
      <c r="H427" s="208" t="s">
        <v>182</v>
      </c>
      <c r="I427" s="201"/>
      <c r="J427" s="202"/>
      <c r="K427" s="202"/>
      <c r="L427" s="202"/>
      <c r="M427" s="202"/>
      <c r="N427" s="202"/>
      <c r="O427" s="202"/>
      <c r="P427" s="202"/>
      <c r="Q427" s="202"/>
      <c r="R427" s="202"/>
      <c r="S427" s="202"/>
      <c r="T427" s="202"/>
    </row>
    <row r="428" spans="1:20" s="182" customFormat="1" ht="16.5" hidden="1" customHeight="1">
      <c r="A428" s="222">
        <v>45321</v>
      </c>
      <c r="B428" s="201" t="s">
        <v>511</v>
      </c>
      <c r="C428" s="208" t="s">
        <v>27</v>
      </c>
      <c r="D428" s="291">
        <v>-6465404</v>
      </c>
      <c r="E428" s="212">
        <v>45292</v>
      </c>
      <c r="F428" s="291" t="s">
        <v>109</v>
      </c>
      <c r="G428" s="208" t="s">
        <v>120</v>
      </c>
      <c r="H428" s="201" t="s">
        <v>508</v>
      </c>
      <c r="I428" s="201"/>
      <c r="J428" s="202"/>
      <c r="K428" s="202"/>
      <c r="L428" s="202"/>
      <c r="M428" s="202"/>
      <c r="N428" s="202"/>
      <c r="O428" s="202"/>
      <c r="P428" s="202"/>
      <c r="Q428" s="202"/>
      <c r="R428" s="202"/>
      <c r="S428" s="202"/>
      <c r="T428" s="202"/>
    </row>
    <row r="429" spans="1:20" s="182" customFormat="1" ht="16.5" hidden="1" customHeight="1">
      <c r="A429" s="603">
        <v>45321</v>
      </c>
      <c r="B429" s="604" t="s">
        <v>512</v>
      </c>
      <c r="C429" s="208" t="s">
        <v>27</v>
      </c>
      <c r="D429" s="608">
        <f>-2343413+292100</f>
        <v>-2051313</v>
      </c>
      <c r="E429" s="609">
        <v>45292</v>
      </c>
      <c r="F429" s="608" t="s">
        <v>130</v>
      </c>
      <c r="G429" s="604" t="s">
        <v>130</v>
      </c>
      <c r="H429" s="208" t="s">
        <v>182</v>
      </c>
      <c r="I429" s="201"/>
      <c r="J429" s="202"/>
      <c r="K429" s="202"/>
      <c r="L429" s="202"/>
      <c r="M429" s="202"/>
      <c r="N429" s="202"/>
      <c r="O429" s="202"/>
      <c r="P429" s="202"/>
      <c r="Q429" s="202"/>
      <c r="R429" s="202"/>
      <c r="S429" s="202"/>
      <c r="T429" s="202"/>
    </row>
    <row r="430" spans="1:20" s="182" customFormat="1" ht="16.5" hidden="1" customHeight="1">
      <c r="A430" s="603">
        <v>45321</v>
      </c>
      <c r="B430" s="604" t="s">
        <v>513</v>
      </c>
      <c r="C430" s="208" t="s">
        <v>27</v>
      </c>
      <c r="D430" s="608">
        <v>-3071433</v>
      </c>
      <c r="E430" s="609">
        <v>45292</v>
      </c>
      <c r="F430" s="608" t="s">
        <v>130</v>
      </c>
      <c r="G430" s="604" t="s">
        <v>130</v>
      </c>
      <c r="H430" s="208" t="s">
        <v>182</v>
      </c>
      <c r="I430" s="201"/>
      <c r="J430" s="202"/>
      <c r="K430" s="202"/>
      <c r="L430" s="202"/>
      <c r="M430" s="202"/>
      <c r="N430" s="202"/>
      <c r="O430" s="202"/>
      <c r="P430" s="202"/>
      <c r="Q430" s="202"/>
      <c r="R430" s="202"/>
      <c r="S430" s="202"/>
      <c r="T430" s="202"/>
    </row>
    <row r="431" spans="1:20" s="182" customFormat="1" ht="16.5" hidden="1" customHeight="1">
      <c r="A431" s="603">
        <v>45321</v>
      </c>
      <c r="B431" s="604" t="s">
        <v>514</v>
      </c>
      <c r="C431" s="208" t="s">
        <v>27</v>
      </c>
      <c r="D431" s="608">
        <v>-953333</v>
      </c>
      <c r="E431" s="609">
        <v>45292</v>
      </c>
      <c r="F431" s="608" t="s">
        <v>130</v>
      </c>
      <c r="G431" s="604" t="s">
        <v>130</v>
      </c>
      <c r="H431" s="208" t="s">
        <v>182</v>
      </c>
      <c r="I431" s="201"/>
      <c r="J431" s="202"/>
      <c r="K431" s="202"/>
      <c r="L431" s="202"/>
      <c r="M431" s="202"/>
      <c r="N431" s="202"/>
      <c r="O431" s="202"/>
      <c r="P431" s="202"/>
      <c r="Q431" s="202"/>
      <c r="R431" s="202"/>
      <c r="S431" s="202"/>
      <c r="T431" s="202"/>
    </row>
    <row r="432" spans="1:20" s="182" customFormat="1" ht="16.5" hidden="1" customHeight="1">
      <c r="A432" s="603">
        <v>45321</v>
      </c>
      <c r="B432" s="604" t="s">
        <v>515</v>
      </c>
      <c r="C432" s="208" t="s">
        <v>27</v>
      </c>
      <c r="D432" s="608">
        <v>-8145962</v>
      </c>
      <c r="E432" s="609">
        <v>45292</v>
      </c>
      <c r="F432" s="608" t="s">
        <v>130</v>
      </c>
      <c r="G432" s="604" t="s">
        <v>130</v>
      </c>
      <c r="H432" s="208" t="s">
        <v>182</v>
      </c>
      <c r="I432" s="201"/>
      <c r="J432" s="202"/>
      <c r="K432" s="202"/>
      <c r="L432" s="202"/>
      <c r="M432" s="202"/>
      <c r="N432" s="202"/>
      <c r="O432" s="202"/>
      <c r="P432" s="202"/>
      <c r="Q432" s="202"/>
      <c r="R432" s="202"/>
      <c r="S432" s="202"/>
      <c r="T432" s="202"/>
    </row>
    <row r="433" spans="1:20" s="182" customFormat="1" ht="16.5" hidden="1" customHeight="1">
      <c r="A433" s="603">
        <v>45321</v>
      </c>
      <c r="B433" s="604" t="s">
        <v>516</v>
      </c>
      <c r="C433" s="208" t="s">
        <v>27</v>
      </c>
      <c r="D433" s="608">
        <v>-724267</v>
      </c>
      <c r="E433" s="609">
        <v>45292</v>
      </c>
      <c r="F433" s="608" t="s">
        <v>130</v>
      </c>
      <c r="G433" s="604" t="s">
        <v>130</v>
      </c>
      <c r="H433" s="208" t="s">
        <v>182</v>
      </c>
      <c r="I433" s="201"/>
      <c r="J433" s="202"/>
      <c r="K433" s="202"/>
      <c r="L433" s="202"/>
      <c r="M433" s="202"/>
      <c r="N433" s="202"/>
      <c r="O433" s="202"/>
      <c r="P433" s="202"/>
      <c r="Q433" s="202"/>
      <c r="R433" s="202"/>
      <c r="S433" s="202"/>
      <c r="T433" s="202"/>
    </row>
    <row r="434" spans="1:20" s="182" customFormat="1" ht="16.5" hidden="1" customHeight="1">
      <c r="A434" s="603">
        <v>45321</v>
      </c>
      <c r="B434" s="604" t="s">
        <v>517</v>
      </c>
      <c r="C434" s="208" t="s">
        <v>27</v>
      </c>
      <c r="D434" s="608">
        <v>-8359119</v>
      </c>
      <c r="E434" s="609">
        <v>45292</v>
      </c>
      <c r="F434" s="608" t="s">
        <v>130</v>
      </c>
      <c r="G434" s="604" t="s">
        <v>130</v>
      </c>
      <c r="H434" s="208" t="s">
        <v>182</v>
      </c>
      <c r="I434" s="201"/>
      <c r="J434" s="202"/>
      <c r="K434" s="202"/>
      <c r="L434" s="202"/>
      <c r="M434" s="202"/>
      <c r="N434" s="202"/>
      <c r="O434" s="202"/>
      <c r="P434" s="202"/>
      <c r="Q434" s="202"/>
      <c r="R434" s="202"/>
      <c r="S434" s="202"/>
      <c r="T434" s="202"/>
    </row>
    <row r="435" spans="1:20" s="182" customFormat="1" ht="16.5" hidden="1" customHeight="1">
      <c r="A435" s="603">
        <v>45321</v>
      </c>
      <c r="B435" s="604" t="s">
        <v>518</v>
      </c>
      <c r="C435" s="208" t="s">
        <v>27</v>
      </c>
      <c r="D435" s="608">
        <f>-3317671+284300</f>
        <v>-3033371</v>
      </c>
      <c r="E435" s="609">
        <v>45292</v>
      </c>
      <c r="F435" s="608" t="s">
        <v>130</v>
      </c>
      <c r="G435" s="604" t="s">
        <v>130</v>
      </c>
      <c r="H435" s="208" t="s">
        <v>182</v>
      </c>
      <c r="I435" s="201"/>
      <c r="J435" s="202"/>
      <c r="K435" s="202"/>
      <c r="L435" s="202"/>
      <c r="M435" s="202"/>
      <c r="N435" s="202"/>
      <c r="O435" s="202"/>
      <c r="P435" s="202"/>
      <c r="Q435" s="202"/>
      <c r="R435" s="202"/>
      <c r="S435" s="202"/>
      <c r="T435" s="202"/>
    </row>
    <row r="436" spans="1:20" s="182" customFormat="1" ht="16.5" hidden="1" customHeight="1">
      <c r="A436" s="603">
        <v>45321</v>
      </c>
      <c r="B436" s="613" t="s">
        <v>519</v>
      </c>
      <c r="C436" s="208" t="s">
        <v>27</v>
      </c>
      <c r="D436" s="608">
        <v>-2696459</v>
      </c>
      <c r="E436" s="609">
        <v>45292</v>
      </c>
      <c r="F436" s="608" t="s">
        <v>130</v>
      </c>
      <c r="G436" s="604" t="s">
        <v>257</v>
      </c>
      <c r="H436" s="604" t="s">
        <v>182</v>
      </c>
      <c r="I436" s="201"/>
      <c r="J436" s="202"/>
      <c r="K436" s="202"/>
      <c r="L436" s="202"/>
      <c r="M436" s="202"/>
      <c r="N436" s="202"/>
      <c r="O436" s="202"/>
      <c r="P436" s="202"/>
      <c r="Q436" s="202"/>
      <c r="R436" s="202"/>
      <c r="S436" s="202"/>
      <c r="T436" s="202"/>
    </row>
    <row r="437" spans="1:20" s="182" customFormat="1" ht="16.5" hidden="1" customHeight="1">
      <c r="A437" s="222">
        <v>45321</v>
      </c>
      <c r="B437" s="201" t="s">
        <v>520</v>
      </c>
      <c r="C437" s="208" t="s">
        <v>27</v>
      </c>
      <c r="D437" s="291">
        <v>-8145962</v>
      </c>
      <c r="E437" s="212">
        <v>45292</v>
      </c>
      <c r="F437" s="608" t="s">
        <v>130</v>
      </c>
      <c r="G437" s="201" t="s">
        <v>130</v>
      </c>
      <c r="H437" s="208" t="s">
        <v>182</v>
      </c>
      <c r="I437" s="201"/>
      <c r="J437" s="202"/>
      <c r="K437" s="202"/>
      <c r="L437" s="202"/>
      <c r="M437" s="202"/>
      <c r="N437" s="202"/>
      <c r="O437" s="202"/>
      <c r="P437" s="202"/>
      <c r="Q437" s="202"/>
      <c r="R437" s="202"/>
      <c r="S437" s="202"/>
      <c r="T437" s="202"/>
    </row>
    <row r="438" spans="1:20" s="182" customFormat="1" ht="14.15" hidden="1">
      <c r="A438" s="222">
        <v>45321</v>
      </c>
      <c r="B438" s="201" t="s">
        <v>521</v>
      </c>
      <c r="C438" s="208" t="s">
        <v>27</v>
      </c>
      <c r="D438" s="291">
        <f>-797876/2</f>
        <v>-398938</v>
      </c>
      <c r="E438" s="212">
        <v>45292</v>
      </c>
      <c r="F438" s="291" t="s">
        <v>109</v>
      </c>
      <c r="G438" s="208" t="s">
        <v>383</v>
      </c>
      <c r="H438" s="208" t="s">
        <v>147</v>
      </c>
      <c r="I438" s="201"/>
      <c r="J438" s="202"/>
      <c r="K438" s="202"/>
      <c r="L438" s="202"/>
      <c r="M438" s="202"/>
      <c r="N438" s="202"/>
      <c r="O438" s="202"/>
      <c r="P438" s="202"/>
      <c r="Q438" s="202"/>
      <c r="R438" s="202"/>
      <c r="S438" s="202"/>
      <c r="T438" s="202"/>
    </row>
    <row r="439" spans="1:20" s="182" customFormat="1" ht="16.5" hidden="1" customHeight="1">
      <c r="A439" s="222">
        <v>45321</v>
      </c>
      <c r="B439" s="201" t="s">
        <v>522</v>
      </c>
      <c r="C439" s="208" t="s">
        <v>27</v>
      </c>
      <c r="D439" s="291">
        <f>-797876/2</f>
        <v>-398938</v>
      </c>
      <c r="E439" s="212">
        <v>45292</v>
      </c>
      <c r="F439" s="291" t="s">
        <v>109</v>
      </c>
      <c r="G439" s="208" t="s">
        <v>170</v>
      </c>
      <c r="H439" s="208" t="s">
        <v>147</v>
      </c>
      <c r="I439" s="201"/>
      <c r="J439" s="202"/>
      <c r="K439" s="202"/>
      <c r="L439" s="202"/>
      <c r="M439" s="202"/>
      <c r="N439" s="202"/>
      <c r="O439" s="202"/>
      <c r="P439" s="202"/>
      <c r="Q439" s="202"/>
      <c r="R439" s="202"/>
      <c r="S439" s="202"/>
      <c r="T439" s="202"/>
    </row>
    <row r="440" spans="1:20" s="182" customFormat="1" ht="16.5" hidden="1" customHeight="1">
      <c r="A440" s="222">
        <v>45321</v>
      </c>
      <c r="B440" s="201" t="s">
        <v>202</v>
      </c>
      <c r="C440" s="208" t="s">
        <v>27</v>
      </c>
      <c r="D440" s="291">
        <v>-824487</v>
      </c>
      <c r="E440" s="212">
        <v>45292</v>
      </c>
      <c r="F440" s="291" t="s">
        <v>109</v>
      </c>
      <c r="G440" s="208" t="s">
        <v>120</v>
      </c>
      <c r="H440" s="208" t="s">
        <v>147</v>
      </c>
      <c r="I440" s="201"/>
      <c r="J440" s="202"/>
      <c r="K440" s="202"/>
      <c r="L440" s="202"/>
      <c r="M440" s="202"/>
      <c r="N440" s="202"/>
      <c r="O440" s="202"/>
      <c r="P440" s="202"/>
      <c r="Q440" s="202"/>
      <c r="R440" s="202"/>
      <c r="S440" s="202"/>
      <c r="T440" s="202"/>
    </row>
    <row r="441" spans="1:20" s="182" customFormat="1" ht="16.5" hidden="1" customHeight="1">
      <c r="A441" s="222">
        <v>45321</v>
      </c>
      <c r="B441" s="201" t="s">
        <v>523</v>
      </c>
      <c r="C441" s="208" t="s">
        <v>27</v>
      </c>
      <c r="D441" s="291">
        <v>-400000</v>
      </c>
      <c r="E441" s="212">
        <v>45292</v>
      </c>
      <c r="F441" s="608" t="s">
        <v>130</v>
      </c>
      <c r="G441" s="201" t="s">
        <v>130</v>
      </c>
      <c r="H441" s="208" t="s">
        <v>182</v>
      </c>
      <c r="I441" s="201"/>
      <c r="J441" s="202"/>
      <c r="K441" s="202"/>
      <c r="L441" s="202"/>
      <c r="M441" s="202"/>
      <c r="N441" s="202"/>
      <c r="O441" s="202"/>
      <c r="P441" s="202"/>
      <c r="Q441" s="202"/>
      <c r="R441" s="202"/>
      <c r="S441" s="202"/>
      <c r="T441" s="202"/>
    </row>
    <row r="442" spans="1:20" s="182" customFormat="1" ht="16.5" hidden="1" customHeight="1">
      <c r="A442" s="222">
        <v>45322</v>
      </c>
      <c r="B442" s="201" t="s">
        <v>524</v>
      </c>
      <c r="C442" s="208" t="s">
        <v>27</v>
      </c>
      <c r="D442" s="291">
        <v>40475010</v>
      </c>
      <c r="E442" s="212">
        <v>45292</v>
      </c>
      <c r="F442" s="291" t="s">
        <v>109</v>
      </c>
      <c r="G442" s="208" t="s">
        <v>525</v>
      </c>
      <c r="H442" s="201" t="s">
        <v>461</v>
      </c>
      <c r="I442" s="201"/>
      <c r="J442" s="202"/>
      <c r="K442" s="202"/>
      <c r="L442" s="202"/>
      <c r="M442" s="202"/>
      <c r="N442" s="202"/>
      <c r="O442" s="202"/>
      <c r="P442" s="202"/>
      <c r="Q442" s="202"/>
      <c r="R442" s="202"/>
      <c r="S442" s="202"/>
      <c r="T442" s="202"/>
    </row>
    <row r="443" spans="1:20" s="182" customFormat="1" ht="16.5" hidden="1" customHeight="1">
      <c r="A443" s="222">
        <v>45322</v>
      </c>
      <c r="B443" s="201" t="s">
        <v>526</v>
      </c>
      <c r="C443" s="208" t="s">
        <v>27</v>
      </c>
      <c r="D443" s="291">
        <v>-3094533</v>
      </c>
      <c r="E443" s="212">
        <v>45292</v>
      </c>
      <c r="F443" s="291" t="s">
        <v>109</v>
      </c>
      <c r="G443" s="208" t="s">
        <v>383</v>
      </c>
      <c r="H443" s="201" t="s">
        <v>310</v>
      </c>
      <c r="I443" s="201"/>
      <c r="J443" s="202"/>
      <c r="K443" s="202"/>
      <c r="L443" s="202"/>
      <c r="M443" s="202"/>
      <c r="N443" s="202"/>
      <c r="O443" s="202"/>
      <c r="P443" s="202"/>
      <c r="Q443" s="202"/>
      <c r="R443" s="202"/>
      <c r="S443" s="202"/>
      <c r="T443" s="202"/>
    </row>
    <row r="444" spans="1:20" s="182" customFormat="1" ht="16.5" hidden="1" customHeight="1">
      <c r="A444" s="222">
        <v>45322</v>
      </c>
      <c r="B444" s="201" t="s">
        <v>527</v>
      </c>
      <c r="C444" s="208" t="s">
        <v>133</v>
      </c>
      <c r="D444" s="291">
        <v>-7989</v>
      </c>
      <c r="E444" s="212">
        <v>45292</v>
      </c>
      <c r="F444" s="84" t="s">
        <v>111</v>
      </c>
      <c r="G444" s="208"/>
      <c r="H444" s="201"/>
      <c r="I444" s="201"/>
      <c r="J444" s="202"/>
      <c r="K444" s="202"/>
      <c r="L444" s="202"/>
      <c r="M444" s="202"/>
      <c r="N444" s="202"/>
      <c r="O444" s="202"/>
      <c r="P444" s="202"/>
      <c r="Q444" s="202"/>
      <c r="R444" s="202"/>
      <c r="S444" s="202"/>
      <c r="T444" s="202"/>
    </row>
    <row r="445" spans="1:20" s="182" customFormat="1" ht="16.5" hidden="1" customHeight="1">
      <c r="A445" s="222">
        <v>45322</v>
      </c>
      <c r="B445" s="201" t="s">
        <v>528</v>
      </c>
      <c r="C445" s="208" t="s">
        <v>27</v>
      </c>
      <c r="D445" s="291">
        <v>-486000</v>
      </c>
      <c r="E445" s="212">
        <v>45292</v>
      </c>
      <c r="F445" s="291" t="s">
        <v>130</v>
      </c>
      <c r="G445" s="208" t="s">
        <v>130</v>
      </c>
      <c r="H445" s="81" t="s">
        <v>360</v>
      </c>
      <c r="I445" s="201"/>
      <c r="J445" s="202"/>
      <c r="K445" s="202"/>
      <c r="L445" s="202"/>
      <c r="M445" s="202"/>
      <c r="N445" s="202"/>
      <c r="O445" s="202"/>
      <c r="P445" s="202"/>
      <c r="Q445" s="202"/>
      <c r="R445" s="202"/>
      <c r="S445" s="202"/>
      <c r="T445" s="202"/>
    </row>
    <row r="446" spans="1:20" s="182" customFormat="1" ht="16.5" hidden="1" customHeight="1">
      <c r="A446" s="222">
        <v>45322</v>
      </c>
      <c r="B446" s="201" t="s">
        <v>529</v>
      </c>
      <c r="C446" s="208" t="s">
        <v>133</v>
      </c>
      <c r="D446" s="291">
        <v>-49500</v>
      </c>
      <c r="E446" s="212">
        <v>45292</v>
      </c>
      <c r="F446" s="291" t="s">
        <v>130</v>
      </c>
      <c r="G446" s="208" t="s">
        <v>130</v>
      </c>
      <c r="H446" s="81" t="s">
        <v>360</v>
      </c>
      <c r="I446" s="201"/>
      <c r="J446" s="202"/>
      <c r="K446" s="202"/>
      <c r="L446" s="202"/>
      <c r="M446" s="202"/>
      <c r="N446" s="202"/>
      <c r="O446" s="202"/>
      <c r="P446" s="202"/>
      <c r="Q446" s="202"/>
      <c r="R446" s="202"/>
      <c r="S446" s="202"/>
      <c r="T446" s="202"/>
    </row>
    <row r="447" spans="1:20" s="182" customFormat="1" ht="16.5" hidden="1" customHeight="1">
      <c r="A447" s="222">
        <v>45322</v>
      </c>
      <c r="B447" s="201" t="s">
        <v>530</v>
      </c>
      <c r="C447" s="208" t="s">
        <v>27</v>
      </c>
      <c r="D447" s="291">
        <v>-279287</v>
      </c>
      <c r="E447" s="212">
        <v>45292</v>
      </c>
      <c r="F447" s="291" t="s">
        <v>130</v>
      </c>
      <c r="G447" s="208" t="s">
        <v>130</v>
      </c>
      <c r="H447" s="208" t="s">
        <v>184</v>
      </c>
      <c r="I447" s="201"/>
      <c r="J447" s="202"/>
      <c r="K447" s="202"/>
      <c r="L447" s="202"/>
      <c r="M447" s="202"/>
      <c r="N447" s="202"/>
      <c r="O447" s="202"/>
      <c r="P447" s="202"/>
      <c r="Q447" s="202"/>
      <c r="R447" s="202"/>
      <c r="S447" s="202"/>
      <c r="T447" s="202"/>
    </row>
    <row r="448" spans="1:20" s="182" customFormat="1" ht="16.5" hidden="1" customHeight="1">
      <c r="A448" s="222">
        <v>45322</v>
      </c>
      <c r="B448" s="201" t="s">
        <v>531</v>
      </c>
      <c r="C448" s="208" t="s">
        <v>27</v>
      </c>
      <c r="D448" s="291">
        <v>-2510675</v>
      </c>
      <c r="E448" s="212">
        <v>45292</v>
      </c>
      <c r="F448" s="291" t="s">
        <v>207</v>
      </c>
      <c r="G448" s="208"/>
      <c r="H448" s="201"/>
      <c r="I448" s="201"/>
      <c r="J448" s="202"/>
      <c r="K448" s="202"/>
      <c r="L448" s="202"/>
      <c r="M448" s="202"/>
      <c r="N448" s="202"/>
      <c r="O448" s="202"/>
      <c r="P448" s="202"/>
      <c r="Q448" s="202"/>
      <c r="R448" s="202"/>
      <c r="S448" s="202"/>
      <c r="T448" s="202"/>
    </row>
    <row r="449" spans="1:20" s="182" customFormat="1" ht="16.5" hidden="1" customHeight="1">
      <c r="A449" s="222">
        <v>45322</v>
      </c>
      <c r="B449" s="201" t="s">
        <v>454</v>
      </c>
      <c r="C449" s="208" t="s">
        <v>269</v>
      </c>
      <c r="D449" s="291">
        <v>-120000</v>
      </c>
      <c r="E449" s="212">
        <v>45292</v>
      </c>
      <c r="F449" s="291" t="s">
        <v>109</v>
      </c>
      <c r="G449" s="208" t="s">
        <v>383</v>
      </c>
      <c r="H449" s="81" t="s">
        <v>138</v>
      </c>
      <c r="I449" s="201"/>
      <c r="J449" s="202"/>
      <c r="K449" s="202"/>
      <c r="L449" s="202"/>
      <c r="M449" s="202"/>
      <c r="N449" s="202"/>
      <c r="O449" s="202"/>
      <c r="P449" s="202"/>
      <c r="Q449" s="202"/>
      <c r="R449" s="202"/>
      <c r="S449" s="202"/>
      <c r="T449" s="202"/>
    </row>
    <row r="450" spans="1:20" s="182" customFormat="1" ht="16.5" hidden="1" customHeight="1">
      <c r="A450" s="222">
        <v>45322</v>
      </c>
      <c r="B450" s="201" t="s">
        <v>532</v>
      </c>
      <c r="C450" s="208" t="s">
        <v>27</v>
      </c>
      <c r="D450" s="291">
        <v>233042</v>
      </c>
      <c r="E450" s="212">
        <v>45292</v>
      </c>
      <c r="F450" s="291" t="s">
        <v>109</v>
      </c>
      <c r="G450" s="208" t="s">
        <v>383</v>
      </c>
      <c r="H450" s="208" t="s">
        <v>175</v>
      </c>
      <c r="I450" s="201"/>
      <c r="J450" s="202"/>
      <c r="K450" s="202"/>
      <c r="L450" s="202"/>
      <c r="M450" s="202"/>
      <c r="N450" s="202"/>
      <c r="O450" s="202"/>
      <c r="P450" s="202"/>
      <c r="Q450" s="202"/>
      <c r="R450" s="202"/>
      <c r="S450" s="202"/>
      <c r="T450" s="202"/>
    </row>
    <row r="451" spans="1:20" s="182" customFormat="1" ht="16.5" hidden="1" customHeight="1">
      <c r="A451" s="222">
        <v>45322</v>
      </c>
      <c r="B451" s="201" t="s">
        <v>533</v>
      </c>
      <c r="C451" s="208" t="s">
        <v>181</v>
      </c>
      <c r="D451" s="291">
        <v>2202989</v>
      </c>
      <c r="E451" s="212">
        <v>45292</v>
      </c>
      <c r="F451" s="291" t="s">
        <v>108</v>
      </c>
      <c r="G451" s="208"/>
      <c r="H451" s="201"/>
      <c r="I451" s="201"/>
      <c r="J451" s="202"/>
      <c r="K451" s="202"/>
      <c r="L451" s="202"/>
      <c r="M451" s="202"/>
      <c r="N451" s="202"/>
      <c r="O451" s="202"/>
      <c r="P451" s="202"/>
      <c r="Q451" s="202"/>
      <c r="R451" s="202"/>
      <c r="S451" s="202"/>
      <c r="T451" s="202"/>
    </row>
    <row r="452" spans="1:20" s="182" customFormat="1" ht="16.5" hidden="1" customHeight="1">
      <c r="A452" s="222">
        <v>45323</v>
      </c>
      <c r="B452" s="201" t="s">
        <v>534</v>
      </c>
      <c r="C452" s="208" t="s">
        <v>146</v>
      </c>
      <c r="D452" s="291">
        <v>-33320</v>
      </c>
      <c r="E452" s="212">
        <v>45323</v>
      </c>
      <c r="F452" s="291" t="s">
        <v>130</v>
      </c>
      <c r="G452" s="208" t="s">
        <v>130</v>
      </c>
      <c r="H452" s="201" t="s">
        <v>184</v>
      </c>
      <c r="I452" s="201"/>
      <c r="J452" s="202"/>
      <c r="K452" s="202"/>
      <c r="L452" s="202"/>
      <c r="M452" s="202"/>
      <c r="N452" s="202"/>
      <c r="O452" s="202"/>
      <c r="P452" s="202"/>
      <c r="Q452" s="202"/>
      <c r="R452" s="202"/>
      <c r="S452" s="202"/>
      <c r="T452" s="202"/>
    </row>
    <row r="453" spans="1:20" s="182" customFormat="1" ht="16.5" hidden="1" customHeight="1">
      <c r="A453" s="222">
        <v>45323</v>
      </c>
      <c r="B453" s="201" t="s">
        <v>535</v>
      </c>
      <c r="C453" s="208" t="s">
        <v>146</v>
      </c>
      <c r="D453" s="291">
        <v>-25206</v>
      </c>
      <c r="E453" s="212">
        <v>45323</v>
      </c>
      <c r="F453" s="291" t="s">
        <v>130</v>
      </c>
      <c r="G453" s="208" t="s">
        <v>130</v>
      </c>
      <c r="H453" s="201" t="s">
        <v>184</v>
      </c>
      <c r="I453" s="201"/>
      <c r="J453" s="202"/>
      <c r="K453" s="202"/>
      <c r="L453" s="202"/>
      <c r="M453" s="202"/>
      <c r="N453" s="202"/>
      <c r="O453" s="202"/>
      <c r="P453" s="202"/>
      <c r="Q453" s="202"/>
      <c r="R453" s="202"/>
      <c r="S453" s="202"/>
      <c r="T453" s="202"/>
    </row>
    <row r="454" spans="1:20" s="182" customFormat="1" ht="16.5" hidden="1" customHeight="1">
      <c r="A454" s="222">
        <v>45323</v>
      </c>
      <c r="B454" s="201" t="s">
        <v>536</v>
      </c>
      <c r="C454" s="208" t="s">
        <v>27</v>
      </c>
      <c r="D454" s="291">
        <v>-2494350</v>
      </c>
      <c r="E454" s="212">
        <v>45323</v>
      </c>
      <c r="F454" s="291" t="s">
        <v>130</v>
      </c>
      <c r="G454" s="208" t="s">
        <v>130</v>
      </c>
      <c r="H454" s="201" t="s">
        <v>131</v>
      </c>
      <c r="I454" s="201"/>
      <c r="J454" s="202"/>
      <c r="K454" s="202"/>
      <c r="L454" s="202"/>
      <c r="M454" s="202"/>
      <c r="N454" s="202"/>
      <c r="O454" s="202"/>
      <c r="P454" s="202"/>
      <c r="Q454" s="202"/>
      <c r="R454" s="202"/>
      <c r="S454" s="202"/>
      <c r="T454" s="202"/>
    </row>
    <row r="455" spans="1:20" s="182" customFormat="1" ht="16.5" hidden="1" customHeight="1">
      <c r="A455" s="222">
        <v>45323</v>
      </c>
      <c r="B455" s="201" t="s">
        <v>132</v>
      </c>
      <c r="C455" s="208" t="s">
        <v>133</v>
      </c>
      <c r="D455" s="291">
        <v>-86760</v>
      </c>
      <c r="E455" s="212">
        <v>45323</v>
      </c>
      <c r="F455" s="291" t="s">
        <v>130</v>
      </c>
      <c r="G455" s="208" t="s">
        <v>130</v>
      </c>
      <c r="H455" s="201" t="s">
        <v>131</v>
      </c>
      <c r="I455" s="201"/>
      <c r="J455" s="202"/>
      <c r="K455" s="202"/>
      <c r="L455" s="202"/>
      <c r="M455" s="202"/>
      <c r="N455" s="202"/>
      <c r="O455" s="202"/>
      <c r="P455" s="202"/>
      <c r="Q455" s="202"/>
      <c r="R455" s="202"/>
      <c r="S455" s="202"/>
      <c r="T455" s="202"/>
    </row>
    <row r="456" spans="1:20" s="182" customFormat="1" ht="16.5" hidden="1" customHeight="1">
      <c r="A456" s="222">
        <v>45323</v>
      </c>
      <c r="B456" s="201" t="s">
        <v>537</v>
      </c>
      <c r="C456" s="208" t="s">
        <v>27</v>
      </c>
      <c r="D456" s="291">
        <v>-233042</v>
      </c>
      <c r="E456" s="212">
        <v>45323</v>
      </c>
      <c r="F456" s="291" t="s">
        <v>109</v>
      </c>
      <c r="G456" s="208" t="s">
        <v>383</v>
      </c>
      <c r="H456" s="208" t="s">
        <v>175</v>
      </c>
      <c r="I456" s="201"/>
      <c r="J456" s="202"/>
      <c r="K456" s="202"/>
      <c r="L456" s="202"/>
      <c r="M456" s="202"/>
      <c r="N456" s="202"/>
      <c r="O456" s="202"/>
      <c r="P456" s="202"/>
      <c r="Q456" s="202"/>
      <c r="R456" s="202"/>
      <c r="S456" s="202"/>
      <c r="T456" s="202"/>
    </row>
    <row r="457" spans="1:20" s="182" customFormat="1" ht="16.5" hidden="1" customHeight="1">
      <c r="A457" s="222">
        <v>45323</v>
      </c>
      <c r="B457" s="201" t="s">
        <v>538</v>
      </c>
      <c r="C457" s="208" t="s">
        <v>27</v>
      </c>
      <c r="D457" s="291">
        <v>-191004</v>
      </c>
      <c r="E457" s="212">
        <v>45323</v>
      </c>
      <c r="F457" s="291" t="s">
        <v>109</v>
      </c>
      <c r="G457" s="208" t="s">
        <v>383</v>
      </c>
      <c r="H457" s="208" t="s">
        <v>147</v>
      </c>
      <c r="I457" s="201"/>
      <c r="J457" s="202"/>
      <c r="K457" s="202"/>
      <c r="L457" s="202"/>
      <c r="M457" s="202"/>
      <c r="N457" s="202"/>
      <c r="O457" s="202"/>
      <c r="P457" s="202"/>
      <c r="Q457" s="202"/>
      <c r="R457" s="202"/>
      <c r="S457" s="202"/>
      <c r="T457" s="202"/>
    </row>
    <row r="458" spans="1:20" s="182" customFormat="1" ht="16.5" hidden="1" customHeight="1">
      <c r="A458" s="222">
        <v>45323</v>
      </c>
      <c r="B458" s="201" t="s">
        <v>539</v>
      </c>
      <c r="C458" s="208" t="s">
        <v>27</v>
      </c>
      <c r="D458" s="592">
        <v>-428740</v>
      </c>
      <c r="E458" s="212">
        <v>45323</v>
      </c>
      <c r="F458" s="291" t="s">
        <v>130</v>
      </c>
      <c r="G458" s="208" t="s">
        <v>130</v>
      </c>
      <c r="H458" s="201" t="s">
        <v>323</v>
      </c>
      <c r="I458" s="201"/>
      <c r="J458" s="202"/>
      <c r="K458" s="202"/>
      <c r="L458" s="202"/>
      <c r="M458" s="202"/>
      <c r="N458" s="202"/>
      <c r="O458" s="202"/>
      <c r="P458" s="202"/>
      <c r="Q458" s="202"/>
      <c r="R458" s="202"/>
      <c r="S458" s="202"/>
      <c r="T458" s="202"/>
    </row>
    <row r="459" spans="1:20" s="182" customFormat="1" ht="16.5" hidden="1" customHeight="1">
      <c r="A459" s="222">
        <v>45323</v>
      </c>
      <c r="B459" s="201" t="s">
        <v>540</v>
      </c>
      <c r="C459" s="208" t="s">
        <v>133</v>
      </c>
      <c r="D459" s="291">
        <v>-53350</v>
      </c>
      <c r="E459" s="212">
        <v>45323</v>
      </c>
      <c r="F459" s="291" t="s">
        <v>130</v>
      </c>
      <c r="G459" s="208" t="s">
        <v>130</v>
      </c>
      <c r="H459" s="201" t="s">
        <v>323</v>
      </c>
      <c r="I459" s="201"/>
      <c r="J459" s="202"/>
      <c r="K459" s="202"/>
      <c r="L459" s="202"/>
      <c r="M459" s="202"/>
      <c r="N459" s="202"/>
      <c r="O459" s="202"/>
      <c r="P459" s="202"/>
      <c r="Q459" s="202"/>
      <c r="R459" s="202"/>
      <c r="S459" s="202"/>
      <c r="T459" s="202"/>
    </row>
    <row r="460" spans="1:20" s="182" customFormat="1" ht="16.5" hidden="1" customHeight="1">
      <c r="A460" s="222">
        <v>45323</v>
      </c>
      <c r="B460" s="201" t="s">
        <v>541</v>
      </c>
      <c r="C460" s="208" t="s">
        <v>133</v>
      </c>
      <c r="D460" s="291">
        <v>-2910</v>
      </c>
      <c r="E460" s="212">
        <v>45323</v>
      </c>
      <c r="F460" s="291" t="s">
        <v>130</v>
      </c>
      <c r="G460" s="208" t="s">
        <v>130</v>
      </c>
      <c r="H460" s="201" t="s">
        <v>323</v>
      </c>
      <c r="I460" s="201"/>
      <c r="J460" s="202"/>
      <c r="K460" s="202"/>
      <c r="L460" s="202"/>
      <c r="M460" s="202"/>
      <c r="N460" s="202"/>
      <c r="O460" s="202"/>
      <c r="P460" s="202"/>
      <c r="Q460" s="202"/>
      <c r="R460" s="202"/>
      <c r="S460" s="202"/>
      <c r="T460" s="202"/>
    </row>
    <row r="461" spans="1:20" s="182" customFormat="1" ht="16.5" hidden="1" customHeight="1">
      <c r="A461" s="222">
        <v>45323</v>
      </c>
      <c r="B461" s="201" t="s">
        <v>542</v>
      </c>
      <c r="C461" s="208" t="s">
        <v>27</v>
      </c>
      <c r="D461" s="291">
        <v>-5600000</v>
      </c>
      <c r="E461" s="212">
        <v>45323</v>
      </c>
      <c r="F461" s="291" t="s">
        <v>109</v>
      </c>
      <c r="G461" s="208" t="s">
        <v>120</v>
      </c>
      <c r="H461" s="208" t="s">
        <v>175</v>
      </c>
      <c r="I461" s="201"/>
      <c r="J461" s="202"/>
      <c r="K461" s="202"/>
      <c r="L461" s="202"/>
      <c r="M461" s="202"/>
      <c r="N461" s="202"/>
      <c r="O461" s="202"/>
      <c r="P461" s="202"/>
      <c r="Q461" s="202"/>
      <c r="R461" s="202"/>
      <c r="S461" s="202"/>
      <c r="T461" s="202"/>
    </row>
    <row r="462" spans="1:20" s="182" customFormat="1" ht="16.5" hidden="1" customHeight="1">
      <c r="A462" s="222">
        <v>45323</v>
      </c>
      <c r="B462" s="201" t="s">
        <v>543</v>
      </c>
      <c r="C462" s="208" t="s">
        <v>133</v>
      </c>
      <c r="D462" s="291">
        <v>-203109</v>
      </c>
      <c r="E462" s="212">
        <v>45323</v>
      </c>
      <c r="F462" s="291" t="s">
        <v>109</v>
      </c>
      <c r="G462" s="208" t="s">
        <v>120</v>
      </c>
      <c r="H462" s="208" t="s">
        <v>175</v>
      </c>
      <c r="I462" s="201"/>
      <c r="J462" s="202"/>
      <c r="K462" s="202"/>
      <c r="L462" s="202"/>
      <c r="M462" s="202"/>
      <c r="N462" s="202"/>
      <c r="O462" s="202"/>
      <c r="P462" s="202"/>
      <c r="Q462" s="202"/>
      <c r="R462" s="202"/>
      <c r="S462" s="202"/>
      <c r="T462" s="202"/>
    </row>
    <row r="463" spans="1:20" s="182" customFormat="1" ht="16.5" hidden="1" customHeight="1">
      <c r="A463" s="222">
        <v>45323</v>
      </c>
      <c r="B463" s="201" t="s">
        <v>544</v>
      </c>
      <c r="C463" s="208" t="s">
        <v>27</v>
      </c>
      <c r="D463" s="291">
        <v>-2100000</v>
      </c>
      <c r="E463" s="212">
        <v>45323</v>
      </c>
      <c r="F463" s="291" t="s">
        <v>109</v>
      </c>
      <c r="G463" s="208" t="s">
        <v>120</v>
      </c>
      <c r="H463" s="201"/>
      <c r="I463" s="201"/>
      <c r="J463" s="202"/>
      <c r="K463" s="202"/>
      <c r="L463" s="202"/>
      <c r="M463" s="202"/>
      <c r="N463" s="202"/>
      <c r="O463" s="202"/>
      <c r="P463" s="202"/>
      <c r="Q463" s="202"/>
      <c r="R463" s="202"/>
      <c r="S463" s="202"/>
      <c r="T463" s="202"/>
    </row>
    <row r="464" spans="1:20" s="182" customFormat="1" ht="16.5" hidden="1" customHeight="1">
      <c r="A464" s="222">
        <v>45323</v>
      </c>
      <c r="B464" s="201" t="s">
        <v>545</v>
      </c>
      <c r="C464" s="208" t="s">
        <v>27</v>
      </c>
      <c r="D464" s="291">
        <v>-48427407</v>
      </c>
      <c r="E464" s="212">
        <v>45323</v>
      </c>
      <c r="F464" s="291" t="s">
        <v>109</v>
      </c>
      <c r="G464" s="208" t="s">
        <v>120</v>
      </c>
      <c r="H464" s="201"/>
      <c r="I464" s="201"/>
      <c r="J464" s="202"/>
      <c r="K464" s="202"/>
      <c r="L464" s="202"/>
      <c r="M464" s="202"/>
      <c r="N464" s="202"/>
      <c r="O464" s="202"/>
      <c r="P464" s="202"/>
      <c r="Q464" s="202"/>
      <c r="R464" s="202"/>
      <c r="S464" s="202"/>
      <c r="T464" s="202"/>
    </row>
    <row r="465" spans="1:20" s="182" customFormat="1" ht="16.5" hidden="1" customHeight="1">
      <c r="A465" s="222">
        <v>45323</v>
      </c>
      <c r="B465" s="201" t="s">
        <v>546</v>
      </c>
      <c r="C465" s="208" t="s">
        <v>27</v>
      </c>
      <c r="D465" s="291">
        <f>-3123067-320304</f>
        <v>-3443371</v>
      </c>
      <c r="E465" s="212">
        <v>45323</v>
      </c>
      <c r="F465" s="291" t="s">
        <v>109</v>
      </c>
      <c r="G465" s="208" t="s">
        <v>383</v>
      </c>
      <c r="H465" s="201" t="s">
        <v>310</v>
      </c>
      <c r="I465" s="201"/>
      <c r="J465" s="202"/>
      <c r="K465" s="202"/>
      <c r="L465" s="202"/>
      <c r="M465" s="202"/>
      <c r="N465" s="202"/>
      <c r="O465" s="202"/>
      <c r="P465" s="202"/>
      <c r="Q465" s="202"/>
      <c r="R465" s="202"/>
      <c r="S465" s="202"/>
      <c r="T465" s="202"/>
    </row>
    <row r="466" spans="1:20" s="182" customFormat="1" ht="16.5" hidden="1" customHeight="1">
      <c r="A466" s="222">
        <v>45323</v>
      </c>
      <c r="B466" s="201" t="s">
        <v>547</v>
      </c>
      <c r="C466" s="208" t="s">
        <v>27</v>
      </c>
      <c r="D466" s="291">
        <v>-2238338</v>
      </c>
      <c r="E466" s="212">
        <v>45323</v>
      </c>
      <c r="F466" s="291" t="s">
        <v>109</v>
      </c>
      <c r="G466" s="208" t="s">
        <v>170</v>
      </c>
      <c r="H466" s="201" t="s">
        <v>310</v>
      </c>
      <c r="I466" s="201"/>
      <c r="J466" s="202"/>
      <c r="K466" s="202"/>
      <c r="L466" s="202"/>
      <c r="M466" s="202"/>
      <c r="N466" s="202"/>
      <c r="O466" s="202"/>
      <c r="P466" s="202"/>
      <c r="Q466" s="202"/>
      <c r="R466" s="202"/>
      <c r="S466" s="202"/>
      <c r="T466" s="202"/>
    </row>
    <row r="467" spans="1:20" s="182" customFormat="1" ht="16.5" hidden="1" customHeight="1">
      <c r="A467" s="222">
        <v>45323</v>
      </c>
      <c r="B467" s="201" t="s">
        <v>548</v>
      </c>
      <c r="C467" s="208" t="s">
        <v>27</v>
      </c>
      <c r="D467" s="291">
        <v>-1596050</v>
      </c>
      <c r="E467" s="212">
        <v>45323</v>
      </c>
      <c r="F467" s="291" t="s">
        <v>109</v>
      </c>
      <c r="G467" s="208" t="s">
        <v>383</v>
      </c>
      <c r="H467" s="201" t="s">
        <v>549</v>
      </c>
      <c r="I467" s="201"/>
      <c r="J467" s="202"/>
      <c r="K467" s="202"/>
      <c r="L467" s="202"/>
      <c r="M467" s="202"/>
      <c r="N467" s="202"/>
      <c r="O467" s="202"/>
      <c r="P467" s="202"/>
      <c r="Q467" s="202"/>
      <c r="R467" s="202"/>
      <c r="S467" s="202"/>
      <c r="T467" s="202"/>
    </row>
    <row r="468" spans="1:20" s="182" customFormat="1" ht="16.5" hidden="1" customHeight="1">
      <c r="A468" s="222">
        <v>45323</v>
      </c>
      <c r="B468" s="201" t="s">
        <v>550</v>
      </c>
      <c r="C468" s="208" t="s">
        <v>133</v>
      </c>
      <c r="D468" s="291">
        <v>-34250</v>
      </c>
      <c r="E468" s="212">
        <v>45323</v>
      </c>
      <c r="F468" s="291" t="s">
        <v>109</v>
      </c>
      <c r="G468" s="208" t="s">
        <v>383</v>
      </c>
      <c r="H468" s="201" t="s">
        <v>549</v>
      </c>
      <c r="I468" s="201"/>
      <c r="J468" s="202"/>
      <c r="K468" s="202"/>
      <c r="L468" s="202"/>
      <c r="M468" s="202"/>
      <c r="N468" s="202"/>
      <c r="O468" s="202"/>
      <c r="P468" s="202"/>
      <c r="Q468" s="202"/>
      <c r="R468" s="202"/>
      <c r="S468" s="202"/>
      <c r="T468" s="202"/>
    </row>
    <row r="469" spans="1:20" s="182" customFormat="1" ht="16.5" hidden="1" customHeight="1">
      <c r="A469" s="222">
        <v>45323</v>
      </c>
      <c r="B469" s="201" t="s">
        <v>551</v>
      </c>
      <c r="C469" s="208" t="s">
        <v>146</v>
      </c>
      <c r="D469" s="291">
        <v>-240000</v>
      </c>
      <c r="E469" s="212">
        <v>45323</v>
      </c>
      <c r="F469" s="291" t="s">
        <v>109</v>
      </c>
      <c r="G469" s="208" t="s">
        <v>383</v>
      </c>
      <c r="H469" s="81" t="s">
        <v>138</v>
      </c>
      <c r="I469" s="201" t="s">
        <v>173</v>
      </c>
      <c r="J469" s="202"/>
      <c r="K469" s="202"/>
      <c r="L469" s="202"/>
      <c r="M469" s="202"/>
      <c r="N469" s="202"/>
      <c r="O469" s="202"/>
      <c r="P469" s="202"/>
      <c r="Q469" s="202"/>
      <c r="R469" s="202"/>
      <c r="S469" s="202"/>
      <c r="T469" s="202"/>
    </row>
    <row r="470" spans="1:20" s="182" customFormat="1" ht="16.5" hidden="1" customHeight="1">
      <c r="A470" s="222">
        <v>45323</v>
      </c>
      <c r="B470" s="201" t="s">
        <v>552</v>
      </c>
      <c r="C470" s="208" t="s">
        <v>146</v>
      </c>
      <c r="D470" s="291">
        <v>-62000</v>
      </c>
      <c r="E470" s="212">
        <v>45323</v>
      </c>
      <c r="F470" s="291" t="s">
        <v>109</v>
      </c>
      <c r="G470" s="208" t="s">
        <v>120</v>
      </c>
      <c r="H470" s="208" t="s">
        <v>175</v>
      </c>
      <c r="I470" s="201" t="s">
        <v>173</v>
      </c>
      <c r="J470" s="202"/>
      <c r="K470" s="202"/>
      <c r="L470" s="202"/>
      <c r="M470" s="202"/>
      <c r="N470" s="202"/>
      <c r="O470" s="202"/>
      <c r="P470" s="202"/>
      <c r="Q470" s="202"/>
      <c r="R470" s="202"/>
      <c r="S470" s="202"/>
      <c r="T470" s="202"/>
    </row>
    <row r="471" spans="1:20" s="182" customFormat="1" ht="16.5" hidden="1" customHeight="1">
      <c r="A471" s="222">
        <v>45323</v>
      </c>
      <c r="B471" s="201" t="s">
        <v>553</v>
      </c>
      <c r="C471" s="208" t="s">
        <v>146</v>
      </c>
      <c r="D471" s="291">
        <v>-60000</v>
      </c>
      <c r="E471" s="212">
        <v>45323</v>
      </c>
      <c r="F471" s="291" t="s">
        <v>130</v>
      </c>
      <c r="G471" s="208" t="s">
        <v>130</v>
      </c>
      <c r="H471" s="201" t="s">
        <v>184</v>
      </c>
      <c r="I471" s="201" t="s">
        <v>173</v>
      </c>
      <c r="J471" s="202"/>
      <c r="K471" s="202"/>
      <c r="L471" s="202"/>
      <c r="M471" s="202"/>
      <c r="N471" s="202"/>
      <c r="O471" s="202"/>
      <c r="P471" s="202"/>
      <c r="Q471" s="202"/>
      <c r="R471" s="202"/>
      <c r="S471" s="202"/>
      <c r="T471" s="202"/>
    </row>
    <row r="472" spans="1:20" s="182" customFormat="1" ht="16.5" hidden="1" customHeight="1">
      <c r="A472" s="222">
        <v>45323</v>
      </c>
      <c r="B472" s="201" t="s">
        <v>554</v>
      </c>
      <c r="C472" s="208" t="s">
        <v>146</v>
      </c>
      <c r="D472" s="291">
        <v>-66600</v>
      </c>
      <c r="E472" s="212">
        <v>45323</v>
      </c>
      <c r="F472" s="291" t="s">
        <v>109</v>
      </c>
      <c r="G472" s="208" t="s">
        <v>383</v>
      </c>
      <c r="H472" s="208" t="s">
        <v>175</v>
      </c>
      <c r="I472" s="201" t="s">
        <v>173</v>
      </c>
      <c r="J472" s="202"/>
      <c r="K472" s="202"/>
      <c r="L472" s="202"/>
      <c r="M472" s="202"/>
      <c r="N472" s="202"/>
      <c r="O472" s="202"/>
      <c r="P472" s="202"/>
      <c r="Q472" s="202"/>
      <c r="R472" s="202"/>
      <c r="S472" s="202"/>
      <c r="T472" s="202"/>
    </row>
    <row r="473" spans="1:20" s="182" customFormat="1" ht="16.5" hidden="1" customHeight="1">
      <c r="A473" s="222">
        <v>45323</v>
      </c>
      <c r="B473" s="201" t="s">
        <v>555</v>
      </c>
      <c r="C473" s="208" t="s">
        <v>146</v>
      </c>
      <c r="D473" s="291">
        <v>-118700</v>
      </c>
      <c r="E473" s="212">
        <v>45323</v>
      </c>
      <c r="F473" s="291" t="s">
        <v>109</v>
      </c>
      <c r="G473" s="208" t="s">
        <v>383</v>
      </c>
      <c r="H473" s="208" t="s">
        <v>175</v>
      </c>
      <c r="I473" s="201" t="s">
        <v>173</v>
      </c>
      <c r="J473" s="202"/>
      <c r="K473" s="202"/>
      <c r="L473" s="202"/>
      <c r="M473" s="202"/>
      <c r="N473" s="202"/>
      <c r="O473" s="202"/>
      <c r="P473" s="202"/>
      <c r="Q473" s="202"/>
      <c r="R473" s="202"/>
      <c r="S473" s="202"/>
      <c r="T473" s="202"/>
    </row>
    <row r="474" spans="1:20" s="182" customFormat="1" ht="16.5" hidden="1" customHeight="1">
      <c r="A474" s="222">
        <v>45323</v>
      </c>
      <c r="B474" s="201" t="s">
        <v>556</v>
      </c>
      <c r="C474" s="208" t="s">
        <v>146</v>
      </c>
      <c r="D474" s="291">
        <v>-23710</v>
      </c>
      <c r="E474" s="212">
        <v>45323</v>
      </c>
      <c r="F474" s="291" t="s">
        <v>109</v>
      </c>
      <c r="G474" s="208" t="s">
        <v>383</v>
      </c>
      <c r="H474" s="208" t="s">
        <v>175</v>
      </c>
      <c r="I474" s="201" t="s">
        <v>173</v>
      </c>
      <c r="J474" s="202"/>
      <c r="K474" s="202"/>
      <c r="L474" s="202"/>
      <c r="M474" s="202"/>
      <c r="N474" s="202"/>
      <c r="O474" s="202"/>
      <c r="P474" s="202"/>
      <c r="Q474" s="202"/>
      <c r="R474" s="202"/>
      <c r="S474" s="202"/>
      <c r="T474" s="202"/>
    </row>
    <row r="475" spans="1:20" s="182" customFormat="1" ht="16.5" hidden="1" customHeight="1">
      <c r="A475" s="222">
        <v>45323</v>
      </c>
      <c r="B475" s="201" t="s">
        <v>557</v>
      </c>
      <c r="C475" s="208" t="s">
        <v>146</v>
      </c>
      <c r="D475" s="291">
        <v>-122400</v>
      </c>
      <c r="E475" s="212">
        <v>45323</v>
      </c>
      <c r="F475" s="291" t="s">
        <v>109</v>
      </c>
      <c r="G475" s="208" t="s">
        <v>383</v>
      </c>
      <c r="H475" s="201" t="s">
        <v>323</v>
      </c>
      <c r="I475" s="201" t="s">
        <v>173</v>
      </c>
      <c r="J475" s="202"/>
      <c r="K475" s="202"/>
      <c r="L475" s="202"/>
      <c r="M475" s="202"/>
      <c r="N475" s="202"/>
      <c r="O475" s="202"/>
      <c r="P475" s="202"/>
      <c r="Q475" s="202"/>
      <c r="R475" s="202"/>
      <c r="S475" s="202"/>
      <c r="T475" s="202"/>
    </row>
    <row r="476" spans="1:20" s="182" customFormat="1" ht="16.5" hidden="1" customHeight="1">
      <c r="A476" s="222">
        <v>45323</v>
      </c>
      <c r="B476" s="201" t="s">
        <v>558</v>
      </c>
      <c r="C476" s="208" t="s">
        <v>146</v>
      </c>
      <c r="D476" s="291">
        <v>-98800</v>
      </c>
      <c r="E476" s="212">
        <v>45323</v>
      </c>
      <c r="F476" s="291" t="s">
        <v>109</v>
      </c>
      <c r="G476" s="208" t="s">
        <v>383</v>
      </c>
      <c r="H476" s="208" t="s">
        <v>175</v>
      </c>
      <c r="I476" s="201" t="s">
        <v>173</v>
      </c>
      <c r="J476" s="202"/>
      <c r="K476" s="202"/>
      <c r="L476" s="202"/>
      <c r="M476" s="202"/>
      <c r="N476" s="202"/>
      <c r="O476" s="202"/>
      <c r="P476" s="202"/>
      <c r="Q476" s="202"/>
      <c r="R476" s="202"/>
      <c r="S476" s="202"/>
      <c r="T476" s="202"/>
    </row>
    <row r="477" spans="1:20" s="182" customFormat="1" ht="16.5" hidden="1" customHeight="1">
      <c r="A477" s="222">
        <v>45323</v>
      </c>
      <c r="B477" s="201" t="s">
        <v>559</v>
      </c>
      <c r="C477" s="208" t="s">
        <v>146</v>
      </c>
      <c r="D477" s="291">
        <v>-6000</v>
      </c>
      <c r="E477" s="212">
        <v>45323</v>
      </c>
      <c r="F477" s="291" t="s">
        <v>109</v>
      </c>
      <c r="G477" s="208" t="s">
        <v>383</v>
      </c>
      <c r="H477" s="201" t="s">
        <v>421</v>
      </c>
      <c r="I477" s="201" t="s">
        <v>173</v>
      </c>
      <c r="J477" s="202"/>
      <c r="K477" s="202"/>
      <c r="L477" s="202"/>
      <c r="M477" s="202"/>
      <c r="N477" s="202"/>
      <c r="O477" s="202"/>
      <c r="P477" s="202"/>
      <c r="Q477" s="202"/>
      <c r="R477" s="202"/>
      <c r="S477" s="202"/>
      <c r="T477" s="202"/>
    </row>
    <row r="478" spans="1:20" s="182" customFormat="1" ht="16.5" hidden="1" customHeight="1">
      <c r="A478" s="222">
        <v>45323</v>
      </c>
      <c r="B478" s="201" t="s">
        <v>560</v>
      </c>
      <c r="C478" s="208" t="s">
        <v>146</v>
      </c>
      <c r="D478" s="291">
        <v>-58000</v>
      </c>
      <c r="E478" s="212">
        <v>45323</v>
      </c>
      <c r="F478" s="291" t="s">
        <v>130</v>
      </c>
      <c r="G478" s="208" t="s">
        <v>130</v>
      </c>
      <c r="H478" s="201" t="s">
        <v>184</v>
      </c>
      <c r="I478" s="201" t="s">
        <v>173</v>
      </c>
      <c r="J478" s="202"/>
      <c r="K478" s="202"/>
      <c r="L478" s="202"/>
      <c r="M478" s="202"/>
      <c r="N478" s="202"/>
      <c r="O478" s="202"/>
      <c r="P478" s="202"/>
      <c r="Q478" s="202"/>
      <c r="R478" s="202"/>
      <c r="S478" s="202"/>
      <c r="T478" s="202"/>
    </row>
    <row r="479" spans="1:20" s="182" customFormat="1" ht="16.5" hidden="1" customHeight="1">
      <c r="A479" s="222">
        <v>45323</v>
      </c>
      <c r="B479" s="201" t="s">
        <v>561</v>
      </c>
      <c r="C479" s="208" t="s">
        <v>146</v>
      </c>
      <c r="D479" s="291">
        <v>-6200</v>
      </c>
      <c r="E479" s="212">
        <v>45323</v>
      </c>
      <c r="F479" s="291" t="s">
        <v>109</v>
      </c>
      <c r="G479" s="208" t="s">
        <v>383</v>
      </c>
      <c r="H479" s="81" t="s">
        <v>138</v>
      </c>
      <c r="I479" s="201" t="s">
        <v>173</v>
      </c>
      <c r="J479" s="202"/>
      <c r="K479" s="202"/>
      <c r="L479" s="202"/>
      <c r="M479" s="202"/>
      <c r="N479" s="202"/>
      <c r="O479" s="202"/>
      <c r="P479" s="202"/>
      <c r="Q479" s="202"/>
      <c r="R479" s="202"/>
      <c r="S479" s="202"/>
      <c r="T479" s="202"/>
    </row>
    <row r="480" spans="1:20" s="182" customFormat="1" ht="16.5" hidden="1" customHeight="1">
      <c r="A480" s="605">
        <v>45323</v>
      </c>
      <c r="B480" s="201" t="s">
        <v>562</v>
      </c>
      <c r="C480" s="208" t="s">
        <v>146</v>
      </c>
      <c r="D480" s="291">
        <v>-30000</v>
      </c>
      <c r="E480" s="212">
        <v>45323</v>
      </c>
      <c r="F480" s="291" t="s">
        <v>109</v>
      </c>
      <c r="G480" s="208" t="s">
        <v>120</v>
      </c>
      <c r="H480" s="201"/>
      <c r="I480" s="201" t="s">
        <v>563</v>
      </c>
      <c r="J480" s="202"/>
      <c r="K480" s="202"/>
      <c r="L480" s="202"/>
      <c r="M480" s="202"/>
      <c r="N480" s="202"/>
      <c r="O480" s="202"/>
      <c r="P480" s="202"/>
      <c r="Q480" s="202"/>
      <c r="R480" s="202"/>
      <c r="S480" s="202"/>
      <c r="T480" s="202"/>
    </row>
    <row r="481" spans="1:20" s="182" customFormat="1" ht="16.5" hidden="1" customHeight="1">
      <c r="A481" s="605">
        <v>45323</v>
      </c>
      <c r="B481" s="201" t="s">
        <v>564</v>
      </c>
      <c r="C481" s="208" t="s">
        <v>146</v>
      </c>
      <c r="D481" s="291">
        <v>-20000</v>
      </c>
      <c r="E481" s="212">
        <v>45323</v>
      </c>
      <c r="F481" s="291" t="s">
        <v>109</v>
      </c>
      <c r="G481" s="208" t="s">
        <v>120</v>
      </c>
      <c r="H481" s="201"/>
      <c r="I481" s="201" t="s">
        <v>563</v>
      </c>
      <c r="J481" s="202"/>
      <c r="K481" s="202"/>
      <c r="L481" s="202"/>
      <c r="M481" s="202"/>
      <c r="N481" s="202"/>
      <c r="O481" s="202"/>
      <c r="P481" s="202"/>
      <c r="Q481" s="202"/>
      <c r="R481" s="202"/>
      <c r="S481" s="202"/>
      <c r="T481" s="202"/>
    </row>
    <row r="482" spans="1:20" s="182" customFormat="1" ht="16.5" hidden="1" customHeight="1">
      <c r="A482" s="222">
        <v>45323</v>
      </c>
      <c r="B482" s="201" t="s">
        <v>565</v>
      </c>
      <c r="C482" s="208" t="s">
        <v>146</v>
      </c>
      <c r="D482" s="291">
        <v>-80000</v>
      </c>
      <c r="E482" s="212">
        <v>45323</v>
      </c>
      <c r="F482" s="291" t="s">
        <v>109</v>
      </c>
      <c r="G482" s="208" t="s">
        <v>120</v>
      </c>
      <c r="H482" s="208" t="s">
        <v>147</v>
      </c>
      <c r="I482" s="201" t="s">
        <v>566</v>
      </c>
      <c r="J482" s="202"/>
      <c r="K482" s="202"/>
      <c r="L482" s="202"/>
      <c r="M482" s="202"/>
      <c r="N482" s="202"/>
      <c r="O482" s="202"/>
      <c r="P482" s="202"/>
      <c r="Q482" s="202"/>
      <c r="R482" s="202"/>
      <c r="S482" s="202"/>
      <c r="T482" s="202"/>
    </row>
    <row r="483" spans="1:20" s="182" customFormat="1" ht="16.5" hidden="1" customHeight="1">
      <c r="A483" s="222">
        <v>45323</v>
      </c>
      <c r="B483" s="201" t="s">
        <v>567</v>
      </c>
      <c r="C483" s="208" t="s">
        <v>146</v>
      </c>
      <c r="D483" s="291">
        <v>-6000</v>
      </c>
      <c r="E483" s="212">
        <v>45323</v>
      </c>
      <c r="F483" s="291" t="s">
        <v>109</v>
      </c>
      <c r="G483" s="208" t="s">
        <v>120</v>
      </c>
      <c r="H483" s="208" t="s">
        <v>147</v>
      </c>
      <c r="I483" s="201" t="s">
        <v>566</v>
      </c>
      <c r="J483" s="202"/>
      <c r="K483" s="202"/>
      <c r="L483" s="202"/>
      <c r="M483" s="202"/>
      <c r="N483" s="202"/>
      <c r="O483" s="202"/>
      <c r="P483" s="202"/>
      <c r="Q483" s="202"/>
      <c r="R483" s="202"/>
      <c r="S483" s="202"/>
      <c r="T483" s="202"/>
    </row>
    <row r="484" spans="1:20" s="182" customFormat="1" ht="16.5" hidden="1" customHeight="1">
      <c r="A484" s="222">
        <v>45323</v>
      </c>
      <c r="B484" s="201" t="s">
        <v>568</v>
      </c>
      <c r="C484" s="208" t="s">
        <v>146</v>
      </c>
      <c r="D484" s="291">
        <v>-7000</v>
      </c>
      <c r="E484" s="212">
        <v>45323</v>
      </c>
      <c r="F484" s="291" t="s">
        <v>109</v>
      </c>
      <c r="G484" s="208" t="s">
        <v>120</v>
      </c>
      <c r="H484" s="208" t="s">
        <v>147</v>
      </c>
      <c r="I484" s="201" t="s">
        <v>566</v>
      </c>
      <c r="J484" s="202"/>
      <c r="K484" s="202"/>
      <c r="L484" s="202"/>
      <c r="M484" s="202"/>
      <c r="N484" s="202"/>
      <c r="O484" s="202"/>
      <c r="P484" s="202"/>
      <c r="Q484" s="202"/>
      <c r="R484" s="202"/>
      <c r="S484" s="202"/>
      <c r="T484" s="202"/>
    </row>
    <row r="485" spans="1:20" s="182" customFormat="1" ht="16.5" hidden="1" customHeight="1">
      <c r="A485" s="222">
        <v>45323</v>
      </c>
      <c r="B485" s="201" t="s">
        <v>569</v>
      </c>
      <c r="C485" s="208" t="s">
        <v>146</v>
      </c>
      <c r="D485" s="291">
        <v>-3000</v>
      </c>
      <c r="E485" s="212">
        <v>45323</v>
      </c>
      <c r="F485" s="291" t="s">
        <v>109</v>
      </c>
      <c r="G485" s="208" t="s">
        <v>120</v>
      </c>
      <c r="H485" s="208" t="s">
        <v>147</v>
      </c>
      <c r="I485" s="201" t="s">
        <v>566</v>
      </c>
      <c r="J485" s="202"/>
      <c r="K485" s="202"/>
      <c r="L485" s="202"/>
      <c r="M485" s="202"/>
      <c r="N485" s="202"/>
      <c r="O485" s="202"/>
      <c r="P485" s="202"/>
      <c r="Q485" s="202"/>
      <c r="R485" s="202"/>
      <c r="S485" s="202"/>
      <c r="T485" s="202"/>
    </row>
    <row r="486" spans="1:20" s="182" customFormat="1" ht="16.5" hidden="1" customHeight="1">
      <c r="A486" s="222">
        <v>45323</v>
      </c>
      <c r="B486" s="201" t="s">
        <v>567</v>
      </c>
      <c r="C486" s="208" t="s">
        <v>146</v>
      </c>
      <c r="D486" s="291">
        <v>-6000</v>
      </c>
      <c r="E486" s="212">
        <v>45323</v>
      </c>
      <c r="F486" s="291" t="s">
        <v>109</v>
      </c>
      <c r="G486" s="208" t="s">
        <v>120</v>
      </c>
      <c r="H486" s="208" t="s">
        <v>147</v>
      </c>
      <c r="I486" s="201" t="s">
        <v>566</v>
      </c>
      <c r="J486" s="202"/>
      <c r="K486" s="202"/>
      <c r="L486" s="202"/>
      <c r="M486" s="202"/>
      <c r="N486" s="202"/>
      <c r="O486" s="202"/>
      <c r="P486" s="202"/>
      <c r="Q486" s="202"/>
      <c r="R486" s="202"/>
      <c r="S486" s="202"/>
      <c r="T486" s="202"/>
    </row>
    <row r="487" spans="1:20" s="182" customFormat="1" ht="16.5" hidden="1" customHeight="1">
      <c r="A487" s="222">
        <v>45323</v>
      </c>
      <c r="B487" s="201" t="s">
        <v>568</v>
      </c>
      <c r="C487" s="208" t="s">
        <v>146</v>
      </c>
      <c r="D487" s="291">
        <v>-7000</v>
      </c>
      <c r="E487" s="212">
        <v>45323</v>
      </c>
      <c r="F487" s="291" t="s">
        <v>109</v>
      </c>
      <c r="G487" s="208" t="s">
        <v>120</v>
      </c>
      <c r="H487" s="208" t="s">
        <v>147</v>
      </c>
      <c r="I487" s="201" t="s">
        <v>566</v>
      </c>
      <c r="J487" s="202"/>
      <c r="K487" s="202"/>
      <c r="L487" s="202"/>
      <c r="M487" s="202"/>
      <c r="N487" s="202"/>
      <c r="O487" s="202"/>
      <c r="P487" s="202"/>
      <c r="Q487" s="202"/>
      <c r="R487" s="202"/>
      <c r="S487" s="202"/>
      <c r="T487" s="202"/>
    </row>
    <row r="488" spans="1:20" s="182" customFormat="1" ht="16.5" hidden="1" customHeight="1">
      <c r="A488" s="222">
        <v>45323</v>
      </c>
      <c r="B488" s="201" t="s">
        <v>570</v>
      </c>
      <c r="C488" s="208" t="s">
        <v>146</v>
      </c>
      <c r="D488" s="291">
        <v>-255000</v>
      </c>
      <c r="E488" s="212">
        <v>45323</v>
      </c>
      <c r="F488" s="291" t="s">
        <v>109</v>
      </c>
      <c r="G488" s="208" t="s">
        <v>120</v>
      </c>
      <c r="H488" s="208" t="s">
        <v>175</v>
      </c>
      <c r="I488" s="201" t="s">
        <v>566</v>
      </c>
      <c r="J488" s="202"/>
      <c r="K488" s="202"/>
      <c r="L488" s="202"/>
      <c r="M488" s="202"/>
      <c r="N488" s="202"/>
      <c r="O488" s="202"/>
      <c r="P488" s="202"/>
      <c r="Q488" s="202"/>
      <c r="R488" s="202"/>
      <c r="S488" s="202"/>
      <c r="T488" s="202"/>
    </row>
    <row r="489" spans="1:20" s="182" customFormat="1" ht="16.5" hidden="1" customHeight="1">
      <c r="A489" s="222">
        <v>45323</v>
      </c>
      <c r="B489" s="201" t="s">
        <v>571</v>
      </c>
      <c r="C489" s="208" t="s">
        <v>146</v>
      </c>
      <c r="D489" s="291">
        <v>-53816</v>
      </c>
      <c r="E489" s="212">
        <v>45323</v>
      </c>
      <c r="F489" s="201" t="s">
        <v>109</v>
      </c>
      <c r="G489" s="208" t="s">
        <v>120</v>
      </c>
      <c r="H489" s="208" t="s">
        <v>175</v>
      </c>
      <c r="I489" s="201" t="s">
        <v>173</v>
      </c>
      <c r="J489" s="202"/>
      <c r="K489" s="202"/>
      <c r="L489" s="202"/>
      <c r="M489" s="202"/>
      <c r="N489" s="202"/>
      <c r="O489" s="202"/>
      <c r="P489" s="202"/>
      <c r="Q489" s="202"/>
      <c r="R489" s="202"/>
      <c r="S489" s="202"/>
      <c r="T489" s="202"/>
    </row>
    <row r="490" spans="1:20" s="182" customFormat="1" ht="16.5" hidden="1" customHeight="1">
      <c r="A490" s="222">
        <v>45324</v>
      </c>
      <c r="B490" s="615" t="s">
        <v>572</v>
      </c>
      <c r="C490" s="208" t="s">
        <v>27</v>
      </c>
      <c r="D490" s="592">
        <v>-580742</v>
      </c>
      <c r="E490" s="212">
        <v>45323</v>
      </c>
      <c r="F490" s="291" t="s">
        <v>109</v>
      </c>
      <c r="G490" s="208" t="s">
        <v>120</v>
      </c>
      <c r="H490" s="201"/>
      <c r="I490" s="201"/>
      <c r="J490" s="202"/>
      <c r="K490" s="202"/>
      <c r="L490" s="202"/>
      <c r="M490" s="202"/>
      <c r="N490" s="202"/>
      <c r="O490" s="202"/>
      <c r="P490" s="202"/>
      <c r="Q490" s="202"/>
      <c r="R490" s="202"/>
      <c r="S490" s="202"/>
      <c r="T490" s="202"/>
    </row>
    <row r="491" spans="1:20" s="182" customFormat="1" ht="16.5" hidden="1" customHeight="1">
      <c r="A491" s="222">
        <v>45324</v>
      </c>
      <c r="B491" s="201" t="s">
        <v>573</v>
      </c>
      <c r="C491" s="208" t="s">
        <v>27</v>
      </c>
      <c r="D491" s="592">
        <v>-12200000</v>
      </c>
      <c r="E491" s="212">
        <v>45323</v>
      </c>
      <c r="F491" s="291" t="s">
        <v>109</v>
      </c>
      <c r="G491" s="208" t="s">
        <v>120</v>
      </c>
      <c r="H491" s="201"/>
      <c r="I491" s="201"/>
      <c r="J491" s="202"/>
      <c r="K491" s="202"/>
      <c r="L491" s="202"/>
      <c r="M491" s="202"/>
      <c r="N491" s="202"/>
      <c r="O491" s="202"/>
      <c r="P491" s="202"/>
      <c r="Q491" s="202"/>
      <c r="R491" s="202"/>
      <c r="S491" s="202"/>
      <c r="T491" s="202"/>
    </row>
    <row r="492" spans="1:20" s="182" customFormat="1" ht="16.5" hidden="1" customHeight="1">
      <c r="A492" s="222">
        <v>45324</v>
      </c>
      <c r="B492" s="201" t="s">
        <v>574</v>
      </c>
      <c r="C492" s="208" t="s">
        <v>27</v>
      </c>
      <c r="D492" s="592">
        <v>-651000</v>
      </c>
      <c r="E492" s="212">
        <v>45323</v>
      </c>
      <c r="F492" s="291" t="s">
        <v>109</v>
      </c>
      <c r="G492" s="208" t="s">
        <v>120</v>
      </c>
      <c r="H492" s="201"/>
      <c r="I492" s="201"/>
      <c r="J492" s="202"/>
      <c r="K492" s="202"/>
      <c r="L492" s="202"/>
      <c r="M492" s="202"/>
      <c r="N492" s="202"/>
      <c r="O492" s="202"/>
      <c r="P492" s="202"/>
      <c r="Q492" s="202"/>
      <c r="R492" s="202"/>
      <c r="S492" s="202"/>
      <c r="T492" s="202"/>
    </row>
    <row r="493" spans="1:20" s="182" customFormat="1" ht="16.5" hidden="1" customHeight="1">
      <c r="A493" s="222">
        <v>45324</v>
      </c>
      <c r="B493" s="201" t="s">
        <v>575</v>
      </c>
      <c r="C493" s="208" t="s">
        <v>27</v>
      </c>
      <c r="D493" s="592">
        <v>-601012</v>
      </c>
      <c r="E493" s="212">
        <v>45323</v>
      </c>
      <c r="F493" s="291" t="s">
        <v>109</v>
      </c>
      <c r="G493" s="208" t="s">
        <v>120</v>
      </c>
      <c r="H493" s="201" t="s">
        <v>323</v>
      </c>
      <c r="I493" s="201"/>
      <c r="J493" s="202"/>
      <c r="K493" s="202"/>
      <c r="L493" s="202"/>
      <c r="M493" s="202"/>
      <c r="N493" s="202"/>
      <c r="O493" s="202"/>
      <c r="P493" s="202"/>
      <c r="Q493" s="202"/>
      <c r="R493" s="202"/>
      <c r="S493" s="202"/>
      <c r="T493" s="202"/>
    </row>
    <row r="494" spans="1:20" s="182" customFormat="1" ht="16.5" hidden="1" customHeight="1">
      <c r="A494" s="222">
        <v>45324</v>
      </c>
      <c r="B494" s="201" t="s">
        <v>576</v>
      </c>
      <c r="C494" s="208" t="s">
        <v>133</v>
      </c>
      <c r="D494" s="592">
        <v>-3628</v>
      </c>
      <c r="E494" s="212">
        <v>45323</v>
      </c>
      <c r="F494" s="291" t="s">
        <v>109</v>
      </c>
      <c r="G494" s="208" t="s">
        <v>120</v>
      </c>
      <c r="H494" s="201" t="s">
        <v>323</v>
      </c>
      <c r="I494" s="201"/>
      <c r="J494" s="202"/>
      <c r="K494" s="202"/>
      <c r="L494" s="202"/>
      <c r="M494" s="202"/>
      <c r="N494" s="202"/>
      <c r="O494" s="202"/>
      <c r="P494" s="202"/>
      <c r="Q494" s="202"/>
      <c r="R494" s="202"/>
      <c r="S494" s="202"/>
      <c r="T494" s="202"/>
    </row>
    <row r="495" spans="1:20" s="182" customFormat="1" ht="16.5" hidden="1" customHeight="1">
      <c r="A495" s="222">
        <v>45324</v>
      </c>
      <c r="B495" s="201" t="s">
        <v>575</v>
      </c>
      <c r="C495" s="208" t="s">
        <v>27</v>
      </c>
      <c r="D495" s="592">
        <v>-120928</v>
      </c>
      <c r="E495" s="212">
        <v>45323</v>
      </c>
      <c r="F495" s="291" t="s">
        <v>130</v>
      </c>
      <c r="G495" s="201" t="s">
        <v>130</v>
      </c>
      <c r="H495" s="201" t="s">
        <v>323</v>
      </c>
      <c r="I495" s="201"/>
      <c r="J495" s="202"/>
      <c r="K495" s="202"/>
      <c r="L495" s="202"/>
      <c r="M495" s="202"/>
      <c r="N495" s="202"/>
      <c r="O495" s="202"/>
      <c r="P495" s="202"/>
      <c r="Q495" s="202"/>
      <c r="R495" s="202"/>
      <c r="S495" s="202"/>
      <c r="T495" s="202"/>
    </row>
    <row r="496" spans="1:20" s="182" customFormat="1" ht="16.5" hidden="1" customHeight="1">
      <c r="A496" s="222">
        <v>45324</v>
      </c>
      <c r="B496" s="201" t="s">
        <v>577</v>
      </c>
      <c r="C496" s="208" t="s">
        <v>27</v>
      </c>
      <c r="D496" s="592">
        <v>-241100</v>
      </c>
      <c r="E496" s="212">
        <v>45323</v>
      </c>
      <c r="F496" s="291" t="s">
        <v>130</v>
      </c>
      <c r="G496" s="208" t="s">
        <v>130</v>
      </c>
      <c r="H496" s="201" t="s">
        <v>184</v>
      </c>
      <c r="I496" s="201"/>
      <c r="J496" s="202"/>
      <c r="K496" s="202"/>
      <c r="L496" s="202"/>
      <c r="M496" s="202"/>
      <c r="N496" s="202"/>
      <c r="O496" s="202"/>
      <c r="P496" s="202"/>
      <c r="Q496" s="202"/>
      <c r="R496" s="202"/>
      <c r="S496" s="202"/>
      <c r="T496" s="202"/>
    </row>
    <row r="497" spans="1:20" s="182" customFormat="1" ht="16.5" hidden="1" customHeight="1">
      <c r="A497" s="222">
        <v>45324</v>
      </c>
      <c r="B497" s="201" t="s">
        <v>578</v>
      </c>
      <c r="C497" s="208" t="s">
        <v>146</v>
      </c>
      <c r="D497" s="291">
        <v>-65000</v>
      </c>
      <c r="E497" s="212">
        <v>45323</v>
      </c>
      <c r="F497" s="291" t="s">
        <v>130</v>
      </c>
      <c r="G497" s="208" t="s">
        <v>130</v>
      </c>
      <c r="H497" s="201" t="s">
        <v>184</v>
      </c>
      <c r="I497" s="201"/>
      <c r="J497" s="202"/>
      <c r="K497" s="202"/>
      <c r="L497" s="202"/>
      <c r="M497" s="202"/>
      <c r="N497" s="202"/>
      <c r="O497" s="202"/>
      <c r="P497" s="202"/>
      <c r="Q497" s="202"/>
      <c r="R497" s="202"/>
      <c r="S497" s="202"/>
      <c r="T497" s="202"/>
    </row>
    <row r="498" spans="1:20" s="182" customFormat="1" ht="16.5" hidden="1" customHeight="1">
      <c r="A498" s="222">
        <v>45324</v>
      </c>
      <c r="B498" s="201" t="s">
        <v>579</v>
      </c>
      <c r="C498" s="208" t="s">
        <v>27</v>
      </c>
      <c r="D498" s="592">
        <v>-1100000</v>
      </c>
      <c r="E498" s="212">
        <v>45323</v>
      </c>
      <c r="F498" s="291" t="s">
        <v>109</v>
      </c>
      <c r="G498" s="208" t="s">
        <v>120</v>
      </c>
      <c r="H498" s="201"/>
      <c r="I498" s="201"/>
      <c r="J498" s="202"/>
      <c r="K498" s="202"/>
      <c r="L498" s="202"/>
      <c r="M498" s="202"/>
      <c r="N498" s="202"/>
      <c r="O498" s="202"/>
      <c r="P498" s="202"/>
      <c r="Q498" s="202"/>
      <c r="R498" s="202"/>
      <c r="S498" s="202"/>
      <c r="T498" s="202"/>
    </row>
    <row r="499" spans="1:20" s="182" customFormat="1" ht="16.5" hidden="1" customHeight="1">
      <c r="A499" s="222">
        <v>45324</v>
      </c>
      <c r="B499" s="201" t="s">
        <v>580</v>
      </c>
      <c r="C499" s="208" t="s">
        <v>27</v>
      </c>
      <c r="D499" s="800">
        <v>-176800</v>
      </c>
      <c r="E499" s="212">
        <v>45323</v>
      </c>
      <c r="F499" s="291" t="s">
        <v>109</v>
      </c>
      <c r="G499" s="201" t="s">
        <v>581</v>
      </c>
      <c r="H499" s="201"/>
      <c r="I499" s="201"/>
      <c r="J499" s="202"/>
      <c r="K499" s="202"/>
      <c r="L499" s="202"/>
      <c r="M499" s="202"/>
      <c r="N499" s="202"/>
      <c r="O499" s="202"/>
      <c r="P499" s="202"/>
      <c r="Q499" s="202"/>
      <c r="R499" s="202"/>
      <c r="S499" s="202"/>
      <c r="T499" s="202"/>
    </row>
    <row r="500" spans="1:20" s="182" customFormat="1" ht="16.5" hidden="1" customHeight="1">
      <c r="A500" s="222">
        <v>45324</v>
      </c>
      <c r="B500" s="201" t="s">
        <v>582</v>
      </c>
      <c r="C500" s="208" t="s">
        <v>27</v>
      </c>
      <c r="D500" s="800">
        <v>-176800</v>
      </c>
      <c r="E500" s="212">
        <v>45323</v>
      </c>
      <c r="F500" s="291" t="s">
        <v>109</v>
      </c>
      <c r="G500" s="201" t="s">
        <v>583</v>
      </c>
      <c r="H500" s="201"/>
      <c r="I500" s="201"/>
      <c r="J500" s="202"/>
      <c r="K500" s="202"/>
      <c r="L500" s="202"/>
      <c r="M500" s="202"/>
      <c r="N500" s="202"/>
      <c r="O500" s="202"/>
      <c r="P500" s="202"/>
      <c r="Q500" s="202"/>
      <c r="R500" s="202"/>
      <c r="S500" s="202"/>
      <c r="T500" s="202"/>
    </row>
    <row r="501" spans="1:20" s="182" customFormat="1" ht="16.5" hidden="1" customHeight="1">
      <c r="A501" s="222">
        <v>45324</v>
      </c>
      <c r="B501" s="201" t="s">
        <v>584</v>
      </c>
      <c r="C501" s="208" t="s">
        <v>27</v>
      </c>
      <c r="D501" s="592">
        <v>-630671</v>
      </c>
      <c r="E501" s="212">
        <v>45323</v>
      </c>
      <c r="F501" s="291" t="s">
        <v>109</v>
      </c>
      <c r="G501" s="208" t="s">
        <v>170</v>
      </c>
      <c r="H501" s="201" t="s">
        <v>585</v>
      </c>
      <c r="I501" s="201"/>
      <c r="J501" s="202"/>
      <c r="K501" s="202"/>
      <c r="L501" s="202"/>
      <c r="M501" s="202"/>
      <c r="N501" s="202"/>
      <c r="O501" s="202"/>
      <c r="P501" s="202"/>
      <c r="Q501" s="202"/>
      <c r="R501" s="202"/>
      <c r="S501" s="202"/>
      <c r="T501" s="202"/>
    </row>
    <row r="502" spans="1:20" s="182" customFormat="1" ht="16.5" hidden="1" customHeight="1">
      <c r="A502" s="222">
        <v>45324</v>
      </c>
      <c r="B502" s="201" t="s">
        <v>586</v>
      </c>
      <c r="C502" s="208" t="s">
        <v>27</v>
      </c>
      <c r="D502" s="592">
        <v>-1300000</v>
      </c>
      <c r="E502" s="212">
        <v>45323</v>
      </c>
      <c r="F502" s="291" t="s">
        <v>109</v>
      </c>
      <c r="G502" s="208" t="s">
        <v>120</v>
      </c>
      <c r="H502" s="208" t="s">
        <v>147</v>
      </c>
      <c r="I502" s="201"/>
      <c r="J502" s="202"/>
      <c r="K502" s="202"/>
      <c r="L502" s="202"/>
      <c r="M502" s="202"/>
      <c r="N502" s="202"/>
      <c r="O502" s="202"/>
      <c r="P502" s="202"/>
      <c r="Q502" s="202"/>
      <c r="R502" s="202"/>
      <c r="S502" s="202"/>
      <c r="T502" s="202"/>
    </row>
    <row r="503" spans="1:20" s="182" customFormat="1" ht="16.5" hidden="1" customHeight="1">
      <c r="A503" s="222">
        <v>45324</v>
      </c>
      <c r="B503" s="201" t="s">
        <v>587</v>
      </c>
      <c r="C503" s="208" t="s">
        <v>133</v>
      </c>
      <c r="D503" s="592">
        <v>-47150</v>
      </c>
      <c r="E503" s="212">
        <v>45323</v>
      </c>
      <c r="F503" s="291" t="s">
        <v>109</v>
      </c>
      <c r="G503" s="208" t="s">
        <v>120</v>
      </c>
      <c r="H503" s="208" t="s">
        <v>147</v>
      </c>
      <c r="I503" s="201"/>
      <c r="J503" s="202"/>
      <c r="K503" s="202"/>
      <c r="L503" s="202"/>
      <c r="M503" s="202"/>
      <c r="N503" s="202"/>
      <c r="O503" s="202"/>
      <c r="P503" s="202"/>
      <c r="Q503" s="202"/>
      <c r="R503" s="202"/>
      <c r="S503" s="202"/>
      <c r="T503" s="202"/>
    </row>
    <row r="504" spans="1:20" s="182" customFormat="1" ht="16.5" hidden="1" customHeight="1">
      <c r="A504" s="222">
        <v>45324</v>
      </c>
      <c r="B504" s="201" t="s">
        <v>588</v>
      </c>
      <c r="C504" s="208" t="s">
        <v>146</v>
      </c>
      <c r="D504" s="291">
        <v>-14000</v>
      </c>
      <c r="E504" s="212">
        <v>45323</v>
      </c>
      <c r="F504" s="291" t="s">
        <v>109</v>
      </c>
      <c r="G504" s="208" t="s">
        <v>383</v>
      </c>
      <c r="H504" s="81" t="s">
        <v>138</v>
      </c>
      <c r="I504" s="201"/>
      <c r="J504" s="202"/>
      <c r="K504" s="202"/>
      <c r="L504" s="202"/>
      <c r="M504" s="202"/>
      <c r="N504" s="202"/>
      <c r="O504" s="202"/>
      <c r="P504" s="202"/>
      <c r="Q504" s="202"/>
      <c r="R504" s="202"/>
      <c r="S504" s="202"/>
      <c r="T504" s="202"/>
    </row>
    <row r="505" spans="1:20" s="182" customFormat="1" ht="16.5" hidden="1" customHeight="1">
      <c r="A505" s="222">
        <v>45324</v>
      </c>
      <c r="B505" s="201" t="s">
        <v>589</v>
      </c>
      <c r="C505" s="208" t="s">
        <v>146</v>
      </c>
      <c r="D505" s="291">
        <v>-14000</v>
      </c>
      <c r="E505" s="212">
        <v>45323</v>
      </c>
      <c r="F505" s="291" t="s">
        <v>109</v>
      </c>
      <c r="G505" s="208" t="s">
        <v>383</v>
      </c>
      <c r="H505" s="81" t="s">
        <v>138</v>
      </c>
      <c r="I505" s="201"/>
      <c r="J505" s="202"/>
      <c r="K505" s="202"/>
      <c r="L505" s="202"/>
      <c r="M505" s="202"/>
      <c r="N505" s="202"/>
      <c r="O505" s="202"/>
      <c r="P505" s="202"/>
      <c r="Q505" s="202"/>
      <c r="R505" s="202"/>
      <c r="S505" s="202"/>
      <c r="T505" s="202"/>
    </row>
    <row r="506" spans="1:20" s="182" customFormat="1" ht="16.5" hidden="1" customHeight="1">
      <c r="A506" s="222">
        <v>45324</v>
      </c>
      <c r="B506" s="201" t="s">
        <v>590</v>
      </c>
      <c r="C506" s="208" t="s">
        <v>146</v>
      </c>
      <c r="D506" s="291">
        <v>-7000</v>
      </c>
      <c r="E506" s="212">
        <v>45323</v>
      </c>
      <c r="F506" s="291" t="s">
        <v>109</v>
      </c>
      <c r="G506" s="208" t="s">
        <v>120</v>
      </c>
      <c r="H506" s="81" t="s">
        <v>138</v>
      </c>
      <c r="I506" s="201" t="s">
        <v>173</v>
      </c>
      <c r="J506" s="202"/>
      <c r="K506" s="202"/>
      <c r="L506" s="202"/>
      <c r="M506" s="202"/>
      <c r="N506" s="202"/>
      <c r="O506" s="202"/>
      <c r="P506" s="202"/>
      <c r="Q506" s="202"/>
      <c r="R506" s="202"/>
      <c r="S506" s="202"/>
      <c r="T506" s="202"/>
    </row>
    <row r="507" spans="1:20" s="182" customFormat="1" ht="16.5" hidden="1" customHeight="1">
      <c r="A507" s="222">
        <v>45324</v>
      </c>
      <c r="B507" s="201" t="s">
        <v>591</v>
      </c>
      <c r="C507" s="208" t="s">
        <v>146</v>
      </c>
      <c r="D507" s="291">
        <v>-20000</v>
      </c>
      <c r="E507" s="212">
        <v>45323</v>
      </c>
      <c r="F507" s="291" t="s">
        <v>109</v>
      </c>
      <c r="G507" s="208" t="s">
        <v>120</v>
      </c>
      <c r="H507" s="81" t="s">
        <v>138</v>
      </c>
      <c r="I507" s="201" t="s">
        <v>173</v>
      </c>
      <c r="J507" s="202"/>
      <c r="K507" s="202"/>
      <c r="L507" s="202"/>
      <c r="M507" s="202"/>
      <c r="N507" s="202"/>
      <c r="O507" s="202"/>
      <c r="P507" s="202"/>
      <c r="Q507" s="202"/>
      <c r="R507" s="202"/>
      <c r="S507" s="202"/>
      <c r="T507" s="202"/>
    </row>
    <row r="508" spans="1:20" s="182" customFormat="1" ht="16.5" hidden="1" customHeight="1">
      <c r="A508" s="222">
        <v>45324</v>
      </c>
      <c r="B508" s="201" t="s">
        <v>592</v>
      </c>
      <c r="C508" s="208" t="s">
        <v>146</v>
      </c>
      <c r="D508" s="291">
        <v>-50000</v>
      </c>
      <c r="E508" s="212">
        <v>45323</v>
      </c>
      <c r="F508" s="291" t="s">
        <v>109</v>
      </c>
      <c r="G508" s="208" t="s">
        <v>120</v>
      </c>
      <c r="H508" s="81" t="s">
        <v>138</v>
      </c>
      <c r="I508" s="201" t="s">
        <v>173</v>
      </c>
      <c r="J508" s="202"/>
      <c r="K508" s="202"/>
      <c r="L508" s="202"/>
      <c r="M508" s="202"/>
      <c r="N508" s="202"/>
      <c r="O508" s="202"/>
      <c r="P508" s="202"/>
      <c r="Q508" s="202"/>
      <c r="R508" s="202"/>
      <c r="S508" s="202"/>
      <c r="T508" s="202"/>
    </row>
    <row r="509" spans="1:20" s="182" customFormat="1" ht="16.5" hidden="1" customHeight="1">
      <c r="A509" s="222">
        <v>45324</v>
      </c>
      <c r="B509" s="201" t="s">
        <v>593</v>
      </c>
      <c r="C509" s="208" t="s">
        <v>146</v>
      </c>
      <c r="D509" s="291">
        <v>-7000</v>
      </c>
      <c r="E509" s="212">
        <v>45323</v>
      </c>
      <c r="F509" s="291" t="s">
        <v>109</v>
      </c>
      <c r="G509" s="208" t="s">
        <v>120</v>
      </c>
      <c r="H509" s="81" t="s">
        <v>138</v>
      </c>
      <c r="I509" s="201" t="s">
        <v>173</v>
      </c>
      <c r="J509" s="202"/>
      <c r="K509" s="202"/>
      <c r="L509" s="202"/>
      <c r="M509" s="202"/>
      <c r="N509" s="202"/>
      <c r="O509" s="202"/>
      <c r="P509" s="202"/>
      <c r="Q509" s="202"/>
      <c r="R509" s="202"/>
      <c r="S509" s="202"/>
      <c r="T509" s="202"/>
    </row>
    <row r="510" spans="1:20" s="182" customFormat="1" ht="16.5" hidden="1" customHeight="1">
      <c r="A510" s="222">
        <v>45324</v>
      </c>
      <c r="B510" s="201" t="s">
        <v>594</v>
      </c>
      <c r="C510" s="208" t="s">
        <v>146</v>
      </c>
      <c r="D510" s="291">
        <v>-44000</v>
      </c>
      <c r="E510" s="212">
        <v>45323</v>
      </c>
      <c r="F510" s="291" t="s">
        <v>109</v>
      </c>
      <c r="G510" s="208" t="s">
        <v>383</v>
      </c>
      <c r="H510" s="208" t="s">
        <v>175</v>
      </c>
      <c r="I510" s="201" t="s">
        <v>173</v>
      </c>
      <c r="J510" s="202"/>
      <c r="K510" s="202"/>
      <c r="L510" s="202"/>
      <c r="M510" s="202"/>
      <c r="N510" s="202"/>
      <c r="O510" s="202"/>
      <c r="P510" s="202"/>
      <c r="Q510" s="202"/>
      <c r="R510" s="202"/>
      <c r="S510" s="202"/>
      <c r="T510" s="202"/>
    </row>
    <row r="511" spans="1:20" s="182" customFormat="1" ht="16.5" hidden="1" customHeight="1">
      <c r="A511" s="222">
        <v>45324</v>
      </c>
      <c r="B511" s="201" t="s">
        <v>595</v>
      </c>
      <c r="C511" s="208" t="s">
        <v>146</v>
      </c>
      <c r="D511" s="291">
        <v>-6200</v>
      </c>
      <c r="E511" s="212">
        <v>45323</v>
      </c>
      <c r="F511" s="291" t="s">
        <v>109</v>
      </c>
      <c r="G511" s="208" t="s">
        <v>383</v>
      </c>
      <c r="H511" s="81" t="s">
        <v>138</v>
      </c>
      <c r="I511" s="201" t="s">
        <v>173</v>
      </c>
      <c r="J511" s="202"/>
      <c r="K511" s="202"/>
      <c r="L511" s="202"/>
      <c r="M511" s="202"/>
      <c r="N511" s="202"/>
      <c r="O511" s="202"/>
      <c r="P511" s="202"/>
      <c r="Q511" s="202"/>
      <c r="R511" s="202"/>
      <c r="S511" s="202"/>
      <c r="T511" s="202"/>
    </row>
    <row r="512" spans="1:20" s="182" customFormat="1" ht="16.5" hidden="1" customHeight="1">
      <c r="A512" s="222">
        <v>45324</v>
      </c>
      <c r="B512" s="201" t="s">
        <v>596</v>
      </c>
      <c r="C512" s="208" t="s">
        <v>146</v>
      </c>
      <c r="D512" s="291">
        <v>-20000</v>
      </c>
      <c r="E512" s="212">
        <v>45323</v>
      </c>
      <c r="F512" s="291" t="s">
        <v>130</v>
      </c>
      <c r="G512" s="201" t="s">
        <v>130</v>
      </c>
      <c r="H512" s="81" t="s">
        <v>138</v>
      </c>
      <c r="I512" s="201" t="s">
        <v>173</v>
      </c>
      <c r="J512" s="202"/>
      <c r="K512" s="202"/>
      <c r="L512" s="202"/>
      <c r="M512" s="202"/>
      <c r="N512" s="202"/>
      <c r="O512" s="202"/>
      <c r="P512" s="202"/>
      <c r="Q512" s="202"/>
      <c r="R512" s="202"/>
      <c r="S512" s="202"/>
      <c r="T512" s="202"/>
    </row>
    <row r="513" spans="1:20" s="182" customFormat="1" ht="16.5" hidden="1" customHeight="1">
      <c r="A513" s="222">
        <v>45324</v>
      </c>
      <c r="B513" s="201" t="s">
        <v>597</v>
      </c>
      <c r="C513" s="208" t="s">
        <v>181</v>
      </c>
      <c r="D513" s="592">
        <v>2272388</v>
      </c>
      <c r="E513" s="212">
        <v>45323</v>
      </c>
      <c r="F513" s="291" t="s">
        <v>108</v>
      </c>
      <c r="G513" s="201"/>
      <c r="H513" s="201"/>
      <c r="I513" s="201"/>
      <c r="J513" s="202"/>
      <c r="K513" s="202"/>
      <c r="L513" s="202"/>
      <c r="M513" s="202"/>
      <c r="N513" s="202"/>
      <c r="O513" s="202"/>
      <c r="P513" s="202"/>
      <c r="Q513" s="202"/>
      <c r="R513" s="202"/>
      <c r="S513" s="202"/>
      <c r="T513" s="202"/>
    </row>
    <row r="514" spans="1:20" s="182" customFormat="1" ht="16.5" hidden="1" customHeight="1">
      <c r="A514" s="222">
        <v>45324</v>
      </c>
      <c r="B514" s="201" t="s">
        <v>598</v>
      </c>
      <c r="C514" s="208" t="s">
        <v>181</v>
      </c>
      <c r="D514" s="592">
        <v>1130853</v>
      </c>
      <c r="E514" s="212">
        <v>45323</v>
      </c>
      <c r="F514" s="291" t="s">
        <v>108</v>
      </c>
      <c r="G514" s="201"/>
      <c r="H514" s="201"/>
      <c r="I514" s="201"/>
      <c r="J514" s="202"/>
      <c r="K514" s="202"/>
      <c r="L514" s="202"/>
      <c r="M514" s="202"/>
      <c r="N514" s="202"/>
      <c r="O514" s="202"/>
      <c r="P514" s="202"/>
      <c r="Q514" s="202"/>
      <c r="R514" s="202"/>
      <c r="S514" s="202"/>
      <c r="T514" s="202"/>
    </row>
    <row r="515" spans="1:20" s="182" customFormat="1" ht="16.5" hidden="1" customHeight="1">
      <c r="A515" s="605">
        <v>45324</v>
      </c>
      <c r="B515" s="201" t="s">
        <v>599</v>
      </c>
      <c r="C515" s="208" t="s">
        <v>146</v>
      </c>
      <c r="D515" s="291">
        <v>-20000</v>
      </c>
      <c r="E515" s="212">
        <v>45323</v>
      </c>
      <c r="F515" s="291" t="s">
        <v>109</v>
      </c>
      <c r="G515" s="208" t="s">
        <v>120</v>
      </c>
      <c r="H515" s="201"/>
      <c r="I515" s="201" t="s">
        <v>563</v>
      </c>
      <c r="J515" s="202"/>
      <c r="K515" s="202"/>
      <c r="L515" s="202"/>
      <c r="M515" s="202"/>
      <c r="N515" s="202"/>
      <c r="O515" s="202"/>
      <c r="P515" s="202"/>
      <c r="Q515" s="202"/>
      <c r="R515" s="202"/>
      <c r="S515" s="202"/>
      <c r="T515" s="202"/>
    </row>
    <row r="516" spans="1:20" s="182" customFormat="1" ht="16.5" hidden="1" customHeight="1">
      <c r="A516" s="605">
        <v>45324</v>
      </c>
      <c r="B516" s="201" t="s">
        <v>600</v>
      </c>
      <c r="C516" s="208" t="s">
        <v>146</v>
      </c>
      <c r="D516" s="291">
        <v>-32000</v>
      </c>
      <c r="E516" s="212">
        <v>45323</v>
      </c>
      <c r="F516" s="291" t="s">
        <v>109</v>
      </c>
      <c r="G516" s="208" t="s">
        <v>120</v>
      </c>
      <c r="H516" s="201"/>
      <c r="I516" s="201" t="s">
        <v>563</v>
      </c>
      <c r="J516" s="202"/>
      <c r="K516" s="202"/>
      <c r="L516" s="202"/>
      <c r="M516" s="202"/>
      <c r="N516" s="202"/>
      <c r="O516" s="202"/>
      <c r="P516" s="202"/>
      <c r="Q516" s="202"/>
      <c r="R516" s="202"/>
      <c r="S516" s="202"/>
      <c r="T516" s="202"/>
    </row>
    <row r="517" spans="1:20" s="182" customFormat="1" ht="16.5" hidden="1" customHeight="1">
      <c r="A517" s="605">
        <v>45324</v>
      </c>
      <c r="B517" s="201" t="s">
        <v>601</v>
      </c>
      <c r="C517" s="208" t="s">
        <v>146</v>
      </c>
      <c r="D517" s="291">
        <v>-229000</v>
      </c>
      <c r="E517" s="212">
        <v>45323</v>
      </c>
      <c r="F517" s="291" t="s">
        <v>109</v>
      </c>
      <c r="G517" s="208" t="s">
        <v>120</v>
      </c>
      <c r="H517" s="201"/>
      <c r="I517" s="201" t="s">
        <v>563</v>
      </c>
      <c r="J517" s="202"/>
      <c r="K517" s="202"/>
      <c r="L517" s="202"/>
      <c r="M517" s="202"/>
      <c r="N517" s="202"/>
      <c r="O517" s="202"/>
      <c r="P517" s="202"/>
      <c r="Q517" s="202"/>
      <c r="R517" s="202"/>
      <c r="S517" s="202"/>
      <c r="T517" s="202"/>
    </row>
    <row r="518" spans="1:20" s="182" customFormat="1" ht="16.5" hidden="1" customHeight="1">
      <c r="A518" s="222">
        <v>45324</v>
      </c>
      <c r="B518" s="201" t="s">
        <v>602</v>
      </c>
      <c r="C518" s="208" t="s">
        <v>141</v>
      </c>
      <c r="D518" s="592">
        <v>-39084.949999999997</v>
      </c>
      <c r="E518" s="212">
        <v>45323</v>
      </c>
      <c r="F518" s="201" t="s">
        <v>130</v>
      </c>
      <c r="G518" s="208" t="s">
        <v>130</v>
      </c>
      <c r="H518" s="208" t="s">
        <v>143</v>
      </c>
      <c r="I518" s="201"/>
      <c r="J518" s="202"/>
      <c r="K518" s="202"/>
      <c r="L518" s="202"/>
      <c r="M518" s="202"/>
      <c r="N518" s="202"/>
      <c r="O518" s="202"/>
      <c r="P518" s="202"/>
      <c r="Q518" s="202"/>
      <c r="R518" s="202"/>
      <c r="S518" s="202"/>
      <c r="T518" s="202"/>
    </row>
    <row r="519" spans="1:20" s="182" customFormat="1" ht="16.5" hidden="1" customHeight="1">
      <c r="A519" s="222">
        <v>45324</v>
      </c>
      <c r="B519" s="201" t="s">
        <v>603</v>
      </c>
      <c r="C519" s="208" t="s">
        <v>146</v>
      </c>
      <c r="D519" s="291">
        <v>-20000</v>
      </c>
      <c r="E519" s="212">
        <v>45323</v>
      </c>
      <c r="F519" s="291" t="s">
        <v>109</v>
      </c>
      <c r="G519" s="208" t="s">
        <v>120</v>
      </c>
      <c r="H519" s="208" t="s">
        <v>147</v>
      </c>
      <c r="I519" s="201" t="s">
        <v>566</v>
      </c>
      <c r="J519" s="202"/>
      <c r="K519" s="202"/>
      <c r="L519" s="202"/>
      <c r="M519" s="202"/>
      <c r="N519" s="202"/>
      <c r="O519" s="202"/>
      <c r="P519" s="202"/>
      <c r="Q519" s="202"/>
      <c r="R519" s="202"/>
      <c r="S519" s="202"/>
      <c r="T519" s="202"/>
    </row>
    <row r="520" spans="1:20" s="182" customFormat="1" ht="16.5" hidden="1" customHeight="1">
      <c r="A520" s="222">
        <v>45324</v>
      </c>
      <c r="B520" s="201" t="s">
        <v>604</v>
      </c>
      <c r="C520" s="208" t="s">
        <v>146</v>
      </c>
      <c r="D520" s="291">
        <v>-493000</v>
      </c>
      <c r="E520" s="212">
        <v>45323</v>
      </c>
      <c r="F520" s="291" t="s">
        <v>109</v>
      </c>
      <c r="G520" s="208" t="s">
        <v>120</v>
      </c>
      <c r="H520" s="208" t="s">
        <v>175</v>
      </c>
      <c r="I520" s="201" t="s">
        <v>566</v>
      </c>
      <c r="J520" s="202"/>
      <c r="K520" s="202"/>
      <c r="L520" s="202"/>
      <c r="M520" s="202"/>
      <c r="N520" s="202"/>
      <c r="O520" s="202"/>
      <c r="P520" s="202"/>
      <c r="Q520" s="202"/>
      <c r="R520" s="202"/>
      <c r="S520" s="202"/>
      <c r="T520" s="202"/>
    </row>
    <row r="521" spans="1:20" s="182" customFormat="1" ht="16.5" hidden="1" customHeight="1">
      <c r="A521" s="222">
        <v>45324</v>
      </c>
      <c r="B521" s="201" t="s">
        <v>567</v>
      </c>
      <c r="C521" s="208" t="s">
        <v>146</v>
      </c>
      <c r="D521" s="291">
        <v>-6000</v>
      </c>
      <c r="E521" s="212">
        <v>45323</v>
      </c>
      <c r="F521" s="291" t="s">
        <v>109</v>
      </c>
      <c r="G521" s="208" t="s">
        <v>120</v>
      </c>
      <c r="H521" s="208" t="s">
        <v>147</v>
      </c>
      <c r="I521" s="201" t="s">
        <v>566</v>
      </c>
      <c r="J521" s="202"/>
      <c r="K521" s="202"/>
      <c r="L521" s="202"/>
      <c r="M521" s="202"/>
      <c r="N521" s="202"/>
      <c r="O521" s="202"/>
      <c r="P521" s="202"/>
      <c r="Q521" s="202"/>
      <c r="R521" s="202"/>
      <c r="S521" s="202"/>
      <c r="T521" s="202"/>
    </row>
    <row r="522" spans="1:20" s="182" customFormat="1" ht="16.5" hidden="1" customHeight="1">
      <c r="A522" s="222">
        <v>45324</v>
      </c>
      <c r="B522" s="201" t="s">
        <v>569</v>
      </c>
      <c r="C522" s="208" t="s">
        <v>146</v>
      </c>
      <c r="D522" s="291">
        <v>-3000</v>
      </c>
      <c r="E522" s="212">
        <v>45323</v>
      </c>
      <c r="F522" s="291" t="s">
        <v>109</v>
      </c>
      <c r="G522" s="208" t="s">
        <v>120</v>
      </c>
      <c r="H522" s="208" t="s">
        <v>147</v>
      </c>
      <c r="I522" s="201" t="s">
        <v>566</v>
      </c>
      <c r="J522" s="202"/>
      <c r="K522" s="202"/>
      <c r="L522" s="202"/>
      <c r="M522" s="202"/>
      <c r="N522" s="202"/>
      <c r="O522" s="202"/>
      <c r="P522" s="202"/>
      <c r="Q522" s="202"/>
      <c r="R522" s="202"/>
      <c r="S522" s="202"/>
      <c r="T522" s="202"/>
    </row>
    <row r="523" spans="1:20" s="182" customFormat="1" ht="16.5" hidden="1" customHeight="1">
      <c r="A523" s="222">
        <v>45324</v>
      </c>
      <c r="B523" s="201" t="s">
        <v>605</v>
      </c>
      <c r="C523" s="208" t="s">
        <v>146</v>
      </c>
      <c r="D523" s="291">
        <v>-60000</v>
      </c>
      <c r="E523" s="212">
        <v>45323</v>
      </c>
      <c r="F523" s="291" t="s">
        <v>109</v>
      </c>
      <c r="G523" s="208" t="s">
        <v>120</v>
      </c>
      <c r="H523" s="208" t="s">
        <v>147</v>
      </c>
      <c r="I523" s="201" t="s">
        <v>566</v>
      </c>
      <c r="J523" s="202"/>
      <c r="K523" s="202"/>
      <c r="L523" s="202"/>
      <c r="M523" s="202"/>
      <c r="N523" s="202"/>
      <c r="O523" s="202"/>
      <c r="P523" s="202"/>
      <c r="Q523" s="202"/>
      <c r="R523" s="202"/>
      <c r="S523" s="202"/>
      <c r="T523" s="202"/>
    </row>
    <row r="524" spans="1:20" s="182" customFormat="1" ht="16.5" hidden="1" customHeight="1">
      <c r="A524" s="222">
        <v>45324</v>
      </c>
      <c r="B524" s="201" t="s">
        <v>606</v>
      </c>
      <c r="C524" s="208" t="s">
        <v>146</v>
      </c>
      <c r="D524" s="291">
        <v>-32000</v>
      </c>
      <c r="E524" s="212">
        <v>45323</v>
      </c>
      <c r="F524" s="291" t="s">
        <v>109</v>
      </c>
      <c r="G524" s="208" t="s">
        <v>120</v>
      </c>
      <c r="H524" s="208" t="s">
        <v>175</v>
      </c>
      <c r="I524" s="201" t="s">
        <v>566</v>
      </c>
      <c r="J524" s="202"/>
      <c r="K524" s="202"/>
      <c r="L524" s="202"/>
      <c r="M524" s="202"/>
      <c r="N524" s="202"/>
      <c r="O524" s="202"/>
      <c r="P524" s="202"/>
      <c r="Q524" s="202"/>
      <c r="R524" s="202"/>
      <c r="S524" s="202"/>
      <c r="T524" s="202"/>
    </row>
    <row r="525" spans="1:20" s="182" customFormat="1" ht="16.5" hidden="1" customHeight="1">
      <c r="A525" s="222">
        <v>45324</v>
      </c>
      <c r="B525" s="201" t="s">
        <v>607</v>
      </c>
      <c r="C525" s="208" t="s">
        <v>146</v>
      </c>
      <c r="D525" s="291">
        <v>-94500</v>
      </c>
      <c r="E525" s="212">
        <v>45323</v>
      </c>
      <c r="F525" s="291" t="s">
        <v>109</v>
      </c>
      <c r="G525" s="208" t="s">
        <v>120</v>
      </c>
      <c r="H525" s="201"/>
      <c r="I525" s="201" t="s">
        <v>566</v>
      </c>
      <c r="J525" s="202"/>
      <c r="K525" s="202"/>
      <c r="L525" s="202"/>
      <c r="M525" s="202"/>
      <c r="N525" s="202"/>
      <c r="O525" s="202"/>
      <c r="P525" s="202"/>
      <c r="Q525" s="202"/>
      <c r="R525" s="202"/>
      <c r="S525" s="202"/>
      <c r="T525" s="202"/>
    </row>
    <row r="526" spans="1:20" s="182" customFormat="1" ht="16.5" hidden="1" customHeight="1">
      <c r="A526" s="222">
        <v>45324</v>
      </c>
      <c r="B526" s="201" t="s">
        <v>608</v>
      </c>
      <c r="C526" s="208" t="s">
        <v>146</v>
      </c>
      <c r="D526" s="291">
        <v>-60000</v>
      </c>
      <c r="E526" s="212">
        <v>45323</v>
      </c>
      <c r="F526" s="291" t="s">
        <v>109</v>
      </c>
      <c r="G526" s="208" t="s">
        <v>120</v>
      </c>
      <c r="H526" s="81" t="s">
        <v>138</v>
      </c>
      <c r="I526" s="201" t="s">
        <v>566</v>
      </c>
      <c r="J526" s="202"/>
      <c r="K526" s="202"/>
      <c r="L526" s="202"/>
      <c r="M526" s="202"/>
      <c r="N526" s="202"/>
      <c r="O526" s="202"/>
      <c r="P526" s="202"/>
      <c r="Q526" s="202"/>
      <c r="R526" s="202"/>
      <c r="S526" s="202"/>
      <c r="T526" s="202"/>
    </row>
    <row r="527" spans="1:20" s="182" customFormat="1" ht="16.5" hidden="1" customHeight="1">
      <c r="A527" s="222">
        <v>45324</v>
      </c>
      <c r="B527" s="201" t="s">
        <v>567</v>
      </c>
      <c r="C527" s="208" t="s">
        <v>146</v>
      </c>
      <c r="D527" s="291">
        <v>-6000</v>
      </c>
      <c r="E527" s="212">
        <v>45323</v>
      </c>
      <c r="F527" s="291" t="s">
        <v>109</v>
      </c>
      <c r="G527" s="208" t="s">
        <v>120</v>
      </c>
      <c r="H527" s="208" t="s">
        <v>147</v>
      </c>
      <c r="I527" s="201" t="s">
        <v>566</v>
      </c>
      <c r="J527" s="202"/>
      <c r="K527" s="202"/>
      <c r="L527" s="202"/>
      <c r="M527" s="202"/>
      <c r="N527" s="202"/>
      <c r="O527" s="202"/>
      <c r="P527" s="202"/>
      <c r="Q527" s="202"/>
      <c r="R527" s="202"/>
      <c r="S527" s="202"/>
      <c r="T527" s="202"/>
    </row>
    <row r="528" spans="1:20" s="182" customFormat="1" ht="16.5" hidden="1" customHeight="1">
      <c r="A528" s="222">
        <v>45324</v>
      </c>
      <c r="B528" s="201" t="s">
        <v>609</v>
      </c>
      <c r="C528" s="208" t="s">
        <v>146</v>
      </c>
      <c r="D528" s="291">
        <v>-20000</v>
      </c>
      <c r="E528" s="212">
        <v>45323</v>
      </c>
      <c r="F528" s="291" t="s">
        <v>109</v>
      </c>
      <c r="G528" s="208" t="s">
        <v>120</v>
      </c>
      <c r="H528" s="208" t="s">
        <v>147</v>
      </c>
      <c r="I528" s="201" t="s">
        <v>566</v>
      </c>
      <c r="J528" s="202"/>
      <c r="K528" s="202"/>
      <c r="L528" s="202"/>
      <c r="M528" s="202"/>
      <c r="N528" s="202"/>
      <c r="O528" s="202"/>
      <c r="P528" s="202"/>
      <c r="Q528" s="202"/>
      <c r="R528" s="202"/>
      <c r="S528" s="202"/>
      <c r="T528" s="202"/>
    </row>
    <row r="529" spans="1:20" s="182" customFormat="1" ht="16.5" hidden="1" customHeight="1">
      <c r="A529" s="222">
        <v>45324</v>
      </c>
      <c r="B529" s="201" t="s">
        <v>610</v>
      </c>
      <c r="C529" s="208" t="s">
        <v>146</v>
      </c>
      <c r="D529" s="291">
        <v>-20000</v>
      </c>
      <c r="E529" s="212">
        <v>45323</v>
      </c>
      <c r="F529" s="291" t="s">
        <v>109</v>
      </c>
      <c r="G529" s="208" t="s">
        <v>120</v>
      </c>
      <c r="H529" s="208" t="s">
        <v>147</v>
      </c>
      <c r="I529" s="201" t="s">
        <v>566</v>
      </c>
      <c r="J529" s="202"/>
      <c r="K529" s="202">
        <v>1072436</v>
      </c>
      <c r="L529" s="202"/>
      <c r="M529" s="202"/>
      <c r="N529" s="202"/>
      <c r="O529" s="202"/>
      <c r="P529" s="202"/>
      <c r="Q529" s="202"/>
      <c r="R529" s="202"/>
      <c r="S529" s="202"/>
      <c r="T529" s="202"/>
    </row>
    <row r="530" spans="1:20" s="182" customFormat="1" ht="16.5" hidden="1" customHeight="1">
      <c r="A530" s="222">
        <v>45324</v>
      </c>
      <c r="B530" s="201" t="s">
        <v>611</v>
      </c>
      <c r="C530" s="208" t="s">
        <v>146</v>
      </c>
      <c r="D530" s="291">
        <v>-2000</v>
      </c>
      <c r="E530" s="212">
        <v>45323</v>
      </c>
      <c r="F530" s="291" t="s">
        <v>109</v>
      </c>
      <c r="G530" s="208" t="s">
        <v>120</v>
      </c>
      <c r="H530" s="208" t="s">
        <v>175</v>
      </c>
      <c r="I530" s="201" t="s">
        <v>566</v>
      </c>
      <c r="J530" s="202"/>
      <c r="K530" s="202"/>
      <c r="L530" s="202"/>
      <c r="M530" s="202"/>
      <c r="N530" s="202"/>
      <c r="O530" s="202"/>
      <c r="P530" s="202"/>
      <c r="Q530" s="202"/>
      <c r="R530" s="202"/>
      <c r="S530" s="202"/>
      <c r="T530" s="202"/>
    </row>
    <row r="531" spans="1:20" s="182" customFormat="1" ht="16.5" hidden="1" customHeight="1">
      <c r="A531" s="222">
        <v>45324</v>
      </c>
      <c r="B531" s="201" t="s">
        <v>612</v>
      </c>
      <c r="C531" s="208" t="s">
        <v>146</v>
      </c>
      <c r="D531" s="291">
        <v>-10000</v>
      </c>
      <c r="E531" s="212">
        <v>45323</v>
      </c>
      <c r="F531" s="291" t="s">
        <v>109</v>
      </c>
      <c r="G531" s="208" t="s">
        <v>120</v>
      </c>
      <c r="H531" s="208" t="s">
        <v>147</v>
      </c>
      <c r="I531" s="201" t="s">
        <v>566</v>
      </c>
      <c r="J531" s="202"/>
      <c r="K531" s="202"/>
      <c r="L531" s="202"/>
      <c r="M531" s="202"/>
      <c r="N531" s="202"/>
      <c r="O531" s="202"/>
      <c r="P531" s="202"/>
      <c r="Q531" s="202"/>
      <c r="R531" s="202"/>
      <c r="S531" s="202"/>
      <c r="T531" s="202"/>
    </row>
    <row r="532" spans="1:20" s="182" customFormat="1" ht="16.5" hidden="1" customHeight="1">
      <c r="A532" s="222">
        <v>45324</v>
      </c>
      <c r="B532" s="201" t="s">
        <v>613</v>
      </c>
      <c r="C532" s="208" t="s">
        <v>146</v>
      </c>
      <c r="D532" s="291">
        <v>-43000</v>
      </c>
      <c r="E532" s="212">
        <v>45323</v>
      </c>
      <c r="F532" s="291" t="s">
        <v>109</v>
      </c>
      <c r="G532" s="208" t="s">
        <v>120</v>
      </c>
      <c r="H532" s="208" t="s">
        <v>147</v>
      </c>
      <c r="I532" s="201" t="s">
        <v>566</v>
      </c>
      <c r="J532" s="202"/>
      <c r="K532" s="202"/>
      <c r="L532" s="202"/>
      <c r="M532" s="202"/>
      <c r="N532" s="202"/>
      <c r="O532" s="202"/>
      <c r="P532" s="202"/>
      <c r="Q532" s="202"/>
      <c r="R532" s="202"/>
      <c r="S532" s="202"/>
      <c r="T532" s="202"/>
    </row>
    <row r="533" spans="1:20" s="182" customFormat="1" ht="16.5" hidden="1" customHeight="1">
      <c r="A533" s="222">
        <v>45324</v>
      </c>
      <c r="B533" s="201" t="s">
        <v>614</v>
      </c>
      <c r="C533" s="208" t="s">
        <v>146</v>
      </c>
      <c r="D533" s="291">
        <v>-120000</v>
      </c>
      <c r="E533" s="212">
        <v>45323</v>
      </c>
      <c r="F533" s="291" t="s">
        <v>109</v>
      </c>
      <c r="G533" s="208" t="s">
        <v>120</v>
      </c>
      <c r="H533" s="81" t="s">
        <v>138</v>
      </c>
      <c r="I533" s="201" t="s">
        <v>566</v>
      </c>
      <c r="J533" s="202"/>
      <c r="K533" s="202"/>
      <c r="L533" s="202"/>
      <c r="M533" s="202"/>
      <c r="N533" s="202"/>
      <c r="O533" s="202"/>
      <c r="P533" s="202"/>
      <c r="Q533" s="202"/>
      <c r="R533" s="202"/>
      <c r="S533" s="202"/>
      <c r="T533" s="202"/>
    </row>
    <row r="534" spans="1:20" s="182" customFormat="1" ht="16.5" hidden="1" customHeight="1">
      <c r="A534" s="222">
        <v>45324</v>
      </c>
      <c r="B534" s="201" t="s">
        <v>605</v>
      </c>
      <c r="C534" s="208" t="s">
        <v>146</v>
      </c>
      <c r="D534" s="291">
        <v>-60000</v>
      </c>
      <c r="E534" s="212">
        <v>45323</v>
      </c>
      <c r="F534" s="291" t="s">
        <v>109</v>
      </c>
      <c r="G534" s="208" t="s">
        <v>120</v>
      </c>
      <c r="H534" s="208" t="s">
        <v>147</v>
      </c>
      <c r="I534" s="201" t="s">
        <v>566</v>
      </c>
      <c r="J534" s="202"/>
      <c r="K534" s="202"/>
      <c r="L534" s="202"/>
      <c r="M534" s="202"/>
      <c r="N534" s="202"/>
      <c r="O534" s="202"/>
      <c r="P534" s="202"/>
      <c r="Q534" s="202"/>
      <c r="R534" s="202"/>
      <c r="S534" s="202"/>
      <c r="T534" s="202"/>
    </row>
    <row r="535" spans="1:20" s="182" customFormat="1" ht="16.5" hidden="1" customHeight="1">
      <c r="A535" s="222">
        <v>45324</v>
      </c>
      <c r="B535" s="201" t="s">
        <v>615</v>
      </c>
      <c r="C535" s="208" t="s">
        <v>27</v>
      </c>
      <c r="D535" s="592">
        <v>-13900</v>
      </c>
      <c r="E535" s="212">
        <v>45323</v>
      </c>
      <c r="F535" s="201" t="s">
        <v>109</v>
      </c>
      <c r="G535" s="208" t="s">
        <v>120</v>
      </c>
      <c r="H535" s="208" t="s">
        <v>147</v>
      </c>
      <c r="I535" s="201"/>
      <c r="J535" s="202"/>
      <c r="K535" s="202"/>
      <c r="L535" s="202"/>
      <c r="M535" s="202"/>
      <c r="N535" s="202"/>
      <c r="O535" s="202"/>
      <c r="P535" s="202"/>
      <c r="Q535" s="202"/>
      <c r="R535" s="202"/>
      <c r="S535" s="202"/>
      <c r="T535" s="202"/>
    </row>
    <row r="536" spans="1:20" s="182" customFormat="1" ht="16.5" hidden="1" customHeight="1">
      <c r="A536" s="222">
        <v>45325</v>
      </c>
      <c r="B536" s="201" t="s">
        <v>616</v>
      </c>
      <c r="C536" s="208" t="s">
        <v>146</v>
      </c>
      <c r="D536" s="291">
        <v>-160050</v>
      </c>
      <c r="E536" s="212">
        <v>45323</v>
      </c>
      <c r="F536" s="291" t="s">
        <v>109</v>
      </c>
      <c r="G536" s="208" t="s">
        <v>120</v>
      </c>
      <c r="H536" s="81" t="s">
        <v>138</v>
      </c>
      <c r="I536" s="201" t="s">
        <v>566</v>
      </c>
      <c r="J536" s="202"/>
      <c r="K536" s="202"/>
      <c r="L536" s="202"/>
      <c r="M536" s="202"/>
      <c r="N536" s="202"/>
      <c r="O536" s="202"/>
      <c r="P536" s="202"/>
      <c r="Q536" s="202"/>
      <c r="R536" s="202"/>
      <c r="S536" s="202"/>
      <c r="T536" s="202"/>
    </row>
    <row r="537" spans="1:20" s="182" customFormat="1" ht="16.5" hidden="1" customHeight="1">
      <c r="A537" s="222">
        <v>45325</v>
      </c>
      <c r="B537" s="201" t="s">
        <v>617</v>
      </c>
      <c r="C537" s="208" t="s">
        <v>146</v>
      </c>
      <c r="D537" s="291">
        <v>-40600</v>
      </c>
      <c r="E537" s="212">
        <v>45323</v>
      </c>
      <c r="F537" s="291" t="s">
        <v>109</v>
      </c>
      <c r="G537" s="208" t="s">
        <v>120</v>
      </c>
      <c r="H537" s="208" t="s">
        <v>175</v>
      </c>
      <c r="I537" s="201" t="s">
        <v>566</v>
      </c>
      <c r="J537" s="202"/>
      <c r="K537" s="202"/>
      <c r="L537" s="202"/>
      <c r="M537" s="202"/>
      <c r="N537" s="202"/>
      <c r="O537" s="202"/>
      <c r="P537" s="202"/>
      <c r="Q537" s="202"/>
      <c r="R537" s="202"/>
      <c r="S537" s="202"/>
      <c r="T537" s="202"/>
    </row>
    <row r="538" spans="1:20" s="182" customFormat="1" ht="16.5" hidden="1" customHeight="1">
      <c r="A538" s="222">
        <v>45325</v>
      </c>
      <c r="B538" s="201" t="s">
        <v>618</v>
      </c>
      <c r="C538" s="208" t="s">
        <v>146</v>
      </c>
      <c r="D538" s="291">
        <v>-238000</v>
      </c>
      <c r="E538" s="212">
        <v>45323</v>
      </c>
      <c r="F538" s="291" t="s">
        <v>109</v>
      </c>
      <c r="G538" s="208" t="s">
        <v>120</v>
      </c>
      <c r="H538" s="208" t="s">
        <v>175</v>
      </c>
      <c r="I538" s="201" t="s">
        <v>566</v>
      </c>
      <c r="J538" s="202"/>
      <c r="K538" s="202"/>
      <c r="L538" s="202"/>
      <c r="M538" s="202"/>
      <c r="N538" s="202"/>
      <c r="O538" s="202"/>
      <c r="P538" s="202"/>
      <c r="Q538" s="202"/>
      <c r="R538" s="202"/>
      <c r="S538" s="202"/>
      <c r="T538" s="202"/>
    </row>
    <row r="539" spans="1:20" s="182" customFormat="1" ht="16.5" hidden="1" customHeight="1">
      <c r="A539" s="222">
        <v>45325</v>
      </c>
      <c r="B539" s="201" t="s">
        <v>619</v>
      </c>
      <c r="C539" s="208" t="s">
        <v>146</v>
      </c>
      <c r="D539" s="291">
        <v>-93500</v>
      </c>
      <c r="E539" s="212">
        <v>45323</v>
      </c>
      <c r="F539" s="291" t="s">
        <v>109</v>
      </c>
      <c r="G539" s="208" t="s">
        <v>120</v>
      </c>
      <c r="H539" s="208" t="s">
        <v>175</v>
      </c>
      <c r="I539" s="201" t="s">
        <v>566</v>
      </c>
      <c r="J539" s="202"/>
      <c r="K539" s="202"/>
      <c r="L539" s="202"/>
      <c r="M539" s="202"/>
      <c r="N539" s="202"/>
      <c r="O539" s="202"/>
      <c r="P539" s="202"/>
      <c r="Q539" s="202"/>
      <c r="R539" s="202"/>
      <c r="S539" s="202"/>
      <c r="T539" s="202"/>
    </row>
    <row r="540" spans="1:20" s="182" customFormat="1" ht="16.5" hidden="1" customHeight="1">
      <c r="A540" s="222">
        <v>45325</v>
      </c>
      <c r="B540" s="201" t="s">
        <v>620</v>
      </c>
      <c r="C540" s="208" t="s">
        <v>146</v>
      </c>
      <c r="D540" s="291">
        <v>-20000</v>
      </c>
      <c r="E540" s="212">
        <v>45323</v>
      </c>
      <c r="F540" s="291" t="s">
        <v>109</v>
      </c>
      <c r="G540" s="208" t="s">
        <v>120</v>
      </c>
      <c r="H540" s="208" t="s">
        <v>147</v>
      </c>
      <c r="I540" s="201" t="s">
        <v>566</v>
      </c>
      <c r="J540" s="202"/>
      <c r="K540" s="202"/>
      <c r="L540" s="202"/>
      <c r="M540" s="202"/>
      <c r="N540" s="202"/>
      <c r="O540" s="202"/>
      <c r="P540" s="202"/>
      <c r="Q540" s="202"/>
      <c r="R540" s="202"/>
      <c r="S540" s="202"/>
      <c r="T540" s="202"/>
    </row>
    <row r="541" spans="1:20" s="182" customFormat="1" ht="16.5" hidden="1" customHeight="1">
      <c r="A541" s="222">
        <v>45325</v>
      </c>
      <c r="B541" s="201" t="s">
        <v>551</v>
      </c>
      <c r="C541" s="208" t="s">
        <v>146</v>
      </c>
      <c r="D541" s="291">
        <v>-120000</v>
      </c>
      <c r="E541" s="212">
        <v>45323</v>
      </c>
      <c r="F541" s="291" t="s">
        <v>109</v>
      </c>
      <c r="G541" s="208" t="s">
        <v>383</v>
      </c>
      <c r="H541" s="81" t="s">
        <v>138</v>
      </c>
      <c r="I541" s="201" t="s">
        <v>173</v>
      </c>
      <c r="J541" s="202"/>
      <c r="K541" s="202"/>
      <c r="L541" s="202"/>
      <c r="M541" s="202"/>
      <c r="N541" s="202"/>
      <c r="O541" s="202"/>
      <c r="P541" s="202"/>
      <c r="Q541" s="202"/>
      <c r="R541" s="202"/>
      <c r="S541" s="202"/>
      <c r="T541" s="202"/>
    </row>
    <row r="542" spans="1:20" s="182" customFormat="1" ht="16.5" hidden="1" customHeight="1">
      <c r="A542" s="605">
        <v>45325</v>
      </c>
      <c r="B542" s="201" t="s">
        <v>621</v>
      </c>
      <c r="C542" s="208" t="s">
        <v>146</v>
      </c>
      <c r="D542" s="291">
        <v>-13000</v>
      </c>
      <c r="E542" s="212">
        <v>45323</v>
      </c>
      <c r="F542" s="291" t="s">
        <v>109</v>
      </c>
      <c r="G542" s="208" t="s">
        <v>120</v>
      </c>
      <c r="H542" s="201"/>
      <c r="I542" s="201" t="s">
        <v>563</v>
      </c>
      <c r="J542" s="202"/>
      <c r="K542" s="202"/>
      <c r="L542" s="202"/>
      <c r="M542" s="202"/>
      <c r="N542" s="202"/>
      <c r="O542" s="202"/>
      <c r="P542" s="202"/>
      <c r="Q542" s="202"/>
      <c r="R542" s="202"/>
      <c r="S542" s="202"/>
      <c r="T542" s="202"/>
    </row>
    <row r="543" spans="1:20" s="182" customFormat="1" ht="16.5" hidden="1" customHeight="1">
      <c r="A543" s="605">
        <v>45325</v>
      </c>
      <c r="B543" s="201" t="s">
        <v>622</v>
      </c>
      <c r="C543" s="208" t="s">
        <v>146</v>
      </c>
      <c r="D543" s="291">
        <v>-131000</v>
      </c>
      <c r="E543" s="212">
        <v>45323</v>
      </c>
      <c r="F543" s="291" t="s">
        <v>109</v>
      </c>
      <c r="G543" s="208" t="s">
        <v>120</v>
      </c>
      <c r="H543" s="201"/>
      <c r="I543" s="201" t="s">
        <v>563</v>
      </c>
      <c r="J543" s="202"/>
      <c r="K543" s="202"/>
      <c r="L543" s="202"/>
      <c r="M543" s="202"/>
      <c r="N543" s="202"/>
      <c r="O543" s="202"/>
      <c r="P543" s="202"/>
      <c r="Q543" s="202"/>
      <c r="R543" s="202"/>
      <c r="S543" s="202"/>
      <c r="T543" s="202"/>
    </row>
    <row r="544" spans="1:20" s="182" customFormat="1" ht="16.5" hidden="1" customHeight="1">
      <c r="A544" s="222">
        <v>45325</v>
      </c>
      <c r="B544" s="201" t="s">
        <v>567</v>
      </c>
      <c r="C544" s="208" t="s">
        <v>146</v>
      </c>
      <c r="D544" s="291">
        <v>-6000</v>
      </c>
      <c r="E544" s="212">
        <v>45323</v>
      </c>
      <c r="F544" s="291" t="s">
        <v>109</v>
      </c>
      <c r="G544" s="208" t="s">
        <v>120</v>
      </c>
      <c r="H544" s="208" t="s">
        <v>147</v>
      </c>
      <c r="I544" s="201" t="s">
        <v>566</v>
      </c>
      <c r="J544" s="202"/>
      <c r="K544" s="202"/>
      <c r="L544" s="202"/>
      <c r="M544" s="202"/>
      <c r="N544" s="202"/>
      <c r="O544" s="202"/>
      <c r="P544" s="202"/>
      <c r="Q544" s="202"/>
      <c r="R544" s="202"/>
      <c r="S544" s="202"/>
      <c r="T544" s="202"/>
    </row>
    <row r="545" spans="1:20" s="182" customFormat="1" ht="16.5" hidden="1" customHeight="1">
      <c r="A545" s="222">
        <v>45325</v>
      </c>
      <c r="B545" s="201" t="s">
        <v>623</v>
      </c>
      <c r="C545" s="208" t="s">
        <v>146</v>
      </c>
      <c r="D545" s="291">
        <v>-40000</v>
      </c>
      <c r="E545" s="212">
        <v>45323</v>
      </c>
      <c r="F545" s="291" t="s">
        <v>109</v>
      </c>
      <c r="G545" s="208" t="s">
        <v>120</v>
      </c>
      <c r="H545" s="81" t="s">
        <v>138</v>
      </c>
      <c r="I545" s="201" t="s">
        <v>566</v>
      </c>
      <c r="J545" s="202"/>
      <c r="K545" s="202"/>
      <c r="L545" s="202"/>
      <c r="M545" s="202"/>
      <c r="N545" s="202"/>
      <c r="O545" s="202"/>
      <c r="P545" s="202"/>
      <c r="Q545" s="202"/>
      <c r="R545" s="202"/>
      <c r="S545" s="202"/>
      <c r="T545" s="202"/>
    </row>
    <row r="546" spans="1:20" s="182" customFormat="1" ht="16.5" hidden="1" customHeight="1">
      <c r="A546" s="222">
        <v>45325</v>
      </c>
      <c r="B546" s="201" t="s">
        <v>624</v>
      </c>
      <c r="C546" s="208" t="s">
        <v>146</v>
      </c>
      <c r="D546" s="291">
        <v>-30000</v>
      </c>
      <c r="E546" s="212">
        <v>45323</v>
      </c>
      <c r="F546" s="291" t="s">
        <v>109</v>
      </c>
      <c r="G546" s="208" t="s">
        <v>120</v>
      </c>
      <c r="H546" s="208" t="s">
        <v>175</v>
      </c>
      <c r="I546" s="201" t="s">
        <v>566</v>
      </c>
      <c r="J546" s="202"/>
      <c r="K546" s="202"/>
      <c r="L546" s="202"/>
      <c r="M546" s="202"/>
      <c r="N546" s="202"/>
      <c r="O546" s="202"/>
      <c r="P546" s="202"/>
      <c r="Q546" s="202"/>
      <c r="R546" s="202"/>
      <c r="S546" s="202"/>
      <c r="T546" s="202"/>
    </row>
    <row r="547" spans="1:20" s="182" customFormat="1" ht="16.5" hidden="1" customHeight="1">
      <c r="A547" s="222">
        <v>45325</v>
      </c>
      <c r="B547" s="201" t="s">
        <v>625</v>
      </c>
      <c r="C547" s="208" t="s">
        <v>146</v>
      </c>
      <c r="D547" s="291">
        <v>-43000</v>
      </c>
      <c r="E547" s="212">
        <v>45323</v>
      </c>
      <c r="F547" s="291" t="s">
        <v>109</v>
      </c>
      <c r="G547" s="208" t="s">
        <v>120</v>
      </c>
      <c r="H547" s="208" t="s">
        <v>147</v>
      </c>
      <c r="I547" s="201" t="s">
        <v>566</v>
      </c>
      <c r="J547" s="202"/>
      <c r="K547" s="202"/>
      <c r="L547" s="202"/>
      <c r="M547" s="202"/>
      <c r="N547" s="202"/>
      <c r="O547" s="202"/>
      <c r="P547" s="202"/>
      <c r="Q547" s="202"/>
      <c r="R547" s="202"/>
      <c r="S547" s="202"/>
      <c r="T547" s="202"/>
    </row>
    <row r="548" spans="1:20" s="182" customFormat="1" ht="16.5" hidden="1" customHeight="1">
      <c r="A548" s="605">
        <v>45326</v>
      </c>
      <c r="B548" s="201" t="s">
        <v>626</v>
      </c>
      <c r="C548" s="208" t="s">
        <v>146</v>
      </c>
      <c r="D548" s="291">
        <v>-13000</v>
      </c>
      <c r="E548" s="212">
        <v>45323</v>
      </c>
      <c r="F548" s="291" t="s">
        <v>109</v>
      </c>
      <c r="G548" s="208" t="s">
        <v>120</v>
      </c>
      <c r="H548" s="201"/>
      <c r="I548" s="201" t="s">
        <v>563</v>
      </c>
      <c r="J548" s="202"/>
      <c r="K548" s="202"/>
      <c r="L548" s="202"/>
      <c r="M548" s="202"/>
      <c r="N548" s="202"/>
      <c r="O548" s="202"/>
      <c r="P548" s="202"/>
      <c r="Q548" s="202"/>
      <c r="R548" s="202"/>
      <c r="S548" s="202"/>
      <c r="T548" s="202"/>
    </row>
    <row r="549" spans="1:20" s="182" customFormat="1" ht="16.5" hidden="1" customHeight="1">
      <c r="A549" s="605">
        <v>45326</v>
      </c>
      <c r="B549" s="201" t="s">
        <v>627</v>
      </c>
      <c r="C549" s="208" t="s">
        <v>146</v>
      </c>
      <c r="D549" s="291">
        <v>-27014</v>
      </c>
      <c r="E549" s="212">
        <v>45323</v>
      </c>
      <c r="F549" s="291" t="s">
        <v>109</v>
      </c>
      <c r="G549" s="208" t="s">
        <v>120</v>
      </c>
      <c r="H549" s="201"/>
      <c r="I549" s="201" t="s">
        <v>563</v>
      </c>
      <c r="J549" s="202"/>
      <c r="K549" s="202"/>
      <c r="L549" s="202"/>
      <c r="M549" s="202"/>
      <c r="N549" s="202"/>
      <c r="O549" s="202"/>
      <c r="P549" s="202"/>
      <c r="Q549" s="202"/>
      <c r="R549" s="202"/>
      <c r="S549" s="202"/>
      <c r="T549" s="202"/>
    </row>
    <row r="550" spans="1:20" s="182" customFormat="1" ht="14.15" hidden="1">
      <c r="A550" s="222">
        <v>45327</v>
      </c>
      <c r="B550" s="201" t="s">
        <v>628</v>
      </c>
      <c r="C550" s="208" t="s">
        <v>146</v>
      </c>
      <c r="D550" s="291">
        <v>-6000</v>
      </c>
      <c r="E550" s="212">
        <v>45323</v>
      </c>
      <c r="F550" s="208" t="s">
        <v>207</v>
      </c>
      <c r="G550" s="81" t="s">
        <v>227</v>
      </c>
      <c r="H550" s="81" t="s">
        <v>138</v>
      </c>
      <c r="I550" s="201"/>
      <c r="J550" s="202"/>
      <c r="K550" s="202"/>
      <c r="L550" s="202"/>
      <c r="M550" s="202"/>
      <c r="N550" s="202"/>
      <c r="O550" s="202"/>
      <c r="P550" s="202"/>
      <c r="Q550" s="202"/>
      <c r="R550" s="202"/>
      <c r="S550" s="202"/>
      <c r="T550" s="202"/>
    </row>
    <row r="551" spans="1:20" s="182" customFormat="1" ht="14.15" hidden="1">
      <c r="A551" s="222">
        <v>45327</v>
      </c>
      <c r="B551" s="201" t="s">
        <v>629</v>
      </c>
      <c r="C551" s="208" t="s">
        <v>146</v>
      </c>
      <c r="D551" s="291">
        <v>-14000</v>
      </c>
      <c r="E551" s="212">
        <v>45323</v>
      </c>
      <c r="F551" s="291" t="s">
        <v>207</v>
      </c>
      <c r="G551" s="208" t="s">
        <v>494</v>
      </c>
      <c r="H551" s="81" t="s">
        <v>138</v>
      </c>
      <c r="I551" s="201"/>
      <c r="J551" s="202"/>
      <c r="K551" s="202"/>
      <c r="L551" s="202"/>
      <c r="M551" s="202"/>
      <c r="N551" s="202"/>
      <c r="O551" s="202"/>
      <c r="P551" s="202"/>
      <c r="Q551" s="202"/>
      <c r="R551" s="202"/>
      <c r="S551" s="202"/>
      <c r="T551" s="202"/>
    </row>
    <row r="552" spans="1:20" s="182" customFormat="1" ht="14.15" hidden="1">
      <c r="A552" s="222">
        <v>45327</v>
      </c>
      <c r="B552" s="201" t="s">
        <v>630</v>
      </c>
      <c r="C552" s="208" t="s">
        <v>27</v>
      </c>
      <c r="D552" s="592">
        <v>-3877200</v>
      </c>
      <c r="E552" s="212">
        <v>45323</v>
      </c>
      <c r="F552" s="208" t="s">
        <v>109</v>
      </c>
      <c r="G552" s="208" t="s">
        <v>137</v>
      </c>
      <c r="H552" s="201" t="s">
        <v>631</v>
      </c>
      <c r="I552" s="201"/>
      <c r="J552" s="202"/>
      <c r="K552" s="202"/>
      <c r="L552" s="202"/>
      <c r="M552" s="202"/>
      <c r="N552" s="202"/>
      <c r="O552" s="202"/>
      <c r="P552" s="202"/>
      <c r="Q552" s="202"/>
      <c r="R552" s="202"/>
      <c r="S552" s="202"/>
      <c r="T552" s="202"/>
    </row>
    <row r="553" spans="1:20" s="182" customFormat="1" ht="14.15" hidden="1">
      <c r="A553" s="222">
        <v>45327</v>
      </c>
      <c r="B553" s="201" t="s">
        <v>545</v>
      </c>
      <c r="C553" s="208" t="s">
        <v>27</v>
      </c>
      <c r="D553" s="592">
        <v>-267500</v>
      </c>
      <c r="E553" s="212">
        <v>45323</v>
      </c>
      <c r="F553" s="291" t="s">
        <v>109</v>
      </c>
      <c r="G553" s="208" t="s">
        <v>120</v>
      </c>
      <c r="H553" s="208" t="s">
        <v>175</v>
      </c>
      <c r="I553" s="201"/>
      <c r="J553" s="202"/>
      <c r="K553" s="202"/>
      <c r="L553" s="202"/>
      <c r="M553" s="202"/>
      <c r="N553" s="202"/>
      <c r="O553" s="202"/>
      <c r="P553" s="202"/>
      <c r="Q553" s="202"/>
      <c r="R553" s="202"/>
      <c r="S553" s="202"/>
      <c r="T553" s="202"/>
    </row>
    <row r="554" spans="1:20" s="182" customFormat="1" ht="14.15" hidden="1">
      <c r="A554" s="222">
        <v>45327</v>
      </c>
      <c r="B554" s="201" t="s">
        <v>632</v>
      </c>
      <c r="C554" s="208" t="s">
        <v>27</v>
      </c>
      <c r="D554" s="800">
        <v>-1800000</v>
      </c>
      <c r="E554" s="212">
        <v>45323</v>
      </c>
      <c r="F554" s="291" t="s">
        <v>109</v>
      </c>
      <c r="G554" s="201" t="s">
        <v>581</v>
      </c>
      <c r="H554" s="201"/>
      <c r="I554" s="201"/>
      <c r="J554" s="202"/>
      <c r="K554" s="202"/>
      <c r="L554" s="202"/>
      <c r="M554" s="202"/>
      <c r="N554" s="202"/>
      <c r="O554" s="202"/>
      <c r="P554" s="202"/>
      <c r="Q554" s="202"/>
      <c r="R554" s="202"/>
      <c r="S554" s="202"/>
      <c r="T554" s="202"/>
    </row>
    <row r="555" spans="1:20" s="182" customFormat="1" ht="14.15" hidden="1">
      <c r="A555" s="222">
        <v>45327</v>
      </c>
      <c r="B555" s="201" t="s">
        <v>633</v>
      </c>
      <c r="C555" s="208" t="s">
        <v>27</v>
      </c>
      <c r="D555" s="592">
        <v>-1422293</v>
      </c>
      <c r="E555" s="212">
        <v>45323</v>
      </c>
      <c r="F555" s="291" t="s">
        <v>130</v>
      </c>
      <c r="G555" s="201" t="s">
        <v>130</v>
      </c>
      <c r="H555" s="201" t="s">
        <v>323</v>
      </c>
      <c r="I555" s="201"/>
      <c r="J555" s="202"/>
      <c r="K555" s="202"/>
      <c r="L555" s="202"/>
      <c r="M555" s="202"/>
      <c r="N555" s="202"/>
      <c r="O555" s="202"/>
      <c r="P555" s="202"/>
      <c r="Q555" s="202"/>
      <c r="R555" s="202"/>
      <c r="S555" s="202"/>
      <c r="T555" s="202"/>
    </row>
    <row r="556" spans="1:20" s="182" customFormat="1" ht="14.15" hidden="1">
      <c r="A556" s="222">
        <v>45327</v>
      </c>
      <c r="B556" s="201" t="s">
        <v>634</v>
      </c>
      <c r="C556" s="208" t="s">
        <v>27</v>
      </c>
      <c r="D556" s="592">
        <v>-2000000</v>
      </c>
      <c r="E556" s="212">
        <v>45323</v>
      </c>
      <c r="F556" s="291" t="s">
        <v>109</v>
      </c>
      <c r="G556" s="208" t="s">
        <v>120</v>
      </c>
      <c r="H556" s="201"/>
      <c r="I556" s="201"/>
      <c r="J556" s="202"/>
      <c r="K556" s="202"/>
      <c r="L556" s="202"/>
      <c r="M556" s="202"/>
      <c r="N556" s="202"/>
      <c r="O556" s="202"/>
      <c r="P556" s="202"/>
      <c r="Q556" s="202"/>
      <c r="R556" s="202"/>
      <c r="S556" s="202"/>
      <c r="T556" s="202"/>
    </row>
    <row r="557" spans="1:20" s="182" customFormat="1" ht="14.15" hidden="1">
      <c r="A557" s="222">
        <v>45327</v>
      </c>
      <c r="B557" s="201" t="s">
        <v>635</v>
      </c>
      <c r="C557" s="208" t="s">
        <v>133</v>
      </c>
      <c r="D557" s="592">
        <v>-7207</v>
      </c>
      <c r="E557" s="212">
        <v>45323</v>
      </c>
      <c r="F557" s="291" t="s">
        <v>130</v>
      </c>
      <c r="G557" s="201" t="s">
        <v>130</v>
      </c>
      <c r="H557" s="201" t="s">
        <v>323</v>
      </c>
      <c r="I557" s="201"/>
      <c r="J557" s="202"/>
      <c r="K557" s="202"/>
      <c r="L557" s="202"/>
      <c r="M557" s="202"/>
      <c r="N557" s="202"/>
      <c r="O557" s="202"/>
      <c r="P557" s="202"/>
      <c r="Q557" s="202"/>
      <c r="R557" s="202"/>
      <c r="S557" s="202"/>
      <c r="T557" s="202"/>
    </row>
    <row r="558" spans="1:20" s="182" customFormat="1" ht="14.15" hidden="1">
      <c r="A558" s="222">
        <v>45327</v>
      </c>
      <c r="B558" s="201" t="s">
        <v>636</v>
      </c>
      <c r="C558" s="208" t="s">
        <v>146</v>
      </c>
      <c r="D558" s="291">
        <v>-58000</v>
      </c>
      <c r="E558" s="212">
        <v>45323</v>
      </c>
      <c r="F558" s="291" t="s">
        <v>130</v>
      </c>
      <c r="G558" s="208" t="s">
        <v>130</v>
      </c>
      <c r="H558" s="201" t="s">
        <v>184</v>
      </c>
      <c r="I558" s="201" t="s">
        <v>173</v>
      </c>
      <c r="J558" s="202"/>
      <c r="K558" s="202"/>
      <c r="L558" s="202"/>
      <c r="M558" s="202"/>
      <c r="N558" s="202"/>
      <c r="O558" s="202"/>
      <c r="P558" s="202"/>
      <c r="Q558" s="202"/>
      <c r="R558" s="202"/>
      <c r="S558" s="202"/>
      <c r="T558" s="202"/>
    </row>
    <row r="559" spans="1:20" s="182" customFormat="1" ht="14.15" hidden="1">
      <c r="A559" s="222">
        <v>45327</v>
      </c>
      <c r="B559" s="201" t="s">
        <v>637</v>
      </c>
      <c r="C559" s="208" t="s">
        <v>146</v>
      </c>
      <c r="D559" s="291">
        <v>-128000</v>
      </c>
      <c r="E559" s="212">
        <v>45323</v>
      </c>
      <c r="F559" s="291" t="s">
        <v>110</v>
      </c>
      <c r="G559" s="208" t="s">
        <v>450</v>
      </c>
      <c r="H559" s="201" t="s">
        <v>175</v>
      </c>
      <c r="I559" s="201" t="s">
        <v>173</v>
      </c>
      <c r="J559" s="202"/>
      <c r="K559" s="202"/>
      <c r="L559" s="202"/>
      <c r="M559" s="202"/>
      <c r="N559" s="202"/>
      <c r="O559" s="202"/>
      <c r="P559" s="202"/>
      <c r="Q559" s="202"/>
      <c r="R559" s="202"/>
      <c r="S559" s="202"/>
      <c r="T559" s="202"/>
    </row>
    <row r="560" spans="1:20" s="182" customFormat="1" ht="14.15" hidden="1">
      <c r="A560" s="222">
        <v>45327</v>
      </c>
      <c r="B560" s="201" t="s">
        <v>638</v>
      </c>
      <c r="C560" s="208" t="s">
        <v>146</v>
      </c>
      <c r="D560" s="291">
        <v>-173300</v>
      </c>
      <c r="E560" s="212">
        <v>45323</v>
      </c>
      <c r="F560" s="291" t="s">
        <v>130</v>
      </c>
      <c r="G560" s="208" t="s">
        <v>130</v>
      </c>
      <c r="H560" s="201" t="s">
        <v>184</v>
      </c>
      <c r="I560" s="201" t="s">
        <v>173</v>
      </c>
      <c r="J560" s="202"/>
      <c r="K560" s="202"/>
      <c r="L560" s="202"/>
      <c r="M560" s="202"/>
      <c r="N560" s="202"/>
      <c r="O560" s="202"/>
      <c r="P560" s="202"/>
      <c r="Q560" s="202"/>
      <c r="R560" s="202"/>
      <c r="S560" s="202"/>
      <c r="T560" s="202"/>
    </row>
    <row r="561" spans="1:20" s="182" customFormat="1" ht="14.15" hidden="1">
      <c r="A561" s="222">
        <v>45327</v>
      </c>
      <c r="B561" s="201" t="s">
        <v>639</v>
      </c>
      <c r="C561" s="208" t="s">
        <v>146</v>
      </c>
      <c r="D561" s="291">
        <v>-60000</v>
      </c>
      <c r="E561" s="212">
        <v>45323</v>
      </c>
      <c r="F561" s="291" t="s">
        <v>130</v>
      </c>
      <c r="G561" s="208" t="s">
        <v>130</v>
      </c>
      <c r="H561" s="201" t="s">
        <v>184</v>
      </c>
      <c r="I561" s="201" t="s">
        <v>173</v>
      </c>
      <c r="J561" s="202"/>
      <c r="K561" s="202"/>
      <c r="L561" s="202"/>
      <c r="M561" s="202"/>
      <c r="N561" s="202"/>
      <c r="O561" s="202"/>
      <c r="P561" s="202"/>
      <c r="Q561" s="202"/>
      <c r="R561" s="202"/>
      <c r="S561" s="202"/>
      <c r="T561" s="202"/>
    </row>
    <row r="562" spans="1:20" s="182" customFormat="1" ht="14.15" hidden="1">
      <c r="A562" s="605">
        <v>45327</v>
      </c>
      <c r="B562" s="201" t="s">
        <v>640</v>
      </c>
      <c r="C562" s="208" t="s">
        <v>146</v>
      </c>
      <c r="D562" s="291">
        <v>-15000</v>
      </c>
      <c r="E562" s="212">
        <v>45323</v>
      </c>
      <c r="F562" s="291" t="s">
        <v>109</v>
      </c>
      <c r="G562" s="208" t="s">
        <v>120</v>
      </c>
      <c r="H562" s="201"/>
      <c r="I562" s="201" t="s">
        <v>563</v>
      </c>
      <c r="J562" s="202"/>
      <c r="K562" s="202"/>
      <c r="L562" s="202"/>
      <c r="M562" s="202"/>
      <c r="N562" s="202"/>
      <c r="O562" s="202"/>
      <c r="P562" s="202"/>
      <c r="Q562" s="202"/>
      <c r="R562" s="202"/>
      <c r="S562" s="202"/>
      <c r="T562" s="202"/>
    </row>
    <row r="563" spans="1:20" s="182" customFormat="1" ht="14.15" hidden="1">
      <c r="A563" s="605">
        <v>45327</v>
      </c>
      <c r="B563" s="201" t="s">
        <v>641</v>
      </c>
      <c r="C563" s="208" t="s">
        <v>146</v>
      </c>
      <c r="D563" s="291">
        <v>-8000</v>
      </c>
      <c r="E563" s="212">
        <v>45323</v>
      </c>
      <c r="F563" s="291" t="s">
        <v>109</v>
      </c>
      <c r="G563" s="208" t="s">
        <v>120</v>
      </c>
      <c r="H563" s="201"/>
      <c r="I563" s="201" t="s">
        <v>563</v>
      </c>
      <c r="J563" s="202"/>
      <c r="K563" s="202"/>
      <c r="L563" s="202"/>
      <c r="M563" s="202"/>
      <c r="N563" s="202"/>
      <c r="O563" s="202"/>
      <c r="P563" s="202"/>
      <c r="Q563" s="202"/>
      <c r="R563" s="202"/>
      <c r="S563" s="202"/>
      <c r="T563" s="202"/>
    </row>
    <row r="564" spans="1:20" s="182" customFormat="1" ht="14.15" hidden="1">
      <c r="A564" s="222">
        <v>45327</v>
      </c>
      <c r="B564" s="201" t="s">
        <v>642</v>
      </c>
      <c r="C564" s="208" t="s">
        <v>643</v>
      </c>
      <c r="D564" s="800">
        <v>-339800</v>
      </c>
      <c r="E564" s="212">
        <v>45323</v>
      </c>
      <c r="F564" s="291" t="s">
        <v>109</v>
      </c>
      <c r="G564" s="201" t="s">
        <v>581</v>
      </c>
      <c r="H564" s="201"/>
      <c r="I564" s="201"/>
      <c r="J564" s="202"/>
      <c r="K564" s="202"/>
      <c r="L564" s="202"/>
      <c r="M564" s="202"/>
      <c r="N564" s="202"/>
      <c r="O564" s="202"/>
      <c r="P564" s="202"/>
      <c r="Q564" s="202"/>
      <c r="R564" s="202"/>
      <c r="S564" s="202"/>
      <c r="T564" s="202"/>
    </row>
    <row r="565" spans="1:20" s="182" customFormat="1" ht="14.15" hidden="1">
      <c r="A565" s="222">
        <v>45327</v>
      </c>
      <c r="B565" s="201" t="s">
        <v>644</v>
      </c>
      <c r="C565" s="208" t="s">
        <v>27</v>
      </c>
      <c r="D565" s="592">
        <v>-54027</v>
      </c>
      <c r="E565" s="212">
        <v>45323</v>
      </c>
      <c r="F565" s="201" t="s">
        <v>109</v>
      </c>
      <c r="G565" s="208" t="s">
        <v>120</v>
      </c>
      <c r="H565" s="201"/>
      <c r="I565" s="201"/>
      <c r="J565" s="202"/>
      <c r="K565" s="202"/>
      <c r="L565" s="202"/>
      <c r="M565" s="202"/>
      <c r="N565" s="202"/>
      <c r="O565" s="202"/>
      <c r="P565" s="202"/>
      <c r="Q565" s="202"/>
      <c r="R565" s="202"/>
      <c r="S565" s="202"/>
      <c r="T565" s="202"/>
    </row>
    <row r="566" spans="1:20" s="182" customFormat="1" ht="14.15" hidden="1">
      <c r="A566" s="222">
        <v>45327</v>
      </c>
      <c r="B566" s="201" t="s">
        <v>645</v>
      </c>
      <c r="C566" s="208" t="s">
        <v>27</v>
      </c>
      <c r="D566" s="592">
        <v>-106000</v>
      </c>
      <c r="E566" s="212">
        <v>45323</v>
      </c>
      <c r="F566" s="201" t="s">
        <v>109</v>
      </c>
      <c r="G566" s="208" t="s">
        <v>120</v>
      </c>
      <c r="H566" s="201"/>
      <c r="I566" s="201"/>
      <c r="J566" s="202"/>
      <c r="K566" s="202"/>
      <c r="L566" s="202"/>
      <c r="M566" s="202"/>
      <c r="N566" s="202"/>
      <c r="O566" s="202"/>
      <c r="P566" s="202"/>
      <c r="Q566" s="202"/>
      <c r="R566" s="202"/>
      <c r="S566" s="202"/>
      <c r="T566" s="202"/>
    </row>
    <row r="567" spans="1:20" s="182" customFormat="1" ht="14.15" hidden="1">
      <c r="A567" s="222">
        <v>45328</v>
      </c>
      <c r="B567" s="201" t="s">
        <v>646</v>
      </c>
      <c r="C567" s="208" t="s">
        <v>146</v>
      </c>
      <c r="D567" s="291">
        <v>-6000</v>
      </c>
      <c r="E567" s="212">
        <v>45323</v>
      </c>
      <c r="F567" s="291" t="s">
        <v>130</v>
      </c>
      <c r="G567" s="201" t="s">
        <v>257</v>
      </c>
      <c r="H567" s="81" t="s">
        <v>138</v>
      </c>
      <c r="I567" s="201"/>
      <c r="J567" s="202"/>
      <c r="K567" s="202"/>
      <c r="L567" s="202"/>
      <c r="M567" s="202"/>
      <c r="N567" s="202"/>
      <c r="O567" s="202"/>
      <c r="P567" s="202"/>
      <c r="Q567" s="202"/>
      <c r="R567" s="202"/>
      <c r="S567" s="202"/>
      <c r="T567" s="202"/>
    </row>
    <row r="568" spans="1:20" s="182" customFormat="1" ht="14.15" hidden="1">
      <c r="A568" s="222">
        <v>45328</v>
      </c>
      <c r="B568" s="201" t="s">
        <v>647</v>
      </c>
      <c r="C568" s="208" t="s">
        <v>27</v>
      </c>
      <c r="D568" s="592">
        <v>-190000</v>
      </c>
      <c r="E568" s="212">
        <v>45323</v>
      </c>
      <c r="F568" s="291" t="s">
        <v>130</v>
      </c>
      <c r="G568" s="208" t="s">
        <v>130</v>
      </c>
      <c r="H568" s="201" t="s">
        <v>184</v>
      </c>
      <c r="I568" s="201"/>
      <c r="J568" s="202"/>
      <c r="K568" s="202"/>
      <c r="L568" s="202"/>
      <c r="M568" s="202"/>
      <c r="N568" s="202"/>
      <c r="O568" s="202"/>
      <c r="P568" s="202"/>
      <c r="Q568" s="202"/>
      <c r="R568" s="202"/>
      <c r="S568" s="202"/>
      <c r="T568" s="202"/>
    </row>
    <row r="569" spans="1:20" s="182" customFormat="1" ht="14.15" hidden="1">
      <c r="A569" s="222">
        <v>45328</v>
      </c>
      <c r="B569" s="201" t="s">
        <v>648</v>
      </c>
      <c r="C569" s="208" t="s">
        <v>27</v>
      </c>
      <c r="D569" s="592">
        <v>-1244690</v>
      </c>
      <c r="E569" s="212">
        <v>45323</v>
      </c>
      <c r="F569" s="291" t="s">
        <v>110</v>
      </c>
      <c r="G569" s="208" t="s">
        <v>450</v>
      </c>
      <c r="H569" s="208" t="s">
        <v>175</v>
      </c>
      <c r="I569" s="201"/>
      <c r="J569" s="202"/>
      <c r="K569" s="202"/>
      <c r="L569" s="202"/>
      <c r="M569" s="202"/>
      <c r="N569" s="202"/>
      <c r="O569" s="202"/>
      <c r="P569" s="202"/>
      <c r="Q569" s="202"/>
      <c r="R569" s="202"/>
      <c r="S569" s="202"/>
      <c r="T569" s="202"/>
    </row>
    <row r="570" spans="1:20" s="182" customFormat="1" ht="14.15" hidden="1">
      <c r="A570" s="222">
        <v>45328</v>
      </c>
      <c r="B570" s="201" t="s">
        <v>649</v>
      </c>
      <c r="C570" s="208" t="s">
        <v>133</v>
      </c>
      <c r="D570" s="592">
        <v>-6683</v>
      </c>
      <c r="E570" s="212">
        <v>45323</v>
      </c>
      <c r="F570" s="291" t="s">
        <v>110</v>
      </c>
      <c r="G570" s="208" t="s">
        <v>450</v>
      </c>
      <c r="H570" s="208" t="s">
        <v>175</v>
      </c>
      <c r="I570" s="201"/>
      <c r="J570" s="202"/>
      <c r="K570" s="202"/>
      <c r="L570" s="202"/>
      <c r="M570" s="202"/>
      <c r="N570" s="202"/>
      <c r="O570" s="202"/>
      <c r="P570" s="202"/>
      <c r="Q570" s="202"/>
      <c r="R570" s="202"/>
      <c r="S570" s="202"/>
      <c r="T570" s="202"/>
    </row>
    <row r="571" spans="1:20" s="182" customFormat="1" ht="14.15" hidden="1">
      <c r="A571" s="605">
        <v>45328</v>
      </c>
      <c r="B571" s="201" t="s">
        <v>650</v>
      </c>
      <c r="C571" s="208" t="s">
        <v>146</v>
      </c>
      <c r="D571" s="291">
        <v>-50000</v>
      </c>
      <c r="E571" s="212">
        <v>45323</v>
      </c>
      <c r="F571" s="291" t="s">
        <v>109</v>
      </c>
      <c r="G571" s="208" t="s">
        <v>120</v>
      </c>
      <c r="H571" s="201"/>
      <c r="I571" s="201" t="s">
        <v>563</v>
      </c>
      <c r="J571" s="202"/>
      <c r="K571" s="202"/>
      <c r="L571" s="202"/>
      <c r="M571" s="202"/>
      <c r="N571" s="202"/>
      <c r="O571" s="202"/>
      <c r="P571" s="202"/>
      <c r="Q571" s="202"/>
      <c r="R571" s="202"/>
      <c r="S571" s="202"/>
      <c r="T571" s="202"/>
    </row>
    <row r="572" spans="1:20" s="182" customFormat="1" ht="14.15" hidden="1">
      <c r="A572" s="605">
        <v>45328</v>
      </c>
      <c r="B572" s="201" t="s">
        <v>651</v>
      </c>
      <c r="C572" s="208" t="s">
        <v>146</v>
      </c>
      <c r="D572" s="291">
        <v>-40000</v>
      </c>
      <c r="E572" s="212">
        <v>45323</v>
      </c>
      <c r="F572" s="291" t="s">
        <v>109</v>
      </c>
      <c r="G572" s="208" t="s">
        <v>120</v>
      </c>
      <c r="H572" s="201"/>
      <c r="I572" s="201" t="s">
        <v>563</v>
      </c>
      <c r="J572" s="202"/>
      <c r="K572" s="202"/>
      <c r="L572" s="202"/>
      <c r="M572" s="202"/>
      <c r="N572" s="202"/>
      <c r="O572" s="202"/>
      <c r="P572" s="202"/>
      <c r="Q572" s="202"/>
      <c r="R572" s="202"/>
      <c r="S572" s="202"/>
      <c r="T572" s="202"/>
    </row>
    <row r="573" spans="1:20" s="182" customFormat="1" ht="14.15" hidden="1">
      <c r="A573" s="605">
        <v>45328</v>
      </c>
      <c r="B573" s="201" t="s">
        <v>652</v>
      </c>
      <c r="C573" s="208" t="s">
        <v>146</v>
      </c>
      <c r="D573" s="291">
        <v>-12900</v>
      </c>
      <c r="E573" s="212">
        <v>45323</v>
      </c>
      <c r="F573" s="291" t="s">
        <v>109</v>
      </c>
      <c r="G573" s="208" t="s">
        <v>120</v>
      </c>
      <c r="H573" s="201"/>
      <c r="I573" s="201" t="s">
        <v>563</v>
      </c>
      <c r="J573" s="202"/>
      <c r="K573" s="202"/>
      <c r="L573" s="202"/>
      <c r="M573" s="202"/>
      <c r="N573" s="202"/>
      <c r="O573" s="202"/>
      <c r="P573" s="202"/>
      <c r="Q573" s="202"/>
      <c r="R573" s="202"/>
      <c r="S573" s="202"/>
      <c r="T573" s="202"/>
    </row>
    <row r="574" spans="1:20" s="182" customFormat="1" ht="14.15" hidden="1">
      <c r="A574" s="222">
        <v>45328</v>
      </c>
      <c r="B574" s="201" t="s">
        <v>575</v>
      </c>
      <c r="C574" s="208" t="s">
        <v>27</v>
      </c>
      <c r="D574" s="592">
        <v>-389928</v>
      </c>
      <c r="E574" s="212">
        <v>45323</v>
      </c>
      <c r="F574" s="291" t="s">
        <v>130</v>
      </c>
      <c r="G574" s="208" t="s">
        <v>130</v>
      </c>
      <c r="H574" s="201" t="s">
        <v>323</v>
      </c>
      <c r="I574" s="201"/>
      <c r="J574" s="202"/>
      <c r="K574" s="202"/>
      <c r="L574" s="202"/>
      <c r="M574" s="202"/>
      <c r="N574" s="202"/>
      <c r="O574" s="202"/>
      <c r="P574" s="202"/>
      <c r="Q574" s="202"/>
      <c r="R574" s="202"/>
      <c r="S574" s="202"/>
      <c r="T574" s="202"/>
    </row>
    <row r="575" spans="1:20" s="182" customFormat="1" ht="14.15" hidden="1">
      <c r="A575" s="222">
        <v>45328</v>
      </c>
      <c r="B575" s="201" t="s">
        <v>653</v>
      </c>
      <c r="C575" s="208" t="s">
        <v>27</v>
      </c>
      <c r="D575" s="592">
        <v>-11780</v>
      </c>
      <c r="E575" s="212">
        <v>45323</v>
      </c>
      <c r="F575" s="201" t="s">
        <v>109</v>
      </c>
      <c r="G575" s="208" t="s">
        <v>120</v>
      </c>
      <c r="H575" s="201"/>
      <c r="I575" s="201"/>
      <c r="J575" s="202"/>
      <c r="K575" s="202"/>
      <c r="L575" s="202"/>
      <c r="M575" s="202"/>
      <c r="N575" s="202"/>
      <c r="O575" s="202"/>
      <c r="P575" s="202"/>
      <c r="Q575" s="202"/>
      <c r="R575" s="202"/>
      <c r="S575" s="202"/>
      <c r="T575" s="202"/>
    </row>
    <row r="576" spans="1:20" s="182" customFormat="1" ht="14.15" hidden="1">
      <c r="A576" s="222">
        <v>45328</v>
      </c>
      <c r="B576" s="201" t="s">
        <v>650</v>
      </c>
      <c r="C576" s="208" t="s">
        <v>27</v>
      </c>
      <c r="D576" s="592">
        <v>-60000</v>
      </c>
      <c r="E576" s="212">
        <v>45323</v>
      </c>
      <c r="F576" s="201" t="s">
        <v>109</v>
      </c>
      <c r="G576" s="208" t="s">
        <v>120</v>
      </c>
      <c r="H576" s="201"/>
      <c r="I576" s="201"/>
      <c r="J576" s="202"/>
      <c r="K576" s="202"/>
      <c r="L576" s="202"/>
      <c r="M576" s="202"/>
      <c r="N576" s="202"/>
      <c r="O576" s="202"/>
      <c r="P576" s="202"/>
      <c r="Q576" s="202"/>
      <c r="R576" s="202"/>
      <c r="S576" s="202"/>
      <c r="T576" s="202"/>
    </row>
    <row r="577" spans="1:20" s="182" customFormat="1" ht="14.15" hidden="1">
      <c r="A577" s="222">
        <v>45329</v>
      </c>
      <c r="B577" s="201" t="s">
        <v>654</v>
      </c>
      <c r="C577" s="208" t="s">
        <v>146</v>
      </c>
      <c r="D577" s="291">
        <v>-150000</v>
      </c>
      <c r="E577" s="212">
        <v>45323</v>
      </c>
      <c r="F577" s="291" t="s">
        <v>109</v>
      </c>
      <c r="G577" s="208" t="s">
        <v>383</v>
      </c>
      <c r="H577" s="81" t="s">
        <v>138</v>
      </c>
      <c r="I577" s="201" t="s">
        <v>173</v>
      </c>
      <c r="J577" s="202"/>
      <c r="K577" s="202"/>
      <c r="L577" s="202"/>
      <c r="M577" s="202"/>
      <c r="N577" s="202"/>
      <c r="O577" s="202"/>
      <c r="P577" s="202"/>
      <c r="Q577" s="202"/>
      <c r="R577" s="202"/>
      <c r="S577" s="202"/>
      <c r="T577" s="202"/>
    </row>
    <row r="578" spans="1:20" s="182" customFormat="1" ht="14.15" hidden="1">
      <c r="A578" s="222">
        <v>45329</v>
      </c>
      <c r="B578" s="201" t="s">
        <v>655</v>
      </c>
      <c r="C578" s="208" t="s">
        <v>27</v>
      </c>
      <c r="D578" s="592">
        <v>-9231329</v>
      </c>
      <c r="E578" s="212">
        <v>45323</v>
      </c>
      <c r="F578" s="291" t="s">
        <v>109</v>
      </c>
      <c r="G578" s="208" t="s">
        <v>120</v>
      </c>
      <c r="H578" s="201"/>
      <c r="I578" s="201"/>
      <c r="J578" s="202"/>
      <c r="K578" s="202"/>
      <c r="L578" s="202"/>
      <c r="M578" s="202"/>
      <c r="N578" s="202"/>
      <c r="O578" s="202"/>
      <c r="P578" s="202"/>
      <c r="Q578" s="202"/>
      <c r="R578" s="202"/>
      <c r="S578" s="202"/>
      <c r="T578" s="202"/>
    </row>
    <row r="579" spans="1:20" s="182" customFormat="1" ht="14.15" hidden="1">
      <c r="A579" s="222">
        <v>45329</v>
      </c>
      <c r="B579" s="201" t="s">
        <v>656</v>
      </c>
      <c r="C579" s="208" t="s">
        <v>27</v>
      </c>
      <c r="D579" s="592">
        <v>-332500</v>
      </c>
      <c r="E579" s="212">
        <v>45323</v>
      </c>
      <c r="F579" s="291" t="s">
        <v>130</v>
      </c>
      <c r="G579" s="208" t="s">
        <v>130</v>
      </c>
      <c r="H579" s="201" t="s">
        <v>184</v>
      </c>
      <c r="I579" s="201"/>
      <c r="J579" s="202"/>
      <c r="K579" s="202"/>
      <c r="L579" s="202"/>
      <c r="M579" s="202"/>
      <c r="N579" s="202"/>
      <c r="O579" s="202"/>
      <c r="P579" s="202"/>
      <c r="Q579" s="202"/>
      <c r="R579" s="202"/>
      <c r="S579" s="202"/>
      <c r="T579" s="202"/>
    </row>
    <row r="580" spans="1:20" s="182" customFormat="1" ht="14.15" hidden="1">
      <c r="A580" s="222">
        <v>45329</v>
      </c>
      <c r="B580" s="201" t="s">
        <v>657</v>
      </c>
      <c r="C580" s="208" t="s">
        <v>27</v>
      </c>
      <c r="D580" s="592">
        <v>-920336</v>
      </c>
      <c r="E580" s="212">
        <v>45323</v>
      </c>
      <c r="F580" s="291" t="s">
        <v>130</v>
      </c>
      <c r="G580" s="201" t="s">
        <v>130</v>
      </c>
      <c r="H580" s="201" t="s">
        <v>323</v>
      </c>
      <c r="I580" s="201"/>
      <c r="J580" s="202"/>
      <c r="K580" s="202"/>
      <c r="L580" s="202"/>
      <c r="M580" s="202"/>
      <c r="N580" s="202"/>
      <c r="O580" s="202"/>
      <c r="P580" s="202"/>
      <c r="Q580" s="202"/>
      <c r="R580" s="202"/>
      <c r="S580" s="202"/>
      <c r="T580" s="202"/>
    </row>
    <row r="581" spans="1:20" s="182" customFormat="1" ht="14.15" hidden="1">
      <c r="A581" s="222">
        <v>45329</v>
      </c>
      <c r="B581" s="201" t="s">
        <v>658</v>
      </c>
      <c r="C581" s="208" t="s">
        <v>27</v>
      </c>
      <c r="D581" s="592">
        <v>-279400</v>
      </c>
      <c r="E581" s="212">
        <v>45323</v>
      </c>
      <c r="F581" s="291" t="s">
        <v>130</v>
      </c>
      <c r="G581" s="201" t="s">
        <v>257</v>
      </c>
      <c r="H581" s="201" t="s">
        <v>659</v>
      </c>
      <c r="I581" s="201"/>
      <c r="J581" s="202"/>
      <c r="K581" s="202"/>
      <c r="L581" s="202"/>
      <c r="M581" s="202"/>
      <c r="N581" s="202"/>
      <c r="O581" s="202"/>
      <c r="P581" s="202"/>
      <c r="Q581" s="202"/>
      <c r="R581" s="202"/>
      <c r="S581" s="202"/>
      <c r="T581" s="202"/>
    </row>
    <row r="582" spans="1:20" s="182" customFormat="1" ht="14.15" hidden="1">
      <c r="A582" s="222">
        <v>45329</v>
      </c>
      <c r="B582" s="201" t="s">
        <v>660</v>
      </c>
      <c r="C582" s="208" t="s">
        <v>27</v>
      </c>
      <c r="D582" s="592">
        <v>-51875606</v>
      </c>
      <c r="E582" s="212">
        <v>45323</v>
      </c>
      <c r="F582" s="208" t="s">
        <v>109</v>
      </c>
      <c r="G582" s="208" t="s">
        <v>317</v>
      </c>
      <c r="H582" s="201" t="s">
        <v>123</v>
      </c>
      <c r="I582" s="201"/>
      <c r="J582" s="202"/>
      <c r="K582" s="202"/>
      <c r="L582" s="202"/>
      <c r="M582" s="202"/>
      <c r="N582" s="202"/>
      <c r="O582" s="202"/>
      <c r="P582" s="202"/>
      <c r="Q582" s="202"/>
      <c r="R582" s="202"/>
      <c r="S582" s="202"/>
      <c r="T582" s="202"/>
    </row>
    <row r="583" spans="1:20" s="182" customFormat="1" ht="14.15" hidden="1">
      <c r="A583" s="222">
        <v>45329</v>
      </c>
      <c r="B583" s="201" t="s">
        <v>661</v>
      </c>
      <c r="C583" s="208" t="s">
        <v>133</v>
      </c>
      <c r="D583" s="592">
        <v>-1330144</v>
      </c>
      <c r="E583" s="212">
        <v>45323</v>
      </c>
      <c r="F583" s="208" t="s">
        <v>109</v>
      </c>
      <c r="G583" s="208" t="s">
        <v>317</v>
      </c>
      <c r="H583" s="201" t="s">
        <v>123</v>
      </c>
      <c r="I583" s="201"/>
      <c r="J583" s="202"/>
      <c r="K583" s="202"/>
      <c r="L583" s="202"/>
      <c r="M583" s="202"/>
      <c r="N583" s="202"/>
      <c r="O583" s="202"/>
      <c r="P583" s="202"/>
      <c r="Q583" s="202"/>
      <c r="R583" s="202"/>
      <c r="S583" s="202"/>
      <c r="T583" s="202"/>
    </row>
    <row r="584" spans="1:20" s="182" customFormat="1" ht="14.15" hidden="1">
      <c r="A584" s="222">
        <v>45329</v>
      </c>
      <c r="B584" s="201" t="s">
        <v>662</v>
      </c>
      <c r="C584" s="208" t="s">
        <v>27</v>
      </c>
      <c r="D584" s="592">
        <v>-650000</v>
      </c>
      <c r="E584" s="212">
        <v>45323</v>
      </c>
      <c r="F584" s="291" t="s">
        <v>109</v>
      </c>
      <c r="G584" s="208" t="s">
        <v>169</v>
      </c>
      <c r="H584" s="201" t="s">
        <v>663</v>
      </c>
      <c r="I584" s="201"/>
      <c r="J584" s="202"/>
      <c r="K584" s="202"/>
      <c r="L584" s="202"/>
      <c r="M584" s="202"/>
      <c r="N584" s="202"/>
      <c r="O584" s="202"/>
      <c r="P584" s="202"/>
      <c r="Q584" s="202"/>
      <c r="R584" s="202"/>
      <c r="S584" s="202"/>
      <c r="T584" s="202"/>
    </row>
    <row r="585" spans="1:20" s="182" customFormat="1" ht="14.15" hidden="1">
      <c r="A585" s="222">
        <v>45329</v>
      </c>
      <c r="B585" s="201" t="s">
        <v>664</v>
      </c>
      <c r="C585" s="208" t="s">
        <v>27</v>
      </c>
      <c r="D585" s="592">
        <v>-480000</v>
      </c>
      <c r="E585" s="212">
        <v>45323</v>
      </c>
      <c r="F585" s="291" t="s">
        <v>109</v>
      </c>
      <c r="G585" s="208" t="s">
        <v>383</v>
      </c>
      <c r="H585" s="81" t="s">
        <v>138</v>
      </c>
      <c r="I585" s="201"/>
      <c r="J585" s="202"/>
      <c r="K585" s="202"/>
      <c r="L585" s="202"/>
      <c r="M585" s="202"/>
      <c r="N585" s="202"/>
      <c r="O585" s="202"/>
      <c r="P585" s="202"/>
      <c r="Q585" s="202"/>
      <c r="R585" s="202"/>
      <c r="S585" s="202"/>
      <c r="T585" s="202"/>
    </row>
    <row r="586" spans="1:20" s="182" customFormat="1" ht="14.15" hidden="1">
      <c r="A586" s="222">
        <v>45329</v>
      </c>
      <c r="B586" s="201" t="s">
        <v>665</v>
      </c>
      <c r="C586" s="208" t="s">
        <v>27</v>
      </c>
      <c r="D586" s="592">
        <v>-24782815</v>
      </c>
      <c r="E586" s="212">
        <v>45323</v>
      </c>
      <c r="F586" s="291" t="s">
        <v>109</v>
      </c>
      <c r="G586" s="208" t="s">
        <v>120</v>
      </c>
      <c r="H586" s="208" t="s">
        <v>175</v>
      </c>
      <c r="I586" s="201"/>
      <c r="J586" s="202"/>
      <c r="K586" s="202"/>
      <c r="L586" s="202"/>
      <c r="M586" s="202"/>
      <c r="N586" s="202"/>
      <c r="O586" s="202"/>
      <c r="P586" s="202"/>
      <c r="Q586" s="202"/>
      <c r="R586" s="202"/>
      <c r="S586" s="202"/>
      <c r="T586" s="202"/>
    </row>
    <row r="587" spans="1:20" s="182" customFormat="1" ht="14.15" hidden="1">
      <c r="A587" s="222">
        <v>45329</v>
      </c>
      <c r="B587" s="201" t="s">
        <v>666</v>
      </c>
      <c r="C587" s="208" t="s">
        <v>133</v>
      </c>
      <c r="D587" s="592">
        <v>-4663</v>
      </c>
      <c r="E587" s="212">
        <v>45323</v>
      </c>
      <c r="F587" s="291" t="s">
        <v>130</v>
      </c>
      <c r="G587" s="201" t="s">
        <v>130</v>
      </c>
      <c r="H587" s="201" t="s">
        <v>323</v>
      </c>
      <c r="I587" s="201"/>
      <c r="J587" s="202"/>
      <c r="K587" s="202"/>
      <c r="L587" s="202"/>
      <c r="M587" s="202"/>
      <c r="N587" s="202"/>
      <c r="O587" s="202"/>
      <c r="P587" s="202"/>
      <c r="Q587" s="202"/>
      <c r="R587" s="202"/>
      <c r="S587" s="202"/>
      <c r="T587" s="202"/>
    </row>
    <row r="588" spans="1:20" s="182" customFormat="1" ht="14.15" hidden="1">
      <c r="A588" s="222">
        <v>45329</v>
      </c>
      <c r="B588" s="201" t="s">
        <v>667</v>
      </c>
      <c r="C588" s="208" t="s">
        <v>27</v>
      </c>
      <c r="D588" s="592">
        <v>-108670</v>
      </c>
      <c r="E588" s="212">
        <v>45323</v>
      </c>
      <c r="F588" s="291" t="s">
        <v>130</v>
      </c>
      <c r="G588" s="208" t="s">
        <v>130</v>
      </c>
      <c r="H588" s="201" t="s">
        <v>249</v>
      </c>
      <c r="I588" s="201"/>
      <c r="J588" s="202"/>
      <c r="K588" s="202"/>
      <c r="L588" s="202"/>
      <c r="M588" s="202"/>
      <c r="N588" s="202"/>
      <c r="O588" s="202"/>
      <c r="P588" s="202"/>
      <c r="Q588" s="202"/>
      <c r="R588" s="202"/>
      <c r="S588" s="202"/>
      <c r="T588" s="202"/>
    </row>
    <row r="589" spans="1:20" s="182" customFormat="1" ht="14.15" hidden="1">
      <c r="A589" s="222">
        <v>45329</v>
      </c>
      <c r="B589" s="201" t="s">
        <v>668</v>
      </c>
      <c r="C589" s="208" t="s">
        <v>146</v>
      </c>
      <c r="D589" s="291">
        <v>-42000</v>
      </c>
      <c r="E589" s="212">
        <v>45323</v>
      </c>
      <c r="F589" s="291" t="s">
        <v>110</v>
      </c>
      <c r="G589" s="208" t="s">
        <v>450</v>
      </c>
      <c r="H589" s="201" t="s">
        <v>310</v>
      </c>
      <c r="I589" s="201" t="s">
        <v>173</v>
      </c>
      <c r="J589" s="202"/>
      <c r="K589" s="202"/>
      <c r="L589" s="202"/>
      <c r="M589" s="202"/>
      <c r="N589" s="202"/>
      <c r="O589" s="202"/>
      <c r="P589" s="202"/>
      <c r="Q589" s="202"/>
      <c r="R589" s="202"/>
      <c r="S589" s="202"/>
      <c r="T589" s="202"/>
    </row>
    <row r="590" spans="1:20" s="182" customFormat="1" ht="14.15" hidden="1">
      <c r="A590" s="222">
        <v>45329</v>
      </c>
      <c r="B590" s="201" t="s">
        <v>669</v>
      </c>
      <c r="C590" s="208" t="s">
        <v>146</v>
      </c>
      <c r="D590" s="291">
        <v>-33100</v>
      </c>
      <c r="E590" s="212">
        <v>45323</v>
      </c>
      <c r="F590" s="291" t="s">
        <v>110</v>
      </c>
      <c r="G590" s="208" t="s">
        <v>450</v>
      </c>
      <c r="H590" s="208" t="s">
        <v>175</v>
      </c>
      <c r="I590" s="201" t="s">
        <v>173</v>
      </c>
      <c r="J590" s="202"/>
      <c r="K590" s="202"/>
      <c r="L590" s="202"/>
      <c r="M590" s="202"/>
      <c r="N590" s="202"/>
      <c r="O590" s="202"/>
      <c r="P590" s="202"/>
      <c r="Q590" s="202"/>
      <c r="R590" s="202"/>
      <c r="S590" s="202"/>
      <c r="T590" s="202"/>
    </row>
    <row r="591" spans="1:20" s="182" customFormat="1" ht="14.15" hidden="1">
      <c r="A591" s="222">
        <v>45329</v>
      </c>
      <c r="B591" s="201" t="s">
        <v>670</v>
      </c>
      <c r="C591" s="208" t="s">
        <v>146</v>
      </c>
      <c r="D591" s="291">
        <v>-16575</v>
      </c>
      <c r="E591" s="212">
        <v>45323</v>
      </c>
      <c r="F591" s="291" t="s">
        <v>110</v>
      </c>
      <c r="G591" s="208" t="s">
        <v>450</v>
      </c>
      <c r="H591" s="208" t="s">
        <v>175</v>
      </c>
      <c r="I591" s="201" t="s">
        <v>173</v>
      </c>
      <c r="J591" s="202"/>
      <c r="K591" s="202"/>
      <c r="L591" s="202"/>
      <c r="M591" s="202"/>
      <c r="N591" s="202"/>
      <c r="O591" s="202"/>
      <c r="P591" s="202"/>
      <c r="Q591" s="202"/>
      <c r="R591" s="202"/>
      <c r="S591" s="202"/>
      <c r="T591" s="202"/>
    </row>
    <row r="592" spans="1:20" s="182" customFormat="1" ht="14.15" hidden="1">
      <c r="A592" s="222">
        <v>45329</v>
      </c>
      <c r="B592" s="201" t="s">
        <v>671</v>
      </c>
      <c r="C592" s="208" t="s">
        <v>146</v>
      </c>
      <c r="D592" s="291">
        <v>-172360</v>
      </c>
      <c r="E592" s="212">
        <v>45323</v>
      </c>
      <c r="F592" s="291" t="s">
        <v>110</v>
      </c>
      <c r="G592" s="208" t="s">
        <v>450</v>
      </c>
      <c r="H592" s="208" t="s">
        <v>175</v>
      </c>
      <c r="I592" s="201" t="s">
        <v>173</v>
      </c>
      <c r="J592" s="202"/>
      <c r="K592" s="202"/>
      <c r="L592" s="202"/>
      <c r="M592" s="202"/>
      <c r="N592" s="202"/>
      <c r="O592" s="202"/>
      <c r="P592" s="202"/>
      <c r="Q592" s="202"/>
      <c r="R592" s="202"/>
      <c r="S592" s="202"/>
      <c r="T592" s="202"/>
    </row>
    <row r="593" spans="1:20" s="182" customFormat="1" ht="14.15" hidden="1">
      <c r="A593" s="222">
        <v>45329</v>
      </c>
      <c r="B593" s="201" t="s">
        <v>672</v>
      </c>
      <c r="C593" s="208" t="s">
        <v>146</v>
      </c>
      <c r="D593" s="291">
        <v>-166960</v>
      </c>
      <c r="E593" s="212">
        <v>45323</v>
      </c>
      <c r="F593" s="291" t="s">
        <v>110</v>
      </c>
      <c r="G593" s="208" t="s">
        <v>450</v>
      </c>
      <c r="H593" s="208" t="s">
        <v>175</v>
      </c>
      <c r="I593" s="201" t="s">
        <v>173</v>
      </c>
      <c r="J593" s="202"/>
      <c r="K593" s="202"/>
      <c r="L593" s="202"/>
      <c r="M593" s="202"/>
      <c r="N593" s="202"/>
      <c r="O593" s="202"/>
      <c r="P593" s="202"/>
      <c r="Q593" s="202"/>
      <c r="R593" s="202"/>
      <c r="S593" s="202"/>
      <c r="T593" s="202"/>
    </row>
    <row r="594" spans="1:20" s="182" customFormat="1" ht="14.15" hidden="1">
      <c r="A594" s="222">
        <v>45329</v>
      </c>
      <c r="B594" s="201" t="s">
        <v>673</v>
      </c>
      <c r="C594" s="208" t="s">
        <v>146</v>
      </c>
      <c r="D594" s="291">
        <v>-42900</v>
      </c>
      <c r="E594" s="212">
        <v>45323</v>
      </c>
      <c r="F594" s="291" t="s">
        <v>110</v>
      </c>
      <c r="G594" s="208" t="s">
        <v>450</v>
      </c>
      <c r="H594" s="208" t="s">
        <v>175</v>
      </c>
      <c r="I594" s="201" t="s">
        <v>173</v>
      </c>
      <c r="J594" s="202"/>
      <c r="K594" s="202"/>
      <c r="L594" s="202"/>
      <c r="M594" s="202"/>
      <c r="N594" s="202"/>
      <c r="O594" s="202"/>
      <c r="P594" s="202"/>
      <c r="Q594" s="202"/>
      <c r="R594" s="202"/>
      <c r="S594" s="202"/>
      <c r="T594" s="202"/>
    </row>
    <row r="595" spans="1:20" s="182" customFormat="1" ht="14.15" hidden="1">
      <c r="A595" s="222">
        <v>45329</v>
      </c>
      <c r="B595" s="201" t="s">
        <v>674</v>
      </c>
      <c r="C595" s="208" t="s">
        <v>146</v>
      </c>
      <c r="D595" s="592">
        <v>-76245</v>
      </c>
      <c r="E595" s="212">
        <v>45323</v>
      </c>
      <c r="F595" s="291" t="s">
        <v>110</v>
      </c>
      <c r="G595" s="208" t="s">
        <v>450</v>
      </c>
      <c r="H595" s="208" t="s">
        <v>175</v>
      </c>
      <c r="I595" s="201" t="s">
        <v>173</v>
      </c>
      <c r="J595" s="202"/>
      <c r="K595" s="202"/>
      <c r="L595" s="202"/>
      <c r="M595" s="202"/>
      <c r="N595" s="202"/>
      <c r="O595" s="202"/>
      <c r="P595" s="202"/>
      <c r="Q595" s="202"/>
      <c r="R595" s="202"/>
      <c r="S595" s="202"/>
      <c r="T595" s="202"/>
    </row>
    <row r="596" spans="1:20" s="182" customFormat="1" ht="14.15" hidden="1">
      <c r="A596" s="222">
        <v>45329</v>
      </c>
      <c r="B596" s="201" t="s">
        <v>675</v>
      </c>
      <c r="C596" s="208" t="s">
        <v>27</v>
      </c>
      <c r="D596" s="592">
        <v>-100000000</v>
      </c>
      <c r="E596" s="212">
        <v>45323</v>
      </c>
      <c r="F596" s="291" t="s">
        <v>676</v>
      </c>
      <c r="G596" s="201" t="s">
        <v>676</v>
      </c>
      <c r="H596" s="201"/>
      <c r="I596" s="201"/>
      <c r="J596" s="202"/>
      <c r="K596" s="202"/>
      <c r="L596" s="202"/>
      <c r="M596" s="202"/>
      <c r="N596" s="202"/>
      <c r="O596" s="202"/>
      <c r="P596" s="202"/>
      <c r="Q596" s="202"/>
      <c r="R596" s="202"/>
      <c r="S596" s="202"/>
      <c r="T596" s="202"/>
    </row>
    <row r="597" spans="1:20" s="182" customFormat="1" ht="14.15" hidden="1">
      <c r="A597" s="222">
        <v>45329</v>
      </c>
      <c r="B597" s="201" t="s">
        <v>675</v>
      </c>
      <c r="C597" s="208" t="s">
        <v>40</v>
      </c>
      <c r="D597" s="592">
        <v>100000000</v>
      </c>
      <c r="E597" s="212">
        <v>45323</v>
      </c>
      <c r="F597" s="291" t="s">
        <v>676</v>
      </c>
      <c r="G597" s="201" t="s">
        <v>676</v>
      </c>
      <c r="H597" s="201"/>
      <c r="I597" s="201"/>
      <c r="J597" s="202"/>
      <c r="K597" s="202"/>
      <c r="L597" s="202"/>
      <c r="M597" s="202"/>
      <c r="N597" s="202"/>
      <c r="O597" s="202"/>
      <c r="P597" s="202"/>
      <c r="Q597" s="202"/>
      <c r="R597" s="202"/>
      <c r="S597" s="202"/>
      <c r="T597" s="202"/>
    </row>
    <row r="598" spans="1:20" s="182" customFormat="1" ht="14.15" hidden="1">
      <c r="A598" s="605">
        <v>45329</v>
      </c>
      <c r="B598" s="201" t="s">
        <v>677</v>
      </c>
      <c r="C598" s="208" t="s">
        <v>146</v>
      </c>
      <c r="D598" s="592">
        <v>-20000</v>
      </c>
      <c r="E598" s="212">
        <v>45323</v>
      </c>
      <c r="F598" s="291" t="s">
        <v>109</v>
      </c>
      <c r="G598" s="208" t="s">
        <v>120</v>
      </c>
      <c r="H598" s="208" t="s">
        <v>147</v>
      </c>
      <c r="I598" s="201" t="s">
        <v>563</v>
      </c>
      <c r="J598" s="202"/>
      <c r="K598" s="202"/>
      <c r="L598" s="202"/>
      <c r="M598" s="202"/>
      <c r="N598" s="202"/>
      <c r="O598" s="202"/>
      <c r="P598" s="202"/>
      <c r="Q598" s="202"/>
      <c r="R598" s="202"/>
      <c r="S598" s="202"/>
      <c r="T598" s="202"/>
    </row>
    <row r="599" spans="1:20" s="182" customFormat="1" ht="14.15" hidden="1">
      <c r="A599" s="605">
        <v>45329</v>
      </c>
      <c r="B599" s="201" t="s">
        <v>678</v>
      </c>
      <c r="C599" s="208" t="s">
        <v>146</v>
      </c>
      <c r="D599" s="592">
        <v>-90000</v>
      </c>
      <c r="E599" s="212">
        <v>45323</v>
      </c>
      <c r="F599" s="291" t="s">
        <v>109</v>
      </c>
      <c r="G599" s="208" t="s">
        <v>120</v>
      </c>
      <c r="H599" s="201"/>
      <c r="I599" s="201" t="s">
        <v>563</v>
      </c>
      <c r="J599" s="202"/>
      <c r="K599" s="202"/>
      <c r="L599" s="202"/>
      <c r="M599" s="202"/>
      <c r="N599" s="202"/>
      <c r="O599" s="202"/>
      <c r="P599" s="202"/>
      <c r="Q599" s="202"/>
      <c r="R599" s="202"/>
      <c r="S599" s="202"/>
      <c r="T599" s="202"/>
    </row>
    <row r="600" spans="1:20" s="182" customFormat="1" ht="14.15" hidden="1">
      <c r="A600" s="605">
        <v>45329</v>
      </c>
      <c r="B600" s="201" t="s">
        <v>679</v>
      </c>
      <c r="C600" s="208" t="s">
        <v>146</v>
      </c>
      <c r="D600" s="592">
        <v>-90000</v>
      </c>
      <c r="E600" s="212">
        <v>45323</v>
      </c>
      <c r="F600" s="291" t="s">
        <v>109</v>
      </c>
      <c r="G600" s="208" t="s">
        <v>120</v>
      </c>
      <c r="H600" s="201"/>
      <c r="I600" s="201" t="s">
        <v>563</v>
      </c>
      <c r="J600" s="202"/>
      <c r="K600" s="202"/>
      <c r="L600" s="202"/>
      <c r="M600" s="202"/>
      <c r="N600" s="202"/>
      <c r="O600" s="202"/>
      <c r="P600" s="202"/>
      <c r="Q600" s="202"/>
      <c r="R600" s="202"/>
      <c r="S600" s="202"/>
      <c r="T600" s="202"/>
    </row>
    <row r="601" spans="1:20" s="182" customFormat="1" ht="14.15" hidden="1">
      <c r="A601" s="222">
        <v>45329</v>
      </c>
      <c r="B601" s="201" t="s">
        <v>680</v>
      </c>
      <c r="C601" s="208" t="s">
        <v>27</v>
      </c>
      <c r="D601" s="592">
        <v>-125800</v>
      </c>
      <c r="E601" s="212">
        <v>45323</v>
      </c>
      <c r="F601" s="291" t="s">
        <v>130</v>
      </c>
      <c r="G601" s="208" t="s">
        <v>130</v>
      </c>
      <c r="H601" s="201" t="s">
        <v>249</v>
      </c>
      <c r="I601" s="201"/>
      <c r="J601" s="202"/>
      <c r="K601" s="202"/>
      <c r="L601" s="202"/>
      <c r="M601" s="202"/>
      <c r="N601" s="202"/>
      <c r="O601" s="202"/>
      <c r="P601" s="202"/>
      <c r="Q601" s="202"/>
      <c r="R601" s="202"/>
      <c r="S601" s="202"/>
      <c r="T601" s="202"/>
    </row>
    <row r="602" spans="1:20" s="182" customFormat="1" ht="14.15" hidden="1">
      <c r="A602" s="222">
        <v>45329</v>
      </c>
      <c r="B602" s="201" t="s">
        <v>681</v>
      </c>
      <c r="C602" s="208" t="s">
        <v>146</v>
      </c>
      <c r="D602" s="592">
        <v>-24400</v>
      </c>
      <c r="E602" s="212">
        <v>45323</v>
      </c>
      <c r="F602" s="201" t="s">
        <v>109</v>
      </c>
      <c r="G602" s="208" t="s">
        <v>383</v>
      </c>
      <c r="H602" s="208" t="s">
        <v>175</v>
      </c>
      <c r="I602" s="201" t="s">
        <v>173</v>
      </c>
      <c r="J602" s="202"/>
      <c r="K602" s="202"/>
      <c r="L602" s="202"/>
      <c r="M602" s="202"/>
      <c r="N602" s="202"/>
      <c r="O602" s="202"/>
      <c r="P602" s="202"/>
      <c r="Q602" s="202"/>
      <c r="R602" s="202"/>
      <c r="S602" s="202"/>
      <c r="T602" s="202"/>
    </row>
    <row r="603" spans="1:20" s="182" customFormat="1" ht="14.15" hidden="1">
      <c r="A603" s="222">
        <v>45329</v>
      </c>
      <c r="B603" s="201" t="s">
        <v>682</v>
      </c>
      <c r="C603" s="208" t="s">
        <v>146</v>
      </c>
      <c r="D603" s="592">
        <v>-5900</v>
      </c>
      <c r="E603" s="212">
        <v>45323</v>
      </c>
      <c r="F603" s="201" t="s">
        <v>109</v>
      </c>
      <c r="G603" s="208" t="s">
        <v>120</v>
      </c>
      <c r="H603" s="201"/>
      <c r="I603" s="201" t="s">
        <v>563</v>
      </c>
      <c r="J603" s="202"/>
      <c r="K603" s="202"/>
      <c r="L603" s="202"/>
      <c r="M603" s="202"/>
      <c r="N603" s="202"/>
      <c r="O603" s="202"/>
      <c r="P603" s="202"/>
      <c r="Q603" s="202"/>
      <c r="R603" s="202"/>
      <c r="S603" s="202"/>
      <c r="T603" s="202"/>
    </row>
    <row r="604" spans="1:20" s="182" customFormat="1" ht="14.15" hidden="1">
      <c r="A604" s="222">
        <v>45329</v>
      </c>
      <c r="B604" s="201" t="s">
        <v>682</v>
      </c>
      <c r="C604" s="208" t="s">
        <v>146</v>
      </c>
      <c r="D604" s="592">
        <v>-20000</v>
      </c>
      <c r="E604" s="212">
        <v>45323</v>
      </c>
      <c r="F604" s="201" t="s">
        <v>109</v>
      </c>
      <c r="G604" s="208" t="s">
        <v>120</v>
      </c>
      <c r="H604" s="201"/>
      <c r="I604" s="201" t="s">
        <v>563</v>
      </c>
      <c r="J604" s="202"/>
      <c r="K604" s="202"/>
      <c r="L604" s="202"/>
      <c r="M604" s="202"/>
      <c r="N604" s="202"/>
      <c r="O604" s="202"/>
      <c r="P604" s="202"/>
      <c r="Q604" s="202"/>
      <c r="R604" s="202"/>
      <c r="S604" s="202"/>
      <c r="T604" s="202"/>
    </row>
    <row r="605" spans="1:20" s="182" customFormat="1" ht="14.15" hidden="1">
      <c r="A605" s="222">
        <v>45330</v>
      </c>
      <c r="B605" s="201" t="s">
        <v>683</v>
      </c>
      <c r="C605" s="208" t="s">
        <v>27</v>
      </c>
      <c r="D605" s="592">
        <v>-1420000</v>
      </c>
      <c r="E605" s="212">
        <v>45323</v>
      </c>
      <c r="F605" s="291" t="s">
        <v>109</v>
      </c>
      <c r="G605" s="208" t="s">
        <v>120</v>
      </c>
      <c r="H605" s="208" t="s">
        <v>147</v>
      </c>
      <c r="I605" s="201"/>
      <c r="J605" s="202"/>
      <c r="K605" s="202"/>
      <c r="L605" s="202"/>
      <c r="M605" s="202"/>
      <c r="N605" s="202"/>
      <c r="O605" s="202"/>
      <c r="P605" s="202"/>
      <c r="Q605" s="202"/>
      <c r="R605" s="202"/>
      <c r="S605" s="202"/>
      <c r="T605" s="202"/>
    </row>
    <row r="606" spans="1:20" s="182" customFormat="1" ht="14.15" hidden="1">
      <c r="A606" s="222">
        <v>45330</v>
      </c>
      <c r="B606" s="201" t="s">
        <v>684</v>
      </c>
      <c r="C606" s="208" t="s">
        <v>27</v>
      </c>
      <c r="D606" s="592">
        <v>-15820</v>
      </c>
      <c r="E606" s="212">
        <v>45323</v>
      </c>
      <c r="F606" s="208" t="s">
        <v>109</v>
      </c>
      <c r="G606" s="208" t="s">
        <v>137</v>
      </c>
      <c r="H606" s="201" t="s">
        <v>585</v>
      </c>
      <c r="I606" s="201"/>
      <c r="J606" s="202"/>
      <c r="K606" s="202"/>
      <c r="L606" s="202"/>
      <c r="M606" s="202"/>
      <c r="N606" s="202"/>
      <c r="O606" s="202"/>
      <c r="P606" s="202"/>
      <c r="Q606" s="202"/>
      <c r="R606" s="202"/>
      <c r="S606" s="202"/>
      <c r="T606" s="202"/>
    </row>
    <row r="607" spans="1:20" s="182" customFormat="1" ht="14.15" hidden="1">
      <c r="A607" s="222">
        <v>45330</v>
      </c>
      <c r="B607" s="201" t="s">
        <v>685</v>
      </c>
      <c r="C607" s="208" t="s">
        <v>27</v>
      </c>
      <c r="D607" s="592">
        <v>-1246350</v>
      </c>
      <c r="E607" s="212">
        <v>45323</v>
      </c>
      <c r="F607" s="291" t="s">
        <v>110</v>
      </c>
      <c r="G607" s="208" t="s">
        <v>450</v>
      </c>
      <c r="H607" s="208" t="s">
        <v>175</v>
      </c>
      <c r="I607" s="201"/>
      <c r="J607" s="202"/>
      <c r="K607" s="202"/>
      <c r="L607" s="202"/>
      <c r="M607" s="202"/>
      <c r="N607" s="202"/>
      <c r="O607" s="202"/>
      <c r="P607" s="202"/>
      <c r="Q607" s="202"/>
      <c r="R607" s="202"/>
      <c r="S607" s="202"/>
      <c r="T607" s="202"/>
    </row>
    <row r="608" spans="1:20" s="182" customFormat="1" ht="14.15" hidden="1">
      <c r="A608" s="222">
        <v>45330</v>
      </c>
      <c r="B608" s="201" t="s">
        <v>686</v>
      </c>
      <c r="C608" s="208" t="s">
        <v>133</v>
      </c>
      <c r="D608" s="592">
        <v>-3150</v>
      </c>
      <c r="E608" s="212">
        <v>45323</v>
      </c>
      <c r="F608" s="291" t="s">
        <v>110</v>
      </c>
      <c r="G608" s="208" t="s">
        <v>450</v>
      </c>
      <c r="H608" s="201" t="s">
        <v>310</v>
      </c>
      <c r="I608" s="201"/>
      <c r="J608" s="202"/>
      <c r="K608" s="202"/>
      <c r="L608" s="202"/>
      <c r="M608" s="202"/>
      <c r="N608" s="202"/>
      <c r="O608" s="202"/>
      <c r="P608" s="202"/>
      <c r="Q608" s="202"/>
      <c r="R608" s="202"/>
      <c r="S608" s="202"/>
      <c r="T608" s="202"/>
    </row>
    <row r="609" spans="1:20" s="182" customFormat="1" ht="14.15" hidden="1">
      <c r="A609" s="222">
        <v>45330</v>
      </c>
      <c r="B609" s="201" t="s">
        <v>687</v>
      </c>
      <c r="C609" s="208" t="s">
        <v>146</v>
      </c>
      <c r="D609" s="592">
        <v>-33800</v>
      </c>
      <c r="E609" s="212">
        <v>45323</v>
      </c>
      <c r="F609" s="291" t="s">
        <v>109</v>
      </c>
      <c r="G609" s="208" t="s">
        <v>383</v>
      </c>
      <c r="H609" s="208" t="s">
        <v>175</v>
      </c>
      <c r="I609" s="201" t="s">
        <v>173</v>
      </c>
      <c r="J609" s="202"/>
      <c r="K609" s="202"/>
      <c r="L609" s="202"/>
      <c r="M609" s="202"/>
      <c r="N609" s="202"/>
      <c r="O609" s="202"/>
      <c r="P609" s="202"/>
      <c r="Q609" s="202"/>
      <c r="R609" s="202"/>
      <c r="S609" s="202"/>
      <c r="T609" s="202"/>
    </row>
    <row r="610" spans="1:20" s="182" customFormat="1" ht="14.15" hidden="1">
      <c r="A610" s="222">
        <v>45330</v>
      </c>
      <c r="B610" s="201" t="s">
        <v>688</v>
      </c>
      <c r="C610" s="208" t="s">
        <v>146</v>
      </c>
      <c r="D610" s="592">
        <v>-139825</v>
      </c>
      <c r="E610" s="212">
        <v>45323</v>
      </c>
      <c r="F610" s="291" t="s">
        <v>110</v>
      </c>
      <c r="G610" s="208" t="s">
        <v>450</v>
      </c>
      <c r="H610" s="208" t="s">
        <v>175</v>
      </c>
      <c r="I610" s="201" t="s">
        <v>173</v>
      </c>
      <c r="J610" s="202"/>
      <c r="K610" s="202"/>
      <c r="L610" s="202"/>
      <c r="M610" s="202"/>
      <c r="N610" s="202"/>
      <c r="O610" s="202"/>
      <c r="P610" s="202"/>
      <c r="Q610" s="202"/>
      <c r="R610" s="202"/>
      <c r="S610" s="202"/>
      <c r="T610" s="202"/>
    </row>
    <row r="611" spans="1:20" s="182" customFormat="1" ht="14.15" hidden="1">
      <c r="A611" s="222">
        <v>45330</v>
      </c>
      <c r="B611" s="201" t="s">
        <v>689</v>
      </c>
      <c r="C611" s="208" t="s">
        <v>146</v>
      </c>
      <c r="D611" s="592">
        <v>-204280</v>
      </c>
      <c r="E611" s="212">
        <v>45323</v>
      </c>
      <c r="F611" s="291" t="s">
        <v>110</v>
      </c>
      <c r="G611" s="208" t="s">
        <v>450</v>
      </c>
      <c r="H611" s="208" t="s">
        <v>175</v>
      </c>
      <c r="I611" s="201" t="s">
        <v>173</v>
      </c>
      <c r="J611" s="202"/>
      <c r="K611" s="202"/>
      <c r="L611" s="202"/>
      <c r="M611" s="202"/>
      <c r="N611" s="202"/>
      <c r="O611" s="202"/>
      <c r="P611" s="202"/>
      <c r="Q611" s="202"/>
      <c r="R611" s="202"/>
      <c r="S611" s="202"/>
      <c r="T611" s="202"/>
    </row>
    <row r="612" spans="1:20" s="182" customFormat="1" ht="14.15" hidden="1">
      <c r="A612" s="222">
        <v>45330</v>
      </c>
      <c r="B612" s="201" t="s">
        <v>690</v>
      </c>
      <c r="C612" s="208" t="s">
        <v>146</v>
      </c>
      <c r="D612" s="592">
        <v>-81100</v>
      </c>
      <c r="E612" s="212">
        <v>45323</v>
      </c>
      <c r="F612" s="291" t="s">
        <v>110</v>
      </c>
      <c r="G612" s="208" t="s">
        <v>450</v>
      </c>
      <c r="H612" s="208" t="s">
        <v>175</v>
      </c>
      <c r="I612" s="201" t="s">
        <v>173</v>
      </c>
      <c r="J612" s="202"/>
      <c r="K612" s="202"/>
      <c r="L612" s="202"/>
      <c r="M612" s="202"/>
      <c r="N612" s="202"/>
      <c r="O612" s="202"/>
      <c r="P612" s="202"/>
      <c r="Q612" s="202"/>
      <c r="R612" s="202"/>
      <c r="S612" s="202"/>
      <c r="T612" s="202"/>
    </row>
    <row r="613" spans="1:20" s="182" customFormat="1" ht="14.15" hidden="1">
      <c r="A613" s="222">
        <v>45330</v>
      </c>
      <c r="B613" s="201" t="s">
        <v>691</v>
      </c>
      <c r="C613" s="208" t="s">
        <v>146</v>
      </c>
      <c r="D613" s="592">
        <v>-20000</v>
      </c>
      <c r="E613" s="212">
        <v>45323</v>
      </c>
      <c r="F613" s="291" t="s">
        <v>110</v>
      </c>
      <c r="G613" s="208" t="s">
        <v>450</v>
      </c>
      <c r="H613" s="81" t="s">
        <v>138</v>
      </c>
      <c r="I613" s="201" t="s">
        <v>173</v>
      </c>
      <c r="J613" s="202"/>
      <c r="K613" s="202"/>
      <c r="L613" s="202"/>
      <c r="M613" s="202"/>
      <c r="N613" s="202"/>
      <c r="O613" s="202"/>
      <c r="P613" s="202"/>
      <c r="Q613" s="202"/>
      <c r="R613" s="202"/>
      <c r="S613" s="202"/>
      <c r="T613" s="202"/>
    </row>
    <row r="614" spans="1:20" s="182" customFormat="1" ht="14.15" hidden="1">
      <c r="A614" s="222">
        <v>45330</v>
      </c>
      <c r="B614" s="201" t="s">
        <v>691</v>
      </c>
      <c r="C614" s="208" t="s">
        <v>146</v>
      </c>
      <c r="D614" s="592">
        <v>-25000</v>
      </c>
      <c r="E614" s="212">
        <v>45323</v>
      </c>
      <c r="F614" s="291" t="s">
        <v>110</v>
      </c>
      <c r="G614" s="208" t="s">
        <v>450</v>
      </c>
      <c r="H614" s="81" t="s">
        <v>138</v>
      </c>
      <c r="I614" s="201" t="s">
        <v>173</v>
      </c>
      <c r="J614" s="202"/>
      <c r="K614" s="202"/>
      <c r="L614" s="202"/>
      <c r="M614" s="202"/>
      <c r="N614" s="202"/>
      <c r="O614" s="202"/>
      <c r="P614" s="202"/>
      <c r="Q614" s="202"/>
      <c r="R614" s="202"/>
      <c r="S614" s="202"/>
      <c r="T614" s="202"/>
    </row>
    <row r="615" spans="1:20" s="182" customFormat="1" ht="14.15" hidden="1">
      <c r="A615" s="222">
        <v>45330</v>
      </c>
      <c r="B615" s="201" t="s">
        <v>691</v>
      </c>
      <c r="C615" s="208" t="s">
        <v>146</v>
      </c>
      <c r="D615" s="592">
        <v>-25000</v>
      </c>
      <c r="E615" s="212">
        <v>45323</v>
      </c>
      <c r="F615" s="291" t="s">
        <v>110</v>
      </c>
      <c r="G615" s="208" t="s">
        <v>450</v>
      </c>
      <c r="H615" s="81" t="s">
        <v>138</v>
      </c>
      <c r="I615" s="201" t="s">
        <v>173</v>
      </c>
      <c r="J615" s="202"/>
      <c r="K615" s="202"/>
      <c r="L615" s="202"/>
      <c r="M615" s="202"/>
      <c r="N615" s="202"/>
      <c r="O615" s="202"/>
      <c r="P615" s="202"/>
      <c r="Q615" s="202"/>
      <c r="R615" s="202"/>
      <c r="S615" s="202"/>
      <c r="T615" s="202"/>
    </row>
    <row r="616" spans="1:20" s="182" customFormat="1" ht="14.15" hidden="1">
      <c r="A616" s="222">
        <v>45330</v>
      </c>
      <c r="B616" s="201" t="s">
        <v>691</v>
      </c>
      <c r="C616" s="208" t="s">
        <v>146</v>
      </c>
      <c r="D616" s="592">
        <v>-25000</v>
      </c>
      <c r="E616" s="212">
        <v>45323</v>
      </c>
      <c r="F616" s="291" t="s">
        <v>110</v>
      </c>
      <c r="G616" s="208" t="s">
        <v>450</v>
      </c>
      <c r="H616" s="81" t="s">
        <v>138</v>
      </c>
      <c r="I616" s="201" t="s">
        <v>173</v>
      </c>
      <c r="J616" s="202"/>
      <c r="K616" s="202"/>
      <c r="L616" s="202"/>
      <c r="M616" s="202"/>
      <c r="N616" s="202"/>
      <c r="O616" s="202"/>
      <c r="P616" s="202"/>
      <c r="Q616" s="202"/>
      <c r="R616" s="202"/>
      <c r="S616" s="202"/>
      <c r="T616" s="202"/>
    </row>
    <row r="617" spans="1:20" s="182" customFormat="1" ht="14.15" hidden="1">
      <c r="A617" s="222">
        <v>45330</v>
      </c>
      <c r="B617" s="201" t="s">
        <v>692</v>
      </c>
      <c r="C617" s="208" t="s">
        <v>146</v>
      </c>
      <c r="D617" s="592">
        <v>-5000</v>
      </c>
      <c r="E617" s="212">
        <v>45323</v>
      </c>
      <c r="F617" s="291" t="s">
        <v>110</v>
      </c>
      <c r="G617" s="208" t="s">
        <v>450</v>
      </c>
      <c r="H617" s="81" t="s">
        <v>138</v>
      </c>
      <c r="I617" s="201" t="s">
        <v>173</v>
      </c>
      <c r="J617" s="202"/>
      <c r="K617" s="202"/>
      <c r="L617" s="202"/>
      <c r="M617" s="202"/>
      <c r="N617" s="202"/>
      <c r="O617" s="202"/>
      <c r="P617" s="202"/>
      <c r="Q617" s="202"/>
      <c r="R617" s="202"/>
      <c r="S617" s="202"/>
      <c r="T617" s="202"/>
    </row>
    <row r="618" spans="1:20" s="182" customFormat="1" ht="14.15" hidden="1">
      <c r="A618" s="222">
        <v>45330</v>
      </c>
      <c r="B618" s="201" t="s">
        <v>693</v>
      </c>
      <c r="C618" s="208" t="s">
        <v>146</v>
      </c>
      <c r="D618" s="592">
        <v>-5000</v>
      </c>
      <c r="E618" s="212">
        <v>45323</v>
      </c>
      <c r="F618" s="291" t="s">
        <v>110</v>
      </c>
      <c r="G618" s="208" t="s">
        <v>450</v>
      </c>
      <c r="H618" s="81" t="s">
        <v>138</v>
      </c>
      <c r="I618" s="201" t="s">
        <v>173</v>
      </c>
      <c r="J618" s="202"/>
      <c r="K618" s="202"/>
      <c r="L618" s="202"/>
      <c r="M618" s="202"/>
      <c r="N618" s="202"/>
      <c r="O618" s="202"/>
      <c r="P618" s="202"/>
      <c r="Q618" s="202"/>
      <c r="R618" s="202"/>
      <c r="S618" s="202"/>
      <c r="T618" s="202"/>
    </row>
    <row r="619" spans="1:20" s="182" customFormat="1" ht="14.15" hidden="1">
      <c r="A619" s="222">
        <v>45330</v>
      </c>
      <c r="B619" s="201" t="s">
        <v>694</v>
      </c>
      <c r="C619" s="208" t="s">
        <v>181</v>
      </c>
      <c r="D619" s="592">
        <v>3000000</v>
      </c>
      <c r="E619" s="212">
        <v>45323</v>
      </c>
      <c r="F619" s="291" t="s">
        <v>108</v>
      </c>
      <c r="G619" s="201"/>
      <c r="H619" s="201"/>
      <c r="I619" s="201"/>
      <c r="J619" s="202"/>
      <c r="K619" s="202"/>
      <c r="L619" s="202"/>
      <c r="M619" s="202"/>
      <c r="N619" s="202"/>
      <c r="O619" s="202"/>
      <c r="P619" s="202"/>
      <c r="Q619" s="202"/>
      <c r="R619" s="202"/>
      <c r="S619" s="202"/>
      <c r="T619" s="202"/>
    </row>
    <row r="620" spans="1:20" s="182" customFormat="1" ht="14.15" hidden="1">
      <c r="A620" s="605">
        <v>45330</v>
      </c>
      <c r="B620" s="201" t="s">
        <v>695</v>
      </c>
      <c r="C620" s="208" t="s">
        <v>146</v>
      </c>
      <c r="D620" s="592">
        <v>-14700</v>
      </c>
      <c r="E620" s="212">
        <v>45323</v>
      </c>
      <c r="F620" s="291" t="s">
        <v>109</v>
      </c>
      <c r="G620" s="208" t="s">
        <v>120</v>
      </c>
      <c r="H620" s="208" t="s">
        <v>147</v>
      </c>
      <c r="I620" s="201" t="s">
        <v>563</v>
      </c>
      <c r="J620" s="202"/>
      <c r="K620" s="202"/>
      <c r="L620" s="202"/>
      <c r="M620" s="202"/>
      <c r="N620" s="202"/>
      <c r="O620" s="202"/>
      <c r="P620" s="202"/>
      <c r="Q620" s="202"/>
      <c r="R620" s="202"/>
      <c r="S620" s="202"/>
      <c r="T620" s="202"/>
    </row>
    <row r="621" spans="1:20" s="182" customFormat="1" ht="14.15" hidden="1">
      <c r="A621" s="222">
        <v>45330</v>
      </c>
      <c r="B621" s="201" t="s">
        <v>696</v>
      </c>
      <c r="C621" s="208" t="s">
        <v>146</v>
      </c>
      <c r="D621" s="592">
        <v>-285000</v>
      </c>
      <c r="E621" s="212">
        <v>45323</v>
      </c>
      <c r="F621" s="291" t="s">
        <v>109</v>
      </c>
      <c r="G621" s="208" t="s">
        <v>120</v>
      </c>
      <c r="H621" s="208" t="s">
        <v>175</v>
      </c>
      <c r="I621" s="201" t="s">
        <v>566</v>
      </c>
      <c r="J621" s="202"/>
      <c r="K621" s="202"/>
      <c r="L621" s="202"/>
      <c r="M621" s="202"/>
      <c r="N621" s="202"/>
      <c r="O621" s="202"/>
      <c r="P621" s="202"/>
      <c r="Q621" s="202"/>
      <c r="R621" s="202"/>
      <c r="S621" s="202"/>
      <c r="T621" s="202"/>
    </row>
    <row r="622" spans="1:20" s="182" customFormat="1" ht="14.15" hidden="1">
      <c r="A622" s="222">
        <v>45330</v>
      </c>
      <c r="B622" s="201" t="s">
        <v>697</v>
      </c>
      <c r="C622" s="208" t="s">
        <v>146</v>
      </c>
      <c r="D622" s="592">
        <v>-188000</v>
      </c>
      <c r="E622" s="212">
        <v>45323</v>
      </c>
      <c r="F622" s="291" t="s">
        <v>109</v>
      </c>
      <c r="G622" s="208" t="s">
        <v>120</v>
      </c>
      <c r="H622" s="208" t="s">
        <v>175</v>
      </c>
      <c r="I622" s="201" t="s">
        <v>566</v>
      </c>
      <c r="J622" s="202"/>
      <c r="K622" s="202"/>
      <c r="L622" s="202"/>
      <c r="M622" s="202"/>
      <c r="N622" s="202"/>
      <c r="O622" s="202"/>
      <c r="P622" s="202"/>
      <c r="Q622" s="202"/>
      <c r="R622" s="202"/>
      <c r="S622" s="202"/>
      <c r="T622" s="202"/>
    </row>
    <row r="623" spans="1:20" s="182" customFormat="1" ht="14.15" hidden="1">
      <c r="A623" s="222">
        <v>45330</v>
      </c>
      <c r="B623" s="201" t="s">
        <v>698</v>
      </c>
      <c r="C623" s="208" t="s">
        <v>146</v>
      </c>
      <c r="D623" s="592">
        <v>-40000</v>
      </c>
      <c r="E623" s="212">
        <v>45323</v>
      </c>
      <c r="F623" s="291" t="s">
        <v>109</v>
      </c>
      <c r="G623" s="208" t="s">
        <v>120</v>
      </c>
      <c r="H623" s="81" t="s">
        <v>138</v>
      </c>
      <c r="I623" s="201" t="s">
        <v>566</v>
      </c>
      <c r="J623" s="202"/>
      <c r="K623" s="202"/>
      <c r="L623" s="202"/>
      <c r="M623" s="202"/>
      <c r="N623" s="202"/>
      <c r="O623" s="202"/>
      <c r="P623" s="202"/>
      <c r="Q623" s="202"/>
      <c r="R623" s="202"/>
      <c r="S623" s="202"/>
      <c r="T623" s="202"/>
    </row>
    <row r="624" spans="1:20" s="182" customFormat="1" ht="14.15" hidden="1">
      <c r="A624" s="222">
        <v>45330</v>
      </c>
      <c r="B624" s="201" t="s">
        <v>699</v>
      </c>
      <c r="C624" s="208" t="s">
        <v>146</v>
      </c>
      <c r="D624" s="592">
        <v>-30000</v>
      </c>
      <c r="E624" s="212">
        <v>45323</v>
      </c>
      <c r="F624" s="291" t="s">
        <v>109</v>
      </c>
      <c r="G624" s="208" t="s">
        <v>120</v>
      </c>
      <c r="H624" s="201"/>
      <c r="I624" s="201" t="s">
        <v>566</v>
      </c>
      <c r="J624" s="202"/>
      <c r="K624" s="202"/>
      <c r="L624" s="202"/>
      <c r="M624" s="202"/>
      <c r="N624" s="202"/>
      <c r="O624" s="202"/>
      <c r="P624" s="202"/>
      <c r="Q624" s="202"/>
      <c r="R624" s="202"/>
      <c r="S624" s="202"/>
      <c r="T624" s="202"/>
    </row>
    <row r="625" spans="1:20" s="182" customFormat="1" ht="14.15" hidden="1">
      <c r="A625" s="222">
        <v>45330</v>
      </c>
      <c r="B625" s="201" t="s">
        <v>700</v>
      </c>
      <c r="C625" s="208" t="s">
        <v>146</v>
      </c>
      <c r="D625" s="592">
        <v>-68000</v>
      </c>
      <c r="E625" s="212">
        <v>45323</v>
      </c>
      <c r="F625" s="291" t="s">
        <v>109</v>
      </c>
      <c r="G625" s="208" t="s">
        <v>120</v>
      </c>
      <c r="H625" s="208" t="s">
        <v>175</v>
      </c>
      <c r="I625" s="201" t="s">
        <v>566</v>
      </c>
      <c r="J625" s="202"/>
      <c r="K625" s="202"/>
      <c r="L625" s="202"/>
      <c r="M625" s="202"/>
      <c r="N625" s="202"/>
      <c r="O625" s="202"/>
      <c r="P625" s="202"/>
      <c r="Q625" s="202"/>
      <c r="R625" s="202"/>
      <c r="S625" s="202"/>
      <c r="T625" s="202"/>
    </row>
    <row r="626" spans="1:20" s="182" customFormat="1" ht="14.15" hidden="1">
      <c r="A626" s="222">
        <v>45330</v>
      </c>
      <c r="B626" s="201" t="s">
        <v>701</v>
      </c>
      <c r="C626" s="208" t="s">
        <v>146</v>
      </c>
      <c r="D626" s="592">
        <v>-10000</v>
      </c>
      <c r="E626" s="212">
        <v>45323</v>
      </c>
      <c r="F626" s="291" t="s">
        <v>109</v>
      </c>
      <c r="G626" s="208" t="s">
        <v>120</v>
      </c>
      <c r="H626" s="208" t="s">
        <v>175</v>
      </c>
      <c r="I626" s="201" t="s">
        <v>566</v>
      </c>
      <c r="J626" s="202"/>
      <c r="K626" s="202"/>
      <c r="L626" s="202"/>
      <c r="M626" s="202"/>
      <c r="N626" s="202"/>
      <c r="O626" s="202"/>
      <c r="P626" s="202"/>
      <c r="Q626" s="202"/>
      <c r="R626" s="202"/>
      <c r="S626" s="202"/>
      <c r="T626" s="202"/>
    </row>
    <row r="627" spans="1:20" s="182" customFormat="1" ht="14.15" hidden="1">
      <c r="A627" s="222">
        <v>45330</v>
      </c>
      <c r="B627" s="201" t="s">
        <v>702</v>
      </c>
      <c r="C627" s="208" t="s">
        <v>146</v>
      </c>
      <c r="D627" s="592">
        <v>-32900</v>
      </c>
      <c r="E627" s="212">
        <v>45323</v>
      </c>
      <c r="F627" s="291" t="s">
        <v>130</v>
      </c>
      <c r="G627" s="208" t="s">
        <v>130</v>
      </c>
      <c r="H627" s="201" t="s">
        <v>184</v>
      </c>
      <c r="I627" s="201" t="s">
        <v>173</v>
      </c>
      <c r="J627" s="202"/>
      <c r="K627" s="202"/>
      <c r="L627" s="202"/>
      <c r="M627" s="202"/>
      <c r="N627" s="202"/>
      <c r="O627" s="202"/>
      <c r="P627" s="202"/>
      <c r="Q627" s="202"/>
      <c r="R627" s="202"/>
      <c r="S627" s="202"/>
      <c r="T627" s="202"/>
    </row>
    <row r="628" spans="1:20" s="182" customFormat="1" ht="14.15" hidden="1">
      <c r="A628" s="222">
        <v>45330</v>
      </c>
      <c r="B628" s="201" t="s">
        <v>703</v>
      </c>
      <c r="C628" s="208" t="s">
        <v>141</v>
      </c>
      <c r="D628" s="592">
        <v>-284074</v>
      </c>
      <c r="E628" s="212">
        <v>45323</v>
      </c>
      <c r="F628" s="201" t="s">
        <v>130</v>
      </c>
      <c r="G628" s="201" t="s">
        <v>257</v>
      </c>
      <c r="H628" s="201" t="s">
        <v>659</v>
      </c>
      <c r="I628" s="201"/>
      <c r="J628" s="202"/>
      <c r="K628" s="202"/>
      <c r="L628" s="202"/>
      <c r="M628" s="202"/>
      <c r="N628" s="202"/>
      <c r="O628" s="202"/>
      <c r="P628" s="202"/>
      <c r="Q628" s="202"/>
      <c r="R628" s="202"/>
      <c r="S628" s="202"/>
      <c r="T628" s="202"/>
    </row>
    <row r="629" spans="1:20" s="182" customFormat="1" ht="14.15" hidden="1">
      <c r="A629" s="222">
        <v>45330</v>
      </c>
      <c r="B629" s="201" t="s">
        <v>704</v>
      </c>
      <c r="C629" s="208" t="s">
        <v>27</v>
      </c>
      <c r="D629" s="592">
        <v>-1240000</v>
      </c>
      <c r="E629" s="212">
        <v>45323</v>
      </c>
      <c r="F629" s="201" t="s">
        <v>109</v>
      </c>
      <c r="G629" s="208" t="s">
        <v>120</v>
      </c>
      <c r="H629" s="201"/>
      <c r="I629" s="201"/>
      <c r="J629" s="202"/>
      <c r="K629" s="202"/>
      <c r="L629" s="202"/>
      <c r="M629" s="202"/>
      <c r="N629" s="202"/>
      <c r="O629" s="202"/>
      <c r="P629" s="202"/>
      <c r="Q629" s="202"/>
      <c r="R629" s="202"/>
      <c r="S629" s="202"/>
      <c r="T629" s="202"/>
    </row>
    <row r="630" spans="1:20" s="182" customFormat="1" ht="14.15" hidden="1">
      <c r="A630" s="222">
        <v>45331</v>
      </c>
      <c r="B630" s="201" t="s">
        <v>705</v>
      </c>
      <c r="C630" s="208" t="s">
        <v>27</v>
      </c>
      <c r="D630" s="592">
        <v>-640000</v>
      </c>
      <c r="E630" s="212">
        <v>45323</v>
      </c>
      <c r="F630" s="291" t="s">
        <v>109</v>
      </c>
      <c r="G630" s="208" t="s">
        <v>383</v>
      </c>
      <c r="H630" s="208" t="s">
        <v>175</v>
      </c>
      <c r="I630" s="201"/>
      <c r="J630" s="202"/>
      <c r="K630" s="202"/>
      <c r="L630" s="202"/>
      <c r="M630" s="202"/>
      <c r="N630" s="202"/>
      <c r="O630" s="202"/>
      <c r="P630" s="202"/>
      <c r="Q630" s="202"/>
      <c r="R630" s="202"/>
      <c r="S630" s="202"/>
      <c r="T630" s="202"/>
    </row>
    <row r="631" spans="1:20" s="182" customFormat="1" ht="14.6" hidden="1">
      <c r="A631" s="222">
        <v>45331</v>
      </c>
      <c r="B631" s="201" t="s">
        <v>706</v>
      </c>
      <c r="C631" s="208" t="s">
        <v>27</v>
      </c>
      <c r="D631" s="592">
        <v>500000000</v>
      </c>
      <c r="E631" s="212">
        <v>45323</v>
      </c>
      <c r="F631" s="883" t="s">
        <v>707</v>
      </c>
      <c r="G631" s="208" t="s">
        <v>120</v>
      </c>
      <c r="H631" s="201" t="s">
        <v>461</v>
      </c>
      <c r="I631" s="201"/>
      <c r="J631" s="202"/>
      <c r="K631" s="202"/>
      <c r="L631" s="202"/>
      <c r="M631" s="202"/>
      <c r="N631" s="202"/>
      <c r="O631" s="202"/>
      <c r="P631" s="202"/>
      <c r="Q631" s="202"/>
      <c r="R631" s="202"/>
      <c r="S631" s="202"/>
      <c r="T631" s="202"/>
    </row>
    <row r="632" spans="1:20" s="182" customFormat="1" ht="14.15" hidden="1">
      <c r="A632" s="222">
        <v>45331</v>
      </c>
      <c r="B632" s="201" t="s">
        <v>708</v>
      </c>
      <c r="C632" s="208" t="s">
        <v>146</v>
      </c>
      <c r="D632" s="592">
        <v>-12000</v>
      </c>
      <c r="E632" s="212">
        <v>45323</v>
      </c>
      <c r="F632" s="291" t="s">
        <v>110</v>
      </c>
      <c r="G632" s="208" t="s">
        <v>450</v>
      </c>
      <c r="H632" s="81" t="s">
        <v>138</v>
      </c>
      <c r="I632" s="201"/>
      <c r="J632" s="202"/>
      <c r="K632" s="202"/>
      <c r="L632" s="202"/>
      <c r="M632" s="202"/>
      <c r="N632" s="202"/>
      <c r="O632" s="202"/>
      <c r="P632" s="202"/>
      <c r="Q632" s="202"/>
      <c r="R632" s="202"/>
      <c r="S632" s="202"/>
      <c r="T632" s="202"/>
    </row>
    <row r="633" spans="1:20" s="182" customFormat="1" ht="14.15" hidden="1">
      <c r="A633" s="222">
        <v>45331</v>
      </c>
      <c r="B633" s="201" t="s">
        <v>709</v>
      </c>
      <c r="C633" s="208" t="s">
        <v>27</v>
      </c>
      <c r="D633" s="592">
        <v>-11507206</v>
      </c>
      <c r="E633" s="212">
        <v>45323</v>
      </c>
      <c r="F633" s="291" t="s">
        <v>110</v>
      </c>
      <c r="G633" s="208" t="s">
        <v>453</v>
      </c>
      <c r="H633" s="201" t="s">
        <v>310</v>
      </c>
      <c r="I633" s="201"/>
      <c r="J633" s="202"/>
      <c r="K633" s="202"/>
      <c r="L633" s="202"/>
      <c r="M633" s="202"/>
      <c r="N633" s="202"/>
      <c r="O633" s="202"/>
      <c r="P633" s="202"/>
      <c r="Q633" s="202"/>
      <c r="R633" s="202"/>
      <c r="S633" s="202"/>
      <c r="T633" s="202"/>
    </row>
    <row r="634" spans="1:20" s="182" customFormat="1" ht="14.15" hidden="1">
      <c r="A634" s="222">
        <v>45331</v>
      </c>
      <c r="B634" s="201" t="s">
        <v>710</v>
      </c>
      <c r="C634" s="208" t="s">
        <v>146</v>
      </c>
      <c r="D634" s="592">
        <v>-10000</v>
      </c>
      <c r="E634" s="212">
        <v>45323</v>
      </c>
      <c r="F634" s="291" t="s">
        <v>109</v>
      </c>
      <c r="G634" s="208" t="s">
        <v>120</v>
      </c>
      <c r="H634" s="81" t="s">
        <v>138</v>
      </c>
      <c r="I634" s="201" t="s">
        <v>173</v>
      </c>
      <c r="J634" s="202"/>
      <c r="K634" s="202"/>
      <c r="L634" s="202"/>
      <c r="M634" s="202"/>
      <c r="N634" s="202"/>
      <c r="O634" s="202"/>
      <c r="P634" s="202"/>
      <c r="Q634" s="202"/>
      <c r="R634" s="202"/>
      <c r="S634" s="202"/>
      <c r="T634" s="202"/>
    </row>
    <row r="635" spans="1:20" s="182" customFormat="1" ht="14.15" hidden="1">
      <c r="A635" s="222">
        <v>45331</v>
      </c>
      <c r="B635" s="201" t="s">
        <v>711</v>
      </c>
      <c r="C635" s="208" t="s">
        <v>27</v>
      </c>
      <c r="D635" s="592">
        <v>-7900</v>
      </c>
      <c r="E635" s="212">
        <v>45323</v>
      </c>
      <c r="F635" s="291" t="s">
        <v>130</v>
      </c>
      <c r="G635" s="208" t="s">
        <v>130</v>
      </c>
      <c r="H635" s="201" t="s">
        <v>184</v>
      </c>
      <c r="I635" s="201"/>
      <c r="J635" s="202"/>
      <c r="K635" s="202"/>
      <c r="L635" s="202"/>
      <c r="M635" s="202"/>
      <c r="N635" s="202"/>
      <c r="O635" s="202"/>
      <c r="P635" s="202"/>
      <c r="Q635" s="202"/>
      <c r="R635" s="202"/>
      <c r="S635" s="202"/>
      <c r="T635" s="202"/>
    </row>
    <row r="636" spans="1:20" s="182" customFormat="1" ht="14.15" hidden="1">
      <c r="A636" s="222">
        <v>45331</v>
      </c>
      <c r="B636" s="201" t="s">
        <v>712</v>
      </c>
      <c r="C636" s="208" t="s">
        <v>146</v>
      </c>
      <c r="D636" s="592">
        <v>-173300</v>
      </c>
      <c r="E636" s="212">
        <v>45323</v>
      </c>
      <c r="F636" s="291" t="s">
        <v>130</v>
      </c>
      <c r="G636" s="208" t="s">
        <v>130</v>
      </c>
      <c r="H636" s="201" t="s">
        <v>184</v>
      </c>
      <c r="I636" s="201"/>
      <c r="J636" s="202"/>
      <c r="K636" s="202"/>
      <c r="L636" s="202"/>
      <c r="M636" s="202"/>
      <c r="N636" s="202"/>
      <c r="O636" s="202"/>
      <c r="P636" s="202"/>
      <c r="Q636" s="202"/>
      <c r="R636" s="202"/>
      <c r="S636" s="202"/>
      <c r="T636" s="202"/>
    </row>
    <row r="637" spans="1:20" s="182" customFormat="1" ht="14.15" hidden="1">
      <c r="A637" s="222">
        <v>45331</v>
      </c>
      <c r="B637" s="201" t="s">
        <v>713</v>
      </c>
      <c r="C637" s="208" t="s">
        <v>146</v>
      </c>
      <c r="D637" s="592">
        <v>-173300</v>
      </c>
      <c r="E637" s="212">
        <v>45323</v>
      </c>
      <c r="F637" s="291" t="s">
        <v>130</v>
      </c>
      <c r="G637" s="208" t="s">
        <v>130</v>
      </c>
      <c r="H637" s="201" t="s">
        <v>184</v>
      </c>
      <c r="I637" s="201"/>
      <c r="J637" s="202"/>
      <c r="K637" s="202"/>
      <c r="L637" s="202"/>
      <c r="M637" s="202"/>
      <c r="N637" s="202"/>
      <c r="O637" s="202"/>
      <c r="P637" s="202"/>
      <c r="Q637" s="202"/>
      <c r="R637" s="202"/>
      <c r="S637" s="202"/>
      <c r="T637" s="202"/>
    </row>
    <row r="638" spans="1:20" s="182" customFormat="1" ht="14.15" hidden="1">
      <c r="A638" s="222">
        <v>45331</v>
      </c>
      <c r="B638" s="201" t="s">
        <v>714</v>
      </c>
      <c r="C638" s="208" t="s">
        <v>146</v>
      </c>
      <c r="D638" s="592">
        <v>-66200</v>
      </c>
      <c r="E638" s="212">
        <v>45323</v>
      </c>
      <c r="F638" s="291" t="s">
        <v>130</v>
      </c>
      <c r="G638" s="208" t="s">
        <v>130</v>
      </c>
      <c r="H638" s="201" t="s">
        <v>184</v>
      </c>
      <c r="I638" s="201"/>
      <c r="J638" s="202"/>
      <c r="K638" s="202"/>
      <c r="L638" s="202"/>
      <c r="M638" s="202"/>
      <c r="N638" s="202"/>
      <c r="O638" s="202"/>
      <c r="P638" s="202"/>
      <c r="Q638" s="202"/>
      <c r="R638" s="202"/>
      <c r="S638" s="202"/>
      <c r="T638" s="202"/>
    </row>
    <row r="639" spans="1:20" s="182" customFormat="1" ht="14.15" hidden="1">
      <c r="A639" s="222">
        <v>45331</v>
      </c>
      <c r="B639" s="201" t="s">
        <v>715</v>
      </c>
      <c r="C639" s="208" t="s">
        <v>141</v>
      </c>
      <c r="D639" s="592">
        <v>-95520</v>
      </c>
      <c r="E639" s="212">
        <v>45323</v>
      </c>
      <c r="F639" s="201" t="s">
        <v>130</v>
      </c>
      <c r="G639" s="208" t="s">
        <v>130</v>
      </c>
      <c r="H639" s="208" t="s">
        <v>143</v>
      </c>
      <c r="I639" s="201"/>
      <c r="J639" s="202"/>
      <c r="K639" s="202"/>
      <c r="L639" s="202"/>
      <c r="M639" s="202"/>
      <c r="N639" s="202"/>
      <c r="O639" s="202"/>
      <c r="P639" s="202"/>
      <c r="Q639" s="202"/>
      <c r="R639" s="202"/>
      <c r="S639" s="202"/>
      <c r="T639" s="202"/>
    </row>
    <row r="640" spans="1:20" s="182" customFormat="1" ht="14.15" hidden="1">
      <c r="A640" s="222">
        <v>45331</v>
      </c>
      <c r="B640" s="201" t="s">
        <v>716</v>
      </c>
      <c r="C640" s="208" t="s">
        <v>146</v>
      </c>
      <c r="D640" s="592">
        <v>-120000</v>
      </c>
      <c r="E640" s="212">
        <v>45323</v>
      </c>
      <c r="F640" s="201" t="s">
        <v>109</v>
      </c>
      <c r="G640" s="208" t="s">
        <v>383</v>
      </c>
      <c r="H640" s="81" t="s">
        <v>138</v>
      </c>
      <c r="I640" s="201" t="s">
        <v>173</v>
      </c>
      <c r="J640" s="202"/>
      <c r="K640" s="202"/>
      <c r="L640" s="202"/>
      <c r="M640" s="202"/>
      <c r="N640" s="202"/>
      <c r="O640" s="202"/>
      <c r="P640" s="202"/>
      <c r="Q640" s="202"/>
      <c r="R640" s="202"/>
      <c r="S640" s="202"/>
      <c r="T640" s="202"/>
    </row>
    <row r="641" spans="1:20" s="182" customFormat="1" ht="14.15" hidden="1">
      <c r="A641" s="222">
        <v>45331</v>
      </c>
      <c r="B641" s="201" t="s">
        <v>717</v>
      </c>
      <c r="C641" s="208" t="s">
        <v>27</v>
      </c>
      <c r="D641" s="592">
        <v>-562300</v>
      </c>
      <c r="E641" s="212">
        <v>45323</v>
      </c>
      <c r="F641" s="201" t="s">
        <v>207</v>
      </c>
      <c r="G641" s="201"/>
      <c r="H641" s="201"/>
      <c r="I641" s="201"/>
      <c r="J641" s="202"/>
      <c r="K641" s="202"/>
      <c r="L641" s="202"/>
      <c r="M641" s="202"/>
      <c r="N641" s="202"/>
      <c r="O641" s="202"/>
      <c r="P641" s="202"/>
      <c r="Q641" s="202"/>
      <c r="R641" s="202"/>
      <c r="S641" s="202"/>
      <c r="T641" s="202"/>
    </row>
    <row r="642" spans="1:20" s="182" customFormat="1" ht="14.15" hidden="1">
      <c r="A642" s="222">
        <v>45331</v>
      </c>
      <c r="B642" s="201" t="s">
        <v>718</v>
      </c>
      <c r="C642" s="208" t="s">
        <v>146</v>
      </c>
      <c r="D642" s="592">
        <v>-25740</v>
      </c>
      <c r="E642" s="212">
        <v>45323</v>
      </c>
      <c r="F642" s="201" t="s">
        <v>109</v>
      </c>
      <c r="G642" s="208" t="s">
        <v>383</v>
      </c>
      <c r="H642" s="208" t="s">
        <v>175</v>
      </c>
      <c r="I642" s="201" t="s">
        <v>173</v>
      </c>
      <c r="J642" s="202"/>
      <c r="K642" s="202"/>
      <c r="L642" s="202"/>
      <c r="M642" s="202"/>
      <c r="N642" s="202"/>
      <c r="O642" s="202"/>
      <c r="P642" s="202"/>
      <c r="Q642" s="202"/>
      <c r="R642" s="202"/>
      <c r="S642" s="202"/>
      <c r="T642" s="202"/>
    </row>
    <row r="643" spans="1:20" s="182" customFormat="1" ht="14.15" hidden="1">
      <c r="A643" s="222">
        <v>45331</v>
      </c>
      <c r="B643" s="201" t="s">
        <v>719</v>
      </c>
      <c r="C643" s="208" t="s">
        <v>146</v>
      </c>
      <c r="D643" s="592">
        <v>-10528</v>
      </c>
      <c r="E643" s="212">
        <v>45323</v>
      </c>
      <c r="F643" s="201" t="s">
        <v>109</v>
      </c>
      <c r="G643" s="208" t="s">
        <v>383</v>
      </c>
      <c r="H643" s="208" t="s">
        <v>175</v>
      </c>
      <c r="I643" s="201" t="s">
        <v>173</v>
      </c>
      <c r="J643" s="202"/>
      <c r="K643" s="202"/>
      <c r="L643" s="202"/>
      <c r="M643" s="202"/>
      <c r="N643" s="202"/>
      <c r="O643" s="202"/>
      <c r="P643" s="202"/>
      <c r="Q643" s="202"/>
      <c r="R643" s="202"/>
      <c r="S643" s="202"/>
      <c r="T643" s="202"/>
    </row>
    <row r="644" spans="1:20" s="182" customFormat="1" ht="14.15" hidden="1">
      <c r="A644" s="222">
        <v>45331</v>
      </c>
      <c r="B644" s="201" t="s">
        <v>720</v>
      </c>
      <c r="C644" s="208" t="s">
        <v>146</v>
      </c>
      <c r="D644" s="592">
        <v>-120000</v>
      </c>
      <c r="E644" s="212">
        <v>45323</v>
      </c>
      <c r="F644" s="201" t="s">
        <v>109</v>
      </c>
      <c r="G644" s="208" t="s">
        <v>383</v>
      </c>
      <c r="H644" s="208" t="s">
        <v>175</v>
      </c>
      <c r="I644" s="201" t="s">
        <v>173</v>
      </c>
      <c r="J644" s="202"/>
      <c r="K644" s="202"/>
      <c r="L644" s="202"/>
      <c r="M644" s="202"/>
      <c r="N644" s="202"/>
      <c r="O644" s="202"/>
      <c r="P644" s="202"/>
      <c r="Q644" s="202"/>
      <c r="R644" s="202"/>
      <c r="S644" s="202"/>
      <c r="T644" s="202"/>
    </row>
    <row r="645" spans="1:20" s="182" customFormat="1" ht="14.15" hidden="1">
      <c r="A645" s="222">
        <v>45331</v>
      </c>
      <c r="B645" s="201" t="s">
        <v>721</v>
      </c>
      <c r="C645" s="208" t="s">
        <v>146</v>
      </c>
      <c r="D645" s="592">
        <v>-26000</v>
      </c>
      <c r="E645" s="212">
        <v>45323</v>
      </c>
      <c r="F645" s="291" t="s">
        <v>110</v>
      </c>
      <c r="G645" s="208" t="s">
        <v>450</v>
      </c>
      <c r="H645" s="208" t="s">
        <v>175</v>
      </c>
      <c r="I645" s="201" t="s">
        <v>173</v>
      </c>
      <c r="J645" s="202"/>
      <c r="K645" s="202"/>
      <c r="L645" s="202"/>
      <c r="M645" s="202"/>
      <c r="N645" s="202"/>
      <c r="O645" s="202"/>
      <c r="P645" s="202"/>
      <c r="Q645" s="202"/>
      <c r="R645" s="202"/>
      <c r="S645" s="202"/>
      <c r="T645" s="202"/>
    </row>
    <row r="646" spans="1:20" s="182" customFormat="1" ht="14.15" hidden="1">
      <c r="A646" s="222">
        <v>45331</v>
      </c>
      <c r="B646" s="201" t="s">
        <v>722</v>
      </c>
      <c r="C646" s="208" t="s">
        <v>146</v>
      </c>
      <c r="D646" s="592">
        <v>-57300</v>
      </c>
      <c r="E646" s="212">
        <v>45323</v>
      </c>
      <c r="F646" s="201" t="s">
        <v>109</v>
      </c>
      <c r="G646" s="208" t="s">
        <v>383</v>
      </c>
      <c r="H646" s="208" t="s">
        <v>175</v>
      </c>
      <c r="I646" s="201" t="s">
        <v>173</v>
      </c>
      <c r="J646" s="202"/>
      <c r="K646" s="202"/>
      <c r="L646" s="202"/>
      <c r="M646" s="202"/>
      <c r="N646" s="202"/>
      <c r="O646" s="202"/>
      <c r="P646" s="202"/>
      <c r="Q646" s="202"/>
      <c r="R646" s="202"/>
      <c r="S646" s="202"/>
      <c r="T646" s="202"/>
    </row>
    <row r="647" spans="1:20" s="182" customFormat="1" ht="14.15" hidden="1">
      <c r="A647" s="222">
        <v>45331</v>
      </c>
      <c r="B647" s="201" t="s">
        <v>723</v>
      </c>
      <c r="C647" s="208" t="s">
        <v>146</v>
      </c>
      <c r="D647" s="592">
        <v>-49900</v>
      </c>
      <c r="E647" s="212">
        <v>45323</v>
      </c>
      <c r="F647" s="201" t="s">
        <v>109</v>
      </c>
      <c r="G647" s="208" t="s">
        <v>383</v>
      </c>
      <c r="H647" s="208" t="s">
        <v>175</v>
      </c>
      <c r="I647" s="201" t="s">
        <v>173</v>
      </c>
      <c r="J647" s="202"/>
      <c r="K647" s="202"/>
      <c r="L647" s="202"/>
      <c r="M647" s="202"/>
      <c r="N647" s="202"/>
      <c r="O647" s="202"/>
      <c r="P647" s="202"/>
      <c r="Q647" s="202"/>
      <c r="R647" s="202"/>
      <c r="S647" s="202"/>
      <c r="T647" s="202"/>
    </row>
    <row r="648" spans="1:20" s="182" customFormat="1" ht="14.15" hidden="1">
      <c r="A648" s="222">
        <v>45331</v>
      </c>
      <c r="B648" s="201" t="s">
        <v>724</v>
      </c>
      <c r="C648" s="208" t="s">
        <v>146</v>
      </c>
      <c r="D648" s="592">
        <v>-29000</v>
      </c>
      <c r="E648" s="212">
        <v>45323</v>
      </c>
      <c r="F648" s="201" t="s">
        <v>109</v>
      </c>
      <c r="G648" s="208" t="s">
        <v>383</v>
      </c>
      <c r="H648" s="208" t="s">
        <v>175</v>
      </c>
      <c r="I648" s="201" t="s">
        <v>173</v>
      </c>
      <c r="J648" s="202"/>
      <c r="K648" s="202"/>
      <c r="L648" s="202"/>
      <c r="M648" s="202"/>
      <c r="N648" s="202"/>
      <c r="O648" s="202"/>
      <c r="P648" s="202"/>
      <c r="Q648" s="202"/>
      <c r="R648" s="202"/>
      <c r="S648" s="202"/>
      <c r="T648" s="202"/>
    </row>
    <row r="649" spans="1:20" s="182" customFormat="1" ht="14.15" hidden="1">
      <c r="A649" s="222">
        <v>45331</v>
      </c>
      <c r="B649" s="201" t="s">
        <v>725</v>
      </c>
      <c r="C649" s="208" t="s">
        <v>146</v>
      </c>
      <c r="D649" s="592">
        <v>-28800</v>
      </c>
      <c r="E649" s="212">
        <v>45323</v>
      </c>
      <c r="F649" s="201" t="s">
        <v>109</v>
      </c>
      <c r="G649" s="208" t="s">
        <v>120</v>
      </c>
      <c r="H649" s="208" t="s">
        <v>175</v>
      </c>
      <c r="I649" s="201" t="s">
        <v>173</v>
      </c>
      <c r="J649" s="202"/>
      <c r="K649" s="202"/>
      <c r="L649" s="202"/>
      <c r="M649" s="202"/>
      <c r="N649" s="202"/>
      <c r="O649" s="202"/>
      <c r="P649" s="202"/>
      <c r="Q649" s="202"/>
      <c r="R649" s="202"/>
      <c r="S649" s="202"/>
      <c r="T649" s="202"/>
    </row>
    <row r="650" spans="1:20" s="182" customFormat="1" ht="14.15" hidden="1">
      <c r="A650" s="222">
        <v>45331</v>
      </c>
      <c r="B650" s="201" t="s">
        <v>726</v>
      </c>
      <c r="C650" s="208" t="s">
        <v>146</v>
      </c>
      <c r="D650" s="592">
        <v>-30000</v>
      </c>
      <c r="E650" s="212">
        <v>45323</v>
      </c>
      <c r="F650" s="291" t="s">
        <v>110</v>
      </c>
      <c r="G650" s="208" t="s">
        <v>450</v>
      </c>
      <c r="H650" s="208" t="s">
        <v>175</v>
      </c>
      <c r="I650" s="201" t="s">
        <v>173</v>
      </c>
      <c r="J650" s="202"/>
      <c r="K650" s="202"/>
      <c r="L650" s="202"/>
      <c r="M650" s="202"/>
      <c r="N650" s="202"/>
      <c r="O650" s="202"/>
      <c r="P650" s="202"/>
      <c r="Q650" s="202"/>
      <c r="R650" s="202"/>
      <c r="S650" s="202"/>
      <c r="T650" s="202"/>
    </row>
    <row r="651" spans="1:20" s="182" customFormat="1" ht="14.15" hidden="1">
      <c r="A651" s="222">
        <v>45331</v>
      </c>
      <c r="B651" s="201" t="s">
        <v>727</v>
      </c>
      <c r="C651" s="208" t="s">
        <v>146</v>
      </c>
      <c r="D651" s="592">
        <v>-4500</v>
      </c>
      <c r="E651" s="212">
        <v>45323</v>
      </c>
      <c r="F651" s="201" t="s">
        <v>109</v>
      </c>
      <c r="G651" s="208" t="s">
        <v>383</v>
      </c>
      <c r="H651" s="208" t="s">
        <v>175</v>
      </c>
      <c r="I651" s="201" t="s">
        <v>173</v>
      </c>
      <c r="J651" s="202"/>
      <c r="K651" s="202"/>
      <c r="L651" s="202"/>
      <c r="M651" s="202"/>
      <c r="N651" s="202"/>
      <c r="O651" s="202"/>
      <c r="P651" s="202"/>
      <c r="Q651" s="202"/>
      <c r="R651" s="202"/>
      <c r="S651" s="202"/>
      <c r="T651" s="202"/>
    </row>
    <row r="652" spans="1:20" s="182" customFormat="1" ht="14.15" hidden="1">
      <c r="A652" s="222">
        <v>45331</v>
      </c>
      <c r="B652" s="201" t="s">
        <v>728</v>
      </c>
      <c r="C652" s="208" t="s">
        <v>146</v>
      </c>
      <c r="D652" s="592">
        <v>-6500</v>
      </c>
      <c r="E652" s="212">
        <v>45323</v>
      </c>
      <c r="F652" s="201" t="s">
        <v>109</v>
      </c>
      <c r="G652" s="208" t="s">
        <v>383</v>
      </c>
      <c r="H652" s="81" t="s">
        <v>138</v>
      </c>
      <c r="I652" s="201" t="s">
        <v>173</v>
      </c>
      <c r="J652" s="202"/>
      <c r="K652" s="202"/>
      <c r="L652" s="202"/>
      <c r="M652" s="202"/>
      <c r="N652" s="202"/>
      <c r="O652" s="202"/>
      <c r="P652" s="202"/>
      <c r="Q652" s="202"/>
      <c r="R652" s="202"/>
      <c r="S652" s="202"/>
      <c r="T652" s="202"/>
    </row>
    <row r="653" spans="1:20" s="182" customFormat="1" ht="14.15" hidden="1">
      <c r="A653" s="222">
        <v>45331</v>
      </c>
      <c r="B653" s="201" t="s">
        <v>729</v>
      </c>
      <c r="C653" s="208" t="s">
        <v>146</v>
      </c>
      <c r="D653" s="592">
        <v>-6000</v>
      </c>
      <c r="E653" s="212">
        <v>45323</v>
      </c>
      <c r="F653" s="201" t="s">
        <v>109</v>
      </c>
      <c r="G653" s="208" t="s">
        <v>383</v>
      </c>
      <c r="H653" s="81" t="s">
        <v>138</v>
      </c>
      <c r="I653" s="201" t="s">
        <v>173</v>
      </c>
      <c r="J653" s="202"/>
      <c r="K653" s="202"/>
      <c r="L653" s="202"/>
      <c r="M653" s="202"/>
      <c r="N653" s="202"/>
      <c r="O653" s="202"/>
      <c r="P653" s="202"/>
      <c r="Q653" s="202"/>
      <c r="R653" s="202"/>
      <c r="S653" s="202"/>
      <c r="T653" s="202"/>
    </row>
    <row r="654" spans="1:20" s="182" customFormat="1" ht="14.15" hidden="1">
      <c r="A654" s="222">
        <v>45331</v>
      </c>
      <c r="B654" s="201" t="s">
        <v>730</v>
      </c>
      <c r="C654" s="208" t="s">
        <v>146</v>
      </c>
      <c r="D654" s="592">
        <v>-12000</v>
      </c>
      <c r="E654" s="212">
        <v>45323</v>
      </c>
      <c r="F654" s="201" t="s">
        <v>109</v>
      </c>
      <c r="G654" s="208" t="s">
        <v>383</v>
      </c>
      <c r="H654" s="81" t="s">
        <v>138</v>
      </c>
      <c r="I654" s="201" t="s">
        <v>173</v>
      </c>
      <c r="J654" s="202"/>
      <c r="K654" s="202"/>
      <c r="L654" s="202"/>
      <c r="M654" s="202"/>
      <c r="N654" s="202"/>
      <c r="O654" s="202"/>
      <c r="P654" s="202"/>
      <c r="Q654" s="202"/>
      <c r="R654" s="202"/>
      <c r="S654" s="202"/>
      <c r="T654" s="202"/>
    </row>
    <row r="655" spans="1:20" s="182" customFormat="1" ht="14.15" hidden="1">
      <c r="A655" s="222">
        <v>45331</v>
      </c>
      <c r="B655" s="201" t="s">
        <v>731</v>
      </c>
      <c r="C655" s="208" t="s">
        <v>146</v>
      </c>
      <c r="D655" s="592">
        <v>-12000</v>
      </c>
      <c r="E655" s="212">
        <v>45323</v>
      </c>
      <c r="F655" s="201" t="s">
        <v>109</v>
      </c>
      <c r="G655" s="208" t="s">
        <v>383</v>
      </c>
      <c r="H655" s="81" t="s">
        <v>138</v>
      </c>
      <c r="I655" s="201" t="s">
        <v>173</v>
      </c>
      <c r="J655" s="202"/>
      <c r="K655" s="202"/>
      <c r="L655" s="202"/>
      <c r="M655" s="202"/>
      <c r="N655" s="202"/>
      <c r="O655" s="202"/>
      <c r="P655" s="202"/>
      <c r="Q655" s="202"/>
      <c r="R655" s="202"/>
      <c r="S655" s="202"/>
      <c r="T655" s="202"/>
    </row>
    <row r="656" spans="1:20" s="182" customFormat="1" ht="14.15" hidden="1">
      <c r="A656" s="222">
        <v>45331</v>
      </c>
      <c r="B656" s="201" t="s">
        <v>732</v>
      </c>
      <c r="C656" s="208" t="s">
        <v>27</v>
      </c>
      <c r="D656" s="592">
        <v>-20000</v>
      </c>
      <c r="E656" s="212">
        <v>45323</v>
      </c>
      <c r="F656" s="201" t="s">
        <v>109</v>
      </c>
      <c r="G656" s="208" t="s">
        <v>120</v>
      </c>
      <c r="H656" s="201"/>
      <c r="I656" s="201"/>
      <c r="J656" s="202"/>
      <c r="K656" s="202"/>
      <c r="L656" s="202"/>
      <c r="M656" s="202"/>
      <c r="N656" s="202"/>
      <c r="O656" s="202"/>
      <c r="P656" s="202"/>
      <c r="Q656" s="202"/>
      <c r="R656" s="202"/>
      <c r="S656" s="202"/>
      <c r="T656" s="202"/>
    </row>
    <row r="657" spans="1:20" s="182" customFormat="1" ht="14.15" hidden="1">
      <c r="A657" s="222">
        <v>45331</v>
      </c>
      <c r="B657" s="201" t="s">
        <v>733</v>
      </c>
      <c r="C657" s="208" t="s">
        <v>27</v>
      </c>
      <c r="D657" s="592">
        <v>-145003</v>
      </c>
      <c r="E657" s="212">
        <v>45323</v>
      </c>
      <c r="F657" s="201" t="s">
        <v>109</v>
      </c>
      <c r="G657" s="208" t="s">
        <v>120</v>
      </c>
      <c r="H657" s="201"/>
      <c r="I657" s="201"/>
      <c r="J657" s="202"/>
      <c r="K657" s="202"/>
      <c r="L657" s="202"/>
      <c r="M657" s="202"/>
      <c r="N657" s="202"/>
      <c r="O657" s="202"/>
      <c r="P657" s="202"/>
      <c r="Q657" s="202"/>
      <c r="R657" s="202"/>
      <c r="S657" s="202"/>
      <c r="T657" s="202"/>
    </row>
    <row r="658" spans="1:20" s="182" customFormat="1" ht="14.15" hidden="1">
      <c r="A658" s="222">
        <v>45331</v>
      </c>
      <c r="B658" s="201" t="s">
        <v>562</v>
      </c>
      <c r="C658" s="208" t="s">
        <v>27</v>
      </c>
      <c r="D658" s="592">
        <v>-60000</v>
      </c>
      <c r="E658" s="212">
        <v>45323</v>
      </c>
      <c r="F658" s="201" t="s">
        <v>109</v>
      </c>
      <c r="G658" s="208" t="s">
        <v>120</v>
      </c>
      <c r="H658" s="201"/>
      <c r="I658" s="201"/>
      <c r="J658" s="202"/>
      <c r="K658" s="202"/>
      <c r="L658" s="202"/>
      <c r="M658" s="202"/>
      <c r="N658" s="202"/>
      <c r="O658" s="202"/>
      <c r="P658" s="202"/>
      <c r="Q658" s="202"/>
      <c r="R658" s="202"/>
      <c r="S658" s="202"/>
      <c r="T658" s="202"/>
    </row>
    <row r="659" spans="1:20" s="182" customFormat="1" ht="14.15" hidden="1">
      <c r="A659" s="222">
        <v>45331</v>
      </c>
      <c r="B659" s="201" t="s">
        <v>564</v>
      </c>
      <c r="C659" s="208" t="s">
        <v>27</v>
      </c>
      <c r="D659" s="592">
        <v>-80000</v>
      </c>
      <c r="E659" s="212">
        <v>45323</v>
      </c>
      <c r="F659" s="201" t="s">
        <v>109</v>
      </c>
      <c r="G659" s="208" t="s">
        <v>120</v>
      </c>
      <c r="H659" s="201"/>
      <c r="I659" s="201"/>
      <c r="J659" s="202"/>
      <c r="K659" s="202"/>
      <c r="L659" s="202"/>
      <c r="M659" s="202"/>
      <c r="N659" s="202"/>
      <c r="O659" s="202"/>
      <c r="P659" s="202"/>
      <c r="Q659" s="202"/>
      <c r="R659" s="202"/>
      <c r="S659" s="202"/>
      <c r="T659" s="202"/>
    </row>
    <row r="660" spans="1:20" s="182" customFormat="1" ht="14.15" hidden="1">
      <c r="A660" s="222">
        <v>45331</v>
      </c>
      <c r="B660" s="201" t="s">
        <v>650</v>
      </c>
      <c r="C660" s="208" t="s">
        <v>27</v>
      </c>
      <c r="D660" s="592">
        <v>-60000</v>
      </c>
      <c r="E660" s="212">
        <v>45323</v>
      </c>
      <c r="F660" s="201" t="s">
        <v>109</v>
      </c>
      <c r="G660" s="208" t="s">
        <v>120</v>
      </c>
      <c r="H660" s="201"/>
      <c r="I660" s="201"/>
      <c r="J660" s="202"/>
      <c r="K660" s="202"/>
      <c r="L660" s="202"/>
      <c r="M660" s="202"/>
      <c r="N660" s="202"/>
      <c r="O660" s="202"/>
      <c r="P660" s="202"/>
      <c r="Q660" s="202"/>
      <c r="R660" s="202"/>
      <c r="S660" s="202"/>
      <c r="T660" s="202"/>
    </row>
    <row r="661" spans="1:20" s="182" customFormat="1" ht="14.15" hidden="1">
      <c r="A661" s="222">
        <v>45331</v>
      </c>
      <c r="B661" s="201" t="s">
        <v>734</v>
      </c>
      <c r="C661" s="208" t="s">
        <v>27</v>
      </c>
      <c r="D661" s="592">
        <v>-40000</v>
      </c>
      <c r="E661" s="212">
        <v>45323</v>
      </c>
      <c r="F661" s="201" t="s">
        <v>109</v>
      </c>
      <c r="G661" s="208" t="s">
        <v>120</v>
      </c>
      <c r="H661" s="201"/>
      <c r="I661" s="201"/>
      <c r="J661" s="202"/>
      <c r="K661" s="202"/>
      <c r="L661" s="202"/>
      <c r="M661" s="202"/>
      <c r="N661" s="202"/>
      <c r="O661" s="202"/>
      <c r="P661" s="202"/>
      <c r="Q661" s="202"/>
      <c r="R661" s="202"/>
      <c r="S661" s="202"/>
      <c r="T661" s="202"/>
    </row>
    <row r="662" spans="1:20" s="182" customFormat="1" ht="14.15" hidden="1">
      <c r="A662" s="222">
        <v>45331</v>
      </c>
      <c r="B662" s="201" t="s">
        <v>735</v>
      </c>
      <c r="C662" s="208" t="s">
        <v>27</v>
      </c>
      <c r="D662" s="592">
        <v>-140000</v>
      </c>
      <c r="E662" s="212">
        <v>45323</v>
      </c>
      <c r="F662" s="201" t="s">
        <v>109</v>
      </c>
      <c r="G662" s="208" t="s">
        <v>120</v>
      </c>
      <c r="H662" s="201"/>
      <c r="I662" s="201"/>
      <c r="J662" s="202"/>
      <c r="K662" s="202"/>
      <c r="L662" s="202"/>
      <c r="M662" s="202"/>
      <c r="N662" s="202"/>
      <c r="O662" s="202"/>
      <c r="P662" s="202"/>
      <c r="Q662" s="202"/>
      <c r="R662" s="202"/>
      <c r="S662" s="202"/>
      <c r="T662" s="202"/>
    </row>
    <row r="663" spans="1:20" s="182" customFormat="1" ht="14.15" hidden="1">
      <c r="A663" s="222">
        <v>45331</v>
      </c>
      <c r="B663" s="201" t="s">
        <v>736</v>
      </c>
      <c r="C663" s="208" t="s">
        <v>27</v>
      </c>
      <c r="D663" s="592">
        <v>-10500</v>
      </c>
      <c r="E663" s="212">
        <v>45323</v>
      </c>
      <c r="F663" s="201" t="s">
        <v>109</v>
      </c>
      <c r="G663" s="208" t="s">
        <v>120</v>
      </c>
      <c r="H663" s="201"/>
      <c r="I663" s="201"/>
      <c r="J663" s="202"/>
      <c r="K663" s="202"/>
      <c r="L663" s="202"/>
      <c r="M663" s="202"/>
      <c r="N663" s="202"/>
      <c r="O663" s="202"/>
      <c r="P663" s="202"/>
      <c r="Q663" s="202"/>
      <c r="R663" s="202"/>
      <c r="S663" s="202"/>
      <c r="T663" s="202"/>
    </row>
    <row r="664" spans="1:20" s="182" customFormat="1" ht="14.15" hidden="1">
      <c r="A664" s="222">
        <v>45331</v>
      </c>
      <c r="B664" s="201" t="s">
        <v>737</v>
      </c>
      <c r="C664" s="208" t="s">
        <v>27</v>
      </c>
      <c r="D664" s="592">
        <v>-10000</v>
      </c>
      <c r="E664" s="212">
        <v>45323</v>
      </c>
      <c r="F664" s="201" t="s">
        <v>109</v>
      </c>
      <c r="G664" s="208" t="s">
        <v>120</v>
      </c>
      <c r="H664" s="201"/>
      <c r="I664" s="201"/>
      <c r="J664" s="202"/>
      <c r="K664" s="202"/>
      <c r="L664" s="202"/>
      <c r="M664" s="202"/>
      <c r="N664" s="202"/>
      <c r="O664" s="202"/>
      <c r="P664" s="202"/>
      <c r="Q664" s="202"/>
      <c r="R664" s="202"/>
      <c r="S664" s="202"/>
      <c r="T664" s="202"/>
    </row>
    <row r="665" spans="1:20" s="182" customFormat="1" ht="14.15" hidden="1">
      <c r="A665" s="222">
        <v>45331</v>
      </c>
      <c r="B665" s="201" t="s">
        <v>738</v>
      </c>
      <c r="C665" s="208" t="s">
        <v>27</v>
      </c>
      <c r="D665" s="592">
        <v>-40000</v>
      </c>
      <c r="E665" s="212">
        <v>45323</v>
      </c>
      <c r="F665" s="201" t="s">
        <v>109</v>
      </c>
      <c r="G665" s="208" t="s">
        <v>120</v>
      </c>
      <c r="H665" s="201"/>
      <c r="I665" s="201"/>
      <c r="J665" s="202"/>
      <c r="K665" s="202"/>
      <c r="L665" s="202"/>
      <c r="M665" s="202"/>
      <c r="N665" s="202"/>
      <c r="O665" s="202"/>
      <c r="P665" s="202"/>
      <c r="Q665" s="202"/>
      <c r="R665" s="202"/>
      <c r="S665" s="202"/>
      <c r="T665" s="202"/>
    </row>
    <row r="666" spans="1:20" s="182" customFormat="1" ht="14.15" hidden="1">
      <c r="A666" s="222">
        <v>45331</v>
      </c>
      <c r="B666" s="201" t="s">
        <v>739</v>
      </c>
      <c r="C666" s="208" t="s">
        <v>146</v>
      </c>
      <c r="D666" s="592">
        <v>-30000</v>
      </c>
      <c r="E666" s="212">
        <v>45323</v>
      </c>
      <c r="F666" s="201" t="s">
        <v>109</v>
      </c>
      <c r="G666" s="208" t="s">
        <v>120</v>
      </c>
      <c r="H666" s="201"/>
      <c r="I666" s="201" t="s">
        <v>563</v>
      </c>
      <c r="J666" s="202"/>
      <c r="K666" s="202"/>
      <c r="L666" s="202"/>
      <c r="M666" s="202"/>
      <c r="N666" s="202"/>
      <c r="O666" s="202"/>
      <c r="P666" s="202"/>
      <c r="Q666" s="202"/>
      <c r="R666" s="202"/>
      <c r="S666" s="202"/>
      <c r="T666" s="202"/>
    </row>
    <row r="667" spans="1:20" s="182" customFormat="1" ht="14.15" hidden="1">
      <c r="A667" s="222">
        <v>45332</v>
      </c>
      <c r="B667" s="201" t="s">
        <v>740</v>
      </c>
      <c r="C667" s="208" t="s">
        <v>27</v>
      </c>
      <c r="D667" s="592">
        <v>-70000</v>
      </c>
      <c r="E667" s="212">
        <v>45323</v>
      </c>
      <c r="F667" s="201" t="s">
        <v>109</v>
      </c>
      <c r="G667" s="208" t="s">
        <v>120</v>
      </c>
      <c r="H667" s="201"/>
      <c r="I667" s="201"/>
      <c r="J667" s="202"/>
      <c r="K667" s="202"/>
      <c r="L667" s="202"/>
      <c r="M667" s="202"/>
      <c r="N667" s="202"/>
      <c r="O667" s="202"/>
      <c r="P667" s="202"/>
      <c r="Q667" s="202"/>
      <c r="R667" s="202"/>
      <c r="S667" s="202"/>
      <c r="T667" s="202"/>
    </row>
    <row r="668" spans="1:20" s="182" customFormat="1" ht="14.15" hidden="1">
      <c r="A668" s="222">
        <v>45332</v>
      </c>
      <c r="B668" s="201" t="s">
        <v>741</v>
      </c>
      <c r="C668" s="208" t="s">
        <v>146</v>
      </c>
      <c r="D668" s="592">
        <v>-17000</v>
      </c>
      <c r="E668" s="212">
        <v>45323</v>
      </c>
      <c r="F668" s="201" t="s">
        <v>109</v>
      </c>
      <c r="G668" s="208" t="s">
        <v>120</v>
      </c>
      <c r="H668" s="201"/>
      <c r="I668" s="201" t="s">
        <v>563</v>
      </c>
      <c r="J668" s="202"/>
      <c r="K668" s="202"/>
      <c r="L668" s="202"/>
      <c r="M668" s="202"/>
      <c r="N668" s="202"/>
      <c r="O668" s="202"/>
      <c r="P668" s="202"/>
      <c r="Q668" s="202"/>
      <c r="R668" s="202"/>
      <c r="S668" s="202"/>
      <c r="T668" s="202"/>
    </row>
    <row r="669" spans="1:20" s="182" customFormat="1" ht="14.15" hidden="1">
      <c r="A669" s="222">
        <v>45332</v>
      </c>
      <c r="B669" s="201" t="s">
        <v>742</v>
      </c>
      <c r="C669" s="208" t="s">
        <v>146</v>
      </c>
      <c r="D669" s="592">
        <v>-12900</v>
      </c>
      <c r="E669" s="212">
        <v>45323</v>
      </c>
      <c r="F669" s="201" t="s">
        <v>109</v>
      </c>
      <c r="G669" s="208" t="s">
        <v>120</v>
      </c>
      <c r="H669" s="201"/>
      <c r="I669" s="201" t="s">
        <v>563</v>
      </c>
      <c r="J669" s="202"/>
      <c r="K669" s="202"/>
      <c r="L669" s="202"/>
      <c r="M669" s="202"/>
      <c r="N669" s="202"/>
      <c r="O669" s="202"/>
      <c r="P669" s="202"/>
      <c r="Q669" s="202"/>
      <c r="R669" s="202"/>
      <c r="S669" s="202"/>
      <c r="T669" s="202"/>
    </row>
    <row r="670" spans="1:20" s="182" customFormat="1" ht="14.15" hidden="1">
      <c r="A670" s="222">
        <v>45333</v>
      </c>
      <c r="B670" s="201" t="s">
        <v>743</v>
      </c>
      <c r="C670" s="208" t="s">
        <v>146</v>
      </c>
      <c r="D670" s="592">
        <v>-12900</v>
      </c>
      <c r="E670" s="212">
        <v>45323</v>
      </c>
      <c r="F670" s="201" t="s">
        <v>109</v>
      </c>
      <c r="G670" s="208" t="s">
        <v>120</v>
      </c>
      <c r="H670" s="201"/>
      <c r="I670" s="201" t="s">
        <v>563</v>
      </c>
      <c r="J670" s="202"/>
      <c r="K670" s="202"/>
      <c r="L670" s="202"/>
      <c r="M670" s="202"/>
      <c r="N670" s="202"/>
      <c r="O670" s="202"/>
      <c r="P670" s="202"/>
      <c r="Q670" s="202"/>
      <c r="R670" s="202"/>
      <c r="S670" s="202"/>
      <c r="T670" s="202"/>
    </row>
    <row r="671" spans="1:20" s="182" customFormat="1" ht="14.15" hidden="1">
      <c r="A671" s="222">
        <v>45334</v>
      </c>
      <c r="B671" s="201" t="s">
        <v>744</v>
      </c>
      <c r="C671" s="208" t="s">
        <v>146</v>
      </c>
      <c r="D671" s="592">
        <v>-31000</v>
      </c>
      <c r="E671" s="212">
        <v>45323</v>
      </c>
      <c r="F671" s="291" t="s">
        <v>110</v>
      </c>
      <c r="G671" s="208" t="s">
        <v>450</v>
      </c>
      <c r="H671" s="81" t="s">
        <v>138</v>
      </c>
      <c r="I671" s="201"/>
      <c r="J671" s="202"/>
      <c r="K671" s="202"/>
      <c r="L671" s="202"/>
      <c r="M671" s="202"/>
      <c r="N671" s="202"/>
      <c r="O671" s="202"/>
      <c r="P671" s="202"/>
      <c r="Q671" s="202"/>
      <c r="R671" s="202"/>
      <c r="S671" s="202"/>
      <c r="T671" s="202"/>
    </row>
    <row r="672" spans="1:20" s="182" customFormat="1" ht="14.15" hidden="1">
      <c r="A672" s="222">
        <v>45334</v>
      </c>
      <c r="B672" s="201" t="s">
        <v>745</v>
      </c>
      <c r="C672" s="208" t="s">
        <v>146</v>
      </c>
      <c r="D672" s="592">
        <v>-12700</v>
      </c>
      <c r="E672" s="212">
        <v>45323</v>
      </c>
      <c r="F672" s="291" t="s">
        <v>110</v>
      </c>
      <c r="G672" s="208" t="s">
        <v>450</v>
      </c>
      <c r="H672" s="81" t="s">
        <v>138</v>
      </c>
      <c r="I672" s="201"/>
      <c r="J672" s="202"/>
      <c r="K672" s="202"/>
      <c r="L672" s="202"/>
      <c r="M672" s="202"/>
      <c r="N672" s="202"/>
      <c r="O672" s="202"/>
      <c r="P672" s="202"/>
      <c r="Q672" s="202"/>
      <c r="R672" s="202"/>
      <c r="S672" s="202"/>
      <c r="T672" s="202"/>
    </row>
    <row r="673" spans="1:20" s="182" customFormat="1" ht="14.15" hidden="1">
      <c r="A673" s="222">
        <v>45334</v>
      </c>
      <c r="B673" s="201" t="s">
        <v>746</v>
      </c>
      <c r="C673" s="208" t="s">
        <v>146</v>
      </c>
      <c r="D673" s="592">
        <v>-59313</v>
      </c>
      <c r="E673" s="212">
        <v>45323</v>
      </c>
      <c r="F673" s="291" t="s">
        <v>130</v>
      </c>
      <c r="G673" s="208" t="s">
        <v>130</v>
      </c>
      <c r="H673" s="201" t="s">
        <v>184</v>
      </c>
      <c r="I673" s="201"/>
      <c r="J673" s="202"/>
      <c r="K673" s="202"/>
      <c r="L673" s="202"/>
      <c r="M673" s="202"/>
      <c r="N673" s="202"/>
      <c r="O673" s="202"/>
      <c r="P673" s="202"/>
      <c r="Q673" s="202"/>
      <c r="R673" s="202"/>
      <c r="S673" s="202"/>
      <c r="T673" s="202"/>
    </row>
    <row r="674" spans="1:20" s="182" customFormat="1" ht="14.15" hidden="1">
      <c r="A674" s="222">
        <v>45334</v>
      </c>
      <c r="B674" s="201" t="s">
        <v>747</v>
      </c>
      <c r="C674" s="208" t="s">
        <v>146</v>
      </c>
      <c r="D674" s="592">
        <v>-7900</v>
      </c>
      <c r="E674" s="212">
        <v>45323</v>
      </c>
      <c r="F674" s="291" t="s">
        <v>130</v>
      </c>
      <c r="G674" s="208" t="s">
        <v>130</v>
      </c>
      <c r="H674" s="201" t="s">
        <v>184</v>
      </c>
      <c r="I674" s="201"/>
      <c r="J674" s="202"/>
      <c r="K674" s="202"/>
      <c r="L674" s="202"/>
      <c r="M674" s="202"/>
      <c r="N674" s="202"/>
      <c r="O674" s="202"/>
      <c r="P674" s="202"/>
      <c r="Q674" s="202"/>
      <c r="R674" s="202"/>
      <c r="S674" s="202"/>
      <c r="T674" s="202"/>
    </row>
    <row r="675" spans="1:20" s="182" customFormat="1" ht="14.15" hidden="1">
      <c r="A675" s="222">
        <v>45334</v>
      </c>
      <c r="B675" s="201" t="s">
        <v>248</v>
      </c>
      <c r="C675" s="208" t="s">
        <v>27</v>
      </c>
      <c r="D675" s="592">
        <v>-116880</v>
      </c>
      <c r="E675" s="212">
        <v>45323</v>
      </c>
      <c r="F675" s="201" t="s">
        <v>130</v>
      </c>
      <c r="G675" s="201" t="s">
        <v>130</v>
      </c>
      <c r="H675" s="201" t="s">
        <v>249</v>
      </c>
      <c r="I675" s="201"/>
      <c r="J675" s="202"/>
      <c r="K675" s="202"/>
      <c r="L675" s="202"/>
      <c r="M675" s="202"/>
      <c r="N675" s="202"/>
      <c r="O675" s="202"/>
      <c r="P675" s="202"/>
      <c r="Q675" s="202"/>
      <c r="R675" s="202"/>
      <c r="S675" s="202"/>
      <c r="T675" s="202"/>
    </row>
    <row r="676" spans="1:20" s="182" customFormat="1" ht="14.15" hidden="1">
      <c r="A676" s="222">
        <v>45334</v>
      </c>
      <c r="B676" s="201" t="s">
        <v>748</v>
      </c>
      <c r="C676" s="208" t="s">
        <v>27</v>
      </c>
      <c r="D676" s="592">
        <v>-6700000</v>
      </c>
      <c r="E676" s="212">
        <v>45323</v>
      </c>
      <c r="F676" s="201" t="s">
        <v>109</v>
      </c>
      <c r="G676" s="208" t="s">
        <v>120</v>
      </c>
      <c r="H676" s="201"/>
      <c r="I676" s="201"/>
      <c r="J676" s="202"/>
      <c r="K676" s="202"/>
      <c r="L676" s="202"/>
      <c r="M676" s="202"/>
      <c r="N676" s="202"/>
      <c r="O676" s="202"/>
      <c r="P676" s="202"/>
      <c r="Q676" s="202"/>
      <c r="R676" s="202"/>
      <c r="S676" s="202"/>
      <c r="T676" s="202"/>
    </row>
    <row r="677" spans="1:20" s="182" customFormat="1" ht="14.15" hidden="1">
      <c r="A677" s="222">
        <v>45334</v>
      </c>
      <c r="B677" s="201" t="s">
        <v>749</v>
      </c>
      <c r="C677" s="208" t="s">
        <v>27</v>
      </c>
      <c r="D677" s="592">
        <v>-306130</v>
      </c>
      <c r="E677" s="212">
        <v>45323</v>
      </c>
      <c r="F677" s="201" t="s">
        <v>109</v>
      </c>
      <c r="G677" s="208" t="s">
        <v>383</v>
      </c>
      <c r="H677" s="81" t="s">
        <v>138</v>
      </c>
      <c r="I677" s="201"/>
      <c r="J677" s="202"/>
      <c r="K677" s="202"/>
      <c r="L677" s="202"/>
      <c r="M677" s="202"/>
      <c r="N677" s="202"/>
      <c r="O677" s="202"/>
      <c r="P677" s="202"/>
      <c r="Q677" s="202"/>
      <c r="R677" s="202"/>
      <c r="S677" s="202"/>
      <c r="T677" s="202"/>
    </row>
    <row r="678" spans="1:20" s="182" customFormat="1" ht="14.15" hidden="1">
      <c r="A678" s="222">
        <v>45334</v>
      </c>
      <c r="B678" s="201" t="s">
        <v>750</v>
      </c>
      <c r="C678" s="208" t="s">
        <v>27</v>
      </c>
      <c r="D678" s="592">
        <v>-403576</v>
      </c>
      <c r="E678" s="212">
        <v>45323</v>
      </c>
      <c r="F678" s="201" t="s">
        <v>109</v>
      </c>
      <c r="G678" s="208" t="s">
        <v>120</v>
      </c>
      <c r="H678" s="201" t="s">
        <v>323</v>
      </c>
      <c r="I678" s="201"/>
      <c r="J678" s="202"/>
      <c r="K678" s="202"/>
      <c r="L678" s="202"/>
      <c r="M678" s="202"/>
      <c r="N678" s="202"/>
      <c r="O678" s="202"/>
      <c r="P678" s="202"/>
      <c r="Q678" s="202"/>
      <c r="R678" s="202"/>
      <c r="S678" s="202"/>
      <c r="T678" s="202"/>
    </row>
    <row r="679" spans="1:20" s="182" customFormat="1" ht="14.15" hidden="1">
      <c r="A679" s="222">
        <v>45334</v>
      </c>
      <c r="B679" s="201" t="s">
        <v>751</v>
      </c>
      <c r="C679" s="208" t="s">
        <v>27</v>
      </c>
      <c r="D679" s="592">
        <v>-617900</v>
      </c>
      <c r="E679" s="212">
        <v>45323</v>
      </c>
      <c r="F679" s="201" t="s">
        <v>109</v>
      </c>
      <c r="G679" s="208" t="s">
        <v>383</v>
      </c>
      <c r="H679" s="208" t="s">
        <v>175</v>
      </c>
      <c r="I679" s="201"/>
      <c r="J679" s="202"/>
      <c r="K679" s="202"/>
      <c r="L679" s="202"/>
      <c r="M679" s="202"/>
      <c r="N679" s="202"/>
      <c r="O679" s="202"/>
      <c r="P679" s="202"/>
      <c r="Q679" s="202"/>
      <c r="R679" s="202"/>
      <c r="S679" s="202"/>
      <c r="T679" s="202"/>
    </row>
    <row r="680" spans="1:20" s="182" customFormat="1" ht="14.15" hidden="1">
      <c r="A680" s="222">
        <v>45334</v>
      </c>
      <c r="B680" s="201" t="s">
        <v>324</v>
      </c>
      <c r="C680" s="208" t="s">
        <v>27</v>
      </c>
      <c r="D680" s="592">
        <v>-1440000</v>
      </c>
      <c r="E680" s="212">
        <v>45323</v>
      </c>
      <c r="F680" s="201" t="s">
        <v>109</v>
      </c>
      <c r="G680" s="208" t="s">
        <v>120</v>
      </c>
      <c r="H680" s="208" t="s">
        <v>147</v>
      </c>
      <c r="I680" s="201"/>
      <c r="J680" s="202"/>
      <c r="K680" s="202"/>
      <c r="L680" s="202"/>
      <c r="M680" s="202"/>
      <c r="N680" s="202"/>
      <c r="O680" s="202"/>
      <c r="P680" s="202"/>
      <c r="Q680" s="202"/>
      <c r="R680" s="202"/>
      <c r="S680" s="202"/>
      <c r="T680" s="202"/>
    </row>
    <row r="681" spans="1:20" s="182" customFormat="1" ht="14.15" hidden="1">
      <c r="A681" s="222">
        <v>45334</v>
      </c>
      <c r="B681" s="201" t="s">
        <v>250</v>
      </c>
      <c r="C681" s="208" t="s">
        <v>27</v>
      </c>
      <c r="D681" s="592">
        <v>-62300</v>
      </c>
      <c r="E681" s="212">
        <v>45323</v>
      </c>
      <c r="F681" s="201" t="s">
        <v>130</v>
      </c>
      <c r="G681" s="201" t="s">
        <v>130</v>
      </c>
      <c r="H681" s="201" t="s">
        <v>249</v>
      </c>
      <c r="I681" s="201"/>
      <c r="J681" s="202"/>
      <c r="K681" s="202"/>
      <c r="L681" s="202"/>
      <c r="M681" s="202"/>
      <c r="N681" s="202"/>
      <c r="O681" s="202"/>
      <c r="P681" s="202"/>
      <c r="Q681" s="202"/>
      <c r="R681" s="202"/>
      <c r="S681" s="202"/>
      <c r="T681" s="202"/>
    </row>
    <row r="682" spans="1:20" s="182" customFormat="1" ht="14.15" hidden="1">
      <c r="A682" s="222">
        <v>45334</v>
      </c>
      <c r="B682" s="201" t="s">
        <v>752</v>
      </c>
      <c r="C682" s="208" t="s">
        <v>27</v>
      </c>
      <c r="D682" s="592">
        <v>-7008000</v>
      </c>
      <c r="E682" s="212">
        <v>45323</v>
      </c>
      <c r="F682" s="201" t="s">
        <v>210</v>
      </c>
      <c r="G682" s="201"/>
      <c r="H682" s="201"/>
      <c r="I682" s="201"/>
      <c r="J682" s="202"/>
      <c r="K682" s="202"/>
      <c r="L682" s="202"/>
      <c r="M682" s="202"/>
      <c r="N682" s="202"/>
      <c r="O682" s="202"/>
      <c r="P682" s="202"/>
      <c r="Q682" s="202"/>
      <c r="R682" s="202"/>
      <c r="S682" s="202"/>
      <c r="T682" s="202"/>
    </row>
    <row r="683" spans="1:20" s="182" customFormat="1" ht="14.15" hidden="1">
      <c r="A683" s="222">
        <v>45334</v>
      </c>
      <c r="B683" s="201" t="s">
        <v>753</v>
      </c>
      <c r="C683" s="208" t="s">
        <v>27</v>
      </c>
      <c r="D683" s="592">
        <v>-100000</v>
      </c>
      <c r="E683" s="212">
        <v>45323</v>
      </c>
      <c r="F683" s="201" t="s">
        <v>210</v>
      </c>
      <c r="G683" s="201"/>
      <c r="H683" s="201"/>
      <c r="I683" s="201"/>
      <c r="J683" s="202"/>
      <c r="K683" s="202"/>
      <c r="L683" s="202"/>
      <c r="M683" s="202"/>
      <c r="N683" s="202"/>
      <c r="O683" s="202"/>
      <c r="P683" s="202"/>
      <c r="Q683" s="202"/>
      <c r="R683" s="202"/>
      <c r="S683" s="202"/>
      <c r="T683" s="202"/>
    </row>
    <row r="684" spans="1:20" s="182" customFormat="1" ht="14.15" hidden="1">
      <c r="A684" s="222">
        <v>45334</v>
      </c>
      <c r="B684" s="201" t="s">
        <v>754</v>
      </c>
      <c r="C684" s="208" t="s">
        <v>146</v>
      </c>
      <c r="D684" s="592">
        <v>-272000</v>
      </c>
      <c r="E684" s="212">
        <v>45323</v>
      </c>
      <c r="F684" s="201" t="s">
        <v>109</v>
      </c>
      <c r="G684" s="208" t="s">
        <v>120</v>
      </c>
      <c r="H684" s="201"/>
      <c r="I684" s="201"/>
      <c r="J684" s="202"/>
      <c r="K684" s="202"/>
      <c r="L684" s="202"/>
      <c r="M684" s="202"/>
      <c r="N684" s="202"/>
      <c r="O684" s="202"/>
      <c r="P684" s="202"/>
      <c r="Q684" s="202"/>
      <c r="R684" s="202"/>
      <c r="S684" s="202"/>
      <c r="T684" s="202"/>
    </row>
    <row r="685" spans="1:20" s="182" customFormat="1" ht="14.15" hidden="1">
      <c r="A685" s="222">
        <v>45334</v>
      </c>
      <c r="B685" s="201" t="s">
        <v>755</v>
      </c>
      <c r="C685" s="208" t="s">
        <v>146</v>
      </c>
      <c r="D685" s="592">
        <v>-240000</v>
      </c>
      <c r="E685" s="212">
        <v>45323</v>
      </c>
      <c r="F685" s="201" t="s">
        <v>109</v>
      </c>
      <c r="G685" s="208" t="s">
        <v>383</v>
      </c>
      <c r="H685" s="81" t="s">
        <v>138</v>
      </c>
      <c r="I685" s="201" t="s">
        <v>173</v>
      </c>
      <c r="J685" s="202"/>
      <c r="K685" s="202"/>
      <c r="L685" s="202"/>
      <c r="M685" s="202"/>
      <c r="N685" s="202"/>
      <c r="O685" s="202"/>
      <c r="P685" s="202"/>
      <c r="Q685" s="202"/>
      <c r="R685" s="202"/>
      <c r="S685" s="202"/>
      <c r="T685" s="202"/>
    </row>
    <row r="686" spans="1:20" s="182" customFormat="1" ht="14.15" hidden="1">
      <c r="A686" s="222">
        <v>45334</v>
      </c>
      <c r="B686" s="291" t="s">
        <v>756</v>
      </c>
      <c r="C686" s="208" t="s">
        <v>146</v>
      </c>
      <c r="D686" s="592">
        <v>-79904</v>
      </c>
      <c r="E686" s="212">
        <v>45323</v>
      </c>
      <c r="F686" s="291" t="s">
        <v>110</v>
      </c>
      <c r="G686" s="208" t="s">
        <v>450</v>
      </c>
      <c r="H686" s="208" t="s">
        <v>175</v>
      </c>
      <c r="I686" s="201" t="s">
        <v>173</v>
      </c>
      <c r="J686" s="202"/>
      <c r="K686" s="202"/>
      <c r="L686" s="202"/>
      <c r="M686" s="202"/>
      <c r="N686" s="202"/>
      <c r="O686" s="202"/>
      <c r="P686" s="202"/>
      <c r="Q686" s="202"/>
      <c r="R686" s="202"/>
      <c r="S686" s="202"/>
      <c r="T686" s="202"/>
    </row>
    <row r="687" spans="1:20" s="182" customFormat="1" ht="14.15" hidden="1">
      <c r="A687" s="222">
        <v>45334</v>
      </c>
      <c r="B687" s="201" t="s">
        <v>757</v>
      </c>
      <c r="C687" s="208" t="s">
        <v>146</v>
      </c>
      <c r="D687" s="592">
        <v>-12000</v>
      </c>
      <c r="E687" s="212">
        <v>45323</v>
      </c>
      <c r="F687" s="291" t="s">
        <v>110</v>
      </c>
      <c r="G687" s="208" t="s">
        <v>450</v>
      </c>
      <c r="H687" s="208" t="s">
        <v>175</v>
      </c>
      <c r="I687" s="201" t="s">
        <v>173</v>
      </c>
      <c r="J687" s="202"/>
      <c r="K687" s="202"/>
      <c r="L687" s="202"/>
      <c r="M687" s="202"/>
      <c r="N687" s="202"/>
      <c r="O687" s="202"/>
      <c r="P687" s="202"/>
      <c r="Q687" s="202"/>
      <c r="R687" s="202"/>
      <c r="S687" s="202"/>
      <c r="T687" s="202"/>
    </row>
    <row r="688" spans="1:20" s="182" customFormat="1" ht="14.15" hidden="1">
      <c r="A688" s="222">
        <v>45334</v>
      </c>
      <c r="B688" s="201" t="s">
        <v>758</v>
      </c>
      <c r="C688" s="208" t="s">
        <v>146</v>
      </c>
      <c r="D688" s="592">
        <v>-8000</v>
      </c>
      <c r="E688" s="212">
        <v>45323</v>
      </c>
      <c r="F688" s="201" t="s">
        <v>109</v>
      </c>
      <c r="G688" s="208" t="s">
        <v>383</v>
      </c>
      <c r="H688" s="208" t="s">
        <v>175</v>
      </c>
      <c r="I688" s="201" t="s">
        <v>173</v>
      </c>
      <c r="J688" s="202"/>
      <c r="K688" s="202"/>
      <c r="L688" s="202"/>
      <c r="M688" s="202"/>
      <c r="N688" s="202"/>
      <c r="O688" s="202"/>
      <c r="P688" s="202"/>
      <c r="Q688" s="202"/>
      <c r="R688" s="202"/>
      <c r="S688" s="202"/>
      <c r="T688" s="202"/>
    </row>
    <row r="689" spans="1:149" s="182" customFormat="1" ht="14.15" hidden="1">
      <c r="A689" s="222">
        <v>45334</v>
      </c>
      <c r="B689" s="201" t="s">
        <v>759</v>
      </c>
      <c r="C689" s="208" t="s">
        <v>146</v>
      </c>
      <c r="D689" s="592">
        <v>-79960</v>
      </c>
      <c r="E689" s="212">
        <v>45323</v>
      </c>
      <c r="F689" s="201" t="s">
        <v>109</v>
      </c>
      <c r="G689" s="208" t="s">
        <v>383</v>
      </c>
      <c r="H689" s="208" t="s">
        <v>175</v>
      </c>
      <c r="I689" s="201" t="s">
        <v>173</v>
      </c>
      <c r="J689" s="202"/>
      <c r="K689" s="202"/>
      <c r="L689" s="202"/>
      <c r="M689" s="202"/>
      <c r="N689" s="202"/>
      <c r="O689" s="202"/>
      <c r="P689" s="202"/>
      <c r="Q689" s="202"/>
      <c r="R689" s="202"/>
      <c r="S689" s="202"/>
      <c r="T689" s="202"/>
    </row>
    <row r="690" spans="1:149" s="182" customFormat="1" ht="14.15" hidden="1">
      <c r="A690" s="222">
        <v>45334</v>
      </c>
      <c r="B690" s="201" t="s">
        <v>760</v>
      </c>
      <c r="C690" s="208" t="s">
        <v>146</v>
      </c>
      <c r="D690" s="592">
        <v>-15000</v>
      </c>
      <c r="E690" s="212">
        <v>45323</v>
      </c>
      <c r="F690" s="201" t="s">
        <v>109</v>
      </c>
      <c r="G690" s="208" t="s">
        <v>383</v>
      </c>
      <c r="H690" s="208" t="s">
        <v>175</v>
      </c>
      <c r="I690" s="201" t="s">
        <v>173</v>
      </c>
      <c r="J690" s="202"/>
      <c r="K690" s="202"/>
      <c r="L690" s="202"/>
      <c r="M690" s="202"/>
      <c r="N690" s="202"/>
      <c r="O690" s="202"/>
      <c r="P690" s="202"/>
      <c r="Q690" s="202"/>
      <c r="R690" s="202"/>
      <c r="S690" s="202"/>
      <c r="T690" s="202"/>
    </row>
    <row r="691" spans="1:149" s="182" customFormat="1" ht="14.15" hidden="1">
      <c r="A691" s="222">
        <v>45334</v>
      </c>
      <c r="B691" s="201" t="s">
        <v>761</v>
      </c>
      <c r="C691" s="208" t="s">
        <v>146</v>
      </c>
      <c r="D691" s="592">
        <v>-72685</v>
      </c>
      <c r="E691" s="212">
        <v>45323</v>
      </c>
      <c r="F691" s="201" t="s">
        <v>109</v>
      </c>
      <c r="G691" s="208" t="s">
        <v>383</v>
      </c>
      <c r="H691" s="208" t="s">
        <v>175</v>
      </c>
      <c r="I691" s="201" t="s">
        <v>173</v>
      </c>
      <c r="J691" s="202"/>
      <c r="K691" s="202"/>
      <c r="L691" s="202"/>
      <c r="M691" s="202"/>
      <c r="N691" s="202"/>
      <c r="O691" s="202"/>
      <c r="P691" s="202"/>
      <c r="Q691" s="202"/>
      <c r="R691" s="202"/>
      <c r="S691" s="202"/>
      <c r="T691" s="202"/>
    </row>
    <row r="692" spans="1:149" s="182" customFormat="1" ht="14.15" hidden="1">
      <c r="A692" s="222">
        <v>45334</v>
      </c>
      <c r="B692" s="201" t="s">
        <v>762</v>
      </c>
      <c r="C692" s="208" t="s">
        <v>146</v>
      </c>
      <c r="D692" s="592">
        <v>-20000</v>
      </c>
      <c r="E692" s="212">
        <v>45323</v>
      </c>
      <c r="F692" s="201" t="s">
        <v>109</v>
      </c>
      <c r="G692" s="208" t="s">
        <v>383</v>
      </c>
      <c r="H692" s="81" t="s">
        <v>138</v>
      </c>
      <c r="I692" s="201" t="s">
        <v>173</v>
      </c>
      <c r="J692" s="202"/>
      <c r="K692" s="202"/>
      <c r="L692" s="202"/>
      <c r="M692" s="202"/>
      <c r="N692" s="202"/>
      <c r="O692" s="202"/>
      <c r="P692" s="202"/>
      <c r="Q692" s="202"/>
      <c r="R692" s="202"/>
      <c r="S692" s="202"/>
      <c r="T692" s="202"/>
    </row>
    <row r="693" spans="1:149" s="182" customFormat="1" ht="14.15" hidden="1">
      <c r="A693" s="222">
        <v>45334</v>
      </c>
      <c r="B693" s="201" t="s">
        <v>763</v>
      </c>
      <c r="C693" s="208" t="s">
        <v>146</v>
      </c>
      <c r="D693" s="592">
        <v>-20000</v>
      </c>
      <c r="E693" s="212">
        <v>45323</v>
      </c>
      <c r="F693" s="201" t="s">
        <v>109</v>
      </c>
      <c r="G693" s="208" t="s">
        <v>383</v>
      </c>
      <c r="H693" s="81" t="s">
        <v>138</v>
      </c>
      <c r="I693" s="201" t="s">
        <v>173</v>
      </c>
      <c r="J693" s="202"/>
      <c r="K693" s="202"/>
      <c r="L693" s="202"/>
      <c r="M693" s="202"/>
      <c r="N693" s="202"/>
      <c r="O693" s="202"/>
      <c r="P693" s="202"/>
      <c r="Q693" s="202"/>
      <c r="R693" s="202"/>
      <c r="S693" s="202"/>
      <c r="T693" s="202"/>
    </row>
    <row r="694" spans="1:149" s="182" customFormat="1" ht="14.15" hidden="1">
      <c r="A694" s="222">
        <v>45334</v>
      </c>
      <c r="B694" s="201" t="s">
        <v>764</v>
      </c>
      <c r="C694" s="208" t="s">
        <v>146</v>
      </c>
      <c r="D694" s="592">
        <v>-25000</v>
      </c>
      <c r="E694" s="212">
        <v>45323</v>
      </c>
      <c r="F694" s="201" t="s">
        <v>109</v>
      </c>
      <c r="G694" s="208" t="s">
        <v>120</v>
      </c>
      <c r="H694" s="81" t="s">
        <v>138</v>
      </c>
      <c r="I694" s="201" t="s">
        <v>173</v>
      </c>
      <c r="J694" s="202"/>
      <c r="K694" s="202"/>
      <c r="L694" s="202"/>
      <c r="M694" s="202"/>
      <c r="N694" s="202"/>
      <c r="O694" s="202"/>
      <c r="P694" s="202"/>
      <c r="Q694" s="202"/>
      <c r="R694" s="202"/>
      <c r="S694" s="202"/>
      <c r="T694" s="202"/>
    </row>
    <row r="695" spans="1:149" s="182" customFormat="1" ht="14.15" hidden="1">
      <c r="A695" s="222">
        <v>45334</v>
      </c>
      <c r="B695" s="201" t="s">
        <v>765</v>
      </c>
      <c r="C695" s="208" t="s">
        <v>146</v>
      </c>
      <c r="D695" s="592">
        <v>-63000</v>
      </c>
      <c r="E695" s="212">
        <v>45323</v>
      </c>
      <c r="F695" s="201" t="s">
        <v>109</v>
      </c>
      <c r="G695" s="208" t="s">
        <v>120</v>
      </c>
      <c r="H695" s="201"/>
      <c r="I695" s="201" t="s">
        <v>563</v>
      </c>
      <c r="J695" s="202"/>
      <c r="K695" s="202"/>
      <c r="L695" s="202"/>
      <c r="M695" s="202"/>
      <c r="N695" s="202"/>
      <c r="O695" s="202"/>
      <c r="P695" s="202"/>
      <c r="Q695" s="202"/>
      <c r="R695" s="202"/>
      <c r="S695" s="202"/>
      <c r="T695" s="202"/>
    </row>
    <row r="696" spans="1:149" s="182" customFormat="1" ht="14.15" hidden="1">
      <c r="A696" s="222">
        <v>45334</v>
      </c>
      <c r="B696" s="201" t="s">
        <v>766</v>
      </c>
      <c r="C696" s="208" t="s">
        <v>146</v>
      </c>
      <c r="D696" s="592">
        <v>-95000</v>
      </c>
      <c r="E696" s="212">
        <v>45323</v>
      </c>
      <c r="F696" s="201" t="s">
        <v>109</v>
      </c>
      <c r="G696" s="208" t="s">
        <v>120</v>
      </c>
      <c r="H696" s="201"/>
      <c r="I696" s="201" t="s">
        <v>563</v>
      </c>
      <c r="J696" s="202"/>
      <c r="K696" s="202"/>
      <c r="L696" s="202"/>
      <c r="M696" s="202"/>
      <c r="N696" s="202"/>
      <c r="O696" s="202"/>
      <c r="P696" s="202"/>
      <c r="Q696" s="202"/>
      <c r="R696" s="202"/>
      <c r="S696" s="202"/>
      <c r="T696" s="202"/>
    </row>
    <row r="697" spans="1:149" s="182" customFormat="1" ht="14.15" hidden="1">
      <c r="A697" s="222">
        <v>45334</v>
      </c>
      <c r="B697" s="201" t="s">
        <v>767</v>
      </c>
      <c r="C697" s="208" t="s">
        <v>146</v>
      </c>
      <c r="D697" s="592">
        <v>-10000</v>
      </c>
      <c r="E697" s="212">
        <v>45323</v>
      </c>
      <c r="F697" s="201" t="s">
        <v>109</v>
      </c>
      <c r="G697" s="208" t="s">
        <v>120</v>
      </c>
      <c r="H697" s="201"/>
      <c r="I697" s="201" t="s">
        <v>563</v>
      </c>
      <c r="J697" s="202"/>
      <c r="K697" s="202"/>
      <c r="L697" s="202"/>
      <c r="M697" s="202"/>
      <c r="N697" s="202"/>
      <c r="O697" s="202"/>
      <c r="P697" s="202"/>
      <c r="Q697" s="202"/>
      <c r="R697" s="202"/>
      <c r="S697" s="202"/>
      <c r="T697" s="202"/>
    </row>
    <row r="698" spans="1:149" s="182" customFormat="1" ht="14.15" hidden="1">
      <c r="A698" s="222">
        <v>45335</v>
      </c>
      <c r="B698" s="201" t="s">
        <v>206</v>
      </c>
      <c r="C698" s="208" t="s">
        <v>27</v>
      </c>
      <c r="D698" s="592">
        <v>-144244</v>
      </c>
      <c r="E698" s="212">
        <v>45323</v>
      </c>
      <c r="F698" s="201" t="s">
        <v>207</v>
      </c>
      <c r="G698" s="201"/>
      <c r="H698" s="201"/>
      <c r="I698" s="201"/>
      <c r="J698" s="202"/>
      <c r="K698" s="202"/>
      <c r="L698" s="202"/>
      <c r="M698" s="202"/>
      <c r="N698" s="202"/>
      <c r="O698" s="202"/>
      <c r="P698" s="202"/>
      <c r="Q698" s="202"/>
      <c r="R698" s="202"/>
      <c r="S698" s="202"/>
      <c r="T698" s="202"/>
    </row>
    <row r="699" spans="1:149" s="182" customFormat="1" ht="14.15" hidden="1">
      <c r="A699" s="222">
        <v>45335</v>
      </c>
      <c r="B699" s="201" t="s">
        <v>768</v>
      </c>
      <c r="C699" s="208" t="s">
        <v>27</v>
      </c>
      <c r="D699" s="592">
        <v>-1100000</v>
      </c>
      <c r="E699" s="212">
        <v>45323</v>
      </c>
      <c r="F699" s="201" t="s">
        <v>109</v>
      </c>
      <c r="G699" s="208" t="s">
        <v>120</v>
      </c>
      <c r="H699" s="201"/>
      <c r="I699" s="201"/>
      <c r="J699" s="202"/>
      <c r="K699" s="202"/>
      <c r="L699" s="202"/>
      <c r="M699" s="202"/>
      <c r="N699" s="202"/>
      <c r="O699" s="202"/>
      <c r="P699" s="202"/>
      <c r="Q699" s="202"/>
      <c r="R699" s="202"/>
      <c r="S699" s="202"/>
      <c r="T699" s="202"/>
    </row>
    <row r="700" spans="1:149" s="182" customFormat="1" ht="14.15" hidden="1">
      <c r="A700" s="222">
        <v>45335</v>
      </c>
      <c r="B700" s="201" t="s">
        <v>769</v>
      </c>
      <c r="C700" s="208" t="s">
        <v>27</v>
      </c>
      <c r="D700" s="592">
        <v>-1128370</v>
      </c>
      <c r="E700" s="212">
        <v>45323</v>
      </c>
      <c r="F700" s="84" t="s">
        <v>111</v>
      </c>
      <c r="G700" s="201"/>
      <c r="H700" s="201"/>
      <c r="I700" s="201"/>
      <c r="J700" s="202"/>
      <c r="K700" s="202"/>
      <c r="L700" s="202"/>
      <c r="M700" s="202"/>
      <c r="N700" s="202"/>
      <c r="O700" s="202"/>
      <c r="P700" s="202"/>
      <c r="Q700" s="202"/>
      <c r="R700" s="202"/>
      <c r="S700" s="202"/>
      <c r="T700" s="202"/>
    </row>
    <row r="701" spans="1:149" s="182" customFormat="1" ht="14.15" hidden="1">
      <c r="A701" s="222">
        <v>45335</v>
      </c>
      <c r="B701" s="201" t="s">
        <v>770</v>
      </c>
      <c r="C701" s="208" t="s">
        <v>27</v>
      </c>
      <c r="D701" s="592">
        <v>-1125230</v>
      </c>
      <c r="E701" s="212">
        <v>45323</v>
      </c>
      <c r="F701" s="83" t="s">
        <v>118</v>
      </c>
      <c r="G701" s="83"/>
      <c r="H701" s="201"/>
      <c r="I701" s="201"/>
      <c r="J701" s="202"/>
      <c r="K701" s="202"/>
      <c r="L701" s="202"/>
      <c r="M701" s="202"/>
      <c r="N701" s="202"/>
      <c r="O701" s="202"/>
      <c r="P701" s="202"/>
      <c r="Q701" s="202"/>
      <c r="R701" s="202"/>
      <c r="S701" s="202"/>
      <c r="T701" s="202"/>
    </row>
    <row r="702" spans="1:149" s="182" customFormat="1" ht="14.15" hidden="1">
      <c r="A702" s="222">
        <v>45335</v>
      </c>
      <c r="B702" s="601" t="s">
        <v>771</v>
      </c>
      <c r="C702" s="208" t="s">
        <v>27</v>
      </c>
      <c r="D702" s="592">
        <v>-7900</v>
      </c>
      <c r="E702" s="212">
        <v>45323</v>
      </c>
      <c r="F702" s="291" t="s">
        <v>130</v>
      </c>
      <c r="G702" s="208" t="s">
        <v>130</v>
      </c>
      <c r="H702" s="201" t="s">
        <v>184</v>
      </c>
      <c r="I702" s="201"/>
      <c r="J702" s="202"/>
      <c r="K702" s="202"/>
      <c r="L702" s="202"/>
      <c r="M702" s="202"/>
      <c r="N702" s="202"/>
      <c r="O702" s="202"/>
      <c r="P702" s="202"/>
      <c r="Q702" s="202"/>
      <c r="R702" s="202"/>
      <c r="S702" s="202"/>
      <c r="T702" s="202"/>
    </row>
    <row r="703" spans="1:149" s="182" customFormat="1" ht="14.15" hidden="1">
      <c r="A703" s="605">
        <v>45335</v>
      </c>
      <c r="B703" s="201" t="s">
        <v>772</v>
      </c>
      <c r="C703" s="208" t="s">
        <v>27</v>
      </c>
      <c r="D703" s="592">
        <v>-975000</v>
      </c>
      <c r="E703" s="212">
        <v>45323</v>
      </c>
      <c r="F703" s="201" t="s">
        <v>109</v>
      </c>
      <c r="G703" s="208" t="s">
        <v>120</v>
      </c>
      <c r="H703" s="208" t="s">
        <v>147</v>
      </c>
      <c r="I703" s="201"/>
      <c r="J703" s="202"/>
      <c r="K703" s="202"/>
      <c r="L703" s="202"/>
      <c r="M703" s="202"/>
      <c r="N703" s="202"/>
      <c r="O703" s="202"/>
      <c r="P703" s="202"/>
      <c r="Q703" s="202"/>
      <c r="R703" s="202"/>
      <c r="S703" s="202"/>
      <c r="T703" s="202"/>
    </row>
    <row r="704" spans="1:149" s="182" customFormat="1" ht="14.15" hidden="1">
      <c r="A704" s="468">
        <v>45448</v>
      </c>
      <c r="B704" s="208" t="s">
        <v>773</v>
      </c>
      <c r="C704" s="208" t="s">
        <v>27</v>
      </c>
      <c r="D704" s="592">
        <v>-372868</v>
      </c>
      <c r="E704" s="212">
        <v>45444</v>
      </c>
      <c r="F704" s="201" t="s">
        <v>110</v>
      </c>
      <c r="G704" s="208" t="s">
        <v>774</v>
      </c>
      <c r="H704" s="208" t="s">
        <v>175</v>
      </c>
      <c r="I704" s="208"/>
      <c r="J704" s="209"/>
      <c r="K704" s="209"/>
      <c r="L704" s="209"/>
      <c r="M704" s="209"/>
      <c r="N704" s="209"/>
      <c r="O704" s="209"/>
      <c r="P704" s="209"/>
      <c r="Q704" s="209"/>
      <c r="R704" s="209"/>
      <c r="S704" s="209"/>
      <c r="T704" s="209"/>
      <c r="U704" s="165"/>
      <c r="V704" s="165"/>
      <c r="W704" s="165"/>
      <c r="X704" s="165"/>
      <c r="Y704" s="165"/>
      <c r="Z704" s="165"/>
      <c r="AA704" s="165"/>
      <c r="AB704" s="165"/>
      <c r="AC704" s="165"/>
      <c r="AD704" s="165"/>
      <c r="AE704" s="165"/>
      <c r="AF704" s="165"/>
      <c r="AG704" s="165"/>
      <c r="AH704" s="165"/>
      <c r="AI704" s="165"/>
      <c r="AJ704" s="165"/>
      <c r="AK704" s="165"/>
      <c r="AL704" s="165"/>
      <c r="AM704" s="165"/>
      <c r="AN704" s="165"/>
      <c r="AO704" s="165"/>
      <c r="AP704" s="165"/>
      <c r="AQ704" s="165"/>
      <c r="AR704" s="165"/>
      <c r="AS704" s="165"/>
      <c r="AT704" s="165"/>
      <c r="AU704" s="165"/>
      <c r="AV704" s="165"/>
      <c r="AW704" s="165"/>
      <c r="AX704" s="165"/>
      <c r="AY704" s="165"/>
      <c r="AZ704" s="165"/>
      <c r="BA704" s="165"/>
      <c r="BB704" s="165"/>
      <c r="BC704" s="165"/>
      <c r="BD704" s="165"/>
      <c r="BE704" s="165"/>
      <c r="BF704" s="165"/>
      <c r="BG704" s="165"/>
      <c r="BH704" s="165"/>
      <c r="BI704" s="165"/>
      <c r="BJ704" s="165"/>
      <c r="BK704" s="165"/>
      <c r="BL704" s="165"/>
      <c r="BM704" s="165"/>
      <c r="BN704" s="165"/>
      <c r="BO704" s="165"/>
      <c r="BP704" s="165"/>
      <c r="BQ704" s="165"/>
      <c r="BR704" s="165"/>
      <c r="BS704" s="165"/>
      <c r="BT704" s="165"/>
      <c r="BU704" s="165"/>
      <c r="BV704" s="165"/>
      <c r="BW704" s="165"/>
      <c r="BX704" s="165"/>
      <c r="BY704" s="165"/>
      <c r="BZ704" s="165"/>
      <c r="CA704" s="165"/>
      <c r="CB704" s="165"/>
      <c r="CC704" s="165"/>
      <c r="CD704" s="165"/>
      <c r="CE704" s="165"/>
      <c r="CF704" s="165"/>
      <c r="CG704" s="165"/>
      <c r="CH704" s="165"/>
      <c r="CI704" s="165"/>
      <c r="CJ704" s="165"/>
      <c r="CK704" s="165"/>
      <c r="CL704" s="165"/>
      <c r="CM704" s="165"/>
      <c r="CN704" s="165"/>
      <c r="CO704" s="165"/>
      <c r="CP704" s="165"/>
      <c r="CQ704" s="165"/>
      <c r="CR704" s="165"/>
      <c r="CS704" s="165"/>
      <c r="CT704" s="165"/>
      <c r="CU704" s="165"/>
      <c r="CV704" s="165"/>
      <c r="CW704" s="165"/>
      <c r="CX704" s="165"/>
      <c r="CY704" s="165"/>
      <c r="CZ704" s="165"/>
      <c r="DA704" s="165"/>
      <c r="DB704" s="165"/>
      <c r="DC704" s="165"/>
      <c r="DD704" s="165"/>
      <c r="DE704" s="165"/>
      <c r="DF704" s="165"/>
      <c r="DG704" s="165"/>
      <c r="DH704" s="165"/>
      <c r="DI704" s="165"/>
      <c r="DJ704" s="165"/>
      <c r="DK704" s="165"/>
      <c r="DL704" s="165"/>
      <c r="DM704" s="165"/>
      <c r="DN704" s="165"/>
      <c r="DO704" s="165"/>
      <c r="DP704" s="165"/>
      <c r="DQ704" s="165"/>
      <c r="DR704" s="165"/>
      <c r="DS704" s="165"/>
      <c r="DT704" s="165"/>
      <c r="DU704" s="165"/>
      <c r="DV704" s="165"/>
      <c r="DW704" s="165"/>
      <c r="DX704" s="165"/>
      <c r="DY704" s="165"/>
      <c r="DZ704" s="165"/>
      <c r="EA704" s="165"/>
      <c r="EB704" s="165"/>
      <c r="EC704" s="165"/>
      <c r="ED704" s="165"/>
      <c r="EE704" s="165"/>
      <c r="EF704" s="165"/>
      <c r="EG704" s="165"/>
      <c r="EH704" s="165"/>
      <c r="EI704" s="165"/>
      <c r="EJ704" s="165"/>
      <c r="EK704" s="165"/>
      <c r="EL704" s="165"/>
      <c r="EM704" s="165"/>
      <c r="EN704" s="165"/>
      <c r="EO704" s="165"/>
      <c r="EP704" s="165"/>
      <c r="EQ704" s="165"/>
      <c r="ER704" s="165"/>
      <c r="ES704" s="165"/>
    </row>
    <row r="705" spans="1:20" s="182" customFormat="1" ht="14.15" hidden="1">
      <c r="A705" s="222">
        <v>45335</v>
      </c>
      <c r="B705" s="201" t="s">
        <v>775</v>
      </c>
      <c r="C705" s="208" t="s">
        <v>146</v>
      </c>
      <c r="D705" s="592">
        <v>-72000</v>
      </c>
      <c r="E705" s="212">
        <v>45323</v>
      </c>
      <c r="F705" s="201" t="s">
        <v>109</v>
      </c>
      <c r="G705" s="208" t="s">
        <v>120</v>
      </c>
      <c r="H705" s="81" t="s">
        <v>138</v>
      </c>
      <c r="I705" s="201"/>
      <c r="J705" s="202"/>
      <c r="K705" s="202"/>
      <c r="L705" s="202"/>
      <c r="M705" s="202"/>
      <c r="N705" s="202"/>
      <c r="O705" s="202"/>
      <c r="P705" s="202"/>
      <c r="Q705" s="202"/>
      <c r="R705" s="202"/>
      <c r="S705" s="202"/>
      <c r="T705" s="202"/>
    </row>
    <row r="706" spans="1:20" s="182" customFormat="1" ht="14.15" hidden="1">
      <c r="A706" s="222">
        <v>45335</v>
      </c>
      <c r="B706" s="201" t="s">
        <v>776</v>
      </c>
      <c r="C706" s="208" t="s">
        <v>146</v>
      </c>
      <c r="D706" s="592">
        <v>-30000</v>
      </c>
      <c r="E706" s="212">
        <v>45323</v>
      </c>
      <c r="F706" s="291" t="s">
        <v>207</v>
      </c>
      <c r="G706" s="201" t="s">
        <v>777</v>
      </c>
      <c r="H706" s="81" t="s">
        <v>138</v>
      </c>
      <c r="I706" s="201"/>
      <c r="J706" s="202"/>
      <c r="K706" s="202"/>
      <c r="L706" s="202"/>
      <c r="M706" s="202"/>
      <c r="N706" s="202"/>
      <c r="O706" s="202"/>
      <c r="P706" s="202"/>
      <c r="Q706" s="202"/>
      <c r="R706" s="202"/>
      <c r="S706" s="202"/>
      <c r="T706" s="202"/>
    </row>
    <row r="707" spans="1:20" s="182" customFormat="1" ht="14.15" hidden="1">
      <c r="A707" s="222">
        <v>45335</v>
      </c>
      <c r="B707" s="201" t="s">
        <v>778</v>
      </c>
      <c r="C707" s="208" t="s">
        <v>146</v>
      </c>
      <c r="D707" s="592">
        <v>-15000</v>
      </c>
      <c r="E707" s="212">
        <v>45323</v>
      </c>
      <c r="F707" s="291" t="s">
        <v>110</v>
      </c>
      <c r="G707" s="208" t="s">
        <v>450</v>
      </c>
      <c r="H707" s="81" t="s">
        <v>138</v>
      </c>
      <c r="I707" s="201"/>
      <c r="J707" s="202"/>
      <c r="K707" s="202"/>
      <c r="L707" s="202"/>
      <c r="M707" s="202"/>
      <c r="N707" s="202"/>
      <c r="O707" s="202"/>
      <c r="P707" s="202"/>
      <c r="Q707" s="202"/>
      <c r="R707" s="202"/>
      <c r="S707" s="202"/>
      <c r="T707" s="202"/>
    </row>
    <row r="708" spans="1:20" s="182" customFormat="1" ht="14.15" hidden="1">
      <c r="A708" s="222">
        <v>45335</v>
      </c>
      <c r="B708" s="201" t="s">
        <v>779</v>
      </c>
      <c r="C708" s="208" t="s">
        <v>146</v>
      </c>
      <c r="D708" s="592">
        <v>-15000</v>
      </c>
      <c r="E708" s="212">
        <v>45323</v>
      </c>
      <c r="F708" s="201" t="s">
        <v>109</v>
      </c>
      <c r="G708" s="208" t="s">
        <v>170</v>
      </c>
      <c r="H708" s="81" t="s">
        <v>138</v>
      </c>
      <c r="I708" s="201"/>
      <c r="J708" s="202"/>
      <c r="K708" s="202"/>
      <c r="L708" s="202"/>
      <c r="M708" s="202"/>
      <c r="N708" s="202"/>
      <c r="O708" s="202"/>
      <c r="P708" s="202"/>
      <c r="Q708" s="202"/>
      <c r="R708" s="202"/>
      <c r="S708" s="202"/>
      <c r="T708" s="202"/>
    </row>
    <row r="709" spans="1:20" s="182" customFormat="1" ht="14.15" hidden="1">
      <c r="A709" s="222">
        <v>45335</v>
      </c>
      <c r="B709" s="201" t="s">
        <v>780</v>
      </c>
      <c r="C709" s="208" t="s">
        <v>146</v>
      </c>
      <c r="D709" s="592">
        <v>-30000</v>
      </c>
      <c r="E709" s="212">
        <v>45323</v>
      </c>
      <c r="F709" s="201" t="s">
        <v>130</v>
      </c>
      <c r="G709" s="201" t="s">
        <v>130</v>
      </c>
      <c r="H709" s="81" t="s">
        <v>138</v>
      </c>
      <c r="I709" s="201"/>
      <c r="J709" s="202"/>
      <c r="K709" s="202"/>
      <c r="L709" s="202"/>
      <c r="M709" s="202"/>
      <c r="N709" s="202"/>
      <c r="O709" s="202"/>
      <c r="P709" s="202"/>
      <c r="Q709" s="202"/>
      <c r="R709" s="202"/>
      <c r="S709" s="202"/>
      <c r="T709" s="202"/>
    </row>
    <row r="710" spans="1:20" s="182" customFormat="1" ht="14.15" hidden="1">
      <c r="A710" s="222">
        <v>45335</v>
      </c>
      <c r="B710" s="201" t="s">
        <v>781</v>
      </c>
      <c r="C710" s="208" t="s">
        <v>146</v>
      </c>
      <c r="D710" s="592">
        <v>-100000</v>
      </c>
      <c r="E710" s="212">
        <v>45323</v>
      </c>
      <c r="F710" s="201" t="s">
        <v>109</v>
      </c>
      <c r="G710" s="208" t="s">
        <v>383</v>
      </c>
      <c r="H710" s="81" t="s">
        <v>138</v>
      </c>
      <c r="I710" s="201" t="s">
        <v>173</v>
      </c>
      <c r="J710" s="202"/>
      <c r="K710" s="202"/>
      <c r="L710" s="202"/>
      <c r="M710" s="202"/>
      <c r="N710" s="202"/>
      <c r="O710" s="202"/>
      <c r="P710" s="202"/>
      <c r="Q710" s="202"/>
      <c r="R710" s="202"/>
      <c r="S710" s="202"/>
      <c r="T710" s="202"/>
    </row>
    <row r="711" spans="1:20" s="182" customFormat="1" ht="14.15" hidden="1">
      <c r="A711" s="222">
        <v>45335</v>
      </c>
      <c r="B711" s="201" t="s">
        <v>782</v>
      </c>
      <c r="C711" s="208" t="s">
        <v>146</v>
      </c>
      <c r="D711" s="592">
        <v>-165999</v>
      </c>
      <c r="E711" s="212">
        <v>45323</v>
      </c>
      <c r="F711" s="201" t="s">
        <v>109</v>
      </c>
      <c r="G711" s="208" t="s">
        <v>120</v>
      </c>
      <c r="H711" s="208" t="s">
        <v>175</v>
      </c>
      <c r="I711" s="201" t="s">
        <v>173</v>
      </c>
      <c r="J711" s="202"/>
      <c r="K711" s="202"/>
      <c r="L711" s="202"/>
      <c r="M711" s="202"/>
      <c r="N711" s="202"/>
      <c r="O711" s="202"/>
      <c r="P711" s="202"/>
      <c r="Q711" s="202"/>
      <c r="R711" s="202"/>
      <c r="S711" s="202"/>
      <c r="T711" s="202"/>
    </row>
    <row r="712" spans="1:20" s="182" customFormat="1" ht="14.15" hidden="1">
      <c r="A712" s="222">
        <v>45335</v>
      </c>
      <c r="B712" s="201" t="s">
        <v>783</v>
      </c>
      <c r="C712" s="208" t="s">
        <v>146</v>
      </c>
      <c r="D712" s="592">
        <v>-60000</v>
      </c>
      <c r="E712" s="212">
        <v>45323</v>
      </c>
      <c r="F712" s="201" t="s">
        <v>109</v>
      </c>
      <c r="G712" s="208" t="s">
        <v>120</v>
      </c>
      <c r="H712" s="81" t="s">
        <v>138</v>
      </c>
      <c r="I712" s="201" t="s">
        <v>173</v>
      </c>
      <c r="J712" s="202"/>
      <c r="K712" s="202"/>
      <c r="L712" s="202"/>
      <c r="M712" s="202"/>
      <c r="N712" s="202"/>
      <c r="O712" s="202"/>
      <c r="P712" s="202"/>
      <c r="Q712" s="202"/>
      <c r="R712" s="202"/>
      <c r="S712" s="202"/>
      <c r="T712" s="202"/>
    </row>
    <row r="713" spans="1:20" s="182" customFormat="1" ht="14.15" hidden="1">
      <c r="A713" s="222">
        <v>45335</v>
      </c>
      <c r="B713" s="201" t="s">
        <v>784</v>
      </c>
      <c r="C713" s="208" t="s">
        <v>146</v>
      </c>
      <c r="D713" s="592">
        <v>-64500</v>
      </c>
      <c r="E713" s="212">
        <v>45323</v>
      </c>
      <c r="F713" s="201" t="s">
        <v>109</v>
      </c>
      <c r="G713" s="208" t="s">
        <v>383</v>
      </c>
      <c r="H713" s="208" t="s">
        <v>175</v>
      </c>
      <c r="I713" s="201" t="s">
        <v>173</v>
      </c>
      <c r="J713" s="202"/>
      <c r="K713" s="202"/>
      <c r="L713" s="202"/>
      <c r="M713" s="202"/>
      <c r="N713" s="202"/>
      <c r="O713" s="202"/>
      <c r="P713" s="202"/>
      <c r="Q713" s="202"/>
      <c r="R713" s="202"/>
      <c r="S713" s="202"/>
      <c r="T713" s="202"/>
    </row>
    <row r="714" spans="1:20" s="182" customFormat="1" ht="14.15" hidden="1">
      <c r="A714" s="222">
        <v>45335</v>
      </c>
      <c r="B714" s="201" t="s">
        <v>785</v>
      </c>
      <c r="C714" s="208" t="s">
        <v>146</v>
      </c>
      <c r="D714" s="592">
        <v>-10830</v>
      </c>
      <c r="E714" s="212">
        <v>45323</v>
      </c>
      <c r="F714" s="201" t="s">
        <v>109</v>
      </c>
      <c r="G714" s="208" t="s">
        <v>383</v>
      </c>
      <c r="H714" s="208" t="s">
        <v>175</v>
      </c>
      <c r="I714" s="201" t="s">
        <v>173</v>
      </c>
      <c r="J714" s="202"/>
      <c r="K714" s="202"/>
      <c r="L714" s="202"/>
      <c r="M714" s="202"/>
      <c r="N714" s="202"/>
      <c r="O714" s="202"/>
      <c r="P714" s="202"/>
      <c r="Q714" s="202"/>
      <c r="R714" s="202"/>
      <c r="S714" s="202"/>
      <c r="T714" s="202"/>
    </row>
    <row r="715" spans="1:20" s="182" customFormat="1" ht="14.15" hidden="1">
      <c r="A715" s="222">
        <v>45335</v>
      </c>
      <c r="B715" s="201" t="s">
        <v>786</v>
      </c>
      <c r="C715" s="208" t="s">
        <v>146</v>
      </c>
      <c r="D715" s="592">
        <v>-16121</v>
      </c>
      <c r="E715" s="212">
        <v>45323</v>
      </c>
      <c r="F715" s="201" t="s">
        <v>109</v>
      </c>
      <c r="G715" s="208" t="s">
        <v>383</v>
      </c>
      <c r="H715" s="208" t="s">
        <v>175</v>
      </c>
      <c r="I715" s="201" t="s">
        <v>173</v>
      </c>
      <c r="J715" s="202"/>
      <c r="K715" s="202"/>
      <c r="L715" s="202"/>
      <c r="M715" s="202"/>
      <c r="N715" s="202"/>
      <c r="O715" s="202"/>
      <c r="P715" s="202"/>
      <c r="Q715" s="202"/>
      <c r="R715" s="202"/>
      <c r="S715" s="202"/>
      <c r="T715" s="202"/>
    </row>
    <row r="716" spans="1:20" s="182" customFormat="1" ht="14.15" hidden="1">
      <c r="A716" s="222">
        <v>45335</v>
      </c>
      <c r="B716" s="201" t="s">
        <v>787</v>
      </c>
      <c r="C716" s="208" t="s">
        <v>146</v>
      </c>
      <c r="D716" s="592">
        <v>-40000</v>
      </c>
      <c r="E716" s="212">
        <v>45323</v>
      </c>
      <c r="F716" s="201" t="s">
        <v>109</v>
      </c>
      <c r="G716" s="208" t="s">
        <v>383</v>
      </c>
      <c r="H716" s="208" t="s">
        <v>175</v>
      </c>
      <c r="I716" s="201" t="s">
        <v>173</v>
      </c>
      <c r="J716" s="202"/>
      <c r="K716" s="202"/>
      <c r="L716" s="202"/>
      <c r="M716" s="202"/>
      <c r="N716" s="202"/>
      <c r="O716" s="202"/>
      <c r="P716" s="202"/>
      <c r="Q716" s="202"/>
      <c r="R716" s="202"/>
      <c r="S716" s="202"/>
      <c r="T716" s="202"/>
    </row>
    <row r="717" spans="1:20" s="182" customFormat="1" ht="14.15" hidden="1">
      <c r="A717" s="222">
        <v>45335</v>
      </c>
      <c r="B717" s="201" t="s">
        <v>788</v>
      </c>
      <c r="C717" s="208" t="s">
        <v>146</v>
      </c>
      <c r="D717" s="592">
        <v>-76000</v>
      </c>
      <c r="E717" s="212">
        <v>45323</v>
      </c>
      <c r="F717" s="291" t="s">
        <v>110</v>
      </c>
      <c r="G717" s="208" t="s">
        <v>450</v>
      </c>
      <c r="H717" s="208" t="s">
        <v>175</v>
      </c>
      <c r="I717" s="201" t="s">
        <v>173</v>
      </c>
      <c r="J717" s="202"/>
      <c r="K717" s="202"/>
      <c r="L717" s="202"/>
      <c r="M717" s="202"/>
      <c r="N717" s="202"/>
      <c r="O717" s="202"/>
      <c r="P717" s="202"/>
      <c r="Q717" s="202"/>
      <c r="R717" s="202"/>
      <c r="S717" s="202"/>
      <c r="T717" s="202"/>
    </row>
    <row r="718" spans="1:20" s="182" customFormat="1" ht="14.15" hidden="1">
      <c r="A718" s="222">
        <v>45335</v>
      </c>
      <c r="B718" s="201" t="s">
        <v>789</v>
      </c>
      <c r="C718" s="208" t="s">
        <v>146</v>
      </c>
      <c r="D718" s="592">
        <v>-6000</v>
      </c>
      <c r="E718" s="212">
        <v>45323</v>
      </c>
      <c r="F718" s="201" t="s">
        <v>109</v>
      </c>
      <c r="G718" s="208" t="s">
        <v>383</v>
      </c>
      <c r="H718" s="208" t="s">
        <v>175</v>
      </c>
      <c r="I718" s="201" t="s">
        <v>173</v>
      </c>
      <c r="J718" s="202"/>
      <c r="K718" s="202"/>
      <c r="L718" s="202"/>
      <c r="M718" s="202"/>
      <c r="N718" s="202"/>
      <c r="O718" s="202"/>
      <c r="P718" s="202"/>
      <c r="Q718" s="202"/>
      <c r="R718" s="202"/>
      <c r="S718" s="202"/>
      <c r="T718" s="202"/>
    </row>
    <row r="719" spans="1:20" s="182" customFormat="1" ht="14.15" hidden="1">
      <c r="A719" s="222">
        <v>45335</v>
      </c>
      <c r="B719" s="201" t="s">
        <v>790</v>
      </c>
      <c r="C719" s="208" t="s">
        <v>146</v>
      </c>
      <c r="D719" s="592">
        <v>-11000</v>
      </c>
      <c r="E719" s="212">
        <v>45323</v>
      </c>
      <c r="F719" s="201" t="s">
        <v>109</v>
      </c>
      <c r="G719" s="208" t="s">
        <v>383</v>
      </c>
      <c r="H719" s="208" t="s">
        <v>175</v>
      </c>
      <c r="I719" s="201" t="s">
        <v>173</v>
      </c>
      <c r="J719" s="202"/>
      <c r="K719" s="202"/>
      <c r="L719" s="202"/>
      <c r="M719" s="202"/>
      <c r="N719" s="202"/>
      <c r="O719" s="202"/>
      <c r="P719" s="202"/>
      <c r="Q719" s="202"/>
      <c r="R719" s="202"/>
      <c r="S719" s="202"/>
      <c r="T719" s="202"/>
    </row>
    <row r="720" spans="1:20" s="182" customFormat="1" ht="14.15" hidden="1">
      <c r="A720" s="222">
        <v>45335</v>
      </c>
      <c r="B720" s="201" t="s">
        <v>791</v>
      </c>
      <c r="C720" s="208" t="s">
        <v>146</v>
      </c>
      <c r="D720" s="592">
        <v>-24500</v>
      </c>
      <c r="E720" s="212">
        <v>45323</v>
      </c>
      <c r="F720" s="201" t="s">
        <v>109</v>
      </c>
      <c r="G720" s="201" t="s">
        <v>130</v>
      </c>
      <c r="H720" s="208" t="s">
        <v>175</v>
      </c>
      <c r="I720" s="201" t="s">
        <v>173</v>
      </c>
      <c r="J720" s="202"/>
      <c r="K720" s="202"/>
      <c r="L720" s="202"/>
      <c r="M720" s="202"/>
      <c r="N720" s="202"/>
      <c r="O720" s="202"/>
      <c r="P720" s="202"/>
      <c r="Q720" s="202"/>
      <c r="R720" s="202"/>
      <c r="S720" s="202"/>
      <c r="T720" s="202"/>
    </row>
    <row r="721" spans="1:20" s="182" customFormat="1" ht="14.15" hidden="1">
      <c r="A721" s="222">
        <v>45335</v>
      </c>
      <c r="B721" s="201" t="s">
        <v>792</v>
      </c>
      <c r="C721" s="208" t="s">
        <v>146</v>
      </c>
      <c r="D721" s="592">
        <v>-6200</v>
      </c>
      <c r="E721" s="212">
        <v>45323</v>
      </c>
      <c r="F721" s="201" t="s">
        <v>109</v>
      </c>
      <c r="G721" s="208" t="s">
        <v>383</v>
      </c>
      <c r="H721" s="81" t="s">
        <v>138</v>
      </c>
      <c r="I721" s="201" t="s">
        <v>173</v>
      </c>
      <c r="J721" s="202"/>
      <c r="K721" s="202"/>
      <c r="L721" s="202"/>
      <c r="M721" s="202"/>
      <c r="N721" s="202"/>
      <c r="O721" s="202"/>
      <c r="P721" s="202"/>
      <c r="Q721" s="202"/>
      <c r="R721" s="202"/>
      <c r="S721" s="202"/>
      <c r="T721" s="202"/>
    </row>
    <row r="722" spans="1:20" s="182" customFormat="1" ht="14.15" hidden="1">
      <c r="A722" s="222">
        <v>45336</v>
      </c>
      <c r="B722" s="201" t="s">
        <v>793</v>
      </c>
      <c r="C722" s="208" t="s">
        <v>27</v>
      </c>
      <c r="D722" s="592">
        <v>-6480000</v>
      </c>
      <c r="E722" s="212">
        <v>45323</v>
      </c>
      <c r="F722" s="201" t="s">
        <v>109</v>
      </c>
      <c r="G722" s="208" t="s">
        <v>120</v>
      </c>
      <c r="H722" s="208" t="s">
        <v>147</v>
      </c>
      <c r="I722" s="201"/>
      <c r="J722" s="202"/>
      <c r="K722" s="202"/>
      <c r="L722" s="202"/>
      <c r="M722" s="202"/>
      <c r="N722" s="202"/>
      <c r="O722" s="202"/>
      <c r="P722" s="202"/>
      <c r="Q722" s="202"/>
      <c r="R722" s="202"/>
      <c r="S722" s="202"/>
      <c r="T722" s="202"/>
    </row>
    <row r="723" spans="1:20" s="182" customFormat="1" ht="14.15" hidden="1">
      <c r="A723" s="222">
        <v>45336</v>
      </c>
      <c r="B723" s="201" t="s">
        <v>794</v>
      </c>
      <c r="C723" s="208" t="s">
        <v>133</v>
      </c>
      <c r="D723" s="592">
        <v>-65454</v>
      </c>
      <c r="E723" s="212">
        <v>45323</v>
      </c>
      <c r="F723" s="201" t="s">
        <v>109</v>
      </c>
      <c r="G723" s="208" t="s">
        <v>120</v>
      </c>
      <c r="H723" s="208" t="s">
        <v>147</v>
      </c>
      <c r="I723" s="201"/>
      <c r="J723" s="202"/>
      <c r="K723" s="202"/>
      <c r="L723" s="202"/>
      <c r="M723" s="202"/>
      <c r="N723" s="202"/>
      <c r="O723" s="202"/>
      <c r="P723" s="202"/>
      <c r="Q723" s="202"/>
      <c r="R723" s="202"/>
      <c r="S723" s="202"/>
      <c r="T723" s="202"/>
    </row>
    <row r="724" spans="1:20" s="182" customFormat="1" ht="14.15" hidden="1">
      <c r="A724" s="222">
        <v>45336</v>
      </c>
      <c r="B724" s="201" t="s">
        <v>795</v>
      </c>
      <c r="C724" s="208" t="s">
        <v>27</v>
      </c>
      <c r="D724" s="592">
        <v>-137950</v>
      </c>
      <c r="E724" s="212">
        <v>45323</v>
      </c>
      <c r="F724" s="201" t="s">
        <v>130</v>
      </c>
      <c r="G724" s="201" t="s">
        <v>130</v>
      </c>
      <c r="H724" s="201" t="s">
        <v>323</v>
      </c>
      <c r="I724" s="201"/>
      <c r="J724" s="202"/>
      <c r="K724" s="202"/>
      <c r="L724" s="202"/>
      <c r="M724" s="202"/>
      <c r="N724" s="202"/>
      <c r="O724" s="202"/>
      <c r="P724" s="202"/>
      <c r="Q724" s="202"/>
      <c r="R724" s="202"/>
      <c r="S724" s="202"/>
      <c r="T724" s="202"/>
    </row>
    <row r="725" spans="1:20" s="182" customFormat="1" ht="14.15" hidden="1">
      <c r="A725" s="222">
        <v>45336</v>
      </c>
      <c r="B725" s="201" t="s">
        <v>796</v>
      </c>
      <c r="C725" s="208" t="s">
        <v>133</v>
      </c>
      <c r="D725" s="592">
        <v>-17050</v>
      </c>
      <c r="E725" s="212">
        <v>45323</v>
      </c>
      <c r="F725" s="201" t="s">
        <v>130</v>
      </c>
      <c r="G725" s="201" t="s">
        <v>130</v>
      </c>
      <c r="H725" s="201" t="s">
        <v>323</v>
      </c>
      <c r="I725" s="201"/>
      <c r="J725" s="202"/>
      <c r="K725" s="202"/>
      <c r="L725" s="202"/>
      <c r="M725" s="202"/>
      <c r="N725" s="202"/>
      <c r="O725" s="202"/>
      <c r="P725" s="202"/>
      <c r="Q725" s="202"/>
      <c r="R725" s="202"/>
      <c r="S725" s="202"/>
      <c r="T725" s="202"/>
    </row>
    <row r="726" spans="1:20" s="182" customFormat="1" ht="14.15" hidden="1">
      <c r="A726" s="222">
        <v>45336</v>
      </c>
      <c r="B726" s="201" t="s">
        <v>797</v>
      </c>
      <c r="C726" s="208" t="s">
        <v>27</v>
      </c>
      <c r="D726" s="592">
        <v>-38178873</v>
      </c>
      <c r="E726" s="212">
        <v>45323</v>
      </c>
      <c r="F726" s="201" t="s">
        <v>130</v>
      </c>
      <c r="G726" s="201" t="s">
        <v>130</v>
      </c>
      <c r="H726" s="201" t="s">
        <v>182</v>
      </c>
      <c r="I726" s="201"/>
      <c r="J726" s="202"/>
      <c r="K726" s="202"/>
      <c r="L726" s="202"/>
      <c r="M726" s="202"/>
      <c r="N726" s="202"/>
      <c r="O726" s="202"/>
      <c r="P726" s="202"/>
      <c r="Q726" s="202"/>
      <c r="R726" s="202"/>
      <c r="S726" s="202"/>
      <c r="T726" s="202"/>
    </row>
    <row r="727" spans="1:20" s="182" customFormat="1" ht="14.15" hidden="1">
      <c r="A727" s="222">
        <v>45336</v>
      </c>
      <c r="B727" s="201" t="s">
        <v>798</v>
      </c>
      <c r="C727" s="208" t="s">
        <v>27</v>
      </c>
      <c r="D727" s="592">
        <v>-7421976</v>
      </c>
      <c r="E727" s="212">
        <v>45323</v>
      </c>
      <c r="F727" s="201" t="s">
        <v>130</v>
      </c>
      <c r="G727" s="201" t="s">
        <v>130</v>
      </c>
      <c r="H727" s="201" t="s">
        <v>182</v>
      </c>
      <c r="I727" s="201"/>
      <c r="J727" s="202"/>
      <c r="K727" s="202"/>
      <c r="L727" s="202"/>
      <c r="M727" s="202"/>
      <c r="N727" s="202"/>
      <c r="O727" s="202"/>
      <c r="P727" s="202"/>
      <c r="Q727" s="202"/>
      <c r="R727" s="202"/>
      <c r="S727" s="202"/>
      <c r="T727" s="202"/>
    </row>
    <row r="728" spans="1:20" s="182" customFormat="1" ht="14.15" hidden="1">
      <c r="A728" s="605">
        <v>45336</v>
      </c>
      <c r="B728" s="201" t="s">
        <v>799</v>
      </c>
      <c r="C728" s="208" t="s">
        <v>27</v>
      </c>
      <c r="D728" s="592">
        <v>-470650</v>
      </c>
      <c r="E728" s="212">
        <v>45323</v>
      </c>
      <c r="F728" s="201" t="s">
        <v>110</v>
      </c>
      <c r="G728" s="208" t="s">
        <v>450</v>
      </c>
      <c r="H728" s="208" t="s">
        <v>175</v>
      </c>
      <c r="I728" s="201"/>
      <c r="J728" s="202"/>
      <c r="K728" s="202"/>
      <c r="L728" s="202"/>
      <c r="M728" s="202"/>
      <c r="N728" s="202"/>
      <c r="O728" s="202"/>
      <c r="P728" s="202"/>
      <c r="Q728" s="202"/>
      <c r="R728" s="202"/>
      <c r="S728" s="202"/>
      <c r="T728" s="202"/>
    </row>
    <row r="729" spans="1:20" s="182" customFormat="1" ht="14.15" hidden="1">
      <c r="A729" s="222">
        <v>45336</v>
      </c>
      <c r="B729" s="201" t="s">
        <v>800</v>
      </c>
      <c r="C729" s="208" t="s">
        <v>27</v>
      </c>
      <c r="D729" s="592">
        <v>-9256967</v>
      </c>
      <c r="E729" s="212">
        <v>45323</v>
      </c>
      <c r="F729" s="201" t="s">
        <v>110</v>
      </c>
      <c r="G729" s="208" t="s">
        <v>453</v>
      </c>
      <c r="H729" s="208" t="s">
        <v>212</v>
      </c>
      <c r="I729" s="201"/>
      <c r="J729" s="202"/>
      <c r="K729" s="202"/>
      <c r="L729" s="202"/>
      <c r="M729" s="202"/>
      <c r="N729" s="202"/>
      <c r="O729" s="202"/>
      <c r="P729" s="202"/>
      <c r="Q729" s="202"/>
      <c r="R729" s="202"/>
      <c r="S729" s="202"/>
      <c r="T729" s="202"/>
    </row>
    <row r="730" spans="1:20" s="182" customFormat="1" ht="14.15" hidden="1">
      <c r="A730" s="222">
        <v>45336</v>
      </c>
      <c r="B730" s="201" t="s">
        <v>801</v>
      </c>
      <c r="C730" s="208" t="s">
        <v>133</v>
      </c>
      <c r="D730" s="592">
        <v>-198647</v>
      </c>
      <c r="E730" s="212">
        <v>45323</v>
      </c>
      <c r="F730" s="291" t="s">
        <v>110</v>
      </c>
      <c r="G730" s="208" t="s">
        <v>453</v>
      </c>
      <c r="H730" s="208" t="s">
        <v>212</v>
      </c>
      <c r="I730" s="201"/>
      <c r="J730" s="202"/>
      <c r="K730" s="202"/>
      <c r="L730" s="202"/>
      <c r="M730" s="202"/>
      <c r="N730" s="202"/>
      <c r="O730" s="202"/>
      <c r="P730" s="202"/>
      <c r="Q730" s="202"/>
      <c r="R730" s="202"/>
      <c r="S730" s="202"/>
      <c r="T730" s="202"/>
    </row>
    <row r="731" spans="1:20" s="182" customFormat="1" ht="14.15" hidden="1">
      <c r="A731" s="222">
        <v>45336</v>
      </c>
      <c r="B731" s="201" t="s">
        <v>802</v>
      </c>
      <c r="C731" s="208" t="s">
        <v>146</v>
      </c>
      <c r="D731" s="592">
        <v>-56000</v>
      </c>
      <c r="E731" s="212">
        <v>45323</v>
      </c>
      <c r="F731" s="201" t="s">
        <v>130</v>
      </c>
      <c r="G731" s="201" t="s">
        <v>257</v>
      </c>
      <c r="H731" s="201" t="s">
        <v>659</v>
      </c>
      <c r="I731" s="201"/>
      <c r="J731" s="202"/>
      <c r="K731" s="202"/>
      <c r="L731" s="202"/>
      <c r="M731" s="202"/>
      <c r="N731" s="202"/>
      <c r="O731" s="202"/>
      <c r="P731" s="202"/>
      <c r="Q731" s="202"/>
      <c r="R731" s="202"/>
      <c r="S731" s="202"/>
      <c r="T731" s="202"/>
    </row>
    <row r="732" spans="1:20" s="182" customFormat="1" ht="14.15" hidden="1">
      <c r="A732" s="222">
        <v>45336</v>
      </c>
      <c r="B732" s="201" t="s">
        <v>803</v>
      </c>
      <c r="C732" s="208" t="s">
        <v>146</v>
      </c>
      <c r="D732" s="592">
        <v>-25000</v>
      </c>
      <c r="E732" s="212">
        <v>45323</v>
      </c>
      <c r="F732" s="291" t="s">
        <v>109</v>
      </c>
      <c r="G732" s="208" t="s">
        <v>120</v>
      </c>
      <c r="H732" s="201" t="s">
        <v>323</v>
      </c>
      <c r="I732" s="201" t="s">
        <v>173</v>
      </c>
      <c r="J732" s="202"/>
      <c r="K732" s="202"/>
      <c r="L732" s="202"/>
      <c r="M732" s="202"/>
      <c r="N732" s="202"/>
      <c r="O732" s="202"/>
      <c r="P732" s="202"/>
      <c r="Q732" s="202"/>
      <c r="R732" s="202"/>
      <c r="S732" s="202"/>
      <c r="T732" s="202"/>
    </row>
    <row r="733" spans="1:20" s="182" customFormat="1" ht="14.15" hidden="1">
      <c r="A733" s="222">
        <v>45336</v>
      </c>
      <c r="B733" s="201" t="s">
        <v>804</v>
      </c>
      <c r="C733" s="208" t="s">
        <v>146</v>
      </c>
      <c r="D733" s="592">
        <v>-132000</v>
      </c>
      <c r="E733" s="212">
        <v>45323</v>
      </c>
      <c r="F733" s="208" t="s">
        <v>109</v>
      </c>
      <c r="G733" s="208" t="s">
        <v>137</v>
      </c>
      <c r="H733" s="208" t="s">
        <v>175</v>
      </c>
      <c r="I733" s="201"/>
      <c r="J733" s="202"/>
      <c r="K733" s="202"/>
      <c r="L733" s="202"/>
      <c r="M733" s="202"/>
      <c r="N733" s="202"/>
      <c r="O733" s="202"/>
      <c r="P733" s="202"/>
      <c r="Q733" s="202"/>
      <c r="R733" s="202"/>
      <c r="S733" s="202"/>
      <c r="T733" s="202"/>
    </row>
    <row r="734" spans="1:20" s="182" customFormat="1" ht="14.15" hidden="1">
      <c r="A734" s="222">
        <v>45336</v>
      </c>
      <c r="B734" s="201" t="s">
        <v>755</v>
      </c>
      <c r="C734" s="208" t="s">
        <v>146</v>
      </c>
      <c r="D734" s="592">
        <v>-255000</v>
      </c>
      <c r="E734" s="212">
        <v>45323</v>
      </c>
      <c r="F734" s="201" t="s">
        <v>109</v>
      </c>
      <c r="G734" s="208" t="s">
        <v>383</v>
      </c>
      <c r="H734" s="81" t="s">
        <v>138</v>
      </c>
      <c r="I734" s="201"/>
      <c r="J734" s="202"/>
      <c r="K734" s="202"/>
      <c r="L734" s="202"/>
      <c r="M734" s="202"/>
      <c r="N734" s="202"/>
      <c r="O734" s="202"/>
      <c r="P734" s="202"/>
      <c r="Q734" s="202"/>
      <c r="R734" s="202"/>
      <c r="S734" s="202"/>
      <c r="T734" s="202"/>
    </row>
    <row r="735" spans="1:20" s="182" customFormat="1" ht="14.15" hidden="1">
      <c r="A735" s="222">
        <v>45336</v>
      </c>
      <c r="B735" s="201" t="s">
        <v>805</v>
      </c>
      <c r="C735" s="208" t="s">
        <v>146</v>
      </c>
      <c r="D735" s="592">
        <v>-174000</v>
      </c>
      <c r="E735" s="212">
        <v>45323</v>
      </c>
      <c r="F735" s="291" t="s">
        <v>110</v>
      </c>
      <c r="G735" s="208" t="s">
        <v>450</v>
      </c>
      <c r="H735" s="208" t="s">
        <v>175</v>
      </c>
      <c r="I735" s="201" t="s">
        <v>173</v>
      </c>
      <c r="J735" s="202"/>
      <c r="K735" s="202"/>
      <c r="L735" s="202"/>
      <c r="M735" s="202"/>
      <c r="N735" s="202"/>
      <c r="O735" s="202"/>
      <c r="P735" s="202"/>
      <c r="Q735" s="202"/>
      <c r="R735" s="202"/>
      <c r="S735" s="202"/>
      <c r="T735" s="202"/>
    </row>
    <row r="736" spans="1:20" s="182" customFormat="1" ht="14.15" hidden="1">
      <c r="A736" s="222">
        <v>45336</v>
      </c>
      <c r="B736" s="201" t="s">
        <v>806</v>
      </c>
      <c r="C736" s="208" t="s">
        <v>146</v>
      </c>
      <c r="D736" s="592">
        <v>-3090</v>
      </c>
      <c r="E736" s="212">
        <v>45323</v>
      </c>
      <c r="F736" s="291" t="s">
        <v>110</v>
      </c>
      <c r="G736" s="208" t="s">
        <v>450</v>
      </c>
      <c r="H736" s="208" t="s">
        <v>175</v>
      </c>
      <c r="I736" s="201" t="s">
        <v>173</v>
      </c>
      <c r="J736" s="202"/>
      <c r="K736" s="202"/>
      <c r="L736" s="202"/>
      <c r="M736" s="202"/>
      <c r="N736" s="202"/>
      <c r="O736" s="202"/>
      <c r="P736" s="202"/>
      <c r="Q736" s="202"/>
      <c r="R736" s="202"/>
      <c r="S736" s="202"/>
      <c r="T736" s="202"/>
    </row>
    <row r="737" spans="1:20" s="182" customFormat="1" ht="14.15" hidden="1">
      <c r="A737" s="222">
        <v>45336</v>
      </c>
      <c r="B737" s="201" t="s">
        <v>807</v>
      </c>
      <c r="C737" s="208" t="s">
        <v>146</v>
      </c>
      <c r="D737" s="592">
        <v>-26040</v>
      </c>
      <c r="E737" s="212">
        <v>45323</v>
      </c>
      <c r="F737" s="291" t="s">
        <v>110</v>
      </c>
      <c r="G737" s="208" t="s">
        <v>450</v>
      </c>
      <c r="H737" s="208" t="s">
        <v>175</v>
      </c>
      <c r="I737" s="201" t="s">
        <v>173</v>
      </c>
      <c r="J737" s="202"/>
      <c r="K737" s="202"/>
      <c r="L737" s="202"/>
      <c r="M737" s="202"/>
      <c r="N737" s="202"/>
      <c r="O737" s="202"/>
      <c r="P737" s="202"/>
      <c r="Q737" s="202"/>
      <c r="R737" s="202"/>
      <c r="S737" s="202"/>
      <c r="T737" s="202"/>
    </row>
    <row r="738" spans="1:20" s="182" customFormat="1" ht="14.15" hidden="1">
      <c r="A738" s="222">
        <v>45336</v>
      </c>
      <c r="B738" s="201" t="s">
        <v>808</v>
      </c>
      <c r="C738" s="208" t="s">
        <v>146</v>
      </c>
      <c r="D738" s="592">
        <v>-58000</v>
      </c>
      <c r="E738" s="212">
        <v>45323</v>
      </c>
      <c r="F738" s="201" t="s">
        <v>109</v>
      </c>
      <c r="G738" s="201" t="s">
        <v>130</v>
      </c>
      <c r="H738" s="201" t="s">
        <v>184</v>
      </c>
      <c r="I738" s="201" t="s">
        <v>173</v>
      </c>
      <c r="J738" s="202"/>
      <c r="K738" s="202"/>
      <c r="L738" s="202"/>
      <c r="M738" s="202"/>
      <c r="N738" s="202"/>
      <c r="O738" s="202"/>
      <c r="P738" s="202"/>
      <c r="Q738" s="202"/>
      <c r="R738" s="202"/>
      <c r="S738" s="202"/>
      <c r="T738" s="202"/>
    </row>
    <row r="739" spans="1:20" s="182" customFormat="1" ht="14.15" hidden="1">
      <c r="A739" s="222">
        <v>45336</v>
      </c>
      <c r="B739" s="201" t="s">
        <v>809</v>
      </c>
      <c r="C739" s="208" t="s">
        <v>146</v>
      </c>
      <c r="D739" s="592">
        <v>-24000</v>
      </c>
      <c r="E739" s="212">
        <v>45323</v>
      </c>
      <c r="F739" s="291" t="s">
        <v>130</v>
      </c>
      <c r="G739" s="208" t="s">
        <v>130</v>
      </c>
      <c r="H739" s="201" t="s">
        <v>184</v>
      </c>
      <c r="I739" s="201" t="s">
        <v>173</v>
      </c>
      <c r="J739" s="202"/>
      <c r="K739" s="202"/>
      <c r="L739" s="202"/>
      <c r="M739" s="202"/>
      <c r="N739" s="202"/>
      <c r="O739" s="202"/>
      <c r="P739" s="202"/>
      <c r="Q739" s="202"/>
      <c r="R739" s="202"/>
      <c r="S739" s="202"/>
      <c r="T739" s="202"/>
    </row>
    <row r="740" spans="1:20" s="182" customFormat="1" ht="14.15" hidden="1">
      <c r="A740" s="222">
        <v>45336</v>
      </c>
      <c r="B740" s="201" t="s">
        <v>810</v>
      </c>
      <c r="C740" s="208" t="s">
        <v>146</v>
      </c>
      <c r="D740" s="592">
        <v>-20000</v>
      </c>
      <c r="E740" s="212">
        <v>45323</v>
      </c>
      <c r="F740" s="201" t="s">
        <v>109</v>
      </c>
      <c r="G740" s="208" t="s">
        <v>170</v>
      </c>
      <c r="H740" s="81" t="s">
        <v>138</v>
      </c>
      <c r="I740" s="201" t="s">
        <v>173</v>
      </c>
      <c r="J740" s="202"/>
      <c r="K740" s="202"/>
      <c r="L740" s="202"/>
      <c r="M740" s="202"/>
      <c r="N740" s="202"/>
      <c r="O740" s="202"/>
      <c r="P740" s="202"/>
      <c r="Q740" s="202"/>
      <c r="R740" s="202"/>
      <c r="S740" s="202"/>
      <c r="T740" s="202"/>
    </row>
    <row r="741" spans="1:20" s="182" customFormat="1" ht="14.15" hidden="1">
      <c r="A741" s="222">
        <v>45336</v>
      </c>
      <c r="B741" s="201" t="s">
        <v>811</v>
      </c>
      <c r="C741" s="208" t="s">
        <v>146</v>
      </c>
      <c r="D741" s="592">
        <v>-20000</v>
      </c>
      <c r="E741" s="212">
        <v>45323</v>
      </c>
      <c r="F741" s="201" t="s">
        <v>109</v>
      </c>
      <c r="G741" s="208" t="s">
        <v>170</v>
      </c>
      <c r="H741" s="81" t="s">
        <v>138</v>
      </c>
      <c r="I741" s="201" t="s">
        <v>173</v>
      </c>
      <c r="J741" s="202"/>
      <c r="K741" s="202"/>
      <c r="L741" s="202"/>
      <c r="M741" s="202"/>
      <c r="N741" s="202"/>
      <c r="O741" s="202"/>
      <c r="P741" s="202"/>
      <c r="Q741" s="202"/>
      <c r="R741" s="202"/>
      <c r="S741" s="202"/>
      <c r="T741" s="202"/>
    </row>
    <row r="742" spans="1:20" s="182" customFormat="1" ht="14.15" hidden="1">
      <c r="A742" s="222">
        <v>45336</v>
      </c>
      <c r="B742" s="201" t="s">
        <v>812</v>
      </c>
      <c r="C742" s="208" t="s">
        <v>146</v>
      </c>
      <c r="D742" s="592">
        <v>-20000</v>
      </c>
      <c r="E742" s="212">
        <v>45323</v>
      </c>
      <c r="F742" s="291" t="s">
        <v>110</v>
      </c>
      <c r="G742" s="208" t="s">
        <v>450</v>
      </c>
      <c r="H742" s="81" t="s">
        <v>138</v>
      </c>
      <c r="I742" s="201" t="s">
        <v>173</v>
      </c>
      <c r="J742" s="202"/>
      <c r="K742" s="202"/>
      <c r="L742" s="202"/>
      <c r="M742" s="202"/>
      <c r="N742" s="202"/>
      <c r="O742" s="202"/>
      <c r="P742" s="202"/>
      <c r="Q742" s="202"/>
      <c r="R742" s="202"/>
      <c r="S742" s="202"/>
      <c r="T742" s="202"/>
    </row>
    <row r="743" spans="1:20" s="182" customFormat="1" ht="14.15" hidden="1">
      <c r="A743" s="222">
        <v>45336</v>
      </c>
      <c r="B743" s="201" t="s">
        <v>813</v>
      </c>
      <c r="C743" s="208" t="s">
        <v>146</v>
      </c>
      <c r="D743" s="800">
        <v>-11200</v>
      </c>
      <c r="E743" s="212">
        <v>45323</v>
      </c>
      <c r="F743" s="201" t="s">
        <v>109</v>
      </c>
      <c r="G743" s="201" t="s">
        <v>581</v>
      </c>
      <c r="H743" s="201"/>
      <c r="I743" s="291" t="s">
        <v>77</v>
      </c>
      <c r="J743" s="202"/>
      <c r="K743" s="202"/>
      <c r="L743" s="202"/>
      <c r="M743" s="202"/>
      <c r="N743" s="202"/>
      <c r="O743" s="202"/>
      <c r="P743" s="202"/>
      <c r="Q743" s="202"/>
      <c r="R743" s="202"/>
      <c r="S743" s="202"/>
      <c r="T743" s="202"/>
    </row>
    <row r="744" spans="1:20" s="182" customFormat="1" ht="14.15" hidden="1">
      <c r="A744" s="222">
        <v>45336</v>
      </c>
      <c r="B744" s="201" t="s">
        <v>814</v>
      </c>
      <c r="C744" s="208" t="s">
        <v>27</v>
      </c>
      <c r="D744" s="592">
        <v>2832463</v>
      </c>
      <c r="E744" s="212">
        <v>45323</v>
      </c>
      <c r="F744" s="201" t="s">
        <v>108</v>
      </c>
      <c r="G744" s="201"/>
      <c r="H744" s="201"/>
      <c r="I744" s="201"/>
      <c r="J744" s="202"/>
      <c r="K744" s="202"/>
      <c r="L744" s="202"/>
      <c r="M744" s="202"/>
      <c r="N744" s="202"/>
      <c r="O744" s="202"/>
      <c r="P744" s="202"/>
      <c r="Q744" s="202"/>
      <c r="R744" s="202"/>
      <c r="S744" s="202"/>
      <c r="T744" s="202"/>
    </row>
    <row r="745" spans="1:20" s="182" customFormat="1" ht="14.15" hidden="1">
      <c r="A745" s="222">
        <v>45336</v>
      </c>
      <c r="B745" s="201" t="s">
        <v>815</v>
      </c>
      <c r="C745" s="208" t="s">
        <v>269</v>
      </c>
      <c r="D745" s="592">
        <v>-120000</v>
      </c>
      <c r="E745" s="212">
        <v>45323</v>
      </c>
      <c r="F745" s="201" t="s">
        <v>109</v>
      </c>
      <c r="G745" s="208" t="s">
        <v>383</v>
      </c>
      <c r="H745" s="81" t="s">
        <v>138</v>
      </c>
      <c r="I745" s="201" t="s">
        <v>173</v>
      </c>
      <c r="J745" s="202"/>
      <c r="K745" s="202"/>
      <c r="L745" s="202"/>
      <c r="M745" s="202"/>
      <c r="N745" s="202"/>
      <c r="O745" s="202"/>
      <c r="P745" s="202"/>
      <c r="Q745" s="202"/>
      <c r="R745" s="202"/>
      <c r="S745" s="202"/>
      <c r="T745" s="202"/>
    </row>
    <row r="746" spans="1:20" s="182" customFormat="1" ht="14.15" hidden="1">
      <c r="A746" s="222">
        <v>45336</v>
      </c>
      <c r="B746" s="201" t="s">
        <v>816</v>
      </c>
      <c r="C746" s="208" t="s">
        <v>27</v>
      </c>
      <c r="D746" s="592">
        <f>-1253119.14893617+2.34+0.000425577163696289</f>
        <v>-1253116.8085105927</v>
      </c>
      <c r="E746" s="212">
        <v>45323</v>
      </c>
      <c r="F746" s="201" t="s">
        <v>109</v>
      </c>
      <c r="G746" s="208" t="s">
        <v>120</v>
      </c>
      <c r="H746" s="208" t="s">
        <v>147</v>
      </c>
      <c r="I746" s="201"/>
      <c r="J746" s="202"/>
      <c r="K746" s="202"/>
      <c r="L746" s="202"/>
      <c r="M746" s="202"/>
      <c r="N746" s="202"/>
      <c r="O746" s="202"/>
      <c r="P746" s="202"/>
      <c r="Q746" s="202"/>
      <c r="R746" s="202"/>
      <c r="S746" s="202"/>
      <c r="T746" s="202"/>
    </row>
    <row r="747" spans="1:20" s="182" customFormat="1" ht="14.15" hidden="1">
      <c r="A747" s="222">
        <v>45336</v>
      </c>
      <c r="B747" s="201" t="s">
        <v>817</v>
      </c>
      <c r="C747" s="208" t="s">
        <v>27</v>
      </c>
      <c r="D747" s="592">
        <v>-690794.04255319142</v>
      </c>
      <c r="E747" s="212">
        <v>45323</v>
      </c>
      <c r="F747" s="201" t="s">
        <v>109</v>
      </c>
      <c r="G747" s="208" t="s">
        <v>120</v>
      </c>
      <c r="H747" s="208" t="s">
        <v>147</v>
      </c>
      <c r="I747" s="201"/>
      <c r="J747" s="202"/>
      <c r="K747" s="202"/>
      <c r="L747" s="202"/>
      <c r="M747" s="202"/>
      <c r="N747" s="202"/>
      <c r="O747" s="202"/>
      <c r="P747" s="202"/>
      <c r="Q747" s="202"/>
      <c r="R747" s="202"/>
      <c r="S747" s="202"/>
      <c r="T747" s="202"/>
    </row>
    <row r="748" spans="1:20" s="182" customFormat="1" ht="14.15" hidden="1">
      <c r="A748" s="222">
        <v>45336</v>
      </c>
      <c r="B748" s="201" t="s">
        <v>818</v>
      </c>
      <c r="C748" s="208" t="s">
        <v>27</v>
      </c>
      <c r="D748" s="592">
        <v>-756740</v>
      </c>
      <c r="E748" s="212">
        <v>45323</v>
      </c>
      <c r="F748" s="201" t="s">
        <v>109</v>
      </c>
      <c r="G748" s="208" t="s">
        <v>383</v>
      </c>
      <c r="H748" s="208" t="s">
        <v>147</v>
      </c>
      <c r="I748" s="201"/>
      <c r="J748" s="202"/>
      <c r="K748" s="202"/>
      <c r="L748" s="202"/>
      <c r="M748" s="202"/>
      <c r="N748" s="202"/>
      <c r="O748" s="202"/>
      <c r="P748" s="202"/>
      <c r="Q748" s="202"/>
      <c r="R748" s="202"/>
      <c r="S748" s="202"/>
      <c r="T748" s="202"/>
    </row>
    <row r="749" spans="1:20" s="182" customFormat="1" ht="14.15" hidden="1">
      <c r="A749" s="222">
        <v>45336</v>
      </c>
      <c r="B749" s="201" t="s">
        <v>819</v>
      </c>
      <c r="C749" s="208" t="s">
        <v>27</v>
      </c>
      <c r="D749" s="592">
        <v>-1038260</v>
      </c>
      <c r="E749" s="212">
        <v>45323</v>
      </c>
      <c r="F749" s="201" t="s">
        <v>109</v>
      </c>
      <c r="G749" s="208" t="s">
        <v>383</v>
      </c>
      <c r="H749" s="208" t="s">
        <v>147</v>
      </c>
      <c r="I749" s="201"/>
      <c r="J749" s="202"/>
      <c r="K749" s="202"/>
      <c r="L749" s="202"/>
      <c r="M749" s="202"/>
      <c r="N749" s="202"/>
      <c r="O749" s="202"/>
      <c r="P749" s="202"/>
      <c r="Q749" s="202"/>
      <c r="R749" s="202"/>
      <c r="S749" s="202"/>
      <c r="T749" s="202"/>
    </row>
    <row r="750" spans="1:20" s="182" customFormat="1" ht="14.15" hidden="1">
      <c r="A750" s="222">
        <v>45336</v>
      </c>
      <c r="B750" s="201" t="s">
        <v>820</v>
      </c>
      <c r="C750" s="208" t="s">
        <v>27</v>
      </c>
      <c r="D750" s="592">
        <v>-699240</v>
      </c>
      <c r="E750" s="212">
        <v>45323</v>
      </c>
      <c r="F750" s="201" t="s">
        <v>109</v>
      </c>
      <c r="G750" s="208" t="s">
        <v>383</v>
      </c>
      <c r="H750" s="208" t="s">
        <v>147</v>
      </c>
      <c r="I750" s="201"/>
      <c r="J750" s="202"/>
      <c r="K750" s="202"/>
      <c r="L750" s="202"/>
      <c r="M750" s="202"/>
      <c r="N750" s="202"/>
      <c r="O750" s="202"/>
      <c r="P750" s="202"/>
      <c r="Q750" s="202"/>
      <c r="R750" s="202"/>
      <c r="S750" s="202"/>
      <c r="T750" s="202"/>
    </row>
    <row r="751" spans="1:20" s="182" customFormat="1" ht="14.15" hidden="1">
      <c r="A751" s="222">
        <v>45336</v>
      </c>
      <c r="B751" s="201" t="s">
        <v>821</v>
      </c>
      <c r="C751" s="208" t="s">
        <v>27</v>
      </c>
      <c r="D751" s="592">
        <v>-691723.40425531915</v>
      </c>
      <c r="E751" s="212">
        <v>45323</v>
      </c>
      <c r="F751" s="201" t="s">
        <v>109</v>
      </c>
      <c r="G751" s="208" t="s">
        <v>120</v>
      </c>
      <c r="H751" s="201"/>
      <c r="I751" s="616"/>
      <c r="J751" s="202"/>
      <c r="K751" s="202"/>
      <c r="L751" s="202"/>
      <c r="M751" s="202"/>
      <c r="N751" s="202"/>
      <c r="O751" s="202"/>
      <c r="P751" s="202"/>
      <c r="Q751" s="202"/>
      <c r="R751" s="202"/>
      <c r="S751" s="202"/>
      <c r="T751" s="202"/>
    </row>
    <row r="752" spans="1:20" s="182" customFormat="1" ht="14.15" hidden="1">
      <c r="A752" s="222">
        <v>45336</v>
      </c>
      <c r="B752" s="201" t="s">
        <v>822</v>
      </c>
      <c r="C752" s="208" t="s">
        <v>27</v>
      </c>
      <c r="D752" s="592">
        <v>-881400</v>
      </c>
      <c r="E752" s="212">
        <v>45323</v>
      </c>
      <c r="F752" s="201" t="s">
        <v>109</v>
      </c>
      <c r="G752" s="208" t="s">
        <v>383</v>
      </c>
      <c r="H752" s="201" t="s">
        <v>508</v>
      </c>
      <c r="I752" s="616"/>
      <c r="J752" s="565"/>
      <c r="K752" s="202"/>
      <c r="L752" s="202"/>
      <c r="M752" s="202"/>
      <c r="N752" s="202"/>
      <c r="O752" s="202"/>
      <c r="P752" s="202"/>
      <c r="Q752" s="202"/>
      <c r="R752" s="202"/>
      <c r="S752" s="202"/>
      <c r="T752" s="202"/>
    </row>
    <row r="753" spans="1:20" s="182" customFormat="1" ht="14.15" hidden="1">
      <c r="A753" s="222">
        <v>45336</v>
      </c>
      <c r="B753" s="201" t="s">
        <v>823</v>
      </c>
      <c r="C753" s="208" t="s">
        <v>27</v>
      </c>
      <c r="D753" s="592">
        <v>-763928.72340425535</v>
      </c>
      <c r="E753" s="212">
        <v>45323</v>
      </c>
      <c r="F753" s="201" t="s">
        <v>130</v>
      </c>
      <c r="G753" s="201" t="s">
        <v>130</v>
      </c>
      <c r="H753" s="201" t="s">
        <v>182</v>
      </c>
      <c r="I753" s="201"/>
      <c r="J753" s="202"/>
      <c r="K753" s="202"/>
      <c r="L753" s="202"/>
      <c r="M753" s="202"/>
      <c r="N753" s="202"/>
      <c r="O753" s="202"/>
      <c r="P753" s="202"/>
      <c r="Q753" s="202"/>
      <c r="R753" s="202"/>
      <c r="S753" s="202"/>
      <c r="T753" s="202"/>
    </row>
    <row r="754" spans="1:20" s="182" customFormat="1" ht="14.15" hidden="1">
      <c r="A754" s="222">
        <v>45336</v>
      </c>
      <c r="B754" s="201" t="s">
        <v>824</v>
      </c>
      <c r="C754" s="208" t="s">
        <v>27</v>
      </c>
      <c r="D754" s="592">
        <v>-679000</v>
      </c>
      <c r="E754" s="212">
        <v>45323</v>
      </c>
      <c r="F754" s="201" t="s">
        <v>109</v>
      </c>
      <c r="G754" s="208" t="s">
        <v>383</v>
      </c>
      <c r="H754" s="208" t="s">
        <v>147</v>
      </c>
      <c r="I754" s="201"/>
      <c r="J754" s="202"/>
      <c r="K754" s="202"/>
      <c r="L754" s="202"/>
      <c r="M754" s="202"/>
      <c r="N754" s="202"/>
      <c r="O754" s="202"/>
      <c r="P754" s="202"/>
      <c r="Q754" s="202"/>
      <c r="R754" s="202"/>
      <c r="S754" s="202"/>
      <c r="T754" s="202"/>
    </row>
    <row r="755" spans="1:20" s="182" customFormat="1" ht="14.15" hidden="1">
      <c r="A755" s="222">
        <v>45336</v>
      </c>
      <c r="B755" s="201" t="s">
        <v>825</v>
      </c>
      <c r="C755" s="208" t="s">
        <v>27</v>
      </c>
      <c r="D755" s="592">
        <v>-691723.40425531915</v>
      </c>
      <c r="E755" s="212">
        <v>45323</v>
      </c>
      <c r="F755" s="201" t="s">
        <v>109</v>
      </c>
      <c r="G755" s="208" t="s">
        <v>120</v>
      </c>
      <c r="H755" s="201"/>
      <c r="I755" s="201"/>
      <c r="J755" s="202"/>
      <c r="K755" s="202"/>
      <c r="L755" s="202"/>
      <c r="M755" s="202"/>
      <c r="N755" s="202"/>
      <c r="O755" s="202"/>
      <c r="P755" s="202"/>
      <c r="Q755" s="202"/>
      <c r="R755" s="202"/>
      <c r="S755" s="202"/>
      <c r="T755" s="202"/>
    </row>
    <row r="756" spans="1:20" s="182" customFormat="1" ht="14.15" hidden="1">
      <c r="A756" s="222">
        <v>45336</v>
      </c>
      <c r="B756" s="201" t="s">
        <v>826</v>
      </c>
      <c r="C756" s="208" t="s">
        <v>27</v>
      </c>
      <c r="D756" s="592">
        <v>-691723.40425531915</v>
      </c>
      <c r="E756" s="212">
        <v>45323</v>
      </c>
      <c r="F756" s="201" t="s">
        <v>109</v>
      </c>
      <c r="G756" s="208" t="s">
        <v>120</v>
      </c>
      <c r="H756" s="201"/>
      <c r="I756" s="201"/>
      <c r="J756" s="202"/>
      <c r="K756" s="202"/>
      <c r="L756" s="202"/>
      <c r="M756" s="202"/>
      <c r="N756" s="202"/>
      <c r="O756" s="202"/>
      <c r="P756" s="202"/>
      <c r="Q756" s="202"/>
      <c r="R756" s="202"/>
      <c r="S756" s="202"/>
      <c r="T756" s="202"/>
    </row>
    <row r="757" spans="1:20" s="182" customFormat="1" ht="14.15" hidden="1">
      <c r="A757" s="222">
        <v>45336</v>
      </c>
      <c r="B757" s="201" t="s">
        <v>827</v>
      </c>
      <c r="C757" s="208" t="s">
        <v>27</v>
      </c>
      <c r="D757" s="592">
        <v>-679000</v>
      </c>
      <c r="E757" s="212">
        <v>45323</v>
      </c>
      <c r="F757" s="201" t="s">
        <v>109</v>
      </c>
      <c r="G757" s="208" t="s">
        <v>383</v>
      </c>
      <c r="H757" s="208" t="s">
        <v>147</v>
      </c>
      <c r="I757" s="201"/>
      <c r="J757" s="202"/>
      <c r="K757" s="202"/>
      <c r="L757" s="202"/>
      <c r="M757" s="202"/>
      <c r="N757" s="202"/>
      <c r="O757" s="202"/>
      <c r="P757" s="202"/>
      <c r="Q757" s="202"/>
      <c r="R757" s="202"/>
      <c r="S757" s="202"/>
      <c r="T757" s="202"/>
    </row>
    <row r="758" spans="1:20" s="182" customFormat="1" ht="14.15" hidden="1">
      <c r="A758" s="222">
        <v>45336</v>
      </c>
      <c r="B758" s="201" t="s">
        <v>828</v>
      </c>
      <c r="C758" s="208" t="s">
        <v>27</v>
      </c>
      <c r="D758" s="592">
        <v>-2024000</v>
      </c>
      <c r="E758" s="212">
        <v>45323</v>
      </c>
      <c r="F758" s="201" t="s">
        <v>130</v>
      </c>
      <c r="G758" s="201" t="s">
        <v>130</v>
      </c>
      <c r="H758" s="201" t="s">
        <v>182</v>
      </c>
      <c r="I758" s="201"/>
      <c r="J758" s="202"/>
      <c r="K758" s="202"/>
      <c r="L758" s="202"/>
      <c r="M758" s="202"/>
      <c r="N758" s="202"/>
      <c r="O758" s="202"/>
      <c r="P758" s="202"/>
      <c r="Q758" s="202"/>
      <c r="R758" s="202"/>
      <c r="S758" s="202"/>
      <c r="T758" s="202"/>
    </row>
    <row r="759" spans="1:20" s="182" customFormat="1" ht="14.15" hidden="1">
      <c r="A759" s="222">
        <v>45336</v>
      </c>
      <c r="B759" s="201" t="s">
        <v>829</v>
      </c>
      <c r="C759" s="208" t="s">
        <v>27</v>
      </c>
      <c r="D759" s="592">
        <v>-679000</v>
      </c>
      <c r="E759" s="212">
        <v>45323</v>
      </c>
      <c r="F759" s="201" t="s">
        <v>130</v>
      </c>
      <c r="G759" s="201" t="s">
        <v>130</v>
      </c>
      <c r="H759" s="201" t="s">
        <v>182</v>
      </c>
      <c r="I759" s="201"/>
      <c r="J759" s="202"/>
      <c r="K759" s="202"/>
      <c r="L759" s="202"/>
      <c r="M759" s="202"/>
      <c r="N759" s="202"/>
      <c r="O759" s="202"/>
      <c r="P759" s="202"/>
      <c r="Q759" s="202"/>
      <c r="R759" s="202"/>
      <c r="S759" s="202"/>
      <c r="T759" s="202"/>
    </row>
    <row r="760" spans="1:20" s="182" customFormat="1" ht="14.15" hidden="1">
      <c r="A760" s="222">
        <v>45336</v>
      </c>
      <c r="B760" s="201" t="s">
        <v>830</v>
      </c>
      <c r="C760" s="208" t="s">
        <v>27</v>
      </c>
      <c r="D760" s="592">
        <v>-691723.40425531915</v>
      </c>
      <c r="E760" s="212">
        <v>45323</v>
      </c>
      <c r="F760" s="201" t="s">
        <v>109</v>
      </c>
      <c r="G760" s="208" t="s">
        <v>120</v>
      </c>
      <c r="H760" s="201"/>
      <c r="I760" s="201"/>
      <c r="J760" s="202"/>
      <c r="K760" s="202"/>
      <c r="L760" s="202"/>
      <c r="M760" s="202"/>
      <c r="N760" s="202"/>
      <c r="O760" s="202"/>
      <c r="P760" s="202"/>
      <c r="Q760" s="202"/>
      <c r="R760" s="202"/>
      <c r="S760" s="202"/>
      <c r="T760" s="202"/>
    </row>
    <row r="761" spans="1:20" s="182" customFormat="1" ht="14.15" hidden="1">
      <c r="A761" s="222">
        <v>45336</v>
      </c>
      <c r="B761" s="201" t="s">
        <v>831</v>
      </c>
      <c r="C761" s="208" t="s">
        <v>27</v>
      </c>
      <c r="D761" s="592">
        <v>-691723.40425531915</v>
      </c>
      <c r="E761" s="212">
        <v>45323</v>
      </c>
      <c r="F761" s="201" t="s">
        <v>109</v>
      </c>
      <c r="G761" s="208" t="s">
        <v>120</v>
      </c>
      <c r="H761" s="201"/>
      <c r="I761" s="201"/>
      <c r="J761" s="202"/>
      <c r="K761" s="202"/>
      <c r="L761" s="202"/>
      <c r="M761" s="202"/>
      <c r="N761" s="202"/>
      <c r="O761" s="202"/>
      <c r="P761" s="202"/>
      <c r="Q761" s="202"/>
      <c r="R761" s="202"/>
      <c r="S761" s="202"/>
      <c r="T761" s="202"/>
    </row>
    <row r="762" spans="1:20" s="182" customFormat="1" ht="14.15" hidden="1">
      <c r="A762" s="222">
        <v>45336</v>
      </c>
      <c r="B762" s="201" t="s">
        <v>832</v>
      </c>
      <c r="C762" s="208" t="s">
        <v>27</v>
      </c>
      <c r="D762" s="592">
        <v>-691723.40425531915</v>
      </c>
      <c r="E762" s="212">
        <v>45323</v>
      </c>
      <c r="F762" s="201" t="s">
        <v>109</v>
      </c>
      <c r="G762" s="208" t="s">
        <v>120</v>
      </c>
      <c r="H762" s="201"/>
      <c r="I762" s="201"/>
      <c r="J762" s="202"/>
      <c r="K762" s="202"/>
      <c r="L762" s="202"/>
      <c r="M762" s="202"/>
      <c r="N762" s="202"/>
      <c r="O762" s="202"/>
      <c r="P762" s="202"/>
      <c r="Q762" s="202"/>
      <c r="R762" s="202"/>
      <c r="S762" s="202"/>
      <c r="T762" s="202"/>
    </row>
    <row r="763" spans="1:20" s="182" customFormat="1" ht="14.15" hidden="1">
      <c r="A763" s="222">
        <v>45336</v>
      </c>
      <c r="B763" s="201" t="s">
        <v>833</v>
      </c>
      <c r="C763" s="208" t="s">
        <v>27</v>
      </c>
      <c r="D763" s="592">
        <v>-679000</v>
      </c>
      <c r="E763" s="212">
        <v>45323</v>
      </c>
      <c r="F763" s="201" t="s">
        <v>110</v>
      </c>
      <c r="G763" s="208" t="s">
        <v>450</v>
      </c>
      <c r="H763" s="208" t="s">
        <v>147</v>
      </c>
      <c r="I763" s="201"/>
      <c r="J763" s="202"/>
      <c r="K763" s="202"/>
      <c r="L763" s="202"/>
      <c r="M763" s="202"/>
      <c r="N763" s="202"/>
      <c r="O763" s="202"/>
      <c r="P763" s="202"/>
      <c r="Q763" s="202"/>
      <c r="R763" s="202"/>
      <c r="S763" s="202"/>
      <c r="T763" s="202"/>
    </row>
    <row r="764" spans="1:20" s="182" customFormat="1" ht="14.15" hidden="1">
      <c r="A764" s="222">
        <v>45336</v>
      </c>
      <c r="B764" s="201" t="s">
        <v>834</v>
      </c>
      <c r="C764" s="208" t="s">
        <v>27</v>
      </c>
      <c r="D764" s="592">
        <v>-679000</v>
      </c>
      <c r="E764" s="212">
        <v>45323</v>
      </c>
      <c r="F764" s="201" t="s">
        <v>110</v>
      </c>
      <c r="G764" s="208" t="s">
        <v>450</v>
      </c>
      <c r="H764" s="208" t="s">
        <v>147</v>
      </c>
      <c r="I764" s="201"/>
      <c r="J764" s="202"/>
      <c r="K764" s="202"/>
      <c r="L764" s="202"/>
      <c r="M764" s="202"/>
      <c r="N764" s="202"/>
      <c r="O764" s="202"/>
      <c r="P764" s="202"/>
      <c r="Q764" s="202"/>
      <c r="R764" s="202"/>
      <c r="S764" s="202"/>
      <c r="T764" s="202"/>
    </row>
    <row r="765" spans="1:20" s="182" customFormat="1" ht="14.15" hidden="1">
      <c r="A765" s="222">
        <v>45336</v>
      </c>
      <c r="B765" s="201" t="s">
        <v>835</v>
      </c>
      <c r="C765" s="208" t="s">
        <v>27</v>
      </c>
      <c r="D765" s="592">
        <v>-679000</v>
      </c>
      <c r="E765" s="212">
        <v>45323</v>
      </c>
      <c r="F765" s="201" t="s">
        <v>110</v>
      </c>
      <c r="G765" s="208" t="s">
        <v>450</v>
      </c>
      <c r="H765" s="208" t="s">
        <v>147</v>
      </c>
      <c r="I765" s="616"/>
      <c r="J765" s="202"/>
      <c r="K765" s="202"/>
      <c r="L765" s="202"/>
      <c r="M765" s="202"/>
      <c r="N765" s="202"/>
      <c r="O765" s="202"/>
      <c r="P765" s="202"/>
      <c r="Q765" s="202"/>
      <c r="R765" s="202"/>
      <c r="S765" s="202"/>
      <c r="T765" s="202"/>
    </row>
    <row r="766" spans="1:20" s="182" customFormat="1" ht="14.15" hidden="1">
      <c r="A766" s="222">
        <v>45336</v>
      </c>
      <c r="B766" s="201" t="s">
        <v>836</v>
      </c>
      <c r="C766" s="208" t="s">
        <v>27</v>
      </c>
      <c r="D766" s="592">
        <v>-407400</v>
      </c>
      <c r="E766" s="212">
        <v>45323</v>
      </c>
      <c r="F766" s="201" t="s">
        <v>110</v>
      </c>
      <c r="G766" s="208" t="s">
        <v>450</v>
      </c>
      <c r="H766" s="208" t="s">
        <v>147</v>
      </c>
      <c r="I766" s="616"/>
      <c r="J766" s="565"/>
      <c r="K766" s="202"/>
      <c r="L766" s="202"/>
      <c r="M766" s="202"/>
      <c r="N766" s="202"/>
      <c r="O766" s="202"/>
      <c r="P766" s="202"/>
      <c r="Q766" s="202"/>
      <c r="R766" s="202"/>
      <c r="S766" s="202"/>
      <c r="T766" s="202"/>
    </row>
    <row r="767" spans="1:20" s="182" customFormat="1" ht="14.15" hidden="1">
      <c r="A767" s="222">
        <v>45336</v>
      </c>
      <c r="B767" s="201" t="s">
        <v>837</v>
      </c>
      <c r="C767" s="208" t="s">
        <v>27</v>
      </c>
      <c r="D767" s="592">
        <v>-650000</v>
      </c>
      <c r="E767" s="212">
        <v>45323</v>
      </c>
      <c r="F767" s="201" t="s">
        <v>130</v>
      </c>
      <c r="G767" s="201" t="s">
        <v>130</v>
      </c>
      <c r="H767" s="201" t="s">
        <v>182</v>
      </c>
      <c r="I767" s="201"/>
      <c r="J767" s="202"/>
      <c r="K767" s="202"/>
      <c r="L767" s="202"/>
      <c r="M767" s="202"/>
      <c r="N767" s="202"/>
      <c r="O767" s="202"/>
      <c r="P767" s="202"/>
      <c r="Q767" s="202"/>
      <c r="R767" s="202"/>
      <c r="S767" s="202"/>
      <c r="T767" s="202"/>
    </row>
    <row r="768" spans="1:20" s="182" customFormat="1" ht="14.15" hidden="1">
      <c r="A768" s="222">
        <v>45337</v>
      </c>
      <c r="B768" s="201" t="s">
        <v>838</v>
      </c>
      <c r="C768" s="208" t="s">
        <v>27</v>
      </c>
      <c r="D768" s="592">
        <v>-690000</v>
      </c>
      <c r="E768" s="212">
        <v>45323</v>
      </c>
      <c r="F768" s="201" t="s">
        <v>207</v>
      </c>
      <c r="G768" s="208" t="s">
        <v>494</v>
      </c>
      <c r="H768" s="201"/>
      <c r="I768" s="201"/>
      <c r="J768" s="202"/>
      <c r="K768" s="202"/>
      <c r="L768" s="202"/>
      <c r="M768" s="202"/>
      <c r="N768" s="202"/>
      <c r="O768" s="202"/>
      <c r="P768" s="202"/>
      <c r="Q768" s="202"/>
      <c r="R768" s="202"/>
      <c r="S768" s="202"/>
      <c r="T768" s="202"/>
    </row>
    <row r="769" spans="1:20" s="182" customFormat="1" ht="14.15" hidden="1">
      <c r="A769" s="222">
        <v>45337</v>
      </c>
      <c r="B769" s="201" t="s">
        <v>839</v>
      </c>
      <c r="C769" s="208" t="s">
        <v>146</v>
      </c>
      <c r="D769" s="592">
        <v>-13000</v>
      </c>
      <c r="E769" s="212">
        <v>45323</v>
      </c>
      <c r="F769" s="291" t="s">
        <v>110</v>
      </c>
      <c r="G769" s="208" t="s">
        <v>450</v>
      </c>
      <c r="H769" s="81" t="s">
        <v>138</v>
      </c>
      <c r="I769" s="201"/>
      <c r="J769" s="202"/>
      <c r="K769" s="202"/>
      <c r="L769" s="202"/>
      <c r="M769" s="202"/>
      <c r="N769" s="202"/>
      <c r="O769" s="202"/>
      <c r="P769" s="202"/>
      <c r="Q769" s="202"/>
      <c r="R769" s="202"/>
      <c r="S769" s="202"/>
      <c r="T769" s="202"/>
    </row>
    <row r="770" spans="1:20" s="182" customFormat="1" ht="14.15" hidden="1">
      <c r="A770" s="222">
        <v>45337</v>
      </c>
      <c r="B770" s="201" t="s">
        <v>840</v>
      </c>
      <c r="C770" s="208" t="s">
        <v>146</v>
      </c>
      <c r="D770" s="592">
        <v>-116553</v>
      </c>
      <c r="E770" s="212">
        <v>45323</v>
      </c>
      <c r="F770" s="201" t="s">
        <v>109</v>
      </c>
      <c r="G770" s="208" t="s">
        <v>383</v>
      </c>
      <c r="H770" s="208" t="s">
        <v>175</v>
      </c>
      <c r="I770" s="201" t="s">
        <v>173</v>
      </c>
      <c r="J770" s="202"/>
      <c r="K770" s="202"/>
      <c r="L770" s="202"/>
      <c r="M770" s="202"/>
      <c r="N770" s="202"/>
      <c r="O770" s="202"/>
      <c r="P770" s="202"/>
      <c r="Q770" s="202"/>
      <c r="R770" s="202"/>
      <c r="S770" s="202"/>
      <c r="T770" s="202"/>
    </row>
    <row r="771" spans="1:20" s="182" customFormat="1" ht="14.15" hidden="1">
      <c r="A771" s="222">
        <v>45337</v>
      </c>
      <c r="B771" s="201" t="s">
        <v>841</v>
      </c>
      <c r="C771" s="208" t="s">
        <v>146</v>
      </c>
      <c r="D771" s="592">
        <v>-485202</v>
      </c>
      <c r="E771" s="212">
        <v>45323</v>
      </c>
      <c r="F771" s="201" t="s">
        <v>109</v>
      </c>
      <c r="G771" s="208" t="s">
        <v>383</v>
      </c>
      <c r="H771" s="208" t="s">
        <v>175</v>
      </c>
      <c r="I771" s="201" t="s">
        <v>173</v>
      </c>
      <c r="J771" s="202"/>
      <c r="K771" s="202"/>
      <c r="L771" s="202"/>
      <c r="M771" s="202"/>
      <c r="N771" s="202"/>
      <c r="O771" s="202"/>
      <c r="P771" s="202"/>
      <c r="Q771" s="202"/>
      <c r="R771" s="202"/>
      <c r="S771" s="202"/>
      <c r="T771" s="202"/>
    </row>
    <row r="772" spans="1:20" s="182" customFormat="1" ht="14.15" hidden="1">
      <c r="A772" s="222">
        <v>45337</v>
      </c>
      <c r="B772" s="201" t="s">
        <v>842</v>
      </c>
      <c r="C772" s="208" t="s">
        <v>146</v>
      </c>
      <c r="D772" s="592">
        <v>-66000</v>
      </c>
      <c r="E772" s="212">
        <v>45323</v>
      </c>
      <c r="F772" s="201" t="s">
        <v>109</v>
      </c>
      <c r="G772" s="208" t="s">
        <v>383</v>
      </c>
      <c r="H772" s="201" t="s">
        <v>310</v>
      </c>
      <c r="I772" s="201" t="s">
        <v>173</v>
      </c>
      <c r="J772" s="202"/>
      <c r="K772" s="202"/>
      <c r="L772" s="202"/>
      <c r="M772" s="202"/>
      <c r="N772" s="202"/>
      <c r="O772" s="202"/>
      <c r="P772" s="202"/>
      <c r="Q772" s="202"/>
      <c r="R772" s="202"/>
      <c r="S772" s="202"/>
      <c r="T772" s="202"/>
    </row>
    <row r="773" spans="1:20" s="182" customFormat="1" ht="14.15" hidden="1">
      <c r="A773" s="222">
        <v>45337</v>
      </c>
      <c r="B773" s="201" t="s">
        <v>843</v>
      </c>
      <c r="C773" s="208" t="s">
        <v>146</v>
      </c>
      <c r="D773" s="592">
        <v>-85000</v>
      </c>
      <c r="E773" s="212">
        <v>45323</v>
      </c>
      <c r="F773" s="291" t="s">
        <v>110</v>
      </c>
      <c r="G773" s="208" t="s">
        <v>450</v>
      </c>
      <c r="H773" s="208" t="s">
        <v>175</v>
      </c>
      <c r="I773" s="201" t="s">
        <v>173</v>
      </c>
      <c r="J773" s="202"/>
      <c r="K773" s="202"/>
      <c r="L773" s="202"/>
      <c r="M773" s="202"/>
      <c r="N773" s="202"/>
      <c r="O773" s="202"/>
      <c r="P773" s="202"/>
      <c r="Q773" s="202"/>
      <c r="R773" s="202"/>
      <c r="S773" s="202"/>
      <c r="T773" s="202"/>
    </row>
    <row r="774" spans="1:20" s="182" customFormat="1" ht="14.15" hidden="1">
      <c r="A774" s="222">
        <v>45337</v>
      </c>
      <c r="B774" s="291" t="s">
        <v>844</v>
      </c>
      <c r="C774" s="208" t="s">
        <v>146</v>
      </c>
      <c r="D774" s="592">
        <v>-108349</v>
      </c>
      <c r="E774" s="212">
        <v>45323</v>
      </c>
      <c r="F774" s="291" t="s">
        <v>110</v>
      </c>
      <c r="G774" s="208" t="s">
        <v>450</v>
      </c>
      <c r="H774" s="208" t="s">
        <v>175</v>
      </c>
      <c r="I774" s="201" t="s">
        <v>173</v>
      </c>
      <c r="J774" s="202"/>
      <c r="K774" s="202"/>
      <c r="L774" s="202"/>
      <c r="M774" s="202"/>
      <c r="N774" s="202"/>
      <c r="O774" s="202"/>
      <c r="P774" s="202"/>
      <c r="Q774" s="202"/>
      <c r="R774" s="202"/>
      <c r="S774" s="202"/>
      <c r="T774" s="202"/>
    </row>
    <row r="775" spans="1:20" s="182" customFormat="1" ht="14.15" hidden="1">
      <c r="A775" s="222">
        <v>45337</v>
      </c>
      <c r="B775" s="201" t="s">
        <v>845</v>
      </c>
      <c r="C775" s="208" t="s">
        <v>146</v>
      </c>
      <c r="D775" s="592">
        <v>-14000</v>
      </c>
      <c r="E775" s="212">
        <v>45323</v>
      </c>
      <c r="F775" s="291" t="s">
        <v>110</v>
      </c>
      <c r="G775" s="208" t="s">
        <v>450</v>
      </c>
      <c r="H775" s="208" t="s">
        <v>175</v>
      </c>
      <c r="I775" s="201" t="s">
        <v>173</v>
      </c>
      <c r="J775" s="202"/>
      <c r="K775" s="202"/>
      <c r="L775" s="202"/>
      <c r="M775" s="202"/>
      <c r="N775" s="202"/>
      <c r="O775" s="202"/>
      <c r="P775" s="202"/>
      <c r="Q775" s="202"/>
      <c r="R775" s="202"/>
      <c r="S775" s="202"/>
      <c r="T775" s="202"/>
    </row>
    <row r="776" spans="1:20" s="182" customFormat="1" ht="14.15" hidden="1">
      <c r="A776" s="222">
        <v>45337</v>
      </c>
      <c r="B776" s="201" t="s">
        <v>846</v>
      </c>
      <c r="C776" s="208" t="s">
        <v>146</v>
      </c>
      <c r="D776" s="592">
        <v>-5000</v>
      </c>
      <c r="E776" s="212">
        <v>45323</v>
      </c>
      <c r="F776" s="201" t="s">
        <v>109</v>
      </c>
      <c r="G776" s="208" t="s">
        <v>383</v>
      </c>
      <c r="H776" s="81" t="s">
        <v>138</v>
      </c>
      <c r="I776" s="201" t="s">
        <v>173</v>
      </c>
      <c r="J776" s="202"/>
      <c r="K776" s="202"/>
      <c r="L776" s="202"/>
      <c r="M776" s="202"/>
      <c r="N776" s="202"/>
      <c r="O776" s="202"/>
      <c r="P776" s="202"/>
      <c r="Q776" s="202"/>
      <c r="R776" s="202"/>
      <c r="S776" s="202"/>
      <c r="T776" s="202"/>
    </row>
    <row r="777" spans="1:20" s="182" customFormat="1" ht="14.15" hidden="1">
      <c r="A777" s="222">
        <v>45337</v>
      </c>
      <c r="B777" s="201" t="s">
        <v>847</v>
      </c>
      <c r="C777" s="208" t="s">
        <v>146</v>
      </c>
      <c r="D777" s="592">
        <v>-6000</v>
      </c>
      <c r="E777" s="212">
        <v>45323</v>
      </c>
      <c r="F777" s="291" t="s">
        <v>110</v>
      </c>
      <c r="G777" s="208" t="s">
        <v>450</v>
      </c>
      <c r="H777" s="81" t="s">
        <v>138</v>
      </c>
      <c r="I777" s="201" t="s">
        <v>173</v>
      </c>
      <c r="J777" s="202"/>
      <c r="K777" s="202"/>
      <c r="L777" s="202"/>
      <c r="M777" s="202"/>
      <c r="N777" s="202"/>
      <c r="O777" s="202"/>
      <c r="P777" s="202"/>
      <c r="Q777" s="202"/>
      <c r="R777" s="202"/>
      <c r="S777" s="202"/>
      <c r="T777" s="202"/>
    </row>
    <row r="778" spans="1:20" s="182" customFormat="1" ht="14.15" hidden="1">
      <c r="A778" s="222">
        <v>45337</v>
      </c>
      <c r="B778" s="201" t="s">
        <v>848</v>
      </c>
      <c r="C778" s="208" t="s">
        <v>141</v>
      </c>
      <c r="D778" s="592">
        <v>4788887.07</v>
      </c>
      <c r="E778" s="212">
        <v>45323</v>
      </c>
      <c r="F778" s="201" t="s">
        <v>108</v>
      </c>
      <c r="G778" s="201"/>
      <c r="H778" s="201"/>
      <c r="I778" s="201"/>
      <c r="J778" s="202"/>
      <c r="K778" s="202"/>
      <c r="L778" s="202"/>
      <c r="M778" s="202"/>
      <c r="N778" s="202"/>
      <c r="O778" s="202"/>
      <c r="P778" s="202"/>
      <c r="Q778" s="202"/>
      <c r="R778" s="202"/>
      <c r="S778" s="202"/>
      <c r="T778" s="202"/>
    </row>
    <row r="779" spans="1:20" s="182" customFormat="1" ht="14.15" hidden="1">
      <c r="A779" s="222">
        <v>45337</v>
      </c>
      <c r="B779" s="201" t="s">
        <v>849</v>
      </c>
      <c r="C779" s="208" t="s">
        <v>141</v>
      </c>
      <c r="D779" s="592">
        <v>-123500</v>
      </c>
      <c r="E779" s="212">
        <v>45323</v>
      </c>
      <c r="F779" s="201" t="s">
        <v>130</v>
      </c>
      <c r="G779" s="201" t="s">
        <v>130</v>
      </c>
      <c r="H779" s="208" t="s">
        <v>143</v>
      </c>
      <c r="I779" s="201"/>
      <c r="J779" s="202"/>
      <c r="K779" s="202"/>
      <c r="L779" s="202"/>
      <c r="M779" s="202"/>
      <c r="N779" s="202"/>
      <c r="O779" s="202"/>
      <c r="P779" s="202"/>
      <c r="Q779" s="202"/>
      <c r="R779" s="202"/>
      <c r="S779" s="202"/>
      <c r="T779" s="202"/>
    </row>
    <row r="780" spans="1:20" s="182" customFormat="1" ht="14.15" hidden="1">
      <c r="A780" s="222">
        <v>45337</v>
      </c>
      <c r="B780" s="201" t="s">
        <v>850</v>
      </c>
      <c r="C780" s="208" t="s">
        <v>146</v>
      </c>
      <c r="D780" s="800">
        <v>-11200</v>
      </c>
      <c r="E780" s="212">
        <v>45323</v>
      </c>
      <c r="F780" s="201" t="s">
        <v>109</v>
      </c>
      <c r="G780" s="201" t="s">
        <v>581</v>
      </c>
      <c r="H780" s="201"/>
      <c r="I780" s="291" t="s">
        <v>77</v>
      </c>
      <c r="J780" s="202"/>
      <c r="K780" s="202"/>
      <c r="L780" s="202"/>
      <c r="M780" s="202"/>
      <c r="N780" s="202"/>
      <c r="O780" s="202"/>
      <c r="P780" s="202"/>
      <c r="Q780" s="202"/>
      <c r="R780" s="202"/>
      <c r="S780" s="202"/>
      <c r="T780" s="202"/>
    </row>
    <row r="781" spans="1:20" s="182" customFormat="1" ht="14.15" hidden="1">
      <c r="A781" s="222">
        <v>45337</v>
      </c>
      <c r="B781" s="201" t="s">
        <v>851</v>
      </c>
      <c r="C781" s="208" t="s">
        <v>146</v>
      </c>
      <c r="D781" s="592">
        <v>-21800</v>
      </c>
      <c r="E781" s="212">
        <v>45323</v>
      </c>
      <c r="F781" s="201" t="s">
        <v>130</v>
      </c>
      <c r="G781" s="201" t="s">
        <v>130</v>
      </c>
      <c r="H781" s="201" t="s">
        <v>852</v>
      </c>
      <c r="I781" s="291" t="s">
        <v>77</v>
      </c>
      <c r="J781" s="202"/>
      <c r="K781" s="202"/>
      <c r="L781" s="202"/>
      <c r="M781" s="202"/>
      <c r="N781" s="202"/>
      <c r="O781" s="202"/>
      <c r="P781" s="202"/>
      <c r="Q781" s="202"/>
      <c r="R781" s="202"/>
      <c r="S781" s="202"/>
      <c r="T781" s="202"/>
    </row>
    <row r="782" spans="1:20" s="182" customFormat="1" ht="14.15" hidden="1">
      <c r="A782" s="222">
        <v>45337</v>
      </c>
      <c r="B782" s="201" t="s">
        <v>853</v>
      </c>
      <c r="C782" s="208" t="s">
        <v>146</v>
      </c>
      <c r="D782" s="592">
        <v>-6500</v>
      </c>
      <c r="E782" s="212">
        <v>45323</v>
      </c>
      <c r="F782" s="201" t="s">
        <v>130</v>
      </c>
      <c r="G782" s="201" t="s">
        <v>854</v>
      </c>
      <c r="H782" s="81" t="s">
        <v>138</v>
      </c>
      <c r="I782" s="291" t="s">
        <v>77</v>
      </c>
      <c r="J782" s="202"/>
      <c r="K782" s="202"/>
      <c r="L782" s="202"/>
      <c r="M782" s="202"/>
      <c r="N782" s="202"/>
      <c r="O782" s="202"/>
      <c r="P782" s="202"/>
      <c r="Q782" s="202"/>
      <c r="R782" s="202"/>
      <c r="S782" s="202"/>
      <c r="T782" s="202"/>
    </row>
    <row r="783" spans="1:20" s="182" customFormat="1" ht="14.15" hidden="1">
      <c r="A783" s="222">
        <v>45337</v>
      </c>
      <c r="B783" s="201" t="s">
        <v>855</v>
      </c>
      <c r="C783" s="208" t="s">
        <v>146</v>
      </c>
      <c r="D783" s="592">
        <v>-120000</v>
      </c>
      <c r="E783" s="212">
        <v>45323</v>
      </c>
      <c r="F783" s="208" t="s">
        <v>109</v>
      </c>
      <c r="G783" s="208" t="s">
        <v>137</v>
      </c>
      <c r="H783" s="81" t="s">
        <v>138</v>
      </c>
      <c r="I783" s="201" t="s">
        <v>173</v>
      </c>
      <c r="J783" s="202"/>
      <c r="K783" s="202"/>
      <c r="L783" s="202"/>
      <c r="M783" s="202"/>
      <c r="N783" s="202"/>
      <c r="O783" s="202"/>
      <c r="P783" s="202"/>
      <c r="Q783" s="202"/>
      <c r="R783" s="202"/>
      <c r="S783" s="202"/>
      <c r="T783" s="202"/>
    </row>
    <row r="784" spans="1:20" s="182" customFormat="1" ht="14.15" hidden="1">
      <c r="A784" s="222">
        <v>45338</v>
      </c>
      <c r="B784" s="201" t="s">
        <v>856</v>
      </c>
      <c r="C784" s="208" t="s">
        <v>146</v>
      </c>
      <c r="D784" s="592">
        <v>-12000</v>
      </c>
      <c r="E784" s="212">
        <v>45323</v>
      </c>
      <c r="F784" s="201" t="s">
        <v>130</v>
      </c>
      <c r="G784" s="201" t="s">
        <v>257</v>
      </c>
      <c r="H784" s="81" t="s">
        <v>138</v>
      </c>
      <c r="I784" s="201"/>
      <c r="J784" s="202"/>
      <c r="K784" s="202"/>
      <c r="L784" s="202"/>
      <c r="M784" s="202"/>
      <c r="N784" s="202"/>
      <c r="O784" s="202"/>
      <c r="P784" s="202"/>
      <c r="Q784" s="202"/>
      <c r="R784" s="202"/>
      <c r="S784" s="202"/>
      <c r="T784" s="202"/>
    </row>
    <row r="785" spans="1:149" s="182" customFormat="1" ht="14.15" hidden="1">
      <c r="A785" s="222">
        <v>45338</v>
      </c>
      <c r="B785" s="201" t="s">
        <v>857</v>
      </c>
      <c r="C785" s="208" t="s">
        <v>146</v>
      </c>
      <c r="D785" s="592">
        <v>-6000</v>
      </c>
      <c r="E785" s="212">
        <v>45323</v>
      </c>
      <c r="F785" s="291" t="s">
        <v>110</v>
      </c>
      <c r="G785" s="208" t="s">
        <v>450</v>
      </c>
      <c r="H785" s="81" t="s">
        <v>138</v>
      </c>
      <c r="I785" s="201"/>
      <c r="J785" s="202"/>
      <c r="K785" s="202"/>
      <c r="L785" s="202"/>
      <c r="M785" s="202"/>
      <c r="N785" s="202"/>
      <c r="O785" s="202"/>
      <c r="P785" s="202"/>
      <c r="Q785" s="202"/>
      <c r="R785" s="202"/>
      <c r="S785" s="202"/>
      <c r="T785" s="202"/>
      <c r="U785" s="180"/>
      <c r="V785" s="180"/>
      <c r="W785" s="180"/>
      <c r="X785" s="180"/>
      <c r="Y785" s="180"/>
      <c r="Z785" s="180"/>
      <c r="AA785" s="180"/>
      <c r="AB785" s="180"/>
      <c r="AC785" s="180"/>
    </row>
    <row r="786" spans="1:149" s="182" customFormat="1" ht="14.15" hidden="1">
      <c r="A786" s="222">
        <v>45338</v>
      </c>
      <c r="B786" s="201" t="s">
        <v>858</v>
      </c>
      <c r="C786" s="208" t="s">
        <v>146</v>
      </c>
      <c r="D786" s="592">
        <v>-7000</v>
      </c>
      <c r="E786" s="212">
        <v>45323</v>
      </c>
      <c r="F786" s="201" t="s">
        <v>207</v>
      </c>
      <c r="G786" s="208" t="s">
        <v>262</v>
      </c>
      <c r="H786" s="81" t="s">
        <v>138</v>
      </c>
      <c r="I786" s="201"/>
      <c r="J786" s="202"/>
      <c r="K786" s="202"/>
      <c r="L786" s="202"/>
      <c r="M786" s="202"/>
      <c r="N786" s="202"/>
      <c r="O786" s="202"/>
      <c r="P786" s="202"/>
      <c r="Q786" s="202"/>
      <c r="R786" s="202"/>
      <c r="S786" s="202"/>
      <c r="T786" s="202"/>
      <c r="U786" s="180"/>
      <c r="V786" s="180"/>
      <c r="W786" s="180"/>
      <c r="X786" s="180"/>
      <c r="Y786" s="180"/>
      <c r="Z786" s="180"/>
      <c r="AA786" s="180"/>
      <c r="AB786" s="180"/>
      <c r="AC786" s="180"/>
    </row>
    <row r="787" spans="1:149" s="182" customFormat="1" ht="14.15" hidden="1">
      <c r="A787" s="222">
        <v>45338</v>
      </c>
      <c r="B787" s="201" t="s">
        <v>859</v>
      </c>
      <c r="C787" s="208" t="s">
        <v>27</v>
      </c>
      <c r="D787" s="800">
        <v>-7900</v>
      </c>
      <c r="E787" s="212">
        <v>45323</v>
      </c>
      <c r="F787" s="201" t="s">
        <v>109</v>
      </c>
      <c r="G787" s="201" t="s">
        <v>583</v>
      </c>
      <c r="H787" s="201" t="s">
        <v>184</v>
      </c>
      <c r="I787" s="201"/>
      <c r="J787" s="202"/>
      <c r="K787" s="202"/>
      <c r="L787" s="202"/>
      <c r="M787" s="202"/>
      <c r="N787" s="202"/>
      <c r="O787" s="202"/>
      <c r="P787" s="202"/>
      <c r="Q787" s="202"/>
      <c r="R787" s="202"/>
      <c r="S787" s="202"/>
      <c r="T787" s="202"/>
      <c r="U787" s="180"/>
      <c r="V787" s="180"/>
      <c r="W787" s="180"/>
      <c r="X787" s="180"/>
      <c r="Y787" s="180"/>
      <c r="Z787" s="180"/>
      <c r="AA787" s="180"/>
      <c r="AB787" s="180"/>
      <c r="AC787" s="180"/>
    </row>
    <row r="788" spans="1:149" s="182" customFormat="1" ht="14.15" hidden="1">
      <c r="A788" s="222">
        <v>45338</v>
      </c>
      <c r="B788" s="201" t="s">
        <v>860</v>
      </c>
      <c r="C788" s="208" t="s">
        <v>27</v>
      </c>
      <c r="D788" s="592">
        <v>-590000</v>
      </c>
      <c r="E788" s="212">
        <v>45323</v>
      </c>
      <c r="F788" s="201" t="s">
        <v>110</v>
      </c>
      <c r="G788" s="208" t="s">
        <v>450</v>
      </c>
      <c r="H788" s="201" t="s">
        <v>363</v>
      </c>
      <c r="I788" s="201"/>
      <c r="J788" s="202"/>
      <c r="K788" s="202"/>
      <c r="L788" s="202"/>
      <c r="M788" s="202"/>
      <c r="N788" s="202"/>
      <c r="O788" s="202"/>
      <c r="P788" s="202"/>
      <c r="Q788" s="202"/>
      <c r="R788" s="202"/>
      <c r="S788" s="202"/>
      <c r="T788" s="202"/>
      <c r="U788" s="180"/>
      <c r="V788" s="180"/>
      <c r="W788" s="180"/>
      <c r="X788" s="180"/>
      <c r="Y788" s="180"/>
      <c r="Z788" s="180"/>
      <c r="AA788" s="180"/>
      <c r="AB788" s="180"/>
      <c r="AC788" s="180"/>
    </row>
    <row r="789" spans="1:149" s="182" customFormat="1" ht="14.15" hidden="1">
      <c r="A789" s="222">
        <v>45338</v>
      </c>
      <c r="B789" s="201" t="s">
        <v>861</v>
      </c>
      <c r="C789" s="208" t="s">
        <v>27</v>
      </c>
      <c r="D789" s="592">
        <v>-322000</v>
      </c>
      <c r="E789" s="212">
        <v>45323</v>
      </c>
      <c r="F789" s="201" t="s">
        <v>109</v>
      </c>
      <c r="G789" s="208" t="s">
        <v>120</v>
      </c>
      <c r="H789" s="201" t="s">
        <v>323</v>
      </c>
      <c r="I789" s="201"/>
      <c r="J789" s="202"/>
      <c r="K789" s="202"/>
      <c r="L789" s="202"/>
      <c r="M789" s="202"/>
      <c r="N789" s="202"/>
      <c r="O789" s="202"/>
      <c r="P789" s="202"/>
      <c r="Q789" s="202"/>
      <c r="R789" s="202"/>
      <c r="S789" s="202"/>
      <c r="T789" s="202"/>
      <c r="U789" s="180"/>
      <c r="V789" s="180"/>
      <c r="W789" s="180"/>
      <c r="X789" s="180"/>
      <c r="Y789" s="180"/>
      <c r="Z789" s="180"/>
      <c r="AA789" s="180"/>
      <c r="AB789" s="180"/>
      <c r="AC789" s="180"/>
    </row>
    <row r="790" spans="1:149" s="182" customFormat="1" ht="14.15" hidden="1">
      <c r="A790" s="222">
        <v>45338</v>
      </c>
      <c r="B790" s="201" t="s">
        <v>862</v>
      </c>
      <c r="C790" s="208" t="s">
        <v>27</v>
      </c>
      <c r="D790" s="592">
        <v>-684325</v>
      </c>
      <c r="E790" s="212">
        <v>45323</v>
      </c>
      <c r="F790" s="201" t="s">
        <v>109</v>
      </c>
      <c r="G790" s="208" t="s">
        <v>383</v>
      </c>
      <c r="H790" s="201" t="s">
        <v>585</v>
      </c>
      <c r="I790" s="201"/>
      <c r="J790" s="202"/>
      <c r="K790" s="202"/>
      <c r="L790" s="202"/>
      <c r="M790" s="202"/>
      <c r="N790" s="202"/>
      <c r="O790" s="202"/>
      <c r="P790" s="202"/>
      <c r="Q790" s="202"/>
      <c r="R790" s="202"/>
      <c r="S790" s="202"/>
      <c r="T790" s="202"/>
      <c r="U790" s="180"/>
      <c r="V790" s="180"/>
      <c r="W790" s="180"/>
      <c r="X790" s="180"/>
      <c r="Y790" s="180"/>
      <c r="Z790" s="180"/>
      <c r="AA790" s="180"/>
      <c r="AB790" s="180"/>
      <c r="AC790" s="180"/>
    </row>
    <row r="791" spans="1:149" s="182" customFormat="1" ht="14.15" hidden="1">
      <c r="A791" s="222">
        <v>45338</v>
      </c>
      <c r="B791" s="201" t="s">
        <v>799</v>
      </c>
      <c r="C791" s="208" t="s">
        <v>27</v>
      </c>
      <c r="D791" s="592">
        <v>-675094</v>
      </c>
      <c r="E791" s="212">
        <v>45323</v>
      </c>
      <c r="F791" s="201" t="s">
        <v>110</v>
      </c>
      <c r="G791" s="208" t="s">
        <v>450</v>
      </c>
      <c r="H791" s="201" t="s">
        <v>363</v>
      </c>
      <c r="I791" s="201"/>
      <c r="J791" s="202"/>
      <c r="K791" s="202"/>
      <c r="L791" s="202"/>
      <c r="M791" s="202"/>
      <c r="N791" s="202"/>
      <c r="O791" s="202"/>
      <c r="P791" s="202"/>
      <c r="Q791" s="202"/>
      <c r="R791" s="202"/>
      <c r="S791" s="202"/>
      <c r="T791" s="202"/>
      <c r="U791" s="180"/>
      <c r="V791" s="180"/>
      <c r="W791" s="180"/>
      <c r="X791" s="180"/>
      <c r="Y791" s="180"/>
      <c r="Z791" s="180"/>
      <c r="AA791" s="180"/>
      <c r="AB791" s="180"/>
      <c r="AC791" s="180"/>
    </row>
    <row r="792" spans="1:149" s="182" customFormat="1" ht="14.15" hidden="1">
      <c r="A792" s="222">
        <v>45338</v>
      </c>
      <c r="B792" s="201" t="s">
        <v>863</v>
      </c>
      <c r="C792" s="208" t="s">
        <v>27</v>
      </c>
      <c r="D792" s="592">
        <v>-376000</v>
      </c>
      <c r="E792" s="212">
        <v>45323</v>
      </c>
      <c r="F792" s="201" t="s">
        <v>130</v>
      </c>
      <c r="G792" s="201" t="s">
        <v>130</v>
      </c>
      <c r="H792" s="201" t="s">
        <v>323</v>
      </c>
      <c r="I792" s="201"/>
      <c r="J792" s="202"/>
      <c r="K792" s="202"/>
      <c r="L792" s="202"/>
      <c r="M792" s="202"/>
      <c r="N792" s="202"/>
      <c r="O792" s="202"/>
      <c r="P792" s="202"/>
      <c r="Q792" s="202"/>
      <c r="R792" s="202"/>
      <c r="S792" s="202"/>
      <c r="T792" s="202"/>
      <c r="U792" s="180"/>
      <c r="V792" s="180"/>
      <c r="W792" s="180"/>
      <c r="X792" s="180"/>
      <c r="Y792" s="180"/>
      <c r="Z792" s="180"/>
      <c r="AA792" s="180"/>
      <c r="AB792" s="180"/>
      <c r="AC792" s="180"/>
    </row>
    <row r="793" spans="1:149" s="182" customFormat="1" ht="14.15" hidden="1">
      <c r="A793" s="222">
        <v>45338</v>
      </c>
      <c r="B793" s="201" t="s">
        <v>864</v>
      </c>
      <c r="C793" s="208" t="s">
        <v>27</v>
      </c>
      <c r="D793" s="592">
        <v>-264000</v>
      </c>
      <c r="E793" s="212">
        <v>45323</v>
      </c>
      <c r="F793" s="201" t="s">
        <v>109</v>
      </c>
      <c r="G793" s="208" t="s">
        <v>383</v>
      </c>
      <c r="H793" s="208" t="s">
        <v>147</v>
      </c>
      <c r="I793" s="201"/>
      <c r="J793" s="202"/>
      <c r="K793" s="202"/>
      <c r="L793" s="202"/>
      <c r="M793" s="202"/>
      <c r="N793" s="202"/>
      <c r="O793" s="202"/>
      <c r="P793" s="202"/>
      <c r="Q793" s="202"/>
      <c r="R793" s="202"/>
      <c r="S793" s="202"/>
      <c r="T793" s="202"/>
      <c r="U793" s="180"/>
      <c r="V793" s="180"/>
      <c r="W793" s="180"/>
      <c r="X793" s="180"/>
      <c r="Y793" s="180"/>
      <c r="Z793" s="180"/>
      <c r="AA793" s="180"/>
      <c r="AB793" s="180"/>
      <c r="AC793" s="180"/>
      <c r="ES793" s="182">
        <v>0</v>
      </c>
    </row>
    <row r="794" spans="1:149" s="182" customFormat="1" ht="14.15" hidden="1">
      <c r="A794" s="222">
        <v>45338</v>
      </c>
      <c r="B794" s="201" t="s">
        <v>865</v>
      </c>
      <c r="C794" s="208" t="s">
        <v>27</v>
      </c>
      <c r="D794" s="592">
        <v>-650000</v>
      </c>
      <c r="E794" s="212">
        <v>45323</v>
      </c>
      <c r="F794" s="201" t="s">
        <v>109</v>
      </c>
      <c r="G794" s="201" t="s">
        <v>150</v>
      </c>
      <c r="H794" s="201"/>
      <c r="I794" s="201"/>
      <c r="J794" s="202"/>
      <c r="K794" s="202"/>
      <c r="L794" s="202"/>
      <c r="M794" s="202"/>
      <c r="N794" s="202"/>
      <c r="O794" s="202"/>
      <c r="P794" s="202"/>
      <c r="Q794" s="202"/>
      <c r="R794" s="202"/>
      <c r="S794" s="202"/>
      <c r="T794" s="202"/>
      <c r="U794" s="180"/>
      <c r="V794" s="180"/>
      <c r="W794" s="180"/>
      <c r="X794" s="180"/>
      <c r="Y794" s="180"/>
      <c r="Z794" s="180"/>
      <c r="AA794" s="180"/>
      <c r="AB794" s="180"/>
      <c r="AC794" s="180"/>
    </row>
    <row r="795" spans="1:149" s="182" customFormat="1" ht="14.15" hidden="1">
      <c r="A795" s="222">
        <v>45338</v>
      </c>
      <c r="B795" s="201" t="s">
        <v>866</v>
      </c>
      <c r="C795" s="208" t="s">
        <v>27</v>
      </c>
      <c r="D795" s="592">
        <v>-1192800</v>
      </c>
      <c r="E795" s="212">
        <v>45323</v>
      </c>
      <c r="F795" s="201" t="s">
        <v>130</v>
      </c>
      <c r="G795" s="201" t="s">
        <v>257</v>
      </c>
      <c r="H795" s="201" t="s">
        <v>663</v>
      </c>
      <c r="I795" s="201"/>
      <c r="J795" s="202"/>
      <c r="K795" s="202"/>
      <c r="L795" s="202"/>
      <c r="M795" s="202"/>
      <c r="N795" s="202"/>
      <c r="O795" s="202"/>
      <c r="P795" s="202"/>
      <c r="Q795" s="202"/>
      <c r="R795" s="202"/>
      <c r="S795" s="202"/>
      <c r="T795" s="202"/>
      <c r="U795" s="180"/>
      <c r="V795" s="180"/>
      <c r="W795" s="180"/>
      <c r="X795" s="180"/>
      <c r="Y795" s="180"/>
      <c r="Z795" s="180"/>
      <c r="AA795" s="180"/>
      <c r="AB795" s="180"/>
      <c r="AC795" s="180"/>
    </row>
    <row r="796" spans="1:149" s="182" customFormat="1" ht="14.15" hidden="1">
      <c r="A796" s="222">
        <v>45338</v>
      </c>
      <c r="B796" s="201" t="s">
        <v>867</v>
      </c>
      <c r="C796" s="208" t="s">
        <v>133</v>
      </c>
      <c r="D796" s="592">
        <v>-7200</v>
      </c>
      <c r="E796" s="212">
        <v>45323</v>
      </c>
      <c r="F796" s="201" t="s">
        <v>130</v>
      </c>
      <c r="G796" s="201" t="s">
        <v>257</v>
      </c>
      <c r="H796" s="201" t="s">
        <v>663</v>
      </c>
      <c r="I796" s="201"/>
      <c r="J796" s="202"/>
      <c r="K796" s="202"/>
      <c r="L796" s="202"/>
      <c r="M796" s="202"/>
      <c r="N796" s="202"/>
      <c r="O796" s="202"/>
      <c r="P796" s="202"/>
      <c r="Q796" s="202"/>
      <c r="R796" s="202"/>
      <c r="S796" s="202"/>
      <c r="T796" s="202"/>
      <c r="U796" s="180"/>
      <c r="V796" s="180"/>
      <c r="W796" s="180"/>
      <c r="X796" s="180"/>
      <c r="Y796" s="180"/>
      <c r="Z796" s="180"/>
      <c r="AA796" s="180"/>
      <c r="AB796" s="180"/>
      <c r="AC796" s="180"/>
    </row>
    <row r="797" spans="1:149" s="182" customFormat="1" ht="14.15" hidden="1">
      <c r="A797" s="222">
        <v>45338</v>
      </c>
      <c r="B797" s="201" t="s">
        <v>868</v>
      </c>
      <c r="C797" s="208" t="s">
        <v>141</v>
      </c>
      <c r="D797" s="800">
        <v>-296400</v>
      </c>
      <c r="E797" s="212">
        <v>45323</v>
      </c>
      <c r="F797" s="201" t="s">
        <v>109</v>
      </c>
      <c r="G797" s="201" t="s">
        <v>581</v>
      </c>
      <c r="H797" s="201" t="s">
        <v>184</v>
      </c>
      <c r="I797" s="201"/>
      <c r="J797" s="202"/>
      <c r="K797" s="202"/>
      <c r="L797" s="202"/>
      <c r="M797" s="202"/>
      <c r="N797" s="202"/>
      <c r="O797" s="202"/>
      <c r="P797" s="202"/>
      <c r="Q797" s="202"/>
      <c r="R797" s="202"/>
      <c r="S797" s="202"/>
      <c r="T797" s="202"/>
      <c r="U797" s="180"/>
      <c r="V797" s="180"/>
      <c r="W797" s="180"/>
      <c r="X797" s="180"/>
      <c r="Y797" s="180"/>
      <c r="Z797" s="180"/>
      <c r="AA797" s="180"/>
      <c r="AB797" s="180"/>
      <c r="AC797" s="180"/>
    </row>
    <row r="798" spans="1:149" s="182" customFormat="1" ht="14.15" hidden="1">
      <c r="A798" s="222">
        <v>45338</v>
      </c>
      <c r="B798" s="201" t="s">
        <v>869</v>
      </c>
      <c r="C798" s="208" t="s">
        <v>181</v>
      </c>
      <c r="D798" s="592">
        <v>4702071</v>
      </c>
      <c r="E798" s="212">
        <v>45323</v>
      </c>
      <c r="F798" s="201" t="s">
        <v>108</v>
      </c>
      <c r="G798" s="201"/>
      <c r="H798" s="201"/>
      <c r="I798" s="291"/>
      <c r="J798" s="202"/>
      <c r="K798" s="202"/>
      <c r="L798" s="202"/>
      <c r="M798" s="202"/>
      <c r="N798" s="202"/>
      <c r="O798" s="202"/>
      <c r="P798" s="202"/>
      <c r="Q798" s="202"/>
      <c r="R798" s="202"/>
      <c r="S798" s="202"/>
      <c r="T798" s="202"/>
      <c r="U798" s="180"/>
      <c r="V798" s="180"/>
      <c r="W798" s="180"/>
      <c r="X798" s="180"/>
      <c r="Y798" s="180"/>
      <c r="Z798" s="180"/>
      <c r="AA798" s="180"/>
      <c r="AB798" s="180"/>
      <c r="AC798" s="180"/>
    </row>
    <row r="799" spans="1:149" s="182" customFormat="1" ht="14.15" hidden="1">
      <c r="A799" s="222">
        <v>45338</v>
      </c>
      <c r="B799" s="201" t="s">
        <v>870</v>
      </c>
      <c r="C799" s="208" t="s">
        <v>181</v>
      </c>
      <c r="D799" s="592">
        <v>2718825</v>
      </c>
      <c r="E799" s="212">
        <v>45323</v>
      </c>
      <c r="F799" s="201" t="s">
        <v>108</v>
      </c>
      <c r="G799" s="201"/>
      <c r="H799" s="201"/>
      <c r="I799" s="291"/>
      <c r="J799" s="202"/>
      <c r="K799" s="202"/>
      <c r="L799" s="202"/>
      <c r="M799" s="202"/>
      <c r="N799" s="202"/>
      <c r="O799" s="202"/>
      <c r="P799" s="202"/>
      <c r="Q799" s="202"/>
      <c r="R799" s="202"/>
      <c r="S799" s="202"/>
      <c r="T799" s="202"/>
      <c r="U799" s="180"/>
      <c r="V799" s="180"/>
      <c r="W799" s="180"/>
      <c r="X799" s="180"/>
      <c r="Y799" s="180"/>
      <c r="Z799" s="180"/>
      <c r="AA799" s="180"/>
      <c r="AB799" s="180"/>
      <c r="AC799" s="180"/>
    </row>
    <row r="800" spans="1:149" s="182" customFormat="1" ht="14.15" hidden="1">
      <c r="A800" s="222">
        <v>45334</v>
      </c>
      <c r="B800" s="201" t="s">
        <v>871</v>
      </c>
      <c r="C800" s="208" t="s">
        <v>181</v>
      </c>
      <c r="D800" s="592">
        <v>453050</v>
      </c>
      <c r="E800" s="212">
        <v>45323</v>
      </c>
      <c r="F800" s="201" t="s">
        <v>108</v>
      </c>
      <c r="G800" s="201"/>
      <c r="H800" s="201"/>
      <c r="I800" s="201"/>
      <c r="J800" s="202"/>
      <c r="K800" s="202"/>
      <c r="L800" s="202"/>
      <c r="M800" s="202"/>
      <c r="N800" s="202"/>
      <c r="O800" s="202"/>
      <c r="P800" s="202"/>
      <c r="Q800" s="202"/>
      <c r="R800" s="202"/>
      <c r="S800" s="202"/>
      <c r="T800" s="202"/>
      <c r="U800" s="180"/>
      <c r="V800" s="180"/>
      <c r="W800" s="180"/>
      <c r="X800" s="180"/>
      <c r="Y800" s="180"/>
      <c r="Z800" s="180"/>
      <c r="AA800" s="180"/>
      <c r="AB800" s="180"/>
      <c r="AC800" s="180"/>
    </row>
    <row r="801" spans="1:20" s="182" customFormat="1" ht="14.15" hidden="1">
      <c r="A801" s="222">
        <v>45338</v>
      </c>
      <c r="B801" s="201" t="s">
        <v>872</v>
      </c>
      <c r="C801" s="208" t="s">
        <v>146</v>
      </c>
      <c r="D801" s="592">
        <v>-79800</v>
      </c>
      <c r="E801" s="212">
        <v>45323</v>
      </c>
      <c r="F801" s="201" t="s">
        <v>130</v>
      </c>
      <c r="G801" s="201" t="s">
        <v>130</v>
      </c>
      <c r="H801" s="201" t="s">
        <v>852</v>
      </c>
      <c r="I801" s="291" t="s">
        <v>77</v>
      </c>
      <c r="J801" s="202"/>
      <c r="K801" s="202"/>
      <c r="L801" s="202"/>
      <c r="M801" s="202"/>
      <c r="N801" s="202"/>
      <c r="O801" s="202"/>
      <c r="P801" s="202"/>
      <c r="Q801" s="202"/>
      <c r="R801" s="202"/>
      <c r="S801" s="202"/>
      <c r="T801" s="202"/>
    </row>
    <row r="802" spans="1:20" s="182" customFormat="1" ht="14.15" hidden="1">
      <c r="A802" s="222">
        <v>45338</v>
      </c>
      <c r="B802" s="201" t="s">
        <v>873</v>
      </c>
      <c r="C802" s="208" t="s">
        <v>146</v>
      </c>
      <c r="D802" s="592">
        <v>-124000</v>
      </c>
      <c r="E802" s="212">
        <v>45323</v>
      </c>
      <c r="F802" s="201" t="s">
        <v>130</v>
      </c>
      <c r="G802" s="201" t="s">
        <v>854</v>
      </c>
      <c r="H802" s="201" t="s">
        <v>852</v>
      </c>
      <c r="I802" s="291" t="s">
        <v>77</v>
      </c>
      <c r="J802" s="202"/>
      <c r="K802" s="202"/>
      <c r="L802" s="202"/>
      <c r="M802" s="202"/>
      <c r="N802" s="202"/>
      <c r="O802" s="202"/>
      <c r="P802" s="202"/>
      <c r="Q802" s="202"/>
      <c r="R802" s="202"/>
      <c r="S802" s="202"/>
      <c r="T802" s="202"/>
    </row>
    <row r="803" spans="1:20" s="182" customFormat="1" ht="14.15" hidden="1">
      <c r="A803" s="222">
        <v>45338</v>
      </c>
      <c r="B803" s="201" t="s">
        <v>853</v>
      </c>
      <c r="C803" s="208" t="s">
        <v>146</v>
      </c>
      <c r="D803" s="592">
        <v>-6500</v>
      </c>
      <c r="E803" s="212">
        <v>45323</v>
      </c>
      <c r="F803" s="201" t="s">
        <v>130</v>
      </c>
      <c r="G803" s="201" t="s">
        <v>130</v>
      </c>
      <c r="H803" s="81" t="s">
        <v>138</v>
      </c>
      <c r="I803" s="291" t="s">
        <v>77</v>
      </c>
      <c r="J803" s="202"/>
      <c r="K803" s="202"/>
      <c r="L803" s="202"/>
      <c r="M803" s="202"/>
      <c r="N803" s="202"/>
      <c r="O803" s="202"/>
      <c r="P803" s="202"/>
      <c r="Q803" s="202"/>
      <c r="R803" s="202"/>
      <c r="S803" s="202"/>
      <c r="T803" s="202"/>
    </row>
    <row r="804" spans="1:20" s="182" customFormat="1" ht="14.15" hidden="1">
      <c r="A804" s="222">
        <v>45339</v>
      </c>
      <c r="B804" s="201" t="s">
        <v>874</v>
      </c>
      <c r="C804" s="208" t="s">
        <v>146</v>
      </c>
      <c r="D804" s="592">
        <v>-34000</v>
      </c>
      <c r="E804" s="212">
        <v>45323</v>
      </c>
      <c r="F804" s="201" t="s">
        <v>130</v>
      </c>
      <c r="G804" s="201" t="s">
        <v>130</v>
      </c>
      <c r="H804" s="201" t="s">
        <v>852</v>
      </c>
      <c r="I804" s="291" t="s">
        <v>77</v>
      </c>
      <c r="J804" s="202"/>
      <c r="K804" s="202"/>
      <c r="L804" s="202"/>
      <c r="M804" s="202"/>
      <c r="N804" s="202"/>
      <c r="O804" s="202"/>
      <c r="P804" s="202"/>
      <c r="Q804" s="202"/>
      <c r="R804" s="202"/>
      <c r="S804" s="202"/>
      <c r="T804" s="202"/>
    </row>
    <row r="805" spans="1:20" s="182" customFormat="1" ht="14.15" hidden="1">
      <c r="A805" s="222">
        <v>45339</v>
      </c>
      <c r="B805" s="201" t="s">
        <v>853</v>
      </c>
      <c r="C805" s="208" t="s">
        <v>146</v>
      </c>
      <c r="D805" s="592">
        <v>-6500</v>
      </c>
      <c r="E805" s="212">
        <v>45323</v>
      </c>
      <c r="F805" s="201" t="s">
        <v>130</v>
      </c>
      <c r="G805" s="201" t="s">
        <v>130</v>
      </c>
      <c r="H805" s="81" t="s">
        <v>138</v>
      </c>
      <c r="I805" s="291" t="s">
        <v>77</v>
      </c>
      <c r="J805" s="202"/>
      <c r="K805" s="202"/>
      <c r="L805" s="202"/>
      <c r="M805" s="202"/>
      <c r="N805" s="202"/>
      <c r="O805" s="202"/>
      <c r="P805" s="202"/>
      <c r="Q805" s="202"/>
      <c r="R805" s="202"/>
      <c r="S805" s="202"/>
      <c r="T805" s="202"/>
    </row>
    <row r="806" spans="1:20" s="182" customFormat="1" ht="14.15" hidden="1">
      <c r="A806" s="222">
        <v>45339</v>
      </c>
      <c r="B806" s="201" t="s">
        <v>875</v>
      </c>
      <c r="C806" s="208" t="s">
        <v>643</v>
      </c>
      <c r="D806" s="592">
        <v>-122144.96000000001</v>
      </c>
      <c r="E806" s="212">
        <v>45323</v>
      </c>
      <c r="F806" s="201" t="s">
        <v>130</v>
      </c>
      <c r="G806" s="201" t="s">
        <v>130</v>
      </c>
      <c r="H806" s="208" t="s">
        <v>143</v>
      </c>
      <c r="I806" s="201"/>
      <c r="J806" s="202"/>
      <c r="K806" s="202"/>
      <c r="L806" s="202"/>
      <c r="M806" s="202"/>
      <c r="N806" s="202"/>
      <c r="O806" s="202"/>
      <c r="P806" s="202"/>
      <c r="Q806" s="202"/>
      <c r="R806" s="202"/>
      <c r="S806" s="202"/>
      <c r="T806" s="202"/>
    </row>
    <row r="807" spans="1:20" s="182" customFormat="1" ht="14.15" hidden="1">
      <c r="A807" s="222">
        <v>45339</v>
      </c>
      <c r="B807" s="201" t="s">
        <v>324</v>
      </c>
      <c r="C807" s="208" t="s">
        <v>27</v>
      </c>
      <c r="D807" s="592">
        <v>-1320000</v>
      </c>
      <c r="E807" s="212">
        <v>45323</v>
      </c>
      <c r="F807" s="201" t="s">
        <v>109</v>
      </c>
      <c r="G807" s="208" t="s">
        <v>120</v>
      </c>
      <c r="H807" s="208" t="s">
        <v>147</v>
      </c>
      <c r="I807" s="201"/>
      <c r="J807" s="202"/>
      <c r="K807" s="202"/>
      <c r="L807" s="202"/>
      <c r="M807" s="202"/>
      <c r="N807" s="202"/>
      <c r="O807" s="202"/>
      <c r="P807" s="202"/>
      <c r="Q807" s="202"/>
      <c r="R807" s="202"/>
      <c r="S807" s="202"/>
      <c r="T807" s="202"/>
    </row>
    <row r="808" spans="1:20" s="182" customFormat="1" ht="14.15" hidden="1">
      <c r="A808" s="222">
        <v>45339</v>
      </c>
      <c r="B808" s="201" t="s">
        <v>876</v>
      </c>
      <c r="C808" s="208" t="s">
        <v>27</v>
      </c>
      <c r="D808" s="592">
        <v>-245650</v>
      </c>
      <c r="E808" s="212">
        <v>45323</v>
      </c>
      <c r="F808" s="201" t="s">
        <v>130</v>
      </c>
      <c r="G808" s="201" t="s">
        <v>130</v>
      </c>
      <c r="H808" s="201" t="s">
        <v>360</v>
      </c>
      <c r="I808" s="201"/>
      <c r="J808" s="202"/>
      <c r="K808" s="202"/>
      <c r="L808" s="202"/>
      <c r="M808" s="202"/>
      <c r="N808" s="202"/>
      <c r="O808" s="202"/>
      <c r="P808" s="202"/>
      <c r="Q808" s="202"/>
      <c r="R808" s="202"/>
      <c r="S808" s="202"/>
      <c r="T808" s="202"/>
    </row>
    <row r="809" spans="1:20" s="182" customFormat="1" ht="14.15" hidden="1">
      <c r="A809" s="222">
        <v>45339</v>
      </c>
      <c r="B809" s="201" t="s">
        <v>877</v>
      </c>
      <c r="C809" s="208" t="s">
        <v>27</v>
      </c>
      <c r="D809" s="592">
        <v>-2737786</v>
      </c>
      <c r="E809" s="212">
        <v>45323</v>
      </c>
      <c r="F809" s="84" t="s">
        <v>111</v>
      </c>
      <c r="G809" s="201"/>
      <c r="H809" s="201"/>
      <c r="I809" s="201"/>
      <c r="J809" s="565"/>
      <c r="K809" s="202"/>
      <c r="L809" s="202"/>
      <c r="M809" s="202"/>
      <c r="N809" s="202"/>
      <c r="O809" s="202"/>
      <c r="P809" s="202"/>
      <c r="Q809" s="202"/>
      <c r="R809" s="202"/>
      <c r="S809" s="202"/>
      <c r="T809" s="202"/>
    </row>
    <row r="810" spans="1:20" s="182" customFormat="1" ht="14.15" hidden="1">
      <c r="A810" s="222">
        <v>45339</v>
      </c>
      <c r="B810" s="201" t="s">
        <v>878</v>
      </c>
      <c r="C810" s="208" t="s">
        <v>27</v>
      </c>
      <c r="D810" s="592">
        <v>-1203307.53</v>
      </c>
      <c r="E810" s="212">
        <v>45323</v>
      </c>
      <c r="F810" s="201" t="s">
        <v>118</v>
      </c>
      <c r="G810" s="201"/>
      <c r="H810" s="201"/>
      <c r="I810" s="201"/>
      <c r="J810" s="565"/>
      <c r="K810" s="202"/>
      <c r="L810" s="202"/>
      <c r="M810" s="202"/>
      <c r="N810" s="202"/>
      <c r="O810" s="202"/>
      <c r="P810" s="202"/>
      <c r="Q810" s="202"/>
      <c r="R810" s="202"/>
      <c r="S810" s="202"/>
      <c r="T810" s="202"/>
    </row>
    <row r="811" spans="1:20" s="182" customFormat="1" ht="14.15" hidden="1">
      <c r="A811" s="222">
        <v>45339</v>
      </c>
      <c r="B811" s="201" t="s">
        <v>879</v>
      </c>
      <c r="C811" s="208" t="s">
        <v>27</v>
      </c>
      <c r="D811" s="592">
        <v>-306898</v>
      </c>
      <c r="E811" s="212">
        <v>45323</v>
      </c>
      <c r="F811" s="201" t="s">
        <v>109</v>
      </c>
      <c r="G811" s="208" t="s">
        <v>383</v>
      </c>
      <c r="H811" s="208" t="s">
        <v>175</v>
      </c>
      <c r="I811" s="201"/>
      <c r="J811" s="617"/>
      <c r="K811" s="202"/>
      <c r="L811" s="202"/>
      <c r="M811" s="202"/>
      <c r="N811" s="202"/>
      <c r="O811" s="202"/>
      <c r="P811" s="202"/>
      <c r="Q811" s="202"/>
      <c r="R811" s="202"/>
      <c r="S811" s="202"/>
      <c r="T811" s="202"/>
    </row>
    <row r="812" spans="1:20" s="182" customFormat="1" ht="14.15" hidden="1">
      <c r="A812" s="222">
        <v>45340</v>
      </c>
      <c r="B812" s="201" t="s">
        <v>853</v>
      </c>
      <c r="C812" s="208" t="s">
        <v>146</v>
      </c>
      <c r="D812" s="592">
        <v>-6500</v>
      </c>
      <c r="E812" s="212">
        <v>45323</v>
      </c>
      <c r="F812" s="201" t="s">
        <v>130</v>
      </c>
      <c r="G812" s="201" t="s">
        <v>130</v>
      </c>
      <c r="H812" s="81" t="s">
        <v>138</v>
      </c>
      <c r="I812" s="291" t="s">
        <v>77</v>
      </c>
      <c r="J812" s="202"/>
      <c r="K812" s="202"/>
      <c r="L812" s="202"/>
      <c r="M812" s="202"/>
      <c r="N812" s="202"/>
      <c r="O812" s="202"/>
      <c r="P812" s="202"/>
      <c r="Q812" s="202"/>
      <c r="R812" s="202"/>
      <c r="S812" s="202"/>
      <c r="T812" s="202"/>
    </row>
    <row r="813" spans="1:20" s="182" customFormat="1" ht="14.15" hidden="1">
      <c r="A813" s="222">
        <v>45341</v>
      </c>
      <c r="B813" s="201" t="s">
        <v>880</v>
      </c>
      <c r="C813" s="208" t="s">
        <v>181</v>
      </c>
      <c r="D813" s="592">
        <v>2346827</v>
      </c>
      <c r="E813" s="212">
        <v>45323</v>
      </c>
      <c r="F813" s="201" t="s">
        <v>108</v>
      </c>
      <c r="G813" s="201"/>
      <c r="H813" s="201"/>
      <c r="I813" s="201"/>
      <c r="J813" s="202"/>
      <c r="K813" s="202"/>
      <c r="L813" s="202"/>
      <c r="M813" s="202"/>
      <c r="N813" s="202"/>
      <c r="O813" s="202"/>
      <c r="P813" s="202"/>
      <c r="Q813" s="202"/>
      <c r="R813" s="202"/>
      <c r="S813" s="202"/>
      <c r="T813" s="202"/>
    </row>
    <row r="814" spans="1:20" s="182" customFormat="1" ht="14.15" hidden="1">
      <c r="A814" s="222">
        <v>45341</v>
      </c>
      <c r="B814" s="201" t="s">
        <v>881</v>
      </c>
      <c r="C814" s="208" t="s">
        <v>146</v>
      </c>
      <c r="D814" s="592">
        <v>-31000</v>
      </c>
      <c r="E814" s="212">
        <v>45323</v>
      </c>
      <c r="F814" s="201" t="s">
        <v>130</v>
      </c>
      <c r="G814" s="201" t="s">
        <v>130</v>
      </c>
      <c r="H814" s="81" t="s">
        <v>138</v>
      </c>
      <c r="I814" s="291" t="s">
        <v>77</v>
      </c>
      <c r="J814" s="202"/>
      <c r="K814" s="202"/>
      <c r="L814" s="202"/>
      <c r="M814" s="202"/>
      <c r="N814" s="202"/>
      <c r="O814" s="202"/>
      <c r="P814" s="202"/>
      <c r="Q814" s="202"/>
      <c r="R814" s="202"/>
      <c r="S814" s="202"/>
      <c r="T814" s="202"/>
    </row>
    <row r="815" spans="1:20" s="182" customFormat="1" ht="14.15" hidden="1">
      <c r="A815" s="222">
        <v>45341</v>
      </c>
      <c r="B815" s="201" t="s">
        <v>882</v>
      </c>
      <c r="C815" s="208" t="s">
        <v>146</v>
      </c>
      <c r="D815" s="592">
        <v>-30000</v>
      </c>
      <c r="E815" s="212">
        <v>45323</v>
      </c>
      <c r="F815" s="201" t="s">
        <v>130</v>
      </c>
      <c r="G815" s="201" t="s">
        <v>130</v>
      </c>
      <c r="H815" s="81" t="s">
        <v>138</v>
      </c>
      <c r="I815" s="291" t="s">
        <v>77</v>
      </c>
      <c r="J815" s="202"/>
      <c r="K815" s="202"/>
      <c r="L815" s="202"/>
      <c r="M815" s="202"/>
      <c r="N815" s="202"/>
      <c r="O815" s="202"/>
      <c r="P815" s="202"/>
      <c r="Q815" s="202"/>
      <c r="R815" s="202"/>
      <c r="S815" s="202"/>
      <c r="T815" s="202"/>
    </row>
    <row r="816" spans="1:20" s="182" customFormat="1" ht="14.15" hidden="1">
      <c r="A816" s="222">
        <v>45341</v>
      </c>
      <c r="B816" s="201" t="s">
        <v>883</v>
      </c>
      <c r="C816" s="208" t="s">
        <v>146</v>
      </c>
      <c r="D816" s="592">
        <v>-50000</v>
      </c>
      <c r="E816" s="212">
        <v>45323</v>
      </c>
      <c r="F816" s="201" t="s">
        <v>130</v>
      </c>
      <c r="G816" s="201" t="s">
        <v>130</v>
      </c>
      <c r="H816" s="81" t="s">
        <v>138</v>
      </c>
      <c r="I816" s="291" t="s">
        <v>77</v>
      </c>
      <c r="J816" s="202"/>
      <c r="K816" s="202"/>
      <c r="L816" s="202"/>
      <c r="M816" s="202"/>
      <c r="N816" s="202"/>
      <c r="O816" s="202"/>
      <c r="P816" s="202"/>
      <c r="Q816" s="202"/>
      <c r="R816" s="202"/>
      <c r="S816" s="202"/>
      <c r="T816" s="202"/>
    </row>
    <row r="817" spans="1:20" s="182" customFormat="1" ht="14.15" hidden="1">
      <c r="A817" s="222">
        <v>45342</v>
      </c>
      <c r="B817" s="201" t="s">
        <v>884</v>
      </c>
      <c r="C817" s="208" t="s">
        <v>27</v>
      </c>
      <c r="D817" s="592">
        <v>-2288000</v>
      </c>
      <c r="E817" s="212">
        <v>45323</v>
      </c>
      <c r="F817" s="201" t="s">
        <v>130</v>
      </c>
      <c r="G817" s="201" t="s">
        <v>257</v>
      </c>
      <c r="H817" s="201" t="s">
        <v>663</v>
      </c>
      <c r="I817" s="201"/>
      <c r="J817" s="565"/>
      <c r="K817" s="202"/>
      <c r="L817" s="202"/>
      <c r="M817" s="202"/>
      <c r="N817" s="202"/>
      <c r="O817" s="202"/>
      <c r="P817" s="202"/>
      <c r="Q817" s="202"/>
      <c r="R817" s="202"/>
      <c r="S817" s="202"/>
      <c r="T817" s="202"/>
    </row>
    <row r="818" spans="1:20" s="182" customFormat="1" ht="14.15" hidden="1">
      <c r="A818" s="222">
        <v>45342</v>
      </c>
      <c r="B818" s="201" t="s">
        <v>885</v>
      </c>
      <c r="C818" s="208" t="s">
        <v>133</v>
      </c>
      <c r="D818" s="592">
        <v>-12000</v>
      </c>
      <c r="E818" s="212">
        <v>45323</v>
      </c>
      <c r="F818" s="201" t="s">
        <v>130</v>
      </c>
      <c r="G818" s="201" t="s">
        <v>257</v>
      </c>
      <c r="H818" s="201" t="s">
        <v>663</v>
      </c>
      <c r="I818" s="201"/>
      <c r="J818" s="618"/>
      <c r="K818" s="202"/>
      <c r="L818" s="202"/>
      <c r="M818" s="202"/>
      <c r="N818" s="202"/>
      <c r="O818" s="202"/>
      <c r="P818" s="202"/>
      <c r="Q818" s="202"/>
      <c r="R818" s="202"/>
      <c r="S818" s="202"/>
      <c r="T818" s="202"/>
    </row>
    <row r="819" spans="1:20" s="182" customFormat="1" ht="14.15" hidden="1">
      <c r="A819" s="222">
        <v>45342</v>
      </c>
      <c r="B819" s="201" t="s">
        <v>886</v>
      </c>
      <c r="C819" s="208" t="s">
        <v>133</v>
      </c>
      <c r="D819" s="592">
        <v>-80000</v>
      </c>
      <c r="E819" s="212">
        <v>45323</v>
      </c>
      <c r="F819" s="201" t="s">
        <v>130</v>
      </c>
      <c r="G819" s="201" t="s">
        <v>257</v>
      </c>
      <c r="H819" s="201" t="s">
        <v>663</v>
      </c>
      <c r="I819" s="201"/>
      <c r="J819" s="202"/>
      <c r="K819" s="202"/>
      <c r="L819" s="202"/>
      <c r="M819" s="202"/>
      <c r="N819" s="202"/>
      <c r="O819" s="202"/>
      <c r="P819" s="202"/>
      <c r="Q819" s="202"/>
      <c r="R819" s="202"/>
      <c r="S819" s="202"/>
      <c r="T819" s="202"/>
    </row>
    <row r="820" spans="1:20" s="182" customFormat="1" ht="14.15" hidden="1">
      <c r="A820" s="222">
        <v>45342</v>
      </c>
      <c r="B820" s="201" t="s">
        <v>887</v>
      </c>
      <c r="C820" s="208" t="s">
        <v>27</v>
      </c>
      <c r="D820" s="592">
        <v>-4953400</v>
      </c>
      <c r="E820" s="212">
        <v>45323</v>
      </c>
      <c r="F820" s="201" t="s">
        <v>130</v>
      </c>
      <c r="G820" s="201" t="s">
        <v>130</v>
      </c>
      <c r="H820" s="201" t="s">
        <v>182</v>
      </c>
      <c r="I820" s="201"/>
      <c r="J820" s="202"/>
      <c r="K820" s="202"/>
      <c r="L820" s="202"/>
      <c r="M820" s="202"/>
      <c r="N820" s="202"/>
      <c r="O820" s="202"/>
      <c r="P820" s="202"/>
      <c r="Q820" s="202"/>
      <c r="R820" s="202"/>
      <c r="S820" s="202"/>
      <c r="T820" s="202"/>
    </row>
    <row r="821" spans="1:20" s="182" customFormat="1" ht="14.15" hidden="1">
      <c r="A821" s="222">
        <v>45342</v>
      </c>
      <c r="B821" s="201" t="s">
        <v>888</v>
      </c>
      <c r="C821" s="208" t="s">
        <v>27</v>
      </c>
      <c r="D821" s="592">
        <v>-2551000</v>
      </c>
      <c r="E821" s="212">
        <v>45323</v>
      </c>
      <c r="F821" s="201" t="s">
        <v>109</v>
      </c>
      <c r="G821" s="208" t="s">
        <v>120</v>
      </c>
      <c r="H821" s="208" t="s">
        <v>147</v>
      </c>
      <c r="I821" s="201"/>
      <c r="J821" s="202"/>
      <c r="K821" s="202"/>
      <c r="L821" s="202"/>
      <c r="M821" s="202"/>
      <c r="N821" s="202"/>
      <c r="O821" s="202"/>
      <c r="P821" s="202"/>
      <c r="Q821" s="202"/>
      <c r="R821" s="202"/>
      <c r="S821" s="202"/>
      <c r="T821" s="202"/>
    </row>
    <row r="822" spans="1:20" s="182" customFormat="1" ht="14.15" hidden="1">
      <c r="A822" s="222">
        <v>45342</v>
      </c>
      <c r="B822" s="201" t="s">
        <v>888</v>
      </c>
      <c r="C822" s="208" t="s">
        <v>27</v>
      </c>
      <c r="D822" s="592">
        <v>-1275500</v>
      </c>
      <c r="E822" s="212">
        <v>45323</v>
      </c>
      <c r="F822" s="201" t="s">
        <v>109</v>
      </c>
      <c r="G822" s="208" t="s">
        <v>383</v>
      </c>
      <c r="H822" s="208" t="s">
        <v>147</v>
      </c>
      <c r="I822" s="201"/>
      <c r="J822" s="202"/>
      <c r="K822" s="202"/>
      <c r="L822" s="202"/>
      <c r="M822" s="202"/>
      <c r="N822" s="202"/>
      <c r="O822" s="202"/>
      <c r="P822" s="202"/>
      <c r="Q822" s="202"/>
      <c r="R822" s="202"/>
      <c r="S822" s="202"/>
      <c r="T822" s="202"/>
    </row>
    <row r="823" spans="1:20" s="182" customFormat="1" ht="14.15" hidden="1">
      <c r="A823" s="222">
        <v>45342</v>
      </c>
      <c r="B823" s="201" t="s">
        <v>888</v>
      </c>
      <c r="C823" s="208" t="s">
        <v>27</v>
      </c>
      <c r="D823" s="592">
        <v>-1275500</v>
      </c>
      <c r="E823" s="212">
        <v>45323</v>
      </c>
      <c r="F823" s="201" t="s">
        <v>110</v>
      </c>
      <c r="G823" s="208" t="s">
        <v>450</v>
      </c>
      <c r="H823" s="208" t="s">
        <v>147</v>
      </c>
      <c r="I823" s="201"/>
      <c r="J823" s="202"/>
      <c r="K823" s="202"/>
      <c r="L823" s="202"/>
      <c r="M823" s="202"/>
      <c r="N823" s="202"/>
      <c r="O823" s="202"/>
      <c r="P823" s="202"/>
      <c r="Q823" s="202"/>
      <c r="R823" s="202"/>
      <c r="S823" s="202"/>
      <c r="T823" s="202"/>
    </row>
    <row r="824" spans="1:20" s="182" customFormat="1" ht="14.15" hidden="1">
      <c r="A824" s="222">
        <v>45342</v>
      </c>
      <c r="B824" s="201" t="s">
        <v>889</v>
      </c>
      <c r="C824" s="208" t="s">
        <v>27</v>
      </c>
      <c r="D824" s="592">
        <v>-2464400</v>
      </c>
      <c r="E824" s="212">
        <v>45323</v>
      </c>
      <c r="F824" s="201" t="s">
        <v>130</v>
      </c>
      <c r="G824" s="201" t="s">
        <v>130</v>
      </c>
      <c r="H824" s="201" t="s">
        <v>182</v>
      </c>
      <c r="I824" s="201"/>
      <c r="J824" s="202"/>
      <c r="K824" s="202"/>
      <c r="L824" s="202"/>
      <c r="M824" s="202"/>
      <c r="N824" s="202"/>
      <c r="O824" s="202"/>
      <c r="P824" s="202"/>
      <c r="Q824" s="202"/>
      <c r="R824" s="202"/>
      <c r="S824" s="202"/>
      <c r="T824" s="202"/>
    </row>
    <row r="825" spans="1:20" s="182" customFormat="1" ht="14.15" hidden="1">
      <c r="A825" s="222">
        <v>45342</v>
      </c>
      <c r="B825" s="201" t="s">
        <v>890</v>
      </c>
      <c r="C825" s="208" t="s">
        <v>27</v>
      </c>
      <c r="D825" s="592">
        <v>-220000</v>
      </c>
      <c r="E825" s="212">
        <v>45323</v>
      </c>
      <c r="F825" s="201" t="s">
        <v>109</v>
      </c>
      <c r="G825" s="208" t="s">
        <v>383</v>
      </c>
      <c r="H825" s="208" t="s">
        <v>175</v>
      </c>
      <c r="I825" s="201"/>
      <c r="J825" s="202"/>
      <c r="K825" s="202"/>
      <c r="L825" s="202"/>
      <c r="M825" s="202"/>
      <c r="N825" s="202"/>
      <c r="O825" s="202"/>
      <c r="P825" s="202"/>
      <c r="Q825" s="202"/>
      <c r="R825" s="202"/>
      <c r="S825" s="202"/>
      <c r="T825" s="202"/>
    </row>
    <row r="826" spans="1:20" s="182" customFormat="1" ht="14.15" hidden="1">
      <c r="A826" s="222">
        <v>45342</v>
      </c>
      <c r="B826" s="201" t="s">
        <v>891</v>
      </c>
      <c r="C826" s="208" t="s">
        <v>27</v>
      </c>
      <c r="D826" s="592">
        <v>-413000</v>
      </c>
      <c r="E826" s="212">
        <v>45323</v>
      </c>
      <c r="F826" s="201" t="s">
        <v>109</v>
      </c>
      <c r="G826" s="208" t="s">
        <v>383</v>
      </c>
      <c r="H826" s="208" t="s">
        <v>175</v>
      </c>
      <c r="I826" s="201"/>
      <c r="J826" s="202"/>
      <c r="K826" s="202"/>
      <c r="L826" s="202"/>
      <c r="M826" s="202"/>
      <c r="N826" s="202"/>
      <c r="O826" s="202"/>
      <c r="P826" s="202"/>
      <c r="Q826" s="202"/>
      <c r="R826" s="202"/>
      <c r="S826" s="202"/>
      <c r="T826" s="202"/>
    </row>
    <row r="827" spans="1:20" s="182" customFormat="1" ht="14.15" hidden="1">
      <c r="A827" s="222">
        <v>45342</v>
      </c>
      <c r="B827" s="201" t="s">
        <v>892</v>
      </c>
      <c r="C827" s="208" t="s">
        <v>27</v>
      </c>
      <c r="D827" s="592">
        <v>-958111</v>
      </c>
      <c r="E827" s="212">
        <v>45323</v>
      </c>
      <c r="F827" s="201" t="s">
        <v>109</v>
      </c>
      <c r="G827" s="208" t="s">
        <v>383</v>
      </c>
      <c r="H827" s="208" t="s">
        <v>175</v>
      </c>
      <c r="I827" s="201"/>
      <c r="J827" s="202"/>
      <c r="K827" s="202"/>
      <c r="L827" s="202"/>
      <c r="M827" s="202"/>
      <c r="N827" s="202"/>
      <c r="O827" s="202"/>
      <c r="P827" s="202"/>
      <c r="Q827" s="202"/>
      <c r="R827" s="202"/>
      <c r="S827" s="202"/>
      <c r="T827" s="202"/>
    </row>
    <row r="828" spans="1:20" s="182" customFormat="1" ht="14.15" hidden="1">
      <c r="A828" s="222">
        <v>45342</v>
      </c>
      <c r="B828" s="201" t="s">
        <v>893</v>
      </c>
      <c r="C828" s="208" t="s">
        <v>27</v>
      </c>
      <c r="D828" s="592">
        <v>-95969</v>
      </c>
      <c r="E828" s="212">
        <v>45323</v>
      </c>
      <c r="F828" s="208" t="s">
        <v>109</v>
      </c>
      <c r="G828" s="208" t="s">
        <v>317</v>
      </c>
      <c r="H828" s="201" t="s">
        <v>318</v>
      </c>
      <c r="I828" s="201"/>
      <c r="J828" s="202"/>
      <c r="K828" s="202"/>
      <c r="L828" s="202"/>
      <c r="M828" s="202"/>
      <c r="N828" s="202"/>
      <c r="O828" s="202"/>
      <c r="P828" s="202"/>
      <c r="Q828" s="202"/>
      <c r="R828" s="202"/>
      <c r="S828" s="202"/>
      <c r="T828" s="202"/>
    </row>
    <row r="829" spans="1:20" s="182" customFormat="1" ht="14.15" hidden="1">
      <c r="A829" s="222">
        <v>45342</v>
      </c>
      <c r="B829" s="201" t="s">
        <v>894</v>
      </c>
      <c r="C829" s="208" t="s">
        <v>146</v>
      </c>
      <c r="D829" s="592">
        <v>-120000</v>
      </c>
      <c r="E829" s="212">
        <v>45323</v>
      </c>
      <c r="F829" s="201" t="s">
        <v>109</v>
      </c>
      <c r="G829" s="208" t="s">
        <v>383</v>
      </c>
      <c r="H829" s="81" t="s">
        <v>138</v>
      </c>
      <c r="I829" s="201" t="s">
        <v>173</v>
      </c>
      <c r="J829" s="202"/>
      <c r="K829" s="202"/>
      <c r="L829" s="202"/>
      <c r="M829" s="202"/>
      <c r="N829" s="202"/>
      <c r="O829" s="202"/>
      <c r="P829" s="202"/>
      <c r="Q829" s="202"/>
      <c r="R829" s="202"/>
      <c r="S829" s="202"/>
      <c r="T829" s="202"/>
    </row>
    <row r="830" spans="1:20" s="182" customFormat="1" ht="14.15" hidden="1">
      <c r="A830" s="222">
        <v>45342</v>
      </c>
      <c r="B830" s="201" t="s">
        <v>895</v>
      </c>
      <c r="C830" s="208" t="s">
        <v>146</v>
      </c>
      <c r="D830" s="592">
        <v>-240000</v>
      </c>
      <c r="E830" s="212">
        <v>45323</v>
      </c>
      <c r="F830" s="201" t="s">
        <v>109</v>
      </c>
      <c r="G830" s="208" t="s">
        <v>383</v>
      </c>
      <c r="H830" s="81" t="s">
        <v>138</v>
      </c>
      <c r="I830" s="201" t="s">
        <v>173</v>
      </c>
      <c r="J830" s="202"/>
      <c r="K830" s="202"/>
      <c r="L830" s="202"/>
      <c r="M830" s="202"/>
      <c r="N830" s="202"/>
      <c r="O830" s="202"/>
      <c r="P830" s="202"/>
      <c r="Q830" s="202"/>
      <c r="R830" s="202"/>
      <c r="S830" s="202"/>
      <c r="T830" s="202"/>
    </row>
    <row r="831" spans="1:20" s="182" customFormat="1" ht="14.15" hidden="1">
      <c r="A831" s="222">
        <v>45342</v>
      </c>
      <c r="B831" s="201" t="s">
        <v>896</v>
      </c>
      <c r="C831" s="208" t="s">
        <v>27</v>
      </c>
      <c r="D831" s="592">
        <v>-718900</v>
      </c>
      <c r="E831" s="212">
        <v>45323</v>
      </c>
      <c r="F831" s="201" t="s">
        <v>130</v>
      </c>
      <c r="G831" s="201" t="s">
        <v>257</v>
      </c>
      <c r="H831" s="201" t="s">
        <v>182</v>
      </c>
      <c r="I831" s="201"/>
      <c r="J831" s="202"/>
      <c r="K831" s="202"/>
      <c r="L831" s="202"/>
      <c r="M831" s="202"/>
      <c r="N831" s="202"/>
      <c r="O831" s="202"/>
      <c r="P831" s="202"/>
      <c r="Q831" s="202"/>
      <c r="R831" s="202"/>
      <c r="S831" s="202"/>
      <c r="T831" s="202"/>
    </row>
    <row r="832" spans="1:20" s="182" customFormat="1" ht="14.15" hidden="1">
      <c r="A832" s="222">
        <v>45342</v>
      </c>
      <c r="B832" s="201" t="s">
        <v>897</v>
      </c>
      <c r="C832" s="208" t="s">
        <v>27</v>
      </c>
      <c r="D832" s="592">
        <v>-1118300</v>
      </c>
      <c r="E832" s="212">
        <v>45323</v>
      </c>
      <c r="F832" s="201" t="s">
        <v>109</v>
      </c>
      <c r="G832" s="208" t="s">
        <v>383</v>
      </c>
      <c r="H832" s="201" t="s">
        <v>508</v>
      </c>
      <c r="I832" s="201"/>
      <c r="J832" s="202"/>
      <c r="K832" s="202"/>
      <c r="L832" s="202"/>
      <c r="M832" s="202"/>
      <c r="N832" s="202"/>
      <c r="O832" s="202"/>
      <c r="P832" s="202"/>
      <c r="Q832" s="202"/>
      <c r="R832" s="202"/>
      <c r="S832" s="202"/>
      <c r="T832" s="202"/>
    </row>
    <row r="833" spans="1:20" s="182" customFormat="1" ht="14.15" hidden="1">
      <c r="A833" s="222">
        <v>45342</v>
      </c>
      <c r="B833" s="201" t="s">
        <v>897</v>
      </c>
      <c r="C833" s="208" t="s">
        <v>27</v>
      </c>
      <c r="D833" s="592">
        <v>-1118300</v>
      </c>
      <c r="E833" s="212">
        <v>45323</v>
      </c>
      <c r="F833" s="201" t="s">
        <v>110</v>
      </c>
      <c r="G833" s="208" t="s">
        <v>450</v>
      </c>
      <c r="H833" s="201" t="s">
        <v>508</v>
      </c>
      <c r="I833" s="201"/>
      <c r="J833" s="202"/>
      <c r="K833" s="202"/>
      <c r="L833" s="202"/>
      <c r="M833" s="202"/>
      <c r="N833" s="202"/>
      <c r="O833" s="202"/>
      <c r="P833" s="202"/>
      <c r="Q833" s="202"/>
      <c r="R833" s="202"/>
      <c r="S833" s="202"/>
      <c r="T833" s="202"/>
    </row>
    <row r="834" spans="1:20" s="182" customFormat="1" ht="14.15" hidden="1">
      <c r="A834" s="222">
        <v>45342</v>
      </c>
      <c r="B834" s="201" t="s">
        <v>897</v>
      </c>
      <c r="C834" s="208" t="s">
        <v>27</v>
      </c>
      <c r="D834" s="592">
        <v>-2878900</v>
      </c>
      <c r="E834" s="212">
        <v>45323</v>
      </c>
      <c r="F834" s="201" t="s">
        <v>109</v>
      </c>
      <c r="G834" s="208" t="s">
        <v>120</v>
      </c>
      <c r="H834" s="201" t="s">
        <v>508</v>
      </c>
      <c r="I834" s="201"/>
      <c r="J834" s="202"/>
      <c r="K834" s="202"/>
      <c r="L834" s="202"/>
      <c r="M834" s="202"/>
      <c r="N834" s="202"/>
      <c r="O834" s="202"/>
      <c r="P834" s="202"/>
      <c r="Q834" s="202"/>
      <c r="R834" s="202"/>
      <c r="S834" s="202"/>
      <c r="T834" s="202"/>
    </row>
    <row r="835" spans="1:20" s="182" customFormat="1" ht="14.15" hidden="1">
      <c r="A835" s="222">
        <v>45343</v>
      </c>
      <c r="B835" s="201" t="s">
        <v>898</v>
      </c>
      <c r="C835" s="208" t="s">
        <v>27</v>
      </c>
      <c r="D835" s="800">
        <f>-2118000/2</f>
        <v>-1059000</v>
      </c>
      <c r="E835" s="212">
        <v>45323</v>
      </c>
      <c r="F835" s="201" t="s">
        <v>109</v>
      </c>
      <c r="G835" s="201" t="s">
        <v>581</v>
      </c>
      <c r="H835" s="201"/>
      <c r="I835" s="201"/>
      <c r="J835" s="202"/>
      <c r="K835" s="202"/>
      <c r="L835" s="202"/>
      <c r="M835" s="202"/>
      <c r="N835" s="202"/>
      <c r="O835" s="202"/>
      <c r="P835" s="202"/>
      <c r="Q835" s="202"/>
      <c r="R835" s="202"/>
      <c r="S835" s="202"/>
      <c r="T835" s="202"/>
    </row>
    <row r="836" spans="1:20" s="182" customFormat="1" ht="14.15" hidden="1">
      <c r="A836" s="222">
        <v>45343</v>
      </c>
      <c r="B836" s="201" t="s">
        <v>899</v>
      </c>
      <c r="C836" s="208" t="s">
        <v>27</v>
      </c>
      <c r="D836" s="592">
        <v>-2077010.7200000002</v>
      </c>
      <c r="E836" s="212">
        <v>45323</v>
      </c>
      <c r="F836" s="84" t="s">
        <v>111</v>
      </c>
      <c r="G836" s="201"/>
      <c r="H836" s="201"/>
      <c r="I836" s="201"/>
      <c r="J836" s="202"/>
      <c r="K836" s="202"/>
      <c r="L836" s="202"/>
      <c r="M836" s="202"/>
      <c r="N836" s="202"/>
      <c r="O836" s="202"/>
      <c r="P836" s="202"/>
      <c r="Q836" s="202"/>
      <c r="R836" s="202"/>
      <c r="S836" s="202"/>
      <c r="T836" s="202"/>
    </row>
    <row r="837" spans="1:20" s="182" customFormat="1" ht="14.15" hidden="1">
      <c r="A837" s="222">
        <v>45343</v>
      </c>
      <c r="B837" s="201" t="s">
        <v>900</v>
      </c>
      <c r="C837" s="208" t="s">
        <v>27</v>
      </c>
      <c r="D837" s="592">
        <v>-2289470.2799999998</v>
      </c>
      <c r="E837" s="212">
        <v>45323</v>
      </c>
      <c r="F837" s="201" t="s">
        <v>118</v>
      </c>
      <c r="G837" s="201"/>
      <c r="H837" s="201"/>
      <c r="I837" s="201"/>
      <c r="J837" s="202"/>
      <c r="K837" s="202"/>
      <c r="L837" s="202"/>
      <c r="M837" s="202"/>
      <c r="N837" s="202"/>
      <c r="O837" s="202"/>
      <c r="P837" s="202"/>
      <c r="Q837" s="202"/>
      <c r="R837" s="202"/>
      <c r="S837" s="202"/>
      <c r="T837" s="202"/>
    </row>
    <row r="838" spans="1:20" s="182" customFormat="1" ht="14.15" hidden="1">
      <c r="A838" s="222">
        <v>45343</v>
      </c>
      <c r="B838" s="201" t="s">
        <v>901</v>
      </c>
      <c r="C838" s="208" t="s">
        <v>27</v>
      </c>
      <c r="D838" s="592">
        <v>-6900</v>
      </c>
      <c r="E838" s="212">
        <v>45323</v>
      </c>
      <c r="F838" s="201" t="s">
        <v>130</v>
      </c>
      <c r="G838" s="201" t="s">
        <v>130</v>
      </c>
      <c r="H838" s="201" t="s">
        <v>182</v>
      </c>
      <c r="I838" s="201"/>
      <c r="J838" s="202"/>
      <c r="K838" s="202"/>
      <c r="L838" s="202"/>
      <c r="M838" s="202"/>
      <c r="N838" s="202"/>
      <c r="O838" s="202"/>
      <c r="P838" s="202"/>
      <c r="Q838" s="202"/>
      <c r="R838" s="202"/>
      <c r="S838" s="202"/>
      <c r="T838" s="202"/>
    </row>
    <row r="839" spans="1:20" s="182" customFormat="1" ht="14.15" hidden="1">
      <c r="A839" s="222">
        <v>45343</v>
      </c>
      <c r="B839" s="201" t="s">
        <v>902</v>
      </c>
      <c r="C839" s="208" t="s">
        <v>27</v>
      </c>
      <c r="D839" s="592">
        <v>-2510675</v>
      </c>
      <c r="E839" s="212">
        <v>45323</v>
      </c>
      <c r="F839" s="201" t="s">
        <v>207</v>
      </c>
      <c r="G839" s="201"/>
      <c r="H839" s="201"/>
      <c r="I839" s="201"/>
      <c r="J839" s="202"/>
      <c r="K839" s="202"/>
      <c r="L839" s="202"/>
      <c r="M839" s="202"/>
      <c r="N839" s="202"/>
      <c r="O839" s="202"/>
      <c r="P839" s="202"/>
      <c r="Q839" s="202"/>
      <c r="R839" s="202"/>
      <c r="S839" s="202"/>
      <c r="T839" s="202"/>
    </row>
    <row r="840" spans="1:20" s="182" customFormat="1" ht="14.15" hidden="1">
      <c r="A840" s="222">
        <v>45343</v>
      </c>
      <c r="B840" s="201" t="s">
        <v>903</v>
      </c>
      <c r="C840" s="208" t="s">
        <v>27</v>
      </c>
      <c r="D840" s="800">
        <v>-4400000</v>
      </c>
      <c r="E840" s="212">
        <v>45323</v>
      </c>
      <c r="F840" s="201" t="s">
        <v>109</v>
      </c>
      <c r="G840" s="201" t="s">
        <v>581</v>
      </c>
      <c r="H840" s="201"/>
      <c r="I840" s="201"/>
      <c r="J840" s="202"/>
      <c r="K840" s="202"/>
      <c r="L840" s="202"/>
      <c r="M840" s="202"/>
      <c r="N840" s="202"/>
      <c r="O840" s="202"/>
      <c r="P840" s="202"/>
      <c r="Q840" s="202"/>
      <c r="R840" s="202"/>
      <c r="S840" s="202"/>
      <c r="T840" s="202"/>
    </row>
    <row r="841" spans="1:20" s="182" customFormat="1" ht="14.15" hidden="1">
      <c r="A841" s="222">
        <v>45343</v>
      </c>
      <c r="B841" s="201" t="s">
        <v>904</v>
      </c>
      <c r="C841" s="208" t="s">
        <v>27</v>
      </c>
      <c r="D841" s="592">
        <v>-4600000</v>
      </c>
      <c r="E841" s="212">
        <v>45323</v>
      </c>
      <c r="F841" s="201" t="s">
        <v>109</v>
      </c>
      <c r="G841" s="208" t="s">
        <v>120</v>
      </c>
      <c r="H841" s="208" t="s">
        <v>147</v>
      </c>
      <c r="I841" s="201"/>
      <c r="J841" s="202"/>
      <c r="K841" s="202"/>
      <c r="L841" s="202"/>
      <c r="M841" s="202"/>
      <c r="N841" s="202"/>
      <c r="O841" s="202"/>
      <c r="P841" s="202"/>
      <c r="Q841" s="202"/>
      <c r="R841" s="202"/>
      <c r="S841" s="202"/>
      <c r="T841" s="202"/>
    </row>
    <row r="842" spans="1:20" s="182" customFormat="1" ht="14.15" hidden="1">
      <c r="A842" s="222">
        <v>45343</v>
      </c>
      <c r="B842" s="201" t="s">
        <v>905</v>
      </c>
      <c r="C842" s="208" t="s">
        <v>146</v>
      </c>
      <c r="D842" s="592">
        <v>-6000</v>
      </c>
      <c r="E842" s="212">
        <v>45323</v>
      </c>
      <c r="F842" s="291" t="s">
        <v>110</v>
      </c>
      <c r="G842" s="208" t="s">
        <v>450</v>
      </c>
      <c r="H842" s="81" t="s">
        <v>138</v>
      </c>
      <c r="I842" s="201"/>
      <c r="J842" s="202"/>
      <c r="K842" s="202"/>
      <c r="L842" s="202"/>
      <c r="M842" s="202"/>
      <c r="N842" s="202"/>
      <c r="O842" s="202"/>
      <c r="P842" s="202"/>
      <c r="Q842" s="202"/>
      <c r="R842" s="202"/>
      <c r="S842" s="202"/>
      <c r="T842" s="202"/>
    </row>
    <row r="843" spans="1:20" s="182" customFormat="1" ht="14.15" hidden="1">
      <c r="A843" s="222">
        <v>45343</v>
      </c>
      <c r="B843" s="201" t="s">
        <v>906</v>
      </c>
      <c r="C843" s="208" t="s">
        <v>146</v>
      </c>
      <c r="D843" s="592">
        <v>-12400</v>
      </c>
      <c r="E843" s="212">
        <v>45323</v>
      </c>
      <c r="F843" s="201" t="s">
        <v>130</v>
      </c>
      <c r="G843" s="201" t="s">
        <v>257</v>
      </c>
      <c r="H843" s="81" t="s">
        <v>138</v>
      </c>
      <c r="I843" s="201"/>
      <c r="J843" s="202"/>
      <c r="K843" s="202"/>
      <c r="L843" s="202"/>
      <c r="M843" s="202"/>
      <c r="N843" s="202"/>
      <c r="O843" s="202"/>
      <c r="P843" s="202"/>
      <c r="Q843" s="202"/>
      <c r="R843" s="202"/>
      <c r="S843" s="202"/>
      <c r="T843" s="202"/>
    </row>
    <row r="844" spans="1:20" s="182" customFormat="1" ht="14.15" hidden="1">
      <c r="A844" s="222">
        <v>45343</v>
      </c>
      <c r="B844" s="201" t="s">
        <v>907</v>
      </c>
      <c r="C844" s="208" t="s">
        <v>146</v>
      </c>
      <c r="D844" s="592">
        <v>-19000</v>
      </c>
      <c r="E844" s="212">
        <v>45323</v>
      </c>
      <c r="F844" s="291" t="s">
        <v>110</v>
      </c>
      <c r="G844" s="208" t="s">
        <v>450</v>
      </c>
      <c r="H844" s="81" t="s">
        <v>138</v>
      </c>
      <c r="I844" s="201"/>
      <c r="J844" s="202"/>
      <c r="K844" s="202"/>
      <c r="L844" s="202"/>
      <c r="M844" s="202"/>
      <c r="N844" s="202"/>
      <c r="O844" s="202"/>
      <c r="P844" s="202"/>
      <c r="Q844" s="202"/>
      <c r="R844" s="202"/>
      <c r="S844" s="202"/>
      <c r="T844" s="202"/>
    </row>
    <row r="845" spans="1:20" s="182" customFormat="1" ht="14.15" hidden="1">
      <c r="A845" s="222">
        <v>45343</v>
      </c>
      <c r="B845" s="201" t="s">
        <v>908</v>
      </c>
      <c r="C845" s="208" t="s">
        <v>146</v>
      </c>
      <c r="D845" s="592">
        <v>-193750</v>
      </c>
      <c r="E845" s="212">
        <v>45323</v>
      </c>
      <c r="F845" s="291" t="s">
        <v>130</v>
      </c>
      <c r="G845" s="208" t="s">
        <v>130</v>
      </c>
      <c r="H845" s="201" t="s">
        <v>184</v>
      </c>
      <c r="I845" s="201"/>
      <c r="J845" s="202"/>
      <c r="K845" s="202"/>
      <c r="L845" s="202"/>
      <c r="M845" s="202"/>
      <c r="N845" s="202"/>
      <c r="O845" s="202"/>
      <c r="P845" s="202"/>
      <c r="Q845" s="202"/>
      <c r="R845" s="202"/>
      <c r="S845" s="202"/>
      <c r="T845" s="202"/>
    </row>
    <row r="846" spans="1:20" s="182" customFormat="1" ht="14.15" hidden="1">
      <c r="A846" s="222">
        <v>45344</v>
      </c>
      <c r="B846" s="201" t="s">
        <v>909</v>
      </c>
      <c r="C846" s="208" t="s">
        <v>146</v>
      </c>
      <c r="D846" s="592">
        <v>-316860</v>
      </c>
      <c r="E846" s="212">
        <v>45323</v>
      </c>
      <c r="F846" s="201" t="s">
        <v>109</v>
      </c>
      <c r="G846" s="208" t="s">
        <v>453</v>
      </c>
      <c r="H846" s="208" t="s">
        <v>175</v>
      </c>
      <c r="I846" s="201"/>
      <c r="J846" s="202"/>
      <c r="K846" s="202"/>
      <c r="L846" s="202"/>
      <c r="M846" s="202"/>
      <c r="N846" s="202"/>
      <c r="O846" s="202"/>
      <c r="P846" s="202"/>
      <c r="Q846" s="202"/>
      <c r="R846" s="202"/>
      <c r="S846" s="202"/>
      <c r="T846" s="202"/>
    </row>
    <row r="847" spans="1:20" s="182" customFormat="1" ht="14.15" hidden="1">
      <c r="A847" s="222">
        <v>45345</v>
      </c>
      <c r="B847" s="201" t="s">
        <v>910</v>
      </c>
      <c r="C847" s="208" t="s">
        <v>146</v>
      </c>
      <c r="D847" s="592">
        <v>-25800</v>
      </c>
      <c r="E847" s="212">
        <v>45323</v>
      </c>
      <c r="F847" s="201" t="s">
        <v>109</v>
      </c>
      <c r="G847" s="208" t="s">
        <v>120</v>
      </c>
      <c r="H847" s="81" t="s">
        <v>138</v>
      </c>
      <c r="I847" s="201"/>
      <c r="J847" s="202"/>
      <c r="K847" s="202"/>
      <c r="L847" s="202"/>
      <c r="M847" s="202"/>
      <c r="N847" s="202"/>
      <c r="O847" s="202"/>
      <c r="P847" s="202"/>
      <c r="Q847" s="202"/>
      <c r="R847" s="202"/>
      <c r="S847" s="202"/>
      <c r="T847" s="202"/>
    </row>
    <row r="848" spans="1:20" s="182" customFormat="1" ht="14.15" hidden="1">
      <c r="A848" s="222">
        <v>45345</v>
      </c>
      <c r="B848" s="201" t="s">
        <v>911</v>
      </c>
      <c r="C848" s="208" t="s">
        <v>146</v>
      </c>
      <c r="D848" s="592">
        <v>-18700</v>
      </c>
      <c r="E848" s="212">
        <v>45323</v>
      </c>
      <c r="F848" s="201" t="s">
        <v>109</v>
      </c>
      <c r="G848" s="208" t="s">
        <v>120</v>
      </c>
      <c r="H848" s="201"/>
      <c r="I848" s="201"/>
      <c r="J848" s="202"/>
      <c r="K848" s="202"/>
      <c r="L848" s="202"/>
      <c r="M848" s="202"/>
      <c r="N848" s="202"/>
      <c r="O848" s="202"/>
      <c r="P848" s="202"/>
      <c r="Q848" s="202"/>
      <c r="R848" s="202"/>
      <c r="S848" s="202"/>
      <c r="T848" s="202"/>
    </row>
    <row r="849" spans="1:20" s="182" customFormat="1" ht="14.15" hidden="1">
      <c r="A849" s="222">
        <v>45343</v>
      </c>
      <c r="B849" s="201" t="s">
        <v>912</v>
      </c>
      <c r="C849" s="208" t="s">
        <v>146</v>
      </c>
      <c r="D849" s="592">
        <v>-49000</v>
      </c>
      <c r="E849" s="212">
        <v>45323</v>
      </c>
      <c r="F849" s="201" t="s">
        <v>109</v>
      </c>
      <c r="G849" s="208" t="s">
        <v>120</v>
      </c>
      <c r="H849" s="208" t="s">
        <v>147</v>
      </c>
      <c r="I849" s="201"/>
      <c r="J849" s="202"/>
      <c r="K849" s="202"/>
      <c r="L849" s="202"/>
      <c r="M849" s="202"/>
      <c r="N849" s="202"/>
      <c r="O849" s="202"/>
      <c r="P849" s="202"/>
      <c r="Q849" s="202"/>
      <c r="R849" s="202"/>
      <c r="S849" s="202"/>
      <c r="T849" s="202"/>
    </row>
    <row r="850" spans="1:20" s="182" customFormat="1" ht="14.15" hidden="1">
      <c r="A850" s="222">
        <v>45336</v>
      </c>
      <c r="B850" s="201" t="s">
        <v>913</v>
      </c>
      <c r="C850" s="208" t="s">
        <v>146</v>
      </c>
      <c r="D850" s="592">
        <v>-70000</v>
      </c>
      <c r="E850" s="212">
        <v>45323</v>
      </c>
      <c r="F850" s="201" t="s">
        <v>109</v>
      </c>
      <c r="G850" s="208" t="s">
        <v>120</v>
      </c>
      <c r="H850" s="201" t="s">
        <v>323</v>
      </c>
      <c r="I850" s="201" t="s">
        <v>173</v>
      </c>
      <c r="J850" s="202"/>
      <c r="K850" s="202"/>
      <c r="L850" s="202"/>
      <c r="M850" s="202"/>
      <c r="N850" s="202"/>
      <c r="O850" s="202"/>
      <c r="P850" s="202"/>
      <c r="Q850" s="202"/>
      <c r="R850" s="202"/>
      <c r="S850" s="202"/>
      <c r="T850" s="202"/>
    </row>
    <row r="851" spans="1:20" s="182" customFormat="1" ht="14.15" hidden="1">
      <c r="A851" s="222">
        <v>45342</v>
      </c>
      <c r="B851" s="201" t="s">
        <v>914</v>
      </c>
      <c r="C851" s="208" t="s">
        <v>643</v>
      </c>
      <c r="D851" s="592">
        <v>-833128.67</v>
      </c>
      <c r="E851" s="212">
        <v>45323</v>
      </c>
      <c r="F851" s="201" t="s">
        <v>130</v>
      </c>
      <c r="G851" s="201" t="s">
        <v>130</v>
      </c>
      <c r="H851" s="208" t="s">
        <v>143</v>
      </c>
      <c r="I851" s="201"/>
      <c r="J851" s="202"/>
      <c r="K851" s="202"/>
      <c r="L851" s="202"/>
      <c r="M851" s="202"/>
      <c r="N851" s="202"/>
      <c r="O851" s="202"/>
      <c r="P851" s="202"/>
      <c r="Q851" s="202"/>
      <c r="R851" s="202"/>
      <c r="S851" s="202"/>
      <c r="T851" s="202"/>
    </row>
    <row r="852" spans="1:20" s="182" customFormat="1" ht="14.15" hidden="1">
      <c r="A852" s="222">
        <v>45343</v>
      </c>
      <c r="B852" s="201" t="s">
        <v>915</v>
      </c>
      <c r="C852" s="208" t="s">
        <v>643</v>
      </c>
      <c r="D852" s="592">
        <v>-17700</v>
      </c>
      <c r="E852" s="212">
        <v>45323</v>
      </c>
      <c r="F852" s="201" t="s">
        <v>130</v>
      </c>
      <c r="G852" s="201" t="s">
        <v>257</v>
      </c>
      <c r="H852" s="201" t="s">
        <v>659</v>
      </c>
      <c r="I852" s="201"/>
      <c r="J852" s="202"/>
      <c r="K852" s="202"/>
      <c r="L852" s="202"/>
      <c r="M852" s="202"/>
      <c r="N852" s="202"/>
      <c r="O852" s="202"/>
      <c r="P852" s="202"/>
      <c r="Q852" s="202"/>
      <c r="R852" s="202"/>
      <c r="S852" s="202"/>
      <c r="T852" s="202"/>
    </row>
    <row r="853" spans="1:20" s="182" customFormat="1" ht="14.15" hidden="1">
      <c r="A853" s="222">
        <v>45341</v>
      </c>
      <c r="B853" s="201" t="s">
        <v>916</v>
      </c>
      <c r="C853" s="208" t="s">
        <v>181</v>
      </c>
      <c r="D853" s="592">
        <v>232000</v>
      </c>
      <c r="E853" s="212">
        <v>45323</v>
      </c>
      <c r="F853" s="201" t="s">
        <v>130</v>
      </c>
      <c r="G853" s="201" t="s">
        <v>130</v>
      </c>
      <c r="H853" s="201" t="s">
        <v>182</v>
      </c>
      <c r="I853" s="201"/>
      <c r="J853" s="202"/>
      <c r="K853" s="202"/>
      <c r="L853" s="202"/>
      <c r="M853" s="202"/>
      <c r="N853" s="202"/>
      <c r="O853" s="202"/>
      <c r="P853" s="202"/>
      <c r="Q853" s="202"/>
      <c r="R853" s="202"/>
      <c r="S853" s="202"/>
      <c r="T853" s="202"/>
    </row>
    <row r="854" spans="1:20" s="182" customFormat="1" ht="14.15" hidden="1">
      <c r="A854" s="222">
        <v>45345</v>
      </c>
      <c r="B854" s="201" t="s">
        <v>917</v>
      </c>
      <c r="C854" s="208" t="s">
        <v>27</v>
      </c>
      <c r="D854" s="592">
        <v>50000000</v>
      </c>
      <c r="E854" s="212">
        <v>45323</v>
      </c>
      <c r="F854" s="201" t="s">
        <v>109</v>
      </c>
      <c r="G854" s="201" t="s">
        <v>918</v>
      </c>
      <c r="H854" s="201"/>
      <c r="I854" s="201"/>
      <c r="J854" s="202"/>
      <c r="K854" s="202"/>
      <c r="L854" s="202"/>
      <c r="M854" s="202"/>
      <c r="N854" s="202"/>
      <c r="O854" s="202"/>
      <c r="P854" s="202"/>
      <c r="Q854" s="202"/>
      <c r="R854" s="202"/>
      <c r="S854" s="202"/>
      <c r="T854" s="202"/>
    </row>
    <row r="855" spans="1:20" s="182" customFormat="1" ht="14.15" hidden="1">
      <c r="A855" s="222">
        <v>45342</v>
      </c>
      <c r="B855" s="201" t="s">
        <v>919</v>
      </c>
      <c r="C855" s="208" t="s">
        <v>27</v>
      </c>
      <c r="D855" s="592">
        <v>4098934</v>
      </c>
      <c r="E855" s="212">
        <v>45323</v>
      </c>
      <c r="F855" s="201" t="s">
        <v>108</v>
      </c>
      <c r="G855" s="201"/>
      <c r="H855" s="201"/>
      <c r="I855" s="201"/>
      <c r="J855" s="202"/>
      <c r="K855" s="202"/>
      <c r="L855" s="202"/>
      <c r="M855" s="202"/>
      <c r="N855" s="202"/>
      <c r="O855" s="202"/>
      <c r="P855" s="202"/>
      <c r="Q855" s="202"/>
      <c r="R855" s="202"/>
      <c r="S855" s="202"/>
      <c r="T855" s="202"/>
    </row>
    <row r="856" spans="1:20" s="182" customFormat="1" ht="14.15" hidden="1">
      <c r="A856" s="222">
        <v>45345</v>
      </c>
      <c r="B856" s="201" t="s">
        <v>920</v>
      </c>
      <c r="C856" s="208" t="s">
        <v>27</v>
      </c>
      <c r="D856" s="592">
        <v>-1896859</v>
      </c>
      <c r="E856" s="212">
        <v>45323</v>
      </c>
      <c r="F856" s="201" t="s">
        <v>110</v>
      </c>
      <c r="G856" s="208" t="s">
        <v>450</v>
      </c>
      <c r="H856" s="201" t="s">
        <v>549</v>
      </c>
      <c r="I856" s="201"/>
      <c r="J856" s="202"/>
      <c r="K856" s="202"/>
      <c r="L856" s="202"/>
      <c r="M856" s="202"/>
      <c r="N856" s="202"/>
      <c r="O856" s="202"/>
      <c r="P856" s="202"/>
      <c r="Q856" s="202"/>
      <c r="R856" s="202"/>
      <c r="S856" s="202"/>
      <c r="T856" s="202"/>
    </row>
    <row r="857" spans="1:20" s="182" customFormat="1" ht="14.15" hidden="1">
      <c r="A857" s="222">
        <v>45345</v>
      </c>
      <c r="B857" s="201" t="s">
        <v>921</v>
      </c>
      <c r="C857" s="208" t="s">
        <v>181</v>
      </c>
      <c r="D857" s="592">
        <v>-116000</v>
      </c>
      <c r="E857" s="212">
        <v>45323</v>
      </c>
      <c r="F857" s="291" t="s">
        <v>130</v>
      </c>
      <c r="G857" s="208" t="s">
        <v>130</v>
      </c>
      <c r="H857" s="201" t="s">
        <v>184</v>
      </c>
      <c r="I857" s="201"/>
      <c r="J857" s="202"/>
      <c r="K857" s="202"/>
      <c r="L857" s="202"/>
      <c r="M857" s="202"/>
      <c r="N857" s="202"/>
      <c r="O857" s="202"/>
      <c r="P857" s="202"/>
      <c r="Q857" s="202"/>
      <c r="R857" s="202"/>
      <c r="S857" s="202"/>
      <c r="T857" s="202"/>
    </row>
    <row r="858" spans="1:20" s="182" customFormat="1" ht="14.15" hidden="1">
      <c r="A858" s="222">
        <v>45345</v>
      </c>
      <c r="B858" s="201" t="s">
        <v>922</v>
      </c>
      <c r="C858" s="208" t="s">
        <v>133</v>
      </c>
      <c r="D858" s="592">
        <v>-40705</v>
      </c>
      <c r="E858" s="619">
        <v>45323</v>
      </c>
      <c r="F858" s="291" t="s">
        <v>110</v>
      </c>
      <c r="G858" s="208" t="s">
        <v>450</v>
      </c>
      <c r="H858" s="201" t="s">
        <v>549</v>
      </c>
      <c r="I858" s="201"/>
      <c r="J858" s="202"/>
      <c r="K858" s="202"/>
      <c r="L858" s="202"/>
      <c r="M858" s="202"/>
      <c r="N858" s="202"/>
      <c r="O858" s="202"/>
      <c r="P858" s="202"/>
      <c r="Q858" s="202"/>
      <c r="R858" s="202"/>
      <c r="S858" s="202"/>
      <c r="T858" s="202"/>
    </row>
    <row r="859" spans="1:20" s="182" customFormat="1" ht="14.15" hidden="1">
      <c r="A859" s="222">
        <v>45348</v>
      </c>
      <c r="B859" s="201" t="s">
        <v>923</v>
      </c>
      <c r="C859" s="208" t="s">
        <v>146</v>
      </c>
      <c r="D859" s="592">
        <v>-12500</v>
      </c>
      <c r="E859" s="619">
        <v>45323</v>
      </c>
      <c r="F859" s="201" t="s">
        <v>130</v>
      </c>
      <c r="G859" s="201" t="s">
        <v>257</v>
      </c>
      <c r="H859" s="81" t="s">
        <v>138</v>
      </c>
      <c r="I859" s="201"/>
      <c r="J859" s="202"/>
      <c r="K859" s="202"/>
      <c r="L859" s="202"/>
      <c r="M859" s="202"/>
      <c r="N859" s="202"/>
      <c r="O859" s="202"/>
      <c r="P859" s="202"/>
      <c r="Q859" s="202"/>
      <c r="R859" s="202"/>
      <c r="S859" s="202"/>
      <c r="T859" s="202"/>
    </row>
    <row r="860" spans="1:20" s="182" customFormat="1" ht="14.15" hidden="1">
      <c r="A860" s="222">
        <v>45348</v>
      </c>
      <c r="B860" s="201" t="s">
        <v>924</v>
      </c>
      <c r="C860" s="208" t="s">
        <v>146</v>
      </c>
      <c r="D860" s="592">
        <v>-115000</v>
      </c>
      <c r="E860" s="619">
        <v>45323</v>
      </c>
      <c r="F860" s="201" t="s">
        <v>109</v>
      </c>
      <c r="G860" s="208" t="s">
        <v>120</v>
      </c>
      <c r="H860" s="208" t="s">
        <v>147</v>
      </c>
      <c r="I860" s="201"/>
      <c r="J860" s="202"/>
      <c r="K860" s="202"/>
      <c r="L860" s="202"/>
      <c r="M860" s="202"/>
      <c r="N860" s="202"/>
      <c r="O860" s="202"/>
      <c r="P860" s="202"/>
      <c r="Q860" s="202"/>
      <c r="R860" s="202"/>
      <c r="S860" s="202"/>
      <c r="T860" s="202"/>
    </row>
    <row r="861" spans="1:20" s="182" customFormat="1" ht="14.15" hidden="1">
      <c r="A861" s="222">
        <v>45348</v>
      </c>
      <c r="B861" s="201" t="s">
        <v>925</v>
      </c>
      <c r="C861" s="208" t="s">
        <v>27</v>
      </c>
      <c r="D861" s="592">
        <v>-7462350</v>
      </c>
      <c r="E861" s="212">
        <v>45323</v>
      </c>
      <c r="F861" s="291" t="s">
        <v>130</v>
      </c>
      <c r="G861" s="208" t="s">
        <v>130</v>
      </c>
      <c r="H861" s="201" t="s">
        <v>184</v>
      </c>
      <c r="I861" s="201"/>
      <c r="J861" s="202"/>
      <c r="K861" s="202"/>
      <c r="L861" s="202"/>
      <c r="M861" s="202"/>
      <c r="N861" s="202"/>
      <c r="O861" s="202"/>
      <c r="P861" s="202"/>
      <c r="Q861" s="202"/>
      <c r="R861" s="202"/>
      <c r="S861" s="202"/>
      <c r="T861" s="202"/>
    </row>
    <row r="862" spans="1:20" s="182" customFormat="1" ht="14.15" hidden="1">
      <c r="A862" s="222">
        <v>45348</v>
      </c>
      <c r="B862" s="201" t="s">
        <v>926</v>
      </c>
      <c r="C862" s="208" t="s">
        <v>146</v>
      </c>
      <c r="D862" s="592">
        <v>-120000</v>
      </c>
      <c r="E862" s="619">
        <v>45323</v>
      </c>
      <c r="F862" s="201" t="s">
        <v>109</v>
      </c>
      <c r="G862" s="208" t="s">
        <v>383</v>
      </c>
      <c r="H862" s="81" t="s">
        <v>138</v>
      </c>
      <c r="I862" s="201" t="s">
        <v>173</v>
      </c>
      <c r="J862" s="202"/>
      <c r="K862" s="202"/>
      <c r="L862" s="202"/>
      <c r="M862" s="202"/>
      <c r="N862" s="202"/>
      <c r="O862" s="202"/>
      <c r="P862" s="202"/>
      <c r="Q862" s="202"/>
      <c r="R862" s="202"/>
      <c r="S862" s="202"/>
      <c r="T862" s="202"/>
    </row>
    <row r="863" spans="1:20" s="182" customFormat="1" ht="14.15" hidden="1">
      <c r="A863" s="222">
        <v>45348</v>
      </c>
      <c r="B863" s="201" t="s">
        <v>927</v>
      </c>
      <c r="C863" s="208" t="s">
        <v>146</v>
      </c>
      <c r="D863" s="592">
        <v>-18000</v>
      </c>
      <c r="E863" s="619">
        <v>45323</v>
      </c>
      <c r="F863" s="201" t="s">
        <v>130</v>
      </c>
      <c r="G863" s="201" t="s">
        <v>257</v>
      </c>
      <c r="H863" s="81" t="s">
        <v>138</v>
      </c>
      <c r="I863" s="201"/>
      <c r="J863" s="202"/>
      <c r="K863" s="202"/>
      <c r="L863" s="202"/>
      <c r="M863" s="202"/>
      <c r="N863" s="202"/>
      <c r="O863" s="202"/>
      <c r="P863" s="202"/>
      <c r="Q863" s="202"/>
      <c r="R863" s="202"/>
      <c r="S863" s="202"/>
      <c r="T863" s="202"/>
    </row>
    <row r="864" spans="1:20" s="182" customFormat="1" ht="14.15" hidden="1">
      <c r="A864" s="222">
        <v>45348</v>
      </c>
      <c r="B864" s="201" t="s">
        <v>928</v>
      </c>
      <c r="C864" s="208" t="s">
        <v>146</v>
      </c>
      <c r="D864" s="592">
        <v>-240000</v>
      </c>
      <c r="E864" s="619">
        <v>45323</v>
      </c>
      <c r="F864" s="201" t="s">
        <v>109</v>
      </c>
      <c r="G864" s="208" t="s">
        <v>383</v>
      </c>
      <c r="H864" s="81" t="s">
        <v>138</v>
      </c>
      <c r="I864" s="201" t="s">
        <v>173</v>
      </c>
      <c r="J864" s="202"/>
      <c r="K864" s="202"/>
      <c r="L864" s="202"/>
      <c r="M864" s="202"/>
      <c r="N864" s="202"/>
      <c r="O864" s="202"/>
      <c r="P864" s="202"/>
      <c r="Q864" s="202"/>
      <c r="R864" s="202"/>
      <c r="S864" s="202"/>
      <c r="T864" s="202"/>
    </row>
    <row r="865" spans="1:20" s="182" customFormat="1" ht="14.15" hidden="1">
      <c r="A865" s="222">
        <v>45348</v>
      </c>
      <c r="B865" s="201" t="s">
        <v>929</v>
      </c>
      <c r="C865" s="208" t="s">
        <v>146</v>
      </c>
      <c r="D865" s="592">
        <v>-240000</v>
      </c>
      <c r="E865" s="619">
        <v>45323</v>
      </c>
      <c r="F865" s="201" t="s">
        <v>109</v>
      </c>
      <c r="G865" s="208" t="s">
        <v>383</v>
      </c>
      <c r="H865" s="81" t="s">
        <v>138</v>
      </c>
      <c r="I865" s="201" t="s">
        <v>173</v>
      </c>
      <c r="J865" s="202"/>
      <c r="K865" s="202"/>
      <c r="L865" s="202"/>
      <c r="M865" s="202"/>
      <c r="N865" s="202"/>
      <c r="O865" s="202"/>
      <c r="P865" s="202"/>
      <c r="Q865" s="202"/>
      <c r="R865" s="202"/>
      <c r="S865" s="202"/>
      <c r="T865" s="202"/>
    </row>
    <row r="866" spans="1:20" s="182" customFormat="1" ht="14.15" hidden="1">
      <c r="A866" s="222">
        <v>45348</v>
      </c>
      <c r="B866" s="201" t="s">
        <v>930</v>
      </c>
      <c r="C866" s="208" t="s">
        <v>146</v>
      </c>
      <c r="D866" s="592">
        <v>-120000</v>
      </c>
      <c r="E866" s="619">
        <v>45323</v>
      </c>
      <c r="F866" s="201" t="s">
        <v>109</v>
      </c>
      <c r="G866" s="208" t="s">
        <v>383</v>
      </c>
      <c r="H866" s="81" t="s">
        <v>138</v>
      </c>
      <c r="I866" s="201" t="s">
        <v>173</v>
      </c>
      <c r="J866" s="202"/>
      <c r="K866" s="202"/>
      <c r="L866" s="202"/>
      <c r="M866" s="202"/>
      <c r="N866" s="202"/>
      <c r="O866" s="202"/>
      <c r="P866" s="202"/>
      <c r="Q866" s="202"/>
      <c r="R866" s="202"/>
      <c r="S866" s="202"/>
      <c r="T866" s="202"/>
    </row>
    <row r="867" spans="1:20" s="182" customFormat="1" ht="14.15" hidden="1">
      <c r="A867" s="222">
        <v>45335</v>
      </c>
      <c r="B867" s="201" t="s">
        <v>931</v>
      </c>
      <c r="C867" s="208" t="s">
        <v>146</v>
      </c>
      <c r="D867" s="592">
        <v>-476000</v>
      </c>
      <c r="E867" s="619">
        <v>45323</v>
      </c>
      <c r="F867" s="201" t="s">
        <v>109</v>
      </c>
      <c r="G867" s="208" t="s">
        <v>120</v>
      </c>
      <c r="H867" s="208" t="s">
        <v>175</v>
      </c>
      <c r="I867" s="201" t="s">
        <v>566</v>
      </c>
      <c r="J867" s="202"/>
      <c r="K867" s="202"/>
      <c r="L867" s="202"/>
      <c r="M867" s="202"/>
      <c r="N867" s="202"/>
      <c r="O867" s="202"/>
      <c r="P867" s="202"/>
      <c r="Q867" s="202"/>
      <c r="R867" s="202"/>
      <c r="S867" s="202"/>
      <c r="T867" s="202"/>
    </row>
    <row r="868" spans="1:20" s="182" customFormat="1" ht="14.15" hidden="1">
      <c r="A868" s="222">
        <v>45335</v>
      </c>
      <c r="B868" s="201" t="s">
        <v>932</v>
      </c>
      <c r="C868" s="208" t="s">
        <v>146</v>
      </c>
      <c r="D868" s="592">
        <v>-50000</v>
      </c>
      <c r="E868" s="619">
        <v>45323</v>
      </c>
      <c r="F868" s="201" t="s">
        <v>109</v>
      </c>
      <c r="G868" s="208" t="s">
        <v>120</v>
      </c>
      <c r="H868" s="208" t="s">
        <v>147</v>
      </c>
      <c r="I868" s="201" t="s">
        <v>566</v>
      </c>
      <c r="J868" s="202"/>
      <c r="K868" s="202"/>
      <c r="L868" s="202"/>
      <c r="M868" s="202"/>
      <c r="N868" s="202"/>
      <c r="O868" s="202"/>
      <c r="P868" s="202"/>
      <c r="Q868" s="202"/>
      <c r="R868" s="202"/>
      <c r="S868" s="202"/>
      <c r="T868" s="202"/>
    </row>
    <row r="869" spans="1:20" s="182" customFormat="1" ht="14.15" hidden="1">
      <c r="A869" s="222">
        <v>45335</v>
      </c>
      <c r="B869" s="201" t="s">
        <v>933</v>
      </c>
      <c r="C869" s="208" t="s">
        <v>146</v>
      </c>
      <c r="D869" s="592">
        <v>-10000</v>
      </c>
      <c r="E869" s="619">
        <v>45323</v>
      </c>
      <c r="F869" s="201" t="s">
        <v>109</v>
      </c>
      <c r="G869" s="208" t="s">
        <v>120</v>
      </c>
      <c r="H869" s="208" t="s">
        <v>147</v>
      </c>
      <c r="I869" s="201" t="s">
        <v>566</v>
      </c>
      <c r="J869" s="202"/>
      <c r="K869" s="202"/>
      <c r="L869" s="202"/>
      <c r="M869" s="202"/>
      <c r="N869" s="202"/>
      <c r="O869" s="202"/>
      <c r="P869" s="202"/>
      <c r="Q869" s="202"/>
      <c r="R869" s="202"/>
      <c r="S869" s="202"/>
      <c r="T869" s="202"/>
    </row>
    <row r="870" spans="1:20" s="182" customFormat="1" ht="14.15" hidden="1">
      <c r="A870" s="222">
        <v>45335</v>
      </c>
      <c r="B870" s="201" t="s">
        <v>569</v>
      </c>
      <c r="C870" s="208" t="s">
        <v>146</v>
      </c>
      <c r="D870" s="592">
        <v>-4000</v>
      </c>
      <c r="E870" s="619">
        <v>45323</v>
      </c>
      <c r="F870" s="201" t="s">
        <v>109</v>
      </c>
      <c r="G870" s="208" t="s">
        <v>120</v>
      </c>
      <c r="H870" s="208" t="s">
        <v>147</v>
      </c>
      <c r="I870" s="201" t="s">
        <v>566</v>
      </c>
      <c r="J870" s="202"/>
      <c r="K870" s="202"/>
      <c r="L870" s="202"/>
      <c r="M870" s="202"/>
      <c r="N870" s="202"/>
      <c r="O870" s="202"/>
      <c r="P870" s="202"/>
      <c r="Q870" s="202"/>
      <c r="R870" s="202"/>
      <c r="S870" s="202"/>
      <c r="T870" s="202"/>
    </row>
    <row r="871" spans="1:20" s="182" customFormat="1" ht="14.15" hidden="1">
      <c r="A871" s="222">
        <v>45335</v>
      </c>
      <c r="B871" s="201" t="s">
        <v>934</v>
      </c>
      <c r="C871" s="208" t="s">
        <v>146</v>
      </c>
      <c r="D871" s="592">
        <v>-40000</v>
      </c>
      <c r="E871" s="619">
        <v>45323</v>
      </c>
      <c r="F871" s="201" t="s">
        <v>109</v>
      </c>
      <c r="G871" s="208" t="s">
        <v>120</v>
      </c>
      <c r="H871" s="208" t="s">
        <v>175</v>
      </c>
      <c r="I871" s="201" t="s">
        <v>566</v>
      </c>
      <c r="J871" s="202"/>
      <c r="K871" s="202"/>
      <c r="L871" s="202"/>
      <c r="M871" s="202"/>
      <c r="N871" s="202"/>
      <c r="O871" s="202"/>
      <c r="P871" s="202"/>
      <c r="Q871" s="202"/>
      <c r="R871" s="202"/>
      <c r="S871" s="202"/>
      <c r="T871" s="202"/>
    </row>
    <row r="872" spans="1:20" s="182" customFormat="1" ht="14.15" hidden="1">
      <c r="A872" s="222">
        <v>45335</v>
      </c>
      <c r="B872" s="201" t="s">
        <v>935</v>
      </c>
      <c r="C872" s="208" t="s">
        <v>146</v>
      </c>
      <c r="D872" s="592">
        <v>-90000</v>
      </c>
      <c r="E872" s="619">
        <v>45323</v>
      </c>
      <c r="F872" s="201" t="s">
        <v>109</v>
      </c>
      <c r="G872" s="208" t="s">
        <v>120</v>
      </c>
      <c r="H872" s="208" t="s">
        <v>175</v>
      </c>
      <c r="I872" s="201" t="s">
        <v>566</v>
      </c>
      <c r="J872" s="202"/>
      <c r="K872" s="202"/>
      <c r="L872" s="202"/>
      <c r="M872" s="202"/>
      <c r="N872" s="202"/>
      <c r="O872" s="202"/>
      <c r="P872" s="202"/>
      <c r="Q872" s="202"/>
      <c r="R872" s="202"/>
      <c r="S872" s="202"/>
      <c r="T872" s="202"/>
    </row>
    <row r="873" spans="1:20" s="182" customFormat="1" ht="14.15" hidden="1">
      <c r="A873" s="222">
        <v>45335</v>
      </c>
      <c r="B873" s="201" t="s">
        <v>936</v>
      </c>
      <c r="C873" s="208" t="s">
        <v>146</v>
      </c>
      <c r="D873" s="592">
        <v>-20000</v>
      </c>
      <c r="E873" s="619">
        <v>45323</v>
      </c>
      <c r="F873" s="201" t="s">
        <v>109</v>
      </c>
      <c r="G873" s="208" t="s">
        <v>120</v>
      </c>
      <c r="H873" s="208" t="s">
        <v>147</v>
      </c>
      <c r="I873" s="201" t="s">
        <v>566</v>
      </c>
      <c r="J873" s="202"/>
      <c r="K873" s="202"/>
      <c r="L873" s="202"/>
      <c r="M873" s="202"/>
      <c r="N873" s="202"/>
      <c r="O873" s="202"/>
      <c r="P873" s="202"/>
      <c r="Q873" s="202"/>
      <c r="R873" s="202"/>
      <c r="S873" s="202"/>
      <c r="T873" s="202"/>
    </row>
    <row r="874" spans="1:20" s="182" customFormat="1" ht="14.15" hidden="1">
      <c r="A874" s="222">
        <v>45336</v>
      </c>
      <c r="B874" s="201" t="s">
        <v>567</v>
      </c>
      <c r="C874" s="208" t="s">
        <v>146</v>
      </c>
      <c r="D874" s="592">
        <v>-6000</v>
      </c>
      <c r="E874" s="619">
        <v>45323</v>
      </c>
      <c r="F874" s="201" t="s">
        <v>109</v>
      </c>
      <c r="G874" s="208" t="s">
        <v>120</v>
      </c>
      <c r="H874" s="208" t="s">
        <v>147</v>
      </c>
      <c r="I874" s="201" t="s">
        <v>566</v>
      </c>
      <c r="J874" s="202"/>
      <c r="K874" s="202"/>
      <c r="L874" s="202"/>
      <c r="M874" s="202"/>
      <c r="N874" s="202"/>
      <c r="O874" s="202"/>
      <c r="P874" s="202"/>
      <c r="Q874" s="202"/>
      <c r="R874" s="202"/>
      <c r="S874" s="202"/>
      <c r="T874" s="202"/>
    </row>
    <row r="875" spans="1:20" s="182" customFormat="1" ht="14.15" hidden="1">
      <c r="A875" s="222">
        <v>45336</v>
      </c>
      <c r="B875" s="201" t="s">
        <v>616</v>
      </c>
      <c r="C875" s="208" t="s">
        <v>146</v>
      </c>
      <c r="D875" s="592">
        <v>-154062</v>
      </c>
      <c r="E875" s="619">
        <v>45323</v>
      </c>
      <c r="F875" s="201" t="s">
        <v>109</v>
      </c>
      <c r="G875" s="208" t="s">
        <v>120</v>
      </c>
      <c r="H875" s="201"/>
      <c r="I875" s="201" t="s">
        <v>566</v>
      </c>
      <c r="J875" s="202"/>
      <c r="K875" s="202"/>
      <c r="L875" s="202"/>
      <c r="M875" s="202"/>
      <c r="N875" s="202"/>
      <c r="O875" s="202"/>
      <c r="P875" s="202"/>
      <c r="Q875" s="202"/>
      <c r="R875" s="202"/>
      <c r="S875" s="202"/>
      <c r="T875" s="202"/>
    </row>
    <row r="876" spans="1:20" s="182" customFormat="1" ht="14.15" hidden="1">
      <c r="A876" s="222">
        <v>45336</v>
      </c>
      <c r="B876" s="201" t="s">
        <v>937</v>
      </c>
      <c r="C876" s="208" t="s">
        <v>146</v>
      </c>
      <c r="D876" s="592">
        <v>-6000</v>
      </c>
      <c r="E876" s="619">
        <v>45323</v>
      </c>
      <c r="F876" s="201" t="s">
        <v>109</v>
      </c>
      <c r="G876" s="208" t="s">
        <v>120</v>
      </c>
      <c r="H876" s="208" t="s">
        <v>175</v>
      </c>
      <c r="I876" s="201" t="s">
        <v>566</v>
      </c>
      <c r="J876" s="202"/>
      <c r="K876" s="202"/>
      <c r="L876" s="202"/>
      <c r="M876" s="202"/>
      <c r="N876" s="202"/>
      <c r="O876" s="202"/>
      <c r="P876" s="202"/>
      <c r="Q876" s="202"/>
      <c r="R876" s="202"/>
      <c r="S876" s="202"/>
      <c r="T876" s="202"/>
    </row>
    <row r="877" spans="1:20" s="182" customFormat="1" ht="14.15" hidden="1">
      <c r="A877" s="222">
        <v>45336</v>
      </c>
      <c r="B877" s="201" t="s">
        <v>569</v>
      </c>
      <c r="C877" s="208" t="s">
        <v>146</v>
      </c>
      <c r="D877" s="592">
        <v>-3000</v>
      </c>
      <c r="E877" s="619">
        <v>45323</v>
      </c>
      <c r="F877" s="201" t="s">
        <v>109</v>
      </c>
      <c r="G877" s="208" t="s">
        <v>120</v>
      </c>
      <c r="H877" s="208" t="s">
        <v>147</v>
      </c>
      <c r="I877" s="201" t="s">
        <v>566</v>
      </c>
      <c r="J877" s="202"/>
      <c r="K877" s="202"/>
      <c r="L877" s="202"/>
      <c r="M877" s="202"/>
      <c r="N877" s="202"/>
      <c r="O877" s="202"/>
      <c r="P877" s="202"/>
      <c r="Q877" s="202"/>
      <c r="R877" s="202"/>
      <c r="S877" s="202"/>
      <c r="T877" s="202"/>
    </row>
    <row r="878" spans="1:20" s="182" customFormat="1" ht="14.15" hidden="1">
      <c r="A878" s="222">
        <v>45336</v>
      </c>
      <c r="B878" s="201" t="s">
        <v>938</v>
      </c>
      <c r="C878" s="208" t="s">
        <v>146</v>
      </c>
      <c r="D878" s="592">
        <v>-10000</v>
      </c>
      <c r="E878" s="619">
        <v>45323</v>
      </c>
      <c r="F878" s="201" t="s">
        <v>109</v>
      </c>
      <c r="G878" s="208" t="s">
        <v>120</v>
      </c>
      <c r="H878" s="208" t="s">
        <v>175</v>
      </c>
      <c r="I878" s="201" t="s">
        <v>566</v>
      </c>
      <c r="J878" s="202"/>
      <c r="K878" s="202"/>
      <c r="L878" s="202"/>
      <c r="M878" s="202"/>
      <c r="N878" s="202"/>
      <c r="O878" s="202"/>
      <c r="P878" s="202"/>
      <c r="Q878" s="202"/>
      <c r="R878" s="202"/>
      <c r="S878" s="202"/>
      <c r="T878" s="202"/>
    </row>
    <row r="879" spans="1:20" s="182" customFormat="1" ht="14.15" hidden="1">
      <c r="A879" s="222">
        <v>45337</v>
      </c>
      <c r="B879" s="201" t="s">
        <v>939</v>
      </c>
      <c r="C879" s="208" t="s">
        <v>146</v>
      </c>
      <c r="D879" s="592">
        <v>-120000</v>
      </c>
      <c r="E879" s="619">
        <v>45323</v>
      </c>
      <c r="F879" s="201" t="s">
        <v>109</v>
      </c>
      <c r="G879" s="208" t="s">
        <v>120</v>
      </c>
      <c r="H879" s="208" t="s">
        <v>175</v>
      </c>
      <c r="I879" s="201" t="s">
        <v>566</v>
      </c>
      <c r="J879" s="202"/>
      <c r="K879" s="202"/>
      <c r="L879" s="202"/>
      <c r="M879" s="202"/>
      <c r="N879" s="202"/>
      <c r="O879" s="202"/>
      <c r="P879" s="202"/>
      <c r="Q879" s="202"/>
      <c r="R879" s="202"/>
      <c r="S879" s="202"/>
      <c r="T879" s="202"/>
    </row>
    <row r="880" spans="1:20" s="182" customFormat="1" ht="14.15" hidden="1">
      <c r="A880" s="222">
        <v>45337</v>
      </c>
      <c r="B880" s="201" t="s">
        <v>940</v>
      </c>
      <c r="C880" s="208" t="s">
        <v>146</v>
      </c>
      <c r="D880" s="592">
        <v>-80000</v>
      </c>
      <c r="E880" s="619">
        <v>45323</v>
      </c>
      <c r="F880" s="201" t="s">
        <v>109</v>
      </c>
      <c r="G880" s="208" t="s">
        <v>120</v>
      </c>
      <c r="H880" s="208" t="s">
        <v>147</v>
      </c>
      <c r="I880" s="201" t="s">
        <v>566</v>
      </c>
      <c r="J880" s="202"/>
      <c r="K880" s="202"/>
      <c r="L880" s="202"/>
      <c r="M880" s="202"/>
      <c r="N880" s="202"/>
      <c r="O880" s="202"/>
      <c r="P880" s="202"/>
      <c r="Q880" s="202"/>
      <c r="R880" s="202"/>
      <c r="S880" s="202"/>
      <c r="T880" s="202"/>
    </row>
    <row r="881" spans="1:20" s="182" customFormat="1" ht="14.15" hidden="1">
      <c r="A881" s="222">
        <v>45337</v>
      </c>
      <c r="B881" s="201" t="s">
        <v>941</v>
      </c>
      <c r="C881" s="208" t="s">
        <v>146</v>
      </c>
      <c r="D881" s="592">
        <v>-80000</v>
      </c>
      <c r="E881" s="619">
        <v>45323</v>
      </c>
      <c r="F881" s="201" t="s">
        <v>109</v>
      </c>
      <c r="G881" s="208" t="s">
        <v>120</v>
      </c>
      <c r="H881" s="81" t="s">
        <v>138</v>
      </c>
      <c r="I881" s="201" t="s">
        <v>566</v>
      </c>
      <c r="J881" s="202"/>
      <c r="K881" s="202"/>
      <c r="L881" s="202"/>
      <c r="M881" s="202"/>
      <c r="N881" s="202"/>
      <c r="O881" s="202"/>
      <c r="P881" s="202"/>
      <c r="Q881" s="202"/>
      <c r="R881" s="202"/>
      <c r="S881" s="202"/>
      <c r="T881" s="202"/>
    </row>
    <row r="882" spans="1:20" s="182" customFormat="1" ht="14.15" hidden="1">
      <c r="A882" s="222">
        <v>45337</v>
      </c>
      <c r="B882" s="201" t="s">
        <v>569</v>
      </c>
      <c r="C882" s="208" t="s">
        <v>146</v>
      </c>
      <c r="D882" s="592">
        <v>-3000</v>
      </c>
      <c r="E882" s="619">
        <v>45323</v>
      </c>
      <c r="F882" s="201" t="s">
        <v>109</v>
      </c>
      <c r="G882" s="208" t="s">
        <v>120</v>
      </c>
      <c r="H882" s="208" t="s">
        <v>147</v>
      </c>
      <c r="I882" s="201" t="s">
        <v>566</v>
      </c>
      <c r="J882" s="202"/>
      <c r="K882" s="202"/>
      <c r="L882" s="202"/>
      <c r="M882" s="202"/>
      <c r="N882" s="202"/>
      <c r="O882" s="202"/>
      <c r="P882" s="202"/>
      <c r="Q882" s="202"/>
      <c r="R882" s="202"/>
      <c r="S882" s="202"/>
      <c r="T882" s="202"/>
    </row>
    <row r="883" spans="1:20" s="182" customFormat="1" ht="14.15" hidden="1">
      <c r="A883" s="222">
        <v>45338</v>
      </c>
      <c r="B883" s="201" t="s">
        <v>567</v>
      </c>
      <c r="C883" s="208" t="s">
        <v>146</v>
      </c>
      <c r="D883" s="592">
        <v>-6000</v>
      </c>
      <c r="E883" s="619">
        <v>45323</v>
      </c>
      <c r="F883" s="201" t="s">
        <v>109</v>
      </c>
      <c r="G883" s="208" t="s">
        <v>120</v>
      </c>
      <c r="H883" s="208" t="s">
        <v>147</v>
      </c>
      <c r="I883" s="201" t="s">
        <v>566</v>
      </c>
      <c r="J883" s="202"/>
      <c r="K883" s="202"/>
      <c r="L883" s="202"/>
      <c r="M883" s="202"/>
      <c r="N883" s="202"/>
      <c r="O883" s="202"/>
      <c r="P883" s="202"/>
      <c r="Q883" s="202"/>
      <c r="R883" s="202"/>
      <c r="S883" s="202"/>
      <c r="T883" s="202"/>
    </row>
    <row r="884" spans="1:20" s="182" customFormat="1" ht="14.15" hidden="1">
      <c r="A884" s="222">
        <v>45338</v>
      </c>
      <c r="B884" s="201" t="s">
        <v>614</v>
      </c>
      <c r="C884" s="208" t="s">
        <v>146</v>
      </c>
      <c r="D884" s="592">
        <v>-120000</v>
      </c>
      <c r="E884" s="619">
        <v>45323</v>
      </c>
      <c r="F884" s="201" t="s">
        <v>109</v>
      </c>
      <c r="G884" s="208" t="s">
        <v>120</v>
      </c>
      <c r="H884" s="81" t="s">
        <v>138</v>
      </c>
      <c r="I884" s="201" t="s">
        <v>566</v>
      </c>
      <c r="J884" s="202"/>
      <c r="K884" s="202"/>
      <c r="L884" s="202"/>
      <c r="M884" s="202"/>
      <c r="N884" s="202"/>
      <c r="O884" s="202"/>
      <c r="P884" s="202"/>
      <c r="Q884" s="202"/>
      <c r="R884" s="202"/>
      <c r="S884" s="202"/>
      <c r="T884" s="202"/>
    </row>
    <row r="885" spans="1:20" s="182" customFormat="1" ht="14.15" hidden="1">
      <c r="A885" s="222">
        <v>45338</v>
      </c>
      <c r="B885" s="201" t="s">
        <v>932</v>
      </c>
      <c r="C885" s="208" t="s">
        <v>146</v>
      </c>
      <c r="D885" s="592">
        <v>-60000</v>
      </c>
      <c r="E885" s="619">
        <v>45323</v>
      </c>
      <c r="F885" s="201" t="s">
        <v>109</v>
      </c>
      <c r="G885" s="208" t="s">
        <v>120</v>
      </c>
      <c r="H885" s="208" t="s">
        <v>147</v>
      </c>
      <c r="I885" s="201" t="s">
        <v>566</v>
      </c>
      <c r="J885" s="202"/>
      <c r="K885" s="202"/>
      <c r="L885" s="202"/>
      <c r="M885" s="202"/>
      <c r="N885" s="202"/>
      <c r="O885" s="202"/>
      <c r="P885" s="202"/>
      <c r="Q885" s="202"/>
      <c r="R885" s="202"/>
      <c r="S885" s="202"/>
      <c r="T885" s="202"/>
    </row>
    <row r="886" spans="1:20" s="182" customFormat="1" ht="14.15" hidden="1">
      <c r="A886" s="222">
        <v>45338</v>
      </c>
      <c r="B886" s="201" t="s">
        <v>942</v>
      </c>
      <c r="C886" s="208" t="s">
        <v>146</v>
      </c>
      <c r="D886" s="592">
        <v>-28000</v>
      </c>
      <c r="E886" s="619">
        <v>45323</v>
      </c>
      <c r="F886" s="201" t="s">
        <v>109</v>
      </c>
      <c r="G886" s="208" t="s">
        <v>120</v>
      </c>
      <c r="H886" s="208" t="s">
        <v>175</v>
      </c>
      <c r="I886" s="201" t="s">
        <v>566</v>
      </c>
      <c r="J886" s="202"/>
      <c r="K886" s="202"/>
      <c r="L886" s="202"/>
      <c r="M886" s="202"/>
      <c r="N886" s="202"/>
      <c r="O886" s="202"/>
      <c r="P886" s="202"/>
      <c r="Q886" s="202"/>
      <c r="R886" s="202"/>
      <c r="S886" s="202"/>
      <c r="T886" s="202"/>
    </row>
    <row r="887" spans="1:20" s="182" customFormat="1" ht="14.15" hidden="1">
      <c r="A887" s="222">
        <v>45338</v>
      </c>
      <c r="B887" s="201" t="s">
        <v>943</v>
      </c>
      <c r="C887" s="208" t="s">
        <v>146</v>
      </c>
      <c r="D887" s="592">
        <v>-15000</v>
      </c>
      <c r="E887" s="619">
        <v>45323</v>
      </c>
      <c r="F887" s="201" t="s">
        <v>109</v>
      </c>
      <c r="G887" s="208" t="s">
        <v>120</v>
      </c>
      <c r="H887" s="201" t="s">
        <v>323</v>
      </c>
      <c r="I887" s="201" t="s">
        <v>566</v>
      </c>
      <c r="J887" s="202"/>
      <c r="K887" s="202"/>
      <c r="L887" s="202"/>
      <c r="M887" s="202"/>
      <c r="N887" s="202"/>
      <c r="O887" s="202"/>
      <c r="P887" s="202"/>
      <c r="Q887" s="202"/>
      <c r="R887" s="202"/>
      <c r="S887" s="202"/>
      <c r="T887" s="202"/>
    </row>
    <row r="888" spans="1:20" s="182" customFormat="1" ht="14.15" hidden="1">
      <c r="A888" s="222">
        <v>45338</v>
      </c>
      <c r="B888" s="201" t="s">
        <v>944</v>
      </c>
      <c r="C888" s="208" t="s">
        <v>146</v>
      </c>
      <c r="D888" s="592">
        <v>-16000</v>
      </c>
      <c r="E888" s="619">
        <v>45323</v>
      </c>
      <c r="F888" s="201" t="s">
        <v>109</v>
      </c>
      <c r="G888" s="208" t="s">
        <v>120</v>
      </c>
      <c r="H888" s="208" t="s">
        <v>175</v>
      </c>
      <c r="I888" s="201" t="s">
        <v>566</v>
      </c>
      <c r="J888" s="202"/>
      <c r="K888" s="202"/>
      <c r="L888" s="202"/>
      <c r="M888" s="202"/>
      <c r="N888" s="202"/>
      <c r="O888" s="202"/>
      <c r="P888" s="202"/>
      <c r="Q888" s="202"/>
      <c r="R888" s="202"/>
      <c r="S888" s="202"/>
      <c r="T888" s="202"/>
    </row>
    <row r="889" spans="1:20" s="182" customFormat="1" ht="14.15" hidden="1">
      <c r="A889" s="222">
        <v>45339</v>
      </c>
      <c r="B889" s="201" t="s">
        <v>945</v>
      </c>
      <c r="C889" s="208" t="s">
        <v>146</v>
      </c>
      <c r="D889" s="592">
        <v>-12900</v>
      </c>
      <c r="E889" s="619">
        <v>45323</v>
      </c>
      <c r="F889" s="201" t="s">
        <v>109</v>
      </c>
      <c r="G889" s="208" t="s">
        <v>120</v>
      </c>
      <c r="H889" s="81" t="s">
        <v>138</v>
      </c>
      <c r="I889" s="201" t="s">
        <v>566</v>
      </c>
      <c r="J889" s="202"/>
      <c r="K889" s="202"/>
      <c r="L889" s="202"/>
      <c r="M889" s="202"/>
      <c r="N889" s="202"/>
      <c r="O889" s="202"/>
      <c r="P889" s="202"/>
      <c r="Q889" s="202"/>
      <c r="R889" s="202"/>
      <c r="S889" s="202"/>
      <c r="T889" s="202"/>
    </row>
    <row r="890" spans="1:20" s="182" customFormat="1" ht="14.15" hidden="1">
      <c r="A890" s="222">
        <v>45339</v>
      </c>
      <c r="B890" s="201" t="s">
        <v>946</v>
      </c>
      <c r="C890" s="208" t="s">
        <v>146</v>
      </c>
      <c r="D890" s="592">
        <v>-70000</v>
      </c>
      <c r="E890" s="619">
        <v>45323</v>
      </c>
      <c r="F890" s="201" t="s">
        <v>109</v>
      </c>
      <c r="G890" s="208" t="s">
        <v>120</v>
      </c>
      <c r="H890" s="208" t="s">
        <v>147</v>
      </c>
      <c r="I890" s="201" t="s">
        <v>566</v>
      </c>
      <c r="J890" s="202"/>
      <c r="K890" s="202"/>
      <c r="L890" s="202"/>
      <c r="M890" s="202"/>
      <c r="N890" s="202"/>
      <c r="O890" s="202"/>
      <c r="P890" s="202"/>
      <c r="Q890" s="202"/>
      <c r="R890" s="202"/>
      <c r="S890" s="202"/>
      <c r="T890" s="202"/>
    </row>
    <row r="891" spans="1:20" s="182" customFormat="1" ht="14.15" hidden="1">
      <c r="A891" s="222">
        <v>45339</v>
      </c>
      <c r="B891" s="201" t="s">
        <v>947</v>
      </c>
      <c r="C891" s="208" t="s">
        <v>146</v>
      </c>
      <c r="D891" s="592">
        <v>-12000</v>
      </c>
      <c r="E891" s="619">
        <v>45323</v>
      </c>
      <c r="F891" s="201" t="s">
        <v>109</v>
      </c>
      <c r="G891" s="208" t="s">
        <v>120</v>
      </c>
      <c r="H891" s="81" t="s">
        <v>138</v>
      </c>
      <c r="I891" s="201" t="s">
        <v>566</v>
      </c>
      <c r="J891" s="202"/>
      <c r="K891" s="202"/>
      <c r="L891" s="202"/>
      <c r="M891" s="202"/>
      <c r="N891" s="202"/>
      <c r="O891" s="202"/>
      <c r="P891" s="202"/>
      <c r="Q891" s="202"/>
      <c r="R891" s="202"/>
      <c r="S891" s="202"/>
      <c r="T891" s="202"/>
    </row>
    <row r="892" spans="1:20" s="182" customFormat="1" ht="14.15" hidden="1">
      <c r="A892" s="222">
        <v>45341</v>
      </c>
      <c r="B892" s="201" t="s">
        <v>948</v>
      </c>
      <c r="C892" s="208" t="s">
        <v>146</v>
      </c>
      <c r="D892" s="592">
        <v>-20000</v>
      </c>
      <c r="E892" s="619">
        <v>45323</v>
      </c>
      <c r="F892" s="201" t="s">
        <v>109</v>
      </c>
      <c r="G892" s="208" t="s">
        <v>120</v>
      </c>
      <c r="H892" s="81" t="s">
        <v>138</v>
      </c>
      <c r="I892" s="201" t="s">
        <v>566</v>
      </c>
      <c r="J892" s="202"/>
      <c r="K892" s="202"/>
      <c r="L892" s="202"/>
      <c r="M892" s="202"/>
      <c r="N892" s="202"/>
      <c r="O892" s="202"/>
      <c r="P892" s="202"/>
      <c r="Q892" s="202"/>
      <c r="R892" s="202"/>
      <c r="S892" s="202"/>
      <c r="T892" s="202"/>
    </row>
    <row r="893" spans="1:20" s="182" customFormat="1" ht="14.15" hidden="1">
      <c r="A893" s="222">
        <v>45341</v>
      </c>
      <c r="B893" s="201" t="s">
        <v>949</v>
      </c>
      <c r="C893" s="208" t="s">
        <v>146</v>
      </c>
      <c r="D893" s="592">
        <v>-14000</v>
      </c>
      <c r="E893" s="619">
        <v>45323</v>
      </c>
      <c r="F893" s="201" t="s">
        <v>109</v>
      </c>
      <c r="G893" s="208" t="s">
        <v>120</v>
      </c>
      <c r="H893" s="201"/>
      <c r="I893" s="201" t="s">
        <v>566</v>
      </c>
      <c r="J893" s="202"/>
      <c r="K893" s="202"/>
      <c r="L893" s="202"/>
      <c r="M893" s="202"/>
      <c r="N893" s="202"/>
      <c r="O893" s="202"/>
      <c r="P893" s="202"/>
      <c r="Q893" s="202"/>
      <c r="R893" s="202"/>
      <c r="S893" s="202"/>
      <c r="T893" s="202"/>
    </row>
    <row r="894" spans="1:20" s="182" customFormat="1" ht="14.15" hidden="1">
      <c r="A894" s="222">
        <v>45341</v>
      </c>
      <c r="B894" s="201" t="s">
        <v>950</v>
      </c>
      <c r="C894" s="208" t="s">
        <v>146</v>
      </c>
      <c r="D894" s="592">
        <v>-145000</v>
      </c>
      <c r="E894" s="619">
        <v>45323</v>
      </c>
      <c r="F894" s="201" t="s">
        <v>109</v>
      </c>
      <c r="G894" s="208" t="s">
        <v>120</v>
      </c>
      <c r="H894" s="201"/>
      <c r="I894" s="201" t="s">
        <v>566</v>
      </c>
      <c r="J894" s="202"/>
      <c r="K894" s="202"/>
      <c r="L894" s="202"/>
      <c r="M894" s="202"/>
      <c r="N894" s="202"/>
      <c r="O894" s="202"/>
      <c r="P894" s="202"/>
      <c r="Q894" s="202"/>
      <c r="R894" s="202"/>
      <c r="S894" s="202"/>
      <c r="T894" s="202"/>
    </row>
    <row r="895" spans="1:20" s="182" customFormat="1" ht="14.15" hidden="1">
      <c r="A895" s="222">
        <v>45349</v>
      </c>
      <c r="B895" s="201" t="s">
        <v>951</v>
      </c>
      <c r="C895" s="208" t="s">
        <v>146</v>
      </c>
      <c r="D895" s="592">
        <v>-15000</v>
      </c>
      <c r="E895" s="619">
        <v>45323</v>
      </c>
      <c r="F895" s="201" t="s">
        <v>109</v>
      </c>
      <c r="G895" s="208" t="s">
        <v>383</v>
      </c>
      <c r="H895" s="81" t="s">
        <v>138</v>
      </c>
      <c r="I895" s="201" t="s">
        <v>173</v>
      </c>
      <c r="J895" s="202"/>
      <c r="K895" s="202"/>
      <c r="L895" s="202"/>
      <c r="M895" s="202"/>
      <c r="N895" s="202"/>
      <c r="O895" s="202"/>
      <c r="P895" s="202"/>
      <c r="Q895" s="202"/>
      <c r="R895" s="202"/>
      <c r="S895" s="202"/>
      <c r="T895" s="202"/>
    </row>
    <row r="896" spans="1:20" s="182" customFormat="1" ht="14.15" hidden="1">
      <c r="A896" s="222">
        <v>45349</v>
      </c>
      <c r="B896" s="201" t="s">
        <v>951</v>
      </c>
      <c r="C896" s="208" t="s">
        <v>146</v>
      </c>
      <c r="D896" s="592">
        <v>-104000</v>
      </c>
      <c r="E896" s="619">
        <v>45323</v>
      </c>
      <c r="F896" s="291" t="s">
        <v>110</v>
      </c>
      <c r="G896" s="208" t="s">
        <v>450</v>
      </c>
      <c r="H896" s="81" t="s">
        <v>138</v>
      </c>
      <c r="I896" s="201" t="s">
        <v>173</v>
      </c>
      <c r="J896" s="202"/>
      <c r="K896" s="202"/>
      <c r="L896" s="202"/>
      <c r="M896" s="202"/>
      <c r="N896" s="202"/>
      <c r="O896" s="202"/>
      <c r="P896" s="202"/>
      <c r="Q896" s="202"/>
      <c r="R896" s="202"/>
      <c r="S896" s="202"/>
      <c r="T896" s="202"/>
    </row>
    <row r="897" spans="1:20" s="182" customFormat="1" ht="14.15" hidden="1">
      <c r="A897" s="222">
        <v>45349</v>
      </c>
      <c r="B897" s="201" t="s">
        <v>951</v>
      </c>
      <c r="C897" s="208" t="s">
        <v>146</v>
      </c>
      <c r="D897" s="592">
        <v>-21000</v>
      </c>
      <c r="E897" s="619">
        <v>45323</v>
      </c>
      <c r="F897" s="201" t="s">
        <v>130</v>
      </c>
      <c r="G897" s="201" t="s">
        <v>130</v>
      </c>
      <c r="H897" s="81" t="s">
        <v>138</v>
      </c>
      <c r="I897" s="201" t="s">
        <v>173</v>
      </c>
      <c r="J897" s="202"/>
      <c r="K897" s="202"/>
      <c r="L897" s="202"/>
      <c r="M897" s="202"/>
      <c r="N897" s="202"/>
      <c r="O897" s="202"/>
      <c r="P897" s="202"/>
      <c r="Q897" s="202"/>
      <c r="R897" s="202"/>
      <c r="S897" s="202"/>
      <c r="T897" s="202"/>
    </row>
    <row r="898" spans="1:20" s="182" customFormat="1" ht="14.15" hidden="1">
      <c r="A898" s="222">
        <v>45348</v>
      </c>
      <c r="B898" s="201" t="s">
        <v>952</v>
      </c>
      <c r="C898" s="208" t="s">
        <v>146</v>
      </c>
      <c r="D898" s="592">
        <v>70000</v>
      </c>
      <c r="E898" s="619">
        <v>45323</v>
      </c>
      <c r="F898" s="291" t="s">
        <v>110</v>
      </c>
      <c r="G898" s="208" t="s">
        <v>450</v>
      </c>
      <c r="H898" s="201" t="s">
        <v>310</v>
      </c>
      <c r="I898" s="201"/>
      <c r="J898" s="202"/>
      <c r="K898" s="202"/>
      <c r="L898" s="202"/>
      <c r="M898" s="202"/>
      <c r="N898" s="202"/>
      <c r="O898" s="202"/>
      <c r="P898" s="202"/>
      <c r="Q898" s="202"/>
      <c r="R898" s="202"/>
      <c r="S898" s="202"/>
      <c r="T898" s="202"/>
    </row>
    <row r="899" spans="1:20" s="182" customFormat="1" ht="14.15" hidden="1">
      <c r="A899" s="222">
        <v>45349</v>
      </c>
      <c r="B899" s="201" t="s">
        <v>953</v>
      </c>
      <c r="C899" s="208" t="s">
        <v>146</v>
      </c>
      <c r="D899" s="592">
        <v>-13000</v>
      </c>
      <c r="E899" s="619">
        <v>45323</v>
      </c>
      <c r="F899" s="291" t="s">
        <v>110</v>
      </c>
      <c r="G899" s="208" t="s">
        <v>450</v>
      </c>
      <c r="H899" s="81" t="s">
        <v>138</v>
      </c>
      <c r="I899" s="201"/>
      <c r="J899" s="202"/>
      <c r="K899" s="202"/>
      <c r="L899" s="202"/>
      <c r="M899" s="202"/>
      <c r="N899" s="202"/>
      <c r="O899" s="202"/>
      <c r="P899" s="202"/>
      <c r="Q899" s="202"/>
      <c r="R899" s="202"/>
      <c r="S899" s="202"/>
      <c r="T899" s="202"/>
    </row>
    <row r="900" spans="1:20" s="182" customFormat="1" ht="14.15" hidden="1">
      <c r="A900" s="222">
        <v>45350</v>
      </c>
      <c r="B900" s="201" t="s">
        <v>954</v>
      </c>
      <c r="C900" s="208" t="s">
        <v>146</v>
      </c>
      <c r="D900" s="592">
        <v>-12500</v>
      </c>
      <c r="E900" s="619">
        <v>45323</v>
      </c>
      <c r="F900" s="201" t="s">
        <v>130</v>
      </c>
      <c r="G900" s="201" t="s">
        <v>257</v>
      </c>
      <c r="H900" s="81" t="s">
        <v>138</v>
      </c>
      <c r="I900" s="201"/>
      <c r="J900" s="202"/>
      <c r="K900" s="202"/>
      <c r="L900" s="202"/>
      <c r="M900" s="202"/>
      <c r="N900" s="202"/>
      <c r="O900" s="202"/>
      <c r="P900" s="202"/>
      <c r="Q900" s="202"/>
      <c r="R900" s="202"/>
      <c r="S900" s="202"/>
      <c r="T900" s="202"/>
    </row>
    <row r="901" spans="1:20" s="182" customFormat="1" ht="14.15" hidden="1">
      <c r="A901" s="222">
        <v>45343</v>
      </c>
      <c r="B901" s="201" t="s">
        <v>955</v>
      </c>
      <c r="C901" s="208" t="s">
        <v>146</v>
      </c>
      <c r="D901" s="592">
        <v>-16000</v>
      </c>
      <c r="E901" s="619">
        <v>45323</v>
      </c>
      <c r="F901" s="291" t="s">
        <v>109</v>
      </c>
      <c r="G901" s="208" t="s">
        <v>525</v>
      </c>
      <c r="H901" s="81" t="s">
        <v>138</v>
      </c>
      <c r="I901" s="201" t="s">
        <v>563</v>
      </c>
      <c r="J901" s="202"/>
      <c r="K901" s="202"/>
      <c r="L901" s="202"/>
      <c r="M901" s="202"/>
      <c r="N901" s="202"/>
      <c r="O901" s="202"/>
      <c r="P901" s="202"/>
      <c r="Q901" s="202"/>
      <c r="R901" s="202"/>
      <c r="S901" s="202"/>
      <c r="T901" s="202"/>
    </row>
    <row r="902" spans="1:20" s="182" customFormat="1" ht="14.15" hidden="1">
      <c r="A902" s="222">
        <v>45343</v>
      </c>
      <c r="B902" s="201" t="s">
        <v>955</v>
      </c>
      <c r="C902" s="208" t="s">
        <v>146</v>
      </c>
      <c r="D902" s="592">
        <v>-16000</v>
      </c>
      <c r="E902" s="619">
        <v>45323</v>
      </c>
      <c r="F902" s="291" t="s">
        <v>109</v>
      </c>
      <c r="G902" s="208" t="s">
        <v>525</v>
      </c>
      <c r="H902" s="81" t="s">
        <v>138</v>
      </c>
      <c r="I902" s="201" t="s">
        <v>563</v>
      </c>
      <c r="J902" s="202"/>
      <c r="K902" s="202"/>
      <c r="L902" s="202"/>
      <c r="M902" s="202"/>
      <c r="N902" s="202"/>
      <c r="O902" s="202"/>
      <c r="P902" s="202"/>
      <c r="Q902" s="202"/>
      <c r="R902" s="202"/>
      <c r="S902" s="202"/>
      <c r="T902" s="202"/>
    </row>
    <row r="903" spans="1:20" s="182" customFormat="1" ht="14.15" hidden="1">
      <c r="A903" s="222">
        <v>45343</v>
      </c>
      <c r="B903" s="201" t="s">
        <v>956</v>
      </c>
      <c r="C903" s="208" t="s">
        <v>146</v>
      </c>
      <c r="D903" s="592">
        <v>-8000</v>
      </c>
      <c r="E903" s="619">
        <v>45323</v>
      </c>
      <c r="F903" s="291" t="s">
        <v>109</v>
      </c>
      <c r="G903" s="208" t="s">
        <v>525</v>
      </c>
      <c r="H903" s="81" t="s">
        <v>138</v>
      </c>
      <c r="I903" s="201" t="s">
        <v>563</v>
      </c>
      <c r="J903" s="202"/>
      <c r="K903" s="202"/>
      <c r="L903" s="202"/>
      <c r="M903" s="202"/>
      <c r="N903" s="202"/>
      <c r="O903" s="202"/>
      <c r="P903" s="202"/>
      <c r="Q903" s="202"/>
      <c r="R903" s="202"/>
      <c r="S903" s="202"/>
      <c r="T903" s="202"/>
    </row>
    <row r="904" spans="1:20" s="182" customFormat="1" ht="14.15" hidden="1">
      <c r="A904" s="222">
        <v>45343</v>
      </c>
      <c r="B904" s="201" t="s">
        <v>957</v>
      </c>
      <c r="C904" s="208" t="s">
        <v>146</v>
      </c>
      <c r="D904" s="592">
        <v>-6000</v>
      </c>
      <c r="E904" s="619">
        <v>45323</v>
      </c>
      <c r="F904" s="291" t="s">
        <v>109</v>
      </c>
      <c r="G904" s="208" t="s">
        <v>525</v>
      </c>
      <c r="H904" s="81" t="s">
        <v>138</v>
      </c>
      <c r="I904" s="201" t="s">
        <v>563</v>
      </c>
      <c r="J904" s="202"/>
      <c r="K904" s="202"/>
      <c r="L904" s="202"/>
      <c r="M904" s="202"/>
      <c r="N904" s="202"/>
      <c r="O904" s="202"/>
      <c r="P904" s="202"/>
      <c r="Q904" s="202"/>
      <c r="R904" s="202"/>
      <c r="S904" s="202"/>
      <c r="T904" s="202"/>
    </row>
    <row r="905" spans="1:20" s="182" customFormat="1" ht="14.15" hidden="1">
      <c r="A905" s="222">
        <v>45343</v>
      </c>
      <c r="B905" s="201" t="s">
        <v>958</v>
      </c>
      <c r="C905" s="208" t="s">
        <v>146</v>
      </c>
      <c r="D905" s="592">
        <v>-6000</v>
      </c>
      <c r="E905" s="619">
        <v>45323</v>
      </c>
      <c r="F905" s="291" t="s">
        <v>109</v>
      </c>
      <c r="G905" s="208" t="s">
        <v>525</v>
      </c>
      <c r="H905" s="81" t="s">
        <v>138</v>
      </c>
      <c r="I905" s="201" t="s">
        <v>563</v>
      </c>
      <c r="J905" s="202"/>
      <c r="K905" s="202"/>
      <c r="L905" s="202"/>
      <c r="M905" s="202"/>
      <c r="N905" s="202"/>
      <c r="O905" s="202"/>
      <c r="P905" s="202"/>
      <c r="Q905" s="202"/>
      <c r="R905" s="202"/>
      <c r="S905" s="202"/>
      <c r="T905" s="202"/>
    </row>
    <row r="906" spans="1:20" s="182" customFormat="1" ht="14.15" hidden="1">
      <c r="A906" s="222">
        <v>45343</v>
      </c>
      <c r="B906" s="201" t="s">
        <v>959</v>
      </c>
      <c r="C906" s="208" t="s">
        <v>146</v>
      </c>
      <c r="D906" s="592">
        <v>-61500</v>
      </c>
      <c r="E906" s="619">
        <v>45323</v>
      </c>
      <c r="F906" s="291" t="s">
        <v>109</v>
      </c>
      <c r="G906" s="208" t="s">
        <v>525</v>
      </c>
      <c r="H906" s="208" t="s">
        <v>147</v>
      </c>
      <c r="I906" s="201" t="s">
        <v>563</v>
      </c>
      <c r="J906" s="202"/>
      <c r="K906" s="202"/>
      <c r="L906" s="202"/>
      <c r="M906" s="202"/>
      <c r="N906" s="202"/>
      <c r="O906" s="202"/>
      <c r="P906" s="202"/>
      <c r="Q906" s="202"/>
      <c r="R906" s="202"/>
      <c r="S906" s="202"/>
      <c r="T906" s="202"/>
    </row>
    <row r="907" spans="1:20" s="182" customFormat="1" ht="14.15" hidden="1">
      <c r="A907" s="222">
        <v>45343</v>
      </c>
      <c r="B907" s="201" t="s">
        <v>960</v>
      </c>
      <c r="C907" s="208" t="s">
        <v>146</v>
      </c>
      <c r="D907" s="592">
        <v>-16000</v>
      </c>
      <c r="E907" s="619">
        <v>45323</v>
      </c>
      <c r="F907" s="291" t="s">
        <v>109</v>
      </c>
      <c r="G907" s="208" t="s">
        <v>525</v>
      </c>
      <c r="H907" s="81" t="s">
        <v>138</v>
      </c>
      <c r="I907" s="201" t="s">
        <v>563</v>
      </c>
      <c r="J907" s="202"/>
      <c r="K907" s="202"/>
      <c r="L907" s="202"/>
      <c r="M907" s="202"/>
      <c r="N907" s="202"/>
      <c r="O907" s="202"/>
      <c r="P907" s="202"/>
      <c r="Q907" s="202"/>
      <c r="R907" s="202"/>
      <c r="S907" s="202"/>
      <c r="T907" s="202"/>
    </row>
    <row r="908" spans="1:20" s="182" customFormat="1" ht="14.15" hidden="1">
      <c r="A908" s="222">
        <v>45343</v>
      </c>
      <c r="B908" s="201" t="s">
        <v>960</v>
      </c>
      <c r="C908" s="208" t="s">
        <v>146</v>
      </c>
      <c r="D908" s="592">
        <v>-16000</v>
      </c>
      <c r="E908" s="619">
        <v>45323</v>
      </c>
      <c r="F908" s="291" t="s">
        <v>109</v>
      </c>
      <c r="G908" s="208" t="s">
        <v>525</v>
      </c>
      <c r="H908" s="81" t="s">
        <v>138</v>
      </c>
      <c r="I908" s="201" t="s">
        <v>563</v>
      </c>
      <c r="J908" s="202"/>
      <c r="K908" s="202"/>
      <c r="L908" s="202"/>
      <c r="M908" s="202"/>
      <c r="N908" s="202"/>
      <c r="O908" s="202"/>
      <c r="P908" s="202"/>
      <c r="Q908" s="202"/>
      <c r="R908" s="202"/>
      <c r="S908" s="202"/>
      <c r="T908" s="202"/>
    </row>
    <row r="909" spans="1:20" s="182" customFormat="1" ht="14.15" hidden="1">
      <c r="A909" s="222">
        <v>45343</v>
      </c>
      <c r="B909" s="201" t="s">
        <v>961</v>
      </c>
      <c r="C909" s="208" t="s">
        <v>146</v>
      </c>
      <c r="D909" s="592">
        <v>-8000</v>
      </c>
      <c r="E909" s="619">
        <v>45323</v>
      </c>
      <c r="F909" s="291" t="s">
        <v>109</v>
      </c>
      <c r="G909" s="208" t="s">
        <v>525</v>
      </c>
      <c r="H909" s="81" t="s">
        <v>138</v>
      </c>
      <c r="I909" s="201" t="s">
        <v>563</v>
      </c>
      <c r="J909" s="202"/>
      <c r="K909" s="202"/>
      <c r="L909" s="202"/>
      <c r="M909" s="202"/>
      <c r="N909" s="202"/>
      <c r="O909" s="202"/>
      <c r="P909" s="202"/>
      <c r="Q909" s="202"/>
      <c r="R909" s="202"/>
      <c r="S909" s="202"/>
      <c r="T909" s="202"/>
    </row>
    <row r="910" spans="1:20" s="182" customFormat="1" ht="14.15" hidden="1">
      <c r="A910" s="222">
        <v>45344</v>
      </c>
      <c r="B910" s="201" t="s">
        <v>962</v>
      </c>
      <c r="C910" s="208" t="s">
        <v>146</v>
      </c>
      <c r="D910" s="592">
        <v>-30000</v>
      </c>
      <c r="E910" s="619">
        <v>45323</v>
      </c>
      <c r="F910" s="291" t="s">
        <v>109</v>
      </c>
      <c r="G910" s="208" t="s">
        <v>525</v>
      </c>
      <c r="H910" s="81" t="s">
        <v>138</v>
      </c>
      <c r="I910" s="201" t="s">
        <v>563</v>
      </c>
      <c r="J910" s="202"/>
      <c r="K910" s="202"/>
      <c r="L910" s="202"/>
      <c r="M910" s="202"/>
      <c r="N910" s="202"/>
      <c r="O910" s="202"/>
      <c r="P910" s="202"/>
      <c r="Q910" s="202"/>
      <c r="R910" s="202"/>
      <c r="S910" s="202"/>
      <c r="T910" s="202"/>
    </row>
    <row r="911" spans="1:20" s="182" customFormat="1" ht="14.15" hidden="1">
      <c r="A911" s="222">
        <v>45344</v>
      </c>
      <c r="B911" s="201" t="s">
        <v>963</v>
      </c>
      <c r="C911" s="208" t="s">
        <v>146</v>
      </c>
      <c r="D911" s="592">
        <v>-2500</v>
      </c>
      <c r="E911" s="619">
        <v>45323</v>
      </c>
      <c r="F911" s="291" t="s">
        <v>110</v>
      </c>
      <c r="G911" s="208" t="s">
        <v>450</v>
      </c>
      <c r="H911" s="208" t="s">
        <v>175</v>
      </c>
      <c r="I911" s="201" t="s">
        <v>173</v>
      </c>
      <c r="J911" s="202"/>
      <c r="K911" s="202"/>
      <c r="L911" s="202"/>
      <c r="M911" s="202"/>
      <c r="N911" s="202"/>
      <c r="O911" s="202"/>
      <c r="P911" s="202"/>
      <c r="Q911" s="202"/>
      <c r="R911" s="202"/>
      <c r="S911" s="202"/>
      <c r="T911" s="202"/>
    </row>
    <row r="912" spans="1:20" s="182" customFormat="1" ht="14.15" hidden="1">
      <c r="A912" s="222">
        <v>45344</v>
      </c>
      <c r="B912" s="201" t="s">
        <v>964</v>
      </c>
      <c r="C912" s="208" t="s">
        <v>146</v>
      </c>
      <c r="D912" s="592">
        <v>-129812</v>
      </c>
      <c r="E912" s="619">
        <v>45323</v>
      </c>
      <c r="F912" s="201" t="s">
        <v>109</v>
      </c>
      <c r="G912" s="208" t="s">
        <v>383</v>
      </c>
      <c r="H912" s="208" t="s">
        <v>175</v>
      </c>
      <c r="I912" s="201" t="s">
        <v>173</v>
      </c>
      <c r="J912" s="202"/>
      <c r="K912" s="202"/>
      <c r="L912" s="202"/>
      <c r="M912" s="202"/>
      <c r="N912" s="202"/>
      <c r="O912" s="202"/>
      <c r="P912" s="202"/>
      <c r="Q912" s="202"/>
      <c r="R912" s="202"/>
      <c r="S912" s="202"/>
      <c r="T912" s="202"/>
    </row>
    <row r="913" spans="1:20" s="182" customFormat="1" ht="14.15" hidden="1">
      <c r="A913" s="222">
        <v>45344</v>
      </c>
      <c r="B913" s="201" t="s">
        <v>965</v>
      </c>
      <c r="C913" s="208" t="s">
        <v>146</v>
      </c>
      <c r="D913" s="592">
        <v>-100000</v>
      </c>
      <c r="E913" s="619">
        <v>45323</v>
      </c>
      <c r="F913" s="201" t="s">
        <v>109</v>
      </c>
      <c r="G913" s="208" t="s">
        <v>383</v>
      </c>
      <c r="H913" s="208" t="s">
        <v>175</v>
      </c>
      <c r="I913" s="201" t="s">
        <v>173</v>
      </c>
      <c r="J913" s="202"/>
      <c r="K913" s="202"/>
      <c r="L913" s="202"/>
      <c r="M913" s="202"/>
      <c r="N913" s="202"/>
      <c r="O913" s="202"/>
      <c r="P913" s="202"/>
      <c r="Q913" s="202"/>
      <c r="R913" s="202"/>
      <c r="S913" s="202"/>
      <c r="T913" s="202"/>
    </row>
    <row r="914" spans="1:20" s="182" customFormat="1" ht="14.15" hidden="1">
      <c r="A914" s="222">
        <v>45344</v>
      </c>
      <c r="B914" s="201" t="s">
        <v>966</v>
      </c>
      <c r="C914" s="208" t="s">
        <v>146</v>
      </c>
      <c r="D914" s="592">
        <v>-9000</v>
      </c>
      <c r="E914" s="212">
        <v>45323</v>
      </c>
      <c r="F914" s="291" t="s">
        <v>130</v>
      </c>
      <c r="G914" s="208" t="s">
        <v>130</v>
      </c>
      <c r="H914" s="201" t="s">
        <v>184</v>
      </c>
      <c r="I914" s="201" t="s">
        <v>173</v>
      </c>
      <c r="J914" s="202"/>
      <c r="K914" s="202"/>
      <c r="L914" s="202"/>
      <c r="M914" s="202"/>
      <c r="N914" s="202"/>
      <c r="O914" s="202"/>
      <c r="P914" s="202"/>
      <c r="Q914" s="202"/>
      <c r="R914" s="202"/>
      <c r="S914" s="202"/>
      <c r="T914" s="202"/>
    </row>
    <row r="915" spans="1:20" s="182" customFormat="1" ht="14.15" hidden="1">
      <c r="A915" s="222">
        <v>45344</v>
      </c>
      <c r="B915" s="201" t="s">
        <v>967</v>
      </c>
      <c r="C915" s="208" t="s">
        <v>146</v>
      </c>
      <c r="D915" s="592">
        <v>-40000</v>
      </c>
      <c r="E915" s="619">
        <v>45323</v>
      </c>
      <c r="F915" s="291" t="s">
        <v>110</v>
      </c>
      <c r="G915" s="208" t="s">
        <v>450</v>
      </c>
      <c r="H915" s="208" t="s">
        <v>175</v>
      </c>
      <c r="I915" s="201" t="s">
        <v>173</v>
      </c>
      <c r="J915" s="202"/>
      <c r="K915" s="202"/>
      <c r="L915" s="202"/>
      <c r="M915" s="202"/>
      <c r="N915" s="202"/>
      <c r="O915" s="202"/>
      <c r="P915" s="202"/>
      <c r="Q915" s="202"/>
      <c r="R915" s="202"/>
      <c r="S915" s="202"/>
      <c r="T915" s="202"/>
    </row>
    <row r="916" spans="1:20" s="182" customFormat="1" ht="14.15" hidden="1">
      <c r="A916" s="222">
        <v>45345</v>
      </c>
      <c r="B916" s="201" t="s">
        <v>968</v>
      </c>
      <c r="C916" s="208" t="s">
        <v>146</v>
      </c>
      <c r="D916" s="592">
        <v>-12916</v>
      </c>
      <c r="E916" s="619">
        <v>45323</v>
      </c>
      <c r="F916" s="201" t="s">
        <v>109</v>
      </c>
      <c r="G916" s="208" t="s">
        <v>383</v>
      </c>
      <c r="H916" s="208" t="s">
        <v>175</v>
      </c>
      <c r="I916" s="201" t="s">
        <v>173</v>
      </c>
      <c r="J916" s="202"/>
      <c r="K916" s="202"/>
      <c r="L916" s="202"/>
      <c r="M916" s="202"/>
      <c r="N916" s="202"/>
      <c r="O916" s="202"/>
      <c r="P916" s="202"/>
      <c r="Q916" s="202"/>
      <c r="R916" s="202"/>
      <c r="S916" s="202"/>
      <c r="T916" s="202"/>
    </row>
    <row r="917" spans="1:20" s="182" customFormat="1" ht="14.15" hidden="1">
      <c r="A917" s="222">
        <v>45349</v>
      </c>
      <c r="B917" s="201" t="s">
        <v>969</v>
      </c>
      <c r="C917" s="208" t="s">
        <v>146</v>
      </c>
      <c r="D917" s="592">
        <v>-12600</v>
      </c>
      <c r="E917" s="619">
        <v>45323</v>
      </c>
      <c r="F917" s="201" t="s">
        <v>110</v>
      </c>
      <c r="G917" s="208" t="s">
        <v>453</v>
      </c>
      <c r="H917" s="208" t="s">
        <v>175</v>
      </c>
      <c r="I917" s="201" t="s">
        <v>173</v>
      </c>
      <c r="J917" s="202"/>
      <c r="K917" s="202"/>
      <c r="L917" s="202"/>
      <c r="M917" s="202"/>
      <c r="N917" s="202"/>
      <c r="O917" s="202"/>
      <c r="P917" s="202"/>
      <c r="Q917" s="202"/>
      <c r="R917" s="202"/>
      <c r="S917" s="202"/>
      <c r="T917" s="202"/>
    </row>
    <row r="918" spans="1:20" s="182" customFormat="1" ht="14.15" hidden="1">
      <c r="A918" s="222">
        <v>45344</v>
      </c>
      <c r="B918" s="201" t="s">
        <v>970</v>
      </c>
      <c r="C918" s="208" t="s">
        <v>146</v>
      </c>
      <c r="D918" s="592">
        <v>-25000</v>
      </c>
      <c r="E918" s="212">
        <v>45323</v>
      </c>
      <c r="F918" s="291" t="s">
        <v>130</v>
      </c>
      <c r="G918" s="208" t="s">
        <v>130</v>
      </c>
      <c r="H918" s="201" t="s">
        <v>184</v>
      </c>
      <c r="I918" s="201" t="s">
        <v>173</v>
      </c>
      <c r="J918" s="202"/>
      <c r="K918" s="202"/>
      <c r="L918" s="202"/>
      <c r="M918" s="202"/>
      <c r="N918" s="202"/>
      <c r="O918" s="202"/>
      <c r="P918" s="202"/>
      <c r="Q918" s="202"/>
      <c r="R918" s="202"/>
      <c r="S918" s="202"/>
      <c r="T918" s="202"/>
    </row>
    <row r="919" spans="1:20" s="182" customFormat="1" ht="14.15" hidden="1">
      <c r="A919" s="222">
        <v>45348</v>
      </c>
      <c r="B919" s="201" t="s">
        <v>971</v>
      </c>
      <c r="C919" s="208" t="s">
        <v>146</v>
      </c>
      <c r="D919" s="592">
        <v>-6000</v>
      </c>
      <c r="E919" s="619">
        <v>45323</v>
      </c>
      <c r="F919" s="291" t="s">
        <v>110</v>
      </c>
      <c r="G919" s="208" t="s">
        <v>450</v>
      </c>
      <c r="H919" s="81" t="s">
        <v>138</v>
      </c>
      <c r="I919" s="201" t="s">
        <v>173</v>
      </c>
      <c r="J919" s="202"/>
      <c r="K919" s="202"/>
      <c r="L919" s="202"/>
      <c r="M919" s="202"/>
      <c r="N919" s="202"/>
      <c r="O919" s="202"/>
      <c r="P919" s="202"/>
      <c r="Q919" s="202"/>
      <c r="R919" s="202"/>
      <c r="S919" s="202"/>
      <c r="T919" s="202"/>
    </row>
    <row r="920" spans="1:20" s="182" customFormat="1" ht="14.15" hidden="1">
      <c r="A920" s="222">
        <v>45348</v>
      </c>
      <c r="B920" s="201" t="s">
        <v>972</v>
      </c>
      <c r="C920" s="208" t="s">
        <v>146</v>
      </c>
      <c r="D920" s="592">
        <v>-5000</v>
      </c>
      <c r="E920" s="619">
        <v>45323</v>
      </c>
      <c r="F920" s="201" t="s">
        <v>109</v>
      </c>
      <c r="G920" s="208" t="s">
        <v>383</v>
      </c>
      <c r="H920" s="81" t="s">
        <v>138</v>
      </c>
      <c r="I920" s="201" t="s">
        <v>173</v>
      </c>
      <c r="J920" s="202"/>
      <c r="K920" s="202"/>
      <c r="L920" s="202"/>
      <c r="M920" s="202"/>
      <c r="N920" s="202"/>
      <c r="O920" s="202"/>
      <c r="P920" s="202"/>
      <c r="Q920" s="202"/>
      <c r="R920" s="202"/>
      <c r="S920" s="202"/>
      <c r="T920" s="202"/>
    </row>
    <row r="921" spans="1:20" s="182" customFormat="1" ht="14.15" hidden="1">
      <c r="A921" s="222">
        <v>45349</v>
      </c>
      <c r="B921" s="201" t="s">
        <v>973</v>
      </c>
      <c r="C921" s="208" t="s">
        <v>146</v>
      </c>
      <c r="D921" s="592">
        <v>-25000</v>
      </c>
      <c r="E921" s="619">
        <v>45323</v>
      </c>
      <c r="F921" s="201" t="s">
        <v>110</v>
      </c>
      <c r="G921" s="208" t="s">
        <v>453</v>
      </c>
      <c r="H921" s="81" t="s">
        <v>138</v>
      </c>
      <c r="I921" s="201" t="s">
        <v>173</v>
      </c>
      <c r="J921" s="202"/>
      <c r="K921" s="202"/>
      <c r="L921" s="202"/>
      <c r="M921" s="202"/>
      <c r="N921" s="202"/>
      <c r="O921" s="202"/>
      <c r="P921" s="202"/>
      <c r="Q921" s="202"/>
      <c r="R921" s="202"/>
      <c r="S921" s="202"/>
      <c r="T921" s="202"/>
    </row>
    <row r="922" spans="1:20" s="182" customFormat="1" ht="14.15" hidden="1">
      <c r="A922" s="222">
        <v>45349</v>
      </c>
      <c r="B922" s="201" t="s">
        <v>973</v>
      </c>
      <c r="C922" s="208" t="s">
        <v>146</v>
      </c>
      <c r="D922" s="592">
        <v>-25000</v>
      </c>
      <c r="E922" s="619">
        <v>45323</v>
      </c>
      <c r="F922" s="201" t="s">
        <v>110</v>
      </c>
      <c r="G922" s="208" t="s">
        <v>453</v>
      </c>
      <c r="H922" s="81" t="s">
        <v>138</v>
      </c>
      <c r="I922" s="201" t="s">
        <v>173</v>
      </c>
      <c r="J922" s="202"/>
      <c r="K922" s="202"/>
      <c r="L922" s="202"/>
      <c r="M922" s="202"/>
      <c r="N922" s="202"/>
      <c r="O922" s="202"/>
      <c r="P922" s="202"/>
      <c r="Q922" s="202"/>
      <c r="R922" s="202"/>
      <c r="S922" s="202"/>
      <c r="T922" s="202"/>
    </row>
    <row r="923" spans="1:20" s="182" customFormat="1" ht="14.15" hidden="1">
      <c r="A923" s="222">
        <v>45349</v>
      </c>
      <c r="B923" s="201" t="s">
        <v>974</v>
      </c>
      <c r="C923" s="208" t="s">
        <v>146</v>
      </c>
      <c r="D923" s="592">
        <v>-20000</v>
      </c>
      <c r="E923" s="619">
        <v>45323</v>
      </c>
      <c r="F923" s="291" t="s">
        <v>110</v>
      </c>
      <c r="G923" s="208" t="s">
        <v>450</v>
      </c>
      <c r="H923" s="81" t="s">
        <v>138</v>
      </c>
      <c r="I923" s="201" t="s">
        <v>173</v>
      </c>
      <c r="J923" s="202"/>
      <c r="K923" s="202"/>
      <c r="L923" s="202"/>
      <c r="M923" s="202"/>
      <c r="N923" s="202"/>
      <c r="O923" s="202"/>
      <c r="P923" s="202"/>
      <c r="Q923" s="202"/>
      <c r="R923" s="202"/>
      <c r="S923" s="202"/>
      <c r="T923" s="202"/>
    </row>
    <row r="924" spans="1:20" s="182" customFormat="1" ht="14.15" hidden="1">
      <c r="A924" s="222">
        <v>45349</v>
      </c>
      <c r="B924" s="201" t="s">
        <v>975</v>
      </c>
      <c r="C924" s="208" t="s">
        <v>146</v>
      </c>
      <c r="D924" s="592">
        <v>-25000</v>
      </c>
      <c r="E924" s="619">
        <v>45323</v>
      </c>
      <c r="F924" s="201" t="s">
        <v>110</v>
      </c>
      <c r="G924" s="208" t="s">
        <v>453</v>
      </c>
      <c r="H924" s="81" t="s">
        <v>138</v>
      </c>
      <c r="I924" s="201" t="s">
        <v>173</v>
      </c>
      <c r="J924" s="202"/>
      <c r="K924" s="202"/>
      <c r="L924" s="202"/>
      <c r="M924" s="202"/>
      <c r="N924" s="202"/>
      <c r="O924" s="202"/>
      <c r="P924" s="202"/>
      <c r="Q924" s="202"/>
      <c r="R924" s="202"/>
      <c r="S924" s="202"/>
      <c r="T924" s="202"/>
    </row>
    <row r="925" spans="1:20" s="182" customFormat="1" ht="14.15" hidden="1">
      <c r="A925" s="222">
        <v>45349</v>
      </c>
      <c r="B925" s="201" t="s">
        <v>976</v>
      </c>
      <c r="C925" s="208" t="s">
        <v>146</v>
      </c>
      <c r="D925" s="592">
        <v>-25000</v>
      </c>
      <c r="E925" s="619">
        <v>45323</v>
      </c>
      <c r="F925" s="201" t="s">
        <v>110</v>
      </c>
      <c r="G925" s="208" t="s">
        <v>453</v>
      </c>
      <c r="H925" s="81" t="s">
        <v>138</v>
      </c>
      <c r="I925" s="201" t="s">
        <v>173</v>
      </c>
      <c r="J925" s="202"/>
      <c r="K925" s="202"/>
      <c r="L925" s="202"/>
      <c r="M925" s="202"/>
      <c r="N925" s="202"/>
      <c r="O925" s="202"/>
      <c r="P925" s="202"/>
      <c r="Q925" s="202"/>
      <c r="R925" s="202"/>
      <c r="S925" s="202"/>
      <c r="T925" s="202"/>
    </row>
    <row r="926" spans="1:20" s="182" customFormat="1" ht="14.15" hidden="1">
      <c r="A926" s="222">
        <v>45348</v>
      </c>
      <c r="B926" s="201" t="s">
        <v>977</v>
      </c>
      <c r="C926" s="208" t="s">
        <v>146</v>
      </c>
      <c r="D926" s="592">
        <v>-26000</v>
      </c>
      <c r="E926" s="619">
        <v>45323</v>
      </c>
      <c r="F926" s="201" t="s">
        <v>109</v>
      </c>
      <c r="G926" s="208" t="s">
        <v>170</v>
      </c>
      <c r="H926" s="81" t="s">
        <v>138</v>
      </c>
      <c r="I926" s="201" t="s">
        <v>173</v>
      </c>
      <c r="J926" s="202"/>
      <c r="K926" s="202"/>
      <c r="L926" s="202"/>
      <c r="M926" s="202"/>
      <c r="N926" s="202"/>
      <c r="O926" s="202"/>
      <c r="P926" s="202"/>
      <c r="Q926" s="202"/>
      <c r="R926" s="202"/>
      <c r="S926" s="202"/>
      <c r="T926" s="202"/>
    </row>
    <row r="927" spans="1:20" s="182" customFormat="1" ht="14.15" hidden="1">
      <c r="A927" s="222">
        <v>45348</v>
      </c>
      <c r="B927" s="201" t="s">
        <v>978</v>
      </c>
      <c r="C927" s="208" t="s">
        <v>146</v>
      </c>
      <c r="D927" s="592">
        <v>-14000</v>
      </c>
      <c r="E927" s="619">
        <v>45323</v>
      </c>
      <c r="F927" s="201" t="s">
        <v>109</v>
      </c>
      <c r="G927" s="208" t="s">
        <v>120</v>
      </c>
      <c r="H927" s="81" t="s">
        <v>138</v>
      </c>
      <c r="I927" s="201" t="s">
        <v>173</v>
      </c>
      <c r="J927" s="202"/>
      <c r="K927" s="202"/>
      <c r="L927" s="202"/>
      <c r="M927" s="202"/>
      <c r="N927" s="202"/>
      <c r="O927" s="202"/>
      <c r="P927" s="202"/>
      <c r="Q927" s="202"/>
      <c r="R927" s="202"/>
      <c r="S927" s="202"/>
      <c r="T927" s="202"/>
    </row>
    <row r="928" spans="1:20" s="182" customFormat="1" ht="14.15" hidden="1">
      <c r="A928" s="222">
        <v>45348</v>
      </c>
      <c r="B928" s="201" t="s">
        <v>979</v>
      </c>
      <c r="C928" s="208" t="s">
        <v>146</v>
      </c>
      <c r="D928" s="592">
        <v>-30000</v>
      </c>
      <c r="E928" s="619">
        <v>45323</v>
      </c>
      <c r="F928" s="201" t="s">
        <v>207</v>
      </c>
      <c r="G928" s="208" t="s">
        <v>262</v>
      </c>
      <c r="H928" s="81" t="s">
        <v>138</v>
      </c>
      <c r="I928" s="201" t="s">
        <v>173</v>
      </c>
      <c r="J928" s="202"/>
      <c r="K928" s="202"/>
      <c r="L928" s="202"/>
      <c r="M928" s="202"/>
      <c r="N928" s="202"/>
      <c r="O928" s="202"/>
      <c r="P928" s="202"/>
      <c r="Q928" s="202"/>
      <c r="R928" s="202"/>
      <c r="S928" s="202"/>
      <c r="T928" s="202"/>
    </row>
    <row r="929" spans="1:20" s="182" customFormat="1" ht="14.15" hidden="1">
      <c r="A929" s="222">
        <v>45348</v>
      </c>
      <c r="B929" s="201" t="s">
        <v>980</v>
      </c>
      <c r="C929" s="208" t="s">
        <v>146</v>
      </c>
      <c r="D929" s="592">
        <v>-31500</v>
      </c>
      <c r="E929" s="619">
        <v>45323</v>
      </c>
      <c r="F929" s="201" t="s">
        <v>207</v>
      </c>
      <c r="G929" s="81" t="s">
        <v>227</v>
      </c>
      <c r="H929" s="81" t="s">
        <v>138</v>
      </c>
      <c r="I929" s="201" t="s">
        <v>173</v>
      </c>
      <c r="J929" s="202"/>
      <c r="K929" s="202"/>
      <c r="L929" s="202"/>
      <c r="M929" s="202"/>
      <c r="N929" s="202"/>
      <c r="O929" s="202"/>
      <c r="P929" s="202"/>
      <c r="Q929" s="202"/>
      <c r="R929" s="202"/>
      <c r="S929" s="202"/>
      <c r="T929" s="202"/>
    </row>
    <row r="930" spans="1:20" s="182" customFormat="1" ht="14.15" hidden="1">
      <c r="A930" s="222">
        <v>45348</v>
      </c>
      <c r="B930" s="201" t="s">
        <v>981</v>
      </c>
      <c r="C930" s="208" t="s">
        <v>146</v>
      </c>
      <c r="D930" s="592">
        <v>-8500</v>
      </c>
      <c r="E930" s="212">
        <v>45323</v>
      </c>
      <c r="F930" s="291" t="s">
        <v>130</v>
      </c>
      <c r="G930" s="208" t="s">
        <v>130</v>
      </c>
      <c r="H930" s="201" t="s">
        <v>184</v>
      </c>
      <c r="I930" s="201" t="s">
        <v>173</v>
      </c>
      <c r="J930" s="202"/>
      <c r="K930" s="202"/>
      <c r="L930" s="202"/>
      <c r="M930" s="202"/>
      <c r="N930" s="202"/>
      <c r="O930" s="202"/>
      <c r="P930" s="202"/>
      <c r="Q930" s="202"/>
      <c r="R930" s="202"/>
      <c r="S930" s="202"/>
      <c r="T930" s="202"/>
    </row>
    <row r="931" spans="1:20" s="182" customFormat="1" ht="14.15" hidden="1">
      <c r="A931" s="222">
        <v>45348</v>
      </c>
      <c r="B931" s="201" t="s">
        <v>982</v>
      </c>
      <c r="C931" s="208" t="s">
        <v>146</v>
      </c>
      <c r="D931" s="592">
        <v>-30000</v>
      </c>
      <c r="E931" s="619">
        <v>45323</v>
      </c>
      <c r="F931" s="291" t="s">
        <v>110</v>
      </c>
      <c r="G931" s="208" t="s">
        <v>450</v>
      </c>
      <c r="H931" s="81" t="s">
        <v>138</v>
      </c>
      <c r="I931" s="201" t="s">
        <v>173</v>
      </c>
      <c r="J931" s="202"/>
      <c r="K931" s="202"/>
      <c r="L931" s="202"/>
      <c r="M931" s="202"/>
      <c r="N931" s="202"/>
      <c r="O931" s="202"/>
      <c r="P931" s="202"/>
      <c r="Q931" s="202"/>
      <c r="R931" s="202"/>
      <c r="S931" s="202"/>
      <c r="T931" s="202"/>
    </row>
    <row r="932" spans="1:20" s="182" customFormat="1" ht="14.15" hidden="1">
      <c r="A932" s="222">
        <v>45348</v>
      </c>
      <c r="B932" s="201" t="s">
        <v>983</v>
      </c>
      <c r="C932" s="208" t="s">
        <v>146</v>
      </c>
      <c r="D932" s="592">
        <v>-30000</v>
      </c>
      <c r="E932" s="619">
        <v>45323</v>
      </c>
      <c r="F932" s="201" t="s">
        <v>109</v>
      </c>
      <c r="G932" s="208" t="s">
        <v>383</v>
      </c>
      <c r="H932" s="81" t="s">
        <v>138</v>
      </c>
      <c r="I932" s="201" t="s">
        <v>173</v>
      </c>
      <c r="J932" s="202"/>
      <c r="K932" s="202"/>
      <c r="L932" s="202"/>
      <c r="M932" s="202"/>
      <c r="N932" s="202"/>
      <c r="O932" s="202"/>
      <c r="P932" s="202"/>
      <c r="Q932" s="202"/>
      <c r="R932" s="202"/>
      <c r="S932" s="202"/>
      <c r="T932" s="202"/>
    </row>
    <row r="933" spans="1:20" s="182" customFormat="1" ht="14.15" hidden="1">
      <c r="A933" s="222">
        <v>45348</v>
      </c>
      <c r="B933" s="201" t="s">
        <v>984</v>
      </c>
      <c r="C933" s="208" t="s">
        <v>146</v>
      </c>
      <c r="D933" s="592">
        <v>-35000</v>
      </c>
      <c r="E933" s="619">
        <v>45323</v>
      </c>
      <c r="F933" s="201" t="s">
        <v>130</v>
      </c>
      <c r="G933" s="201" t="s">
        <v>257</v>
      </c>
      <c r="H933" s="81" t="s">
        <v>138</v>
      </c>
      <c r="I933" s="201" t="s">
        <v>173</v>
      </c>
      <c r="J933" s="202"/>
      <c r="K933" s="202"/>
      <c r="L933" s="202"/>
      <c r="M933" s="202"/>
      <c r="N933" s="202"/>
      <c r="O933" s="202"/>
      <c r="P933" s="202"/>
      <c r="Q933" s="202"/>
      <c r="R933" s="202"/>
      <c r="S933" s="202"/>
      <c r="T933" s="202"/>
    </row>
    <row r="934" spans="1:20" s="182" customFormat="1" ht="14.15" hidden="1">
      <c r="A934" s="222">
        <v>45350</v>
      </c>
      <c r="B934" s="201" t="s">
        <v>985</v>
      </c>
      <c r="C934" s="208" t="s">
        <v>146</v>
      </c>
      <c r="D934" s="592">
        <v>-12500</v>
      </c>
      <c r="E934" s="619">
        <v>45323</v>
      </c>
      <c r="F934" s="201" t="s">
        <v>110</v>
      </c>
      <c r="G934" s="208" t="s">
        <v>453</v>
      </c>
      <c r="H934" s="81" t="s">
        <v>138</v>
      </c>
      <c r="I934" s="201"/>
      <c r="J934" s="202"/>
      <c r="K934" s="202"/>
      <c r="L934" s="202"/>
      <c r="M934" s="202"/>
      <c r="N934" s="202"/>
      <c r="O934" s="202"/>
      <c r="P934" s="202"/>
      <c r="Q934" s="202"/>
      <c r="R934" s="202"/>
      <c r="S934" s="202"/>
      <c r="T934" s="202"/>
    </row>
    <row r="935" spans="1:20" s="182" customFormat="1" ht="14.15" hidden="1">
      <c r="A935" s="222">
        <v>45338</v>
      </c>
      <c r="B935" s="201" t="s">
        <v>986</v>
      </c>
      <c r="C935" s="208" t="s">
        <v>146</v>
      </c>
      <c r="D935" s="592">
        <v>-8000</v>
      </c>
      <c r="E935" s="619">
        <v>45323</v>
      </c>
      <c r="F935" s="291" t="s">
        <v>110</v>
      </c>
      <c r="G935" s="208" t="s">
        <v>450</v>
      </c>
      <c r="H935" s="208" t="s">
        <v>175</v>
      </c>
      <c r="I935" s="201" t="s">
        <v>173</v>
      </c>
      <c r="J935" s="202"/>
      <c r="K935" s="202"/>
      <c r="L935" s="202"/>
      <c r="M935" s="202"/>
      <c r="N935" s="202"/>
      <c r="O935" s="202"/>
      <c r="P935" s="202"/>
      <c r="Q935" s="202"/>
      <c r="R935" s="202"/>
      <c r="S935" s="202"/>
      <c r="T935" s="202"/>
    </row>
    <row r="936" spans="1:20" s="182" customFormat="1" ht="14.15" hidden="1">
      <c r="A936" s="222">
        <v>45338</v>
      </c>
      <c r="B936" s="201" t="s">
        <v>987</v>
      </c>
      <c r="C936" s="208" t="s">
        <v>146</v>
      </c>
      <c r="D936" s="592">
        <v>-38123</v>
      </c>
      <c r="E936" s="619">
        <v>45323</v>
      </c>
      <c r="F936" s="291" t="s">
        <v>110</v>
      </c>
      <c r="G936" s="208" t="s">
        <v>450</v>
      </c>
      <c r="H936" s="208" t="s">
        <v>175</v>
      </c>
      <c r="I936" s="201" t="s">
        <v>173</v>
      </c>
      <c r="J936" s="202"/>
      <c r="K936" s="202"/>
      <c r="L936" s="202"/>
      <c r="M936" s="202"/>
      <c r="N936" s="202"/>
      <c r="O936" s="202"/>
      <c r="P936" s="202"/>
      <c r="Q936" s="202"/>
      <c r="R936" s="202"/>
      <c r="S936" s="202"/>
      <c r="T936" s="202"/>
    </row>
    <row r="937" spans="1:20" s="182" customFormat="1" ht="14.15" hidden="1">
      <c r="A937" s="222">
        <v>45337</v>
      </c>
      <c r="B937" s="201" t="s">
        <v>988</v>
      </c>
      <c r="C937" s="208" t="s">
        <v>146</v>
      </c>
      <c r="D937" s="592">
        <v>-76561</v>
      </c>
      <c r="E937" s="619">
        <v>45323</v>
      </c>
      <c r="F937" s="201" t="s">
        <v>109</v>
      </c>
      <c r="G937" s="208" t="s">
        <v>383</v>
      </c>
      <c r="H937" s="208" t="s">
        <v>175</v>
      </c>
      <c r="I937" s="201" t="s">
        <v>173</v>
      </c>
      <c r="J937" s="202"/>
      <c r="K937" s="202"/>
      <c r="L937" s="202"/>
      <c r="M937" s="202"/>
      <c r="N937" s="202"/>
      <c r="O937" s="202"/>
      <c r="P937" s="202"/>
      <c r="Q937" s="202"/>
      <c r="R937" s="202"/>
      <c r="S937" s="202"/>
      <c r="T937" s="202"/>
    </row>
    <row r="938" spans="1:20" s="182" customFormat="1" ht="14.15" hidden="1">
      <c r="A938" s="222">
        <v>45343</v>
      </c>
      <c r="B938" s="201" t="s">
        <v>989</v>
      </c>
      <c r="C938" s="208" t="s">
        <v>146</v>
      </c>
      <c r="D938" s="592">
        <v>-33700</v>
      </c>
      <c r="E938" s="619">
        <v>45323</v>
      </c>
      <c r="F938" s="291" t="s">
        <v>110</v>
      </c>
      <c r="G938" s="208" t="s">
        <v>450</v>
      </c>
      <c r="H938" s="208" t="s">
        <v>175</v>
      </c>
      <c r="I938" s="201" t="s">
        <v>173</v>
      </c>
      <c r="J938" s="202"/>
      <c r="K938" s="202"/>
      <c r="L938" s="202"/>
      <c r="M938" s="202"/>
      <c r="N938" s="202"/>
      <c r="O938" s="202"/>
      <c r="P938" s="202"/>
      <c r="Q938" s="202"/>
      <c r="R938" s="202"/>
      <c r="S938" s="202"/>
      <c r="T938" s="202"/>
    </row>
    <row r="939" spans="1:20" s="182" customFormat="1" ht="14.15" hidden="1">
      <c r="A939" s="222">
        <v>45343</v>
      </c>
      <c r="B939" s="201" t="s">
        <v>990</v>
      </c>
      <c r="C939" s="208" t="s">
        <v>146</v>
      </c>
      <c r="D939" s="592">
        <v>-55000</v>
      </c>
      <c r="E939" s="619">
        <v>45323</v>
      </c>
      <c r="F939" s="201" t="s">
        <v>109</v>
      </c>
      <c r="G939" s="208" t="s">
        <v>383</v>
      </c>
      <c r="H939" s="208" t="s">
        <v>175</v>
      </c>
      <c r="I939" s="201" t="s">
        <v>173</v>
      </c>
      <c r="J939" s="202"/>
      <c r="K939" s="202"/>
      <c r="L939" s="202"/>
      <c r="M939" s="202"/>
      <c r="N939" s="202"/>
      <c r="O939" s="202"/>
      <c r="P939" s="202"/>
      <c r="Q939" s="202"/>
      <c r="R939" s="202"/>
      <c r="S939" s="202"/>
      <c r="T939" s="202"/>
    </row>
    <row r="940" spans="1:20" s="182" customFormat="1" ht="14.15" hidden="1">
      <c r="A940" s="222">
        <v>45343</v>
      </c>
      <c r="B940" s="201" t="s">
        <v>991</v>
      </c>
      <c r="C940" s="208" t="s">
        <v>146</v>
      </c>
      <c r="D940" s="592">
        <v>-49400</v>
      </c>
      <c r="E940" s="619">
        <v>45323</v>
      </c>
      <c r="F940" s="291" t="s">
        <v>110</v>
      </c>
      <c r="G940" s="208" t="s">
        <v>450</v>
      </c>
      <c r="H940" s="208" t="s">
        <v>175</v>
      </c>
      <c r="I940" s="201" t="s">
        <v>173</v>
      </c>
      <c r="J940" s="202"/>
      <c r="K940" s="202"/>
      <c r="L940" s="202"/>
      <c r="M940" s="202"/>
      <c r="N940" s="202"/>
      <c r="O940" s="202"/>
      <c r="P940" s="202"/>
      <c r="Q940" s="202"/>
      <c r="R940" s="202"/>
      <c r="S940" s="202"/>
      <c r="T940" s="202"/>
    </row>
    <row r="941" spans="1:20" s="182" customFormat="1" ht="14.15" hidden="1">
      <c r="A941" s="222">
        <v>45343</v>
      </c>
      <c r="B941" s="201" t="s">
        <v>992</v>
      </c>
      <c r="C941" s="208" t="s">
        <v>146</v>
      </c>
      <c r="D941" s="592">
        <v>-109799</v>
      </c>
      <c r="E941" s="619">
        <v>45323</v>
      </c>
      <c r="F941" s="291" t="s">
        <v>109</v>
      </c>
      <c r="G941" s="208" t="s">
        <v>525</v>
      </c>
      <c r="H941" s="208" t="s">
        <v>175</v>
      </c>
      <c r="I941" s="201" t="s">
        <v>173</v>
      </c>
      <c r="J941" s="202"/>
      <c r="K941" s="202"/>
      <c r="L941" s="202"/>
      <c r="M941" s="202"/>
      <c r="N941" s="202"/>
      <c r="O941" s="202"/>
      <c r="P941" s="202"/>
      <c r="Q941" s="202"/>
      <c r="R941" s="202"/>
      <c r="S941" s="202"/>
      <c r="T941" s="202"/>
    </row>
    <row r="942" spans="1:20" s="182" customFormat="1" ht="14.15" hidden="1">
      <c r="A942" s="222">
        <v>45343</v>
      </c>
      <c r="B942" s="201" t="s">
        <v>993</v>
      </c>
      <c r="C942" s="208" t="s">
        <v>146</v>
      </c>
      <c r="D942" s="592">
        <v>-40000</v>
      </c>
      <c r="E942" s="619">
        <v>45323</v>
      </c>
      <c r="F942" s="291" t="s">
        <v>110</v>
      </c>
      <c r="G942" s="208" t="s">
        <v>450</v>
      </c>
      <c r="H942" s="208" t="s">
        <v>175</v>
      </c>
      <c r="I942" s="201" t="s">
        <v>173</v>
      </c>
      <c r="J942" s="202"/>
      <c r="K942" s="202"/>
      <c r="L942" s="202"/>
      <c r="M942" s="202"/>
      <c r="N942" s="202"/>
      <c r="O942" s="202"/>
      <c r="P942" s="202"/>
      <c r="Q942" s="202"/>
      <c r="R942" s="202"/>
      <c r="S942" s="202"/>
      <c r="T942" s="202"/>
    </row>
    <row r="943" spans="1:20" s="182" customFormat="1" ht="14.15" hidden="1">
      <c r="A943" s="222">
        <v>45343</v>
      </c>
      <c r="B943" s="201" t="s">
        <v>994</v>
      </c>
      <c r="C943" s="208" t="s">
        <v>146</v>
      </c>
      <c r="D943" s="592">
        <v>-16000</v>
      </c>
      <c r="E943" s="619">
        <v>45323</v>
      </c>
      <c r="F943" s="201" t="s">
        <v>130</v>
      </c>
      <c r="G943" s="201" t="s">
        <v>130</v>
      </c>
      <c r="H943" s="201" t="s">
        <v>323</v>
      </c>
      <c r="I943" s="201" t="s">
        <v>173</v>
      </c>
      <c r="J943" s="202"/>
      <c r="K943" s="202"/>
      <c r="L943" s="202"/>
      <c r="M943" s="202"/>
      <c r="N943" s="202"/>
      <c r="O943" s="202"/>
      <c r="P943" s="202"/>
      <c r="Q943" s="202"/>
      <c r="R943" s="202"/>
      <c r="S943" s="202"/>
      <c r="T943" s="202"/>
    </row>
    <row r="944" spans="1:20" s="182" customFormat="1" ht="14.15" hidden="1">
      <c r="A944" s="222">
        <v>45342</v>
      </c>
      <c r="B944" s="201" t="s">
        <v>995</v>
      </c>
      <c r="C944" s="208" t="s">
        <v>146</v>
      </c>
      <c r="D944" s="592">
        <v>-6000</v>
      </c>
      <c r="E944" s="619">
        <v>45323</v>
      </c>
      <c r="F944" s="201" t="s">
        <v>207</v>
      </c>
      <c r="G944" s="208" t="s">
        <v>494</v>
      </c>
      <c r="H944" s="81" t="s">
        <v>138</v>
      </c>
      <c r="I944" s="201" t="s">
        <v>173</v>
      </c>
      <c r="J944" s="202"/>
      <c r="K944" s="202"/>
      <c r="L944" s="202"/>
      <c r="M944" s="202"/>
      <c r="N944" s="202"/>
      <c r="O944" s="202"/>
      <c r="P944" s="202"/>
      <c r="Q944" s="202"/>
      <c r="R944" s="202"/>
      <c r="S944" s="202"/>
      <c r="T944" s="202"/>
    </row>
    <row r="945" spans="1:20" s="182" customFormat="1" ht="14.15" hidden="1">
      <c r="A945" s="222">
        <v>45342</v>
      </c>
      <c r="B945" s="201" t="s">
        <v>996</v>
      </c>
      <c r="C945" s="208" t="s">
        <v>146</v>
      </c>
      <c r="D945" s="592">
        <v>-6000</v>
      </c>
      <c r="E945" s="619">
        <v>45323</v>
      </c>
      <c r="F945" s="201" t="s">
        <v>207</v>
      </c>
      <c r="G945" s="208" t="s">
        <v>494</v>
      </c>
      <c r="H945" s="81" t="s">
        <v>138</v>
      </c>
      <c r="I945" s="201" t="s">
        <v>173</v>
      </c>
      <c r="J945" s="202"/>
      <c r="K945" s="202"/>
      <c r="L945" s="202"/>
      <c r="M945" s="202"/>
      <c r="N945" s="202"/>
      <c r="O945" s="202"/>
      <c r="P945" s="202"/>
      <c r="Q945" s="202"/>
      <c r="R945" s="202"/>
      <c r="S945" s="202"/>
      <c r="T945" s="202"/>
    </row>
    <row r="946" spans="1:20" s="182" customFormat="1" ht="14.15" hidden="1">
      <c r="A946" s="222">
        <v>45342</v>
      </c>
      <c r="B946" s="201" t="s">
        <v>997</v>
      </c>
      <c r="C946" s="208" t="s">
        <v>146</v>
      </c>
      <c r="D946" s="592">
        <v>-6000</v>
      </c>
      <c r="E946" s="619">
        <v>45323</v>
      </c>
      <c r="F946" s="201" t="s">
        <v>109</v>
      </c>
      <c r="G946" s="208" t="s">
        <v>383</v>
      </c>
      <c r="H946" s="81" t="s">
        <v>138</v>
      </c>
      <c r="I946" s="201" t="s">
        <v>173</v>
      </c>
      <c r="J946" s="202"/>
      <c r="K946" s="202"/>
      <c r="L946" s="202"/>
      <c r="M946" s="202"/>
      <c r="N946" s="202"/>
      <c r="O946" s="202"/>
      <c r="P946" s="202"/>
      <c r="Q946" s="202"/>
      <c r="R946" s="202"/>
      <c r="S946" s="202"/>
      <c r="T946" s="202"/>
    </row>
    <row r="947" spans="1:20" s="182" customFormat="1" ht="14.15" hidden="1">
      <c r="A947" s="222">
        <v>45342</v>
      </c>
      <c r="B947" s="201" t="s">
        <v>998</v>
      </c>
      <c r="C947" s="208" t="s">
        <v>146</v>
      </c>
      <c r="D947" s="592">
        <v>-15000</v>
      </c>
      <c r="E947" s="619">
        <v>45323</v>
      </c>
      <c r="F947" s="201" t="s">
        <v>109</v>
      </c>
      <c r="G947" s="208" t="s">
        <v>383</v>
      </c>
      <c r="H947" s="81" t="s">
        <v>138</v>
      </c>
      <c r="I947" s="201" t="s">
        <v>173</v>
      </c>
      <c r="J947" s="202"/>
      <c r="K947" s="202"/>
      <c r="L947" s="202"/>
      <c r="M947" s="202"/>
      <c r="N947" s="202"/>
      <c r="O947" s="202"/>
      <c r="P947" s="202"/>
      <c r="Q947" s="202"/>
      <c r="R947" s="202"/>
      <c r="S947" s="202"/>
      <c r="T947" s="202"/>
    </row>
    <row r="948" spans="1:20" s="182" customFormat="1" ht="14.15" hidden="1">
      <c r="A948" s="222">
        <v>45343</v>
      </c>
      <c r="B948" s="201" t="s">
        <v>999</v>
      </c>
      <c r="C948" s="208" t="s">
        <v>146</v>
      </c>
      <c r="D948" s="592">
        <v>-8000</v>
      </c>
      <c r="E948" s="619">
        <v>45323</v>
      </c>
      <c r="F948" s="291" t="s">
        <v>109</v>
      </c>
      <c r="G948" s="208" t="s">
        <v>525</v>
      </c>
      <c r="H948" s="208" t="s">
        <v>175</v>
      </c>
      <c r="I948" s="201" t="s">
        <v>173</v>
      </c>
      <c r="J948" s="202"/>
      <c r="K948" s="202"/>
      <c r="L948" s="202"/>
      <c r="M948" s="202"/>
      <c r="N948" s="202"/>
      <c r="O948" s="202"/>
      <c r="P948" s="202"/>
      <c r="Q948" s="202"/>
      <c r="R948" s="202"/>
      <c r="S948" s="202"/>
      <c r="T948" s="202"/>
    </row>
    <row r="949" spans="1:20" s="182" customFormat="1" ht="14.15" hidden="1">
      <c r="A949" s="222">
        <v>45341</v>
      </c>
      <c r="B949" s="201" t="s">
        <v>1000</v>
      </c>
      <c r="C949" s="208" t="s">
        <v>146</v>
      </c>
      <c r="D949" s="592">
        <v>-20000</v>
      </c>
      <c r="E949" s="619">
        <v>45323</v>
      </c>
      <c r="F949" s="201" t="s">
        <v>109</v>
      </c>
      <c r="G949" s="208" t="s">
        <v>120</v>
      </c>
      <c r="H949" s="208" t="s">
        <v>147</v>
      </c>
      <c r="I949" s="201" t="s">
        <v>566</v>
      </c>
      <c r="J949" s="202"/>
      <c r="K949" s="202"/>
      <c r="L949" s="202"/>
      <c r="M949" s="202"/>
      <c r="N949" s="202"/>
      <c r="O949" s="202"/>
      <c r="P949" s="202"/>
      <c r="Q949" s="202"/>
      <c r="R949" s="202"/>
      <c r="S949" s="202"/>
      <c r="T949" s="202"/>
    </row>
    <row r="950" spans="1:20" s="182" customFormat="1" ht="14.15" hidden="1">
      <c r="A950" s="222">
        <v>45341</v>
      </c>
      <c r="B950" s="201" t="s">
        <v>1001</v>
      </c>
      <c r="C950" s="208" t="s">
        <v>146</v>
      </c>
      <c r="D950" s="592">
        <v>-250000</v>
      </c>
      <c r="E950" s="619">
        <v>45323</v>
      </c>
      <c r="F950" s="201" t="s">
        <v>109</v>
      </c>
      <c r="G950" s="208" t="s">
        <v>120</v>
      </c>
      <c r="H950" s="81" t="s">
        <v>138</v>
      </c>
      <c r="I950" s="201" t="s">
        <v>566</v>
      </c>
      <c r="J950" s="202"/>
      <c r="K950" s="202"/>
      <c r="L950" s="202"/>
      <c r="M950" s="202"/>
      <c r="N950" s="202"/>
      <c r="O950" s="202"/>
      <c r="P950" s="202"/>
      <c r="Q950" s="202"/>
      <c r="R950" s="202"/>
      <c r="S950" s="202"/>
      <c r="T950" s="202"/>
    </row>
    <row r="951" spans="1:20" s="182" customFormat="1" ht="14.15" hidden="1">
      <c r="A951" s="222">
        <v>45341</v>
      </c>
      <c r="B951" s="201" t="s">
        <v>1002</v>
      </c>
      <c r="C951" s="208" t="s">
        <v>146</v>
      </c>
      <c r="D951" s="592">
        <v>-12900</v>
      </c>
      <c r="E951" s="619">
        <v>45323</v>
      </c>
      <c r="F951" s="201" t="s">
        <v>109</v>
      </c>
      <c r="G951" s="208" t="s">
        <v>120</v>
      </c>
      <c r="H951" s="201"/>
      <c r="I951" s="201" t="s">
        <v>566</v>
      </c>
      <c r="J951" s="202"/>
      <c r="K951" s="202"/>
      <c r="L951" s="202"/>
      <c r="M951" s="202"/>
      <c r="N951" s="202"/>
      <c r="O951" s="202"/>
      <c r="P951" s="202"/>
      <c r="Q951" s="202"/>
      <c r="R951" s="202"/>
      <c r="S951" s="202"/>
      <c r="T951" s="202"/>
    </row>
    <row r="952" spans="1:20" s="182" customFormat="1" ht="14.15" hidden="1">
      <c r="A952" s="222">
        <v>45342</v>
      </c>
      <c r="B952" s="201" t="s">
        <v>1003</v>
      </c>
      <c r="C952" s="208" t="s">
        <v>146</v>
      </c>
      <c r="D952" s="592">
        <v>-30000</v>
      </c>
      <c r="E952" s="619">
        <v>45323</v>
      </c>
      <c r="F952" s="201" t="s">
        <v>109</v>
      </c>
      <c r="G952" s="208" t="s">
        <v>120</v>
      </c>
      <c r="H952" s="81" t="s">
        <v>138</v>
      </c>
      <c r="I952" s="201" t="s">
        <v>566</v>
      </c>
      <c r="J952" s="202"/>
      <c r="K952" s="202"/>
      <c r="L952" s="202"/>
      <c r="M952" s="202"/>
      <c r="N952" s="202"/>
      <c r="O952" s="202"/>
      <c r="P952" s="202"/>
      <c r="Q952" s="202"/>
      <c r="R952" s="202"/>
      <c r="S952" s="202"/>
      <c r="T952" s="202"/>
    </row>
    <row r="953" spans="1:20" s="182" customFormat="1" ht="14.15" hidden="1">
      <c r="A953" s="222">
        <v>45342</v>
      </c>
      <c r="B953" s="201" t="s">
        <v>1004</v>
      </c>
      <c r="C953" s="208" t="s">
        <v>146</v>
      </c>
      <c r="D953" s="592">
        <v>-3000</v>
      </c>
      <c r="E953" s="619">
        <v>45323</v>
      </c>
      <c r="F953" s="201" t="s">
        <v>109</v>
      </c>
      <c r="G953" s="208" t="s">
        <v>120</v>
      </c>
      <c r="H953" s="208" t="s">
        <v>175</v>
      </c>
      <c r="I953" s="201" t="s">
        <v>566</v>
      </c>
      <c r="J953" s="202"/>
      <c r="K953" s="202"/>
      <c r="L953" s="202"/>
      <c r="M953" s="202"/>
      <c r="N953" s="202"/>
      <c r="O953" s="202"/>
      <c r="P953" s="202"/>
      <c r="Q953" s="202"/>
      <c r="R953" s="202"/>
      <c r="S953" s="202"/>
      <c r="T953" s="202"/>
    </row>
    <row r="954" spans="1:20" s="182" customFormat="1" ht="14.15" hidden="1">
      <c r="A954" s="222">
        <v>45342</v>
      </c>
      <c r="B954" s="201" t="s">
        <v>1005</v>
      </c>
      <c r="C954" s="208" t="s">
        <v>146</v>
      </c>
      <c r="D954" s="592">
        <v>-5000</v>
      </c>
      <c r="E954" s="619">
        <v>45323</v>
      </c>
      <c r="F954" s="201" t="s">
        <v>109</v>
      </c>
      <c r="G954" s="208" t="s">
        <v>120</v>
      </c>
      <c r="H954" s="208" t="s">
        <v>175</v>
      </c>
      <c r="I954" s="201" t="s">
        <v>566</v>
      </c>
      <c r="J954" s="202"/>
      <c r="K954" s="202"/>
      <c r="L954" s="202"/>
      <c r="M954" s="202"/>
      <c r="N954" s="202"/>
      <c r="O954" s="202"/>
      <c r="P954" s="202"/>
      <c r="Q954" s="202"/>
      <c r="R954" s="202"/>
      <c r="S954" s="202"/>
      <c r="T954" s="202"/>
    </row>
    <row r="955" spans="1:20" s="182" customFormat="1" ht="14.15" hidden="1">
      <c r="A955" s="222">
        <v>45342</v>
      </c>
      <c r="B955" s="201" t="s">
        <v>1006</v>
      </c>
      <c r="C955" s="208" t="s">
        <v>146</v>
      </c>
      <c r="D955" s="592">
        <v>-14000</v>
      </c>
      <c r="E955" s="619">
        <v>45323</v>
      </c>
      <c r="F955" s="201" t="s">
        <v>109</v>
      </c>
      <c r="G955" s="208" t="s">
        <v>120</v>
      </c>
      <c r="H955" s="201" t="s">
        <v>323</v>
      </c>
      <c r="I955" s="201" t="s">
        <v>566</v>
      </c>
      <c r="J955" s="202"/>
      <c r="K955" s="202"/>
      <c r="L955" s="202"/>
      <c r="M955" s="202"/>
      <c r="N955" s="202"/>
      <c r="O955" s="202"/>
      <c r="P955" s="202"/>
      <c r="Q955" s="202"/>
      <c r="R955" s="202"/>
      <c r="S955" s="202"/>
      <c r="T955" s="202"/>
    </row>
    <row r="956" spans="1:20" s="182" customFormat="1" ht="14.15" hidden="1">
      <c r="A956" s="222">
        <v>45342</v>
      </c>
      <c r="B956" s="201" t="s">
        <v>1007</v>
      </c>
      <c r="C956" s="208" t="s">
        <v>146</v>
      </c>
      <c r="D956" s="592">
        <v>-13650</v>
      </c>
      <c r="E956" s="619">
        <v>45323</v>
      </c>
      <c r="F956" s="201" t="s">
        <v>109</v>
      </c>
      <c r="G956" s="208" t="s">
        <v>120</v>
      </c>
      <c r="H956" s="208" t="s">
        <v>147</v>
      </c>
      <c r="I956" s="201" t="s">
        <v>566</v>
      </c>
      <c r="J956" s="202"/>
      <c r="K956" s="202"/>
      <c r="L956" s="202"/>
      <c r="M956" s="202"/>
      <c r="N956" s="202"/>
      <c r="O956" s="202"/>
      <c r="P956" s="202"/>
      <c r="Q956" s="202"/>
      <c r="R956" s="202"/>
      <c r="S956" s="202"/>
      <c r="T956" s="202"/>
    </row>
    <row r="957" spans="1:20" s="182" customFormat="1" ht="14.15" hidden="1">
      <c r="A957" s="222">
        <v>45342</v>
      </c>
      <c r="B957" s="201" t="s">
        <v>1008</v>
      </c>
      <c r="C957" s="208" t="s">
        <v>146</v>
      </c>
      <c r="D957" s="592">
        <v>-13900</v>
      </c>
      <c r="E957" s="619">
        <v>45323</v>
      </c>
      <c r="F957" s="201" t="s">
        <v>109</v>
      </c>
      <c r="G957" s="208" t="s">
        <v>120</v>
      </c>
      <c r="H957" s="208" t="s">
        <v>147</v>
      </c>
      <c r="I957" s="201" t="s">
        <v>566</v>
      </c>
      <c r="J957" s="202"/>
      <c r="K957" s="202"/>
      <c r="L957" s="202"/>
      <c r="M957" s="202"/>
      <c r="N957" s="202"/>
      <c r="O957" s="202"/>
      <c r="P957" s="202"/>
      <c r="Q957" s="202"/>
      <c r="R957" s="202"/>
      <c r="S957" s="202"/>
      <c r="T957" s="202"/>
    </row>
    <row r="958" spans="1:20" s="182" customFormat="1" ht="14.15" hidden="1">
      <c r="A958" s="222">
        <v>45343</v>
      </c>
      <c r="B958" s="201" t="s">
        <v>1009</v>
      </c>
      <c r="C958" s="208" t="s">
        <v>146</v>
      </c>
      <c r="D958" s="592">
        <v>-30000</v>
      </c>
      <c r="E958" s="619">
        <v>45323</v>
      </c>
      <c r="F958" s="201" t="s">
        <v>109</v>
      </c>
      <c r="G958" s="208" t="s">
        <v>120</v>
      </c>
      <c r="H958" s="201"/>
      <c r="I958" s="201" t="s">
        <v>566</v>
      </c>
      <c r="J958" s="202"/>
      <c r="K958" s="202"/>
      <c r="L958" s="202"/>
      <c r="M958" s="202"/>
      <c r="N958" s="202"/>
      <c r="O958" s="202"/>
      <c r="P958" s="202"/>
      <c r="Q958" s="202"/>
      <c r="R958" s="202"/>
      <c r="S958" s="202"/>
      <c r="T958" s="202"/>
    </row>
    <row r="959" spans="1:20" s="182" customFormat="1" ht="14.15" hidden="1">
      <c r="A959" s="222">
        <v>45344</v>
      </c>
      <c r="B959" s="201" t="s">
        <v>1010</v>
      </c>
      <c r="C959" s="208" t="s">
        <v>146</v>
      </c>
      <c r="D959" s="592">
        <v>-462000</v>
      </c>
      <c r="E959" s="619">
        <v>45323</v>
      </c>
      <c r="F959" s="201" t="s">
        <v>109</v>
      </c>
      <c r="G959" s="208" t="s">
        <v>120</v>
      </c>
      <c r="H959" s="208" t="s">
        <v>175</v>
      </c>
      <c r="I959" s="201" t="s">
        <v>566</v>
      </c>
      <c r="J959" s="202"/>
      <c r="K959" s="202"/>
      <c r="L959" s="202"/>
      <c r="M959" s="202"/>
      <c r="N959" s="202"/>
      <c r="O959" s="202"/>
      <c r="P959" s="202"/>
      <c r="Q959" s="202"/>
      <c r="R959" s="202"/>
      <c r="S959" s="202"/>
      <c r="T959" s="202"/>
    </row>
    <row r="960" spans="1:20" s="182" customFormat="1" ht="14.15" hidden="1">
      <c r="A960" s="222">
        <v>45345</v>
      </c>
      <c r="B960" s="201" t="s">
        <v>1011</v>
      </c>
      <c r="C960" s="208" t="s">
        <v>146</v>
      </c>
      <c r="D960" s="592">
        <v>-41600</v>
      </c>
      <c r="E960" s="619">
        <v>45323</v>
      </c>
      <c r="F960" s="201" t="s">
        <v>109</v>
      </c>
      <c r="G960" s="208" t="s">
        <v>120</v>
      </c>
      <c r="H960" s="201" t="s">
        <v>310</v>
      </c>
      <c r="I960" s="201" t="s">
        <v>566</v>
      </c>
      <c r="J960" s="202"/>
      <c r="K960" s="202"/>
      <c r="L960" s="202"/>
      <c r="M960" s="202"/>
      <c r="N960" s="202"/>
      <c r="O960" s="202"/>
      <c r="P960" s="202"/>
      <c r="Q960" s="202"/>
      <c r="R960" s="202"/>
      <c r="S960" s="202"/>
      <c r="T960" s="202"/>
    </row>
    <row r="961" spans="1:20" s="182" customFormat="1" ht="14.15" hidden="1">
      <c r="A961" s="222">
        <v>45345</v>
      </c>
      <c r="B961" s="201" t="s">
        <v>932</v>
      </c>
      <c r="C961" s="208" t="s">
        <v>146</v>
      </c>
      <c r="D961" s="592">
        <v>-110000</v>
      </c>
      <c r="E961" s="619">
        <v>45323</v>
      </c>
      <c r="F961" s="201" t="s">
        <v>109</v>
      </c>
      <c r="G961" s="208" t="s">
        <v>120</v>
      </c>
      <c r="H961" s="208" t="s">
        <v>147</v>
      </c>
      <c r="I961" s="201" t="s">
        <v>566</v>
      </c>
      <c r="J961" s="202"/>
      <c r="K961" s="202"/>
      <c r="L961" s="202"/>
      <c r="M961" s="202"/>
      <c r="N961" s="202"/>
      <c r="O961" s="202"/>
      <c r="P961" s="202"/>
      <c r="Q961" s="202"/>
      <c r="R961" s="202"/>
      <c r="S961" s="202"/>
      <c r="T961" s="202"/>
    </row>
    <row r="962" spans="1:20" s="182" customFormat="1" ht="14.15" hidden="1">
      <c r="A962" s="222">
        <v>45345</v>
      </c>
      <c r="B962" s="201" t="s">
        <v>1012</v>
      </c>
      <c r="C962" s="208" t="s">
        <v>146</v>
      </c>
      <c r="D962" s="592">
        <v>-40000</v>
      </c>
      <c r="E962" s="619">
        <v>45323</v>
      </c>
      <c r="F962" s="201" t="s">
        <v>109</v>
      </c>
      <c r="G962" s="208" t="s">
        <v>120</v>
      </c>
      <c r="H962" s="81" t="s">
        <v>138</v>
      </c>
      <c r="I962" s="201" t="s">
        <v>566</v>
      </c>
      <c r="J962" s="202"/>
      <c r="K962" s="202"/>
      <c r="L962" s="202"/>
      <c r="M962" s="202"/>
      <c r="N962" s="202"/>
      <c r="O962" s="202"/>
      <c r="P962" s="202"/>
      <c r="Q962" s="202"/>
      <c r="R962" s="202"/>
      <c r="S962" s="202"/>
      <c r="T962" s="202"/>
    </row>
    <row r="963" spans="1:20" s="182" customFormat="1" ht="14.15" hidden="1">
      <c r="A963" s="222">
        <v>45346</v>
      </c>
      <c r="B963" s="201" t="s">
        <v>1013</v>
      </c>
      <c r="C963" s="208" t="s">
        <v>146</v>
      </c>
      <c r="D963" s="592">
        <v>-40000</v>
      </c>
      <c r="E963" s="619">
        <v>45323</v>
      </c>
      <c r="F963" s="201" t="s">
        <v>109</v>
      </c>
      <c r="G963" s="208" t="s">
        <v>120</v>
      </c>
      <c r="H963" s="208" t="s">
        <v>147</v>
      </c>
      <c r="I963" s="201" t="s">
        <v>566</v>
      </c>
      <c r="J963" s="202"/>
      <c r="K963" s="202"/>
      <c r="L963" s="202"/>
      <c r="M963" s="202"/>
      <c r="N963" s="202"/>
      <c r="O963" s="202"/>
      <c r="P963" s="202"/>
      <c r="Q963" s="202"/>
      <c r="R963" s="202"/>
      <c r="S963" s="202"/>
      <c r="T963" s="202"/>
    </row>
    <row r="964" spans="1:20" s="182" customFormat="1" ht="14.15" hidden="1">
      <c r="A964" s="222">
        <v>45346</v>
      </c>
      <c r="B964" s="201" t="s">
        <v>1014</v>
      </c>
      <c r="C964" s="208" t="s">
        <v>146</v>
      </c>
      <c r="D964" s="592">
        <v>-120000</v>
      </c>
      <c r="E964" s="619">
        <v>45323</v>
      </c>
      <c r="F964" s="201" t="s">
        <v>109</v>
      </c>
      <c r="G964" s="208" t="s">
        <v>120</v>
      </c>
      <c r="H964" s="201"/>
      <c r="I964" s="201" t="s">
        <v>566</v>
      </c>
      <c r="J964" s="202"/>
      <c r="K964" s="202"/>
      <c r="L964" s="202"/>
      <c r="M964" s="202"/>
      <c r="N964" s="202"/>
      <c r="O964" s="202"/>
      <c r="P964" s="202"/>
      <c r="Q964" s="202"/>
      <c r="R964" s="202"/>
      <c r="S964" s="202"/>
      <c r="T964" s="202"/>
    </row>
    <row r="965" spans="1:20" s="182" customFormat="1" ht="14.15" hidden="1">
      <c r="A965" s="222">
        <v>45346</v>
      </c>
      <c r="B965" s="201" t="s">
        <v>1015</v>
      </c>
      <c r="C965" s="208" t="s">
        <v>146</v>
      </c>
      <c r="D965" s="592">
        <v>-40000</v>
      </c>
      <c r="E965" s="619">
        <v>45323</v>
      </c>
      <c r="F965" s="201" t="s">
        <v>109</v>
      </c>
      <c r="G965" s="208" t="s">
        <v>120</v>
      </c>
      <c r="H965" s="201"/>
      <c r="I965" s="201" t="s">
        <v>566</v>
      </c>
      <c r="J965" s="202"/>
      <c r="K965" s="202"/>
      <c r="L965" s="202"/>
      <c r="M965" s="202"/>
      <c r="N965" s="202"/>
      <c r="O965" s="202"/>
      <c r="P965" s="202"/>
      <c r="Q965" s="202"/>
      <c r="R965" s="202"/>
      <c r="S965" s="202"/>
      <c r="T965" s="202"/>
    </row>
    <row r="966" spans="1:20" s="182" customFormat="1" ht="14.15" hidden="1">
      <c r="A966" s="222">
        <v>45346</v>
      </c>
      <c r="B966" s="201" t="s">
        <v>1016</v>
      </c>
      <c r="C966" s="208" t="s">
        <v>146</v>
      </c>
      <c r="D966" s="592">
        <v>-36000</v>
      </c>
      <c r="E966" s="619">
        <v>45323</v>
      </c>
      <c r="F966" s="201" t="s">
        <v>109</v>
      </c>
      <c r="G966" s="208" t="s">
        <v>120</v>
      </c>
      <c r="H966" s="208" t="s">
        <v>147</v>
      </c>
      <c r="I966" s="201" t="s">
        <v>566</v>
      </c>
      <c r="J966" s="202"/>
      <c r="K966" s="202"/>
      <c r="L966" s="202"/>
      <c r="M966" s="202"/>
      <c r="N966" s="202"/>
      <c r="O966" s="202"/>
      <c r="P966" s="202"/>
      <c r="Q966" s="202"/>
      <c r="R966" s="202"/>
      <c r="S966" s="202"/>
      <c r="T966" s="202"/>
    </row>
    <row r="967" spans="1:20" s="182" customFormat="1" ht="14.15" hidden="1">
      <c r="A967" s="222">
        <v>45346</v>
      </c>
      <c r="B967" s="201" t="s">
        <v>1017</v>
      </c>
      <c r="C967" s="208" t="s">
        <v>146</v>
      </c>
      <c r="D967" s="592">
        <v>-15000</v>
      </c>
      <c r="E967" s="619">
        <v>45323</v>
      </c>
      <c r="F967" s="201" t="s">
        <v>109</v>
      </c>
      <c r="G967" s="208" t="s">
        <v>120</v>
      </c>
      <c r="H967" s="208" t="s">
        <v>147</v>
      </c>
      <c r="I967" s="201" t="s">
        <v>566</v>
      </c>
      <c r="J967" s="202"/>
      <c r="K967" s="202"/>
      <c r="L967" s="202"/>
      <c r="M967" s="202"/>
      <c r="N967" s="202"/>
      <c r="O967" s="202"/>
      <c r="P967" s="202"/>
      <c r="Q967" s="202"/>
      <c r="R967" s="202"/>
      <c r="S967" s="202"/>
      <c r="T967" s="202"/>
    </row>
    <row r="968" spans="1:20" s="182" customFormat="1" ht="14.15" hidden="1">
      <c r="A968" s="222">
        <v>45346</v>
      </c>
      <c r="B968" s="201" t="s">
        <v>1018</v>
      </c>
      <c r="C968" s="208" t="s">
        <v>146</v>
      </c>
      <c r="D968" s="592">
        <v>-120000</v>
      </c>
      <c r="E968" s="619">
        <v>45323</v>
      </c>
      <c r="F968" s="201" t="s">
        <v>109</v>
      </c>
      <c r="G968" s="208" t="s">
        <v>120</v>
      </c>
      <c r="H968" s="81" t="s">
        <v>138</v>
      </c>
      <c r="I968" s="201" t="s">
        <v>566</v>
      </c>
      <c r="J968" s="202"/>
      <c r="K968" s="202"/>
      <c r="L968" s="202"/>
      <c r="M968" s="202"/>
      <c r="N968" s="202"/>
      <c r="O968" s="202"/>
      <c r="P968" s="202"/>
      <c r="Q968" s="202"/>
      <c r="R968" s="202"/>
      <c r="S968" s="202"/>
      <c r="T968" s="202"/>
    </row>
    <row r="969" spans="1:20" s="182" customFormat="1" ht="14.15" hidden="1">
      <c r="A969" s="222">
        <v>45346</v>
      </c>
      <c r="B969" s="201" t="s">
        <v>1000</v>
      </c>
      <c r="C969" s="208" t="s">
        <v>146</v>
      </c>
      <c r="D969" s="592">
        <v>-20000</v>
      </c>
      <c r="E969" s="619">
        <v>45323</v>
      </c>
      <c r="F969" s="201" t="s">
        <v>109</v>
      </c>
      <c r="G969" s="208" t="s">
        <v>120</v>
      </c>
      <c r="H969" s="208" t="s">
        <v>147</v>
      </c>
      <c r="I969" s="201" t="s">
        <v>566</v>
      </c>
      <c r="J969" s="202"/>
      <c r="K969" s="202"/>
      <c r="L969" s="202"/>
      <c r="M969" s="202"/>
      <c r="N969" s="202"/>
      <c r="O969" s="202"/>
      <c r="P969" s="202"/>
      <c r="Q969" s="202"/>
      <c r="R969" s="202"/>
      <c r="S969" s="202"/>
      <c r="T969" s="202"/>
    </row>
    <row r="970" spans="1:20" s="182" customFormat="1" ht="14.15" hidden="1">
      <c r="A970" s="222">
        <v>45346</v>
      </c>
      <c r="B970" s="201" t="s">
        <v>1019</v>
      </c>
      <c r="C970" s="208" t="s">
        <v>146</v>
      </c>
      <c r="D970" s="592">
        <v>-40000</v>
      </c>
      <c r="E970" s="619">
        <v>45323</v>
      </c>
      <c r="F970" s="201" t="s">
        <v>109</v>
      </c>
      <c r="G970" s="208" t="s">
        <v>120</v>
      </c>
      <c r="H970" s="81" t="s">
        <v>138</v>
      </c>
      <c r="I970" s="201" t="s">
        <v>566</v>
      </c>
      <c r="J970" s="202"/>
      <c r="K970" s="202"/>
      <c r="L970" s="202"/>
      <c r="M970" s="202"/>
      <c r="N970" s="202"/>
      <c r="O970" s="202"/>
      <c r="P970" s="202"/>
      <c r="Q970" s="202"/>
      <c r="R970" s="202"/>
      <c r="S970" s="202"/>
      <c r="T970" s="202"/>
    </row>
    <row r="971" spans="1:20" s="182" customFormat="1" ht="14.15" hidden="1">
      <c r="A971" s="222">
        <v>45348</v>
      </c>
      <c r="B971" s="201" t="s">
        <v>1020</v>
      </c>
      <c r="C971" s="208" t="s">
        <v>146</v>
      </c>
      <c r="D971" s="592">
        <v>-1200000</v>
      </c>
      <c r="E971" s="619">
        <v>45323</v>
      </c>
      <c r="F971" s="201" t="s">
        <v>109</v>
      </c>
      <c r="G971" s="208" t="s">
        <v>120</v>
      </c>
      <c r="H971" s="208" t="s">
        <v>147</v>
      </c>
      <c r="I971" s="201" t="s">
        <v>566</v>
      </c>
      <c r="J971" s="202"/>
      <c r="K971" s="202"/>
      <c r="L971" s="202"/>
      <c r="M971" s="202"/>
      <c r="N971" s="202"/>
      <c r="O971" s="202"/>
      <c r="P971" s="202"/>
      <c r="Q971" s="202"/>
      <c r="R971" s="202"/>
      <c r="S971" s="202"/>
      <c r="T971" s="202"/>
    </row>
    <row r="972" spans="1:20" s="182" customFormat="1" ht="14.15" hidden="1">
      <c r="A972" s="222">
        <v>45350</v>
      </c>
      <c r="B972" s="201" t="s">
        <v>1021</v>
      </c>
      <c r="C972" s="208" t="s">
        <v>146</v>
      </c>
      <c r="D972" s="592">
        <v>-13800</v>
      </c>
      <c r="E972" s="619">
        <v>45323</v>
      </c>
      <c r="F972" s="201" t="s">
        <v>110</v>
      </c>
      <c r="G972" s="208" t="s">
        <v>453</v>
      </c>
      <c r="H972" s="208" t="s">
        <v>147</v>
      </c>
      <c r="I972" s="201" t="s">
        <v>173</v>
      </c>
      <c r="J972" s="202"/>
      <c r="K972" s="202"/>
      <c r="L972" s="202"/>
      <c r="M972" s="202"/>
      <c r="N972" s="202"/>
      <c r="O972" s="202"/>
      <c r="P972" s="202"/>
      <c r="Q972" s="202"/>
      <c r="R972" s="202"/>
      <c r="S972" s="202"/>
      <c r="T972" s="202"/>
    </row>
    <row r="973" spans="1:20" s="182" customFormat="1" ht="14.15" hidden="1">
      <c r="A973" s="222">
        <v>45350</v>
      </c>
      <c r="B973" s="201" t="s">
        <v>1022</v>
      </c>
      <c r="C973" s="208" t="s">
        <v>146</v>
      </c>
      <c r="D973" s="592">
        <v>-134200</v>
      </c>
      <c r="E973" s="619">
        <v>45323</v>
      </c>
      <c r="F973" s="201" t="s">
        <v>110</v>
      </c>
      <c r="G973" s="208" t="s">
        <v>453</v>
      </c>
      <c r="H973" s="208" t="s">
        <v>175</v>
      </c>
      <c r="I973" s="201" t="s">
        <v>173</v>
      </c>
      <c r="J973" s="202"/>
      <c r="K973" s="202"/>
      <c r="L973" s="202"/>
      <c r="M973" s="202"/>
      <c r="N973" s="202"/>
      <c r="O973" s="202"/>
      <c r="P973" s="202"/>
      <c r="Q973" s="202"/>
      <c r="R973" s="202"/>
      <c r="S973" s="202"/>
      <c r="T973" s="202"/>
    </row>
    <row r="974" spans="1:20" s="182" customFormat="1" ht="14.15" hidden="1">
      <c r="A974" s="222">
        <v>45350</v>
      </c>
      <c r="B974" s="201" t="s">
        <v>1023</v>
      </c>
      <c r="C974" s="208" t="s">
        <v>146</v>
      </c>
      <c r="D974" s="592">
        <v>-26500</v>
      </c>
      <c r="E974" s="619">
        <v>45323</v>
      </c>
      <c r="F974" s="201" t="s">
        <v>110</v>
      </c>
      <c r="G974" s="208" t="s">
        <v>453</v>
      </c>
      <c r="H974" s="208" t="s">
        <v>175</v>
      </c>
      <c r="I974" s="201" t="s">
        <v>173</v>
      </c>
      <c r="J974" s="202"/>
      <c r="K974" s="202"/>
      <c r="L974" s="202"/>
      <c r="M974" s="202"/>
      <c r="N974" s="202"/>
      <c r="O974" s="202"/>
      <c r="P974" s="202"/>
      <c r="Q974" s="202"/>
      <c r="R974" s="202"/>
      <c r="S974" s="202"/>
      <c r="T974" s="202"/>
    </row>
    <row r="975" spans="1:20" s="182" customFormat="1" ht="14.15" hidden="1">
      <c r="A975" s="222">
        <v>45350</v>
      </c>
      <c r="B975" s="201" t="s">
        <v>1024</v>
      </c>
      <c r="C975" s="208" t="s">
        <v>146</v>
      </c>
      <c r="D975" s="592">
        <v>-240000</v>
      </c>
      <c r="E975" s="619">
        <v>45323</v>
      </c>
      <c r="F975" s="201" t="s">
        <v>110</v>
      </c>
      <c r="G975" s="208" t="s">
        <v>453</v>
      </c>
      <c r="H975" s="208" t="s">
        <v>175</v>
      </c>
      <c r="I975" s="201" t="s">
        <v>173</v>
      </c>
      <c r="J975" s="202"/>
      <c r="K975" s="202"/>
      <c r="L975" s="202"/>
      <c r="M975" s="202"/>
      <c r="N975" s="202"/>
      <c r="O975" s="202"/>
      <c r="P975" s="202"/>
      <c r="Q975" s="202"/>
      <c r="R975" s="202"/>
      <c r="S975" s="202"/>
      <c r="T975" s="202"/>
    </row>
    <row r="976" spans="1:20" s="182" customFormat="1" ht="14.15" hidden="1">
      <c r="A976" s="222">
        <v>45350</v>
      </c>
      <c r="B976" s="201" t="s">
        <v>1025</v>
      </c>
      <c r="C976" s="208" t="s">
        <v>146</v>
      </c>
      <c r="D976" s="592">
        <v>-122600</v>
      </c>
      <c r="E976" s="619">
        <v>45323</v>
      </c>
      <c r="F976" s="201" t="s">
        <v>110</v>
      </c>
      <c r="G976" s="208" t="s">
        <v>453</v>
      </c>
      <c r="H976" s="208" t="s">
        <v>175</v>
      </c>
      <c r="I976" s="201" t="s">
        <v>173</v>
      </c>
      <c r="J976" s="202"/>
      <c r="K976" s="202"/>
      <c r="L976" s="202"/>
      <c r="M976" s="202"/>
      <c r="N976" s="202"/>
      <c r="O976" s="202"/>
      <c r="P976" s="202"/>
      <c r="Q976" s="202"/>
      <c r="R976" s="202"/>
      <c r="S976" s="202"/>
      <c r="T976" s="202"/>
    </row>
    <row r="977" spans="1:20" s="182" customFormat="1" ht="14.15" hidden="1">
      <c r="A977" s="222">
        <v>45350</v>
      </c>
      <c r="B977" s="201" t="s">
        <v>1026</v>
      </c>
      <c r="C977" s="208" t="s">
        <v>146</v>
      </c>
      <c r="D977" s="592">
        <v>-30000</v>
      </c>
      <c r="E977" s="619">
        <v>45323</v>
      </c>
      <c r="F977" s="201" t="s">
        <v>110</v>
      </c>
      <c r="G977" s="208" t="s">
        <v>453</v>
      </c>
      <c r="H977" s="208" t="s">
        <v>175</v>
      </c>
      <c r="I977" s="201" t="s">
        <v>173</v>
      </c>
      <c r="J977" s="202"/>
      <c r="K977" s="202"/>
      <c r="L977" s="202"/>
      <c r="M977" s="202"/>
      <c r="N977" s="202"/>
      <c r="O977" s="202"/>
      <c r="P977" s="202"/>
      <c r="Q977" s="202"/>
      <c r="R977" s="202"/>
      <c r="S977" s="202"/>
      <c r="T977" s="202"/>
    </row>
    <row r="978" spans="1:20" s="182" customFormat="1" ht="14.15" hidden="1">
      <c r="A978" s="222">
        <v>45351</v>
      </c>
      <c r="B978" s="201" t="s">
        <v>1027</v>
      </c>
      <c r="C978" s="208" t="s">
        <v>146</v>
      </c>
      <c r="D978" s="592">
        <v>-191900</v>
      </c>
      <c r="E978" s="619">
        <v>45323</v>
      </c>
      <c r="F978" s="208" t="s">
        <v>109</v>
      </c>
      <c r="G978" s="208" t="s">
        <v>317</v>
      </c>
      <c r="H978" s="208" t="s">
        <v>175</v>
      </c>
      <c r="I978" s="201" t="s">
        <v>173</v>
      </c>
      <c r="J978" s="202"/>
      <c r="K978" s="202"/>
      <c r="L978" s="202"/>
      <c r="M978" s="202"/>
      <c r="N978" s="202"/>
      <c r="O978" s="202"/>
      <c r="P978" s="202"/>
      <c r="Q978" s="202"/>
      <c r="R978" s="202"/>
      <c r="S978" s="202"/>
      <c r="T978" s="202"/>
    </row>
    <row r="979" spans="1:20" s="182" customFormat="1" ht="14.15" hidden="1">
      <c r="A979" s="222">
        <v>45351</v>
      </c>
      <c r="B979" s="201" t="s">
        <v>1028</v>
      </c>
      <c r="C979" s="208" t="s">
        <v>146</v>
      </c>
      <c r="D979" s="592">
        <v>-60400</v>
      </c>
      <c r="E979" s="619">
        <v>45323</v>
      </c>
      <c r="F979" s="208" t="s">
        <v>109</v>
      </c>
      <c r="G979" s="208" t="s">
        <v>317</v>
      </c>
      <c r="H979" s="208" t="s">
        <v>175</v>
      </c>
      <c r="I979" s="201" t="s">
        <v>173</v>
      </c>
      <c r="J979" s="202"/>
      <c r="K979" s="202"/>
      <c r="L979" s="202"/>
      <c r="M979" s="202"/>
      <c r="N979" s="202"/>
      <c r="O979" s="202"/>
      <c r="P979" s="202"/>
      <c r="Q979" s="202"/>
      <c r="R979" s="202"/>
      <c r="S979" s="202"/>
      <c r="T979" s="202"/>
    </row>
    <row r="980" spans="1:20" s="182" customFormat="1" ht="14.15" hidden="1">
      <c r="A980" s="222">
        <v>45350</v>
      </c>
      <c r="B980" s="201" t="s">
        <v>1029</v>
      </c>
      <c r="C980" s="208" t="s">
        <v>146</v>
      </c>
      <c r="D980" s="592">
        <v>-7000</v>
      </c>
      <c r="E980" s="212">
        <v>45323</v>
      </c>
      <c r="F980" s="291" t="s">
        <v>130</v>
      </c>
      <c r="G980" s="208" t="s">
        <v>130</v>
      </c>
      <c r="H980" s="201" t="s">
        <v>184</v>
      </c>
      <c r="I980" s="201" t="s">
        <v>173</v>
      </c>
      <c r="J980" s="202"/>
      <c r="K980" s="202"/>
      <c r="L980" s="202"/>
      <c r="M980" s="202"/>
      <c r="N980" s="202"/>
      <c r="O980" s="202"/>
      <c r="P980" s="202"/>
      <c r="Q980" s="202"/>
      <c r="R980" s="202"/>
      <c r="S980" s="202"/>
      <c r="T980" s="202"/>
    </row>
    <row r="981" spans="1:20" s="182" customFormat="1" ht="14.15" hidden="1">
      <c r="A981" s="222">
        <v>45348</v>
      </c>
      <c r="B981" s="201" t="s">
        <v>402</v>
      </c>
      <c r="C981" s="208" t="s">
        <v>27</v>
      </c>
      <c r="D981" s="592">
        <v>-832833.79</v>
      </c>
      <c r="E981" s="619">
        <v>45323</v>
      </c>
      <c r="F981" s="201" t="s">
        <v>118</v>
      </c>
      <c r="G981" s="291"/>
      <c r="H981" s="201"/>
      <c r="I981" s="201"/>
      <c r="J981" s="202"/>
      <c r="K981" s="202"/>
      <c r="L981" s="202"/>
      <c r="M981" s="202"/>
      <c r="N981" s="202"/>
      <c r="O981" s="202"/>
      <c r="P981" s="202"/>
      <c r="Q981" s="202"/>
      <c r="R981" s="202"/>
      <c r="S981" s="202"/>
      <c r="T981" s="202"/>
    </row>
    <row r="982" spans="1:20" s="182" customFormat="1" ht="14.15" hidden="1">
      <c r="A982" s="222">
        <v>45348</v>
      </c>
      <c r="B982" s="201" t="s">
        <v>1030</v>
      </c>
      <c r="C982" s="208" t="s">
        <v>27</v>
      </c>
      <c r="D982" s="592">
        <v>-370072</v>
      </c>
      <c r="E982" s="212">
        <v>45323</v>
      </c>
      <c r="F982" s="84" t="s">
        <v>111</v>
      </c>
      <c r="G982" s="201"/>
      <c r="H982" s="201"/>
      <c r="I982" s="201"/>
      <c r="J982" s="202"/>
      <c r="K982" s="202"/>
      <c r="L982" s="202"/>
      <c r="M982" s="202"/>
      <c r="N982" s="202"/>
      <c r="O982" s="202"/>
      <c r="P982" s="202"/>
      <c r="Q982" s="202"/>
      <c r="R982" s="202"/>
      <c r="S982" s="202"/>
      <c r="T982" s="202"/>
    </row>
    <row r="983" spans="1:20" s="182" customFormat="1" ht="14.15" hidden="1">
      <c r="A983" s="222">
        <v>45348</v>
      </c>
      <c r="B983" s="201" t="s">
        <v>466</v>
      </c>
      <c r="C983" s="208" t="s">
        <v>27</v>
      </c>
      <c r="D983" s="592">
        <v>-909862</v>
      </c>
      <c r="E983" s="619">
        <v>45323</v>
      </c>
      <c r="F983" s="201" t="s">
        <v>130</v>
      </c>
      <c r="G983" s="201" t="s">
        <v>257</v>
      </c>
      <c r="H983" s="201" t="s">
        <v>1031</v>
      </c>
      <c r="I983" s="201"/>
      <c r="J983" s="202"/>
      <c r="K983" s="202"/>
      <c r="L983" s="202"/>
      <c r="M983" s="202"/>
      <c r="N983" s="202"/>
      <c r="O983" s="202"/>
      <c r="P983" s="202"/>
      <c r="Q983" s="202"/>
      <c r="R983" s="202"/>
      <c r="S983" s="202"/>
      <c r="T983" s="202"/>
    </row>
    <row r="984" spans="1:20" s="182" customFormat="1" ht="14.15" hidden="1">
      <c r="A984" s="222">
        <v>45348</v>
      </c>
      <c r="B984" s="201" t="s">
        <v>405</v>
      </c>
      <c r="C984" s="208" t="s">
        <v>27</v>
      </c>
      <c r="D984" s="592">
        <v>-33040</v>
      </c>
      <c r="E984" s="619">
        <v>45323</v>
      </c>
      <c r="F984" s="201" t="s">
        <v>130</v>
      </c>
      <c r="G984" s="201" t="s">
        <v>257</v>
      </c>
      <c r="H984" s="201" t="s">
        <v>1032</v>
      </c>
      <c r="I984" s="201"/>
      <c r="J984" s="202"/>
      <c r="K984" s="202"/>
      <c r="L984" s="202"/>
      <c r="M984" s="202"/>
      <c r="N984" s="202"/>
      <c r="O984" s="202"/>
      <c r="P984" s="202"/>
      <c r="Q984" s="202"/>
      <c r="R984" s="202"/>
      <c r="S984" s="202"/>
      <c r="T984" s="202"/>
    </row>
    <row r="985" spans="1:20" s="182" customFormat="1" ht="14.15" hidden="1">
      <c r="A985" s="222">
        <v>45348</v>
      </c>
      <c r="B985" s="201" t="s">
        <v>1033</v>
      </c>
      <c r="C985" s="208" t="s">
        <v>27</v>
      </c>
      <c r="D985" s="592">
        <v>-39040</v>
      </c>
      <c r="E985" s="619">
        <v>45323</v>
      </c>
      <c r="F985" s="201" t="s">
        <v>130</v>
      </c>
      <c r="G985" s="201" t="s">
        <v>130</v>
      </c>
      <c r="H985" s="201" t="s">
        <v>1032</v>
      </c>
      <c r="I985" s="201"/>
      <c r="J985" s="202"/>
      <c r="K985" s="202"/>
      <c r="L985" s="202"/>
      <c r="M985" s="202"/>
      <c r="N985" s="202"/>
      <c r="O985" s="202"/>
      <c r="P985" s="202"/>
      <c r="Q985" s="202"/>
      <c r="R985" s="202"/>
      <c r="S985" s="202"/>
      <c r="T985" s="202"/>
    </row>
    <row r="986" spans="1:20" s="182" customFormat="1" ht="14.15" hidden="1">
      <c r="A986" s="222">
        <v>45348</v>
      </c>
      <c r="B986" s="201" t="s">
        <v>1034</v>
      </c>
      <c r="C986" s="208" t="s">
        <v>27</v>
      </c>
      <c r="D986" s="592">
        <v>-1240000</v>
      </c>
      <c r="E986" s="619">
        <v>45323</v>
      </c>
      <c r="F986" s="201" t="s">
        <v>109</v>
      </c>
      <c r="G986" s="208" t="s">
        <v>120</v>
      </c>
      <c r="H986" s="208" t="s">
        <v>147</v>
      </c>
      <c r="I986" s="201"/>
      <c r="J986" s="202"/>
      <c r="K986" s="202"/>
      <c r="L986" s="202"/>
      <c r="M986" s="202"/>
      <c r="N986" s="202"/>
      <c r="O986" s="202"/>
      <c r="P986" s="202"/>
      <c r="Q986" s="202"/>
      <c r="R986" s="202"/>
      <c r="S986" s="202"/>
      <c r="T986" s="202"/>
    </row>
    <row r="987" spans="1:20" s="182" customFormat="1" ht="14.15" hidden="1">
      <c r="A987" s="222">
        <v>45348</v>
      </c>
      <c r="B987" s="201" t="s">
        <v>1035</v>
      </c>
      <c r="C987" s="208" t="s">
        <v>27</v>
      </c>
      <c r="D987" s="592">
        <v>-7800000</v>
      </c>
      <c r="E987" s="619">
        <v>45323</v>
      </c>
      <c r="F987" s="201" t="s">
        <v>109</v>
      </c>
      <c r="G987" s="201" t="s">
        <v>150</v>
      </c>
      <c r="H987" s="201"/>
      <c r="I987" s="201"/>
      <c r="J987" s="202"/>
      <c r="K987" s="202"/>
      <c r="L987" s="202"/>
      <c r="M987" s="202"/>
      <c r="N987" s="202"/>
      <c r="O987" s="202"/>
      <c r="P987" s="202"/>
      <c r="Q987" s="202"/>
      <c r="R987" s="202"/>
      <c r="S987" s="202"/>
      <c r="T987" s="202"/>
    </row>
    <row r="988" spans="1:20" s="182" customFormat="1" ht="14.15" hidden="1">
      <c r="A988" s="222">
        <v>45348</v>
      </c>
      <c r="B988" s="201" t="s">
        <v>1036</v>
      </c>
      <c r="C988" s="208" t="s">
        <v>27</v>
      </c>
      <c r="D988" s="592">
        <v>-279286</v>
      </c>
      <c r="E988" s="212">
        <v>45323</v>
      </c>
      <c r="F988" s="291" t="s">
        <v>130</v>
      </c>
      <c r="G988" s="208" t="s">
        <v>130</v>
      </c>
      <c r="H988" s="201" t="s">
        <v>184</v>
      </c>
      <c r="I988" s="201"/>
      <c r="J988" s="202"/>
      <c r="K988" s="202"/>
      <c r="L988" s="202"/>
      <c r="M988" s="202"/>
      <c r="N988" s="202"/>
      <c r="O988" s="202"/>
      <c r="P988" s="202"/>
      <c r="Q988" s="202"/>
      <c r="R988" s="202"/>
      <c r="S988" s="202"/>
      <c r="T988" s="202"/>
    </row>
    <row r="989" spans="1:20" s="182" customFormat="1" ht="14.15" hidden="1">
      <c r="A989" s="222">
        <v>45348</v>
      </c>
      <c r="B989" s="201" t="s">
        <v>1037</v>
      </c>
      <c r="C989" s="208" t="s">
        <v>27</v>
      </c>
      <c r="D989" s="592">
        <v>-1932000</v>
      </c>
      <c r="E989" s="619">
        <v>45323</v>
      </c>
      <c r="F989" s="201" t="s">
        <v>130</v>
      </c>
      <c r="G989" s="201" t="s">
        <v>130</v>
      </c>
      <c r="H989" s="201" t="s">
        <v>1038</v>
      </c>
      <c r="I989" s="201"/>
      <c r="J989" s="202"/>
      <c r="K989" s="202"/>
      <c r="L989" s="202"/>
      <c r="M989" s="202"/>
      <c r="N989" s="202"/>
      <c r="O989" s="202"/>
      <c r="P989" s="202"/>
      <c r="Q989" s="202"/>
      <c r="R989" s="202"/>
      <c r="S989" s="202"/>
      <c r="T989" s="202"/>
    </row>
    <row r="990" spans="1:20" s="182" customFormat="1" ht="14.15" hidden="1">
      <c r="A990" s="222">
        <v>45348</v>
      </c>
      <c r="B990" s="201" t="s">
        <v>1039</v>
      </c>
      <c r="C990" s="208" t="s">
        <v>27</v>
      </c>
      <c r="D990" s="592">
        <v>-200900</v>
      </c>
      <c r="E990" s="619">
        <v>45323</v>
      </c>
      <c r="F990" s="201" t="s">
        <v>110</v>
      </c>
      <c r="G990" s="208" t="s">
        <v>450</v>
      </c>
      <c r="H990" s="208" t="s">
        <v>175</v>
      </c>
      <c r="I990" s="201"/>
      <c r="J990" s="202"/>
      <c r="K990" s="202"/>
      <c r="L990" s="202"/>
      <c r="M990" s="202"/>
      <c r="N990" s="202"/>
      <c r="O990" s="202"/>
      <c r="P990" s="202"/>
      <c r="Q990" s="202"/>
      <c r="R990" s="202"/>
      <c r="S990" s="202"/>
      <c r="T990" s="202"/>
    </row>
    <row r="991" spans="1:20" s="182" customFormat="1" ht="14.15" hidden="1">
      <c r="A991" s="222">
        <v>45348</v>
      </c>
      <c r="B991" s="201" t="s">
        <v>1040</v>
      </c>
      <c r="C991" s="208" t="s">
        <v>27</v>
      </c>
      <c r="D991" s="592">
        <v>-210000</v>
      </c>
      <c r="E991" s="619">
        <v>45323</v>
      </c>
      <c r="F991" s="201" t="s">
        <v>110</v>
      </c>
      <c r="G991" s="208" t="s">
        <v>450</v>
      </c>
      <c r="H991" s="208" t="s">
        <v>175</v>
      </c>
      <c r="I991" s="201"/>
      <c r="J991" s="202"/>
      <c r="K991" s="202"/>
      <c r="L991" s="202"/>
      <c r="M991" s="202"/>
      <c r="N991" s="202"/>
      <c r="O991" s="202"/>
      <c r="P991" s="202"/>
      <c r="Q991" s="202"/>
      <c r="R991" s="202"/>
      <c r="S991" s="202"/>
      <c r="T991" s="202"/>
    </row>
    <row r="992" spans="1:20" s="182" customFormat="1" ht="14.15" hidden="1">
      <c r="A992" s="222">
        <v>45348</v>
      </c>
      <c r="B992" s="201" t="s">
        <v>1041</v>
      </c>
      <c r="C992" s="208" t="s">
        <v>27</v>
      </c>
      <c r="D992" s="592">
        <v>-870000</v>
      </c>
      <c r="E992" s="619">
        <v>45323</v>
      </c>
      <c r="F992" s="201" t="s">
        <v>110</v>
      </c>
      <c r="G992" s="208" t="s">
        <v>450</v>
      </c>
      <c r="H992" s="208" t="s">
        <v>147</v>
      </c>
      <c r="I992" s="201"/>
      <c r="J992" s="202"/>
      <c r="K992" s="202"/>
      <c r="L992" s="202"/>
      <c r="M992" s="202"/>
      <c r="N992" s="202"/>
      <c r="O992" s="202"/>
      <c r="P992" s="202"/>
      <c r="Q992" s="202"/>
      <c r="R992" s="202"/>
      <c r="S992" s="202"/>
      <c r="T992" s="202"/>
    </row>
    <row r="993" spans="1:20" s="182" customFormat="1" ht="14.15" hidden="1">
      <c r="A993" s="222">
        <v>45348</v>
      </c>
      <c r="B993" s="201" t="s">
        <v>1042</v>
      </c>
      <c r="C993" s="208" t="s">
        <v>27</v>
      </c>
      <c r="D993" s="592">
        <v>-11490000</v>
      </c>
      <c r="E993" s="619">
        <v>45323</v>
      </c>
      <c r="F993" s="201" t="s">
        <v>130</v>
      </c>
      <c r="G993" s="201" t="s">
        <v>130</v>
      </c>
      <c r="H993" s="201" t="s">
        <v>1038</v>
      </c>
      <c r="I993" s="201"/>
      <c r="J993" s="202"/>
      <c r="K993" s="202"/>
      <c r="L993" s="202"/>
      <c r="M993" s="202"/>
      <c r="N993" s="202"/>
      <c r="O993" s="202"/>
      <c r="P993" s="202"/>
      <c r="Q993" s="202"/>
      <c r="R993" s="202"/>
      <c r="S993" s="202"/>
      <c r="T993" s="202"/>
    </row>
    <row r="994" spans="1:20" s="182" customFormat="1" ht="14.15" hidden="1">
      <c r="A994" s="222">
        <v>45348</v>
      </c>
      <c r="B994" s="201" t="s">
        <v>1043</v>
      </c>
      <c r="C994" s="208" t="s">
        <v>27</v>
      </c>
      <c r="D994" s="592">
        <v>-456221</v>
      </c>
      <c r="E994" s="619">
        <v>45323</v>
      </c>
      <c r="F994" s="201" t="s">
        <v>109</v>
      </c>
      <c r="G994" s="208" t="s">
        <v>120</v>
      </c>
      <c r="H994" s="208" t="s">
        <v>175</v>
      </c>
      <c r="I994" s="201"/>
      <c r="J994" s="202"/>
      <c r="K994" s="202"/>
      <c r="L994" s="202"/>
      <c r="M994" s="202"/>
      <c r="N994" s="202"/>
      <c r="O994" s="202"/>
      <c r="P994" s="202"/>
      <c r="Q994" s="202"/>
      <c r="R994" s="202"/>
      <c r="S994" s="202"/>
      <c r="T994" s="202"/>
    </row>
    <row r="995" spans="1:20" s="182" customFormat="1" ht="14.15" hidden="1">
      <c r="A995" s="222">
        <v>45348</v>
      </c>
      <c r="B995" s="201" t="s">
        <v>1044</v>
      </c>
      <c r="C995" s="208" t="s">
        <v>27</v>
      </c>
      <c r="D995" s="592">
        <v>-79784.78</v>
      </c>
      <c r="E995" s="212">
        <v>45323</v>
      </c>
      <c r="F995" s="291" t="s">
        <v>130</v>
      </c>
      <c r="G995" s="208" t="s">
        <v>130</v>
      </c>
      <c r="H995" s="201" t="s">
        <v>184</v>
      </c>
      <c r="I995" s="201"/>
      <c r="J995" s="202"/>
      <c r="K995" s="202"/>
      <c r="L995" s="202"/>
      <c r="M995" s="202"/>
      <c r="N995" s="202"/>
      <c r="O995" s="202"/>
      <c r="P995" s="202"/>
      <c r="Q995" s="202"/>
      <c r="R995" s="202"/>
      <c r="S995" s="202"/>
      <c r="T995" s="202"/>
    </row>
    <row r="996" spans="1:20" s="182" customFormat="1" ht="14.15" hidden="1">
      <c r="A996" s="222">
        <v>45348</v>
      </c>
      <c r="B996" s="201" t="s">
        <v>1045</v>
      </c>
      <c r="C996" s="208" t="s">
        <v>27</v>
      </c>
      <c r="D996" s="592">
        <v>-2000000</v>
      </c>
      <c r="E996" s="619">
        <v>45323</v>
      </c>
      <c r="F996" s="201" t="s">
        <v>109</v>
      </c>
      <c r="G996" s="208" t="s">
        <v>120</v>
      </c>
      <c r="H996" s="201"/>
      <c r="I996" s="201"/>
      <c r="J996" s="202"/>
      <c r="K996" s="202"/>
      <c r="L996" s="202"/>
      <c r="M996" s="202"/>
      <c r="N996" s="202"/>
      <c r="O996" s="202"/>
      <c r="P996" s="202"/>
      <c r="Q996" s="202"/>
      <c r="R996" s="202"/>
      <c r="S996" s="202"/>
      <c r="T996" s="202"/>
    </row>
    <row r="997" spans="1:20" s="182" customFormat="1" ht="14.15" hidden="1">
      <c r="A997" s="222">
        <v>45349</v>
      </c>
      <c r="B997" s="201" t="s">
        <v>1046</v>
      </c>
      <c r="C997" s="208" t="s">
        <v>27</v>
      </c>
      <c r="D997" s="592">
        <v>-222000</v>
      </c>
      <c r="E997" s="619">
        <v>45323</v>
      </c>
      <c r="F997" s="201" t="s">
        <v>109</v>
      </c>
      <c r="G997" s="208" t="s">
        <v>383</v>
      </c>
      <c r="H997" s="208" t="s">
        <v>147</v>
      </c>
      <c r="I997" s="201"/>
      <c r="J997" s="202"/>
      <c r="K997" s="202"/>
      <c r="L997" s="202"/>
      <c r="M997" s="202"/>
      <c r="N997" s="202"/>
      <c r="O997" s="202"/>
      <c r="P997" s="202"/>
      <c r="Q997" s="202"/>
      <c r="R997" s="202"/>
      <c r="S997" s="202"/>
      <c r="T997" s="202"/>
    </row>
    <row r="998" spans="1:20" s="182" customFormat="1" ht="14.15" hidden="1">
      <c r="A998" s="222">
        <v>45349</v>
      </c>
      <c r="B998" s="201" t="s">
        <v>1047</v>
      </c>
      <c r="C998" s="208" t="s">
        <v>27</v>
      </c>
      <c r="D998" s="592">
        <v>-160000</v>
      </c>
      <c r="E998" s="619">
        <v>45323</v>
      </c>
      <c r="F998" s="201" t="s">
        <v>109</v>
      </c>
      <c r="G998" s="208" t="s">
        <v>414</v>
      </c>
      <c r="H998" s="208" t="s">
        <v>175</v>
      </c>
      <c r="I998" s="201"/>
      <c r="J998" s="202"/>
      <c r="K998" s="202"/>
      <c r="L998" s="202"/>
      <c r="M998" s="202"/>
      <c r="N998" s="202"/>
      <c r="O998" s="202"/>
      <c r="P998" s="202"/>
      <c r="Q998" s="202"/>
      <c r="R998" s="202"/>
      <c r="S998" s="202"/>
      <c r="T998" s="202"/>
    </row>
    <row r="999" spans="1:20" s="182" customFormat="1" ht="14.15" hidden="1">
      <c r="A999" s="222">
        <v>45349</v>
      </c>
      <c r="B999" s="201" t="s">
        <v>1048</v>
      </c>
      <c r="C999" s="208" t="s">
        <v>27</v>
      </c>
      <c r="D999" s="592">
        <v>160000</v>
      </c>
      <c r="E999" s="619">
        <v>45323</v>
      </c>
      <c r="F999" s="201" t="s">
        <v>109</v>
      </c>
      <c r="G999" s="208" t="s">
        <v>414</v>
      </c>
      <c r="H999" s="208" t="s">
        <v>175</v>
      </c>
      <c r="I999" s="201"/>
      <c r="J999" s="202"/>
      <c r="K999" s="202"/>
      <c r="L999" s="202"/>
      <c r="M999" s="202"/>
      <c r="N999" s="202"/>
      <c r="O999" s="202"/>
      <c r="P999" s="202"/>
      <c r="Q999" s="202"/>
      <c r="R999" s="202"/>
      <c r="S999" s="202"/>
      <c r="T999" s="202"/>
    </row>
    <row r="1000" spans="1:20" s="182" customFormat="1" ht="14.15" hidden="1">
      <c r="A1000" s="222">
        <v>45349</v>
      </c>
      <c r="B1000" s="201" t="s">
        <v>1049</v>
      </c>
      <c r="C1000" s="208" t="s">
        <v>27</v>
      </c>
      <c r="D1000" s="592">
        <v>-20900</v>
      </c>
      <c r="E1000" s="212">
        <v>45323</v>
      </c>
      <c r="F1000" s="291" t="s">
        <v>130</v>
      </c>
      <c r="G1000" s="208" t="s">
        <v>130</v>
      </c>
      <c r="H1000" s="201" t="s">
        <v>184</v>
      </c>
      <c r="I1000" s="201"/>
      <c r="J1000" s="202"/>
      <c r="K1000" s="202"/>
      <c r="L1000" s="202"/>
      <c r="M1000" s="202"/>
      <c r="N1000" s="202"/>
      <c r="O1000" s="202"/>
      <c r="P1000" s="202"/>
      <c r="Q1000" s="202"/>
      <c r="R1000" s="202"/>
      <c r="S1000" s="202"/>
      <c r="T1000" s="202"/>
    </row>
    <row r="1001" spans="1:20" s="182" customFormat="1" ht="14.15" hidden="1">
      <c r="A1001" s="222">
        <v>45349</v>
      </c>
      <c r="B1001" s="201" t="s">
        <v>1050</v>
      </c>
      <c r="C1001" s="208" t="s">
        <v>27</v>
      </c>
      <c r="D1001" s="592">
        <v>-20900</v>
      </c>
      <c r="E1001" s="212">
        <v>45323</v>
      </c>
      <c r="F1001" s="291" t="s">
        <v>130</v>
      </c>
      <c r="G1001" s="208" t="s">
        <v>130</v>
      </c>
      <c r="H1001" s="201" t="s">
        <v>184</v>
      </c>
      <c r="I1001" s="201"/>
      <c r="J1001" s="202"/>
      <c r="K1001" s="202"/>
      <c r="L1001" s="202"/>
      <c r="M1001" s="202"/>
      <c r="N1001" s="202"/>
      <c r="O1001" s="202"/>
      <c r="P1001" s="202"/>
      <c r="Q1001" s="202"/>
      <c r="R1001" s="202"/>
      <c r="S1001" s="202"/>
      <c r="T1001" s="202"/>
    </row>
    <row r="1002" spans="1:20" s="182" customFormat="1" ht="14.15" hidden="1">
      <c r="A1002" s="222">
        <v>45349</v>
      </c>
      <c r="B1002" s="201" t="s">
        <v>1051</v>
      </c>
      <c r="C1002" s="208" t="s">
        <v>27</v>
      </c>
      <c r="D1002" s="592">
        <v>-7900</v>
      </c>
      <c r="E1002" s="212">
        <v>45323</v>
      </c>
      <c r="F1002" s="291" t="s">
        <v>130</v>
      </c>
      <c r="G1002" s="208" t="s">
        <v>130</v>
      </c>
      <c r="H1002" s="201" t="s">
        <v>184</v>
      </c>
      <c r="I1002" s="201"/>
      <c r="J1002" s="202"/>
      <c r="K1002" s="202"/>
      <c r="L1002" s="202"/>
      <c r="M1002" s="202"/>
      <c r="N1002" s="202"/>
      <c r="O1002" s="202"/>
      <c r="P1002" s="202"/>
      <c r="Q1002" s="202"/>
      <c r="R1002" s="202"/>
      <c r="S1002" s="202"/>
      <c r="T1002" s="202"/>
    </row>
    <row r="1003" spans="1:20" s="182" customFormat="1" ht="14.15" hidden="1">
      <c r="A1003" s="222">
        <v>45349</v>
      </c>
      <c r="B1003" s="201" t="s">
        <v>1052</v>
      </c>
      <c r="C1003" s="208" t="s">
        <v>27</v>
      </c>
      <c r="D1003" s="592">
        <v>-60000</v>
      </c>
      <c r="E1003" s="619">
        <v>45323</v>
      </c>
      <c r="F1003" s="201" t="s">
        <v>130</v>
      </c>
      <c r="G1003" s="201" t="s">
        <v>257</v>
      </c>
      <c r="H1003" s="201" t="s">
        <v>303</v>
      </c>
      <c r="I1003" s="201"/>
      <c r="J1003" s="202"/>
      <c r="K1003" s="202"/>
      <c r="L1003" s="202"/>
      <c r="M1003" s="202"/>
      <c r="N1003" s="202"/>
      <c r="O1003" s="202"/>
      <c r="P1003" s="202"/>
      <c r="Q1003" s="202"/>
      <c r="R1003" s="202"/>
      <c r="S1003" s="202"/>
      <c r="T1003" s="202"/>
    </row>
    <row r="1004" spans="1:20" s="182" customFormat="1" ht="14.15" hidden="1">
      <c r="A1004" s="222">
        <v>45350</v>
      </c>
      <c r="B1004" s="201" t="s">
        <v>1053</v>
      </c>
      <c r="C1004" s="208" t="s">
        <v>27</v>
      </c>
      <c r="D1004" s="592">
        <v>-2690402</v>
      </c>
      <c r="E1004" s="619">
        <v>45323</v>
      </c>
      <c r="F1004" s="201" t="s">
        <v>110</v>
      </c>
      <c r="G1004" s="208" t="s">
        <v>453</v>
      </c>
      <c r="H1004" s="201" t="s">
        <v>549</v>
      </c>
      <c r="I1004" s="201"/>
      <c r="J1004" s="202"/>
      <c r="K1004" s="202"/>
      <c r="L1004" s="202"/>
      <c r="M1004" s="202"/>
      <c r="N1004" s="202"/>
      <c r="O1004" s="202"/>
      <c r="P1004" s="202"/>
      <c r="Q1004" s="202"/>
      <c r="R1004" s="202"/>
      <c r="S1004" s="202"/>
      <c r="T1004" s="202"/>
    </row>
    <row r="1005" spans="1:20" s="182" customFormat="1" ht="14.15" hidden="1">
      <c r="A1005" s="222">
        <v>45350</v>
      </c>
      <c r="B1005" s="201" t="s">
        <v>1054</v>
      </c>
      <c r="C1005" s="208" t="s">
        <v>133</v>
      </c>
      <c r="D1005" s="592">
        <v>-57734</v>
      </c>
      <c r="E1005" s="619">
        <v>45323</v>
      </c>
      <c r="F1005" s="201" t="s">
        <v>110</v>
      </c>
      <c r="G1005" s="208" t="s">
        <v>453</v>
      </c>
      <c r="H1005" s="201" t="s">
        <v>549</v>
      </c>
      <c r="I1005" s="201"/>
      <c r="J1005" s="202"/>
      <c r="K1005" s="202"/>
      <c r="L1005" s="202"/>
      <c r="M1005" s="202"/>
      <c r="N1005" s="202"/>
      <c r="O1005" s="202"/>
      <c r="P1005" s="202"/>
      <c r="Q1005" s="202"/>
      <c r="R1005" s="202"/>
      <c r="S1005" s="202"/>
      <c r="T1005" s="202"/>
    </row>
    <row r="1006" spans="1:20" s="182" customFormat="1" ht="14.15" hidden="1">
      <c r="A1006" s="222">
        <v>45350</v>
      </c>
      <c r="B1006" s="201" t="s">
        <v>1055</v>
      </c>
      <c r="C1006" s="208" t="s">
        <v>27</v>
      </c>
      <c r="D1006" s="592">
        <v>-970000</v>
      </c>
      <c r="E1006" s="619">
        <v>45323</v>
      </c>
      <c r="F1006" s="201" t="s">
        <v>130</v>
      </c>
      <c r="G1006" s="201" t="s">
        <v>257</v>
      </c>
      <c r="H1006" s="201" t="s">
        <v>663</v>
      </c>
      <c r="I1006" s="201"/>
      <c r="J1006" s="202"/>
      <c r="K1006" s="202"/>
      <c r="L1006" s="202"/>
      <c r="M1006" s="202"/>
      <c r="N1006" s="202"/>
      <c r="O1006" s="202"/>
      <c r="P1006" s="202"/>
      <c r="Q1006" s="202"/>
      <c r="R1006" s="202"/>
      <c r="S1006" s="202"/>
      <c r="T1006" s="202"/>
    </row>
    <row r="1007" spans="1:20" s="182" customFormat="1" ht="14.15" hidden="1">
      <c r="A1007" s="222">
        <v>45351</v>
      </c>
      <c r="B1007" s="201" t="s">
        <v>1056</v>
      </c>
      <c r="C1007" s="208" t="s">
        <v>27</v>
      </c>
      <c r="D1007" s="592">
        <f>-2815200-10+0.0336879342794418</f>
        <v>-2815209.9663120657</v>
      </c>
      <c r="E1007" s="619">
        <v>45323</v>
      </c>
      <c r="F1007" s="201" t="s">
        <v>109</v>
      </c>
      <c r="G1007" s="208" t="s">
        <v>120</v>
      </c>
      <c r="H1007" s="201"/>
      <c r="I1007" s="201"/>
      <c r="J1007" s="202"/>
      <c r="K1007" s="202"/>
      <c r="L1007" s="202"/>
      <c r="M1007" s="202"/>
      <c r="N1007" s="202"/>
      <c r="O1007" s="202"/>
      <c r="P1007" s="202"/>
      <c r="Q1007" s="202"/>
      <c r="R1007" s="202"/>
      <c r="S1007" s="202"/>
      <c r="T1007" s="202"/>
    </row>
    <row r="1008" spans="1:20" s="182" customFormat="1" ht="14.15" hidden="1">
      <c r="A1008" s="222">
        <v>45351</v>
      </c>
      <c r="B1008" s="201" t="s">
        <v>1057</v>
      </c>
      <c r="C1008" s="208" t="s">
        <v>27</v>
      </c>
      <c r="D1008" s="592">
        <v>-5842200</v>
      </c>
      <c r="E1008" s="619">
        <v>45323</v>
      </c>
      <c r="F1008" s="201" t="s">
        <v>109</v>
      </c>
      <c r="G1008" s="208" t="s">
        <v>120</v>
      </c>
      <c r="H1008" s="201"/>
      <c r="I1008" s="201"/>
      <c r="J1008" s="202"/>
      <c r="K1008" s="202"/>
      <c r="L1008" s="202"/>
      <c r="M1008" s="202"/>
      <c r="N1008" s="202"/>
      <c r="O1008" s="202"/>
      <c r="P1008" s="202"/>
      <c r="Q1008" s="202"/>
      <c r="R1008" s="202"/>
      <c r="S1008" s="202"/>
      <c r="T1008" s="202"/>
    </row>
    <row r="1009" spans="1:20" s="182" customFormat="1" ht="14.15" hidden="1">
      <c r="A1009" s="222">
        <v>45351</v>
      </c>
      <c r="B1009" s="201" t="s">
        <v>1058</v>
      </c>
      <c r="C1009" s="208" t="s">
        <v>27</v>
      </c>
      <c r="D1009" s="592">
        <v>-1240909.5744680851</v>
      </c>
      <c r="E1009" s="619">
        <v>45323</v>
      </c>
      <c r="F1009" s="201" t="s">
        <v>109</v>
      </c>
      <c r="G1009" s="208" t="s">
        <v>120</v>
      </c>
      <c r="H1009" s="201"/>
      <c r="I1009" s="201"/>
      <c r="J1009" s="202"/>
      <c r="K1009" s="202"/>
      <c r="L1009" s="202"/>
      <c r="M1009" s="202"/>
      <c r="N1009" s="202"/>
      <c r="O1009" s="202"/>
      <c r="P1009" s="202"/>
      <c r="Q1009" s="202"/>
      <c r="R1009" s="202"/>
      <c r="S1009" s="202"/>
      <c r="T1009" s="202"/>
    </row>
    <row r="1010" spans="1:20" s="182" customFormat="1" ht="14.15" hidden="1">
      <c r="A1010" s="222">
        <v>45351</v>
      </c>
      <c r="B1010" s="201" t="s">
        <v>1059</v>
      </c>
      <c r="C1010" s="208" t="s">
        <v>27</v>
      </c>
      <c r="D1010" s="592">
        <v>-699240</v>
      </c>
      <c r="E1010" s="619">
        <v>45323</v>
      </c>
      <c r="F1010" s="291" t="s">
        <v>109</v>
      </c>
      <c r="G1010" s="208" t="s">
        <v>120</v>
      </c>
      <c r="H1010" s="201"/>
      <c r="I1010" s="201"/>
      <c r="J1010" s="202"/>
      <c r="K1010" s="202"/>
      <c r="L1010" s="202"/>
      <c r="M1010" s="202"/>
      <c r="N1010" s="202"/>
      <c r="O1010" s="202"/>
      <c r="P1010" s="202"/>
      <c r="Q1010" s="202"/>
      <c r="R1010" s="202"/>
      <c r="S1010" s="202"/>
      <c r="T1010" s="202"/>
    </row>
    <row r="1011" spans="1:20" s="182" customFormat="1" ht="14.15" hidden="1">
      <c r="A1011" s="222">
        <v>45351</v>
      </c>
      <c r="B1011" s="201" t="s">
        <v>1060</v>
      </c>
      <c r="C1011" s="208" t="s">
        <v>27</v>
      </c>
      <c r="D1011" s="592">
        <v>-2554000</v>
      </c>
      <c r="E1011" s="619">
        <v>45323</v>
      </c>
      <c r="F1011" s="291" t="s">
        <v>130</v>
      </c>
      <c r="G1011" s="201" t="s">
        <v>130</v>
      </c>
      <c r="H1011" s="201" t="s">
        <v>182</v>
      </c>
      <c r="I1011" s="201"/>
      <c r="J1011" s="202"/>
      <c r="K1011" s="202"/>
      <c r="L1011" s="202"/>
      <c r="M1011" s="202"/>
      <c r="N1011" s="202"/>
      <c r="O1011" s="202"/>
      <c r="P1011" s="202"/>
      <c r="Q1011" s="202"/>
      <c r="R1011" s="202"/>
      <c r="S1011" s="202"/>
      <c r="T1011" s="202"/>
    </row>
    <row r="1012" spans="1:20" s="182" customFormat="1" ht="14.15" hidden="1">
      <c r="A1012" s="222">
        <v>45351</v>
      </c>
      <c r="B1012" s="201" t="s">
        <v>1061</v>
      </c>
      <c r="C1012" s="208" t="s">
        <v>27</v>
      </c>
      <c r="D1012" s="592">
        <v>-529718</v>
      </c>
      <c r="E1012" s="619">
        <v>45323</v>
      </c>
      <c r="F1012" s="201" t="s">
        <v>109</v>
      </c>
      <c r="G1012" s="208" t="s">
        <v>383</v>
      </c>
      <c r="H1012" s="208" t="s">
        <v>147</v>
      </c>
      <c r="I1012" s="201"/>
      <c r="J1012" s="202"/>
      <c r="K1012" s="202"/>
      <c r="L1012" s="202"/>
      <c r="M1012" s="202"/>
      <c r="N1012" s="202"/>
      <c r="O1012" s="202"/>
      <c r="P1012" s="202"/>
      <c r="Q1012" s="202"/>
      <c r="R1012" s="202"/>
      <c r="S1012" s="202"/>
      <c r="T1012" s="202"/>
    </row>
    <row r="1013" spans="1:20" s="182" customFormat="1" ht="14.15" hidden="1">
      <c r="A1013" s="222">
        <v>45351</v>
      </c>
      <c r="B1013" s="201" t="s">
        <v>1061</v>
      </c>
      <c r="C1013" s="208" t="s">
        <v>27</v>
      </c>
      <c r="D1013" s="592">
        <v>-227022</v>
      </c>
      <c r="E1013" s="619">
        <v>45323</v>
      </c>
      <c r="F1013" s="201" t="s">
        <v>110</v>
      </c>
      <c r="G1013" s="208" t="s">
        <v>453</v>
      </c>
      <c r="H1013" s="208" t="s">
        <v>147</v>
      </c>
      <c r="I1013" s="201"/>
      <c r="J1013" s="202"/>
      <c r="K1013" s="202"/>
      <c r="L1013" s="202"/>
      <c r="M1013" s="202"/>
      <c r="N1013" s="202"/>
      <c r="O1013" s="202"/>
      <c r="P1013" s="202"/>
      <c r="Q1013" s="202"/>
      <c r="R1013" s="202"/>
      <c r="S1013" s="202"/>
      <c r="T1013" s="202"/>
    </row>
    <row r="1014" spans="1:20" s="182" customFormat="1" ht="14.15" hidden="1">
      <c r="A1014" s="222">
        <v>45351</v>
      </c>
      <c r="B1014" s="201" t="s">
        <v>1062</v>
      </c>
      <c r="C1014" s="208" t="s">
        <v>27</v>
      </c>
      <c r="D1014" s="592">
        <f>-1038260*30%</f>
        <v>-311478</v>
      </c>
      <c r="E1014" s="619">
        <v>45323</v>
      </c>
      <c r="F1014" s="201" t="s">
        <v>109</v>
      </c>
      <c r="G1014" s="208" t="s">
        <v>383</v>
      </c>
      <c r="H1014" s="208" t="s">
        <v>147</v>
      </c>
      <c r="I1014" s="201"/>
      <c r="J1014" s="202"/>
      <c r="K1014" s="202"/>
      <c r="L1014" s="202"/>
      <c r="M1014" s="202"/>
      <c r="N1014" s="202"/>
      <c r="O1014" s="202"/>
      <c r="P1014" s="202"/>
      <c r="Q1014" s="202"/>
      <c r="R1014" s="202"/>
      <c r="S1014" s="202"/>
      <c r="T1014" s="202"/>
    </row>
    <row r="1015" spans="1:20" s="182" customFormat="1" ht="14.15" hidden="1">
      <c r="A1015" s="222">
        <v>45351</v>
      </c>
      <c r="B1015" s="201" t="s">
        <v>1062</v>
      </c>
      <c r="C1015" s="208" t="s">
        <v>27</v>
      </c>
      <c r="D1015" s="592">
        <f>-1038260*50%</f>
        <v>-519130</v>
      </c>
      <c r="E1015" s="619">
        <v>45323</v>
      </c>
      <c r="F1015" s="201" t="s">
        <v>110</v>
      </c>
      <c r="G1015" s="208" t="s">
        <v>450</v>
      </c>
      <c r="H1015" s="208" t="s">
        <v>147</v>
      </c>
      <c r="I1015" s="201"/>
      <c r="J1015" s="202"/>
      <c r="K1015" s="202"/>
      <c r="L1015" s="202"/>
      <c r="M1015" s="202"/>
      <c r="N1015" s="202"/>
      <c r="O1015" s="202"/>
      <c r="P1015" s="202"/>
      <c r="Q1015" s="202"/>
      <c r="R1015" s="202"/>
      <c r="S1015" s="202"/>
      <c r="T1015" s="202"/>
    </row>
    <row r="1016" spans="1:20" s="182" customFormat="1" ht="14.15" hidden="1">
      <c r="A1016" s="222">
        <v>45351</v>
      </c>
      <c r="B1016" s="201" t="s">
        <v>1062</v>
      </c>
      <c r="C1016" s="208" t="s">
        <v>27</v>
      </c>
      <c r="D1016" s="592">
        <f>-1038260*20%</f>
        <v>-207652</v>
      </c>
      <c r="E1016" s="619">
        <v>45323</v>
      </c>
      <c r="F1016" s="201" t="s">
        <v>110</v>
      </c>
      <c r="G1016" s="208" t="s">
        <v>453</v>
      </c>
      <c r="H1016" s="208" t="s">
        <v>147</v>
      </c>
      <c r="I1016" s="201"/>
      <c r="J1016" s="202"/>
      <c r="K1016" s="202"/>
      <c r="L1016" s="202"/>
      <c r="M1016" s="202"/>
      <c r="N1016" s="202"/>
      <c r="O1016" s="202"/>
      <c r="P1016" s="202"/>
      <c r="Q1016" s="202"/>
      <c r="R1016" s="202"/>
      <c r="S1016" s="202"/>
      <c r="T1016" s="202"/>
    </row>
    <row r="1017" spans="1:20" s="182" customFormat="1" ht="14.15" hidden="1">
      <c r="A1017" s="222">
        <v>45351</v>
      </c>
      <c r="B1017" s="201" t="s">
        <v>1063</v>
      </c>
      <c r="C1017" s="208" t="s">
        <v>27</v>
      </c>
      <c r="D1017" s="592">
        <f>-2462000*30%</f>
        <v>-738600</v>
      </c>
      <c r="E1017" s="619">
        <v>45323</v>
      </c>
      <c r="F1017" s="201" t="s">
        <v>109</v>
      </c>
      <c r="G1017" s="208" t="s">
        <v>383</v>
      </c>
      <c r="H1017" s="201" t="s">
        <v>508</v>
      </c>
      <c r="I1017" s="201"/>
      <c r="J1017" s="202"/>
      <c r="K1017" s="202"/>
      <c r="L1017" s="202"/>
      <c r="M1017" s="202"/>
      <c r="N1017" s="202"/>
      <c r="O1017" s="202"/>
      <c r="P1017" s="202"/>
      <c r="Q1017" s="202"/>
      <c r="R1017" s="202"/>
      <c r="S1017" s="202"/>
      <c r="T1017" s="202"/>
    </row>
    <row r="1018" spans="1:20" s="182" customFormat="1" ht="14.15" hidden="1">
      <c r="A1018" s="222">
        <v>45351</v>
      </c>
      <c r="B1018" s="201" t="s">
        <v>1063</v>
      </c>
      <c r="C1018" s="208" t="s">
        <v>27</v>
      </c>
      <c r="D1018" s="592">
        <f>-2462000*50%</f>
        <v>-1231000</v>
      </c>
      <c r="E1018" s="619">
        <v>45323</v>
      </c>
      <c r="F1018" s="201" t="s">
        <v>110</v>
      </c>
      <c r="G1018" s="208" t="s">
        <v>450</v>
      </c>
      <c r="H1018" s="201" t="s">
        <v>508</v>
      </c>
      <c r="I1018" s="201"/>
      <c r="J1018" s="202"/>
      <c r="K1018" s="202"/>
      <c r="L1018" s="202"/>
      <c r="M1018" s="202"/>
      <c r="N1018" s="202"/>
      <c r="O1018" s="202"/>
      <c r="P1018" s="202"/>
      <c r="Q1018" s="202"/>
      <c r="R1018" s="202"/>
      <c r="S1018" s="202"/>
      <c r="T1018" s="202"/>
    </row>
    <row r="1019" spans="1:20" s="182" customFormat="1" ht="14.15" hidden="1">
      <c r="A1019" s="222">
        <v>45351</v>
      </c>
      <c r="B1019" s="201" t="s">
        <v>1063</v>
      </c>
      <c r="C1019" s="208" t="s">
        <v>27</v>
      </c>
      <c r="D1019" s="592">
        <f>-2462000*20%</f>
        <v>-492400</v>
      </c>
      <c r="E1019" s="619">
        <v>45323</v>
      </c>
      <c r="F1019" s="201" t="s">
        <v>110</v>
      </c>
      <c r="G1019" s="208" t="s">
        <v>453</v>
      </c>
      <c r="H1019" s="201" t="s">
        <v>508</v>
      </c>
      <c r="I1019" s="201"/>
      <c r="J1019" s="202"/>
      <c r="K1019" s="202"/>
      <c r="L1019" s="202"/>
      <c r="M1019" s="202"/>
      <c r="N1019" s="202"/>
      <c r="O1019" s="202"/>
      <c r="P1019" s="202"/>
      <c r="Q1019" s="202"/>
      <c r="R1019" s="202"/>
      <c r="S1019" s="202"/>
      <c r="T1019" s="202"/>
    </row>
    <row r="1020" spans="1:20" s="182" customFormat="1" ht="14.15" hidden="1">
      <c r="A1020" s="222">
        <v>45351</v>
      </c>
      <c r="B1020" s="201" t="s">
        <v>1064</v>
      </c>
      <c r="C1020" s="208" t="s">
        <v>27</v>
      </c>
      <c r="D1020" s="592">
        <v>-698085.10638297873</v>
      </c>
      <c r="E1020" s="619">
        <v>45323</v>
      </c>
      <c r="F1020" s="201" t="s">
        <v>109</v>
      </c>
      <c r="G1020" s="208" t="s">
        <v>120</v>
      </c>
      <c r="H1020" s="208" t="s">
        <v>147</v>
      </c>
      <c r="I1020" s="201"/>
      <c r="J1020" s="202"/>
      <c r="K1020" s="202"/>
      <c r="L1020" s="202"/>
      <c r="M1020" s="202"/>
      <c r="N1020" s="202"/>
      <c r="O1020" s="202"/>
      <c r="P1020" s="202"/>
      <c r="Q1020" s="202"/>
      <c r="R1020" s="202"/>
      <c r="S1020" s="202"/>
      <c r="T1020" s="202"/>
    </row>
    <row r="1021" spans="1:20" s="182" customFormat="1" ht="14.15" hidden="1">
      <c r="A1021" s="222">
        <v>45351</v>
      </c>
      <c r="B1021" s="201" t="s">
        <v>1065</v>
      </c>
      <c r="C1021" s="208" t="s">
        <v>27</v>
      </c>
      <c r="D1021" s="592">
        <v>-685361.70212765958</v>
      </c>
      <c r="E1021" s="619">
        <v>45323</v>
      </c>
      <c r="F1021" s="201" t="s">
        <v>109</v>
      </c>
      <c r="G1021" s="208" t="s">
        <v>120</v>
      </c>
      <c r="H1021" s="208" t="s">
        <v>147</v>
      </c>
      <c r="I1021" s="201"/>
      <c r="J1021" s="202"/>
      <c r="K1021" s="202"/>
      <c r="L1021" s="202"/>
      <c r="M1021" s="202"/>
      <c r="N1021" s="202"/>
      <c r="O1021" s="202"/>
      <c r="P1021" s="202"/>
      <c r="Q1021" s="202"/>
      <c r="R1021" s="202"/>
      <c r="S1021" s="202"/>
      <c r="T1021" s="202"/>
    </row>
    <row r="1022" spans="1:20" s="182" customFormat="1" ht="14.15" hidden="1">
      <c r="A1022" s="222">
        <v>45351</v>
      </c>
      <c r="B1022" s="201" t="s">
        <v>1066</v>
      </c>
      <c r="C1022" s="208" t="s">
        <v>27</v>
      </c>
      <c r="D1022" s="592">
        <v>-685361.70212765958</v>
      </c>
      <c r="E1022" s="619">
        <v>45323</v>
      </c>
      <c r="F1022" s="201" t="s">
        <v>109</v>
      </c>
      <c r="G1022" s="208" t="s">
        <v>120</v>
      </c>
      <c r="H1022" s="208" t="s">
        <v>147</v>
      </c>
      <c r="I1022" s="201"/>
      <c r="J1022" s="202"/>
      <c r="K1022" s="202"/>
      <c r="L1022" s="202"/>
      <c r="M1022" s="202"/>
      <c r="N1022" s="202"/>
      <c r="O1022" s="202"/>
      <c r="P1022" s="202"/>
      <c r="Q1022" s="202"/>
      <c r="R1022" s="202"/>
      <c r="S1022" s="202"/>
      <c r="T1022" s="202"/>
    </row>
    <row r="1023" spans="1:20" s="182" customFormat="1" ht="14.15" hidden="1">
      <c r="A1023" s="222">
        <v>45351</v>
      </c>
      <c r="B1023" s="201" t="s">
        <v>1067</v>
      </c>
      <c r="C1023" s="208" t="s">
        <v>27</v>
      </c>
      <c r="D1023" s="592">
        <f>-679000*80%</f>
        <v>-543200</v>
      </c>
      <c r="E1023" s="619">
        <v>45323</v>
      </c>
      <c r="F1023" s="201" t="s">
        <v>110</v>
      </c>
      <c r="G1023" s="208" t="s">
        <v>450</v>
      </c>
      <c r="H1023" s="208" t="s">
        <v>147</v>
      </c>
      <c r="I1023" s="201"/>
      <c r="J1023" s="202"/>
      <c r="K1023" s="202"/>
      <c r="L1023" s="202"/>
      <c r="M1023" s="202"/>
      <c r="N1023" s="202"/>
      <c r="O1023" s="202"/>
      <c r="P1023" s="202"/>
      <c r="Q1023" s="202"/>
      <c r="R1023" s="202"/>
      <c r="S1023" s="202"/>
      <c r="T1023" s="202"/>
    </row>
    <row r="1024" spans="1:20" s="182" customFormat="1" ht="14.15" hidden="1">
      <c r="A1024" s="222">
        <v>45351</v>
      </c>
      <c r="B1024" s="201" t="s">
        <v>1067</v>
      </c>
      <c r="C1024" s="208" t="s">
        <v>27</v>
      </c>
      <c r="D1024" s="592">
        <f>-679000*20%</f>
        <v>-135800</v>
      </c>
      <c r="E1024" s="619">
        <v>45323</v>
      </c>
      <c r="F1024" s="201" t="s">
        <v>110</v>
      </c>
      <c r="G1024" s="208" t="s">
        <v>453</v>
      </c>
      <c r="H1024" s="208" t="s">
        <v>147</v>
      </c>
      <c r="I1024" s="201"/>
      <c r="J1024" s="202"/>
      <c r="K1024" s="202"/>
      <c r="L1024" s="202"/>
      <c r="M1024" s="202"/>
      <c r="N1024" s="202"/>
      <c r="O1024" s="202"/>
      <c r="P1024" s="202"/>
      <c r="Q1024" s="202"/>
      <c r="R1024" s="202"/>
      <c r="S1024" s="202"/>
      <c r="T1024" s="202"/>
    </row>
    <row r="1025" spans="1:20" s="182" customFormat="1" ht="14.15" hidden="1">
      <c r="A1025" s="222">
        <v>45351</v>
      </c>
      <c r="B1025" s="201" t="s">
        <v>1068</v>
      </c>
      <c r="C1025" s="208" t="s">
        <v>27</v>
      </c>
      <c r="D1025" s="592">
        <f>-679000*80%</f>
        <v>-543200</v>
      </c>
      <c r="E1025" s="619">
        <v>45323</v>
      </c>
      <c r="F1025" s="201" t="s">
        <v>110</v>
      </c>
      <c r="G1025" s="208" t="s">
        <v>450</v>
      </c>
      <c r="H1025" s="208" t="s">
        <v>147</v>
      </c>
      <c r="I1025" s="201"/>
      <c r="J1025" s="202"/>
      <c r="K1025" s="202"/>
      <c r="L1025" s="202"/>
      <c r="M1025" s="202"/>
      <c r="N1025" s="202"/>
      <c r="O1025" s="202"/>
      <c r="P1025" s="202"/>
      <c r="Q1025" s="202"/>
      <c r="R1025" s="202"/>
      <c r="S1025" s="202"/>
      <c r="T1025" s="202"/>
    </row>
    <row r="1026" spans="1:20" s="182" customFormat="1" ht="14.15" hidden="1">
      <c r="A1026" s="222">
        <v>45351</v>
      </c>
      <c r="B1026" s="201" t="s">
        <v>1068</v>
      </c>
      <c r="C1026" s="208" t="s">
        <v>27</v>
      </c>
      <c r="D1026" s="592">
        <f>-679000*20%</f>
        <v>-135800</v>
      </c>
      <c r="E1026" s="619">
        <v>45323</v>
      </c>
      <c r="F1026" s="201" t="s">
        <v>110</v>
      </c>
      <c r="G1026" s="208" t="s">
        <v>453</v>
      </c>
      <c r="H1026" s="208" t="s">
        <v>147</v>
      </c>
      <c r="I1026" s="201"/>
      <c r="J1026" s="202"/>
      <c r="K1026" s="202"/>
      <c r="L1026" s="202"/>
      <c r="M1026" s="202"/>
      <c r="N1026" s="202"/>
      <c r="O1026" s="202"/>
      <c r="P1026" s="202"/>
      <c r="Q1026" s="202"/>
      <c r="R1026" s="202"/>
      <c r="S1026" s="202"/>
      <c r="T1026" s="202"/>
    </row>
    <row r="1027" spans="1:20" s="182" customFormat="1" ht="14.15" hidden="1">
      <c r="A1027" s="222">
        <v>45351</v>
      </c>
      <c r="B1027" s="201" t="s">
        <v>1069</v>
      </c>
      <c r="C1027" s="208" t="s">
        <v>27</v>
      </c>
      <c r="D1027" s="592">
        <f>-679000*80%</f>
        <v>-543200</v>
      </c>
      <c r="E1027" s="619">
        <v>45323</v>
      </c>
      <c r="F1027" s="201" t="s">
        <v>110</v>
      </c>
      <c r="G1027" s="208" t="s">
        <v>450</v>
      </c>
      <c r="H1027" s="208" t="s">
        <v>147</v>
      </c>
      <c r="I1027" s="201"/>
      <c r="J1027" s="202"/>
      <c r="K1027" s="202"/>
      <c r="L1027" s="202"/>
      <c r="M1027" s="202"/>
      <c r="N1027" s="202"/>
      <c r="O1027" s="202"/>
      <c r="P1027" s="202"/>
      <c r="Q1027" s="202"/>
      <c r="R1027" s="202"/>
      <c r="S1027" s="202"/>
      <c r="T1027" s="202"/>
    </row>
    <row r="1028" spans="1:20" s="182" customFormat="1" ht="14.15" hidden="1">
      <c r="A1028" s="222">
        <v>45351</v>
      </c>
      <c r="B1028" s="201" t="s">
        <v>1069</v>
      </c>
      <c r="C1028" s="208" t="s">
        <v>27</v>
      </c>
      <c r="D1028" s="592">
        <f>-679000*20%</f>
        <v>-135800</v>
      </c>
      <c r="E1028" s="619">
        <v>45323</v>
      </c>
      <c r="F1028" s="201" t="s">
        <v>110</v>
      </c>
      <c r="G1028" s="208" t="s">
        <v>453</v>
      </c>
      <c r="H1028" s="208" t="s">
        <v>147</v>
      </c>
      <c r="I1028" s="201"/>
      <c r="J1028" s="202"/>
      <c r="K1028" s="202"/>
      <c r="L1028" s="202"/>
      <c r="M1028" s="202"/>
      <c r="N1028" s="202"/>
      <c r="O1028" s="202"/>
      <c r="P1028" s="202"/>
      <c r="Q1028" s="202"/>
      <c r="R1028" s="202"/>
      <c r="S1028" s="202"/>
      <c r="T1028" s="202"/>
    </row>
    <row r="1029" spans="1:20" s="182" customFormat="1" ht="14.15" hidden="1">
      <c r="A1029" s="222">
        <v>45351</v>
      </c>
      <c r="B1029" s="201" t="s">
        <v>1070</v>
      </c>
      <c r="C1029" s="208" t="s">
        <v>27</v>
      </c>
      <c r="D1029" s="592">
        <v>-17008399</v>
      </c>
      <c r="E1029" s="619">
        <v>45323</v>
      </c>
      <c r="F1029" s="201" t="s">
        <v>109</v>
      </c>
      <c r="G1029" s="208" t="s">
        <v>120</v>
      </c>
      <c r="H1029" s="208" t="s">
        <v>175</v>
      </c>
      <c r="I1029" s="201"/>
      <c r="J1029" s="202"/>
      <c r="K1029" s="202"/>
      <c r="L1029" s="202"/>
      <c r="M1029" s="202"/>
      <c r="N1029" s="202"/>
      <c r="O1029" s="202"/>
      <c r="P1029" s="202"/>
      <c r="Q1029" s="202"/>
      <c r="R1029" s="202"/>
      <c r="S1029" s="202"/>
      <c r="T1029" s="202"/>
    </row>
    <row r="1030" spans="1:20" s="182" customFormat="1" ht="14.15" hidden="1">
      <c r="A1030" s="222">
        <v>45351</v>
      </c>
      <c r="B1030" s="201" t="s">
        <v>1071</v>
      </c>
      <c r="C1030" s="208" t="s">
        <v>133</v>
      </c>
      <c r="D1030" s="592">
        <v>-364601</v>
      </c>
      <c r="E1030" s="619">
        <v>45323</v>
      </c>
      <c r="F1030" s="201" t="s">
        <v>109</v>
      </c>
      <c r="G1030" s="208" t="s">
        <v>120</v>
      </c>
      <c r="H1030" s="208" t="s">
        <v>175</v>
      </c>
      <c r="I1030" s="201"/>
      <c r="J1030" s="202"/>
      <c r="K1030" s="202"/>
      <c r="L1030" s="202"/>
      <c r="M1030" s="202"/>
      <c r="N1030" s="202"/>
      <c r="O1030" s="202"/>
      <c r="P1030" s="202"/>
      <c r="Q1030" s="202"/>
      <c r="R1030" s="202"/>
      <c r="S1030" s="202"/>
      <c r="T1030" s="202"/>
    </row>
    <row r="1031" spans="1:20" s="182" customFormat="1" ht="14.15" hidden="1">
      <c r="A1031" s="222">
        <v>45351</v>
      </c>
      <c r="B1031" s="201" t="s">
        <v>1072</v>
      </c>
      <c r="C1031" s="208" t="s">
        <v>27</v>
      </c>
      <c r="D1031" s="592">
        <v>-4680000</v>
      </c>
      <c r="E1031" s="619">
        <v>45323</v>
      </c>
      <c r="F1031" s="201" t="s">
        <v>109</v>
      </c>
      <c r="G1031" s="208" t="s">
        <v>120</v>
      </c>
      <c r="H1031" s="208" t="s">
        <v>147</v>
      </c>
      <c r="I1031" s="201"/>
      <c r="J1031" s="202"/>
      <c r="K1031" s="202"/>
      <c r="L1031" s="202"/>
      <c r="M1031" s="202"/>
      <c r="N1031" s="202"/>
      <c r="O1031" s="202"/>
      <c r="P1031" s="202"/>
      <c r="Q1031" s="202"/>
      <c r="R1031" s="202"/>
      <c r="S1031" s="202"/>
      <c r="T1031" s="202"/>
    </row>
    <row r="1032" spans="1:20" s="182" customFormat="1" ht="14.15" hidden="1">
      <c r="A1032" s="222">
        <v>45351</v>
      </c>
      <c r="B1032" s="201" t="s">
        <v>1073</v>
      </c>
      <c r="C1032" s="208" t="s">
        <v>27</v>
      </c>
      <c r="D1032" s="592">
        <v>-1240000</v>
      </c>
      <c r="E1032" s="619">
        <v>45323</v>
      </c>
      <c r="F1032" s="201" t="s">
        <v>109</v>
      </c>
      <c r="G1032" s="208" t="s">
        <v>120</v>
      </c>
      <c r="H1032" s="208" t="s">
        <v>175</v>
      </c>
      <c r="I1032" s="201"/>
      <c r="J1032" s="202"/>
      <c r="K1032" s="202"/>
      <c r="L1032" s="202"/>
      <c r="M1032" s="202"/>
      <c r="N1032" s="202"/>
      <c r="O1032" s="202"/>
      <c r="P1032" s="202"/>
      <c r="Q1032" s="202"/>
      <c r="R1032" s="202"/>
      <c r="S1032" s="202"/>
      <c r="T1032" s="202"/>
    </row>
    <row r="1033" spans="1:20" s="182" customFormat="1" ht="14.15" hidden="1">
      <c r="A1033" s="222">
        <v>45351</v>
      </c>
      <c r="B1033" s="201" t="s">
        <v>1074</v>
      </c>
      <c r="C1033" s="208" t="s">
        <v>27</v>
      </c>
      <c r="D1033" s="592">
        <v>-5570000</v>
      </c>
      <c r="E1033" s="619">
        <v>45323</v>
      </c>
      <c r="F1033" s="201" t="s">
        <v>109</v>
      </c>
      <c r="G1033" s="208" t="s">
        <v>120</v>
      </c>
      <c r="H1033" s="208" t="s">
        <v>175</v>
      </c>
      <c r="I1033" s="201"/>
      <c r="J1033" s="202"/>
      <c r="K1033" s="202"/>
      <c r="L1033" s="202"/>
      <c r="M1033" s="202"/>
      <c r="N1033" s="202"/>
      <c r="O1033" s="202"/>
      <c r="P1033" s="202"/>
      <c r="Q1033" s="202"/>
      <c r="R1033" s="202"/>
      <c r="S1033" s="202"/>
      <c r="T1033" s="202"/>
    </row>
    <row r="1034" spans="1:20" s="182" customFormat="1" ht="14.15" hidden="1">
      <c r="A1034" s="222">
        <v>45350</v>
      </c>
      <c r="B1034" s="201" t="s">
        <v>1075</v>
      </c>
      <c r="C1034" s="208" t="s">
        <v>27</v>
      </c>
      <c r="D1034" s="592">
        <v>-95195</v>
      </c>
      <c r="E1034" s="212">
        <v>45323</v>
      </c>
      <c r="F1034" s="291" t="s">
        <v>130</v>
      </c>
      <c r="G1034" s="208" t="s">
        <v>130</v>
      </c>
      <c r="H1034" s="201" t="s">
        <v>184</v>
      </c>
      <c r="I1034" s="201"/>
      <c r="J1034" s="202"/>
      <c r="K1034" s="202"/>
      <c r="L1034" s="202"/>
      <c r="M1034" s="202"/>
      <c r="N1034" s="202"/>
      <c r="O1034" s="202"/>
      <c r="P1034" s="202"/>
      <c r="Q1034" s="202"/>
      <c r="R1034" s="202"/>
      <c r="S1034" s="202"/>
      <c r="T1034" s="202"/>
    </row>
    <row r="1035" spans="1:20" s="182" customFormat="1" ht="14.15" hidden="1">
      <c r="A1035" s="222">
        <v>45350</v>
      </c>
      <c r="B1035" s="201" t="s">
        <v>1076</v>
      </c>
      <c r="C1035" s="208" t="s">
        <v>27</v>
      </c>
      <c r="D1035" s="592">
        <v>-510000</v>
      </c>
      <c r="E1035" s="619">
        <v>45323</v>
      </c>
      <c r="F1035" s="201" t="s">
        <v>109</v>
      </c>
      <c r="G1035" s="208" t="s">
        <v>414</v>
      </c>
      <c r="H1035" s="208" t="s">
        <v>175</v>
      </c>
      <c r="I1035" s="201"/>
      <c r="J1035" s="202"/>
      <c r="K1035" s="202"/>
      <c r="L1035" s="202"/>
      <c r="M1035" s="202"/>
      <c r="N1035" s="202"/>
      <c r="O1035" s="202"/>
      <c r="P1035" s="202"/>
      <c r="Q1035" s="202"/>
      <c r="R1035" s="202"/>
      <c r="S1035" s="202"/>
      <c r="T1035" s="202"/>
    </row>
    <row r="1036" spans="1:20" s="182" customFormat="1" ht="14.15" hidden="1">
      <c r="A1036" s="222">
        <v>45346</v>
      </c>
      <c r="B1036" s="201" t="s">
        <v>411</v>
      </c>
      <c r="C1036" s="208" t="s">
        <v>643</v>
      </c>
      <c r="D1036" s="592">
        <v>-30800</v>
      </c>
      <c r="E1036" s="212">
        <v>45323</v>
      </c>
      <c r="F1036" s="291" t="s">
        <v>130</v>
      </c>
      <c r="G1036" s="208" t="s">
        <v>130</v>
      </c>
      <c r="H1036" s="201" t="s">
        <v>184</v>
      </c>
      <c r="I1036" s="201"/>
      <c r="J1036" s="202"/>
      <c r="K1036" s="202"/>
      <c r="L1036" s="202"/>
      <c r="M1036" s="202"/>
      <c r="N1036" s="202"/>
      <c r="O1036" s="202"/>
      <c r="P1036" s="202"/>
      <c r="Q1036" s="202"/>
      <c r="R1036" s="202"/>
      <c r="S1036" s="202"/>
      <c r="T1036" s="202"/>
    </row>
    <row r="1037" spans="1:20" s="182" customFormat="1" ht="14.6" hidden="1">
      <c r="A1037" s="222">
        <v>45350</v>
      </c>
      <c r="B1037" s="201" t="s">
        <v>1077</v>
      </c>
      <c r="C1037" s="208" t="s">
        <v>141</v>
      </c>
      <c r="D1037" s="592">
        <v>-120000</v>
      </c>
      <c r="E1037" s="212">
        <v>45323</v>
      </c>
      <c r="F1037" s="201" t="s">
        <v>130</v>
      </c>
      <c r="G1037" s="620" t="s">
        <v>130</v>
      </c>
      <c r="H1037" s="201" t="s">
        <v>852</v>
      </c>
      <c r="I1037" s="201"/>
      <c r="J1037" s="202"/>
      <c r="K1037" s="202"/>
      <c r="L1037" s="202"/>
      <c r="M1037" s="202"/>
      <c r="N1037" s="202"/>
      <c r="O1037" s="202"/>
      <c r="P1037" s="202"/>
      <c r="Q1037" s="202"/>
      <c r="R1037" s="202"/>
      <c r="S1037" s="202"/>
      <c r="T1037" s="202"/>
    </row>
    <row r="1038" spans="1:20" s="182" customFormat="1" ht="14.15" hidden="1">
      <c r="A1038" s="222">
        <v>45350</v>
      </c>
      <c r="B1038" s="201" t="s">
        <v>1078</v>
      </c>
      <c r="C1038" s="208" t="s">
        <v>643</v>
      </c>
      <c r="D1038" s="592">
        <v>933415</v>
      </c>
      <c r="E1038" s="212">
        <v>45323</v>
      </c>
      <c r="F1038" s="201" t="s">
        <v>108</v>
      </c>
      <c r="G1038" s="593"/>
      <c r="H1038" s="201"/>
      <c r="I1038" s="201"/>
      <c r="J1038" s="202"/>
      <c r="K1038" s="202"/>
      <c r="L1038" s="202"/>
      <c r="M1038" s="202"/>
      <c r="N1038" s="202"/>
      <c r="O1038" s="202"/>
      <c r="P1038" s="202"/>
      <c r="Q1038" s="202"/>
      <c r="R1038" s="202"/>
      <c r="S1038" s="202"/>
      <c r="T1038" s="202"/>
    </row>
    <row r="1039" spans="1:20" s="182" customFormat="1" ht="14.15" hidden="1">
      <c r="A1039" s="222">
        <v>45348</v>
      </c>
      <c r="B1039" s="201" t="s">
        <v>1079</v>
      </c>
      <c r="C1039" s="208" t="s">
        <v>181</v>
      </c>
      <c r="D1039" s="592">
        <v>502667</v>
      </c>
      <c r="E1039" s="212">
        <v>45323</v>
      </c>
      <c r="F1039" s="201" t="s">
        <v>130</v>
      </c>
      <c r="G1039" s="593" t="s">
        <v>130</v>
      </c>
      <c r="H1039" s="201" t="s">
        <v>182</v>
      </c>
      <c r="I1039" s="201"/>
      <c r="J1039" s="202"/>
      <c r="K1039" s="202"/>
      <c r="L1039" s="202"/>
      <c r="M1039" s="202"/>
      <c r="N1039" s="202"/>
      <c r="O1039" s="202"/>
      <c r="P1039" s="202"/>
      <c r="Q1039" s="202"/>
      <c r="R1039" s="202"/>
      <c r="S1039" s="202"/>
      <c r="T1039" s="202"/>
    </row>
    <row r="1040" spans="1:20" s="182" customFormat="1" ht="14.15" hidden="1">
      <c r="A1040" s="222">
        <v>45348</v>
      </c>
      <c r="B1040" s="201" t="s">
        <v>1080</v>
      </c>
      <c r="C1040" s="208" t="s">
        <v>181</v>
      </c>
      <c r="D1040" s="592">
        <v>647069</v>
      </c>
      <c r="E1040" s="212">
        <v>45323</v>
      </c>
      <c r="F1040" s="201" t="s">
        <v>108</v>
      </c>
      <c r="G1040" s="201"/>
      <c r="H1040" s="201"/>
      <c r="I1040" s="201"/>
      <c r="J1040" s="202"/>
      <c r="K1040" s="202"/>
      <c r="L1040" s="202"/>
      <c r="M1040" s="202"/>
      <c r="N1040" s="202"/>
      <c r="O1040" s="202"/>
      <c r="P1040" s="202"/>
      <c r="Q1040" s="202"/>
      <c r="R1040" s="202"/>
      <c r="S1040" s="202"/>
      <c r="T1040" s="202"/>
    </row>
    <row r="1041" spans="1:20" s="182" customFormat="1" ht="14.15" hidden="1">
      <c r="A1041" s="222">
        <v>45348</v>
      </c>
      <c r="B1041" s="201" t="s">
        <v>1081</v>
      </c>
      <c r="C1041" s="208" t="s">
        <v>181</v>
      </c>
      <c r="D1041" s="592">
        <v>-2500000</v>
      </c>
      <c r="E1041" s="212">
        <v>45323</v>
      </c>
      <c r="F1041" s="84" t="s">
        <v>111</v>
      </c>
      <c r="G1041" s="201"/>
      <c r="H1041" s="201"/>
      <c r="I1041" s="201"/>
      <c r="J1041" s="202"/>
      <c r="K1041" s="202"/>
      <c r="L1041" s="202"/>
      <c r="M1041" s="202"/>
      <c r="N1041" s="202"/>
      <c r="O1041" s="202"/>
      <c r="P1041" s="202"/>
      <c r="Q1041" s="202"/>
      <c r="R1041" s="202"/>
      <c r="S1041" s="202"/>
      <c r="T1041" s="202"/>
    </row>
    <row r="1042" spans="1:20" s="182" customFormat="1" ht="14.15" hidden="1">
      <c r="A1042" s="222">
        <v>45352</v>
      </c>
      <c r="B1042" s="201" t="s">
        <v>1082</v>
      </c>
      <c r="C1042" s="208" t="s">
        <v>27</v>
      </c>
      <c r="D1042" s="592">
        <v>-10519845</v>
      </c>
      <c r="E1042" s="619">
        <v>45352</v>
      </c>
      <c r="F1042" s="201" t="s">
        <v>110</v>
      </c>
      <c r="G1042" s="208" t="s">
        <v>122</v>
      </c>
      <c r="H1042" s="201" t="s">
        <v>549</v>
      </c>
      <c r="I1042" s="201"/>
      <c r="J1042" s="202"/>
      <c r="K1042" s="202"/>
      <c r="L1042" s="202"/>
      <c r="M1042" s="202"/>
      <c r="N1042" s="202"/>
      <c r="O1042" s="202"/>
      <c r="P1042" s="202"/>
      <c r="Q1042" s="202"/>
      <c r="R1042" s="202"/>
      <c r="S1042" s="202"/>
      <c r="T1042" s="202"/>
    </row>
    <row r="1043" spans="1:20" s="182" customFormat="1" ht="14.15" hidden="1">
      <c r="A1043" s="222">
        <v>45348</v>
      </c>
      <c r="B1043" s="201" t="s">
        <v>1081</v>
      </c>
      <c r="C1043" s="208" t="s">
        <v>181</v>
      </c>
      <c r="D1043" s="592">
        <v>-175302</v>
      </c>
      <c r="E1043" s="212">
        <v>45323</v>
      </c>
      <c r="F1043" s="201" t="s">
        <v>118</v>
      </c>
      <c r="G1043" s="201"/>
      <c r="H1043" s="201"/>
      <c r="I1043" s="201"/>
      <c r="J1043" s="202"/>
      <c r="K1043" s="202"/>
      <c r="L1043" s="202"/>
      <c r="M1043" s="202"/>
      <c r="N1043" s="202"/>
      <c r="O1043" s="202"/>
      <c r="P1043" s="202"/>
      <c r="Q1043" s="202"/>
      <c r="R1043" s="202"/>
      <c r="S1043" s="202"/>
      <c r="T1043" s="202"/>
    </row>
    <row r="1044" spans="1:20" s="182" customFormat="1" ht="14.15" hidden="1">
      <c r="A1044" s="222">
        <v>45351</v>
      </c>
      <c r="B1044" s="201" t="s">
        <v>1083</v>
      </c>
      <c r="C1044" s="208" t="s">
        <v>27</v>
      </c>
      <c r="D1044" s="592">
        <v>-679000</v>
      </c>
      <c r="E1044" s="619">
        <v>45323</v>
      </c>
      <c r="F1044" s="201" t="s">
        <v>130</v>
      </c>
      <c r="G1044" s="201" t="s">
        <v>130</v>
      </c>
      <c r="H1044" s="201" t="s">
        <v>182</v>
      </c>
      <c r="I1044" s="201"/>
      <c r="J1044" s="202"/>
      <c r="K1044" s="202"/>
      <c r="L1044" s="202"/>
      <c r="M1044" s="202"/>
      <c r="N1044" s="202"/>
      <c r="O1044" s="202"/>
      <c r="P1044" s="202"/>
      <c r="Q1044" s="202"/>
      <c r="R1044" s="202"/>
      <c r="S1044" s="202"/>
      <c r="T1044" s="202"/>
    </row>
    <row r="1045" spans="1:20" s="182" customFormat="1" ht="14.15" hidden="1">
      <c r="A1045" s="222">
        <v>45351</v>
      </c>
      <c r="B1045" s="201" t="s">
        <v>1084</v>
      </c>
      <c r="C1045" s="208" t="s">
        <v>27</v>
      </c>
      <c r="D1045" s="592">
        <v>-650000</v>
      </c>
      <c r="E1045" s="619">
        <v>45323</v>
      </c>
      <c r="F1045" s="201" t="s">
        <v>130</v>
      </c>
      <c r="G1045" s="201" t="s">
        <v>257</v>
      </c>
      <c r="H1045" s="201" t="s">
        <v>182</v>
      </c>
      <c r="I1045" s="201"/>
      <c r="J1045" s="202"/>
      <c r="K1045" s="202"/>
      <c r="L1045" s="202"/>
      <c r="M1045" s="202"/>
      <c r="N1045" s="202"/>
      <c r="O1045" s="202"/>
      <c r="P1045" s="202"/>
      <c r="Q1045" s="202"/>
      <c r="R1045" s="202"/>
      <c r="S1045" s="202"/>
      <c r="T1045" s="202"/>
    </row>
    <row r="1046" spans="1:20" s="182" customFormat="1" ht="14.15" hidden="1">
      <c r="A1046" s="222">
        <v>45351</v>
      </c>
      <c r="B1046" s="201" t="s">
        <v>1085</v>
      </c>
      <c r="C1046" s="208" t="s">
        <v>27</v>
      </c>
      <c r="D1046" s="592">
        <v>-5000905</v>
      </c>
      <c r="E1046" s="619">
        <v>45323</v>
      </c>
      <c r="F1046" s="201" t="s">
        <v>130</v>
      </c>
      <c r="G1046" s="201" t="s">
        <v>257</v>
      </c>
      <c r="H1046" s="201" t="s">
        <v>182</v>
      </c>
      <c r="I1046" s="201"/>
      <c r="J1046" s="202"/>
      <c r="K1046" s="202"/>
      <c r="L1046" s="202"/>
      <c r="M1046" s="202"/>
      <c r="N1046" s="202"/>
      <c r="O1046" s="202"/>
      <c r="P1046" s="202"/>
      <c r="Q1046" s="202"/>
      <c r="R1046" s="202"/>
      <c r="S1046" s="202"/>
      <c r="T1046" s="202"/>
    </row>
    <row r="1047" spans="1:20" s="182" customFormat="1" ht="14.15" hidden="1">
      <c r="A1047" s="222">
        <v>45351</v>
      </c>
      <c r="B1047" s="201" t="s">
        <v>1086</v>
      </c>
      <c r="C1047" s="208" t="s">
        <v>27</v>
      </c>
      <c r="D1047" s="592">
        <f>-679000*80%</f>
        <v>-543200</v>
      </c>
      <c r="E1047" s="619">
        <v>45323</v>
      </c>
      <c r="F1047" s="201" t="s">
        <v>110</v>
      </c>
      <c r="G1047" s="208" t="s">
        <v>450</v>
      </c>
      <c r="H1047" s="208" t="s">
        <v>147</v>
      </c>
      <c r="I1047" s="201"/>
      <c r="J1047" s="202"/>
      <c r="K1047" s="202"/>
      <c r="L1047" s="202"/>
      <c r="M1047" s="202"/>
      <c r="N1047" s="202"/>
      <c r="O1047" s="202"/>
      <c r="P1047" s="202"/>
      <c r="Q1047" s="202"/>
      <c r="R1047" s="202"/>
      <c r="S1047" s="202"/>
      <c r="T1047" s="202"/>
    </row>
    <row r="1048" spans="1:20" s="182" customFormat="1" ht="14.15" hidden="1">
      <c r="A1048" s="222">
        <v>45351</v>
      </c>
      <c r="B1048" s="201" t="s">
        <v>1086</v>
      </c>
      <c r="C1048" s="208" t="s">
        <v>27</v>
      </c>
      <c r="D1048" s="592">
        <f>-679000*20%</f>
        <v>-135800</v>
      </c>
      <c r="E1048" s="619">
        <v>45323</v>
      </c>
      <c r="F1048" s="201" t="s">
        <v>110</v>
      </c>
      <c r="G1048" s="208" t="s">
        <v>453</v>
      </c>
      <c r="H1048" s="208" t="s">
        <v>147</v>
      </c>
      <c r="I1048" s="201"/>
      <c r="J1048" s="202"/>
      <c r="K1048" s="202"/>
      <c r="L1048" s="202"/>
      <c r="M1048" s="202"/>
      <c r="N1048" s="202"/>
      <c r="O1048" s="202"/>
      <c r="P1048" s="202"/>
      <c r="Q1048" s="202"/>
      <c r="R1048" s="202"/>
      <c r="S1048" s="202"/>
      <c r="T1048" s="202"/>
    </row>
    <row r="1049" spans="1:20" s="182" customFormat="1" ht="14.15" hidden="1">
      <c r="A1049" s="222">
        <v>45351</v>
      </c>
      <c r="B1049" s="201" t="s">
        <v>1087</v>
      </c>
      <c r="C1049" s="208" t="s">
        <v>27</v>
      </c>
      <c r="D1049" s="592">
        <v>-444666.66666666698</v>
      </c>
      <c r="E1049" s="619">
        <v>45323</v>
      </c>
      <c r="F1049" s="201" t="s">
        <v>130</v>
      </c>
      <c r="G1049" s="201" t="s">
        <v>257</v>
      </c>
      <c r="H1049" s="201" t="s">
        <v>182</v>
      </c>
      <c r="I1049" s="201"/>
      <c r="J1049" s="202"/>
      <c r="K1049" s="202"/>
      <c r="L1049" s="202"/>
      <c r="M1049" s="202"/>
      <c r="N1049" s="202"/>
      <c r="O1049" s="202"/>
      <c r="P1049" s="202"/>
      <c r="Q1049" s="202"/>
      <c r="R1049" s="202"/>
      <c r="S1049" s="202"/>
      <c r="T1049" s="202"/>
    </row>
    <row r="1050" spans="1:20" s="182" customFormat="1" ht="14.15" hidden="1">
      <c r="A1050" s="222">
        <v>45351</v>
      </c>
      <c r="B1050" s="201" t="s">
        <v>1088</v>
      </c>
      <c r="C1050" s="208" t="s">
        <v>27</v>
      </c>
      <c r="D1050" s="592">
        <v>-400000</v>
      </c>
      <c r="E1050" s="619">
        <v>45323</v>
      </c>
      <c r="F1050" s="201" t="s">
        <v>130</v>
      </c>
      <c r="G1050" s="201" t="s">
        <v>130</v>
      </c>
      <c r="H1050" s="201" t="s">
        <v>182</v>
      </c>
      <c r="I1050" s="201"/>
      <c r="J1050" s="202"/>
      <c r="K1050" s="202"/>
      <c r="L1050" s="202"/>
      <c r="M1050" s="202"/>
      <c r="N1050" s="202"/>
      <c r="O1050" s="202"/>
      <c r="P1050" s="202"/>
      <c r="Q1050" s="202"/>
      <c r="R1050" s="202"/>
      <c r="S1050" s="202"/>
      <c r="T1050" s="202"/>
    </row>
    <row r="1051" spans="1:20" s="182" customFormat="1" ht="14.15" hidden="1">
      <c r="A1051" s="222">
        <v>45351</v>
      </c>
      <c r="B1051" s="201" t="s">
        <v>1089</v>
      </c>
      <c r="C1051" s="208" t="s">
        <v>27</v>
      </c>
      <c r="D1051" s="592">
        <v>-30000</v>
      </c>
      <c r="E1051" s="212">
        <v>45323</v>
      </c>
      <c r="F1051" s="291" t="s">
        <v>130</v>
      </c>
      <c r="G1051" s="208" t="s">
        <v>130</v>
      </c>
      <c r="H1051" s="201" t="s">
        <v>184</v>
      </c>
      <c r="I1051" s="201"/>
      <c r="J1051" s="202"/>
      <c r="K1051" s="202"/>
      <c r="L1051" s="202"/>
      <c r="M1051" s="202"/>
      <c r="N1051" s="202"/>
      <c r="O1051" s="202"/>
      <c r="P1051" s="202"/>
      <c r="Q1051" s="202"/>
      <c r="R1051" s="202"/>
      <c r="S1051" s="202"/>
      <c r="T1051" s="202"/>
    </row>
    <row r="1052" spans="1:20" s="182" customFormat="1" ht="14.15" hidden="1">
      <c r="A1052" s="222">
        <v>45351</v>
      </c>
      <c r="B1052" s="201" t="s">
        <v>1090</v>
      </c>
      <c r="C1052" s="208" t="s">
        <v>27</v>
      </c>
      <c r="D1052" s="592">
        <v>-7665962.25</v>
      </c>
      <c r="E1052" s="619">
        <v>45323</v>
      </c>
      <c r="F1052" s="201" t="s">
        <v>130</v>
      </c>
      <c r="G1052" s="201" t="s">
        <v>130</v>
      </c>
      <c r="H1052" s="201" t="s">
        <v>182</v>
      </c>
      <c r="I1052" s="201"/>
      <c r="J1052" s="202"/>
      <c r="K1052" s="202"/>
      <c r="L1052" s="202"/>
      <c r="M1052" s="202"/>
      <c r="N1052" s="202"/>
      <c r="O1052" s="202"/>
      <c r="P1052" s="202"/>
      <c r="Q1052" s="202"/>
      <c r="R1052" s="202"/>
      <c r="S1052" s="202"/>
      <c r="T1052" s="202"/>
    </row>
    <row r="1053" spans="1:20" s="182" customFormat="1" ht="14.15" hidden="1">
      <c r="A1053" s="222">
        <v>45351</v>
      </c>
      <c r="B1053" s="201" t="s">
        <v>1091</v>
      </c>
      <c r="C1053" s="208" t="s">
        <v>27</v>
      </c>
      <c r="D1053" s="592">
        <v>-7665962.25</v>
      </c>
      <c r="E1053" s="619">
        <v>45323</v>
      </c>
      <c r="F1053" s="201" t="s">
        <v>130</v>
      </c>
      <c r="G1053" s="201" t="s">
        <v>130</v>
      </c>
      <c r="H1053" s="201" t="s">
        <v>182</v>
      </c>
      <c r="I1053" s="201"/>
      <c r="J1053" s="202"/>
      <c r="K1053" s="202"/>
      <c r="L1053" s="202"/>
      <c r="M1053" s="202"/>
      <c r="N1053" s="202"/>
      <c r="O1053" s="202"/>
      <c r="P1053" s="202"/>
      <c r="Q1053" s="202"/>
      <c r="R1053" s="202"/>
      <c r="S1053" s="202"/>
      <c r="T1053" s="202"/>
    </row>
    <row r="1054" spans="1:20" s="182" customFormat="1" ht="14.15" hidden="1">
      <c r="A1054" s="222">
        <v>45351</v>
      </c>
      <c r="B1054" s="201" t="s">
        <v>1092</v>
      </c>
      <c r="C1054" s="208" t="s">
        <v>27</v>
      </c>
      <c r="D1054" s="592">
        <v>-7665962.25</v>
      </c>
      <c r="E1054" s="619">
        <v>45323</v>
      </c>
      <c r="F1054" s="201" t="s">
        <v>130</v>
      </c>
      <c r="G1054" s="201" t="s">
        <v>130</v>
      </c>
      <c r="H1054" s="201" t="s">
        <v>182</v>
      </c>
      <c r="I1054" s="201"/>
      <c r="J1054" s="202"/>
      <c r="K1054" s="202"/>
      <c r="L1054" s="202"/>
      <c r="M1054" s="202"/>
      <c r="N1054" s="202"/>
      <c r="O1054" s="202"/>
      <c r="P1054" s="202"/>
      <c r="Q1054" s="202"/>
      <c r="R1054" s="202"/>
      <c r="S1054" s="202"/>
      <c r="T1054" s="202"/>
    </row>
    <row r="1055" spans="1:20" s="182" customFormat="1" ht="14.15" hidden="1">
      <c r="A1055" s="222">
        <v>45351</v>
      </c>
      <c r="B1055" s="201" t="s">
        <v>1093</v>
      </c>
      <c r="C1055" s="208" t="s">
        <v>27</v>
      </c>
      <c r="D1055" s="592">
        <f>-699240*80%</f>
        <v>-559392</v>
      </c>
      <c r="E1055" s="619">
        <v>45323</v>
      </c>
      <c r="F1055" s="201" t="s">
        <v>109</v>
      </c>
      <c r="G1055" s="208" t="s">
        <v>383</v>
      </c>
      <c r="H1055" s="208" t="s">
        <v>147</v>
      </c>
      <c r="I1055" s="201"/>
      <c r="J1055" s="202"/>
      <c r="K1055" s="202"/>
      <c r="L1055" s="202"/>
      <c r="M1055" s="202"/>
      <c r="N1055" s="202"/>
      <c r="O1055" s="202"/>
      <c r="P1055" s="202"/>
      <c r="Q1055" s="202"/>
      <c r="R1055" s="202"/>
      <c r="S1055" s="202"/>
      <c r="T1055" s="202"/>
    </row>
    <row r="1056" spans="1:20" s="182" customFormat="1" ht="14.15" hidden="1">
      <c r="A1056" s="222">
        <v>45351</v>
      </c>
      <c r="B1056" s="201" t="s">
        <v>1094</v>
      </c>
      <c r="C1056" s="208" t="s">
        <v>27</v>
      </c>
      <c r="D1056" s="592">
        <v>-604361.70212765958</v>
      </c>
      <c r="E1056" s="619">
        <v>45323</v>
      </c>
      <c r="F1056" s="201" t="s">
        <v>109</v>
      </c>
      <c r="G1056" s="208" t="s">
        <v>120</v>
      </c>
      <c r="H1056" s="208" t="s">
        <v>147</v>
      </c>
      <c r="I1056" s="201"/>
      <c r="J1056" s="202"/>
      <c r="K1056" s="202"/>
      <c r="L1056" s="202"/>
      <c r="M1056" s="202"/>
      <c r="N1056" s="202"/>
      <c r="O1056" s="202"/>
      <c r="P1056" s="202"/>
      <c r="Q1056" s="202"/>
      <c r="R1056" s="202"/>
      <c r="S1056" s="202"/>
      <c r="T1056" s="202"/>
    </row>
    <row r="1057" spans="1:20" s="182" customFormat="1" ht="14.15" hidden="1">
      <c r="A1057" s="222">
        <v>45351</v>
      </c>
      <c r="B1057" s="201" t="s">
        <v>1095</v>
      </c>
      <c r="C1057" s="208" t="s">
        <v>27</v>
      </c>
      <c r="D1057" s="592">
        <f>-881400*30%</f>
        <v>-264420</v>
      </c>
      <c r="E1057" s="619">
        <v>45323</v>
      </c>
      <c r="F1057" s="201" t="s">
        <v>109</v>
      </c>
      <c r="G1057" s="208" t="s">
        <v>383</v>
      </c>
      <c r="H1057" s="201" t="s">
        <v>508</v>
      </c>
      <c r="I1057" s="201"/>
      <c r="J1057" s="202"/>
      <c r="K1057" s="202"/>
      <c r="L1057" s="202"/>
      <c r="M1057" s="202"/>
      <c r="N1057" s="202"/>
      <c r="O1057" s="202"/>
      <c r="P1057" s="202"/>
      <c r="Q1057" s="202"/>
      <c r="R1057" s="202"/>
      <c r="S1057" s="202"/>
      <c r="T1057" s="202"/>
    </row>
    <row r="1058" spans="1:20" s="182" customFormat="1" ht="14.15" hidden="1">
      <c r="A1058" s="222">
        <v>45351</v>
      </c>
      <c r="B1058" s="201" t="s">
        <v>1095</v>
      </c>
      <c r="C1058" s="208" t="s">
        <v>27</v>
      </c>
      <c r="D1058" s="592">
        <f>-881400*50%</f>
        <v>-440700</v>
      </c>
      <c r="E1058" s="619">
        <v>45323</v>
      </c>
      <c r="F1058" s="201" t="s">
        <v>110</v>
      </c>
      <c r="G1058" s="208" t="s">
        <v>450</v>
      </c>
      <c r="H1058" s="208" t="s">
        <v>147</v>
      </c>
      <c r="I1058" s="201"/>
      <c r="J1058" s="202"/>
      <c r="K1058" s="202"/>
      <c r="L1058" s="202"/>
      <c r="M1058" s="202"/>
      <c r="N1058" s="202"/>
      <c r="O1058" s="202"/>
      <c r="P1058" s="202"/>
      <c r="Q1058" s="202"/>
      <c r="R1058" s="202"/>
      <c r="S1058" s="202"/>
      <c r="T1058" s="202"/>
    </row>
    <row r="1059" spans="1:20" s="182" customFormat="1" ht="14.15" hidden="1">
      <c r="A1059" s="222">
        <v>45351</v>
      </c>
      <c r="B1059" s="201" t="s">
        <v>1095</v>
      </c>
      <c r="C1059" s="208" t="s">
        <v>27</v>
      </c>
      <c r="D1059" s="592">
        <f>-881400*20%</f>
        <v>-176280</v>
      </c>
      <c r="E1059" s="619">
        <v>45323</v>
      </c>
      <c r="F1059" s="201" t="s">
        <v>110</v>
      </c>
      <c r="G1059" s="208" t="s">
        <v>453</v>
      </c>
      <c r="H1059" s="208" t="s">
        <v>147</v>
      </c>
      <c r="I1059" s="201"/>
      <c r="J1059" s="202"/>
      <c r="K1059" s="202"/>
      <c r="L1059" s="202"/>
      <c r="M1059" s="202"/>
      <c r="N1059" s="202"/>
      <c r="O1059" s="202"/>
      <c r="P1059" s="202"/>
      <c r="Q1059" s="202"/>
      <c r="R1059" s="202"/>
      <c r="S1059" s="202"/>
      <c r="T1059" s="202"/>
    </row>
    <row r="1060" spans="1:20" s="182" customFormat="1" ht="14.15" hidden="1">
      <c r="A1060" s="222">
        <v>45351</v>
      </c>
      <c r="B1060" s="201" t="s">
        <v>1096</v>
      </c>
      <c r="C1060" s="208" t="s">
        <v>27</v>
      </c>
      <c r="D1060" s="592">
        <v>-756740</v>
      </c>
      <c r="E1060" s="619">
        <v>45323</v>
      </c>
      <c r="F1060" s="201" t="s">
        <v>130</v>
      </c>
      <c r="G1060" s="201" t="s">
        <v>130</v>
      </c>
      <c r="H1060" s="201" t="s">
        <v>182</v>
      </c>
      <c r="I1060" s="201"/>
      <c r="J1060" s="202"/>
      <c r="K1060" s="202"/>
      <c r="L1060" s="202"/>
      <c r="M1060" s="202"/>
      <c r="N1060" s="202"/>
      <c r="O1060" s="202"/>
      <c r="P1060" s="202"/>
      <c r="Q1060" s="202"/>
      <c r="R1060" s="202"/>
      <c r="S1060" s="202"/>
      <c r="T1060" s="202"/>
    </row>
    <row r="1061" spans="1:20" s="182" customFormat="1" ht="14.15" hidden="1">
      <c r="A1061" s="222">
        <v>45351</v>
      </c>
      <c r="B1061" s="201" t="s">
        <v>1097</v>
      </c>
      <c r="C1061" s="208" t="s">
        <v>27</v>
      </c>
      <c r="D1061" s="592">
        <f>-717170.212765957*80%</f>
        <v>-573736.17021276557</v>
      </c>
      <c r="E1061" s="619">
        <v>45323</v>
      </c>
      <c r="F1061" s="201" t="s">
        <v>109</v>
      </c>
      <c r="G1061" s="208" t="s">
        <v>383</v>
      </c>
      <c r="H1061" s="208" t="s">
        <v>147</v>
      </c>
      <c r="I1061" s="201"/>
      <c r="J1061" s="202"/>
      <c r="K1061" s="202"/>
      <c r="L1061" s="202"/>
      <c r="M1061" s="202"/>
      <c r="N1061" s="202"/>
      <c r="O1061" s="202"/>
      <c r="P1061" s="202"/>
      <c r="Q1061" s="202"/>
      <c r="R1061" s="202"/>
      <c r="S1061" s="202"/>
      <c r="T1061" s="202"/>
    </row>
    <row r="1062" spans="1:20" s="182" customFormat="1" ht="14.15" hidden="1">
      <c r="A1062" s="222">
        <v>45351</v>
      </c>
      <c r="B1062" s="201" t="s">
        <v>1098</v>
      </c>
      <c r="C1062" s="208" t="s">
        <v>27</v>
      </c>
      <c r="D1062" s="592">
        <v>-685361.70212765958</v>
      </c>
      <c r="E1062" s="619">
        <v>45323</v>
      </c>
      <c r="F1062" s="201" t="s">
        <v>109</v>
      </c>
      <c r="G1062" s="208" t="s">
        <v>120</v>
      </c>
      <c r="H1062" s="208" t="s">
        <v>147</v>
      </c>
      <c r="I1062" s="201"/>
      <c r="J1062" s="202"/>
      <c r="K1062" s="202"/>
      <c r="L1062" s="202"/>
      <c r="M1062" s="202"/>
      <c r="N1062" s="202"/>
      <c r="O1062" s="202"/>
      <c r="P1062" s="202"/>
      <c r="Q1062" s="202"/>
      <c r="R1062" s="202"/>
      <c r="S1062" s="202"/>
      <c r="T1062" s="202"/>
    </row>
    <row r="1063" spans="1:20" s="182" customFormat="1" ht="14.15" hidden="1">
      <c r="A1063" s="222">
        <v>45351</v>
      </c>
      <c r="B1063" s="201" t="s">
        <v>1099</v>
      </c>
      <c r="C1063" s="208" t="s">
        <v>27</v>
      </c>
      <c r="D1063" s="592">
        <v>-685361.70212765958</v>
      </c>
      <c r="E1063" s="619">
        <v>45323</v>
      </c>
      <c r="F1063" s="201" t="s">
        <v>109</v>
      </c>
      <c r="G1063" s="208" t="s">
        <v>120</v>
      </c>
      <c r="H1063" s="208" t="s">
        <v>147</v>
      </c>
      <c r="I1063" s="201"/>
      <c r="J1063" s="202"/>
      <c r="K1063" s="202"/>
      <c r="L1063" s="202"/>
      <c r="M1063" s="202"/>
      <c r="N1063" s="202"/>
      <c r="O1063" s="202"/>
      <c r="P1063" s="202"/>
      <c r="Q1063" s="202"/>
      <c r="R1063" s="202"/>
      <c r="S1063" s="202"/>
      <c r="T1063" s="202"/>
    </row>
    <row r="1064" spans="1:20" s="182" customFormat="1" ht="14.15" hidden="1">
      <c r="A1064" s="222">
        <v>45351</v>
      </c>
      <c r="B1064" s="201" t="s">
        <v>1100</v>
      </c>
      <c r="C1064" s="208" t="s">
        <v>27</v>
      </c>
      <c r="D1064" s="592">
        <f>-2781200*30%</f>
        <v>-834360</v>
      </c>
      <c r="E1064" s="619">
        <v>45323</v>
      </c>
      <c r="F1064" s="201" t="s">
        <v>109</v>
      </c>
      <c r="G1064" s="208" t="s">
        <v>383</v>
      </c>
      <c r="H1064" s="201" t="s">
        <v>508</v>
      </c>
      <c r="I1064" s="201"/>
      <c r="J1064" s="202"/>
      <c r="K1064" s="202"/>
      <c r="L1064" s="202"/>
      <c r="M1064" s="202"/>
      <c r="N1064" s="202"/>
      <c r="O1064" s="202"/>
      <c r="P1064" s="202"/>
      <c r="Q1064" s="202"/>
      <c r="R1064" s="202"/>
      <c r="S1064" s="202"/>
      <c r="T1064" s="202"/>
    </row>
    <row r="1065" spans="1:20" s="182" customFormat="1" ht="14.15" hidden="1">
      <c r="A1065" s="222">
        <v>45351</v>
      </c>
      <c r="B1065" s="201" t="s">
        <v>1100</v>
      </c>
      <c r="C1065" s="208" t="s">
        <v>27</v>
      </c>
      <c r="D1065" s="592">
        <f>-2781200*50%</f>
        <v>-1390600</v>
      </c>
      <c r="E1065" s="619">
        <v>45323</v>
      </c>
      <c r="F1065" s="201" t="s">
        <v>110</v>
      </c>
      <c r="G1065" s="208" t="s">
        <v>450</v>
      </c>
      <c r="H1065" s="201" t="s">
        <v>508</v>
      </c>
      <c r="I1065" s="201"/>
      <c r="J1065" s="202"/>
      <c r="K1065" s="202"/>
      <c r="L1065" s="202"/>
      <c r="M1065" s="202"/>
      <c r="N1065" s="202"/>
      <c r="O1065" s="202"/>
      <c r="P1065" s="202"/>
      <c r="Q1065" s="202"/>
      <c r="R1065" s="202"/>
      <c r="S1065" s="202"/>
      <c r="T1065" s="202"/>
    </row>
    <row r="1066" spans="1:20" s="182" customFormat="1" ht="14.15" hidden="1">
      <c r="A1066" s="222">
        <v>45351</v>
      </c>
      <c r="B1066" s="201" t="s">
        <v>1100</v>
      </c>
      <c r="C1066" s="208" t="s">
        <v>27</v>
      </c>
      <c r="D1066" s="592">
        <f>-2781200*20%+50000</f>
        <v>-506240</v>
      </c>
      <c r="E1066" s="619">
        <v>45323</v>
      </c>
      <c r="F1066" s="201" t="s">
        <v>110</v>
      </c>
      <c r="G1066" s="208" t="s">
        <v>453</v>
      </c>
      <c r="H1066" s="208" t="s">
        <v>147</v>
      </c>
      <c r="I1066" s="201"/>
      <c r="J1066" s="202"/>
      <c r="K1066" s="202"/>
      <c r="L1066" s="202"/>
      <c r="M1066" s="202"/>
      <c r="N1066" s="202"/>
      <c r="O1066" s="202"/>
      <c r="P1066" s="202"/>
      <c r="Q1066" s="202"/>
      <c r="R1066" s="202"/>
      <c r="S1066" s="202"/>
      <c r="T1066" s="202"/>
    </row>
    <row r="1067" spans="1:20" s="182" customFormat="1" ht="14.15" hidden="1">
      <c r="A1067" s="222">
        <v>45351</v>
      </c>
      <c r="B1067" s="201" t="s">
        <v>1101</v>
      </c>
      <c r="C1067" s="208" t="s">
        <v>27</v>
      </c>
      <c r="D1067" s="592">
        <v>-1050000</v>
      </c>
      <c r="E1067" s="619">
        <v>45323</v>
      </c>
      <c r="F1067" s="201" t="s">
        <v>130</v>
      </c>
      <c r="G1067" s="201" t="s">
        <v>257</v>
      </c>
      <c r="H1067" s="201" t="s">
        <v>1031</v>
      </c>
      <c r="I1067" s="201"/>
      <c r="J1067" s="202"/>
      <c r="K1067" s="202"/>
      <c r="L1067" s="202"/>
      <c r="M1067" s="202"/>
      <c r="N1067" s="202"/>
      <c r="O1067" s="202"/>
      <c r="P1067" s="202"/>
      <c r="Q1067" s="202"/>
      <c r="R1067" s="202"/>
      <c r="S1067" s="202"/>
      <c r="T1067" s="202"/>
    </row>
    <row r="1068" spans="1:20" s="182" customFormat="1" ht="14.15" hidden="1">
      <c r="A1068" s="222">
        <v>45351</v>
      </c>
      <c r="B1068" s="201" t="s">
        <v>1102</v>
      </c>
      <c r="C1068" s="208" t="s">
        <v>27</v>
      </c>
      <c r="D1068" s="800">
        <v>-2815200</v>
      </c>
      <c r="E1068" s="619">
        <v>45323</v>
      </c>
      <c r="F1068" s="201" t="s">
        <v>109</v>
      </c>
      <c r="G1068" s="201" t="s">
        <v>581</v>
      </c>
      <c r="H1068" s="201" t="s">
        <v>508</v>
      </c>
      <c r="I1068" s="201"/>
      <c r="J1068" s="202"/>
      <c r="K1068" s="202"/>
      <c r="L1068" s="202"/>
      <c r="M1068" s="202"/>
      <c r="N1068" s="202"/>
      <c r="O1068" s="202"/>
      <c r="P1068" s="202"/>
      <c r="Q1068" s="202"/>
      <c r="R1068" s="202"/>
      <c r="S1068" s="202"/>
      <c r="T1068" s="202"/>
    </row>
    <row r="1069" spans="1:20" s="182" customFormat="1" ht="14.15" hidden="1">
      <c r="A1069" s="222">
        <v>45351</v>
      </c>
      <c r="B1069" s="201" t="s">
        <v>1103</v>
      </c>
      <c r="C1069" s="208" t="s">
        <v>27</v>
      </c>
      <c r="D1069" s="592">
        <f>-717170.212765957*80%</f>
        <v>-573736.17021276557</v>
      </c>
      <c r="E1069" s="619">
        <v>45323</v>
      </c>
      <c r="F1069" s="201" t="s">
        <v>109</v>
      </c>
      <c r="G1069" s="208" t="s">
        <v>383</v>
      </c>
      <c r="H1069" s="208" t="s">
        <v>147</v>
      </c>
      <c r="I1069" s="201"/>
      <c r="J1069" s="202"/>
      <c r="K1069" s="202"/>
      <c r="L1069" s="202"/>
      <c r="M1069" s="202"/>
      <c r="N1069" s="202"/>
      <c r="O1069" s="202"/>
      <c r="P1069" s="202"/>
      <c r="Q1069" s="202"/>
      <c r="R1069" s="202"/>
      <c r="S1069" s="202"/>
      <c r="T1069" s="202"/>
    </row>
    <row r="1070" spans="1:20" s="182" customFormat="1" ht="14.15" hidden="1">
      <c r="A1070" s="222">
        <v>45351</v>
      </c>
      <c r="B1070" s="201" t="s">
        <v>1103</v>
      </c>
      <c r="C1070" s="208" t="s">
        <v>27</v>
      </c>
      <c r="D1070" s="592">
        <f>-717170.212765957*20%</f>
        <v>-143434.04255319139</v>
      </c>
      <c r="E1070" s="619">
        <v>45323</v>
      </c>
      <c r="F1070" s="201" t="s">
        <v>110</v>
      </c>
      <c r="G1070" s="208" t="s">
        <v>453</v>
      </c>
      <c r="H1070" s="208" t="s">
        <v>147</v>
      </c>
      <c r="I1070" s="201"/>
      <c r="J1070" s="202"/>
      <c r="K1070" s="202"/>
      <c r="L1070" s="202"/>
      <c r="M1070" s="202"/>
      <c r="N1070" s="202"/>
      <c r="O1070" s="202"/>
      <c r="P1070" s="202"/>
      <c r="Q1070" s="202"/>
      <c r="R1070" s="202"/>
      <c r="S1070" s="202"/>
      <c r="T1070" s="202"/>
    </row>
    <row r="1071" spans="1:20" s="182" customFormat="1" ht="14.15" hidden="1">
      <c r="A1071" s="222">
        <v>45351</v>
      </c>
      <c r="B1071" s="201" t="s">
        <v>1104</v>
      </c>
      <c r="C1071" s="208" t="s">
        <v>27</v>
      </c>
      <c r="D1071" s="592">
        <v>-2024000</v>
      </c>
      <c r="E1071" s="619">
        <v>45323</v>
      </c>
      <c r="F1071" s="201" t="s">
        <v>130</v>
      </c>
      <c r="G1071" s="201" t="s">
        <v>130</v>
      </c>
      <c r="H1071" s="201" t="s">
        <v>182</v>
      </c>
      <c r="I1071" s="201"/>
      <c r="J1071" s="202"/>
      <c r="K1071" s="202"/>
      <c r="L1071" s="202"/>
      <c r="M1071" s="202"/>
      <c r="N1071" s="202"/>
      <c r="O1071" s="202"/>
      <c r="P1071" s="202"/>
      <c r="Q1071" s="202"/>
      <c r="R1071" s="202"/>
      <c r="S1071" s="202"/>
      <c r="T1071" s="202"/>
    </row>
    <row r="1072" spans="1:20" s="182" customFormat="1" ht="14.15" hidden="1">
      <c r="A1072" s="222">
        <v>45351</v>
      </c>
      <c r="B1072" s="201" t="s">
        <v>1097</v>
      </c>
      <c r="C1072" s="208" t="s">
        <v>27</v>
      </c>
      <c r="D1072" s="592">
        <f>-717170.212765957*20%</f>
        <v>-143434.04255319139</v>
      </c>
      <c r="E1072" s="619">
        <v>45323</v>
      </c>
      <c r="F1072" s="201" t="s">
        <v>110</v>
      </c>
      <c r="G1072" s="208" t="s">
        <v>453</v>
      </c>
      <c r="H1072" s="208" t="s">
        <v>147</v>
      </c>
      <c r="I1072" s="201"/>
      <c r="J1072" s="202"/>
      <c r="K1072" s="202"/>
      <c r="L1072" s="202"/>
      <c r="M1072" s="202"/>
      <c r="N1072" s="202"/>
      <c r="O1072" s="202"/>
      <c r="P1072" s="202"/>
      <c r="Q1072" s="202"/>
      <c r="R1072" s="202"/>
      <c r="S1072" s="202"/>
      <c r="T1072" s="202"/>
    </row>
    <row r="1073" spans="1:20" s="182" customFormat="1" ht="14.15" hidden="1">
      <c r="A1073" s="222">
        <v>45351</v>
      </c>
      <c r="B1073" s="201" t="s">
        <v>1093</v>
      </c>
      <c r="C1073" s="208" t="s">
        <v>27</v>
      </c>
      <c r="D1073" s="592">
        <f>-699240*20%</f>
        <v>-139848</v>
      </c>
      <c r="E1073" s="619">
        <v>45323</v>
      </c>
      <c r="F1073" s="201" t="s">
        <v>110</v>
      </c>
      <c r="G1073" s="208" t="s">
        <v>453</v>
      </c>
      <c r="H1073" s="208" t="s">
        <v>147</v>
      </c>
      <c r="I1073" s="201"/>
      <c r="J1073" s="202"/>
      <c r="K1073" s="202"/>
      <c r="L1073" s="202"/>
      <c r="M1073" s="202"/>
      <c r="N1073" s="202"/>
      <c r="O1073" s="202"/>
      <c r="P1073" s="202"/>
      <c r="Q1073" s="202"/>
      <c r="R1073" s="202"/>
      <c r="S1073" s="202"/>
      <c r="T1073" s="202"/>
    </row>
    <row r="1074" spans="1:20" s="182" customFormat="1" ht="14.15" hidden="1">
      <c r="A1074" s="222">
        <v>45348</v>
      </c>
      <c r="B1074" s="601" t="s">
        <v>401</v>
      </c>
      <c r="C1074" s="208" t="s">
        <v>27</v>
      </c>
      <c r="D1074" s="592">
        <v>-781928</v>
      </c>
      <c r="E1074" s="619">
        <v>45323</v>
      </c>
      <c r="F1074" s="201" t="s">
        <v>118</v>
      </c>
      <c r="G1074" s="201"/>
      <c r="H1074" s="201"/>
      <c r="I1074" s="201"/>
      <c r="J1074" s="202"/>
      <c r="K1074" s="202"/>
      <c r="L1074" s="202"/>
      <c r="M1074" s="202"/>
      <c r="N1074" s="202"/>
      <c r="O1074" s="202"/>
      <c r="P1074" s="202"/>
      <c r="Q1074" s="202"/>
      <c r="R1074" s="202"/>
      <c r="S1074" s="202"/>
      <c r="T1074" s="202"/>
    </row>
    <row r="1075" spans="1:20" s="182" customFormat="1" ht="14.15" hidden="1">
      <c r="A1075" s="222">
        <v>45348</v>
      </c>
      <c r="B1075" s="601" t="s">
        <v>401</v>
      </c>
      <c r="C1075" s="208" t="s">
        <v>27</v>
      </c>
      <c r="D1075" s="592">
        <v>-600166.21</v>
      </c>
      <c r="E1075" s="212">
        <v>45323</v>
      </c>
      <c r="F1075" s="84" t="s">
        <v>111</v>
      </c>
      <c r="G1075" s="201"/>
      <c r="H1075" s="201"/>
      <c r="I1075" s="201"/>
      <c r="J1075" s="202"/>
      <c r="K1075" s="202"/>
      <c r="L1075" s="202"/>
      <c r="M1075" s="202"/>
      <c r="N1075" s="202"/>
      <c r="O1075" s="202"/>
      <c r="P1075" s="202"/>
      <c r="Q1075" s="202"/>
      <c r="R1075" s="202"/>
      <c r="S1075" s="202"/>
      <c r="T1075" s="202"/>
    </row>
    <row r="1076" spans="1:20" s="182" customFormat="1" ht="14.15" hidden="1">
      <c r="A1076" s="222">
        <v>45343</v>
      </c>
      <c r="B1076" s="201" t="s">
        <v>898</v>
      </c>
      <c r="C1076" s="208" t="s">
        <v>27</v>
      </c>
      <c r="D1076" s="800">
        <v>-1059000</v>
      </c>
      <c r="E1076" s="619">
        <v>45323</v>
      </c>
      <c r="F1076" s="201" t="s">
        <v>109</v>
      </c>
      <c r="G1076" s="201" t="s">
        <v>583</v>
      </c>
      <c r="H1076" s="201"/>
      <c r="I1076" s="201"/>
      <c r="J1076" s="202"/>
      <c r="K1076" s="202"/>
      <c r="L1076" s="202"/>
      <c r="M1076" s="202"/>
      <c r="N1076" s="202"/>
      <c r="O1076" s="202"/>
      <c r="P1076" s="202"/>
      <c r="Q1076" s="202"/>
      <c r="R1076" s="202"/>
      <c r="S1076" s="202"/>
      <c r="T1076" s="202"/>
    </row>
    <row r="1077" spans="1:20" s="182" customFormat="1" ht="14.15" hidden="1">
      <c r="A1077" s="222">
        <v>45352</v>
      </c>
      <c r="B1077" s="201" t="s">
        <v>1105</v>
      </c>
      <c r="C1077" s="208" t="s">
        <v>1106</v>
      </c>
      <c r="D1077" s="592">
        <v>-7000</v>
      </c>
      <c r="E1077" s="619">
        <v>45352</v>
      </c>
      <c r="F1077" s="201" t="s">
        <v>110</v>
      </c>
      <c r="G1077" s="208" t="s">
        <v>453</v>
      </c>
      <c r="H1077" s="81" t="s">
        <v>138</v>
      </c>
      <c r="I1077" s="201" t="s">
        <v>173</v>
      </c>
      <c r="J1077" s="202"/>
      <c r="K1077" s="202"/>
      <c r="L1077" s="202"/>
      <c r="M1077" s="202"/>
      <c r="N1077" s="202"/>
      <c r="O1077" s="202"/>
      <c r="P1077" s="202"/>
      <c r="Q1077" s="202"/>
      <c r="R1077" s="202"/>
      <c r="S1077" s="202"/>
      <c r="T1077" s="202"/>
    </row>
    <row r="1078" spans="1:20" s="182" customFormat="1" ht="14.15" hidden="1">
      <c r="A1078" s="222">
        <v>45352</v>
      </c>
      <c r="B1078" s="201" t="s">
        <v>1107</v>
      </c>
      <c r="C1078" s="208" t="s">
        <v>1106</v>
      </c>
      <c r="D1078" s="592">
        <v>-23000</v>
      </c>
      <c r="E1078" s="619">
        <v>45352</v>
      </c>
      <c r="F1078" s="201" t="s">
        <v>130</v>
      </c>
      <c r="G1078" s="201" t="s">
        <v>130</v>
      </c>
      <c r="H1078" s="201" t="s">
        <v>184</v>
      </c>
      <c r="I1078" s="201" t="s">
        <v>173</v>
      </c>
      <c r="J1078" s="202"/>
      <c r="K1078" s="202"/>
      <c r="L1078" s="202"/>
      <c r="M1078" s="202"/>
      <c r="N1078" s="202"/>
      <c r="O1078" s="202"/>
      <c r="P1078" s="202"/>
      <c r="Q1078" s="202"/>
      <c r="R1078" s="202"/>
      <c r="S1078" s="202"/>
      <c r="T1078" s="202"/>
    </row>
    <row r="1079" spans="1:20" s="182" customFormat="1" ht="14.15" hidden="1">
      <c r="A1079" s="222">
        <v>45352</v>
      </c>
      <c r="B1079" s="201" t="s">
        <v>1108</v>
      </c>
      <c r="C1079" s="208" t="s">
        <v>1106</v>
      </c>
      <c r="D1079" s="592">
        <v>-7000</v>
      </c>
      <c r="E1079" s="619">
        <v>45352</v>
      </c>
      <c r="F1079" s="201" t="s">
        <v>110</v>
      </c>
      <c r="G1079" s="208" t="s">
        <v>453</v>
      </c>
      <c r="H1079" s="81" t="s">
        <v>138</v>
      </c>
      <c r="I1079" s="201" t="s">
        <v>173</v>
      </c>
      <c r="J1079" s="202"/>
      <c r="K1079" s="202"/>
      <c r="L1079" s="202"/>
      <c r="M1079" s="202"/>
      <c r="N1079" s="202"/>
      <c r="O1079" s="202"/>
      <c r="P1079" s="202"/>
      <c r="Q1079" s="202"/>
      <c r="R1079" s="202"/>
      <c r="S1079" s="202"/>
      <c r="T1079" s="202"/>
    </row>
    <row r="1080" spans="1:20" s="182" customFormat="1" ht="14.15" hidden="1">
      <c r="A1080" s="222">
        <v>45352</v>
      </c>
      <c r="B1080" s="201" t="s">
        <v>1108</v>
      </c>
      <c r="C1080" s="208" t="s">
        <v>1106</v>
      </c>
      <c r="D1080" s="592">
        <v>-7000</v>
      </c>
      <c r="E1080" s="619">
        <v>45352</v>
      </c>
      <c r="F1080" s="201" t="s">
        <v>110</v>
      </c>
      <c r="G1080" s="208" t="s">
        <v>453</v>
      </c>
      <c r="H1080" s="81" t="s">
        <v>138</v>
      </c>
      <c r="I1080" s="201" t="s">
        <v>173</v>
      </c>
      <c r="J1080" s="202"/>
      <c r="K1080" s="202"/>
      <c r="L1080" s="202"/>
      <c r="M1080" s="202"/>
      <c r="N1080" s="202"/>
      <c r="O1080" s="202"/>
      <c r="P1080" s="202"/>
      <c r="Q1080" s="202"/>
      <c r="R1080" s="202"/>
      <c r="S1080" s="202"/>
      <c r="T1080" s="202"/>
    </row>
    <row r="1081" spans="1:20" s="182" customFormat="1" ht="14.15" hidden="1">
      <c r="A1081" s="222">
        <v>45352</v>
      </c>
      <c r="B1081" t="s">
        <v>1109</v>
      </c>
      <c r="C1081" s="208" t="s">
        <v>1106</v>
      </c>
      <c r="D1081" s="592">
        <v>-25000</v>
      </c>
      <c r="E1081" s="619">
        <v>45352</v>
      </c>
      <c r="F1081" s="291" t="s">
        <v>110</v>
      </c>
      <c r="G1081" s="208" t="s">
        <v>450</v>
      </c>
      <c r="H1081" s="81" t="s">
        <v>138</v>
      </c>
      <c r="I1081" s="201"/>
      <c r="J1081" s="202"/>
      <c r="K1081" s="202"/>
      <c r="L1081" s="202"/>
      <c r="M1081" s="202"/>
      <c r="N1081" s="202"/>
      <c r="O1081" s="202"/>
      <c r="P1081" s="202"/>
      <c r="Q1081" s="202"/>
      <c r="R1081" s="202"/>
      <c r="S1081" s="202"/>
      <c r="T1081" s="202"/>
    </row>
    <row r="1082" spans="1:20" s="182" customFormat="1" ht="14.15" hidden="1">
      <c r="A1082" s="222">
        <v>45352</v>
      </c>
      <c r="B1082" s="201" t="s">
        <v>1110</v>
      </c>
      <c r="C1082" s="208" t="s">
        <v>1106</v>
      </c>
      <c r="D1082" s="592">
        <v>-39200</v>
      </c>
      <c r="E1082" s="619">
        <v>45352</v>
      </c>
      <c r="F1082" s="291" t="s">
        <v>110</v>
      </c>
      <c r="G1082" s="208" t="s">
        <v>450</v>
      </c>
      <c r="H1082" s="208" t="s">
        <v>175</v>
      </c>
      <c r="I1082" s="201" t="s">
        <v>173</v>
      </c>
      <c r="J1082" s="202"/>
      <c r="K1082" s="202"/>
      <c r="L1082" s="202"/>
      <c r="M1082" s="202"/>
      <c r="N1082" s="202"/>
      <c r="O1082" s="202"/>
      <c r="P1082" s="202"/>
      <c r="Q1082" s="202"/>
      <c r="R1082" s="202"/>
      <c r="S1082" s="202"/>
      <c r="T1082" s="202"/>
    </row>
    <row r="1083" spans="1:20" s="182" customFormat="1" ht="14.15" hidden="1">
      <c r="A1083" s="222">
        <v>45352</v>
      </c>
      <c r="B1083" s="201" t="s">
        <v>1111</v>
      </c>
      <c r="C1083" s="208" t="s">
        <v>1106</v>
      </c>
      <c r="D1083" s="592">
        <v>-79900</v>
      </c>
      <c r="E1083" s="619">
        <v>45352</v>
      </c>
      <c r="F1083" s="208" t="s">
        <v>109</v>
      </c>
      <c r="G1083" s="208" t="s">
        <v>317</v>
      </c>
      <c r="H1083" s="208" t="s">
        <v>147</v>
      </c>
      <c r="I1083" s="201" t="s">
        <v>173</v>
      </c>
      <c r="J1083" s="202"/>
      <c r="K1083" s="202"/>
      <c r="L1083" s="202"/>
      <c r="M1083" s="202"/>
      <c r="N1083" s="202"/>
      <c r="O1083" s="202"/>
      <c r="P1083" s="202"/>
      <c r="Q1083" s="202"/>
      <c r="R1083" s="202"/>
      <c r="S1083" s="202"/>
      <c r="T1083" s="202"/>
    </row>
    <row r="1084" spans="1:20" s="182" customFormat="1" ht="14.15" hidden="1">
      <c r="A1084" s="222">
        <v>45352</v>
      </c>
      <c r="B1084" s="201" t="s">
        <v>1112</v>
      </c>
      <c r="C1084" s="208" t="s">
        <v>1106</v>
      </c>
      <c r="D1084" s="592">
        <v>-131300</v>
      </c>
      <c r="E1084" s="619">
        <v>45352</v>
      </c>
      <c r="F1084" s="208" t="s">
        <v>109</v>
      </c>
      <c r="G1084" s="208" t="s">
        <v>317</v>
      </c>
      <c r="H1084" s="208" t="s">
        <v>175</v>
      </c>
      <c r="I1084" s="201" t="s">
        <v>173</v>
      </c>
      <c r="J1084" s="202"/>
      <c r="K1084" s="202"/>
      <c r="L1084" s="202"/>
      <c r="M1084" s="202"/>
      <c r="N1084" s="202"/>
      <c r="O1084" s="202"/>
      <c r="P1084" s="202"/>
      <c r="Q1084" s="202"/>
      <c r="R1084" s="202"/>
      <c r="S1084" s="202"/>
      <c r="T1084" s="202"/>
    </row>
    <row r="1085" spans="1:20" s="182" customFormat="1" ht="14.15" hidden="1">
      <c r="A1085" s="222">
        <v>45352</v>
      </c>
      <c r="B1085" s="201" t="s">
        <v>1113</v>
      </c>
      <c r="C1085" s="208" t="s">
        <v>1106</v>
      </c>
      <c r="D1085" s="592">
        <v>-32000</v>
      </c>
      <c r="E1085" s="619">
        <v>45352</v>
      </c>
      <c r="F1085" s="208" t="s">
        <v>109</v>
      </c>
      <c r="G1085" s="208" t="s">
        <v>317</v>
      </c>
      <c r="H1085" s="208" t="s">
        <v>175</v>
      </c>
      <c r="I1085" s="201" t="s">
        <v>173</v>
      </c>
      <c r="J1085" s="202"/>
      <c r="K1085" s="202"/>
      <c r="L1085" s="202"/>
      <c r="M1085" s="202"/>
      <c r="N1085" s="202"/>
      <c r="O1085" s="202"/>
      <c r="P1085" s="202"/>
      <c r="Q1085" s="202"/>
      <c r="R1085" s="202"/>
      <c r="S1085" s="202"/>
      <c r="T1085" s="202"/>
    </row>
    <row r="1086" spans="1:20" s="182" customFormat="1" ht="14.15" hidden="1">
      <c r="A1086" s="222">
        <v>45352</v>
      </c>
      <c r="B1086" s="201" t="s">
        <v>955</v>
      </c>
      <c r="C1086" s="208" t="s">
        <v>1106</v>
      </c>
      <c r="D1086" s="592">
        <v>-16000</v>
      </c>
      <c r="E1086" s="619">
        <v>45352</v>
      </c>
      <c r="F1086" s="201" t="s">
        <v>109</v>
      </c>
      <c r="G1086" s="201" t="s">
        <v>918</v>
      </c>
      <c r="H1086" s="81" t="s">
        <v>138</v>
      </c>
      <c r="I1086" s="201"/>
      <c r="J1086" s="202"/>
      <c r="K1086" s="202"/>
      <c r="L1086" s="202"/>
      <c r="M1086" s="202"/>
      <c r="N1086" s="202"/>
      <c r="O1086" s="202"/>
      <c r="P1086" s="202"/>
      <c r="Q1086" s="202"/>
      <c r="R1086" s="202"/>
      <c r="S1086" s="202"/>
      <c r="T1086" s="202"/>
    </row>
    <row r="1087" spans="1:20" s="182" customFormat="1" ht="14.15" hidden="1">
      <c r="A1087" s="222">
        <v>45352</v>
      </c>
      <c r="B1087" s="201" t="s">
        <v>1114</v>
      </c>
      <c r="C1087" s="208" t="s">
        <v>1106</v>
      </c>
      <c r="D1087" s="592">
        <v>-16000</v>
      </c>
      <c r="E1087" s="619">
        <v>45352</v>
      </c>
      <c r="F1087" s="201" t="s">
        <v>109</v>
      </c>
      <c r="G1087" s="201" t="s">
        <v>918</v>
      </c>
      <c r="H1087" s="81" t="s">
        <v>138</v>
      </c>
      <c r="I1087" s="201"/>
      <c r="J1087" s="202"/>
      <c r="K1087" s="202"/>
      <c r="L1087" s="202"/>
      <c r="M1087" s="202"/>
      <c r="N1087" s="202"/>
      <c r="O1087" s="202"/>
      <c r="P1087" s="202"/>
      <c r="Q1087" s="202"/>
      <c r="R1087" s="202"/>
      <c r="S1087" s="202"/>
      <c r="T1087" s="202"/>
    </row>
    <row r="1088" spans="1:20" s="182" customFormat="1" ht="14.15" hidden="1">
      <c r="A1088" s="222">
        <v>45352</v>
      </c>
      <c r="B1088" s="201" t="s">
        <v>1115</v>
      </c>
      <c r="C1088" s="208" t="s">
        <v>1106</v>
      </c>
      <c r="D1088" s="592">
        <v>-16000</v>
      </c>
      <c r="E1088" s="619">
        <v>45352</v>
      </c>
      <c r="F1088" s="201" t="s">
        <v>109</v>
      </c>
      <c r="G1088" s="201" t="s">
        <v>918</v>
      </c>
      <c r="H1088" s="81" t="s">
        <v>138</v>
      </c>
      <c r="I1088" s="201"/>
      <c r="J1088" s="202"/>
      <c r="K1088" s="202"/>
      <c r="L1088" s="202"/>
      <c r="M1088" s="202"/>
      <c r="N1088" s="202"/>
      <c r="O1088" s="202"/>
      <c r="P1088" s="202"/>
      <c r="Q1088" s="202"/>
      <c r="R1088" s="202"/>
      <c r="S1088" s="202"/>
      <c r="T1088" s="202"/>
    </row>
    <row r="1089" spans="1:20" s="182" customFormat="1" ht="14.15" hidden="1">
      <c r="A1089" s="222">
        <v>45352</v>
      </c>
      <c r="B1089" s="201" t="s">
        <v>1116</v>
      </c>
      <c r="C1089" s="208" t="s">
        <v>1106</v>
      </c>
      <c r="D1089" s="592">
        <v>-12000</v>
      </c>
      <c r="E1089" s="619">
        <v>45352</v>
      </c>
      <c r="F1089" s="201" t="s">
        <v>109</v>
      </c>
      <c r="G1089" s="201" t="s">
        <v>918</v>
      </c>
      <c r="H1089" s="81" t="s">
        <v>138</v>
      </c>
      <c r="I1089" s="201"/>
      <c r="J1089" s="202"/>
      <c r="K1089" s="202"/>
      <c r="L1089" s="202"/>
      <c r="M1089" s="202"/>
      <c r="N1089" s="202"/>
      <c r="O1089" s="202"/>
      <c r="P1089" s="202"/>
      <c r="Q1089" s="202"/>
      <c r="R1089" s="202"/>
      <c r="S1089" s="202"/>
      <c r="T1089" s="202"/>
    </row>
    <row r="1090" spans="1:20" s="182" customFormat="1" ht="14.15" hidden="1">
      <c r="A1090" s="222">
        <v>45352</v>
      </c>
      <c r="B1090" s="201" t="s">
        <v>1117</v>
      </c>
      <c r="C1090" s="208" t="s">
        <v>1106</v>
      </c>
      <c r="D1090" s="592">
        <v>-640000</v>
      </c>
      <c r="E1090" s="619">
        <v>45352</v>
      </c>
      <c r="F1090" s="208" t="s">
        <v>109</v>
      </c>
      <c r="G1090" s="208" t="s">
        <v>317</v>
      </c>
      <c r="H1090" s="81" t="s">
        <v>138</v>
      </c>
      <c r="I1090" s="201"/>
      <c r="J1090" s="202"/>
      <c r="K1090" s="202"/>
      <c r="L1090" s="202"/>
      <c r="M1090" s="202"/>
      <c r="N1090" s="202"/>
      <c r="O1090" s="202"/>
      <c r="P1090" s="202"/>
      <c r="Q1090" s="202"/>
      <c r="R1090" s="202"/>
      <c r="S1090" s="202"/>
      <c r="T1090" s="202"/>
    </row>
    <row r="1091" spans="1:20" s="182" customFormat="1" ht="14.15" hidden="1">
      <c r="A1091" s="222">
        <v>45355</v>
      </c>
      <c r="B1091" s="202" t="s">
        <v>1118</v>
      </c>
      <c r="C1091" s="208" t="s">
        <v>1106</v>
      </c>
      <c r="D1091" s="592">
        <v>-6000</v>
      </c>
      <c r="E1091" s="619">
        <v>45352</v>
      </c>
      <c r="F1091" s="201" t="s">
        <v>110</v>
      </c>
      <c r="G1091" s="208" t="s">
        <v>453</v>
      </c>
      <c r="H1091" s="81" t="s">
        <v>138</v>
      </c>
      <c r="I1091" s="201" t="s">
        <v>173</v>
      </c>
      <c r="J1091" s="202"/>
      <c r="K1091" s="202"/>
      <c r="L1091" s="202"/>
      <c r="M1091" s="202"/>
      <c r="N1091" s="202"/>
      <c r="O1091" s="202"/>
      <c r="P1091" s="202"/>
      <c r="Q1091" s="202"/>
      <c r="R1091" s="202"/>
      <c r="S1091" s="202"/>
      <c r="T1091" s="202"/>
    </row>
    <row r="1092" spans="1:20" s="182" customFormat="1" ht="14.15" hidden="1">
      <c r="A1092" s="222">
        <v>45355</v>
      </c>
      <c r="B1092" s="201" t="s">
        <v>1119</v>
      </c>
      <c r="C1092" s="208" t="s">
        <v>1106</v>
      </c>
      <c r="D1092" s="592">
        <v>-65000</v>
      </c>
      <c r="E1092" s="619">
        <v>45352</v>
      </c>
      <c r="F1092" s="201" t="s">
        <v>130</v>
      </c>
      <c r="G1092" s="201" t="s">
        <v>130</v>
      </c>
      <c r="H1092" s="201" t="s">
        <v>184</v>
      </c>
      <c r="I1092" s="201"/>
      <c r="J1092" s="202"/>
      <c r="K1092" s="202"/>
      <c r="L1092" s="202"/>
      <c r="M1092" s="202"/>
      <c r="N1092" s="202"/>
      <c r="O1092" s="202"/>
      <c r="P1092" s="202"/>
      <c r="Q1092" s="202"/>
      <c r="R1092" s="202"/>
      <c r="S1092" s="202"/>
      <c r="T1092" s="202"/>
    </row>
    <row r="1093" spans="1:20" s="200" customFormat="1" ht="14.15" hidden="1">
      <c r="A1093" s="222">
        <v>45355</v>
      </c>
      <c r="B1093" s="201" t="s">
        <v>1120</v>
      </c>
      <c r="C1093" s="208" t="s">
        <v>1106</v>
      </c>
      <c r="D1093" s="592">
        <v>-56600</v>
      </c>
      <c r="E1093" s="619">
        <v>45352</v>
      </c>
      <c r="F1093" s="201" t="s">
        <v>130</v>
      </c>
      <c r="G1093" s="201" t="s">
        <v>130</v>
      </c>
      <c r="H1093" s="201" t="s">
        <v>184</v>
      </c>
      <c r="I1093" s="201"/>
      <c r="J1093" s="621"/>
      <c r="K1093" s="201"/>
      <c r="L1093" s="201"/>
      <c r="M1093" s="201"/>
      <c r="N1093" s="201"/>
      <c r="O1093" s="201"/>
      <c r="P1093" s="201"/>
      <c r="Q1093" s="201"/>
      <c r="R1093" s="201"/>
      <c r="S1093" s="201"/>
      <c r="T1093" s="201"/>
    </row>
    <row r="1094" spans="1:20" s="200" customFormat="1" ht="14.15" hidden="1">
      <c r="A1094" s="222">
        <v>45355</v>
      </c>
      <c r="B1094" s="201" t="s">
        <v>754</v>
      </c>
      <c r="C1094" s="208" t="s">
        <v>1106</v>
      </c>
      <c r="D1094" s="592">
        <v>-471250</v>
      </c>
      <c r="E1094" s="619">
        <v>45352</v>
      </c>
      <c r="F1094" s="208" t="s">
        <v>109</v>
      </c>
      <c r="G1094" s="208" t="s">
        <v>317</v>
      </c>
      <c r="H1094" s="201" t="s">
        <v>416</v>
      </c>
      <c r="I1094" s="201"/>
      <c r="J1094" s="621"/>
      <c r="K1094" s="201"/>
      <c r="L1094" s="201"/>
      <c r="M1094" s="201"/>
      <c r="N1094" s="201"/>
      <c r="O1094" s="201"/>
      <c r="P1094" s="201"/>
      <c r="Q1094" s="201"/>
      <c r="R1094" s="201"/>
      <c r="S1094" s="201"/>
      <c r="T1094" s="201"/>
    </row>
    <row r="1095" spans="1:20" s="200" customFormat="1" ht="14.15" hidden="1">
      <c r="A1095" s="222">
        <v>45355</v>
      </c>
      <c r="B1095" s="201" t="s">
        <v>1121</v>
      </c>
      <c r="C1095" s="208" t="s">
        <v>1106</v>
      </c>
      <c r="D1095" s="592">
        <v>-60000</v>
      </c>
      <c r="E1095" s="619">
        <v>45352</v>
      </c>
      <c r="F1095" s="201" t="s">
        <v>109</v>
      </c>
      <c r="G1095" s="208" t="s">
        <v>120</v>
      </c>
      <c r="H1095" s="201"/>
      <c r="I1095" s="201"/>
      <c r="J1095" s="621"/>
      <c r="K1095" s="201"/>
      <c r="L1095" s="201"/>
      <c r="M1095" s="201"/>
      <c r="N1095" s="201"/>
      <c r="O1095" s="201"/>
      <c r="P1095" s="201"/>
      <c r="Q1095" s="201"/>
      <c r="R1095" s="201"/>
      <c r="S1095" s="201"/>
      <c r="T1095" s="201"/>
    </row>
    <row r="1096" spans="1:20" s="182" customFormat="1" ht="14.15" hidden="1">
      <c r="A1096" s="222">
        <v>45355</v>
      </c>
      <c r="B1096" s="201" t="s">
        <v>1122</v>
      </c>
      <c r="C1096" s="208" t="s">
        <v>1106</v>
      </c>
      <c r="D1096" s="592">
        <v>-18500</v>
      </c>
      <c r="E1096" s="619">
        <v>45352</v>
      </c>
      <c r="F1096" s="201" t="s">
        <v>130</v>
      </c>
      <c r="G1096" s="201" t="s">
        <v>257</v>
      </c>
      <c r="H1096" s="81" t="s">
        <v>138</v>
      </c>
      <c r="I1096" s="201"/>
      <c r="J1096" s="202"/>
      <c r="K1096" s="202"/>
      <c r="L1096" s="202"/>
      <c r="M1096" s="202"/>
      <c r="N1096" s="202"/>
      <c r="O1096" s="202"/>
      <c r="P1096" s="202"/>
      <c r="Q1096" s="202"/>
      <c r="R1096" s="202"/>
      <c r="S1096" s="202"/>
      <c r="T1096" s="202"/>
    </row>
    <row r="1097" spans="1:20" s="182" customFormat="1" ht="14.15" hidden="1">
      <c r="A1097" s="222">
        <v>45356</v>
      </c>
      <c r="B1097" s="201" t="s">
        <v>1123</v>
      </c>
      <c r="C1097" s="208" t="s">
        <v>1106</v>
      </c>
      <c r="D1097" s="592">
        <v>-5600</v>
      </c>
      <c r="E1097" s="619">
        <v>45352</v>
      </c>
      <c r="F1097" s="201" t="s">
        <v>130</v>
      </c>
      <c r="G1097" s="201" t="s">
        <v>130</v>
      </c>
      <c r="H1097" s="201" t="s">
        <v>184</v>
      </c>
      <c r="I1097" s="201"/>
      <c r="J1097" s="202"/>
      <c r="K1097" s="202"/>
      <c r="L1097" s="202"/>
      <c r="M1097" s="202"/>
      <c r="N1097" s="202"/>
      <c r="O1097" s="202"/>
      <c r="P1097" s="202"/>
      <c r="Q1097" s="202"/>
      <c r="R1097" s="202"/>
      <c r="S1097" s="202"/>
      <c r="T1097" s="202"/>
    </row>
    <row r="1098" spans="1:20" s="182" customFormat="1" ht="14.15" hidden="1">
      <c r="A1098" s="222">
        <v>45356</v>
      </c>
      <c r="B1098" s="201" t="s">
        <v>1124</v>
      </c>
      <c r="C1098" s="208" t="s">
        <v>1106</v>
      </c>
      <c r="D1098" s="592">
        <v>-42000</v>
      </c>
      <c r="E1098" s="619">
        <v>45352</v>
      </c>
      <c r="F1098" s="201" t="s">
        <v>110</v>
      </c>
      <c r="G1098" s="208" t="s">
        <v>453</v>
      </c>
      <c r="H1098" s="81" t="s">
        <v>138</v>
      </c>
      <c r="I1098" s="201"/>
      <c r="J1098" s="202"/>
      <c r="K1098" s="202"/>
      <c r="L1098" s="202"/>
      <c r="M1098" s="202"/>
      <c r="N1098" s="202"/>
      <c r="O1098" s="202"/>
      <c r="P1098" s="202"/>
      <c r="Q1098" s="202"/>
      <c r="R1098" s="202"/>
      <c r="S1098" s="202"/>
      <c r="T1098" s="202"/>
    </row>
    <row r="1099" spans="1:20" s="182" customFormat="1" ht="14.15" hidden="1">
      <c r="A1099" s="222">
        <v>45356</v>
      </c>
      <c r="B1099" s="201" t="s">
        <v>1124</v>
      </c>
      <c r="C1099" s="208" t="s">
        <v>1106</v>
      </c>
      <c r="D1099" s="592">
        <v>-6000</v>
      </c>
      <c r="E1099" s="619">
        <v>45352</v>
      </c>
      <c r="F1099" s="201" t="s">
        <v>109</v>
      </c>
      <c r="G1099" s="208" t="s">
        <v>383</v>
      </c>
      <c r="H1099" s="81" t="s">
        <v>138</v>
      </c>
      <c r="I1099" s="201"/>
      <c r="J1099" s="202"/>
      <c r="K1099" s="202"/>
      <c r="L1099" s="202"/>
      <c r="M1099" s="202"/>
      <c r="N1099" s="202"/>
      <c r="O1099" s="202"/>
      <c r="P1099" s="202"/>
      <c r="Q1099" s="202"/>
      <c r="R1099" s="202"/>
      <c r="S1099" s="202"/>
      <c r="T1099" s="202"/>
    </row>
    <row r="1100" spans="1:20" s="182" customFormat="1" ht="14.15" hidden="1">
      <c r="A1100" s="222">
        <v>45356</v>
      </c>
      <c r="B1100" s="201" t="s">
        <v>1124</v>
      </c>
      <c r="C1100" s="208" t="s">
        <v>1106</v>
      </c>
      <c r="D1100" s="592">
        <v>-12000</v>
      </c>
      <c r="E1100" s="619">
        <v>45352</v>
      </c>
      <c r="F1100" s="201" t="s">
        <v>130</v>
      </c>
      <c r="G1100" s="201" t="s">
        <v>130</v>
      </c>
      <c r="H1100" s="81" t="s">
        <v>138</v>
      </c>
      <c r="I1100" s="201"/>
      <c r="J1100" s="202"/>
      <c r="K1100" s="202"/>
      <c r="L1100" s="202"/>
      <c r="M1100" s="202"/>
      <c r="N1100" s="202"/>
      <c r="O1100" s="202"/>
      <c r="P1100" s="202"/>
      <c r="Q1100" s="202"/>
      <c r="R1100" s="202"/>
      <c r="S1100" s="202"/>
      <c r="T1100" s="202"/>
    </row>
    <row r="1101" spans="1:20" s="182" customFormat="1" ht="14.15" hidden="1">
      <c r="A1101" s="222">
        <v>45356</v>
      </c>
      <c r="B1101" s="81" t="s">
        <v>1125</v>
      </c>
      <c r="C1101" s="208" t="s">
        <v>1106</v>
      </c>
      <c r="D1101" s="592">
        <v>-12000</v>
      </c>
      <c r="E1101" s="619">
        <v>45352</v>
      </c>
      <c r="F1101" s="201" t="s">
        <v>110</v>
      </c>
      <c r="G1101" s="208" t="s">
        <v>453</v>
      </c>
      <c r="H1101" s="81" t="s">
        <v>138</v>
      </c>
      <c r="I1101" s="201"/>
      <c r="J1101" s="202"/>
      <c r="K1101" s="202"/>
      <c r="L1101" s="202"/>
      <c r="M1101" s="202"/>
      <c r="N1101" s="202"/>
      <c r="O1101" s="202"/>
      <c r="P1101" s="202"/>
      <c r="Q1101" s="202"/>
      <c r="R1101" s="202"/>
      <c r="S1101" s="202"/>
      <c r="T1101" s="202"/>
    </row>
    <row r="1102" spans="1:20" s="182" customFormat="1" ht="14.15" hidden="1">
      <c r="A1102" s="222">
        <v>45356</v>
      </c>
      <c r="B1102" s="201" t="s">
        <v>1126</v>
      </c>
      <c r="C1102" s="208" t="s">
        <v>1106</v>
      </c>
      <c r="D1102" s="592">
        <v>-12000</v>
      </c>
      <c r="E1102" s="619">
        <v>45352</v>
      </c>
      <c r="F1102" s="201" t="s">
        <v>110</v>
      </c>
      <c r="G1102" s="208" t="s">
        <v>453</v>
      </c>
      <c r="H1102" s="81" t="s">
        <v>138</v>
      </c>
      <c r="I1102" s="201"/>
      <c r="J1102" s="202"/>
      <c r="K1102" s="202"/>
      <c r="L1102" s="202"/>
      <c r="M1102" s="202"/>
      <c r="N1102" s="202"/>
      <c r="O1102" s="202"/>
      <c r="P1102" s="202"/>
      <c r="Q1102" s="202"/>
      <c r="R1102" s="202"/>
      <c r="S1102" s="202"/>
      <c r="T1102" s="202"/>
    </row>
    <row r="1103" spans="1:20" s="182" customFormat="1" ht="14.15" hidden="1">
      <c r="A1103" s="222">
        <v>45356</v>
      </c>
      <c r="B1103" s="201" t="s">
        <v>1127</v>
      </c>
      <c r="C1103" s="208" t="s">
        <v>1106</v>
      </c>
      <c r="D1103" s="592">
        <v>-24000</v>
      </c>
      <c r="E1103" s="619">
        <v>45352</v>
      </c>
      <c r="F1103" s="201" t="s">
        <v>109</v>
      </c>
      <c r="G1103" s="208" t="s">
        <v>125</v>
      </c>
      <c r="H1103" s="81" t="s">
        <v>138</v>
      </c>
      <c r="I1103" s="201"/>
      <c r="J1103" s="202"/>
      <c r="K1103" s="202"/>
      <c r="L1103" s="202"/>
      <c r="M1103" s="202"/>
      <c r="N1103" s="202"/>
      <c r="O1103" s="202"/>
      <c r="P1103" s="202"/>
      <c r="Q1103" s="202"/>
      <c r="R1103" s="202"/>
      <c r="S1103" s="202"/>
      <c r="T1103" s="202"/>
    </row>
    <row r="1104" spans="1:20" s="182" customFormat="1" ht="14.15" hidden="1">
      <c r="A1104" s="222">
        <v>45356</v>
      </c>
      <c r="B1104" s="201" t="s">
        <v>1128</v>
      </c>
      <c r="C1104" s="208" t="s">
        <v>1106</v>
      </c>
      <c r="D1104" s="592">
        <v>-70950</v>
      </c>
      <c r="E1104" s="619">
        <v>45352</v>
      </c>
      <c r="F1104" s="201" t="s">
        <v>130</v>
      </c>
      <c r="G1104" s="201" t="s">
        <v>130</v>
      </c>
      <c r="H1104" s="201" t="s">
        <v>184</v>
      </c>
      <c r="I1104" s="201"/>
      <c r="J1104" s="202"/>
      <c r="K1104" s="202"/>
      <c r="L1104" s="202"/>
      <c r="M1104" s="202"/>
      <c r="N1104" s="202"/>
      <c r="O1104" s="202"/>
      <c r="P1104" s="202"/>
      <c r="Q1104" s="202"/>
      <c r="R1104" s="202"/>
      <c r="S1104" s="202"/>
      <c r="T1104" s="202"/>
    </row>
    <row r="1105" spans="1:20" s="182" customFormat="1" ht="14.15" hidden="1">
      <c r="A1105" s="222">
        <v>45356</v>
      </c>
      <c r="B1105" s="201" t="s">
        <v>1129</v>
      </c>
      <c r="C1105" s="208" t="s">
        <v>1106</v>
      </c>
      <c r="D1105" s="592">
        <v>-9400</v>
      </c>
      <c r="E1105" s="619">
        <v>45352</v>
      </c>
      <c r="F1105" s="201" t="s">
        <v>130</v>
      </c>
      <c r="G1105" s="201" t="s">
        <v>130</v>
      </c>
      <c r="H1105" s="201" t="s">
        <v>184</v>
      </c>
      <c r="I1105" s="201"/>
      <c r="J1105" s="202"/>
      <c r="K1105" s="202"/>
      <c r="L1105" s="202"/>
      <c r="M1105" s="202"/>
      <c r="N1105" s="202"/>
      <c r="O1105" s="202"/>
      <c r="P1105" s="202"/>
      <c r="Q1105" s="202"/>
      <c r="R1105" s="202"/>
      <c r="S1105" s="202"/>
      <c r="T1105" s="202"/>
    </row>
    <row r="1106" spans="1:20" s="182" customFormat="1" ht="14.15" hidden="1">
      <c r="A1106" s="222">
        <v>45356</v>
      </c>
      <c r="B1106" s="201" t="s">
        <v>1107</v>
      </c>
      <c r="C1106" s="208" t="s">
        <v>1106</v>
      </c>
      <c r="D1106" s="592">
        <v>-9000</v>
      </c>
      <c r="E1106" s="619">
        <v>45352</v>
      </c>
      <c r="F1106" s="201" t="s">
        <v>110</v>
      </c>
      <c r="G1106" s="208" t="s">
        <v>453</v>
      </c>
      <c r="H1106" s="208" t="s">
        <v>175</v>
      </c>
      <c r="I1106" s="201" t="s">
        <v>173</v>
      </c>
      <c r="J1106" s="202"/>
      <c r="K1106" s="202"/>
      <c r="L1106" s="202"/>
      <c r="M1106" s="202"/>
      <c r="N1106" s="202"/>
      <c r="O1106" s="202"/>
      <c r="P1106" s="202"/>
      <c r="Q1106" s="202"/>
      <c r="R1106" s="202"/>
      <c r="S1106" s="202"/>
      <c r="T1106" s="202"/>
    </row>
    <row r="1107" spans="1:20" s="182" customFormat="1" ht="14.15" hidden="1">
      <c r="A1107" s="222">
        <v>45356</v>
      </c>
      <c r="B1107" s="201" t="s">
        <v>1130</v>
      </c>
      <c r="C1107" s="208" t="s">
        <v>1106</v>
      </c>
      <c r="D1107" s="592">
        <v>-6500</v>
      </c>
      <c r="E1107" s="619">
        <v>45352</v>
      </c>
      <c r="F1107" s="201" t="s">
        <v>110</v>
      </c>
      <c r="G1107" s="208" t="s">
        <v>453</v>
      </c>
      <c r="H1107" s="208" t="s">
        <v>175</v>
      </c>
      <c r="I1107" s="201" t="s">
        <v>173</v>
      </c>
      <c r="J1107" s="202"/>
      <c r="K1107" s="202"/>
      <c r="L1107" s="202"/>
      <c r="M1107" s="202"/>
      <c r="N1107" s="202"/>
      <c r="O1107" s="202"/>
      <c r="P1107" s="202"/>
      <c r="Q1107" s="202"/>
      <c r="R1107" s="202"/>
      <c r="S1107" s="202"/>
      <c r="T1107" s="202"/>
    </row>
    <row r="1108" spans="1:20" s="182" customFormat="1" ht="14.15" hidden="1">
      <c r="A1108" s="222">
        <v>45356</v>
      </c>
      <c r="B1108" s="201" t="s">
        <v>1131</v>
      </c>
      <c r="C1108" s="208" t="s">
        <v>1106</v>
      </c>
      <c r="D1108" s="592">
        <v>-35000</v>
      </c>
      <c r="E1108" s="619">
        <v>45352</v>
      </c>
      <c r="F1108" s="201" t="s">
        <v>110</v>
      </c>
      <c r="G1108" s="208" t="s">
        <v>453</v>
      </c>
      <c r="H1108" s="208" t="s">
        <v>175</v>
      </c>
      <c r="I1108" s="201" t="s">
        <v>173</v>
      </c>
      <c r="J1108" s="202"/>
      <c r="K1108" s="202"/>
      <c r="L1108" s="202"/>
      <c r="M1108" s="202"/>
      <c r="N1108" s="202"/>
      <c r="O1108" s="202"/>
      <c r="P1108" s="202"/>
      <c r="Q1108" s="202"/>
      <c r="R1108" s="202"/>
      <c r="S1108" s="202"/>
      <c r="T1108" s="202"/>
    </row>
    <row r="1109" spans="1:20" s="182" customFormat="1" ht="14.15" hidden="1">
      <c r="A1109" s="222">
        <v>45356</v>
      </c>
      <c r="B1109" s="201" t="s">
        <v>1132</v>
      </c>
      <c r="C1109" s="208" t="s">
        <v>1106</v>
      </c>
      <c r="D1109" s="592">
        <v>-22821</v>
      </c>
      <c r="E1109" s="619">
        <v>45352</v>
      </c>
      <c r="F1109" s="201" t="s">
        <v>109</v>
      </c>
      <c r="G1109" s="208" t="s">
        <v>120</v>
      </c>
      <c r="H1109" s="208" t="s">
        <v>175</v>
      </c>
      <c r="I1109" s="201" t="s">
        <v>173</v>
      </c>
      <c r="J1109" s="202"/>
      <c r="K1109" s="202"/>
      <c r="L1109" s="202"/>
      <c r="M1109" s="202"/>
      <c r="N1109" s="202"/>
      <c r="O1109" s="202"/>
      <c r="P1109" s="202"/>
      <c r="Q1109" s="202"/>
      <c r="R1109" s="202"/>
      <c r="S1109" s="202"/>
      <c r="T1109" s="202"/>
    </row>
    <row r="1110" spans="1:20" s="182" customFormat="1" ht="14.15" hidden="1">
      <c r="A1110" s="222">
        <v>45356</v>
      </c>
      <c r="B1110" s="201" t="s">
        <v>1133</v>
      </c>
      <c r="C1110" s="208" t="s">
        <v>1106</v>
      </c>
      <c r="D1110" s="592">
        <v>-29000</v>
      </c>
      <c r="E1110" s="619">
        <v>45352</v>
      </c>
      <c r="F1110" s="201" t="s">
        <v>109</v>
      </c>
      <c r="G1110" s="208" t="s">
        <v>120</v>
      </c>
      <c r="H1110" s="201" t="s">
        <v>323</v>
      </c>
      <c r="I1110" s="201" t="s">
        <v>173</v>
      </c>
      <c r="J1110" s="202"/>
      <c r="K1110" s="202"/>
      <c r="L1110" s="202"/>
      <c r="M1110" s="202"/>
      <c r="N1110" s="202"/>
      <c r="O1110" s="202"/>
      <c r="P1110" s="202"/>
      <c r="Q1110" s="202"/>
      <c r="R1110" s="202"/>
      <c r="S1110" s="202"/>
      <c r="T1110" s="202"/>
    </row>
    <row r="1111" spans="1:20" s="182" customFormat="1" ht="14.15" hidden="1">
      <c r="A1111" s="222">
        <v>45356</v>
      </c>
      <c r="B1111" s="201" t="s">
        <v>1134</v>
      </c>
      <c r="C1111" s="208" t="s">
        <v>1106</v>
      </c>
      <c r="D1111" s="592">
        <v>-49000</v>
      </c>
      <c r="E1111" s="619">
        <v>45352</v>
      </c>
      <c r="F1111" s="201" t="s">
        <v>110</v>
      </c>
      <c r="G1111" s="208" t="s">
        <v>453</v>
      </c>
      <c r="H1111" s="208" t="s">
        <v>175</v>
      </c>
      <c r="I1111" s="201" t="s">
        <v>173</v>
      </c>
      <c r="J1111" s="202"/>
      <c r="K1111" s="202"/>
      <c r="L1111" s="202"/>
      <c r="M1111" s="202"/>
      <c r="N1111" s="202"/>
      <c r="O1111" s="202"/>
      <c r="P1111" s="202"/>
      <c r="Q1111" s="202"/>
      <c r="R1111" s="202"/>
      <c r="S1111" s="202"/>
      <c r="T1111" s="202"/>
    </row>
    <row r="1112" spans="1:20" s="182" customFormat="1" ht="14.15" hidden="1">
      <c r="A1112" s="222">
        <v>45356</v>
      </c>
      <c r="B1112" s="201" t="s">
        <v>1135</v>
      </c>
      <c r="C1112" s="208" t="s">
        <v>1106</v>
      </c>
      <c r="D1112" s="592">
        <v>-117000</v>
      </c>
      <c r="E1112" s="619">
        <v>45352</v>
      </c>
      <c r="F1112" s="201" t="s">
        <v>130</v>
      </c>
      <c r="G1112" s="201" t="s">
        <v>130</v>
      </c>
      <c r="H1112" s="201" t="s">
        <v>184</v>
      </c>
      <c r="I1112" s="201" t="s">
        <v>173</v>
      </c>
      <c r="J1112" s="202"/>
      <c r="K1112" s="202"/>
      <c r="L1112" s="202"/>
      <c r="M1112" s="202"/>
      <c r="N1112" s="202"/>
      <c r="O1112" s="202"/>
      <c r="P1112" s="202"/>
      <c r="Q1112" s="202"/>
      <c r="R1112" s="202"/>
      <c r="S1112" s="202"/>
      <c r="T1112" s="202"/>
    </row>
    <row r="1113" spans="1:20" s="182" customFormat="1" ht="14.15" hidden="1">
      <c r="A1113" s="222">
        <v>45356</v>
      </c>
      <c r="B1113" s="201" t="s">
        <v>1136</v>
      </c>
      <c r="C1113" s="208" t="s">
        <v>1106</v>
      </c>
      <c r="D1113" s="592">
        <v>-20000</v>
      </c>
      <c r="E1113" s="619">
        <v>45352</v>
      </c>
      <c r="F1113" s="201" t="s">
        <v>109</v>
      </c>
      <c r="G1113" s="208" t="s">
        <v>120</v>
      </c>
      <c r="H1113" s="81" t="s">
        <v>138</v>
      </c>
      <c r="I1113" s="201" t="s">
        <v>173</v>
      </c>
      <c r="J1113" s="202"/>
      <c r="K1113" s="202"/>
      <c r="L1113" s="202"/>
      <c r="M1113" s="202"/>
      <c r="N1113" s="202"/>
      <c r="O1113" s="202"/>
      <c r="P1113" s="202"/>
      <c r="Q1113" s="202"/>
      <c r="R1113" s="202"/>
      <c r="S1113" s="202"/>
      <c r="T1113" s="202"/>
    </row>
    <row r="1114" spans="1:20" s="182" customFormat="1" ht="14.15" hidden="1">
      <c r="A1114" s="222">
        <v>45357</v>
      </c>
      <c r="B1114" s="201" t="s">
        <v>1137</v>
      </c>
      <c r="C1114" s="208" t="s">
        <v>1106</v>
      </c>
      <c r="D1114" s="592">
        <v>-104500</v>
      </c>
      <c r="E1114" s="619">
        <v>45352</v>
      </c>
      <c r="F1114" s="201" t="s">
        <v>130</v>
      </c>
      <c r="G1114" s="201" t="s">
        <v>257</v>
      </c>
      <c r="H1114" s="201" t="s">
        <v>1138</v>
      </c>
      <c r="I1114" s="201"/>
      <c r="J1114" s="202"/>
      <c r="K1114" s="202"/>
      <c r="L1114" s="202"/>
      <c r="M1114" s="202"/>
      <c r="N1114" s="202"/>
      <c r="O1114" s="202"/>
      <c r="P1114" s="202"/>
      <c r="Q1114" s="202"/>
      <c r="R1114" s="202"/>
      <c r="S1114" s="202"/>
      <c r="T1114" s="202"/>
    </row>
    <row r="1115" spans="1:20" s="182" customFormat="1" ht="14.15" hidden="1">
      <c r="A1115" s="222">
        <v>45357</v>
      </c>
      <c r="B1115" s="201" t="s">
        <v>1139</v>
      </c>
      <c r="C1115" s="208" t="s">
        <v>1106</v>
      </c>
      <c r="D1115" s="592">
        <v>-14000</v>
      </c>
      <c r="E1115" s="619">
        <v>45352</v>
      </c>
      <c r="F1115" s="201" t="s">
        <v>109</v>
      </c>
      <c r="G1115" s="208" t="s">
        <v>414</v>
      </c>
      <c r="H1115" s="81" t="s">
        <v>138</v>
      </c>
      <c r="I1115" s="201"/>
      <c r="J1115" s="202"/>
      <c r="K1115" s="202"/>
      <c r="L1115" s="202"/>
      <c r="M1115" s="202"/>
      <c r="N1115" s="202"/>
      <c r="O1115" s="202"/>
      <c r="P1115" s="202"/>
      <c r="Q1115" s="202"/>
      <c r="R1115" s="202"/>
      <c r="S1115" s="202"/>
      <c r="T1115" s="202"/>
    </row>
    <row r="1116" spans="1:20" s="182" customFormat="1" ht="14.15" hidden="1">
      <c r="A1116" s="222">
        <v>45357</v>
      </c>
      <c r="B1116" s="201" t="s">
        <v>1140</v>
      </c>
      <c r="C1116" s="208" t="s">
        <v>1106</v>
      </c>
      <c r="D1116" s="592">
        <v>-85000</v>
      </c>
      <c r="E1116" s="619">
        <v>45352</v>
      </c>
      <c r="F1116" s="201" t="s">
        <v>130</v>
      </c>
      <c r="G1116" s="201" t="s">
        <v>130</v>
      </c>
      <c r="H1116" s="201" t="s">
        <v>184</v>
      </c>
      <c r="I1116" s="201"/>
      <c r="J1116" s="202"/>
      <c r="K1116" s="202"/>
      <c r="L1116" s="202"/>
      <c r="M1116" s="202"/>
      <c r="N1116" s="202"/>
      <c r="O1116" s="202"/>
      <c r="P1116" s="202"/>
      <c r="Q1116" s="202"/>
      <c r="R1116" s="202"/>
      <c r="S1116" s="202"/>
      <c r="T1116" s="202"/>
    </row>
    <row r="1117" spans="1:20" s="182" customFormat="1" ht="14.15" hidden="1">
      <c r="A1117" s="222">
        <v>45357</v>
      </c>
      <c r="B1117" s="201" t="s">
        <v>1141</v>
      </c>
      <c r="C1117" s="208" t="s">
        <v>1106</v>
      </c>
      <c r="D1117" s="592">
        <v>-6000</v>
      </c>
      <c r="E1117" s="619">
        <v>45352</v>
      </c>
      <c r="F1117" s="201" t="s">
        <v>110</v>
      </c>
      <c r="G1117" s="208" t="s">
        <v>453</v>
      </c>
      <c r="H1117" s="81" t="s">
        <v>138</v>
      </c>
      <c r="I1117" s="201"/>
      <c r="J1117" s="202"/>
      <c r="K1117" s="202"/>
      <c r="L1117" s="202"/>
      <c r="M1117" s="202"/>
      <c r="N1117" s="202"/>
      <c r="O1117" s="202"/>
      <c r="P1117" s="202"/>
      <c r="Q1117" s="202"/>
      <c r="R1117" s="202"/>
      <c r="S1117" s="202"/>
      <c r="T1117" s="202"/>
    </row>
    <row r="1118" spans="1:20" s="182" customFormat="1" ht="14.15" hidden="1">
      <c r="A1118" s="222">
        <v>45358</v>
      </c>
      <c r="B1118" s="201" t="s">
        <v>1142</v>
      </c>
      <c r="C1118" s="208" t="s">
        <v>1106</v>
      </c>
      <c r="D1118" s="592">
        <v>-30000</v>
      </c>
      <c r="E1118" s="619">
        <v>45352</v>
      </c>
      <c r="F1118" s="201" t="s">
        <v>130</v>
      </c>
      <c r="G1118" s="201" t="s">
        <v>257</v>
      </c>
      <c r="H1118" s="81" t="s">
        <v>138</v>
      </c>
      <c r="I1118" s="201"/>
      <c r="J1118" s="202"/>
      <c r="K1118" s="202"/>
      <c r="L1118" s="202"/>
      <c r="M1118" s="202"/>
      <c r="N1118" s="202"/>
      <c r="O1118" s="202"/>
      <c r="P1118" s="202"/>
      <c r="Q1118" s="202"/>
      <c r="R1118" s="202"/>
      <c r="S1118" s="202"/>
      <c r="T1118" s="202"/>
    </row>
    <row r="1119" spans="1:20" s="182" customFormat="1" ht="14.15" hidden="1">
      <c r="A1119" s="222">
        <v>45358</v>
      </c>
      <c r="B1119" s="201" t="s">
        <v>1141</v>
      </c>
      <c r="C1119" s="208" t="s">
        <v>1106</v>
      </c>
      <c r="D1119" s="592">
        <v>-6000</v>
      </c>
      <c r="E1119" s="619">
        <v>45352</v>
      </c>
      <c r="F1119" s="201" t="s">
        <v>110</v>
      </c>
      <c r="G1119" s="208" t="s">
        <v>453</v>
      </c>
      <c r="H1119" s="81" t="s">
        <v>138</v>
      </c>
      <c r="I1119" s="201"/>
      <c r="J1119" s="202"/>
      <c r="K1119" s="202"/>
      <c r="L1119" s="202"/>
      <c r="M1119" s="202"/>
      <c r="N1119" s="202"/>
      <c r="O1119" s="202"/>
      <c r="P1119" s="202"/>
      <c r="Q1119" s="202"/>
      <c r="R1119" s="202"/>
      <c r="S1119" s="202"/>
      <c r="T1119" s="202"/>
    </row>
    <row r="1120" spans="1:20" s="182" customFormat="1" ht="14.15" hidden="1">
      <c r="A1120" s="222">
        <v>45359</v>
      </c>
      <c r="B1120" s="201" t="s">
        <v>1143</v>
      </c>
      <c r="C1120" s="208" t="s">
        <v>1106</v>
      </c>
      <c r="D1120" s="592">
        <v>-6000</v>
      </c>
      <c r="E1120" s="619">
        <v>45352</v>
      </c>
      <c r="F1120" s="201" t="s">
        <v>130</v>
      </c>
      <c r="G1120" s="201" t="s">
        <v>257</v>
      </c>
      <c r="H1120" s="81" t="s">
        <v>138</v>
      </c>
      <c r="I1120" s="201"/>
      <c r="J1120" s="202"/>
      <c r="K1120" s="202"/>
      <c r="L1120" s="202"/>
      <c r="M1120" s="202"/>
      <c r="N1120" s="202"/>
      <c r="O1120" s="202"/>
      <c r="P1120" s="202"/>
      <c r="Q1120" s="202"/>
      <c r="R1120" s="202"/>
      <c r="S1120" s="202"/>
      <c r="T1120" s="202"/>
    </row>
    <row r="1121" spans="1:20" s="182" customFormat="1" ht="14.15" hidden="1">
      <c r="A1121" s="222">
        <v>45352</v>
      </c>
      <c r="B1121" s="201" t="s">
        <v>1144</v>
      </c>
      <c r="C1121" s="208" t="s">
        <v>27</v>
      </c>
      <c r="D1121" s="592">
        <v>-909862</v>
      </c>
      <c r="E1121" s="619">
        <v>45352</v>
      </c>
      <c r="F1121" s="201" t="s">
        <v>130</v>
      </c>
      <c r="G1121" s="614" t="s">
        <v>257</v>
      </c>
      <c r="H1121" s="201" t="s">
        <v>1145</v>
      </c>
      <c r="I1121" s="201"/>
      <c r="J1121" s="202"/>
      <c r="K1121" s="202"/>
      <c r="L1121" s="202"/>
      <c r="M1121" s="202"/>
      <c r="N1121" s="202"/>
      <c r="O1121" s="202"/>
      <c r="P1121" s="202"/>
      <c r="Q1121" s="202"/>
      <c r="R1121" s="202"/>
      <c r="S1121" s="202"/>
      <c r="T1121" s="202"/>
    </row>
    <row r="1122" spans="1:20" s="182" customFormat="1" ht="14.15" hidden="1">
      <c r="A1122" s="222">
        <v>45352</v>
      </c>
      <c r="B1122" s="201" t="s">
        <v>1146</v>
      </c>
      <c r="C1122" s="208" t="s">
        <v>27</v>
      </c>
      <c r="D1122" s="592">
        <v>-191200</v>
      </c>
      <c r="E1122" s="619">
        <v>45352</v>
      </c>
      <c r="F1122" s="201" t="s">
        <v>130</v>
      </c>
      <c r="G1122" s="614" t="s">
        <v>130</v>
      </c>
      <c r="H1122" s="201" t="s">
        <v>323</v>
      </c>
      <c r="I1122" s="201"/>
      <c r="J1122" s="202"/>
      <c r="K1122" s="202"/>
      <c r="L1122" s="202"/>
      <c r="M1122" s="202"/>
      <c r="N1122" s="202"/>
      <c r="O1122" s="202"/>
      <c r="P1122" s="202"/>
      <c r="Q1122" s="202"/>
      <c r="R1122" s="202"/>
      <c r="S1122" s="202"/>
      <c r="T1122" s="202"/>
    </row>
    <row r="1123" spans="1:20" s="182" customFormat="1" ht="14.15" hidden="1">
      <c r="A1123" s="222">
        <v>45352</v>
      </c>
      <c r="B1123" s="201" t="s">
        <v>1147</v>
      </c>
      <c r="C1123" s="208" t="s">
        <v>27</v>
      </c>
      <c r="D1123" s="592">
        <v>-2585676</v>
      </c>
      <c r="E1123" s="619">
        <v>45352</v>
      </c>
      <c r="F1123" s="201" t="s">
        <v>130</v>
      </c>
      <c r="G1123" s="614" t="s">
        <v>130</v>
      </c>
      <c r="H1123" s="201" t="s">
        <v>1148</v>
      </c>
      <c r="I1123" s="201"/>
      <c r="J1123" s="202"/>
      <c r="K1123" s="202"/>
      <c r="L1123" s="202"/>
      <c r="M1123" s="202"/>
      <c r="N1123" s="202"/>
      <c r="O1123" s="202"/>
      <c r="P1123" s="202"/>
      <c r="Q1123" s="202"/>
      <c r="R1123" s="202"/>
      <c r="S1123" s="202"/>
      <c r="T1123" s="202"/>
    </row>
    <row r="1124" spans="1:20" s="182" customFormat="1" ht="14.15" hidden="1">
      <c r="A1124" s="222">
        <v>45352</v>
      </c>
      <c r="B1124" s="201" t="s">
        <v>132</v>
      </c>
      <c r="C1124" s="208" t="s">
        <v>133</v>
      </c>
      <c r="D1124" s="592">
        <v>-89936</v>
      </c>
      <c r="E1124" s="619">
        <v>45352</v>
      </c>
      <c r="F1124" s="201" t="s">
        <v>130</v>
      </c>
      <c r="G1124" s="614" t="s">
        <v>130</v>
      </c>
      <c r="H1124" s="201" t="s">
        <v>1148</v>
      </c>
      <c r="I1124" s="201"/>
      <c r="J1124" s="202"/>
      <c r="K1124" s="202"/>
      <c r="L1124" s="202"/>
      <c r="M1124" s="202"/>
      <c r="N1124" s="202"/>
      <c r="O1124" s="202"/>
      <c r="P1124" s="202"/>
      <c r="Q1124" s="202"/>
      <c r="R1124" s="202"/>
      <c r="S1124" s="202"/>
      <c r="T1124" s="202"/>
    </row>
    <row r="1125" spans="1:20" s="182" customFormat="1" ht="14.15" hidden="1">
      <c r="A1125" s="222">
        <v>45355</v>
      </c>
      <c r="B1125" s="201" t="s">
        <v>1149</v>
      </c>
      <c r="C1125" s="208" t="s">
        <v>27</v>
      </c>
      <c r="D1125" s="592">
        <v>-403200</v>
      </c>
      <c r="E1125" s="619">
        <v>45352</v>
      </c>
      <c r="F1125" s="201" t="s">
        <v>130</v>
      </c>
      <c r="G1125" s="614" t="s">
        <v>130</v>
      </c>
      <c r="H1125" s="201" t="s">
        <v>852</v>
      </c>
      <c r="I1125" s="201"/>
      <c r="J1125" s="202"/>
      <c r="K1125" s="202"/>
      <c r="L1125" s="202"/>
      <c r="M1125" s="202"/>
      <c r="N1125" s="202"/>
      <c r="O1125" s="202"/>
      <c r="P1125" s="202"/>
      <c r="Q1125" s="202"/>
      <c r="R1125" s="202"/>
      <c r="S1125" s="202"/>
      <c r="T1125" s="202"/>
    </row>
    <row r="1126" spans="1:20" s="182" customFormat="1" ht="14.15" hidden="1">
      <c r="A1126" s="222">
        <v>45355</v>
      </c>
      <c r="B1126" s="201" t="s">
        <v>1150</v>
      </c>
      <c r="C1126" s="208" t="s">
        <v>27</v>
      </c>
      <c r="D1126" s="592">
        <v>-2000000</v>
      </c>
      <c r="E1126" s="619">
        <v>45352</v>
      </c>
      <c r="F1126" s="208" t="s">
        <v>109</v>
      </c>
      <c r="G1126" s="208" t="s">
        <v>317</v>
      </c>
      <c r="H1126" s="208" t="s">
        <v>147</v>
      </c>
      <c r="I1126" s="201"/>
      <c r="J1126" s="202"/>
      <c r="K1126" s="202"/>
      <c r="L1126" s="202"/>
      <c r="M1126" s="202"/>
      <c r="N1126" s="202"/>
      <c r="O1126" s="202"/>
      <c r="P1126" s="202"/>
      <c r="Q1126" s="202"/>
      <c r="R1126" s="202"/>
      <c r="S1126" s="202"/>
      <c r="T1126" s="202"/>
    </row>
    <row r="1127" spans="1:20" s="182" customFormat="1" ht="14.15" hidden="1">
      <c r="A1127" s="222">
        <v>45355</v>
      </c>
      <c r="B1127" s="201" t="s">
        <v>1151</v>
      </c>
      <c r="C1127" s="208" t="s">
        <v>27</v>
      </c>
      <c r="D1127" s="592">
        <v>-4090000</v>
      </c>
      <c r="E1127" s="619">
        <v>45352</v>
      </c>
      <c r="F1127" s="201" t="s">
        <v>109</v>
      </c>
      <c r="G1127" s="208" t="s">
        <v>120</v>
      </c>
      <c r="H1127" s="208" t="s">
        <v>147</v>
      </c>
      <c r="I1127" s="201"/>
      <c r="J1127" s="202"/>
      <c r="K1127" s="202"/>
      <c r="L1127" s="202"/>
      <c r="M1127" s="202"/>
      <c r="N1127" s="202"/>
      <c r="O1127" s="202"/>
      <c r="P1127" s="202"/>
      <c r="Q1127" s="202"/>
      <c r="R1127" s="202"/>
      <c r="S1127" s="202"/>
      <c r="T1127" s="202"/>
    </row>
    <row r="1128" spans="1:20" s="182" customFormat="1" ht="14.15" hidden="1">
      <c r="A1128" s="222">
        <v>45355</v>
      </c>
      <c r="B1128" s="201" t="s">
        <v>1152</v>
      </c>
      <c r="C1128" s="208" t="s">
        <v>133</v>
      </c>
      <c r="D1128" s="592">
        <v>-310000</v>
      </c>
      <c r="E1128" s="619">
        <v>45352</v>
      </c>
      <c r="F1128" s="201" t="s">
        <v>109</v>
      </c>
      <c r="G1128" s="208" t="s">
        <v>120</v>
      </c>
      <c r="H1128" s="208" t="s">
        <v>147</v>
      </c>
      <c r="I1128" s="201"/>
      <c r="J1128" s="202"/>
      <c r="K1128" s="202"/>
      <c r="L1128" s="202"/>
      <c r="M1128" s="202"/>
      <c r="N1128" s="202"/>
      <c r="O1128" s="202"/>
      <c r="P1128" s="202"/>
      <c r="Q1128" s="202"/>
      <c r="R1128" s="202"/>
      <c r="S1128" s="202"/>
      <c r="T1128" s="202"/>
    </row>
    <row r="1129" spans="1:20" s="182" customFormat="1" ht="14.15" hidden="1">
      <c r="A1129" s="222">
        <v>45355</v>
      </c>
      <c r="B1129" s="201" t="s">
        <v>1153</v>
      </c>
      <c r="C1129" s="208" t="s">
        <v>27</v>
      </c>
      <c r="D1129" s="800">
        <f>-1584000/2</f>
        <v>-792000</v>
      </c>
      <c r="E1129" s="619">
        <v>45352</v>
      </c>
      <c r="F1129" s="201" t="s">
        <v>109</v>
      </c>
      <c r="G1129" s="201" t="s">
        <v>581</v>
      </c>
      <c r="H1129" s="208" t="s">
        <v>147</v>
      </c>
      <c r="I1129" s="201"/>
      <c r="J1129" s="202"/>
      <c r="K1129" s="202"/>
      <c r="L1129" s="202"/>
      <c r="M1129" s="202"/>
      <c r="N1129" s="202"/>
      <c r="O1129" s="202"/>
      <c r="P1129" s="202"/>
      <c r="Q1129" s="202"/>
      <c r="R1129" s="202"/>
      <c r="S1129" s="202"/>
      <c r="T1129" s="202"/>
    </row>
    <row r="1130" spans="1:20" s="182" customFormat="1" ht="14.15" hidden="1">
      <c r="A1130" s="222">
        <v>45355</v>
      </c>
      <c r="B1130" s="201" t="s">
        <v>1153</v>
      </c>
      <c r="C1130" s="208" t="s">
        <v>133</v>
      </c>
      <c r="D1130" s="800">
        <f>-216000/2</f>
        <v>-108000</v>
      </c>
      <c r="E1130" s="619">
        <v>45352</v>
      </c>
      <c r="F1130" s="201" t="s">
        <v>109</v>
      </c>
      <c r="G1130" s="201" t="s">
        <v>581</v>
      </c>
      <c r="H1130" s="208" t="s">
        <v>147</v>
      </c>
      <c r="I1130" s="201"/>
      <c r="J1130" s="202"/>
      <c r="K1130" s="202"/>
      <c r="L1130" s="202"/>
      <c r="M1130" s="202"/>
      <c r="N1130" s="202"/>
      <c r="O1130" s="202"/>
      <c r="P1130" s="202"/>
      <c r="Q1130" s="202"/>
      <c r="R1130" s="202"/>
      <c r="S1130" s="202"/>
      <c r="T1130" s="202"/>
    </row>
    <row r="1131" spans="1:20" s="182" customFormat="1" ht="14.15" hidden="1">
      <c r="A1131" s="222">
        <v>45355</v>
      </c>
      <c r="B1131" s="201" t="s">
        <v>1154</v>
      </c>
      <c r="C1131" s="208" t="s">
        <v>27</v>
      </c>
      <c r="D1131" s="800">
        <f>-1584000/2</f>
        <v>-792000</v>
      </c>
      <c r="E1131" s="619">
        <v>45352</v>
      </c>
      <c r="F1131" s="201" t="s">
        <v>109</v>
      </c>
      <c r="G1131" s="201" t="s">
        <v>583</v>
      </c>
      <c r="H1131" s="208" t="s">
        <v>147</v>
      </c>
      <c r="I1131" s="201"/>
      <c r="J1131" s="202"/>
      <c r="K1131" s="202"/>
      <c r="L1131" s="202"/>
      <c r="M1131" s="202"/>
      <c r="N1131" s="202"/>
      <c r="O1131" s="202"/>
      <c r="P1131" s="202"/>
      <c r="Q1131" s="202"/>
      <c r="R1131" s="202"/>
      <c r="S1131" s="202"/>
      <c r="T1131" s="202"/>
    </row>
    <row r="1132" spans="1:20" s="182" customFormat="1" ht="14.15" hidden="1">
      <c r="A1132" s="222">
        <v>45355</v>
      </c>
      <c r="B1132" s="201" t="s">
        <v>1154</v>
      </c>
      <c r="C1132" s="208" t="s">
        <v>133</v>
      </c>
      <c r="D1132" s="800">
        <f>-216000/2</f>
        <v>-108000</v>
      </c>
      <c r="E1132" s="619">
        <v>45352</v>
      </c>
      <c r="F1132" s="201" t="s">
        <v>109</v>
      </c>
      <c r="G1132" s="201" t="s">
        <v>583</v>
      </c>
      <c r="H1132" s="208" t="s">
        <v>147</v>
      </c>
      <c r="I1132" s="201"/>
      <c r="J1132" s="202"/>
      <c r="K1132" s="202"/>
      <c r="L1132" s="202"/>
      <c r="M1132" s="202"/>
      <c r="N1132" s="202"/>
      <c r="O1132" s="202"/>
      <c r="P1132" s="202"/>
      <c r="Q1132" s="202"/>
      <c r="R1132" s="202"/>
      <c r="S1132" s="202"/>
      <c r="T1132" s="202"/>
    </row>
    <row r="1133" spans="1:20" s="182" customFormat="1" ht="14.15" hidden="1">
      <c r="A1133" s="222">
        <v>45355</v>
      </c>
      <c r="B1133" s="201" t="s">
        <v>1155</v>
      </c>
      <c r="C1133" s="208" t="s">
        <v>27</v>
      </c>
      <c r="D1133" s="592">
        <v>-451420</v>
      </c>
      <c r="E1133" s="619">
        <v>45352</v>
      </c>
      <c r="F1133" s="201" t="s">
        <v>130</v>
      </c>
      <c r="G1133" s="614" t="s">
        <v>130</v>
      </c>
      <c r="H1133" s="201" t="s">
        <v>1156</v>
      </c>
      <c r="I1133" s="201"/>
      <c r="J1133" s="202"/>
      <c r="K1133" s="202"/>
      <c r="L1133" s="202"/>
      <c r="M1133" s="202"/>
      <c r="N1133" s="202"/>
      <c r="O1133" s="202"/>
      <c r="P1133" s="202"/>
      <c r="Q1133" s="202"/>
      <c r="R1133" s="202"/>
      <c r="S1133" s="202"/>
      <c r="T1133" s="202"/>
    </row>
    <row r="1134" spans="1:20" s="182" customFormat="1" ht="14.15" hidden="1">
      <c r="A1134" s="222">
        <v>45355</v>
      </c>
      <c r="B1134" s="201" t="s">
        <v>1157</v>
      </c>
      <c r="C1134" s="208" t="s">
        <v>133</v>
      </c>
      <c r="D1134" s="592">
        <v>-6600</v>
      </c>
      <c r="E1134" s="619">
        <v>45352</v>
      </c>
      <c r="F1134" s="201" t="s">
        <v>130</v>
      </c>
      <c r="G1134" s="614" t="s">
        <v>130</v>
      </c>
      <c r="H1134" s="201" t="s">
        <v>323</v>
      </c>
      <c r="I1134" s="201"/>
      <c r="J1134" s="202"/>
      <c r="K1134" s="202"/>
      <c r="L1134" s="202"/>
      <c r="M1134" s="202"/>
      <c r="N1134" s="202"/>
      <c r="O1134" s="202"/>
      <c r="P1134" s="202"/>
      <c r="Q1134" s="202"/>
      <c r="R1134" s="202"/>
      <c r="S1134" s="202"/>
      <c r="T1134" s="202"/>
    </row>
    <row r="1135" spans="1:20" s="182" customFormat="1" ht="14.15" hidden="1">
      <c r="A1135" s="222">
        <v>45355</v>
      </c>
      <c r="B1135" s="201" t="s">
        <v>1158</v>
      </c>
      <c r="C1135" s="208" t="s">
        <v>133</v>
      </c>
      <c r="D1135" s="592">
        <v>-1980</v>
      </c>
      <c r="E1135" s="619">
        <v>45352</v>
      </c>
      <c r="F1135" s="201" t="s">
        <v>130</v>
      </c>
      <c r="G1135" s="614" t="s">
        <v>130</v>
      </c>
      <c r="H1135" s="201" t="s">
        <v>323</v>
      </c>
      <c r="I1135" s="201"/>
      <c r="J1135" s="202"/>
      <c r="K1135" s="202"/>
      <c r="L1135" s="202"/>
      <c r="M1135" s="202"/>
      <c r="N1135" s="202"/>
      <c r="O1135" s="202"/>
      <c r="P1135" s="202"/>
      <c r="Q1135" s="202"/>
      <c r="R1135" s="202"/>
      <c r="S1135" s="202"/>
      <c r="T1135" s="202"/>
    </row>
    <row r="1136" spans="1:20" s="182" customFormat="1" ht="14.15" hidden="1">
      <c r="A1136" s="222">
        <v>45355</v>
      </c>
      <c r="B1136" s="201" t="s">
        <v>1159</v>
      </c>
      <c r="C1136" s="208" t="s">
        <v>27</v>
      </c>
      <c r="D1136" s="592">
        <v>-1320000</v>
      </c>
      <c r="E1136" s="619">
        <v>45352</v>
      </c>
      <c r="F1136" s="201" t="s">
        <v>109</v>
      </c>
      <c r="G1136" s="208" t="s">
        <v>120</v>
      </c>
      <c r="H1136" s="208" t="s">
        <v>147</v>
      </c>
      <c r="I1136" s="201"/>
      <c r="J1136" s="202"/>
      <c r="K1136" s="202"/>
      <c r="L1136" s="202"/>
      <c r="M1136" s="202"/>
      <c r="N1136" s="202"/>
      <c r="O1136" s="202"/>
      <c r="P1136" s="202"/>
      <c r="Q1136" s="202"/>
      <c r="R1136" s="202"/>
      <c r="S1136" s="202"/>
      <c r="T1136" s="202"/>
    </row>
    <row r="1137" spans="1:20" s="182" customFormat="1" ht="14.15" hidden="1">
      <c r="A1137" s="222">
        <v>45355</v>
      </c>
      <c r="B1137" s="201" t="s">
        <v>1160</v>
      </c>
      <c r="C1137" s="208" t="s">
        <v>27</v>
      </c>
      <c r="D1137" s="592">
        <v>-400000</v>
      </c>
      <c r="E1137" s="619">
        <v>45352</v>
      </c>
      <c r="F1137" s="201" t="s">
        <v>109</v>
      </c>
      <c r="G1137" s="614" t="s">
        <v>150</v>
      </c>
      <c r="H1137" s="201"/>
      <c r="I1137" s="201"/>
      <c r="J1137" s="202"/>
      <c r="K1137" s="202"/>
      <c r="L1137" s="202"/>
      <c r="M1137" s="202"/>
      <c r="N1137" s="202"/>
      <c r="O1137" s="202"/>
      <c r="P1137" s="202"/>
      <c r="Q1137" s="202"/>
      <c r="R1137" s="202"/>
      <c r="S1137" s="202"/>
      <c r="T1137" s="202"/>
    </row>
    <row r="1138" spans="1:20" s="182" customFormat="1" ht="14.15" hidden="1">
      <c r="A1138" s="222">
        <v>45356</v>
      </c>
      <c r="B1138" s="201" t="s">
        <v>1161</v>
      </c>
      <c r="C1138" s="208" t="s">
        <v>27</v>
      </c>
      <c r="D1138" s="592">
        <v>-22854683</v>
      </c>
      <c r="E1138" s="619">
        <v>45352</v>
      </c>
      <c r="F1138" s="201" t="s">
        <v>109</v>
      </c>
      <c r="G1138" s="201" t="s">
        <v>918</v>
      </c>
      <c r="H1138" s="201" t="s">
        <v>123</v>
      </c>
      <c r="I1138" s="201"/>
      <c r="J1138" s="202"/>
      <c r="K1138" s="202"/>
      <c r="L1138" s="202"/>
      <c r="M1138" s="202"/>
      <c r="N1138" s="202"/>
      <c r="O1138" s="202"/>
      <c r="P1138" s="202"/>
      <c r="Q1138" s="202"/>
      <c r="R1138" s="202"/>
      <c r="S1138" s="202"/>
      <c r="T1138" s="202"/>
    </row>
    <row r="1139" spans="1:20" s="182" customFormat="1" ht="14.15" hidden="1">
      <c r="A1139" s="222">
        <v>45356</v>
      </c>
      <c r="B1139" s="201" t="s">
        <v>1162</v>
      </c>
      <c r="C1139" s="208" t="s">
        <v>27</v>
      </c>
      <c r="D1139" s="592">
        <v>-3860000</v>
      </c>
      <c r="E1139" s="619">
        <v>45352</v>
      </c>
      <c r="F1139" s="208" t="s">
        <v>109</v>
      </c>
      <c r="G1139" s="208" t="s">
        <v>317</v>
      </c>
      <c r="H1139" s="208" t="s">
        <v>147</v>
      </c>
      <c r="I1139" s="201"/>
      <c r="J1139" s="202"/>
      <c r="K1139" s="202"/>
      <c r="L1139" s="202"/>
      <c r="M1139" s="202"/>
      <c r="N1139" s="202"/>
      <c r="O1139" s="202"/>
      <c r="P1139" s="202"/>
      <c r="Q1139" s="202"/>
      <c r="R1139" s="202"/>
      <c r="S1139" s="202"/>
      <c r="T1139" s="202"/>
    </row>
    <row r="1140" spans="1:20" s="182" customFormat="1" ht="14.15" hidden="1">
      <c r="A1140" s="222">
        <v>45356</v>
      </c>
      <c r="B1140" s="201" t="s">
        <v>1163</v>
      </c>
      <c r="C1140" s="208" t="s">
        <v>133</v>
      </c>
      <c r="D1140" s="592">
        <v>-140000</v>
      </c>
      <c r="E1140" s="619">
        <v>45352</v>
      </c>
      <c r="F1140" s="208" t="s">
        <v>109</v>
      </c>
      <c r="G1140" s="208" t="s">
        <v>317</v>
      </c>
      <c r="H1140" s="208" t="s">
        <v>147</v>
      </c>
      <c r="I1140" s="201"/>
      <c r="J1140" s="202"/>
      <c r="K1140" s="202"/>
      <c r="L1140" s="202"/>
      <c r="M1140" s="202"/>
      <c r="N1140" s="202"/>
      <c r="O1140" s="202"/>
      <c r="P1140" s="202"/>
      <c r="Q1140" s="202"/>
      <c r="R1140" s="202"/>
      <c r="S1140" s="202"/>
      <c r="T1140" s="202"/>
    </row>
    <row r="1141" spans="1:20" s="182" customFormat="1" ht="14.15" hidden="1">
      <c r="A1141" s="222">
        <v>45356</v>
      </c>
      <c r="B1141" s="201" t="s">
        <v>1164</v>
      </c>
      <c r="C1141" s="208" t="s">
        <v>27</v>
      </c>
      <c r="D1141" s="592">
        <v>-10421990</v>
      </c>
      <c r="E1141" s="619">
        <v>45352</v>
      </c>
      <c r="F1141" s="201" t="s">
        <v>109</v>
      </c>
      <c r="G1141" s="208" t="s">
        <v>120</v>
      </c>
      <c r="H1141" s="201"/>
      <c r="I1141" s="201"/>
      <c r="J1141" s="202"/>
      <c r="K1141" s="202"/>
      <c r="L1141" s="202"/>
      <c r="M1141" s="202"/>
      <c r="N1141" s="202"/>
      <c r="O1141" s="202"/>
      <c r="P1141" s="202"/>
      <c r="Q1141" s="202"/>
      <c r="R1141" s="202"/>
      <c r="S1141" s="202"/>
      <c r="T1141" s="202"/>
    </row>
    <row r="1142" spans="1:20" s="182" customFormat="1" ht="14.15" hidden="1">
      <c r="A1142" s="222">
        <v>45356</v>
      </c>
      <c r="B1142" s="201" t="s">
        <v>1165</v>
      </c>
      <c r="C1142" s="208" t="s">
        <v>27</v>
      </c>
      <c r="D1142" s="592">
        <v>-1456000</v>
      </c>
      <c r="E1142" s="619">
        <v>45352</v>
      </c>
      <c r="F1142" s="208" t="s">
        <v>109</v>
      </c>
      <c r="G1142" s="208" t="s">
        <v>317</v>
      </c>
      <c r="H1142" s="201" t="s">
        <v>1166</v>
      </c>
      <c r="I1142" s="201"/>
      <c r="J1142" s="202"/>
      <c r="K1142" s="202"/>
      <c r="L1142" s="202"/>
      <c r="M1142" s="202"/>
      <c r="N1142" s="202"/>
      <c r="O1142" s="202"/>
      <c r="P1142" s="202"/>
      <c r="Q1142" s="202"/>
      <c r="R1142" s="202"/>
      <c r="S1142" s="202"/>
      <c r="T1142" s="202"/>
    </row>
    <row r="1143" spans="1:20" s="182" customFormat="1" ht="14.15" hidden="1">
      <c r="A1143" s="222">
        <v>45356</v>
      </c>
      <c r="B1143" s="201" t="s">
        <v>1167</v>
      </c>
      <c r="C1143" s="208" t="s">
        <v>27</v>
      </c>
      <c r="D1143" s="592">
        <v>-1227199</v>
      </c>
      <c r="E1143" s="619">
        <v>45352</v>
      </c>
      <c r="F1143" s="201" t="s">
        <v>109</v>
      </c>
      <c r="G1143" s="208" t="s">
        <v>120</v>
      </c>
      <c r="H1143" s="208" t="s">
        <v>175</v>
      </c>
      <c r="I1143" s="201"/>
      <c r="J1143" s="202"/>
      <c r="K1143" s="202"/>
      <c r="L1143" s="202"/>
      <c r="M1143" s="202"/>
      <c r="N1143" s="202"/>
      <c r="O1143" s="202"/>
      <c r="P1143" s="202"/>
      <c r="Q1143" s="202"/>
      <c r="R1143" s="202"/>
      <c r="S1143" s="202"/>
      <c r="T1143" s="202"/>
    </row>
    <row r="1144" spans="1:20" s="182" customFormat="1" ht="14.15" hidden="1">
      <c r="A1144" s="222">
        <v>45356</v>
      </c>
      <c r="B1144" s="201" t="s">
        <v>1168</v>
      </c>
      <c r="C1144" s="208" t="s">
        <v>133</v>
      </c>
      <c r="D1144" s="592">
        <v>-5178</v>
      </c>
      <c r="E1144" s="619">
        <v>45352</v>
      </c>
      <c r="F1144" s="201" t="s">
        <v>109</v>
      </c>
      <c r="G1144" s="208" t="s">
        <v>120</v>
      </c>
      <c r="H1144" s="208" t="s">
        <v>175</v>
      </c>
      <c r="I1144" s="201"/>
      <c r="J1144" s="202"/>
      <c r="K1144" s="202"/>
      <c r="L1144" s="202"/>
      <c r="M1144" s="202"/>
      <c r="N1144" s="202"/>
      <c r="O1144" s="202"/>
      <c r="P1144" s="202"/>
      <c r="Q1144" s="202"/>
      <c r="R1144" s="202"/>
      <c r="S1144" s="202"/>
      <c r="T1144" s="202"/>
    </row>
    <row r="1145" spans="1:20" s="182" customFormat="1" ht="14.15" hidden="1">
      <c r="A1145" s="222">
        <v>45328</v>
      </c>
      <c r="B1145" s="201" t="s">
        <v>1169</v>
      </c>
      <c r="C1145" s="208" t="s">
        <v>27</v>
      </c>
      <c r="D1145" s="592">
        <v>-2322000</v>
      </c>
      <c r="E1145" s="619">
        <v>45352</v>
      </c>
      <c r="F1145" s="201" t="s">
        <v>109</v>
      </c>
      <c r="G1145" s="208" t="s">
        <v>383</v>
      </c>
      <c r="H1145" s="201" t="s">
        <v>631</v>
      </c>
      <c r="I1145" s="201"/>
      <c r="J1145" s="202"/>
      <c r="K1145" s="202"/>
      <c r="L1145" s="202"/>
      <c r="M1145" s="202"/>
      <c r="N1145" s="202"/>
      <c r="O1145" s="202"/>
      <c r="P1145" s="202"/>
      <c r="Q1145" s="202"/>
      <c r="R1145" s="202"/>
      <c r="S1145" s="202"/>
      <c r="T1145" s="202"/>
    </row>
    <row r="1146" spans="1:20" s="182" customFormat="1" ht="14.15" hidden="1">
      <c r="A1146" s="222">
        <v>45358</v>
      </c>
      <c r="B1146" s="201" t="s">
        <v>1170</v>
      </c>
      <c r="C1146" s="208" t="s">
        <v>27</v>
      </c>
      <c r="D1146" s="592">
        <v>-355700</v>
      </c>
      <c r="E1146" s="619">
        <v>45352</v>
      </c>
      <c r="F1146" s="201" t="s">
        <v>130</v>
      </c>
      <c r="G1146" s="614" t="s">
        <v>130</v>
      </c>
      <c r="H1146" s="201" t="s">
        <v>184</v>
      </c>
      <c r="I1146" s="201"/>
      <c r="J1146" s="202"/>
      <c r="K1146" s="202"/>
      <c r="L1146" s="202"/>
      <c r="M1146" s="202"/>
      <c r="N1146" s="202"/>
      <c r="O1146" s="202"/>
      <c r="P1146" s="202"/>
      <c r="Q1146" s="202"/>
      <c r="R1146" s="202"/>
      <c r="S1146" s="202"/>
      <c r="T1146" s="202"/>
    </row>
    <row r="1147" spans="1:20" s="182" customFormat="1" ht="14.15" hidden="1">
      <c r="A1147" s="222">
        <v>45358</v>
      </c>
      <c r="B1147" s="201" t="s">
        <v>1171</v>
      </c>
      <c r="C1147" s="208" t="s">
        <v>27</v>
      </c>
      <c r="D1147" s="592">
        <v>-240000</v>
      </c>
      <c r="E1147" s="619">
        <v>45352</v>
      </c>
      <c r="F1147" s="201" t="s">
        <v>110</v>
      </c>
      <c r="G1147" s="208" t="s">
        <v>453</v>
      </c>
      <c r="H1147" s="208" t="s">
        <v>175</v>
      </c>
      <c r="I1147" s="201"/>
      <c r="J1147" s="202"/>
      <c r="K1147" s="202"/>
      <c r="L1147" s="202"/>
      <c r="M1147" s="202"/>
      <c r="N1147" s="202"/>
      <c r="O1147" s="202"/>
      <c r="P1147" s="202"/>
      <c r="Q1147" s="202"/>
      <c r="R1147" s="202"/>
      <c r="S1147" s="202"/>
      <c r="T1147" s="202"/>
    </row>
    <row r="1148" spans="1:20" s="182" customFormat="1" ht="14.15" hidden="1">
      <c r="A1148" s="222">
        <v>45358</v>
      </c>
      <c r="B1148" s="201" t="s">
        <v>1172</v>
      </c>
      <c r="C1148" s="208" t="s">
        <v>27</v>
      </c>
      <c r="D1148" s="592">
        <v>-206000</v>
      </c>
      <c r="E1148" s="619">
        <v>45352</v>
      </c>
      <c r="F1148" s="201" t="s">
        <v>110</v>
      </c>
      <c r="G1148" s="208" t="s">
        <v>453</v>
      </c>
      <c r="H1148" s="208" t="s">
        <v>175</v>
      </c>
      <c r="I1148" s="201"/>
      <c r="J1148" s="202"/>
      <c r="K1148" s="202"/>
      <c r="L1148" s="202"/>
      <c r="M1148" s="202"/>
      <c r="N1148" s="202"/>
      <c r="O1148" s="202"/>
      <c r="P1148" s="202"/>
      <c r="Q1148" s="202"/>
      <c r="R1148" s="202"/>
      <c r="S1148" s="202"/>
      <c r="T1148" s="202"/>
    </row>
    <row r="1149" spans="1:20" s="182" customFormat="1" ht="14.15" hidden="1">
      <c r="A1149" s="222">
        <v>45358</v>
      </c>
      <c r="B1149" s="201" t="s">
        <v>1173</v>
      </c>
      <c r="C1149" s="208" t="s">
        <v>27</v>
      </c>
      <c r="D1149" s="800">
        <v>-650000</v>
      </c>
      <c r="E1149" s="619">
        <v>45352</v>
      </c>
      <c r="F1149" s="201" t="s">
        <v>109</v>
      </c>
      <c r="G1149" s="201" t="s">
        <v>581</v>
      </c>
      <c r="H1149" s="208" t="s">
        <v>147</v>
      </c>
      <c r="I1149" s="201"/>
      <c r="J1149" s="202"/>
      <c r="K1149" s="202"/>
      <c r="L1149" s="202"/>
      <c r="M1149" s="202"/>
      <c r="N1149" s="202"/>
      <c r="O1149" s="202"/>
      <c r="P1149" s="202"/>
      <c r="Q1149" s="202"/>
      <c r="R1149" s="202"/>
      <c r="S1149" s="202"/>
      <c r="T1149" s="202"/>
    </row>
    <row r="1150" spans="1:20" s="182" customFormat="1" ht="15" hidden="1" customHeight="1">
      <c r="A1150" s="222">
        <v>45358</v>
      </c>
      <c r="B1150" s="201" t="s">
        <v>1174</v>
      </c>
      <c r="C1150" s="208" t="s">
        <v>27</v>
      </c>
      <c r="D1150" s="592">
        <v>-2600000</v>
      </c>
      <c r="E1150" s="619">
        <v>45352</v>
      </c>
      <c r="F1150" s="201" t="s">
        <v>130</v>
      </c>
      <c r="G1150" s="201" t="s">
        <v>130</v>
      </c>
      <c r="H1150" s="201" t="s">
        <v>1175</v>
      </c>
      <c r="I1150" s="201"/>
      <c r="J1150" s="202"/>
      <c r="K1150" s="202"/>
      <c r="L1150" s="202"/>
      <c r="M1150" s="202"/>
      <c r="N1150" s="202"/>
      <c r="O1150" s="202"/>
      <c r="P1150" s="202"/>
      <c r="Q1150" s="202"/>
      <c r="R1150" s="202"/>
      <c r="S1150" s="202"/>
      <c r="T1150" s="202"/>
    </row>
    <row r="1151" spans="1:20" s="182" customFormat="1" ht="14.15" hidden="1">
      <c r="A1151" s="222">
        <v>45358</v>
      </c>
      <c r="B1151" s="622" t="s">
        <v>1176</v>
      </c>
      <c r="C1151" s="208" t="s">
        <v>27</v>
      </c>
      <c r="D1151" s="592">
        <v>-18496000</v>
      </c>
      <c r="E1151" s="619">
        <v>45352</v>
      </c>
      <c r="F1151" s="201" t="s">
        <v>109</v>
      </c>
      <c r="G1151" s="208" t="s">
        <v>120</v>
      </c>
      <c r="H1151" s="201" t="s">
        <v>123</v>
      </c>
      <c r="I1151" s="201"/>
      <c r="J1151" s="202"/>
      <c r="K1151" s="202"/>
      <c r="L1151" s="202"/>
      <c r="M1151" s="202"/>
      <c r="N1151" s="202"/>
      <c r="O1151" s="202"/>
      <c r="P1151" s="202"/>
      <c r="Q1151" s="202"/>
      <c r="R1151" s="202"/>
      <c r="S1151" s="202"/>
      <c r="T1151" s="202"/>
    </row>
    <row r="1152" spans="1:20" s="182" customFormat="1" ht="14.15" hidden="1">
      <c r="A1152" s="222">
        <v>45358</v>
      </c>
      <c r="B1152" s="201" t="s">
        <v>1177</v>
      </c>
      <c r="C1152" s="208" t="s">
        <v>27</v>
      </c>
      <c r="D1152" s="592">
        <v>-3277500</v>
      </c>
      <c r="E1152" s="619">
        <v>45352</v>
      </c>
      <c r="F1152" s="201" t="s">
        <v>109</v>
      </c>
      <c r="G1152" s="208" t="s">
        <v>120</v>
      </c>
      <c r="H1152" s="208" t="s">
        <v>147</v>
      </c>
      <c r="I1152" s="201"/>
      <c r="J1152" s="202"/>
      <c r="K1152" s="202"/>
      <c r="L1152" s="202"/>
      <c r="M1152" s="202"/>
      <c r="N1152" s="202"/>
      <c r="O1152" s="202"/>
      <c r="P1152" s="202"/>
      <c r="Q1152" s="202"/>
      <c r="R1152" s="202"/>
      <c r="S1152" s="202"/>
      <c r="T1152" s="202"/>
    </row>
    <row r="1153" spans="1:20" s="182" customFormat="1" ht="14.6" hidden="1">
      <c r="A1153" s="222">
        <v>45352</v>
      </c>
      <c r="B1153" s="201" t="s">
        <v>1178</v>
      </c>
      <c r="C1153" s="208" t="s">
        <v>141</v>
      </c>
      <c r="D1153" s="592">
        <v>-300000</v>
      </c>
      <c r="E1153" s="619">
        <v>45352</v>
      </c>
      <c r="F1153" s="201" t="s">
        <v>130</v>
      </c>
      <c r="G1153" s="623" t="s">
        <v>130</v>
      </c>
      <c r="H1153" s="201" t="s">
        <v>852</v>
      </c>
      <c r="I1153" s="201"/>
      <c r="J1153" s="202"/>
      <c r="K1153" s="202"/>
      <c r="L1153" s="202"/>
      <c r="M1153" s="202"/>
      <c r="N1153" s="202"/>
      <c r="O1153" s="202"/>
      <c r="P1153" s="202"/>
      <c r="Q1153" s="202"/>
      <c r="R1153" s="202"/>
      <c r="S1153" s="202"/>
      <c r="T1153" s="202"/>
    </row>
    <row r="1154" spans="1:20" s="182" customFormat="1" ht="14.6" hidden="1">
      <c r="A1154" s="222">
        <v>45353</v>
      </c>
      <c r="B1154" s="201" t="s">
        <v>1179</v>
      </c>
      <c r="C1154" s="208" t="s">
        <v>141</v>
      </c>
      <c r="D1154" s="592">
        <v>-153000</v>
      </c>
      <c r="E1154" s="619">
        <v>45352</v>
      </c>
      <c r="F1154" s="201" t="s">
        <v>130</v>
      </c>
      <c r="G1154" s="623" t="s">
        <v>130</v>
      </c>
      <c r="H1154" s="201" t="s">
        <v>184</v>
      </c>
      <c r="I1154" s="201"/>
      <c r="J1154" s="202"/>
      <c r="K1154" s="202"/>
      <c r="L1154" s="202"/>
      <c r="M1154" s="202"/>
      <c r="N1154" s="202"/>
      <c r="O1154" s="202"/>
      <c r="P1154" s="202"/>
      <c r="Q1154" s="202"/>
      <c r="R1154" s="202"/>
      <c r="S1154" s="202"/>
      <c r="T1154" s="202"/>
    </row>
    <row r="1155" spans="1:20" s="182" customFormat="1" ht="14.6" hidden="1">
      <c r="A1155" s="222">
        <v>45356</v>
      </c>
      <c r="B1155" s="201" t="s">
        <v>1180</v>
      </c>
      <c r="C1155" s="208" t="s">
        <v>141</v>
      </c>
      <c r="D1155" s="592">
        <v>-144720</v>
      </c>
      <c r="E1155" s="619">
        <v>45352</v>
      </c>
      <c r="F1155" s="201" t="s">
        <v>130</v>
      </c>
      <c r="G1155" s="623" t="s">
        <v>257</v>
      </c>
      <c r="H1155" s="201" t="s">
        <v>1138</v>
      </c>
      <c r="I1155" s="201"/>
      <c r="J1155" s="202"/>
      <c r="K1155" s="202"/>
      <c r="L1155" s="202"/>
      <c r="M1155" s="202"/>
      <c r="N1155" s="202"/>
      <c r="O1155" s="202"/>
      <c r="P1155" s="202"/>
      <c r="Q1155" s="202"/>
      <c r="R1155" s="202"/>
      <c r="S1155" s="202"/>
      <c r="T1155" s="202"/>
    </row>
    <row r="1156" spans="1:20" s="182" customFormat="1" ht="14.6" hidden="1">
      <c r="A1156" s="222">
        <v>45357</v>
      </c>
      <c r="B1156" s="201" t="s">
        <v>1181</v>
      </c>
      <c r="C1156" s="208" t="s">
        <v>141</v>
      </c>
      <c r="D1156" s="592">
        <v>-360000</v>
      </c>
      <c r="E1156" s="619">
        <v>45352</v>
      </c>
      <c r="F1156" s="201" t="s">
        <v>130</v>
      </c>
      <c r="G1156" s="623" t="s">
        <v>257</v>
      </c>
      <c r="H1156" s="201" t="s">
        <v>1182</v>
      </c>
      <c r="I1156" s="201"/>
      <c r="J1156" s="202"/>
      <c r="K1156" s="202"/>
      <c r="L1156" s="202"/>
      <c r="M1156" s="202"/>
      <c r="N1156" s="202"/>
      <c r="O1156" s="202"/>
      <c r="P1156" s="202"/>
      <c r="Q1156" s="202"/>
      <c r="R1156" s="202"/>
      <c r="S1156" s="202"/>
      <c r="T1156" s="202"/>
    </row>
    <row r="1157" spans="1:20" s="182" customFormat="1" ht="14.6" hidden="1">
      <c r="A1157" s="222">
        <v>45355</v>
      </c>
      <c r="B1157" s="201" t="s">
        <v>1183</v>
      </c>
      <c r="C1157" s="208" t="s">
        <v>181</v>
      </c>
      <c r="D1157" s="592">
        <v>1698353</v>
      </c>
      <c r="E1157" s="619">
        <v>45352</v>
      </c>
      <c r="F1157" s="201" t="s">
        <v>108</v>
      </c>
      <c r="G1157" s="623"/>
      <c r="H1157" s="201"/>
      <c r="I1157" s="201"/>
      <c r="J1157" s="202"/>
      <c r="K1157" s="202"/>
      <c r="L1157" s="202"/>
      <c r="M1157" s="202"/>
      <c r="N1157" s="202"/>
      <c r="O1157" s="202"/>
      <c r="P1157" s="202"/>
      <c r="Q1157" s="202"/>
      <c r="R1157" s="202"/>
      <c r="S1157" s="202"/>
      <c r="T1157" s="202"/>
    </row>
    <row r="1158" spans="1:20" s="182" customFormat="1" ht="14.25" hidden="1" customHeight="1">
      <c r="A1158" s="222">
        <v>45358</v>
      </c>
      <c r="B1158" s="201" t="s">
        <v>1184</v>
      </c>
      <c r="C1158" s="208" t="s">
        <v>27</v>
      </c>
      <c r="D1158" s="592">
        <v>3900000</v>
      </c>
      <c r="E1158" s="619">
        <v>45352</v>
      </c>
      <c r="F1158" s="201" t="s">
        <v>130</v>
      </c>
      <c r="G1158" s="623" t="s">
        <v>130</v>
      </c>
      <c r="H1158" s="201" t="s">
        <v>1175</v>
      </c>
      <c r="I1158" s="201"/>
      <c r="J1158" s="202"/>
      <c r="K1158" s="202"/>
      <c r="L1158" s="202"/>
      <c r="M1158" s="202"/>
      <c r="N1158" s="202"/>
      <c r="O1158" s="202"/>
      <c r="P1158" s="202"/>
      <c r="Q1158" s="202"/>
      <c r="R1158" s="202"/>
      <c r="S1158" s="202"/>
      <c r="T1158" s="202"/>
    </row>
    <row r="1159" spans="1:20" s="182" customFormat="1" ht="14.6" hidden="1">
      <c r="A1159" s="222">
        <v>45359</v>
      </c>
      <c r="B1159" s="201" t="s">
        <v>1185</v>
      </c>
      <c r="C1159" s="208" t="s">
        <v>1106</v>
      </c>
      <c r="D1159" s="592">
        <v>-19500</v>
      </c>
      <c r="E1159" s="619">
        <v>45352</v>
      </c>
      <c r="F1159" s="201" t="s">
        <v>130</v>
      </c>
      <c r="G1159" s="620" t="s">
        <v>257</v>
      </c>
      <c r="H1159" s="81" t="s">
        <v>138</v>
      </c>
      <c r="I1159" s="201"/>
      <c r="J1159" s="202"/>
      <c r="K1159" s="202"/>
      <c r="L1159" s="202"/>
      <c r="M1159" s="202"/>
      <c r="N1159" s="202"/>
      <c r="O1159" s="202"/>
      <c r="P1159" s="202"/>
      <c r="Q1159" s="202"/>
      <c r="R1159" s="202"/>
      <c r="S1159" s="202"/>
      <c r="T1159" s="202"/>
    </row>
    <row r="1160" spans="1:20" s="182" customFormat="1" ht="14.6" hidden="1">
      <c r="A1160" s="222">
        <v>45362</v>
      </c>
      <c r="B1160" s="201" t="s">
        <v>908</v>
      </c>
      <c r="C1160" s="208" t="s">
        <v>1106</v>
      </c>
      <c r="D1160" s="592">
        <v>-212932</v>
      </c>
      <c r="E1160" s="619">
        <v>45352</v>
      </c>
      <c r="F1160" s="201" t="s">
        <v>130</v>
      </c>
      <c r="G1160" s="620" t="s">
        <v>130</v>
      </c>
      <c r="H1160" s="201" t="s">
        <v>184</v>
      </c>
      <c r="I1160" s="201"/>
      <c r="J1160" s="202"/>
      <c r="K1160" s="202"/>
      <c r="L1160" s="202"/>
      <c r="M1160" s="202"/>
      <c r="N1160" s="202"/>
      <c r="O1160" s="202"/>
      <c r="P1160" s="202"/>
      <c r="Q1160" s="202"/>
      <c r="R1160" s="202"/>
      <c r="S1160" s="202"/>
      <c r="T1160" s="202"/>
    </row>
    <row r="1161" spans="1:20" s="182" customFormat="1" ht="14.15" hidden="1">
      <c r="A1161" s="222">
        <v>45356</v>
      </c>
      <c r="B1161" s="201" t="s">
        <v>1186</v>
      </c>
      <c r="C1161" s="208" t="s">
        <v>1106</v>
      </c>
      <c r="D1161" s="592">
        <v>-30600</v>
      </c>
      <c r="E1161" s="619">
        <v>45352</v>
      </c>
      <c r="F1161" s="201" t="s">
        <v>110</v>
      </c>
      <c r="G1161" s="208" t="s">
        <v>453</v>
      </c>
      <c r="H1161" s="208" t="s">
        <v>175</v>
      </c>
      <c r="I1161" s="201" t="s">
        <v>173</v>
      </c>
      <c r="J1161" s="202"/>
      <c r="K1161" s="202"/>
      <c r="L1161" s="202"/>
      <c r="M1161" s="202"/>
      <c r="N1161" s="202"/>
      <c r="O1161" s="202"/>
      <c r="P1161" s="202"/>
      <c r="Q1161" s="202"/>
      <c r="R1161" s="202"/>
      <c r="S1161" s="202"/>
      <c r="T1161" s="202"/>
    </row>
    <row r="1162" spans="1:20" s="182" customFormat="1" ht="14.15" hidden="1">
      <c r="A1162" s="222">
        <v>45357</v>
      </c>
      <c r="B1162" s="201" t="s">
        <v>1187</v>
      </c>
      <c r="C1162" s="208" t="s">
        <v>1106</v>
      </c>
      <c r="D1162" s="592">
        <v>-120015</v>
      </c>
      <c r="E1162" s="619">
        <v>45352</v>
      </c>
      <c r="F1162" s="201" t="s">
        <v>109</v>
      </c>
      <c r="G1162" s="208" t="s">
        <v>120</v>
      </c>
      <c r="H1162" s="208" t="s">
        <v>175</v>
      </c>
      <c r="I1162" s="201" t="s">
        <v>173</v>
      </c>
      <c r="J1162" s="202"/>
      <c r="K1162" s="202"/>
      <c r="L1162" s="202"/>
      <c r="M1162" s="202"/>
      <c r="N1162" s="202"/>
      <c r="O1162" s="202"/>
      <c r="P1162" s="202"/>
      <c r="Q1162" s="202"/>
      <c r="R1162" s="202"/>
      <c r="S1162" s="202"/>
      <c r="T1162" s="202"/>
    </row>
    <row r="1163" spans="1:20" s="182" customFormat="1" ht="14.15" hidden="1">
      <c r="A1163" s="222">
        <v>45357</v>
      </c>
      <c r="B1163" s="201" t="s">
        <v>1188</v>
      </c>
      <c r="C1163" s="208" t="s">
        <v>1106</v>
      </c>
      <c r="D1163" s="592">
        <v>-63100</v>
      </c>
      <c r="E1163" s="619">
        <v>45352</v>
      </c>
      <c r="F1163" s="201" t="s">
        <v>110</v>
      </c>
      <c r="G1163" s="208" t="s">
        <v>453</v>
      </c>
      <c r="H1163" s="208" t="s">
        <v>175</v>
      </c>
      <c r="I1163" s="201" t="s">
        <v>173</v>
      </c>
      <c r="J1163" s="202"/>
      <c r="K1163" s="202"/>
      <c r="L1163" s="202"/>
      <c r="M1163" s="202"/>
      <c r="N1163" s="202"/>
      <c r="O1163" s="202"/>
      <c r="P1163" s="202"/>
      <c r="Q1163" s="202"/>
      <c r="R1163" s="202"/>
      <c r="S1163" s="202"/>
      <c r="T1163" s="202"/>
    </row>
    <row r="1164" spans="1:20" s="182" customFormat="1" ht="14.15" hidden="1">
      <c r="A1164" s="222">
        <v>45357</v>
      </c>
      <c r="B1164" s="201" t="s">
        <v>1189</v>
      </c>
      <c r="C1164" s="208" t="s">
        <v>1106</v>
      </c>
      <c r="D1164" s="592">
        <v>-15225</v>
      </c>
      <c r="E1164" s="619">
        <v>45352</v>
      </c>
      <c r="F1164" s="201" t="s">
        <v>109</v>
      </c>
      <c r="G1164" s="208" t="s">
        <v>120</v>
      </c>
      <c r="H1164" s="208" t="s">
        <v>175</v>
      </c>
      <c r="I1164" s="201" t="s">
        <v>173</v>
      </c>
      <c r="J1164" s="202"/>
      <c r="K1164" s="202"/>
      <c r="L1164" s="202"/>
      <c r="M1164" s="202"/>
      <c r="N1164" s="202"/>
      <c r="O1164" s="202"/>
      <c r="P1164" s="202"/>
      <c r="Q1164" s="202"/>
      <c r="R1164" s="202"/>
      <c r="S1164" s="202"/>
      <c r="T1164" s="202"/>
    </row>
    <row r="1165" spans="1:20" s="182" customFormat="1" ht="14.15" hidden="1">
      <c r="A1165" s="222">
        <v>45357</v>
      </c>
      <c r="B1165" s="201" t="s">
        <v>1190</v>
      </c>
      <c r="C1165" s="208" t="s">
        <v>1106</v>
      </c>
      <c r="D1165" s="592">
        <v>-29749</v>
      </c>
      <c r="E1165" s="619">
        <v>45352</v>
      </c>
      <c r="F1165" s="201" t="s">
        <v>109</v>
      </c>
      <c r="G1165" s="208" t="s">
        <v>120</v>
      </c>
      <c r="H1165" s="208" t="s">
        <v>175</v>
      </c>
      <c r="I1165" s="201" t="s">
        <v>173</v>
      </c>
      <c r="J1165" s="202"/>
      <c r="K1165" s="202"/>
      <c r="L1165" s="202"/>
      <c r="M1165" s="202"/>
      <c r="N1165" s="202"/>
      <c r="O1165" s="202"/>
      <c r="P1165" s="202"/>
      <c r="Q1165" s="202"/>
      <c r="R1165" s="202"/>
      <c r="S1165" s="202"/>
      <c r="T1165" s="202"/>
    </row>
    <row r="1166" spans="1:20" s="182" customFormat="1" ht="14.15" hidden="1">
      <c r="A1166" s="222">
        <v>45357</v>
      </c>
      <c r="B1166" s="201" t="s">
        <v>1191</v>
      </c>
      <c r="C1166" s="208" t="s">
        <v>1106</v>
      </c>
      <c r="D1166" s="592">
        <v>-73300</v>
      </c>
      <c r="E1166" s="619">
        <v>45352</v>
      </c>
      <c r="F1166" s="201" t="s">
        <v>109</v>
      </c>
      <c r="G1166" s="208" t="s">
        <v>120</v>
      </c>
      <c r="H1166" s="208" t="s">
        <v>175</v>
      </c>
      <c r="I1166" s="201" t="s">
        <v>173</v>
      </c>
      <c r="J1166" s="202"/>
      <c r="K1166" s="202"/>
      <c r="L1166" s="202"/>
      <c r="M1166" s="202"/>
      <c r="N1166" s="202"/>
      <c r="O1166" s="202"/>
      <c r="P1166" s="202"/>
      <c r="Q1166" s="202"/>
      <c r="R1166" s="202"/>
      <c r="S1166" s="202"/>
      <c r="T1166" s="202"/>
    </row>
    <row r="1167" spans="1:20" s="182" customFormat="1" ht="14.15" hidden="1">
      <c r="A1167" s="222">
        <v>45357</v>
      </c>
      <c r="B1167" s="201" t="s">
        <v>1192</v>
      </c>
      <c r="C1167" s="208" t="s">
        <v>1106</v>
      </c>
      <c r="D1167" s="592">
        <v>-41200</v>
      </c>
      <c r="E1167" s="619">
        <v>45352</v>
      </c>
      <c r="F1167" s="201" t="s">
        <v>110</v>
      </c>
      <c r="G1167" s="208" t="s">
        <v>453</v>
      </c>
      <c r="H1167" s="208" t="s">
        <v>175</v>
      </c>
      <c r="I1167" s="201" t="s">
        <v>173</v>
      </c>
      <c r="J1167" s="202"/>
      <c r="K1167" s="202"/>
      <c r="L1167" s="202"/>
      <c r="M1167" s="202"/>
      <c r="N1167" s="202"/>
      <c r="O1167" s="202"/>
      <c r="P1167" s="202"/>
      <c r="Q1167" s="202"/>
      <c r="R1167" s="202"/>
      <c r="S1167" s="202"/>
      <c r="T1167" s="202"/>
    </row>
    <row r="1168" spans="1:20" s="182" customFormat="1" ht="14.15" hidden="1">
      <c r="A1168" s="222">
        <v>45357</v>
      </c>
      <c r="B1168" s="201" t="s">
        <v>1193</v>
      </c>
      <c r="C1168" s="208" t="s">
        <v>1106</v>
      </c>
      <c r="D1168" s="592">
        <v>-120000</v>
      </c>
      <c r="E1168" s="619">
        <v>45352</v>
      </c>
      <c r="F1168" s="201" t="s">
        <v>109</v>
      </c>
      <c r="G1168" s="208" t="s">
        <v>120</v>
      </c>
      <c r="H1168" s="208" t="s">
        <v>175</v>
      </c>
      <c r="I1168" s="201" t="s">
        <v>173</v>
      </c>
      <c r="J1168" s="202"/>
      <c r="K1168" s="202"/>
      <c r="L1168" s="202"/>
      <c r="M1168" s="202"/>
      <c r="N1168" s="202"/>
      <c r="O1168" s="202"/>
      <c r="P1168" s="202"/>
      <c r="Q1168" s="202"/>
      <c r="R1168" s="202"/>
      <c r="S1168" s="202"/>
      <c r="T1168" s="202"/>
    </row>
    <row r="1169" spans="1:20" s="182" customFormat="1" ht="14.6" hidden="1">
      <c r="A1169" s="222">
        <v>45358</v>
      </c>
      <c r="B1169" s="201" t="s">
        <v>1194</v>
      </c>
      <c r="C1169" s="208" t="s">
        <v>1106</v>
      </c>
      <c r="D1169" s="592">
        <v>-17000</v>
      </c>
      <c r="E1169" s="619">
        <v>45352</v>
      </c>
      <c r="F1169" s="201" t="s">
        <v>130</v>
      </c>
      <c r="G1169" s="620" t="s">
        <v>130</v>
      </c>
      <c r="H1169" s="201" t="s">
        <v>184</v>
      </c>
      <c r="I1169" s="201" t="s">
        <v>173</v>
      </c>
      <c r="J1169" s="202"/>
      <c r="K1169" s="202"/>
      <c r="L1169" s="202"/>
      <c r="M1169" s="202"/>
      <c r="N1169" s="202"/>
      <c r="O1169" s="202"/>
      <c r="P1169" s="202"/>
      <c r="Q1169" s="202"/>
      <c r="R1169" s="202"/>
      <c r="S1169" s="202"/>
      <c r="T1169" s="202"/>
    </row>
    <row r="1170" spans="1:20" s="182" customFormat="1" ht="14.6" hidden="1">
      <c r="A1170" s="222">
        <v>45358</v>
      </c>
      <c r="B1170" s="201" t="s">
        <v>1195</v>
      </c>
      <c r="C1170" s="208" t="s">
        <v>1106</v>
      </c>
      <c r="D1170" s="592">
        <v>-1900</v>
      </c>
      <c r="E1170" s="619">
        <v>45352</v>
      </c>
      <c r="F1170" s="201" t="s">
        <v>130</v>
      </c>
      <c r="G1170" s="620" t="s">
        <v>130</v>
      </c>
      <c r="H1170" s="201" t="s">
        <v>184</v>
      </c>
      <c r="I1170" s="201" t="s">
        <v>173</v>
      </c>
      <c r="J1170" s="202"/>
      <c r="K1170" s="202"/>
      <c r="L1170" s="202"/>
      <c r="M1170" s="202"/>
      <c r="N1170" s="202"/>
      <c r="O1170" s="202"/>
      <c r="P1170" s="202"/>
      <c r="Q1170" s="202"/>
      <c r="R1170" s="202"/>
      <c r="S1170" s="202"/>
      <c r="T1170" s="202"/>
    </row>
    <row r="1171" spans="1:20" s="182" customFormat="1" ht="14.15" hidden="1">
      <c r="A1171" s="222">
        <v>45359</v>
      </c>
      <c r="B1171" s="201" t="s">
        <v>1196</v>
      </c>
      <c r="C1171" s="208" t="s">
        <v>1106</v>
      </c>
      <c r="D1171" s="592">
        <v>-134515</v>
      </c>
      <c r="E1171" s="619">
        <v>45352</v>
      </c>
      <c r="F1171" s="201" t="s">
        <v>110</v>
      </c>
      <c r="G1171" s="208" t="s">
        <v>453</v>
      </c>
      <c r="H1171" s="208" t="s">
        <v>175</v>
      </c>
      <c r="I1171" s="201" t="s">
        <v>173</v>
      </c>
      <c r="J1171" s="202"/>
      <c r="K1171" s="202"/>
      <c r="L1171" s="202"/>
      <c r="M1171" s="202"/>
      <c r="N1171" s="202"/>
      <c r="O1171" s="202"/>
      <c r="P1171" s="202"/>
      <c r="Q1171" s="202"/>
      <c r="R1171" s="202"/>
      <c r="S1171" s="202"/>
      <c r="T1171" s="202"/>
    </row>
    <row r="1172" spans="1:20" s="182" customFormat="1" ht="14.15" hidden="1">
      <c r="A1172" s="222">
        <v>45359</v>
      </c>
      <c r="B1172" s="201" t="s">
        <v>1197</v>
      </c>
      <c r="C1172" s="208" t="s">
        <v>1106</v>
      </c>
      <c r="D1172" s="592">
        <v>-3000</v>
      </c>
      <c r="E1172" s="619">
        <v>45352</v>
      </c>
      <c r="F1172" s="201" t="s">
        <v>110</v>
      </c>
      <c r="G1172" s="208" t="s">
        <v>453</v>
      </c>
      <c r="H1172" s="208" t="s">
        <v>175</v>
      </c>
      <c r="I1172" s="201" t="s">
        <v>173</v>
      </c>
      <c r="J1172" s="202"/>
      <c r="K1172" s="202"/>
      <c r="L1172" s="202"/>
      <c r="M1172" s="202"/>
      <c r="N1172" s="202"/>
      <c r="O1172" s="202"/>
      <c r="P1172" s="202"/>
      <c r="Q1172" s="202"/>
      <c r="R1172" s="202"/>
      <c r="S1172" s="202"/>
      <c r="T1172" s="202"/>
    </row>
    <row r="1173" spans="1:20" s="182" customFormat="1" ht="14.15" hidden="1">
      <c r="A1173" s="222">
        <v>45359</v>
      </c>
      <c r="B1173" s="201" t="s">
        <v>1198</v>
      </c>
      <c r="C1173" s="208" t="s">
        <v>1106</v>
      </c>
      <c r="D1173" s="592">
        <v>-5499</v>
      </c>
      <c r="E1173" s="619">
        <v>45352</v>
      </c>
      <c r="F1173" s="201" t="s">
        <v>207</v>
      </c>
      <c r="G1173" s="208" t="s">
        <v>262</v>
      </c>
      <c r="H1173" s="208" t="s">
        <v>175</v>
      </c>
      <c r="I1173" s="201" t="s">
        <v>173</v>
      </c>
      <c r="J1173" s="202"/>
      <c r="K1173" s="202"/>
      <c r="L1173" s="202"/>
      <c r="M1173" s="202"/>
      <c r="N1173" s="202"/>
      <c r="O1173" s="202"/>
      <c r="P1173" s="202"/>
      <c r="Q1173" s="202"/>
      <c r="R1173" s="202"/>
      <c r="S1173" s="202"/>
      <c r="T1173" s="202"/>
    </row>
    <row r="1174" spans="1:20" s="182" customFormat="1" ht="14.15" hidden="1">
      <c r="A1174" s="222">
        <v>45358</v>
      </c>
      <c r="B1174" s="201" t="s">
        <v>1136</v>
      </c>
      <c r="C1174" s="208" t="s">
        <v>1106</v>
      </c>
      <c r="D1174" s="592">
        <v>-25000</v>
      </c>
      <c r="E1174" s="619">
        <v>45352</v>
      </c>
      <c r="F1174" s="201" t="s">
        <v>109</v>
      </c>
      <c r="G1174" s="208" t="s">
        <v>120</v>
      </c>
      <c r="H1174" s="81" t="s">
        <v>138</v>
      </c>
      <c r="I1174" s="201" t="s">
        <v>173</v>
      </c>
      <c r="J1174" s="202"/>
      <c r="K1174" s="202"/>
      <c r="L1174" s="202"/>
      <c r="M1174" s="202"/>
      <c r="N1174" s="202"/>
      <c r="O1174" s="202"/>
      <c r="P1174" s="202"/>
      <c r="Q1174" s="202"/>
      <c r="R1174" s="202"/>
      <c r="S1174" s="202"/>
      <c r="T1174" s="202"/>
    </row>
    <row r="1175" spans="1:20" s="182" customFormat="1" ht="14.15" hidden="1">
      <c r="A1175" s="222">
        <v>45359</v>
      </c>
      <c r="B1175" s="201" t="s">
        <v>1199</v>
      </c>
      <c r="C1175" s="208" t="s">
        <v>1106</v>
      </c>
      <c r="D1175" s="592">
        <v>-86200</v>
      </c>
      <c r="E1175" s="619">
        <v>45352</v>
      </c>
      <c r="F1175" s="201" t="s">
        <v>110</v>
      </c>
      <c r="G1175" s="208" t="s">
        <v>453</v>
      </c>
      <c r="H1175" s="81" t="s">
        <v>138</v>
      </c>
      <c r="I1175" s="201" t="s">
        <v>173</v>
      </c>
      <c r="J1175" s="202"/>
      <c r="K1175" s="202"/>
      <c r="L1175" s="202"/>
      <c r="M1175" s="202"/>
      <c r="N1175" s="202"/>
      <c r="O1175" s="202"/>
      <c r="P1175" s="202"/>
      <c r="Q1175" s="202"/>
      <c r="R1175" s="202"/>
      <c r="S1175" s="202"/>
      <c r="T1175" s="202"/>
    </row>
    <row r="1176" spans="1:20" s="182" customFormat="1" ht="14.15" hidden="1">
      <c r="A1176" s="222">
        <v>45362</v>
      </c>
      <c r="B1176" s="201" t="s">
        <v>1200</v>
      </c>
      <c r="C1176" s="208" t="s">
        <v>1106</v>
      </c>
      <c r="D1176" s="592">
        <v>-27000</v>
      </c>
      <c r="E1176" s="619">
        <v>45352</v>
      </c>
      <c r="F1176" s="201" t="s">
        <v>130</v>
      </c>
      <c r="G1176" s="201" t="s">
        <v>257</v>
      </c>
      <c r="H1176" s="81" t="s">
        <v>138</v>
      </c>
      <c r="I1176" s="201"/>
      <c r="J1176" s="202"/>
      <c r="K1176" s="202"/>
      <c r="L1176" s="202"/>
      <c r="M1176" s="202"/>
      <c r="N1176" s="202"/>
      <c r="O1176" s="202"/>
      <c r="P1176" s="202"/>
      <c r="Q1176" s="202"/>
      <c r="R1176" s="202"/>
      <c r="S1176" s="202"/>
      <c r="T1176" s="202"/>
    </row>
    <row r="1177" spans="1:20" s="182" customFormat="1" ht="14.15" hidden="1">
      <c r="A1177" s="222">
        <v>45362</v>
      </c>
      <c r="B1177" s="201" t="s">
        <v>1201</v>
      </c>
      <c r="C1177" s="208" t="s">
        <v>1106</v>
      </c>
      <c r="D1177" s="592">
        <v>-22000</v>
      </c>
      <c r="E1177" s="619">
        <v>45352</v>
      </c>
      <c r="F1177" s="201" t="s">
        <v>110</v>
      </c>
      <c r="G1177" s="208" t="s">
        <v>453</v>
      </c>
      <c r="H1177" s="81" t="s">
        <v>138</v>
      </c>
      <c r="I1177" s="201"/>
      <c r="J1177" s="202"/>
      <c r="K1177" s="202"/>
      <c r="L1177" s="202"/>
      <c r="M1177" s="202"/>
      <c r="N1177" s="202"/>
      <c r="O1177" s="202"/>
      <c r="P1177" s="202"/>
      <c r="Q1177" s="202"/>
      <c r="R1177" s="202"/>
      <c r="S1177" s="202"/>
      <c r="T1177" s="202"/>
    </row>
    <row r="1178" spans="1:20" s="182" customFormat="1" ht="14.6" hidden="1">
      <c r="A1178" s="222">
        <v>45363</v>
      </c>
      <c r="B1178" s="81" t="s">
        <v>1202</v>
      </c>
      <c r="C1178" s="208" t="s">
        <v>1106</v>
      </c>
      <c r="D1178" s="592">
        <v>-12800</v>
      </c>
      <c r="E1178" s="619">
        <v>45352</v>
      </c>
      <c r="F1178" s="201" t="s">
        <v>130</v>
      </c>
      <c r="G1178" s="623" t="s">
        <v>257</v>
      </c>
      <c r="H1178" s="81" t="s">
        <v>138</v>
      </c>
      <c r="I1178" s="201"/>
      <c r="J1178" s="202"/>
      <c r="K1178" s="202"/>
      <c r="L1178" s="202"/>
      <c r="M1178" s="202"/>
      <c r="N1178" s="202"/>
      <c r="O1178" s="202"/>
      <c r="P1178" s="202"/>
      <c r="Q1178" s="202"/>
      <c r="R1178" s="202"/>
      <c r="S1178" s="202"/>
      <c r="T1178" s="202"/>
    </row>
    <row r="1179" spans="1:20" s="182" customFormat="1" ht="14.15" hidden="1">
      <c r="A1179" s="222">
        <v>45334</v>
      </c>
      <c r="B1179" s="201" t="s">
        <v>1203</v>
      </c>
      <c r="C1179" s="208" t="s">
        <v>1106</v>
      </c>
      <c r="D1179" s="592">
        <v>-64000</v>
      </c>
      <c r="E1179" s="619">
        <v>45352</v>
      </c>
      <c r="F1179" s="201" t="s">
        <v>110</v>
      </c>
      <c r="G1179" s="201" t="s">
        <v>1204</v>
      </c>
      <c r="H1179" s="81" t="s">
        <v>138</v>
      </c>
      <c r="I1179" s="201"/>
      <c r="J1179" s="202"/>
      <c r="K1179" s="202"/>
      <c r="L1179" s="202"/>
      <c r="M1179" s="202"/>
      <c r="N1179" s="202"/>
      <c r="O1179" s="202"/>
      <c r="P1179" s="202"/>
      <c r="Q1179" s="202"/>
      <c r="R1179" s="202"/>
      <c r="S1179" s="202"/>
      <c r="T1179" s="202"/>
    </row>
    <row r="1180" spans="1:20" s="182" customFormat="1" ht="14.15" hidden="1">
      <c r="A1180" s="222">
        <v>45334</v>
      </c>
      <c r="B1180" s="201" t="s">
        <v>1205</v>
      </c>
      <c r="C1180" s="208" t="s">
        <v>1106</v>
      </c>
      <c r="D1180" s="592">
        <v>-30000</v>
      </c>
      <c r="E1180" s="619">
        <v>45352</v>
      </c>
      <c r="F1180" s="201" t="s">
        <v>110</v>
      </c>
      <c r="G1180" s="201" t="s">
        <v>1204</v>
      </c>
      <c r="H1180" s="208" t="s">
        <v>147</v>
      </c>
      <c r="I1180" s="201"/>
      <c r="J1180" s="202"/>
      <c r="K1180" s="202"/>
      <c r="L1180" s="202"/>
      <c r="M1180" s="202"/>
      <c r="N1180" s="202"/>
      <c r="O1180" s="202"/>
      <c r="P1180" s="202"/>
      <c r="Q1180" s="202"/>
      <c r="R1180" s="202"/>
      <c r="S1180" s="202"/>
      <c r="T1180" s="202"/>
    </row>
    <row r="1181" spans="1:20" s="182" customFormat="1" ht="14.15" hidden="1">
      <c r="A1181" s="222">
        <v>45334</v>
      </c>
      <c r="B1181" s="201" t="s">
        <v>1206</v>
      </c>
      <c r="C1181" s="208" t="s">
        <v>1106</v>
      </c>
      <c r="D1181" s="592">
        <v>-14000</v>
      </c>
      <c r="E1181" s="619">
        <v>45352</v>
      </c>
      <c r="F1181" s="201" t="s">
        <v>110</v>
      </c>
      <c r="G1181" s="201" t="s">
        <v>1204</v>
      </c>
      <c r="H1181" s="81" t="s">
        <v>138</v>
      </c>
      <c r="I1181" s="201"/>
      <c r="J1181" s="202"/>
      <c r="K1181" s="202"/>
      <c r="L1181" s="202"/>
      <c r="M1181" s="202"/>
      <c r="N1181" s="202"/>
      <c r="O1181" s="202"/>
      <c r="P1181" s="202"/>
      <c r="Q1181" s="202"/>
      <c r="R1181" s="202"/>
      <c r="S1181" s="202"/>
      <c r="T1181" s="202"/>
    </row>
    <row r="1182" spans="1:20" s="182" customFormat="1" ht="14.15" hidden="1">
      <c r="A1182" s="222">
        <v>45334</v>
      </c>
      <c r="B1182" s="201" t="s">
        <v>1207</v>
      </c>
      <c r="C1182" s="208" t="s">
        <v>1106</v>
      </c>
      <c r="D1182" s="592">
        <v>-32900</v>
      </c>
      <c r="E1182" s="619">
        <v>45352</v>
      </c>
      <c r="F1182" s="201" t="s">
        <v>130</v>
      </c>
      <c r="G1182" s="201" t="s">
        <v>130</v>
      </c>
      <c r="H1182" s="201" t="s">
        <v>184</v>
      </c>
      <c r="I1182" s="201"/>
      <c r="J1182" s="202"/>
      <c r="K1182" s="202"/>
      <c r="L1182" s="202"/>
      <c r="M1182" s="202"/>
      <c r="N1182" s="202"/>
      <c r="O1182" s="202"/>
      <c r="P1182" s="202"/>
      <c r="Q1182" s="202"/>
      <c r="R1182" s="202"/>
      <c r="S1182" s="202"/>
      <c r="T1182" s="202"/>
    </row>
    <row r="1183" spans="1:20" s="182" customFormat="1" ht="14.15" hidden="1">
      <c r="A1183" s="222">
        <v>45352</v>
      </c>
      <c r="B1183" s="201" t="s">
        <v>1208</v>
      </c>
      <c r="C1183" s="208" t="s">
        <v>1106</v>
      </c>
      <c r="D1183" s="592">
        <v>-4620</v>
      </c>
      <c r="E1183" s="619">
        <v>45352</v>
      </c>
      <c r="F1183" s="201" t="s">
        <v>109</v>
      </c>
      <c r="G1183" s="208" t="s">
        <v>383</v>
      </c>
      <c r="H1183" s="208" t="s">
        <v>175</v>
      </c>
      <c r="I1183" s="201" t="s">
        <v>173</v>
      </c>
      <c r="J1183" s="202"/>
      <c r="K1183" s="202"/>
      <c r="L1183" s="202"/>
      <c r="M1183" s="202"/>
      <c r="N1183" s="202"/>
      <c r="O1183" s="202"/>
      <c r="P1183" s="202"/>
      <c r="Q1183" s="202"/>
      <c r="R1183" s="202"/>
      <c r="S1183" s="202"/>
      <c r="T1183" s="202"/>
    </row>
    <row r="1184" spans="1:20" s="182" customFormat="1" ht="14.15" hidden="1">
      <c r="A1184" s="222">
        <v>45374</v>
      </c>
      <c r="B1184" s="201" t="s">
        <v>1209</v>
      </c>
      <c r="C1184" s="208" t="s">
        <v>1106</v>
      </c>
      <c r="D1184" s="592">
        <v>-92700</v>
      </c>
      <c r="E1184" s="619">
        <v>45352</v>
      </c>
      <c r="F1184" s="291" t="s">
        <v>110</v>
      </c>
      <c r="G1184" s="208" t="s">
        <v>450</v>
      </c>
      <c r="H1184" s="208" t="s">
        <v>175</v>
      </c>
      <c r="I1184" s="201" t="s">
        <v>173</v>
      </c>
      <c r="J1184" s="202"/>
      <c r="K1184" s="202"/>
      <c r="L1184" s="202"/>
      <c r="M1184" s="202"/>
      <c r="N1184" s="202"/>
      <c r="O1184" s="202"/>
      <c r="P1184" s="202"/>
      <c r="Q1184" s="202"/>
      <c r="R1184" s="202"/>
      <c r="S1184" s="202"/>
      <c r="T1184" s="202"/>
    </row>
    <row r="1185" spans="1:20" s="182" customFormat="1" ht="14.15" hidden="1">
      <c r="A1185" s="222">
        <v>45352</v>
      </c>
      <c r="B1185" s="201" t="s">
        <v>1210</v>
      </c>
      <c r="C1185" s="208" t="s">
        <v>1106</v>
      </c>
      <c r="D1185" s="592">
        <v>-173300</v>
      </c>
      <c r="E1185" s="619">
        <v>45352</v>
      </c>
      <c r="F1185" s="201" t="s">
        <v>130</v>
      </c>
      <c r="G1185" s="201" t="s">
        <v>130</v>
      </c>
      <c r="H1185" s="201" t="s">
        <v>184</v>
      </c>
      <c r="I1185" s="201" t="s">
        <v>173</v>
      </c>
      <c r="J1185" s="202"/>
      <c r="K1185" s="202"/>
      <c r="L1185" s="202"/>
      <c r="M1185" s="202"/>
      <c r="N1185" s="202"/>
      <c r="O1185" s="202"/>
      <c r="P1185" s="202"/>
      <c r="Q1185" s="202"/>
      <c r="R1185" s="202"/>
      <c r="S1185" s="202"/>
      <c r="T1185" s="202"/>
    </row>
    <row r="1186" spans="1:20" s="182" customFormat="1" ht="14.15" hidden="1">
      <c r="A1186" s="222">
        <v>45362</v>
      </c>
      <c r="B1186" s="201" t="s">
        <v>1211</v>
      </c>
      <c r="C1186" s="208" t="s">
        <v>1106</v>
      </c>
      <c r="D1186" s="592">
        <v>-58000</v>
      </c>
      <c r="E1186" s="619">
        <v>45352</v>
      </c>
      <c r="F1186" s="201" t="s">
        <v>130</v>
      </c>
      <c r="G1186" s="201" t="s">
        <v>130</v>
      </c>
      <c r="H1186" s="201" t="s">
        <v>184</v>
      </c>
      <c r="I1186" s="201" t="s">
        <v>173</v>
      </c>
      <c r="J1186" s="202"/>
      <c r="K1186" s="202"/>
      <c r="L1186" s="202"/>
      <c r="M1186" s="202"/>
      <c r="N1186" s="202"/>
      <c r="O1186" s="202"/>
      <c r="P1186" s="202"/>
      <c r="Q1186" s="202"/>
      <c r="R1186" s="202"/>
      <c r="S1186" s="202"/>
      <c r="T1186" s="202"/>
    </row>
    <row r="1187" spans="1:20" s="182" customFormat="1" ht="14.15" hidden="1">
      <c r="A1187" s="222">
        <v>45362</v>
      </c>
      <c r="B1187" s="201" t="s">
        <v>1212</v>
      </c>
      <c r="C1187" s="208" t="s">
        <v>1106</v>
      </c>
      <c r="D1187" s="592">
        <v>-40980</v>
      </c>
      <c r="E1187" s="619">
        <v>45352</v>
      </c>
      <c r="F1187" s="201" t="s">
        <v>110</v>
      </c>
      <c r="G1187" s="208" t="s">
        <v>453</v>
      </c>
      <c r="H1187" s="208" t="s">
        <v>175</v>
      </c>
      <c r="I1187" s="201" t="s">
        <v>173</v>
      </c>
      <c r="J1187" s="202"/>
      <c r="K1187" s="202"/>
      <c r="L1187" s="202"/>
      <c r="M1187" s="202"/>
      <c r="N1187" s="202"/>
      <c r="O1187" s="202"/>
      <c r="P1187" s="202"/>
      <c r="Q1187" s="202"/>
      <c r="R1187" s="202"/>
      <c r="S1187" s="202"/>
      <c r="T1187" s="202"/>
    </row>
    <row r="1188" spans="1:20" s="182" customFormat="1" ht="14.15" hidden="1">
      <c r="A1188" s="222">
        <v>45362</v>
      </c>
      <c r="B1188" s="201" t="s">
        <v>1213</v>
      </c>
      <c r="C1188" s="208" t="s">
        <v>1106</v>
      </c>
      <c r="D1188" s="592">
        <v>-170604</v>
      </c>
      <c r="E1188" s="619">
        <v>45352</v>
      </c>
      <c r="F1188" s="201" t="s">
        <v>110</v>
      </c>
      <c r="G1188" s="208" t="s">
        <v>453</v>
      </c>
      <c r="H1188" s="208" t="s">
        <v>175</v>
      </c>
      <c r="I1188" s="201" t="s">
        <v>173</v>
      </c>
      <c r="J1188" s="202"/>
      <c r="K1188" s="202"/>
      <c r="L1188" s="202"/>
      <c r="M1188" s="202"/>
      <c r="N1188" s="202"/>
      <c r="O1188" s="202"/>
      <c r="P1188" s="202"/>
      <c r="Q1188" s="202"/>
      <c r="R1188" s="202"/>
      <c r="S1188" s="202"/>
      <c r="T1188" s="202"/>
    </row>
    <row r="1189" spans="1:20" s="182" customFormat="1" ht="14.15" hidden="1">
      <c r="A1189" s="222">
        <v>45362</v>
      </c>
      <c r="B1189" s="201" t="s">
        <v>1214</v>
      </c>
      <c r="C1189" s="208" t="s">
        <v>1106</v>
      </c>
      <c r="D1189" s="592">
        <v>-11000</v>
      </c>
      <c r="E1189" s="619">
        <v>45352</v>
      </c>
      <c r="F1189" s="201" t="s">
        <v>130</v>
      </c>
      <c r="G1189" s="201" t="s">
        <v>130</v>
      </c>
      <c r="H1189" s="201" t="s">
        <v>323</v>
      </c>
      <c r="I1189" s="201" t="s">
        <v>173</v>
      </c>
      <c r="J1189" s="202"/>
      <c r="K1189" s="202"/>
      <c r="L1189" s="202"/>
      <c r="M1189" s="202"/>
      <c r="N1189" s="202"/>
      <c r="O1189" s="202"/>
      <c r="P1189" s="202"/>
      <c r="Q1189" s="202"/>
      <c r="R1189" s="202"/>
      <c r="S1189" s="202"/>
      <c r="T1189" s="202"/>
    </row>
    <row r="1190" spans="1:20" s="182" customFormat="1" ht="14.15" hidden="1">
      <c r="A1190" s="222">
        <v>45359</v>
      </c>
      <c r="B1190" s="201" t="s">
        <v>1215</v>
      </c>
      <c r="C1190" s="208" t="s">
        <v>1106</v>
      </c>
      <c r="D1190" s="592">
        <v>-7000</v>
      </c>
      <c r="E1190" s="619">
        <v>45352</v>
      </c>
      <c r="F1190" s="201" t="s">
        <v>130</v>
      </c>
      <c r="G1190" s="201" t="s">
        <v>130</v>
      </c>
      <c r="H1190" s="81" t="s">
        <v>138</v>
      </c>
      <c r="I1190" s="201" t="s">
        <v>173</v>
      </c>
      <c r="J1190" s="202"/>
      <c r="K1190" s="202"/>
      <c r="L1190" s="202"/>
      <c r="M1190" s="202"/>
      <c r="N1190" s="202"/>
      <c r="O1190" s="202"/>
      <c r="P1190" s="202"/>
      <c r="Q1190" s="202"/>
      <c r="R1190" s="202"/>
      <c r="S1190" s="202"/>
      <c r="T1190" s="202"/>
    </row>
    <row r="1191" spans="1:20" s="182" customFormat="1" ht="14.15" hidden="1">
      <c r="A1191" s="222">
        <v>45362</v>
      </c>
      <c r="B1191" s="201" t="s">
        <v>1216</v>
      </c>
      <c r="C1191" s="208" t="s">
        <v>1106</v>
      </c>
      <c r="D1191" s="592">
        <v>-6000</v>
      </c>
      <c r="E1191" s="619">
        <v>45352</v>
      </c>
      <c r="F1191" s="201" t="s">
        <v>109</v>
      </c>
      <c r="G1191" s="208" t="s">
        <v>383</v>
      </c>
      <c r="H1191" s="81" t="s">
        <v>138</v>
      </c>
      <c r="I1191" s="201" t="s">
        <v>173</v>
      </c>
      <c r="J1191" s="202"/>
      <c r="K1191" s="202"/>
      <c r="L1191" s="202"/>
      <c r="M1191" s="202"/>
      <c r="N1191" s="202"/>
      <c r="O1191" s="202"/>
      <c r="P1191" s="202"/>
      <c r="Q1191" s="202"/>
      <c r="R1191" s="202"/>
      <c r="S1191" s="202"/>
      <c r="T1191" s="202"/>
    </row>
    <row r="1192" spans="1:20" s="182" customFormat="1" ht="14.15" hidden="1">
      <c r="A1192" s="222">
        <v>45335</v>
      </c>
      <c r="B1192" s="201" t="s">
        <v>1217</v>
      </c>
      <c r="C1192" s="208" t="s">
        <v>1106</v>
      </c>
      <c r="D1192" s="592">
        <v>-50000</v>
      </c>
      <c r="E1192" s="619">
        <v>45352</v>
      </c>
      <c r="F1192" s="201" t="s">
        <v>110</v>
      </c>
      <c r="G1192" s="208" t="s">
        <v>453</v>
      </c>
      <c r="H1192" s="81" t="s">
        <v>138</v>
      </c>
      <c r="I1192" s="201" t="s">
        <v>173</v>
      </c>
      <c r="J1192" s="202"/>
      <c r="K1192" s="202"/>
      <c r="L1192" s="202"/>
      <c r="M1192" s="202"/>
      <c r="N1192" s="202"/>
      <c r="O1192" s="202"/>
      <c r="P1192" s="202"/>
      <c r="Q1192" s="202"/>
      <c r="R1192" s="202"/>
      <c r="S1192" s="202"/>
      <c r="T1192" s="202"/>
    </row>
    <row r="1193" spans="1:20" s="182" customFormat="1" ht="14.15" hidden="1">
      <c r="A1193" s="222">
        <v>45335</v>
      </c>
      <c r="B1193" s="201" t="s">
        <v>1218</v>
      </c>
      <c r="C1193" s="208" t="s">
        <v>1106</v>
      </c>
      <c r="D1193" s="592">
        <v>-14000</v>
      </c>
      <c r="E1193" s="619">
        <v>45352</v>
      </c>
      <c r="F1193" s="201" t="s">
        <v>109</v>
      </c>
      <c r="G1193" s="208" t="s">
        <v>120</v>
      </c>
      <c r="H1193" s="81" t="s">
        <v>138</v>
      </c>
      <c r="I1193" s="201" t="s">
        <v>173</v>
      </c>
      <c r="J1193" s="202"/>
      <c r="K1193" s="202"/>
      <c r="L1193" s="202"/>
      <c r="M1193" s="202"/>
      <c r="N1193" s="202"/>
      <c r="O1193" s="202"/>
      <c r="P1193" s="202"/>
      <c r="Q1193" s="202"/>
      <c r="R1193" s="202"/>
      <c r="S1193" s="202"/>
      <c r="T1193" s="202"/>
    </row>
    <row r="1194" spans="1:20" s="182" customFormat="1" ht="14.15" hidden="1">
      <c r="A1194" s="222">
        <v>45335</v>
      </c>
      <c r="B1194" s="201" t="s">
        <v>1219</v>
      </c>
      <c r="C1194" s="208" t="s">
        <v>1106</v>
      </c>
      <c r="D1194" s="592">
        <v>-22000</v>
      </c>
      <c r="E1194" s="619">
        <v>45352</v>
      </c>
      <c r="F1194" s="201" t="s">
        <v>130</v>
      </c>
      <c r="G1194" s="201" t="s">
        <v>257</v>
      </c>
      <c r="H1194" s="81" t="s">
        <v>138</v>
      </c>
      <c r="I1194" s="201" t="s">
        <v>173</v>
      </c>
      <c r="J1194" s="202"/>
      <c r="K1194" s="202"/>
      <c r="L1194" s="202"/>
      <c r="M1194" s="202"/>
      <c r="N1194" s="202"/>
      <c r="O1194" s="202"/>
      <c r="P1194" s="202"/>
      <c r="Q1194" s="202"/>
      <c r="R1194" s="202"/>
      <c r="S1194" s="202"/>
      <c r="T1194" s="202"/>
    </row>
    <row r="1195" spans="1:20" s="182" customFormat="1" ht="14.15" hidden="1">
      <c r="A1195" s="222">
        <v>45335</v>
      </c>
      <c r="B1195" s="201" t="s">
        <v>985</v>
      </c>
      <c r="C1195" s="208" t="s">
        <v>1106</v>
      </c>
      <c r="D1195" s="592">
        <v>-25600</v>
      </c>
      <c r="E1195" s="619">
        <v>45352</v>
      </c>
      <c r="F1195" s="201" t="s">
        <v>110</v>
      </c>
      <c r="G1195" s="208" t="s">
        <v>453</v>
      </c>
      <c r="H1195" s="81" t="s">
        <v>138</v>
      </c>
      <c r="I1195" s="201"/>
      <c r="J1195" s="202"/>
      <c r="K1195" s="202"/>
      <c r="L1195" s="202"/>
      <c r="M1195" s="202"/>
      <c r="N1195" s="202"/>
      <c r="O1195" s="202"/>
      <c r="P1195" s="202"/>
      <c r="Q1195" s="202"/>
      <c r="R1195" s="202"/>
      <c r="S1195" s="202"/>
      <c r="T1195" s="202"/>
    </row>
    <row r="1196" spans="1:20" s="182" customFormat="1" ht="14.15" hidden="1">
      <c r="A1196" s="222">
        <v>45365</v>
      </c>
      <c r="B1196" s="201" t="s">
        <v>1220</v>
      </c>
      <c r="C1196" s="208" t="s">
        <v>1106</v>
      </c>
      <c r="D1196" s="592">
        <v>-36000</v>
      </c>
      <c r="E1196" s="619">
        <v>45352</v>
      </c>
      <c r="F1196" s="201" t="s">
        <v>109</v>
      </c>
      <c r="G1196" s="208" t="s">
        <v>383</v>
      </c>
      <c r="H1196" s="208" t="s">
        <v>147</v>
      </c>
      <c r="I1196" s="201"/>
      <c r="J1196" s="202"/>
      <c r="K1196" s="202"/>
      <c r="L1196" s="202"/>
      <c r="M1196" s="202"/>
      <c r="N1196" s="202"/>
      <c r="O1196" s="202"/>
      <c r="P1196" s="202"/>
      <c r="Q1196" s="202"/>
      <c r="R1196" s="202"/>
      <c r="S1196" s="202"/>
      <c r="T1196" s="202"/>
    </row>
    <row r="1197" spans="1:20" s="182" customFormat="1" ht="14.15" hidden="1">
      <c r="A1197" s="222">
        <v>45365</v>
      </c>
      <c r="B1197" s="201" t="s">
        <v>1221</v>
      </c>
      <c r="C1197" s="208" t="s">
        <v>1106</v>
      </c>
      <c r="D1197" s="592">
        <v>-105000</v>
      </c>
      <c r="E1197" s="619">
        <v>45352</v>
      </c>
      <c r="F1197" s="201" t="s">
        <v>130</v>
      </c>
      <c r="G1197" s="201" t="s">
        <v>130</v>
      </c>
      <c r="H1197" s="201" t="s">
        <v>184</v>
      </c>
      <c r="I1197" s="201"/>
      <c r="J1197" s="202"/>
      <c r="K1197" s="202"/>
      <c r="L1197" s="202"/>
      <c r="M1197" s="202"/>
      <c r="N1197" s="202"/>
      <c r="O1197" s="202"/>
      <c r="P1197" s="202"/>
      <c r="Q1197" s="202"/>
      <c r="R1197" s="202"/>
      <c r="S1197" s="202"/>
      <c r="T1197" s="202"/>
    </row>
    <row r="1198" spans="1:20" s="182" customFormat="1" ht="14.15" hidden="1">
      <c r="A1198" s="222">
        <v>45363</v>
      </c>
      <c r="B1198" s="201" t="s">
        <v>1222</v>
      </c>
      <c r="C1198" s="208" t="s">
        <v>1106</v>
      </c>
      <c r="D1198" s="592">
        <v>-27600</v>
      </c>
      <c r="E1198" s="619">
        <v>45352</v>
      </c>
      <c r="F1198" s="201" t="s">
        <v>110</v>
      </c>
      <c r="G1198" s="208" t="s">
        <v>453</v>
      </c>
      <c r="H1198" s="208" t="s">
        <v>147</v>
      </c>
      <c r="I1198" s="201"/>
      <c r="J1198" s="202"/>
      <c r="K1198" s="202"/>
      <c r="L1198" s="202"/>
      <c r="M1198" s="202"/>
      <c r="N1198" s="202"/>
      <c r="O1198" s="202"/>
      <c r="P1198" s="202"/>
      <c r="Q1198" s="202"/>
      <c r="R1198" s="202"/>
      <c r="S1198" s="202"/>
      <c r="T1198" s="202"/>
    </row>
    <row r="1199" spans="1:20" s="182" customFormat="1" ht="14.15" hidden="1">
      <c r="A1199" s="222">
        <v>45363</v>
      </c>
      <c r="B1199" s="201" t="s">
        <v>1223</v>
      </c>
      <c r="C1199" s="208" t="s">
        <v>1106</v>
      </c>
      <c r="D1199" s="592">
        <v>-10000</v>
      </c>
      <c r="E1199" s="619">
        <v>45352</v>
      </c>
      <c r="F1199" s="201" t="s">
        <v>110</v>
      </c>
      <c r="G1199" s="208" t="s">
        <v>453</v>
      </c>
      <c r="H1199" s="208" t="s">
        <v>175</v>
      </c>
      <c r="I1199" s="201"/>
      <c r="J1199" s="202"/>
      <c r="K1199" s="202"/>
      <c r="L1199" s="202"/>
      <c r="M1199" s="202"/>
      <c r="N1199" s="202"/>
      <c r="O1199" s="202"/>
      <c r="P1199" s="202"/>
      <c r="Q1199" s="202"/>
      <c r="R1199" s="202"/>
      <c r="S1199" s="202"/>
      <c r="T1199" s="202"/>
    </row>
    <row r="1200" spans="1:20" s="182" customFormat="1" ht="14.15" hidden="1">
      <c r="A1200" s="222">
        <v>45363</v>
      </c>
      <c r="B1200" s="201" t="s">
        <v>1224</v>
      </c>
      <c r="C1200" s="208" t="s">
        <v>1106</v>
      </c>
      <c r="D1200" s="592">
        <v>-160000</v>
      </c>
      <c r="E1200" s="619">
        <v>45352</v>
      </c>
      <c r="F1200" s="201" t="s">
        <v>109</v>
      </c>
      <c r="G1200" s="208" t="s">
        <v>120</v>
      </c>
      <c r="H1200" s="208" t="s">
        <v>175</v>
      </c>
      <c r="I1200" s="201"/>
      <c r="J1200" s="202"/>
      <c r="K1200" s="202"/>
      <c r="L1200" s="202"/>
      <c r="M1200" s="202"/>
      <c r="N1200" s="202"/>
      <c r="O1200" s="202"/>
      <c r="P1200" s="202"/>
      <c r="Q1200" s="202"/>
      <c r="R1200" s="202"/>
      <c r="S1200" s="202"/>
      <c r="T1200" s="202"/>
    </row>
    <row r="1201" spans="1:20" s="182" customFormat="1" ht="14.15" hidden="1">
      <c r="A1201" s="222">
        <v>45363</v>
      </c>
      <c r="B1201" s="201" t="s">
        <v>1225</v>
      </c>
      <c r="C1201" s="208" t="s">
        <v>1106</v>
      </c>
      <c r="D1201" s="592">
        <v>-8000</v>
      </c>
      <c r="E1201" s="619">
        <v>45352</v>
      </c>
      <c r="F1201" s="201" t="s">
        <v>109</v>
      </c>
      <c r="G1201" s="208" t="s">
        <v>120</v>
      </c>
      <c r="H1201" s="201"/>
      <c r="I1201" s="201"/>
      <c r="J1201" s="202"/>
      <c r="K1201" s="202"/>
      <c r="L1201" s="202"/>
      <c r="M1201" s="202"/>
      <c r="N1201" s="202"/>
      <c r="O1201" s="202"/>
      <c r="P1201" s="202"/>
      <c r="Q1201" s="202"/>
      <c r="R1201" s="202"/>
      <c r="S1201" s="202"/>
      <c r="T1201" s="202"/>
    </row>
    <row r="1202" spans="1:20" s="182" customFormat="1" ht="14.15" hidden="1">
      <c r="A1202" s="222">
        <v>45364</v>
      </c>
      <c r="B1202" s="201" t="s">
        <v>1226</v>
      </c>
      <c r="C1202" s="208" t="s">
        <v>1106</v>
      </c>
      <c r="D1202" s="592">
        <v>-60000</v>
      </c>
      <c r="E1202" s="619">
        <v>45352</v>
      </c>
      <c r="F1202" s="201" t="s">
        <v>109</v>
      </c>
      <c r="G1202" s="208" t="s">
        <v>120</v>
      </c>
      <c r="H1202" s="201"/>
      <c r="I1202" s="201"/>
      <c r="J1202" s="202"/>
      <c r="K1202" s="202"/>
      <c r="L1202" s="202"/>
      <c r="M1202" s="202"/>
      <c r="N1202" s="202"/>
      <c r="O1202" s="202"/>
      <c r="P1202" s="202"/>
      <c r="Q1202" s="202"/>
      <c r="R1202" s="202"/>
      <c r="S1202" s="202"/>
      <c r="T1202" s="202"/>
    </row>
    <row r="1203" spans="1:20" s="182" customFormat="1" ht="14.15" hidden="1">
      <c r="A1203" s="222">
        <v>45364</v>
      </c>
      <c r="B1203" s="201" t="s">
        <v>1227</v>
      </c>
      <c r="C1203" s="208" t="s">
        <v>1106</v>
      </c>
      <c r="D1203" s="592">
        <v>-110000</v>
      </c>
      <c r="E1203" s="619">
        <v>45352</v>
      </c>
      <c r="F1203" s="201" t="s">
        <v>109</v>
      </c>
      <c r="G1203" s="208" t="s">
        <v>120</v>
      </c>
      <c r="H1203" s="201"/>
      <c r="I1203" s="201"/>
      <c r="J1203" s="202"/>
      <c r="K1203" s="202"/>
      <c r="L1203" s="202"/>
      <c r="M1203" s="202"/>
      <c r="N1203" s="202"/>
      <c r="O1203" s="202"/>
      <c r="P1203" s="202"/>
      <c r="Q1203" s="202"/>
      <c r="R1203" s="202"/>
      <c r="S1203" s="202"/>
      <c r="T1203" s="202"/>
    </row>
    <row r="1204" spans="1:20" s="182" customFormat="1" ht="14.15" hidden="1">
      <c r="A1204" s="222">
        <v>45364</v>
      </c>
      <c r="B1204" s="201" t="s">
        <v>1228</v>
      </c>
      <c r="C1204" s="208" t="s">
        <v>1106</v>
      </c>
      <c r="D1204" s="592">
        <v>-40000</v>
      </c>
      <c r="E1204" s="619">
        <v>45352</v>
      </c>
      <c r="F1204" s="201" t="s">
        <v>109</v>
      </c>
      <c r="G1204" s="208" t="s">
        <v>120</v>
      </c>
      <c r="H1204" s="201"/>
      <c r="I1204" s="201"/>
      <c r="J1204" s="202"/>
      <c r="K1204" s="202"/>
      <c r="L1204" s="202"/>
      <c r="M1204" s="202"/>
      <c r="N1204" s="202"/>
      <c r="O1204" s="202"/>
      <c r="P1204" s="202"/>
      <c r="Q1204" s="202"/>
      <c r="R1204" s="202"/>
      <c r="S1204" s="202"/>
      <c r="T1204" s="202"/>
    </row>
    <row r="1205" spans="1:20" s="182" customFormat="1" ht="14.15" hidden="1">
      <c r="A1205" s="222">
        <v>45364</v>
      </c>
      <c r="B1205" s="201" t="s">
        <v>1229</v>
      </c>
      <c r="C1205" s="208" t="s">
        <v>1106</v>
      </c>
      <c r="D1205" s="592">
        <v>-14500</v>
      </c>
      <c r="E1205" s="619">
        <v>45352</v>
      </c>
      <c r="F1205" s="201" t="s">
        <v>130</v>
      </c>
      <c r="G1205" s="201" t="s">
        <v>130</v>
      </c>
      <c r="H1205" s="201" t="s">
        <v>184</v>
      </c>
      <c r="I1205" s="201"/>
      <c r="J1205" s="202"/>
      <c r="K1205" s="202"/>
      <c r="L1205" s="202"/>
      <c r="M1205" s="202"/>
      <c r="N1205" s="202"/>
      <c r="O1205" s="202"/>
      <c r="P1205" s="202"/>
      <c r="Q1205" s="202"/>
      <c r="R1205" s="202"/>
      <c r="S1205" s="202"/>
      <c r="T1205" s="202"/>
    </row>
    <row r="1206" spans="1:20" s="182" customFormat="1" ht="14.15" hidden="1">
      <c r="A1206" s="222">
        <v>45364</v>
      </c>
      <c r="B1206" s="201" t="s">
        <v>1230</v>
      </c>
      <c r="C1206" s="208" t="s">
        <v>1106</v>
      </c>
      <c r="D1206" s="592">
        <v>-9440</v>
      </c>
      <c r="E1206" s="619">
        <v>45352</v>
      </c>
      <c r="F1206" s="201" t="s">
        <v>110</v>
      </c>
      <c r="G1206" s="208" t="s">
        <v>453</v>
      </c>
      <c r="H1206" s="208" t="s">
        <v>175</v>
      </c>
      <c r="I1206" s="201"/>
      <c r="J1206" s="202"/>
      <c r="K1206" s="202"/>
      <c r="L1206" s="202"/>
      <c r="M1206" s="202"/>
      <c r="N1206" s="202"/>
      <c r="O1206" s="202"/>
      <c r="P1206" s="202"/>
      <c r="Q1206" s="202"/>
      <c r="R1206" s="202"/>
      <c r="S1206" s="202"/>
      <c r="T1206" s="202"/>
    </row>
    <row r="1207" spans="1:20" s="182" customFormat="1" ht="14.15" hidden="1">
      <c r="A1207" s="222">
        <v>45363</v>
      </c>
      <c r="B1207" s="201" t="s">
        <v>592</v>
      </c>
      <c r="C1207" s="208" t="s">
        <v>1106</v>
      </c>
      <c r="D1207" s="592">
        <v>-10000</v>
      </c>
      <c r="E1207" s="619">
        <v>45352</v>
      </c>
      <c r="F1207" s="201" t="s">
        <v>109</v>
      </c>
      <c r="G1207" s="208" t="s">
        <v>120</v>
      </c>
      <c r="H1207" s="81" t="s">
        <v>138</v>
      </c>
      <c r="I1207" s="201"/>
      <c r="J1207" s="202"/>
      <c r="K1207" s="202"/>
      <c r="L1207" s="202"/>
      <c r="M1207" s="202"/>
      <c r="N1207" s="202"/>
      <c r="O1207" s="202"/>
      <c r="P1207" s="202"/>
      <c r="Q1207" s="202"/>
      <c r="R1207" s="202"/>
      <c r="S1207" s="202"/>
      <c r="T1207" s="202"/>
    </row>
    <row r="1208" spans="1:20" s="182" customFormat="1" ht="14.15" hidden="1">
      <c r="A1208" s="222">
        <v>45363</v>
      </c>
      <c r="B1208" s="201" t="s">
        <v>1231</v>
      </c>
      <c r="C1208" s="208" t="s">
        <v>1106</v>
      </c>
      <c r="D1208" s="592">
        <v>-6000</v>
      </c>
      <c r="E1208" s="619">
        <v>45352</v>
      </c>
      <c r="F1208" s="201" t="s">
        <v>109</v>
      </c>
      <c r="G1208" s="208" t="s">
        <v>120</v>
      </c>
      <c r="H1208" s="81" t="s">
        <v>138</v>
      </c>
      <c r="I1208" s="201"/>
      <c r="J1208" s="202"/>
      <c r="K1208" s="202"/>
      <c r="L1208" s="202"/>
      <c r="M1208" s="202"/>
      <c r="N1208" s="202"/>
      <c r="O1208" s="202"/>
      <c r="P1208" s="202"/>
      <c r="Q1208" s="202"/>
      <c r="R1208" s="202"/>
      <c r="S1208" s="202"/>
      <c r="T1208" s="202"/>
    </row>
    <row r="1209" spans="1:20" s="182" customFormat="1" ht="14.15" hidden="1">
      <c r="A1209" s="222">
        <v>45337</v>
      </c>
      <c r="B1209" s="201" t="s">
        <v>1232</v>
      </c>
      <c r="C1209" s="208" t="s">
        <v>1106</v>
      </c>
      <c r="D1209" s="592">
        <v>-30300</v>
      </c>
      <c r="E1209" s="619">
        <v>45352</v>
      </c>
      <c r="F1209" s="201" t="s">
        <v>130</v>
      </c>
      <c r="G1209" s="201" t="s">
        <v>257</v>
      </c>
      <c r="H1209" s="81" t="s">
        <v>138</v>
      </c>
      <c r="I1209" s="201"/>
      <c r="J1209" s="202"/>
      <c r="K1209" s="202"/>
      <c r="L1209" s="202"/>
      <c r="M1209" s="202"/>
      <c r="N1209" s="202"/>
      <c r="O1209" s="202"/>
      <c r="P1209" s="202"/>
      <c r="Q1209" s="202"/>
      <c r="R1209" s="202"/>
      <c r="S1209" s="202"/>
      <c r="T1209" s="202"/>
    </row>
    <row r="1210" spans="1:20" s="182" customFormat="1" ht="14.15" hidden="1">
      <c r="A1210" s="222">
        <v>45337</v>
      </c>
      <c r="B1210" s="201" t="s">
        <v>1233</v>
      </c>
      <c r="C1210" s="208" t="s">
        <v>1106</v>
      </c>
      <c r="D1210" s="592">
        <v>-35000</v>
      </c>
      <c r="E1210" s="619">
        <v>45352</v>
      </c>
      <c r="F1210" s="201" t="s">
        <v>130</v>
      </c>
      <c r="G1210" s="201" t="s">
        <v>130</v>
      </c>
      <c r="H1210" s="201" t="s">
        <v>184</v>
      </c>
      <c r="I1210" s="201"/>
      <c r="J1210" s="202"/>
      <c r="K1210" s="202"/>
      <c r="L1210" s="202"/>
      <c r="M1210" s="202"/>
      <c r="N1210" s="202"/>
      <c r="O1210" s="202"/>
      <c r="P1210" s="202"/>
      <c r="Q1210" s="202"/>
      <c r="R1210" s="202"/>
      <c r="S1210" s="202"/>
      <c r="T1210" s="202"/>
    </row>
    <row r="1211" spans="1:20" s="182" customFormat="1" ht="14.6" hidden="1">
      <c r="A1211" s="222">
        <v>45359</v>
      </c>
      <c r="B1211" s="624" t="s">
        <v>1234</v>
      </c>
      <c r="C1211" s="208" t="s">
        <v>27</v>
      </c>
      <c r="D1211" s="592">
        <v>-3787650</v>
      </c>
      <c r="E1211" s="619">
        <v>45352</v>
      </c>
      <c r="F1211" s="201" t="s">
        <v>110</v>
      </c>
      <c r="G1211" s="208" t="s">
        <v>450</v>
      </c>
      <c r="H1211" s="201" t="s">
        <v>310</v>
      </c>
      <c r="I1211" s="201"/>
      <c r="J1211" s="202"/>
      <c r="K1211" s="202"/>
      <c r="L1211" s="202"/>
      <c r="M1211" s="202"/>
      <c r="N1211" s="202"/>
      <c r="O1211" s="202"/>
      <c r="P1211" s="202"/>
      <c r="Q1211" s="202"/>
      <c r="R1211" s="202"/>
      <c r="S1211" s="202"/>
      <c r="T1211" s="202"/>
    </row>
    <row r="1212" spans="1:20" s="182" customFormat="1" ht="31.75" hidden="1">
      <c r="A1212" s="222">
        <v>45359</v>
      </c>
      <c r="B1212" s="625" t="s">
        <v>1235</v>
      </c>
      <c r="C1212" s="208" t="s">
        <v>27</v>
      </c>
      <c r="D1212" s="592">
        <v>-6071048</v>
      </c>
      <c r="E1212" s="619">
        <v>45352</v>
      </c>
      <c r="F1212" s="201" t="s">
        <v>109</v>
      </c>
      <c r="G1212" s="201" t="s">
        <v>918</v>
      </c>
      <c r="H1212" s="208" t="s">
        <v>212</v>
      </c>
      <c r="I1212" s="201"/>
      <c r="J1212" s="202"/>
      <c r="K1212" s="202"/>
      <c r="L1212" s="202"/>
      <c r="M1212" s="202"/>
      <c r="N1212" s="202"/>
      <c r="O1212" s="202"/>
      <c r="P1212" s="202"/>
      <c r="Q1212" s="202"/>
      <c r="R1212" s="202"/>
      <c r="S1212" s="202"/>
      <c r="T1212" s="202"/>
    </row>
    <row r="1213" spans="1:20" s="182" customFormat="1" ht="15.9" hidden="1">
      <c r="A1213" s="222">
        <v>45359</v>
      </c>
      <c r="B1213" s="626" t="s">
        <v>1236</v>
      </c>
      <c r="C1213" s="208" t="s">
        <v>27</v>
      </c>
      <c r="D1213" s="592">
        <v>-261800</v>
      </c>
      <c r="E1213" s="619">
        <v>45352</v>
      </c>
      <c r="F1213" s="201" t="s">
        <v>110</v>
      </c>
      <c r="G1213" s="208" t="s">
        <v>453</v>
      </c>
      <c r="H1213" s="201" t="s">
        <v>310</v>
      </c>
      <c r="I1213" s="201"/>
      <c r="J1213" s="202"/>
      <c r="K1213" s="202"/>
      <c r="L1213" s="202"/>
      <c r="M1213" s="202"/>
      <c r="N1213" s="202"/>
      <c r="O1213" s="202"/>
      <c r="P1213" s="202"/>
      <c r="Q1213" s="202"/>
      <c r="R1213" s="202"/>
      <c r="S1213" s="202"/>
      <c r="T1213" s="202"/>
    </row>
    <row r="1214" spans="1:20" s="182" customFormat="1" ht="14.15" hidden="1">
      <c r="A1214" s="222">
        <v>45359</v>
      </c>
      <c r="B1214" s="201" t="s">
        <v>1237</v>
      </c>
      <c r="C1214" s="208" t="s">
        <v>27</v>
      </c>
      <c r="D1214" s="592">
        <v>-10000000</v>
      </c>
      <c r="E1214" s="619">
        <v>45352</v>
      </c>
      <c r="F1214" s="201" t="s">
        <v>109</v>
      </c>
      <c r="G1214" s="208" t="s">
        <v>120</v>
      </c>
      <c r="H1214" s="201"/>
      <c r="I1214" s="201"/>
      <c r="J1214" s="202"/>
      <c r="K1214" s="202"/>
      <c r="L1214" s="202"/>
      <c r="M1214" s="202"/>
      <c r="N1214" s="202"/>
      <c r="O1214" s="202"/>
      <c r="P1214" s="202"/>
      <c r="Q1214" s="202"/>
      <c r="R1214" s="202"/>
      <c r="S1214" s="202"/>
      <c r="T1214" s="202"/>
    </row>
    <row r="1215" spans="1:20" s="182" customFormat="1" ht="14.15" hidden="1">
      <c r="A1215" s="222">
        <v>45359</v>
      </c>
      <c r="B1215" s="201" t="s">
        <v>1238</v>
      </c>
      <c r="C1215" s="208" t="s">
        <v>27</v>
      </c>
      <c r="D1215" s="592">
        <v>-5750000</v>
      </c>
      <c r="E1215" s="619">
        <v>45352</v>
      </c>
      <c r="F1215" s="201" t="s">
        <v>109</v>
      </c>
      <c r="G1215" s="208" t="s">
        <v>120</v>
      </c>
      <c r="H1215" s="201"/>
      <c r="I1215" s="201"/>
      <c r="J1215" s="202"/>
      <c r="K1215" s="202"/>
      <c r="L1215" s="202"/>
      <c r="M1215" s="202"/>
      <c r="N1215" s="202"/>
      <c r="O1215" s="202"/>
      <c r="P1215" s="202"/>
      <c r="Q1215" s="202"/>
      <c r="R1215" s="202"/>
      <c r="S1215" s="202"/>
      <c r="T1215" s="202"/>
    </row>
    <row r="1216" spans="1:20" s="182" customFormat="1" ht="14.15" hidden="1">
      <c r="A1216" s="222">
        <v>45359</v>
      </c>
      <c r="B1216" s="201" t="s">
        <v>1239</v>
      </c>
      <c r="C1216" s="208" t="s">
        <v>27</v>
      </c>
      <c r="D1216" s="592">
        <v>-31400838</v>
      </c>
      <c r="E1216" s="619">
        <v>45352</v>
      </c>
      <c r="F1216" s="208" t="s">
        <v>109</v>
      </c>
      <c r="G1216" s="208" t="s">
        <v>317</v>
      </c>
      <c r="H1216" s="201" t="s">
        <v>123</v>
      </c>
      <c r="I1216" s="201"/>
      <c r="J1216" s="202"/>
      <c r="K1216" s="202"/>
      <c r="L1216" s="202"/>
      <c r="M1216" s="202"/>
      <c r="N1216" s="202"/>
      <c r="O1216" s="202"/>
      <c r="P1216" s="202"/>
      <c r="Q1216" s="202"/>
      <c r="R1216" s="202"/>
      <c r="S1216" s="202"/>
      <c r="T1216" s="202"/>
    </row>
    <row r="1217" spans="1:20" s="182" customFormat="1" ht="14.15" hidden="1">
      <c r="A1217" s="222">
        <v>45362</v>
      </c>
      <c r="B1217" s="201" t="s">
        <v>1240</v>
      </c>
      <c r="C1217" s="208" t="s">
        <v>27</v>
      </c>
      <c r="D1217" s="592">
        <v>-43636775</v>
      </c>
      <c r="E1217" s="619">
        <v>45352</v>
      </c>
      <c r="F1217" s="201" t="s">
        <v>109</v>
      </c>
      <c r="G1217" s="208" t="s">
        <v>120</v>
      </c>
      <c r="H1217" s="81" t="s">
        <v>138</v>
      </c>
      <c r="I1217" s="201"/>
      <c r="J1217" s="202"/>
      <c r="K1217" s="202"/>
      <c r="L1217" s="202"/>
      <c r="M1217" s="202"/>
      <c r="N1217" s="202"/>
      <c r="O1217" s="202"/>
      <c r="P1217" s="202"/>
      <c r="Q1217" s="202"/>
      <c r="R1217" s="202"/>
      <c r="S1217" s="202"/>
      <c r="T1217" s="202"/>
    </row>
    <row r="1218" spans="1:20" s="182" customFormat="1" ht="14.15" hidden="1">
      <c r="A1218" s="222">
        <v>45362</v>
      </c>
      <c r="B1218" s="201" t="s">
        <v>1241</v>
      </c>
      <c r="C1218" s="208" t="s">
        <v>27</v>
      </c>
      <c r="D1218" s="592">
        <v>-2380000</v>
      </c>
      <c r="E1218" s="619">
        <v>45352</v>
      </c>
      <c r="F1218" s="201" t="s">
        <v>130</v>
      </c>
      <c r="G1218" s="201" t="s">
        <v>130</v>
      </c>
      <c r="H1218" s="201" t="s">
        <v>184</v>
      </c>
      <c r="I1218" s="201"/>
      <c r="J1218" s="202"/>
      <c r="K1218" s="202"/>
      <c r="L1218" s="202"/>
      <c r="M1218" s="202"/>
      <c r="N1218" s="202"/>
      <c r="O1218" s="202"/>
      <c r="P1218" s="202"/>
      <c r="Q1218" s="202"/>
      <c r="R1218" s="202"/>
      <c r="S1218" s="202"/>
      <c r="T1218" s="202"/>
    </row>
    <row r="1219" spans="1:20" s="182" customFormat="1" ht="14.15" hidden="1">
      <c r="A1219" s="222">
        <v>45362</v>
      </c>
      <c r="B1219" s="201" t="s">
        <v>680</v>
      </c>
      <c r="C1219" s="208" t="s">
        <v>27</v>
      </c>
      <c r="D1219" s="592">
        <v>-125800</v>
      </c>
      <c r="E1219" s="619">
        <v>45352</v>
      </c>
      <c r="F1219" s="201" t="s">
        <v>130</v>
      </c>
      <c r="G1219" s="201" t="s">
        <v>130</v>
      </c>
      <c r="H1219" s="201" t="s">
        <v>1242</v>
      </c>
      <c r="I1219" s="201"/>
      <c r="J1219" s="202"/>
      <c r="K1219" s="202"/>
      <c r="L1219" s="202"/>
      <c r="M1219" s="202"/>
      <c r="N1219" s="202"/>
      <c r="O1219" s="202"/>
      <c r="P1219" s="202"/>
      <c r="Q1219" s="202"/>
      <c r="R1219" s="202"/>
      <c r="S1219" s="202"/>
      <c r="T1219" s="202"/>
    </row>
    <row r="1220" spans="1:20" s="182" customFormat="1" ht="14.15" hidden="1">
      <c r="A1220" s="222">
        <v>45362</v>
      </c>
      <c r="B1220" s="201" t="s">
        <v>1243</v>
      </c>
      <c r="C1220" s="208" t="s">
        <v>27</v>
      </c>
      <c r="D1220" s="592">
        <v>-2140000</v>
      </c>
      <c r="E1220" s="619">
        <v>45352</v>
      </c>
      <c r="F1220" s="201" t="s">
        <v>109</v>
      </c>
      <c r="G1220" s="208" t="s">
        <v>120</v>
      </c>
      <c r="H1220" s="208" t="s">
        <v>147</v>
      </c>
      <c r="I1220" s="201"/>
      <c r="J1220" s="202"/>
      <c r="K1220" s="202"/>
      <c r="L1220" s="202"/>
      <c r="M1220" s="202"/>
      <c r="N1220" s="202"/>
      <c r="O1220" s="202"/>
      <c r="P1220" s="202"/>
      <c r="Q1220" s="202"/>
      <c r="R1220" s="202"/>
      <c r="S1220" s="202"/>
      <c r="T1220" s="202"/>
    </row>
    <row r="1221" spans="1:20" s="182" customFormat="1" ht="14.15" hidden="1">
      <c r="A1221" s="222">
        <v>45362</v>
      </c>
      <c r="B1221" s="201" t="s">
        <v>1244</v>
      </c>
      <c r="C1221" s="208" t="s">
        <v>27</v>
      </c>
      <c r="D1221" s="592">
        <v>-180000</v>
      </c>
      <c r="E1221" s="619">
        <v>45352</v>
      </c>
      <c r="F1221" s="201" t="s">
        <v>130</v>
      </c>
      <c r="G1221" s="201" t="s">
        <v>130</v>
      </c>
      <c r="H1221" s="201" t="s">
        <v>1245</v>
      </c>
      <c r="I1221" s="201"/>
      <c r="J1221" s="202"/>
      <c r="K1221" s="202"/>
      <c r="L1221" s="202"/>
      <c r="M1221" s="202"/>
      <c r="N1221" s="202"/>
      <c r="O1221" s="202"/>
      <c r="P1221" s="202"/>
      <c r="Q1221" s="202"/>
      <c r="R1221" s="202"/>
      <c r="S1221" s="202"/>
      <c r="T1221" s="202"/>
    </row>
    <row r="1222" spans="1:20" s="182" customFormat="1" ht="14.15" hidden="1">
      <c r="A1222" s="222">
        <v>45362</v>
      </c>
      <c r="B1222" s="201" t="s">
        <v>1246</v>
      </c>
      <c r="C1222" s="208" t="s">
        <v>27</v>
      </c>
      <c r="D1222" s="592">
        <v>-250000</v>
      </c>
      <c r="E1222" s="619">
        <v>45352</v>
      </c>
      <c r="F1222" s="201" t="s">
        <v>109</v>
      </c>
      <c r="G1222" s="208" t="s">
        <v>383</v>
      </c>
      <c r="H1222" s="208" t="s">
        <v>175</v>
      </c>
      <c r="I1222" s="201"/>
      <c r="J1222" s="202"/>
      <c r="K1222" s="202"/>
      <c r="L1222" s="202"/>
      <c r="M1222" s="202"/>
      <c r="N1222" s="202"/>
      <c r="O1222" s="202"/>
      <c r="P1222" s="202"/>
      <c r="Q1222" s="202"/>
      <c r="R1222" s="202"/>
      <c r="S1222" s="202"/>
      <c r="T1222" s="202"/>
    </row>
    <row r="1223" spans="1:20" s="182" customFormat="1" ht="14.15" hidden="1">
      <c r="A1223" s="222">
        <v>45362</v>
      </c>
      <c r="B1223" s="201" t="s">
        <v>1247</v>
      </c>
      <c r="C1223" s="208" t="s">
        <v>27</v>
      </c>
      <c r="D1223" s="592">
        <v>-1995000</v>
      </c>
      <c r="E1223" s="619">
        <v>45352</v>
      </c>
      <c r="F1223" s="201" t="s">
        <v>110</v>
      </c>
      <c r="G1223" s="208" t="s">
        <v>453</v>
      </c>
      <c r="H1223" s="208" t="s">
        <v>212</v>
      </c>
      <c r="I1223" s="201"/>
      <c r="J1223" s="202"/>
      <c r="K1223" s="202"/>
      <c r="L1223" s="202"/>
      <c r="M1223" s="202"/>
      <c r="N1223" s="202"/>
      <c r="O1223" s="202"/>
      <c r="P1223" s="202"/>
      <c r="Q1223" s="202"/>
      <c r="R1223" s="202"/>
      <c r="S1223" s="202"/>
      <c r="T1223" s="202"/>
    </row>
    <row r="1224" spans="1:20" s="182" customFormat="1" ht="14.15" hidden="1">
      <c r="A1224" s="222">
        <v>45362</v>
      </c>
      <c r="B1224" s="201" t="s">
        <v>1248</v>
      </c>
      <c r="C1224" s="208" t="s">
        <v>27</v>
      </c>
      <c r="D1224" s="592">
        <v>-1073278</v>
      </c>
      <c r="E1224" s="619">
        <v>45352</v>
      </c>
      <c r="F1224" s="201" t="s">
        <v>130</v>
      </c>
      <c r="G1224" s="201" t="s">
        <v>257</v>
      </c>
      <c r="H1224" s="201" t="s">
        <v>663</v>
      </c>
      <c r="I1224" s="201"/>
      <c r="J1224" s="202"/>
      <c r="K1224" s="202"/>
      <c r="L1224" s="202"/>
      <c r="M1224" s="202"/>
      <c r="N1224" s="202"/>
      <c r="O1224" s="202"/>
      <c r="P1224" s="202"/>
      <c r="Q1224" s="202"/>
      <c r="R1224" s="202"/>
      <c r="S1224" s="202"/>
      <c r="T1224" s="202"/>
    </row>
    <row r="1225" spans="1:20" s="182" customFormat="1" ht="14.15" hidden="1">
      <c r="A1225" s="222">
        <v>45363</v>
      </c>
      <c r="B1225" s="201" t="s">
        <v>1249</v>
      </c>
      <c r="C1225" s="208" t="s">
        <v>27</v>
      </c>
      <c r="D1225" s="592">
        <v>-108670</v>
      </c>
      <c r="E1225" s="619">
        <v>45352</v>
      </c>
      <c r="F1225" s="201" t="s">
        <v>130</v>
      </c>
      <c r="G1225" s="201" t="s">
        <v>130</v>
      </c>
      <c r="H1225" s="201" t="s">
        <v>1242</v>
      </c>
      <c r="I1225" s="201"/>
      <c r="J1225" s="202"/>
      <c r="K1225" s="202"/>
      <c r="L1225" s="202"/>
      <c r="M1225" s="202"/>
      <c r="N1225" s="202"/>
      <c r="O1225" s="202"/>
      <c r="P1225" s="202"/>
      <c r="Q1225" s="202"/>
      <c r="R1225" s="202"/>
      <c r="S1225" s="202"/>
      <c r="T1225" s="202"/>
    </row>
    <row r="1226" spans="1:20" s="182" customFormat="1" ht="14.15" hidden="1">
      <c r="A1226" s="222">
        <v>45363</v>
      </c>
      <c r="B1226" s="201" t="s">
        <v>250</v>
      </c>
      <c r="C1226" s="208" t="s">
        <v>27</v>
      </c>
      <c r="D1226" s="592">
        <v>-52030</v>
      </c>
      <c r="E1226" s="619">
        <v>45352</v>
      </c>
      <c r="F1226" s="201" t="s">
        <v>130</v>
      </c>
      <c r="G1226" s="201" t="s">
        <v>130</v>
      </c>
      <c r="H1226" s="201" t="s">
        <v>1242</v>
      </c>
      <c r="I1226" s="201"/>
      <c r="J1226" s="202"/>
      <c r="K1226" s="202"/>
      <c r="L1226" s="202"/>
      <c r="M1226" s="202"/>
      <c r="N1226" s="202"/>
      <c r="O1226" s="202"/>
      <c r="P1226" s="202"/>
      <c r="Q1226" s="202"/>
      <c r="R1226" s="202"/>
      <c r="S1226" s="202"/>
      <c r="T1226" s="202"/>
    </row>
    <row r="1227" spans="1:20" s="182" customFormat="1" ht="14.15" hidden="1">
      <c r="A1227" s="222">
        <v>45363</v>
      </c>
      <c r="B1227" s="201" t="s">
        <v>1250</v>
      </c>
      <c r="C1227" s="208" t="s">
        <v>27</v>
      </c>
      <c r="D1227" s="592">
        <v>-114560</v>
      </c>
      <c r="E1227" s="619">
        <v>45352</v>
      </c>
      <c r="F1227" s="201" t="s">
        <v>130</v>
      </c>
      <c r="G1227" s="201" t="s">
        <v>130</v>
      </c>
      <c r="H1227" s="201" t="s">
        <v>1242</v>
      </c>
      <c r="I1227" s="201"/>
      <c r="J1227" s="202"/>
      <c r="K1227" s="202"/>
      <c r="L1227" s="202"/>
      <c r="M1227" s="202"/>
      <c r="N1227" s="202"/>
      <c r="O1227" s="202"/>
      <c r="P1227" s="202"/>
      <c r="Q1227" s="202"/>
      <c r="R1227" s="202"/>
      <c r="S1227" s="202"/>
      <c r="T1227" s="202"/>
    </row>
    <row r="1228" spans="1:20" s="182" customFormat="1" ht="14.15" hidden="1">
      <c r="A1228" s="222">
        <v>45363</v>
      </c>
      <c r="B1228" s="201" t="s">
        <v>1251</v>
      </c>
      <c r="C1228" s="208" t="s">
        <v>27</v>
      </c>
      <c r="D1228" s="592">
        <v>-1110237</v>
      </c>
      <c r="E1228" s="619">
        <v>45352</v>
      </c>
      <c r="F1228" s="84" t="s">
        <v>111</v>
      </c>
      <c r="G1228" s="201"/>
      <c r="H1228" s="201"/>
      <c r="I1228" s="201"/>
      <c r="J1228" s="202"/>
      <c r="K1228" s="202"/>
      <c r="L1228" s="202"/>
      <c r="M1228" s="202"/>
      <c r="N1228" s="202"/>
      <c r="O1228" s="202"/>
      <c r="P1228" s="202"/>
      <c r="Q1228" s="202"/>
      <c r="R1228" s="202"/>
      <c r="S1228" s="202"/>
      <c r="T1228" s="202"/>
    </row>
    <row r="1229" spans="1:20" s="182" customFormat="1" ht="14.15" hidden="1">
      <c r="A1229" s="222">
        <v>45363</v>
      </c>
      <c r="B1229" s="201" t="s">
        <v>1252</v>
      </c>
      <c r="C1229" s="208" t="s">
        <v>27</v>
      </c>
      <c r="D1229" s="592">
        <v>-1240000</v>
      </c>
      <c r="E1229" s="619">
        <v>45352</v>
      </c>
      <c r="F1229" s="201" t="s">
        <v>109</v>
      </c>
      <c r="G1229" s="208" t="s">
        <v>120</v>
      </c>
      <c r="H1229" s="201"/>
      <c r="I1229" s="201"/>
      <c r="J1229" s="202"/>
      <c r="K1229" s="202"/>
      <c r="L1229" s="202"/>
      <c r="M1229" s="202"/>
      <c r="N1229" s="202"/>
      <c r="O1229" s="202"/>
      <c r="P1229" s="202"/>
      <c r="Q1229" s="202"/>
      <c r="R1229" s="202"/>
      <c r="S1229" s="202"/>
      <c r="T1229" s="202"/>
    </row>
    <row r="1230" spans="1:20" s="182" customFormat="1" ht="14.15" hidden="1">
      <c r="A1230" s="222">
        <v>45363</v>
      </c>
      <c r="B1230" s="201" t="s">
        <v>1253</v>
      </c>
      <c r="C1230" s="208" t="s">
        <v>27</v>
      </c>
      <c r="D1230" s="592">
        <v>-160000</v>
      </c>
      <c r="E1230" s="619">
        <v>45352</v>
      </c>
      <c r="F1230" s="201" t="s">
        <v>109</v>
      </c>
      <c r="G1230" s="208" t="s">
        <v>414</v>
      </c>
      <c r="H1230" s="201" t="s">
        <v>421</v>
      </c>
      <c r="I1230" s="201"/>
      <c r="J1230" s="202"/>
      <c r="K1230" s="202"/>
      <c r="L1230" s="202"/>
      <c r="M1230" s="202"/>
      <c r="N1230" s="202"/>
      <c r="O1230" s="202"/>
      <c r="P1230" s="202"/>
      <c r="Q1230" s="202"/>
      <c r="R1230" s="202"/>
      <c r="S1230" s="202"/>
      <c r="T1230" s="202"/>
    </row>
    <row r="1231" spans="1:20" s="182" customFormat="1" ht="14.15" hidden="1">
      <c r="A1231" s="222">
        <v>45363</v>
      </c>
      <c r="B1231" s="201" t="s">
        <v>1254</v>
      </c>
      <c r="C1231" s="208" t="s">
        <v>27</v>
      </c>
      <c r="D1231" s="592">
        <v>-452667</v>
      </c>
      <c r="E1231" s="619">
        <v>45352</v>
      </c>
      <c r="F1231" s="201" t="s">
        <v>109</v>
      </c>
      <c r="G1231" s="208" t="s">
        <v>414</v>
      </c>
      <c r="H1231" s="208" t="s">
        <v>147</v>
      </c>
      <c r="I1231" s="201"/>
      <c r="J1231" s="202"/>
      <c r="K1231" s="202"/>
      <c r="L1231" s="202"/>
      <c r="M1231" s="202"/>
      <c r="N1231" s="202"/>
      <c r="O1231" s="202"/>
      <c r="P1231" s="202"/>
      <c r="Q1231" s="202"/>
      <c r="R1231" s="202"/>
      <c r="S1231" s="202"/>
      <c r="T1231" s="202"/>
    </row>
    <row r="1232" spans="1:20" s="182" customFormat="1" ht="14.15" hidden="1">
      <c r="A1232" s="222">
        <v>45363</v>
      </c>
      <c r="B1232" s="201" t="s">
        <v>1255</v>
      </c>
      <c r="C1232" s="208" t="s">
        <v>27</v>
      </c>
      <c r="D1232" s="592">
        <v>-1068972</v>
      </c>
      <c r="E1232" s="619">
        <v>45352</v>
      </c>
      <c r="F1232" s="201" t="s">
        <v>109</v>
      </c>
      <c r="G1232" s="201" t="s">
        <v>918</v>
      </c>
      <c r="H1232" s="201"/>
      <c r="I1232" s="201"/>
      <c r="J1232" s="202"/>
      <c r="K1232" s="202"/>
      <c r="L1232" s="202"/>
      <c r="M1232" s="202"/>
      <c r="N1232" s="202"/>
      <c r="O1232" s="202"/>
      <c r="P1232" s="202"/>
      <c r="Q1232" s="202"/>
      <c r="R1232" s="202"/>
      <c r="S1232" s="202"/>
      <c r="T1232" s="202"/>
    </row>
    <row r="1233" spans="1:20" s="182" customFormat="1" ht="14.15" hidden="1">
      <c r="A1233" s="222">
        <v>45363</v>
      </c>
      <c r="B1233" s="201" t="s">
        <v>1172</v>
      </c>
      <c r="C1233" s="208" t="s">
        <v>27</v>
      </c>
      <c r="D1233" s="592">
        <v>-245000</v>
      </c>
      <c r="E1233" s="619">
        <v>45352</v>
      </c>
      <c r="F1233" s="201" t="s">
        <v>110</v>
      </c>
      <c r="G1233" s="208" t="s">
        <v>453</v>
      </c>
      <c r="H1233" s="201" t="s">
        <v>310</v>
      </c>
      <c r="I1233" s="201"/>
      <c r="J1233" s="202"/>
      <c r="K1233" s="202"/>
      <c r="L1233" s="202"/>
      <c r="M1233" s="202"/>
      <c r="N1233" s="202"/>
      <c r="O1233" s="202"/>
      <c r="P1233" s="202"/>
      <c r="Q1233" s="202"/>
      <c r="R1233" s="202"/>
      <c r="S1233" s="202"/>
      <c r="T1233" s="202"/>
    </row>
    <row r="1234" spans="1:20" s="182" customFormat="1" ht="14.15" hidden="1">
      <c r="A1234" s="222">
        <v>45364</v>
      </c>
      <c r="B1234" s="627" t="s">
        <v>1256</v>
      </c>
      <c r="C1234" s="208" t="s">
        <v>27</v>
      </c>
      <c r="D1234" s="592">
        <v>-9958080</v>
      </c>
      <c r="E1234" s="619">
        <v>45352</v>
      </c>
      <c r="F1234" s="201" t="s">
        <v>109</v>
      </c>
      <c r="G1234" s="208" t="s">
        <v>120</v>
      </c>
      <c r="H1234" s="201"/>
      <c r="I1234" s="201"/>
      <c r="J1234" s="202"/>
      <c r="K1234" s="202"/>
      <c r="L1234" s="202"/>
      <c r="M1234" s="202"/>
      <c r="N1234" s="202"/>
      <c r="O1234" s="202"/>
      <c r="P1234" s="202"/>
      <c r="Q1234" s="202"/>
      <c r="R1234" s="202"/>
      <c r="S1234" s="202"/>
      <c r="T1234" s="202"/>
    </row>
    <row r="1235" spans="1:20" s="182" customFormat="1" ht="14.15" hidden="1">
      <c r="A1235" s="222">
        <v>45364</v>
      </c>
      <c r="B1235" s="627" t="s">
        <v>206</v>
      </c>
      <c r="C1235" s="208" t="s">
        <v>27</v>
      </c>
      <c r="D1235" s="592">
        <v>-144244</v>
      </c>
      <c r="E1235" s="619">
        <v>45352</v>
      </c>
      <c r="F1235" s="201" t="s">
        <v>207</v>
      </c>
      <c r="G1235" s="201"/>
      <c r="H1235" s="201"/>
      <c r="I1235" s="201"/>
      <c r="J1235" s="202"/>
      <c r="K1235" s="202"/>
      <c r="L1235" s="202"/>
      <c r="M1235" s="202"/>
      <c r="N1235" s="202"/>
      <c r="O1235" s="202"/>
      <c r="P1235" s="202"/>
      <c r="Q1235" s="202"/>
      <c r="R1235" s="202"/>
      <c r="S1235" s="202"/>
      <c r="T1235" s="202"/>
    </row>
    <row r="1236" spans="1:20" s="182" customFormat="1" ht="14.15" hidden="1">
      <c r="A1236" s="222">
        <v>45364</v>
      </c>
      <c r="B1236" s="627" t="s">
        <v>1257</v>
      </c>
      <c r="C1236" s="208" t="s">
        <v>27</v>
      </c>
      <c r="D1236" s="592">
        <v>-3100000</v>
      </c>
      <c r="E1236" s="619">
        <v>45352</v>
      </c>
      <c r="F1236" s="201" t="s">
        <v>130</v>
      </c>
      <c r="G1236" s="201" t="s">
        <v>257</v>
      </c>
      <c r="H1236" s="201" t="s">
        <v>663</v>
      </c>
      <c r="I1236" s="201"/>
      <c r="J1236" s="202"/>
      <c r="K1236" s="202"/>
      <c r="L1236" s="202"/>
      <c r="M1236" s="202"/>
      <c r="N1236" s="202"/>
      <c r="O1236" s="202"/>
      <c r="P1236" s="202"/>
      <c r="Q1236" s="202"/>
      <c r="R1236" s="202"/>
      <c r="S1236" s="202"/>
      <c r="T1236" s="202"/>
    </row>
    <row r="1237" spans="1:20" s="182" customFormat="1" ht="14.15" hidden="1">
      <c r="A1237" s="222">
        <v>45364</v>
      </c>
      <c r="B1237" s="627" t="s">
        <v>1258</v>
      </c>
      <c r="C1237" s="208" t="s">
        <v>27</v>
      </c>
      <c r="D1237" s="592">
        <v>-6769000</v>
      </c>
      <c r="E1237" s="619">
        <v>45352</v>
      </c>
      <c r="F1237" s="201" t="s">
        <v>210</v>
      </c>
      <c r="G1237" s="201"/>
      <c r="H1237" s="201"/>
      <c r="I1237" s="201"/>
      <c r="J1237" s="202"/>
      <c r="K1237" s="202"/>
      <c r="L1237" s="202"/>
      <c r="M1237" s="202"/>
      <c r="N1237" s="202"/>
      <c r="O1237" s="202"/>
      <c r="P1237" s="202"/>
      <c r="Q1237" s="202"/>
      <c r="R1237" s="202"/>
      <c r="S1237" s="202"/>
      <c r="T1237" s="202"/>
    </row>
    <row r="1238" spans="1:20" s="182" customFormat="1" ht="14.15" hidden="1">
      <c r="A1238" s="222">
        <v>45364</v>
      </c>
      <c r="B1238" s="627" t="s">
        <v>1259</v>
      </c>
      <c r="C1238" s="208" t="s">
        <v>27</v>
      </c>
      <c r="D1238" s="592">
        <v>-26000</v>
      </c>
      <c r="E1238" s="619">
        <v>45352</v>
      </c>
      <c r="F1238" s="201" t="s">
        <v>210</v>
      </c>
      <c r="G1238" s="201"/>
      <c r="H1238" s="201"/>
      <c r="I1238" s="201"/>
      <c r="J1238" s="202"/>
      <c r="K1238" s="202"/>
      <c r="L1238" s="202"/>
      <c r="M1238" s="202"/>
      <c r="N1238" s="202"/>
      <c r="O1238" s="202"/>
      <c r="P1238" s="202"/>
      <c r="Q1238" s="202"/>
      <c r="R1238" s="202"/>
      <c r="S1238" s="202"/>
      <c r="T1238" s="202"/>
    </row>
    <row r="1239" spans="1:20" s="182" customFormat="1" ht="14.15" hidden="1">
      <c r="A1239" s="222">
        <v>45364</v>
      </c>
      <c r="B1239" s="627" t="s">
        <v>1260</v>
      </c>
      <c r="C1239" s="208" t="s">
        <v>27</v>
      </c>
      <c r="D1239" s="592">
        <v>-31506040.799999993</v>
      </c>
      <c r="E1239" s="619">
        <v>45352</v>
      </c>
      <c r="F1239" s="201" t="s">
        <v>110</v>
      </c>
      <c r="G1239" s="201" t="s">
        <v>1261</v>
      </c>
      <c r="H1239" s="201" t="s">
        <v>123</v>
      </c>
      <c r="I1239" s="201"/>
      <c r="J1239" s="202"/>
      <c r="K1239" s="202"/>
      <c r="L1239" s="202"/>
      <c r="M1239" s="202"/>
      <c r="N1239" s="202"/>
      <c r="O1239" s="202"/>
      <c r="P1239" s="202"/>
      <c r="Q1239" s="202"/>
      <c r="R1239" s="202"/>
      <c r="S1239" s="202"/>
      <c r="T1239" s="202"/>
    </row>
    <row r="1240" spans="1:20" s="182" customFormat="1" ht="14.15" hidden="1">
      <c r="A1240" s="222">
        <v>45365</v>
      </c>
      <c r="B1240" s="627" t="s">
        <v>1262</v>
      </c>
      <c r="C1240" s="208" t="s">
        <v>27</v>
      </c>
      <c r="D1240" s="592">
        <v>-491345</v>
      </c>
      <c r="E1240" s="619">
        <v>45352</v>
      </c>
      <c r="F1240" s="208" t="s">
        <v>109</v>
      </c>
      <c r="G1240" s="208" t="s">
        <v>317</v>
      </c>
      <c r="H1240" s="201" t="s">
        <v>310</v>
      </c>
      <c r="I1240" s="201"/>
      <c r="J1240" s="202"/>
      <c r="K1240" s="202"/>
      <c r="L1240" s="202"/>
      <c r="M1240" s="202"/>
      <c r="N1240" s="202"/>
      <c r="O1240" s="202"/>
      <c r="P1240" s="202"/>
      <c r="Q1240" s="202"/>
      <c r="R1240" s="202"/>
      <c r="S1240" s="202"/>
      <c r="T1240" s="202"/>
    </row>
    <row r="1241" spans="1:20" s="182" customFormat="1" ht="14.15" hidden="1">
      <c r="A1241" s="222">
        <v>45365</v>
      </c>
      <c r="B1241" s="627" t="s">
        <v>1263</v>
      </c>
      <c r="C1241" s="208" t="s">
        <v>27</v>
      </c>
      <c r="D1241" s="592">
        <v>-198810</v>
      </c>
      <c r="E1241" s="619">
        <v>45352</v>
      </c>
      <c r="F1241" s="201" t="s">
        <v>109</v>
      </c>
      <c r="G1241" s="208" t="s">
        <v>120</v>
      </c>
      <c r="H1241" s="201"/>
      <c r="I1241" s="201"/>
      <c r="J1241" s="202"/>
      <c r="K1241" s="202"/>
      <c r="L1241" s="202"/>
      <c r="M1241" s="202"/>
      <c r="N1241" s="202"/>
      <c r="O1241" s="202"/>
      <c r="P1241" s="202"/>
      <c r="Q1241" s="202"/>
      <c r="R1241" s="202"/>
      <c r="S1241" s="202"/>
      <c r="T1241" s="202"/>
    </row>
    <row r="1242" spans="1:20" s="182" customFormat="1" ht="14.15" hidden="1">
      <c r="A1242" s="222">
        <v>45365</v>
      </c>
      <c r="B1242" s="627" t="s">
        <v>1264</v>
      </c>
      <c r="C1242" s="208" t="s">
        <v>27</v>
      </c>
      <c r="D1242" s="592">
        <v>-851730</v>
      </c>
      <c r="E1242" s="619">
        <v>45352</v>
      </c>
      <c r="F1242" s="201" t="s">
        <v>109</v>
      </c>
      <c r="G1242" s="208" t="s">
        <v>120</v>
      </c>
      <c r="H1242" s="201"/>
      <c r="I1242" s="201"/>
      <c r="J1242" s="202"/>
      <c r="K1242" s="202"/>
      <c r="L1242" s="202"/>
      <c r="M1242" s="202"/>
      <c r="N1242" s="202"/>
      <c r="O1242" s="202"/>
      <c r="P1242" s="202"/>
      <c r="Q1242" s="202"/>
      <c r="R1242" s="202"/>
      <c r="S1242" s="202"/>
      <c r="T1242" s="202"/>
    </row>
    <row r="1243" spans="1:20" s="182" customFormat="1" ht="14.15" hidden="1">
      <c r="A1243" s="222">
        <v>45365</v>
      </c>
      <c r="B1243" s="627" t="s">
        <v>1265</v>
      </c>
      <c r="C1243" s="208" t="s">
        <v>27</v>
      </c>
      <c r="D1243" s="592">
        <v>-1228700</v>
      </c>
      <c r="E1243" s="619">
        <v>45352</v>
      </c>
      <c r="F1243" s="291" t="s">
        <v>109</v>
      </c>
      <c r="G1243" s="208" t="s">
        <v>120</v>
      </c>
      <c r="H1243" s="208" t="s">
        <v>147</v>
      </c>
      <c r="I1243" s="201"/>
      <c r="J1243" s="202"/>
      <c r="K1243" s="202"/>
      <c r="L1243" s="202"/>
      <c r="M1243" s="202"/>
      <c r="N1243" s="202"/>
      <c r="O1243" s="202"/>
      <c r="P1243" s="202"/>
      <c r="Q1243" s="202"/>
      <c r="R1243" s="202"/>
      <c r="S1243" s="202"/>
      <c r="T1243" s="202"/>
    </row>
    <row r="1244" spans="1:20" s="182" customFormat="1" ht="14.15" hidden="1">
      <c r="A1244" s="222">
        <v>45365</v>
      </c>
      <c r="B1244" s="627" t="s">
        <v>1266</v>
      </c>
      <c r="C1244" s="208" t="s">
        <v>27</v>
      </c>
      <c r="D1244" s="592">
        <v>-693840</v>
      </c>
      <c r="E1244" s="619">
        <v>45352</v>
      </c>
      <c r="F1244" s="291" t="s">
        <v>109</v>
      </c>
      <c r="G1244" s="208" t="s">
        <v>120</v>
      </c>
      <c r="H1244" s="208" t="s">
        <v>147</v>
      </c>
      <c r="I1244" s="201"/>
      <c r="J1244" s="202"/>
      <c r="K1244" s="202"/>
      <c r="L1244" s="202"/>
      <c r="M1244" s="202"/>
      <c r="N1244" s="202"/>
      <c r="O1244" s="202"/>
      <c r="P1244" s="202"/>
      <c r="Q1244" s="202"/>
      <c r="R1244" s="202"/>
      <c r="S1244" s="202"/>
      <c r="T1244" s="202"/>
    </row>
    <row r="1245" spans="1:20" s="182" customFormat="1" ht="14.15" hidden="1">
      <c r="A1245" s="222">
        <v>45365</v>
      </c>
      <c r="B1245" s="627" t="s">
        <v>1267</v>
      </c>
      <c r="C1245" s="208" t="s">
        <v>27</v>
      </c>
      <c r="D1245" s="592">
        <v>-756740</v>
      </c>
      <c r="E1245" s="619">
        <v>45352</v>
      </c>
      <c r="F1245" s="201" t="s">
        <v>110</v>
      </c>
      <c r="G1245" s="208" t="s">
        <v>453</v>
      </c>
      <c r="H1245" s="208" t="s">
        <v>147</v>
      </c>
      <c r="I1245" s="201"/>
      <c r="J1245" s="202"/>
      <c r="K1245" s="202"/>
      <c r="L1245" s="202"/>
      <c r="M1245" s="202"/>
      <c r="N1245" s="202"/>
      <c r="O1245" s="202"/>
      <c r="P1245" s="202"/>
      <c r="Q1245" s="202"/>
      <c r="R1245" s="202"/>
      <c r="S1245" s="202"/>
      <c r="T1245" s="202"/>
    </row>
    <row r="1246" spans="1:20" s="182" customFormat="1" ht="14.15" hidden="1">
      <c r="A1246" s="222">
        <v>45365</v>
      </c>
      <c r="B1246" s="627" t="s">
        <v>1268</v>
      </c>
      <c r="C1246" s="208" t="s">
        <v>27</v>
      </c>
      <c r="D1246" s="592">
        <v>-670082</v>
      </c>
      <c r="E1246" s="619">
        <v>45352</v>
      </c>
      <c r="F1246" s="208" t="s">
        <v>109</v>
      </c>
      <c r="G1246" s="208" t="s">
        <v>317</v>
      </c>
      <c r="H1246" s="208" t="s">
        <v>147</v>
      </c>
      <c r="I1246" s="201"/>
      <c r="J1246" s="202"/>
      <c r="K1246" s="202"/>
      <c r="L1246" s="202"/>
      <c r="M1246" s="202"/>
      <c r="N1246" s="202"/>
      <c r="O1246" s="202"/>
      <c r="P1246" s="202"/>
      <c r="Q1246" s="202"/>
      <c r="R1246" s="202"/>
      <c r="S1246" s="202"/>
      <c r="T1246" s="202"/>
    </row>
    <row r="1247" spans="1:20" s="182" customFormat="1" ht="14.15" hidden="1">
      <c r="A1247" s="222">
        <v>45365</v>
      </c>
      <c r="B1247" s="627" t="s">
        <v>1268</v>
      </c>
      <c r="C1247" s="208" t="s">
        <v>27</v>
      </c>
      <c r="D1247" s="592">
        <v>-287178</v>
      </c>
      <c r="E1247" s="619">
        <v>45352</v>
      </c>
      <c r="F1247" s="201" t="s">
        <v>110</v>
      </c>
      <c r="G1247" s="208" t="s">
        <v>450</v>
      </c>
      <c r="H1247" s="208" t="s">
        <v>147</v>
      </c>
      <c r="I1247" s="201"/>
      <c r="J1247" s="202"/>
      <c r="K1247" s="202"/>
      <c r="L1247" s="202"/>
      <c r="M1247" s="202"/>
      <c r="N1247" s="202"/>
      <c r="O1247" s="202"/>
      <c r="P1247" s="202"/>
      <c r="Q1247" s="202"/>
      <c r="R1247" s="202"/>
      <c r="S1247" s="202"/>
      <c r="T1247" s="202"/>
    </row>
    <row r="1248" spans="1:20" s="182" customFormat="1" ht="14.15" hidden="1">
      <c r="A1248" s="222">
        <v>45365</v>
      </c>
      <c r="B1248" s="627" t="s">
        <v>1269</v>
      </c>
      <c r="C1248" s="208" t="s">
        <v>27</v>
      </c>
      <c r="D1248" s="592">
        <v>-693840</v>
      </c>
      <c r="E1248" s="619">
        <v>45352</v>
      </c>
      <c r="F1248" s="201" t="s">
        <v>110</v>
      </c>
      <c r="G1248" s="208" t="s">
        <v>453</v>
      </c>
      <c r="H1248" s="208" t="s">
        <v>147</v>
      </c>
      <c r="I1248" s="201"/>
      <c r="J1248" s="202"/>
      <c r="K1248" s="202"/>
      <c r="L1248" s="202"/>
      <c r="M1248" s="202"/>
      <c r="N1248" s="202"/>
      <c r="O1248" s="202"/>
      <c r="P1248" s="202"/>
      <c r="Q1248" s="202"/>
      <c r="R1248" s="202"/>
      <c r="S1248" s="202"/>
      <c r="T1248" s="202"/>
    </row>
    <row r="1249" spans="1:20" s="182" customFormat="1" ht="14.15" hidden="1">
      <c r="A1249" s="222">
        <v>45365</v>
      </c>
      <c r="B1249" s="627" t="s">
        <v>1270</v>
      </c>
      <c r="C1249" s="208" t="s">
        <v>27</v>
      </c>
      <c r="D1249" s="592">
        <v>-657400</v>
      </c>
      <c r="E1249" s="619">
        <v>45352</v>
      </c>
      <c r="F1249" s="201" t="s">
        <v>110</v>
      </c>
      <c r="G1249" s="208" t="s">
        <v>453</v>
      </c>
      <c r="H1249" s="208" t="s">
        <v>147</v>
      </c>
      <c r="I1249" s="201"/>
      <c r="J1249" s="202"/>
      <c r="K1249" s="202"/>
      <c r="L1249" s="202"/>
      <c r="M1249" s="202"/>
      <c r="N1249" s="202"/>
      <c r="O1249" s="202"/>
      <c r="P1249" s="202"/>
      <c r="Q1249" s="202"/>
      <c r="R1249" s="202"/>
      <c r="S1249" s="202"/>
      <c r="T1249" s="202"/>
    </row>
    <row r="1250" spans="1:20" s="182" customFormat="1" ht="14.15" hidden="1">
      <c r="A1250" s="222">
        <v>45365</v>
      </c>
      <c r="B1250" s="627" t="s">
        <v>1271</v>
      </c>
      <c r="C1250" s="208" t="s">
        <v>27</v>
      </c>
      <c r="D1250" s="592">
        <v>-906944.68085106381</v>
      </c>
      <c r="E1250" s="619">
        <v>45352</v>
      </c>
      <c r="F1250" s="291" t="s">
        <v>130</v>
      </c>
      <c r="G1250" s="201" t="s">
        <v>130</v>
      </c>
      <c r="H1250" s="201" t="s">
        <v>1175</v>
      </c>
      <c r="I1250" s="201"/>
      <c r="J1250" s="202"/>
      <c r="K1250" s="202"/>
      <c r="L1250" s="202"/>
      <c r="M1250" s="202"/>
      <c r="N1250" s="202"/>
      <c r="O1250" s="202"/>
      <c r="P1250" s="202"/>
      <c r="Q1250" s="202"/>
      <c r="R1250" s="202"/>
      <c r="S1250" s="202"/>
      <c r="T1250" s="202"/>
    </row>
    <row r="1251" spans="1:20" s="182" customFormat="1" ht="14.15" hidden="1">
      <c r="A1251" s="222">
        <v>45365</v>
      </c>
      <c r="B1251" s="627" t="s">
        <v>1272</v>
      </c>
      <c r="C1251" s="208" t="s">
        <v>27</v>
      </c>
      <c r="D1251" s="592">
        <v>-706290.66666666663</v>
      </c>
      <c r="E1251" s="619">
        <v>45352</v>
      </c>
      <c r="F1251" s="291" t="s">
        <v>130</v>
      </c>
      <c r="G1251" s="201" t="s">
        <v>130</v>
      </c>
      <c r="H1251" s="201" t="s">
        <v>1175</v>
      </c>
      <c r="I1251" s="201"/>
      <c r="J1251" s="202"/>
      <c r="K1251" s="202"/>
      <c r="L1251" s="202"/>
      <c r="M1251" s="202"/>
      <c r="N1251" s="202"/>
      <c r="O1251" s="202"/>
      <c r="P1251" s="202"/>
      <c r="Q1251" s="202"/>
      <c r="R1251" s="202"/>
      <c r="S1251" s="202"/>
      <c r="T1251" s="202"/>
    </row>
    <row r="1252" spans="1:20" s="182" customFormat="1" ht="14.15" hidden="1">
      <c r="A1252" s="222">
        <v>45365</v>
      </c>
      <c r="B1252" s="627" t="s">
        <v>1273</v>
      </c>
      <c r="C1252" s="208" t="s">
        <v>27</v>
      </c>
      <c r="D1252" s="592">
        <v>-698085.10638297873</v>
      </c>
      <c r="E1252" s="619">
        <v>45352</v>
      </c>
      <c r="F1252" s="201" t="s">
        <v>110</v>
      </c>
      <c r="G1252" s="208" t="s">
        <v>453</v>
      </c>
      <c r="H1252" s="208" t="s">
        <v>147</v>
      </c>
      <c r="I1252" s="201"/>
      <c r="J1252" s="202"/>
      <c r="K1252" s="202"/>
      <c r="L1252" s="202"/>
      <c r="M1252" s="202"/>
      <c r="N1252" s="202"/>
      <c r="O1252" s="202"/>
      <c r="P1252" s="202"/>
      <c r="Q1252" s="202"/>
      <c r="R1252" s="202"/>
      <c r="S1252" s="202"/>
      <c r="T1252" s="202"/>
    </row>
    <row r="1253" spans="1:20" s="182" customFormat="1" ht="14.15" hidden="1">
      <c r="A1253" s="222">
        <v>45365</v>
      </c>
      <c r="B1253" s="627" t="s">
        <v>1274</v>
      </c>
      <c r="C1253" s="208" t="s">
        <v>27</v>
      </c>
      <c r="D1253" s="592">
        <v>-673600</v>
      </c>
      <c r="E1253" s="619">
        <v>45352</v>
      </c>
      <c r="F1253" s="291" t="s">
        <v>109</v>
      </c>
      <c r="G1253" s="208" t="s">
        <v>120</v>
      </c>
      <c r="H1253" s="208" t="s">
        <v>147</v>
      </c>
      <c r="I1253" s="201"/>
      <c r="J1253" s="202"/>
      <c r="K1253" s="202"/>
      <c r="L1253" s="202"/>
      <c r="M1253" s="202"/>
      <c r="N1253" s="202"/>
      <c r="O1253" s="202"/>
      <c r="P1253" s="202"/>
      <c r="Q1253" s="202"/>
      <c r="R1253" s="202"/>
      <c r="S1253" s="202"/>
      <c r="T1253" s="202"/>
    </row>
    <row r="1254" spans="1:20" s="182" customFormat="1" ht="14.15" hidden="1">
      <c r="A1254" s="222">
        <v>45365</v>
      </c>
      <c r="B1254" s="627" t="s">
        <v>1275</v>
      </c>
      <c r="C1254" s="208" t="s">
        <v>27</v>
      </c>
      <c r="D1254" s="592">
        <v>-673600</v>
      </c>
      <c r="E1254" s="619">
        <v>45352</v>
      </c>
      <c r="F1254" s="291" t="s">
        <v>109</v>
      </c>
      <c r="G1254" s="208" t="s">
        <v>120</v>
      </c>
      <c r="H1254" s="208" t="s">
        <v>147</v>
      </c>
      <c r="I1254" s="201"/>
      <c r="J1254" s="202"/>
      <c r="K1254" s="202"/>
      <c r="L1254" s="202"/>
      <c r="M1254" s="202"/>
      <c r="N1254" s="202"/>
      <c r="O1254" s="202"/>
      <c r="P1254" s="202"/>
      <c r="Q1254" s="202"/>
      <c r="R1254" s="202"/>
      <c r="S1254" s="202"/>
      <c r="T1254" s="202"/>
    </row>
    <row r="1255" spans="1:20" s="182" customFormat="1" ht="14.15" hidden="1">
      <c r="A1255" s="222">
        <v>45365</v>
      </c>
      <c r="B1255" s="627" t="s">
        <v>1276</v>
      </c>
      <c r="C1255" s="208" t="s">
        <v>27</v>
      </c>
      <c r="D1255" s="592">
        <v>-698085.10638297873</v>
      </c>
      <c r="E1255" s="619">
        <v>45352</v>
      </c>
      <c r="F1255" s="291" t="s">
        <v>109</v>
      </c>
      <c r="G1255" s="208" t="s">
        <v>120</v>
      </c>
      <c r="H1255" s="208" t="s">
        <v>147</v>
      </c>
      <c r="I1255" s="201"/>
      <c r="J1255" s="202"/>
      <c r="K1255" s="202"/>
      <c r="L1255" s="202"/>
      <c r="M1255" s="202"/>
      <c r="N1255" s="202"/>
      <c r="O1255" s="202"/>
      <c r="P1255" s="202"/>
      <c r="Q1255" s="202"/>
      <c r="R1255" s="202"/>
      <c r="S1255" s="202"/>
      <c r="T1255" s="202"/>
    </row>
    <row r="1256" spans="1:20" s="182" customFormat="1" ht="14.15" hidden="1">
      <c r="A1256" s="222">
        <v>45365</v>
      </c>
      <c r="B1256" s="627" t="s">
        <v>1277</v>
      </c>
      <c r="C1256" s="208" t="s">
        <v>27</v>
      </c>
      <c r="D1256" s="592">
        <v>-2024000</v>
      </c>
      <c r="E1256" s="619">
        <v>45352</v>
      </c>
      <c r="F1256" s="291" t="s">
        <v>130</v>
      </c>
      <c r="G1256" s="201" t="s">
        <v>130</v>
      </c>
      <c r="H1256" s="201" t="s">
        <v>1175</v>
      </c>
      <c r="I1256" s="201"/>
      <c r="J1256" s="202"/>
      <c r="K1256" s="202"/>
      <c r="L1256" s="202"/>
      <c r="M1256" s="202"/>
      <c r="N1256" s="202"/>
      <c r="O1256" s="202"/>
      <c r="P1256" s="202"/>
      <c r="Q1256" s="202"/>
      <c r="R1256" s="202"/>
      <c r="S1256" s="202"/>
      <c r="T1256" s="202"/>
    </row>
    <row r="1257" spans="1:20" s="182" customFormat="1" ht="14.15" hidden="1">
      <c r="A1257" s="222">
        <v>45365</v>
      </c>
      <c r="B1257" s="627" t="s">
        <v>1278</v>
      </c>
      <c r="C1257" s="208" t="s">
        <v>27</v>
      </c>
      <c r="D1257" s="592">
        <v>-679000</v>
      </c>
      <c r="E1257" s="619">
        <v>45352</v>
      </c>
      <c r="F1257" s="291" t="s">
        <v>130</v>
      </c>
      <c r="G1257" s="201" t="s">
        <v>130</v>
      </c>
      <c r="H1257" s="201" t="s">
        <v>1175</v>
      </c>
      <c r="I1257" s="201"/>
      <c r="J1257" s="202"/>
      <c r="K1257" s="202"/>
      <c r="L1257" s="202"/>
      <c r="M1257" s="202"/>
      <c r="N1257" s="202"/>
      <c r="O1257" s="202"/>
      <c r="P1257" s="202"/>
      <c r="Q1257" s="202"/>
      <c r="R1257" s="202"/>
      <c r="S1257" s="202"/>
      <c r="T1257" s="202"/>
    </row>
    <row r="1258" spans="1:20" s="182" customFormat="1" ht="14.15" hidden="1">
      <c r="A1258" s="222">
        <v>45365</v>
      </c>
      <c r="B1258" s="627" t="s">
        <v>1279</v>
      </c>
      <c r="C1258" s="208" t="s">
        <v>27</v>
      </c>
      <c r="D1258" s="592">
        <v>-650000</v>
      </c>
      <c r="E1258" s="619">
        <v>45352</v>
      </c>
      <c r="F1258" s="291" t="s">
        <v>130</v>
      </c>
      <c r="G1258" s="201" t="s">
        <v>130</v>
      </c>
      <c r="H1258" s="201" t="s">
        <v>1175</v>
      </c>
      <c r="I1258" s="201"/>
      <c r="J1258" s="202"/>
      <c r="K1258" s="202"/>
      <c r="L1258" s="202"/>
      <c r="M1258" s="202"/>
      <c r="N1258" s="202"/>
      <c r="O1258" s="202"/>
      <c r="P1258" s="202"/>
      <c r="Q1258" s="202"/>
      <c r="R1258" s="202"/>
      <c r="S1258" s="202"/>
      <c r="T1258" s="202"/>
    </row>
    <row r="1259" spans="1:20" s="182" customFormat="1" ht="14.15" hidden="1">
      <c r="A1259" s="222">
        <v>45365</v>
      </c>
      <c r="B1259" s="627" t="s">
        <v>1280</v>
      </c>
      <c r="C1259" s="208" t="s">
        <v>27</v>
      </c>
      <c r="D1259" s="592">
        <v>-679000</v>
      </c>
      <c r="E1259" s="619">
        <v>45352</v>
      </c>
      <c r="F1259" s="291" t="s">
        <v>109</v>
      </c>
      <c r="G1259" s="208" t="s">
        <v>120</v>
      </c>
      <c r="H1259" s="208" t="s">
        <v>147</v>
      </c>
      <c r="I1259" s="201"/>
      <c r="J1259" s="202"/>
      <c r="K1259" s="202"/>
      <c r="L1259" s="202"/>
      <c r="M1259" s="202"/>
      <c r="N1259" s="202"/>
      <c r="O1259" s="202"/>
      <c r="P1259" s="202"/>
      <c r="Q1259" s="202"/>
      <c r="R1259" s="202"/>
      <c r="S1259" s="202"/>
      <c r="T1259" s="202"/>
    </row>
    <row r="1260" spans="1:20" s="182" customFormat="1" ht="14.15" hidden="1">
      <c r="A1260" s="222">
        <v>45365</v>
      </c>
      <c r="B1260" s="627" t="s">
        <v>1281</v>
      </c>
      <c r="C1260" s="208" t="s">
        <v>27</v>
      </c>
      <c r="D1260" s="592">
        <v>-633733.33333333337</v>
      </c>
      <c r="E1260" s="619">
        <v>45352</v>
      </c>
      <c r="F1260" s="291" t="s">
        <v>109</v>
      </c>
      <c r="G1260" s="208" t="s">
        <v>120</v>
      </c>
      <c r="H1260" s="208" t="s">
        <v>147</v>
      </c>
      <c r="I1260" s="201"/>
      <c r="J1260" s="202"/>
      <c r="K1260" s="202"/>
      <c r="L1260" s="202"/>
      <c r="M1260" s="202"/>
      <c r="N1260" s="202"/>
      <c r="O1260" s="202"/>
      <c r="P1260" s="202"/>
      <c r="Q1260" s="202"/>
      <c r="R1260" s="202"/>
      <c r="S1260" s="202"/>
      <c r="T1260" s="202"/>
    </row>
    <row r="1261" spans="1:20" s="182" customFormat="1" ht="14.15" hidden="1">
      <c r="A1261" s="222">
        <v>45365</v>
      </c>
      <c r="B1261" s="627" t="s">
        <v>1282</v>
      </c>
      <c r="C1261" s="208" t="s">
        <v>27</v>
      </c>
      <c r="D1261" s="592">
        <v>-679000</v>
      </c>
      <c r="E1261" s="619">
        <v>45352</v>
      </c>
      <c r="F1261" s="291" t="s">
        <v>109</v>
      </c>
      <c r="G1261" s="208" t="s">
        <v>120</v>
      </c>
      <c r="H1261" s="208" t="s">
        <v>147</v>
      </c>
      <c r="I1261" s="201"/>
      <c r="J1261" s="202"/>
      <c r="K1261" s="202"/>
      <c r="L1261" s="202"/>
      <c r="M1261" s="202"/>
      <c r="N1261" s="202"/>
      <c r="O1261" s="202"/>
      <c r="P1261" s="202"/>
      <c r="Q1261" s="202"/>
      <c r="R1261" s="202"/>
      <c r="S1261" s="202"/>
      <c r="T1261" s="202"/>
    </row>
    <row r="1262" spans="1:20" s="182" customFormat="1" ht="14.15" hidden="1">
      <c r="A1262" s="222">
        <v>45365</v>
      </c>
      <c r="B1262" s="627" t="s">
        <v>1283</v>
      </c>
      <c r="C1262" s="208" t="s">
        <v>27</v>
      </c>
      <c r="D1262" s="592">
        <v>-679000</v>
      </c>
      <c r="E1262" s="619">
        <v>45352</v>
      </c>
      <c r="F1262" s="201" t="s">
        <v>110</v>
      </c>
      <c r="G1262" s="208" t="s">
        <v>453</v>
      </c>
      <c r="H1262" s="208" t="s">
        <v>147</v>
      </c>
      <c r="I1262" s="201"/>
      <c r="J1262" s="202"/>
      <c r="K1262" s="202"/>
      <c r="L1262" s="202"/>
      <c r="M1262" s="202"/>
      <c r="N1262" s="202"/>
      <c r="O1262" s="202"/>
      <c r="P1262" s="202"/>
      <c r="Q1262" s="202"/>
      <c r="R1262" s="202"/>
      <c r="S1262" s="202"/>
      <c r="T1262" s="202"/>
    </row>
    <row r="1263" spans="1:20" s="182" customFormat="1" ht="14.15" hidden="1">
      <c r="A1263" s="222">
        <v>45365</v>
      </c>
      <c r="B1263" s="627" t="s">
        <v>1284</v>
      </c>
      <c r="C1263" s="208" t="s">
        <v>27</v>
      </c>
      <c r="D1263" s="592">
        <v>-418600</v>
      </c>
      <c r="E1263" s="619">
        <v>45352</v>
      </c>
      <c r="F1263" s="208" t="s">
        <v>109</v>
      </c>
      <c r="G1263" s="208" t="s">
        <v>317</v>
      </c>
      <c r="H1263" s="208" t="s">
        <v>147</v>
      </c>
      <c r="I1263" s="201"/>
      <c r="J1263" s="202"/>
      <c r="K1263" s="202"/>
      <c r="L1263" s="202"/>
      <c r="M1263" s="202"/>
      <c r="N1263" s="202"/>
      <c r="O1263" s="202"/>
      <c r="P1263" s="202"/>
      <c r="Q1263" s="202"/>
      <c r="R1263" s="202"/>
      <c r="S1263" s="202"/>
      <c r="T1263" s="202"/>
    </row>
    <row r="1264" spans="1:20" s="182" customFormat="1" ht="14.15" hidden="1">
      <c r="A1264" s="222">
        <v>45365</v>
      </c>
      <c r="B1264" s="627" t="s">
        <v>1284</v>
      </c>
      <c r="C1264" s="208" t="s">
        <v>27</v>
      </c>
      <c r="D1264" s="592">
        <v>-179400</v>
      </c>
      <c r="E1264" s="619">
        <v>45352</v>
      </c>
      <c r="F1264" s="201" t="s">
        <v>110</v>
      </c>
      <c r="G1264" s="208" t="s">
        <v>450</v>
      </c>
      <c r="H1264" s="208" t="s">
        <v>147</v>
      </c>
      <c r="I1264" s="201"/>
      <c r="J1264" s="202"/>
      <c r="K1264" s="202"/>
      <c r="L1264" s="202"/>
      <c r="M1264" s="202"/>
      <c r="N1264" s="202"/>
      <c r="O1264" s="202"/>
      <c r="P1264" s="202"/>
      <c r="Q1264" s="202"/>
      <c r="R1264" s="202"/>
      <c r="S1264" s="202"/>
      <c r="T1264" s="202"/>
    </row>
    <row r="1265" spans="1:20" s="182" customFormat="1" ht="14.15" hidden="1">
      <c r="A1265" s="222">
        <v>45365</v>
      </c>
      <c r="B1265" s="627" t="s">
        <v>1285</v>
      </c>
      <c r="C1265" s="208" t="s">
        <v>27</v>
      </c>
      <c r="D1265" s="592">
        <v>-418600</v>
      </c>
      <c r="E1265" s="619">
        <v>45352</v>
      </c>
      <c r="F1265" s="208" t="s">
        <v>109</v>
      </c>
      <c r="G1265" s="208" t="s">
        <v>317</v>
      </c>
      <c r="H1265" s="208" t="s">
        <v>147</v>
      </c>
      <c r="I1265" s="201"/>
      <c r="J1265" s="202"/>
      <c r="K1265" s="202"/>
      <c r="L1265" s="202"/>
      <c r="M1265" s="202"/>
      <c r="N1265" s="202"/>
      <c r="O1265" s="202"/>
      <c r="P1265" s="202"/>
      <c r="Q1265" s="202"/>
      <c r="R1265" s="202"/>
      <c r="S1265" s="202"/>
      <c r="T1265" s="202"/>
    </row>
    <row r="1266" spans="1:20" s="182" customFormat="1" ht="14.15" hidden="1">
      <c r="A1266" s="222">
        <v>45365</v>
      </c>
      <c r="B1266" s="627" t="s">
        <v>1285</v>
      </c>
      <c r="C1266" s="208" t="s">
        <v>27</v>
      </c>
      <c r="D1266" s="592">
        <v>-179400</v>
      </c>
      <c r="E1266" s="619">
        <v>45352</v>
      </c>
      <c r="F1266" s="201" t="s">
        <v>110</v>
      </c>
      <c r="G1266" s="208" t="s">
        <v>450</v>
      </c>
      <c r="H1266" s="208" t="s">
        <v>147</v>
      </c>
      <c r="I1266" s="201"/>
      <c r="J1266" s="202"/>
      <c r="K1266" s="202"/>
      <c r="L1266" s="202"/>
      <c r="M1266" s="202"/>
      <c r="N1266" s="202"/>
      <c r="O1266" s="202"/>
      <c r="P1266" s="202"/>
      <c r="Q1266" s="202"/>
      <c r="R1266" s="202"/>
      <c r="S1266" s="202"/>
      <c r="T1266" s="202"/>
    </row>
    <row r="1267" spans="1:20" s="182" customFormat="1" ht="14.15" hidden="1">
      <c r="A1267" s="222">
        <v>45365</v>
      </c>
      <c r="B1267" s="627" t="s">
        <v>1286</v>
      </c>
      <c r="C1267" s="208" t="s">
        <v>27</v>
      </c>
      <c r="D1267" s="592">
        <v>-418600</v>
      </c>
      <c r="E1267" s="619">
        <v>45352</v>
      </c>
      <c r="F1267" s="208" t="s">
        <v>109</v>
      </c>
      <c r="G1267" s="208" t="s">
        <v>317</v>
      </c>
      <c r="H1267" s="208" t="s">
        <v>147</v>
      </c>
      <c r="I1267" s="201"/>
      <c r="J1267" s="202"/>
      <c r="K1267" s="202"/>
      <c r="L1267" s="202"/>
      <c r="M1267" s="202"/>
      <c r="N1267" s="202"/>
      <c r="O1267" s="202"/>
      <c r="P1267" s="202"/>
      <c r="Q1267" s="202"/>
      <c r="R1267" s="202"/>
      <c r="S1267" s="202"/>
      <c r="T1267" s="202"/>
    </row>
    <row r="1268" spans="1:20" s="182" customFormat="1" ht="14.15" hidden="1">
      <c r="A1268" s="222">
        <v>45365</v>
      </c>
      <c r="B1268" s="627" t="s">
        <v>1286</v>
      </c>
      <c r="C1268" s="208" t="s">
        <v>27</v>
      </c>
      <c r="D1268" s="592">
        <v>-179400</v>
      </c>
      <c r="E1268" s="619">
        <v>45352</v>
      </c>
      <c r="F1268" s="201" t="s">
        <v>110</v>
      </c>
      <c r="G1268" s="208" t="s">
        <v>450</v>
      </c>
      <c r="H1268" s="208" t="s">
        <v>147</v>
      </c>
      <c r="I1268" s="201"/>
      <c r="J1268" s="202"/>
      <c r="K1268" s="202"/>
      <c r="L1268" s="202"/>
      <c r="M1268" s="202"/>
      <c r="N1268" s="202"/>
      <c r="O1268" s="202"/>
      <c r="P1268" s="202"/>
      <c r="Q1268" s="202"/>
      <c r="R1268" s="202"/>
      <c r="S1268" s="202"/>
      <c r="T1268" s="202"/>
    </row>
    <row r="1269" spans="1:20" s="182" customFormat="1" ht="14.15" hidden="1">
      <c r="A1269" s="222">
        <v>45365</v>
      </c>
      <c r="B1269" s="627" t="s">
        <v>1287</v>
      </c>
      <c r="C1269" s="208" t="s">
        <v>27</v>
      </c>
      <c r="D1269" s="592">
        <v>-325000</v>
      </c>
      <c r="E1269" s="619">
        <v>45352</v>
      </c>
      <c r="F1269" s="291" t="s">
        <v>130</v>
      </c>
      <c r="G1269" s="201" t="s">
        <v>130</v>
      </c>
      <c r="H1269" s="201" t="s">
        <v>1175</v>
      </c>
      <c r="I1269" s="201"/>
      <c r="J1269" s="202"/>
      <c r="K1269" s="202"/>
      <c r="L1269" s="202"/>
      <c r="M1269" s="202"/>
      <c r="N1269" s="202"/>
      <c r="O1269" s="202"/>
      <c r="P1269" s="202"/>
      <c r="Q1269" s="202"/>
      <c r="R1269" s="202"/>
      <c r="S1269" s="202"/>
      <c r="T1269" s="202"/>
    </row>
    <row r="1270" spans="1:20" s="182" customFormat="1" ht="14.15" hidden="1">
      <c r="A1270" s="222">
        <v>45365</v>
      </c>
      <c r="B1270" s="627" t="s">
        <v>1288</v>
      </c>
      <c r="C1270" s="208" t="s">
        <v>27</v>
      </c>
      <c r="D1270" s="592">
        <v>-750000</v>
      </c>
      <c r="E1270" s="619">
        <v>45352</v>
      </c>
      <c r="F1270" s="201" t="s">
        <v>109</v>
      </c>
      <c r="G1270" s="208" t="s">
        <v>120</v>
      </c>
      <c r="H1270" s="201"/>
      <c r="I1270" s="201"/>
      <c r="J1270" s="202"/>
      <c r="K1270" s="202"/>
      <c r="L1270" s="202"/>
      <c r="M1270" s="202"/>
      <c r="N1270" s="202"/>
      <c r="O1270" s="202"/>
      <c r="P1270" s="202"/>
      <c r="Q1270" s="202"/>
      <c r="R1270" s="202"/>
      <c r="S1270" s="202"/>
      <c r="T1270" s="202"/>
    </row>
    <row r="1271" spans="1:20" s="182" customFormat="1" ht="14.15" hidden="1">
      <c r="A1271" s="222">
        <v>45365</v>
      </c>
      <c r="B1271" s="627" t="s">
        <v>1289</v>
      </c>
      <c r="C1271" s="208" t="s">
        <v>27</v>
      </c>
      <c r="D1271" s="592">
        <v>-1449706</v>
      </c>
      <c r="E1271" s="619">
        <v>45352</v>
      </c>
      <c r="F1271" s="208" t="s">
        <v>109</v>
      </c>
      <c r="G1271" s="208" t="s">
        <v>317</v>
      </c>
      <c r="H1271" s="201" t="s">
        <v>310</v>
      </c>
      <c r="I1271" s="201"/>
      <c r="J1271" s="202"/>
      <c r="K1271" s="202"/>
      <c r="L1271" s="202"/>
      <c r="M1271" s="202"/>
      <c r="N1271" s="202"/>
      <c r="O1271" s="202"/>
      <c r="P1271" s="202"/>
      <c r="Q1271" s="202"/>
      <c r="R1271" s="202"/>
      <c r="S1271" s="202"/>
      <c r="T1271" s="202"/>
    </row>
    <row r="1272" spans="1:20" s="182" customFormat="1" ht="14.6" hidden="1">
      <c r="A1272" s="222">
        <v>45365</v>
      </c>
      <c r="B1272" s="627" t="s">
        <v>1290</v>
      </c>
      <c r="C1272" s="208" t="s">
        <v>27</v>
      </c>
      <c r="D1272" s="592">
        <v>750000000</v>
      </c>
      <c r="E1272" s="619">
        <v>45352</v>
      </c>
      <c r="F1272" s="883" t="s">
        <v>707</v>
      </c>
      <c r="G1272" s="208" t="s">
        <v>120</v>
      </c>
      <c r="H1272" s="201"/>
      <c r="I1272" s="201"/>
      <c r="J1272" s="202"/>
      <c r="K1272" s="202"/>
      <c r="L1272" s="202"/>
      <c r="M1272" s="202"/>
      <c r="N1272" s="202"/>
      <c r="O1272" s="202"/>
      <c r="P1272" s="202"/>
      <c r="Q1272" s="202"/>
      <c r="R1272" s="202"/>
      <c r="S1272" s="202"/>
      <c r="T1272" s="202"/>
    </row>
    <row r="1273" spans="1:20" s="182" customFormat="1" ht="14.15" hidden="1">
      <c r="A1273" s="222">
        <v>45363</v>
      </c>
      <c r="B1273" s="201" t="s">
        <v>1291</v>
      </c>
      <c r="C1273" s="208" t="s">
        <v>27</v>
      </c>
      <c r="D1273" s="592">
        <v>-1141919</v>
      </c>
      <c r="E1273" s="619">
        <v>45352</v>
      </c>
      <c r="F1273" s="619" t="s">
        <v>118</v>
      </c>
      <c r="G1273" s="201"/>
      <c r="H1273" s="201"/>
      <c r="I1273" s="201"/>
      <c r="J1273" s="202"/>
      <c r="K1273" s="202"/>
      <c r="L1273" s="202"/>
      <c r="M1273" s="202"/>
      <c r="N1273" s="202"/>
      <c r="O1273" s="202"/>
      <c r="P1273" s="202"/>
      <c r="Q1273" s="202"/>
      <c r="R1273" s="202"/>
      <c r="S1273" s="202"/>
      <c r="T1273" s="202"/>
    </row>
    <row r="1274" spans="1:20" s="182" customFormat="1" ht="14.15" hidden="1">
      <c r="A1274" s="222">
        <v>45366</v>
      </c>
      <c r="B1274" s="627" t="s">
        <v>1292</v>
      </c>
      <c r="C1274" s="208" t="s">
        <v>27</v>
      </c>
      <c r="D1274" s="592">
        <v>30000000</v>
      </c>
      <c r="E1274" s="619">
        <v>45352</v>
      </c>
      <c r="F1274" s="84" t="s">
        <v>111</v>
      </c>
      <c r="G1274" s="201"/>
      <c r="H1274" s="201"/>
      <c r="I1274" s="201"/>
      <c r="J1274" s="202"/>
      <c r="K1274" s="202"/>
      <c r="L1274" s="202"/>
      <c r="M1274" s="202"/>
      <c r="N1274" s="202"/>
      <c r="O1274" s="202"/>
      <c r="P1274" s="202"/>
      <c r="Q1274" s="202"/>
      <c r="R1274" s="202"/>
      <c r="S1274" s="202"/>
      <c r="T1274" s="202"/>
    </row>
    <row r="1275" spans="1:20" s="182" customFormat="1" ht="14.15" hidden="1">
      <c r="A1275" s="222">
        <v>45366</v>
      </c>
      <c r="B1275" s="627" t="s">
        <v>1293</v>
      </c>
      <c r="C1275" s="208" t="s">
        <v>27</v>
      </c>
      <c r="D1275" s="592">
        <v>139701000</v>
      </c>
      <c r="E1275" s="619">
        <v>45352</v>
      </c>
      <c r="F1275" s="201" t="s">
        <v>109</v>
      </c>
      <c r="G1275" s="201" t="s">
        <v>1261</v>
      </c>
      <c r="H1275" s="201"/>
      <c r="I1275" s="201"/>
      <c r="J1275" s="202"/>
      <c r="K1275" s="202"/>
      <c r="L1275" s="202"/>
      <c r="M1275" s="202"/>
      <c r="N1275" s="202"/>
      <c r="O1275" s="202"/>
      <c r="P1275" s="202"/>
      <c r="Q1275" s="202"/>
      <c r="R1275" s="202"/>
      <c r="S1275" s="202"/>
      <c r="T1275" s="202"/>
    </row>
    <row r="1276" spans="1:20" s="182" customFormat="1" ht="14.15" hidden="1">
      <c r="A1276" s="222">
        <v>45365</v>
      </c>
      <c r="B1276" s="627" t="s">
        <v>1294</v>
      </c>
      <c r="C1276" s="208" t="s">
        <v>27</v>
      </c>
      <c r="D1276" s="592">
        <v>3679932</v>
      </c>
      <c r="E1276" s="619">
        <v>45352</v>
      </c>
      <c r="F1276" s="201" t="s">
        <v>108</v>
      </c>
      <c r="G1276" s="201"/>
      <c r="H1276" s="201"/>
      <c r="I1276" s="201"/>
      <c r="J1276" s="202"/>
      <c r="K1276" s="202"/>
      <c r="L1276" s="202"/>
      <c r="M1276" s="202"/>
      <c r="N1276" s="202"/>
      <c r="O1276" s="202"/>
      <c r="P1276" s="202"/>
      <c r="Q1276" s="202"/>
      <c r="R1276" s="202"/>
      <c r="S1276" s="202"/>
      <c r="T1276" s="202"/>
    </row>
    <row r="1277" spans="1:20" s="182" customFormat="1" ht="14.15" hidden="1">
      <c r="A1277" s="222">
        <v>45362</v>
      </c>
      <c r="B1277" s="201" t="s">
        <v>1295</v>
      </c>
      <c r="C1277" s="208" t="s">
        <v>181</v>
      </c>
      <c r="D1277" s="592">
        <v>2990919</v>
      </c>
      <c r="E1277" s="619">
        <v>45352</v>
      </c>
      <c r="F1277" s="201" t="s">
        <v>108</v>
      </c>
      <c r="G1277" s="201"/>
      <c r="H1277" s="201"/>
      <c r="I1277" s="201"/>
      <c r="J1277" s="202"/>
      <c r="K1277" s="202"/>
      <c r="L1277" s="202"/>
      <c r="M1277" s="202"/>
      <c r="N1277" s="202"/>
      <c r="O1277" s="202"/>
      <c r="P1277" s="202"/>
      <c r="Q1277" s="202"/>
      <c r="R1277" s="202"/>
      <c r="S1277" s="202"/>
      <c r="T1277" s="202"/>
    </row>
    <row r="1278" spans="1:20" s="182" customFormat="1" ht="14.6" hidden="1">
      <c r="A1278" s="222">
        <v>45359</v>
      </c>
      <c r="B1278" s="201" t="s">
        <v>1296</v>
      </c>
      <c r="C1278" s="208" t="s">
        <v>141</v>
      </c>
      <c r="D1278" s="592">
        <v>-60000</v>
      </c>
      <c r="E1278" s="619">
        <v>45352</v>
      </c>
      <c r="F1278" s="201" t="s">
        <v>130</v>
      </c>
      <c r="G1278" s="623" t="s">
        <v>257</v>
      </c>
      <c r="H1278" s="201" t="s">
        <v>1138</v>
      </c>
      <c r="I1278" s="201"/>
      <c r="J1278" s="202"/>
      <c r="K1278" s="202"/>
      <c r="L1278" s="202"/>
      <c r="M1278" s="202"/>
      <c r="N1278" s="202"/>
      <c r="O1278" s="202"/>
      <c r="P1278" s="202"/>
      <c r="Q1278" s="202"/>
      <c r="R1278" s="202"/>
      <c r="S1278" s="202"/>
      <c r="T1278" s="202"/>
    </row>
    <row r="1279" spans="1:20" s="182" customFormat="1" ht="14.6" hidden="1">
      <c r="A1279" s="222">
        <v>45360</v>
      </c>
      <c r="B1279" s="201" t="s">
        <v>1297</v>
      </c>
      <c r="C1279" s="208" t="s">
        <v>141</v>
      </c>
      <c r="D1279" s="592">
        <v>-95520</v>
      </c>
      <c r="E1279" s="619">
        <v>45352</v>
      </c>
      <c r="F1279" s="201" t="s">
        <v>130</v>
      </c>
      <c r="G1279" s="623" t="s">
        <v>130</v>
      </c>
      <c r="H1279" s="208" t="s">
        <v>143</v>
      </c>
      <c r="I1279" s="201"/>
      <c r="J1279" s="202"/>
      <c r="K1279" s="202"/>
      <c r="L1279" s="202"/>
      <c r="M1279" s="202"/>
      <c r="N1279" s="202"/>
      <c r="O1279" s="202"/>
      <c r="P1279" s="202"/>
      <c r="Q1279" s="202"/>
      <c r="R1279" s="202"/>
      <c r="S1279" s="202"/>
      <c r="T1279" s="202"/>
    </row>
    <row r="1280" spans="1:20" s="182" customFormat="1" ht="14.6" hidden="1">
      <c r="A1280" s="222">
        <v>45360</v>
      </c>
      <c r="B1280" s="201" t="s">
        <v>1180</v>
      </c>
      <c r="C1280" s="208" t="s">
        <v>141</v>
      </c>
      <c r="D1280" s="592">
        <v>-495080</v>
      </c>
      <c r="E1280" s="619">
        <v>45352</v>
      </c>
      <c r="F1280" s="201" t="s">
        <v>130</v>
      </c>
      <c r="G1280" s="623" t="s">
        <v>257</v>
      </c>
      <c r="H1280" s="201" t="s">
        <v>1138</v>
      </c>
      <c r="I1280" s="201"/>
      <c r="J1280" s="202"/>
      <c r="K1280" s="202"/>
      <c r="L1280" s="202"/>
      <c r="M1280" s="202"/>
      <c r="N1280" s="202"/>
      <c r="O1280" s="202"/>
      <c r="P1280" s="202"/>
      <c r="Q1280" s="202"/>
      <c r="R1280" s="202"/>
      <c r="S1280" s="202"/>
      <c r="T1280" s="202"/>
    </row>
    <row r="1281" spans="1:20" s="182" customFormat="1" ht="14.6" hidden="1">
      <c r="A1281" s="222">
        <v>45362</v>
      </c>
      <c r="B1281" s="201" t="s">
        <v>1298</v>
      </c>
      <c r="C1281" s="208" t="s">
        <v>141</v>
      </c>
      <c r="D1281" s="592">
        <v>-52000</v>
      </c>
      <c r="E1281" s="619">
        <v>45352</v>
      </c>
      <c r="F1281" s="201" t="s">
        <v>130</v>
      </c>
      <c r="G1281" s="623" t="s">
        <v>257</v>
      </c>
      <c r="H1281" s="201" t="s">
        <v>1138</v>
      </c>
      <c r="I1281" s="201"/>
      <c r="J1281" s="202"/>
      <c r="K1281" s="202"/>
      <c r="L1281" s="202"/>
      <c r="M1281" s="202"/>
      <c r="N1281" s="202"/>
      <c r="O1281" s="202"/>
      <c r="P1281" s="202"/>
      <c r="Q1281" s="202"/>
      <c r="R1281" s="202"/>
      <c r="S1281" s="202"/>
      <c r="T1281" s="202"/>
    </row>
    <row r="1282" spans="1:20" s="182" customFormat="1" ht="14.6" hidden="1">
      <c r="A1282" s="222">
        <v>45364</v>
      </c>
      <c r="B1282" s="201" t="s">
        <v>1299</v>
      </c>
      <c r="C1282" s="208" t="s">
        <v>141</v>
      </c>
      <c r="D1282" s="592">
        <v>4086070.27</v>
      </c>
      <c r="E1282" s="619">
        <v>45352</v>
      </c>
      <c r="F1282" s="201" t="s">
        <v>108</v>
      </c>
      <c r="G1282" s="623"/>
      <c r="H1282" s="201"/>
      <c r="I1282" s="201"/>
      <c r="J1282" s="202"/>
      <c r="K1282" s="202"/>
      <c r="L1282" s="202"/>
      <c r="M1282" s="202"/>
      <c r="N1282" s="202"/>
      <c r="O1282" s="202"/>
      <c r="P1282" s="202"/>
      <c r="Q1282" s="202"/>
      <c r="R1282" s="202"/>
      <c r="S1282" s="202"/>
      <c r="T1282" s="202"/>
    </row>
    <row r="1283" spans="1:20" s="182" customFormat="1" ht="14.6" hidden="1">
      <c r="A1283" s="222">
        <v>45337</v>
      </c>
      <c r="B1283" s="201" t="s">
        <v>1300</v>
      </c>
      <c r="C1283" s="208" t="s">
        <v>141</v>
      </c>
      <c r="D1283" s="592">
        <v>-250000</v>
      </c>
      <c r="E1283" s="619">
        <v>45352</v>
      </c>
      <c r="F1283" s="201" t="s">
        <v>130</v>
      </c>
      <c r="G1283" s="623" t="s">
        <v>257</v>
      </c>
      <c r="H1283" s="201" t="s">
        <v>1138</v>
      </c>
      <c r="I1283" s="201"/>
      <c r="J1283" s="202"/>
      <c r="K1283" s="202"/>
      <c r="L1283" s="202"/>
      <c r="M1283" s="202"/>
      <c r="N1283" s="202"/>
      <c r="O1283" s="202"/>
      <c r="P1283" s="202"/>
      <c r="Q1283" s="202"/>
      <c r="R1283" s="202"/>
      <c r="S1283" s="202"/>
      <c r="T1283" s="202"/>
    </row>
    <row r="1284" spans="1:20" s="182" customFormat="1" ht="14.6" hidden="1">
      <c r="A1284" s="222">
        <v>45366</v>
      </c>
      <c r="B1284" s="201" t="s">
        <v>1301</v>
      </c>
      <c r="C1284" s="208" t="s">
        <v>141</v>
      </c>
      <c r="D1284" s="592">
        <v>-50000</v>
      </c>
      <c r="E1284" s="619">
        <v>45352</v>
      </c>
      <c r="F1284" s="201" t="s">
        <v>130</v>
      </c>
      <c r="G1284" s="623" t="s">
        <v>130</v>
      </c>
      <c r="H1284" s="201" t="s">
        <v>852</v>
      </c>
      <c r="I1284" s="201"/>
      <c r="J1284" s="202"/>
      <c r="K1284" s="202"/>
      <c r="L1284" s="202"/>
      <c r="M1284" s="202"/>
      <c r="N1284" s="202"/>
      <c r="O1284" s="202"/>
      <c r="P1284" s="202"/>
      <c r="Q1284" s="202"/>
      <c r="R1284" s="202"/>
      <c r="S1284" s="202"/>
      <c r="T1284" s="202"/>
    </row>
    <row r="1285" spans="1:20" s="182" customFormat="1" ht="14.6" hidden="1">
      <c r="A1285" s="222">
        <v>45366</v>
      </c>
      <c r="B1285" s="201" t="s">
        <v>1297</v>
      </c>
      <c r="C1285" s="208" t="s">
        <v>141</v>
      </c>
      <c r="D1285" s="592">
        <v>-123500</v>
      </c>
      <c r="E1285" s="619">
        <v>45352</v>
      </c>
      <c r="F1285" s="201" t="s">
        <v>130</v>
      </c>
      <c r="G1285" s="623" t="s">
        <v>130</v>
      </c>
      <c r="H1285" s="208" t="s">
        <v>143</v>
      </c>
      <c r="I1285" s="201"/>
      <c r="J1285" s="202"/>
      <c r="K1285" s="202"/>
      <c r="L1285" s="202"/>
      <c r="M1285" s="202"/>
      <c r="N1285" s="202"/>
      <c r="O1285" s="202"/>
      <c r="P1285" s="202"/>
      <c r="Q1285" s="202"/>
      <c r="R1285" s="202"/>
      <c r="S1285" s="202"/>
      <c r="T1285" s="202"/>
    </row>
    <row r="1286" spans="1:20" s="182" customFormat="1" ht="14.15" hidden="1">
      <c r="A1286" s="222">
        <v>45369</v>
      </c>
      <c r="B1286" s="201" t="s">
        <v>1302</v>
      </c>
      <c r="C1286" s="208" t="s">
        <v>27</v>
      </c>
      <c r="D1286" s="592">
        <v>-4300000</v>
      </c>
      <c r="E1286" s="619">
        <v>45352</v>
      </c>
      <c r="F1286" s="201" t="s">
        <v>109</v>
      </c>
      <c r="G1286" s="208" t="s">
        <v>120</v>
      </c>
      <c r="H1286" s="201"/>
      <c r="I1286" s="201"/>
      <c r="J1286" s="202"/>
      <c r="K1286" s="202"/>
      <c r="L1286" s="202"/>
      <c r="M1286" s="202"/>
      <c r="N1286" s="202"/>
      <c r="O1286" s="202"/>
      <c r="P1286" s="202"/>
      <c r="Q1286" s="202"/>
      <c r="R1286" s="202"/>
      <c r="S1286" s="202"/>
      <c r="T1286" s="202"/>
    </row>
    <row r="1287" spans="1:20" s="182" customFormat="1" ht="14.15" hidden="1">
      <c r="A1287" s="222">
        <v>45369</v>
      </c>
      <c r="B1287" s="201" t="s">
        <v>904</v>
      </c>
      <c r="C1287" s="208" t="s">
        <v>27</v>
      </c>
      <c r="D1287" s="592">
        <v>-1600000</v>
      </c>
      <c r="E1287" s="619">
        <v>45352</v>
      </c>
      <c r="F1287" s="201" t="s">
        <v>109</v>
      </c>
      <c r="G1287" s="208" t="s">
        <v>125</v>
      </c>
      <c r="H1287" s="201" t="s">
        <v>416</v>
      </c>
      <c r="I1287" s="201"/>
      <c r="J1287" s="202"/>
      <c r="K1287" s="202"/>
      <c r="L1287" s="202"/>
      <c r="M1287" s="202"/>
      <c r="N1287" s="202"/>
      <c r="O1287" s="202"/>
      <c r="P1287" s="202"/>
      <c r="Q1287" s="202"/>
      <c r="R1287" s="202"/>
      <c r="S1287" s="202"/>
      <c r="T1287" s="202"/>
    </row>
    <row r="1288" spans="1:20" s="182" customFormat="1" ht="14.15" hidden="1">
      <c r="A1288" s="222">
        <v>45369</v>
      </c>
      <c r="B1288" s="201" t="s">
        <v>1303</v>
      </c>
      <c r="C1288" s="208" t="s">
        <v>27</v>
      </c>
      <c r="D1288" s="800">
        <v>-3200000</v>
      </c>
      <c r="E1288" s="619">
        <v>45352</v>
      </c>
      <c r="F1288" s="201" t="s">
        <v>109</v>
      </c>
      <c r="G1288" s="201" t="s">
        <v>581</v>
      </c>
      <c r="H1288" s="201"/>
      <c r="I1288" s="201"/>
      <c r="J1288" s="202"/>
      <c r="K1288" s="202"/>
      <c r="L1288" s="202"/>
      <c r="M1288" s="202"/>
      <c r="N1288" s="202"/>
      <c r="O1288" s="202"/>
      <c r="P1288" s="202"/>
      <c r="Q1288" s="202"/>
      <c r="R1288" s="202"/>
      <c r="S1288" s="202"/>
      <c r="T1288" s="202"/>
    </row>
    <row r="1289" spans="1:20" s="182" customFormat="1" ht="14.15" hidden="1">
      <c r="A1289" s="222">
        <v>45369</v>
      </c>
      <c r="B1289" s="201" t="s">
        <v>1304</v>
      </c>
      <c r="C1289" s="208" t="s">
        <v>27</v>
      </c>
      <c r="D1289" s="592">
        <v>-1100000</v>
      </c>
      <c r="E1289" s="619">
        <v>45352</v>
      </c>
      <c r="F1289" s="201" t="s">
        <v>109</v>
      </c>
      <c r="G1289" s="208" t="s">
        <v>120</v>
      </c>
      <c r="H1289" s="201"/>
      <c r="I1289" s="201"/>
      <c r="J1289" s="202"/>
      <c r="K1289" s="202"/>
      <c r="L1289" s="202"/>
      <c r="M1289" s="202"/>
      <c r="N1289" s="202"/>
      <c r="O1289" s="202"/>
      <c r="P1289" s="202"/>
      <c r="Q1289" s="202"/>
      <c r="R1289" s="202"/>
      <c r="S1289" s="202"/>
      <c r="T1289" s="202"/>
    </row>
    <row r="1290" spans="1:20" s="182" customFormat="1" ht="14.15" hidden="1">
      <c r="A1290" s="222">
        <v>45366</v>
      </c>
      <c r="B1290" s="201" t="s">
        <v>1305</v>
      </c>
      <c r="C1290" s="208" t="s">
        <v>27</v>
      </c>
      <c r="D1290" s="592">
        <v>45000000</v>
      </c>
      <c r="E1290" s="619">
        <v>45352</v>
      </c>
      <c r="F1290" s="201" t="s">
        <v>109</v>
      </c>
      <c r="G1290" s="201" t="s">
        <v>1306</v>
      </c>
      <c r="H1290" s="201"/>
      <c r="I1290" s="201"/>
      <c r="J1290" s="202"/>
      <c r="K1290" s="202"/>
      <c r="L1290" s="202"/>
      <c r="M1290" s="202"/>
      <c r="N1290" s="202"/>
      <c r="O1290" s="202"/>
      <c r="P1290" s="202"/>
      <c r="Q1290" s="202"/>
      <c r="R1290" s="202"/>
      <c r="S1290" s="202"/>
      <c r="T1290" s="202"/>
    </row>
    <row r="1291" spans="1:20" s="182" customFormat="1" ht="14.15" hidden="1">
      <c r="A1291" s="222">
        <v>45369</v>
      </c>
      <c r="B1291" s="201" t="s">
        <v>1159</v>
      </c>
      <c r="C1291" s="208" t="s">
        <v>27</v>
      </c>
      <c r="D1291" s="592">
        <v>-2070000</v>
      </c>
      <c r="E1291" s="619">
        <v>45352</v>
      </c>
      <c r="F1291" s="201" t="s">
        <v>109</v>
      </c>
      <c r="G1291" s="208" t="s">
        <v>120</v>
      </c>
      <c r="H1291" s="208" t="s">
        <v>147</v>
      </c>
      <c r="I1291" s="201"/>
      <c r="J1291" s="202"/>
      <c r="K1291" s="202"/>
      <c r="L1291" s="202"/>
      <c r="M1291" s="202"/>
      <c r="N1291" s="202"/>
      <c r="O1291" s="202"/>
      <c r="P1291" s="202"/>
      <c r="Q1291" s="202"/>
      <c r="R1291" s="202"/>
      <c r="S1291" s="202"/>
      <c r="T1291" s="202"/>
    </row>
    <row r="1292" spans="1:20" s="182" customFormat="1" ht="14.15" hidden="1">
      <c r="A1292" s="222">
        <v>45369</v>
      </c>
      <c r="B1292" s="201" t="s">
        <v>1307</v>
      </c>
      <c r="C1292" s="208" t="s">
        <v>27</v>
      </c>
      <c r="D1292" s="592">
        <v>-27659</v>
      </c>
      <c r="E1292" s="619">
        <v>45352</v>
      </c>
      <c r="F1292" s="291" t="s">
        <v>109</v>
      </c>
      <c r="G1292" s="208" t="s">
        <v>525</v>
      </c>
      <c r="H1292" s="208" t="s">
        <v>147</v>
      </c>
      <c r="I1292" s="201"/>
      <c r="J1292" s="202"/>
      <c r="K1292" s="202"/>
      <c r="L1292" s="202"/>
      <c r="M1292" s="202"/>
      <c r="N1292" s="202"/>
      <c r="O1292" s="202"/>
      <c r="P1292" s="202"/>
      <c r="Q1292" s="202"/>
      <c r="R1292" s="202"/>
      <c r="S1292" s="202"/>
      <c r="T1292" s="202"/>
    </row>
    <row r="1293" spans="1:20" s="182" customFormat="1" ht="14.15" hidden="1">
      <c r="A1293" s="222">
        <v>45369</v>
      </c>
      <c r="B1293" s="201" t="s">
        <v>1308</v>
      </c>
      <c r="C1293" s="208" t="s">
        <v>27</v>
      </c>
      <c r="D1293" s="592">
        <v>-27659</v>
      </c>
      <c r="E1293" s="619">
        <v>45352</v>
      </c>
      <c r="F1293" s="291" t="s">
        <v>109</v>
      </c>
      <c r="G1293" s="208" t="s">
        <v>525</v>
      </c>
      <c r="H1293" s="208" t="s">
        <v>147</v>
      </c>
      <c r="I1293" s="201"/>
      <c r="J1293" s="202"/>
      <c r="K1293" s="202"/>
      <c r="L1293" s="202"/>
      <c r="M1293" s="202"/>
      <c r="N1293" s="202"/>
      <c r="O1293" s="202"/>
      <c r="P1293" s="202"/>
      <c r="Q1293" s="202"/>
      <c r="R1293" s="202"/>
      <c r="S1293" s="202"/>
      <c r="T1293" s="202"/>
    </row>
    <row r="1294" spans="1:20" s="182" customFormat="1" ht="14.15" hidden="1">
      <c r="A1294" s="222">
        <v>45369</v>
      </c>
      <c r="B1294" s="201" t="s">
        <v>1309</v>
      </c>
      <c r="C1294" s="208" t="s">
        <v>27</v>
      </c>
      <c r="D1294" s="592">
        <v>-37021</v>
      </c>
      <c r="E1294" s="619">
        <v>45352</v>
      </c>
      <c r="F1294" s="291" t="s">
        <v>109</v>
      </c>
      <c r="G1294" s="208" t="s">
        <v>525</v>
      </c>
      <c r="H1294" s="208" t="s">
        <v>147</v>
      </c>
      <c r="I1294" s="201"/>
      <c r="J1294" s="202"/>
      <c r="K1294" s="202"/>
      <c r="L1294" s="202"/>
      <c r="M1294" s="202"/>
      <c r="N1294" s="202"/>
      <c r="O1294" s="202"/>
      <c r="P1294" s="202"/>
      <c r="Q1294" s="202"/>
      <c r="R1294" s="202"/>
      <c r="S1294" s="202"/>
      <c r="T1294" s="202"/>
    </row>
    <row r="1295" spans="1:20" s="182" customFormat="1" ht="14.15" hidden="1">
      <c r="A1295" s="222">
        <v>45369</v>
      </c>
      <c r="B1295" s="201" t="s">
        <v>1037</v>
      </c>
      <c r="C1295" s="208" t="s">
        <v>27</v>
      </c>
      <c r="D1295" s="592">
        <v>-1932000</v>
      </c>
      <c r="E1295" s="619">
        <v>45352</v>
      </c>
      <c r="F1295" s="201" t="s">
        <v>130</v>
      </c>
      <c r="G1295" s="201" t="s">
        <v>130</v>
      </c>
      <c r="H1295" s="201" t="s">
        <v>163</v>
      </c>
      <c r="I1295" s="201"/>
      <c r="J1295" s="202"/>
      <c r="K1295" s="202"/>
      <c r="L1295" s="202"/>
      <c r="M1295" s="202"/>
      <c r="N1295" s="202"/>
      <c r="O1295" s="202"/>
      <c r="P1295" s="202"/>
      <c r="Q1295" s="202"/>
      <c r="R1295" s="202"/>
      <c r="S1295" s="202"/>
      <c r="T1295" s="202"/>
    </row>
    <row r="1296" spans="1:20" s="182" customFormat="1" ht="14.15" hidden="1">
      <c r="A1296" s="222">
        <v>45369</v>
      </c>
      <c r="B1296" s="201" t="s">
        <v>1310</v>
      </c>
      <c r="C1296" s="208" t="s">
        <v>27</v>
      </c>
      <c r="D1296" s="592">
        <v>-2200000</v>
      </c>
      <c r="E1296" s="619">
        <v>45352</v>
      </c>
      <c r="F1296" s="201" t="s">
        <v>109</v>
      </c>
      <c r="G1296" s="208" t="s">
        <v>120</v>
      </c>
      <c r="H1296" s="208" t="s">
        <v>147</v>
      </c>
      <c r="I1296" s="201"/>
      <c r="J1296" s="202"/>
      <c r="K1296" s="202"/>
      <c r="L1296" s="202"/>
      <c r="M1296" s="202"/>
      <c r="N1296" s="202"/>
      <c r="O1296" s="202"/>
      <c r="P1296" s="202"/>
      <c r="Q1296" s="202"/>
      <c r="R1296" s="202"/>
      <c r="S1296" s="202"/>
      <c r="T1296" s="202"/>
    </row>
    <row r="1297" spans="1:20" s="182" customFormat="1" ht="14.15" hidden="1">
      <c r="A1297" s="222">
        <v>45370</v>
      </c>
      <c r="B1297" s="201" t="s">
        <v>1311</v>
      </c>
      <c r="C1297" s="208" t="s">
        <v>27</v>
      </c>
      <c r="D1297" s="592">
        <v>-872798</v>
      </c>
      <c r="E1297" s="619">
        <v>45352</v>
      </c>
      <c r="F1297" s="201" t="s">
        <v>109</v>
      </c>
      <c r="G1297" s="201" t="s">
        <v>918</v>
      </c>
      <c r="H1297" s="201" t="s">
        <v>318</v>
      </c>
      <c r="I1297" s="201"/>
      <c r="J1297" s="202"/>
      <c r="K1297" s="202"/>
      <c r="L1297" s="202"/>
      <c r="M1297" s="202"/>
      <c r="N1297" s="202"/>
      <c r="O1297" s="202"/>
      <c r="P1297" s="202"/>
      <c r="Q1297" s="202"/>
      <c r="R1297" s="202"/>
      <c r="S1297" s="202"/>
      <c r="T1297" s="202"/>
    </row>
    <row r="1298" spans="1:20" s="182" customFormat="1" ht="14.15" hidden="1">
      <c r="A1298" s="222">
        <v>45370</v>
      </c>
      <c r="B1298" s="201" t="s">
        <v>1312</v>
      </c>
      <c r="C1298" s="208" t="s">
        <v>27</v>
      </c>
      <c r="D1298" s="592">
        <v>-457300</v>
      </c>
      <c r="E1298" s="619">
        <v>45352</v>
      </c>
      <c r="F1298" s="201" t="s">
        <v>130</v>
      </c>
      <c r="G1298" s="201" t="s">
        <v>130</v>
      </c>
      <c r="H1298" s="201" t="s">
        <v>1175</v>
      </c>
      <c r="I1298" s="201"/>
      <c r="J1298" s="202"/>
      <c r="K1298" s="202"/>
      <c r="L1298" s="202"/>
      <c r="M1298" s="202"/>
      <c r="N1298" s="202"/>
      <c r="O1298" s="202"/>
      <c r="P1298" s="202"/>
      <c r="Q1298" s="202"/>
      <c r="R1298" s="202"/>
      <c r="S1298" s="202"/>
      <c r="T1298" s="202"/>
    </row>
    <row r="1299" spans="1:20" s="182" customFormat="1" ht="14.15" hidden="1">
      <c r="A1299" s="222">
        <v>45370</v>
      </c>
      <c r="B1299" s="201" t="s">
        <v>1313</v>
      </c>
      <c r="C1299" s="208" t="s">
        <v>27</v>
      </c>
      <c r="D1299" s="592">
        <v>-3057200</v>
      </c>
      <c r="E1299" s="619">
        <v>45352</v>
      </c>
      <c r="F1299" s="201" t="s">
        <v>130</v>
      </c>
      <c r="G1299" s="201" t="s">
        <v>130</v>
      </c>
      <c r="H1299" s="201" t="s">
        <v>1175</v>
      </c>
      <c r="I1299" s="201"/>
      <c r="J1299" s="202"/>
      <c r="K1299" s="202"/>
      <c r="L1299" s="202"/>
      <c r="M1299" s="202"/>
      <c r="N1299" s="202"/>
      <c r="O1299" s="202"/>
      <c r="P1299" s="202"/>
      <c r="Q1299" s="202"/>
      <c r="R1299" s="202"/>
      <c r="S1299" s="202"/>
      <c r="T1299" s="202"/>
    </row>
    <row r="1300" spans="1:20" s="182" customFormat="1" ht="14.15" hidden="1">
      <c r="A1300" s="222">
        <v>45370</v>
      </c>
      <c r="B1300" s="201" t="s">
        <v>1314</v>
      </c>
      <c r="C1300" s="208" t="s">
        <v>27</v>
      </c>
      <c r="D1300" s="592">
        <v>-6800</v>
      </c>
      <c r="E1300" s="619">
        <v>45352</v>
      </c>
      <c r="F1300" s="201" t="s">
        <v>130</v>
      </c>
      <c r="G1300" s="201" t="s">
        <v>257</v>
      </c>
      <c r="H1300" s="201" t="s">
        <v>1175</v>
      </c>
      <c r="I1300" s="201"/>
      <c r="J1300" s="202"/>
      <c r="K1300" s="202"/>
      <c r="L1300" s="202"/>
      <c r="M1300" s="202"/>
      <c r="N1300" s="202"/>
      <c r="O1300" s="202"/>
      <c r="P1300" s="202"/>
      <c r="Q1300" s="202"/>
      <c r="R1300" s="202"/>
      <c r="S1300" s="202"/>
      <c r="T1300" s="202"/>
    </row>
    <row r="1301" spans="1:20" s="182" customFormat="1" ht="14.15" hidden="1">
      <c r="A1301" s="222">
        <v>45370</v>
      </c>
      <c r="B1301" s="201" t="s">
        <v>1315</v>
      </c>
      <c r="C1301" s="208" t="s">
        <v>27</v>
      </c>
      <c r="D1301" s="592">
        <v>-4953400</v>
      </c>
      <c r="E1301" s="619">
        <v>45352</v>
      </c>
      <c r="F1301" s="201" t="s">
        <v>130</v>
      </c>
      <c r="G1301" s="201" t="s">
        <v>130</v>
      </c>
      <c r="H1301" s="201" t="s">
        <v>1175</v>
      </c>
      <c r="I1301" s="201"/>
      <c r="J1301" s="202"/>
      <c r="K1301" s="202"/>
      <c r="L1301" s="202"/>
      <c r="M1301" s="202"/>
      <c r="N1301" s="202"/>
      <c r="O1301" s="202"/>
      <c r="P1301" s="202"/>
      <c r="Q1301" s="202"/>
      <c r="R1301" s="202"/>
      <c r="S1301" s="202"/>
      <c r="T1301" s="202"/>
    </row>
    <row r="1302" spans="1:20" s="182" customFormat="1" ht="14.15" hidden="1">
      <c r="A1302" s="222">
        <v>45370</v>
      </c>
      <c r="B1302" s="201" t="s">
        <v>1316</v>
      </c>
      <c r="C1302" s="208" t="s">
        <v>27</v>
      </c>
      <c r="D1302" s="592">
        <v>-2827566</v>
      </c>
      <c r="E1302" s="619">
        <v>45352</v>
      </c>
      <c r="F1302" s="84" t="s">
        <v>111</v>
      </c>
      <c r="G1302" s="201"/>
      <c r="H1302" s="201"/>
      <c r="I1302" s="201"/>
      <c r="J1302" s="202"/>
      <c r="K1302" s="202"/>
      <c r="L1302" s="202"/>
      <c r="M1302" s="202"/>
      <c r="N1302" s="202"/>
      <c r="O1302" s="202"/>
      <c r="P1302" s="202"/>
      <c r="Q1302" s="202"/>
      <c r="R1302" s="202"/>
      <c r="S1302" s="202"/>
      <c r="T1302" s="202"/>
    </row>
    <row r="1303" spans="1:20" s="182" customFormat="1" ht="14.15" hidden="1">
      <c r="A1303" s="222">
        <v>45370</v>
      </c>
      <c r="B1303" s="201" t="s">
        <v>1317</v>
      </c>
      <c r="C1303" s="208" t="s">
        <v>27</v>
      </c>
      <c r="D1303" s="592">
        <v>-1057791</v>
      </c>
      <c r="E1303" s="619">
        <v>45352</v>
      </c>
      <c r="F1303" s="208" t="s">
        <v>109</v>
      </c>
      <c r="G1303" s="208" t="s">
        <v>317</v>
      </c>
      <c r="H1303" s="208" t="s">
        <v>175</v>
      </c>
      <c r="I1303" s="201"/>
      <c r="J1303" s="202"/>
      <c r="K1303" s="202"/>
      <c r="L1303" s="202"/>
      <c r="M1303" s="202"/>
      <c r="N1303" s="202"/>
      <c r="O1303" s="202"/>
      <c r="P1303" s="202"/>
      <c r="Q1303" s="202"/>
      <c r="R1303" s="202"/>
      <c r="S1303" s="202"/>
      <c r="T1303" s="202"/>
    </row>
    <row r="1304" spans="1:20" s="182" customFormat="1" ht="14.15" hidden="1">
      <c r="A1304" s="222">
        <v>45370</v>
      </c>
      <c r="B1304" s="201" t="s">
        <v>1318</v>
      </c>
      <c r="C1304" s="208" t="s">
        <v>27</v>
      </c>
      <c r="D1304" s="592">
        <v>-3366100</v>
      </c>
      <c r="E1304" s="619">
        <v>45352</v>
      </c>
      <c r="F1304" s="201" t="s">
        <v>110</v>
      </c>
      <c r="G1304" s="208" t="s">
        <v>450</v>
      </c>
      <c r="H1304" s="208" t="s">
        <v>175</v>
      </c>
      <c r="I1304" s="201"/>
      <c r="J1304" s="202"/>
      <c r="K1304" s="202"/>
      <c r="L1304" s="202"/>
      <c r="M1304" s="202"/>
      <c r="N1304" s="202"/>
      <c r="O1304" s="202"/>
      <c r="P1304" s="202"/>
      <c r="Q1304" s="202"/>
      <c r="R1304" s="202"/>
      <c r="S1304" s="202"/>
      <c r="T1304" s="202"/>
    </row>
    <row r="1305" spans="1:20" s="182" customFormat="1" ht="14.15" hidden="1">
      <c r="A1305" s="222">
        <v>45370</v>
      </c>
      <c r="B1305" s="201" t="s">
        <v>1319</v>
      </c>
      <c r="C1305" s="208" t="s">
        <v>27</v>
      </c>
      <c r="D1305" s="592">
        <v>-2215800</v>
      </c>
      <c r="E1305" s="619">
        <v>45352</v>
      </c>
      <c r="F1305" s="201" t="s">
        <v>207</v>
      </c>
      <c r="G1305" s="201"/>
      <c r="H1305" s="201"/>
      <c r="I1305" s="201"/>
      <c r="J1305" s="202"/>
      <c r="K1305" s="202"/>
      <c r="L1305" s="202"/>
      <c r="M1305" s="202"/>
      <c r="N1305" s="202"/>
      <c r="O1305" s="202"/>
      <c r="P1305" s="202"/>
      <c r="Q1305" s="202"/>
      <c r="R1305" s="202"/>
      <c r="S1305" s="202"/>
      <c r="T1305" s="202"/>
    </row>
    <row r="1306" spans="1:20" s="182" customFormat="1" ht="14.15" hidden="1">
      <c r="A1306" s="222">
        <v>45370</v>
      </c>
      <c r="B1306" s="201" t="s">
        <v>1320</v>
      </c>
      <c r="C1306" s="208" t="s">
        <v>27</v>
      </c>
      <c r="D1306" s="592">
        <v>-7780000</v>
      </c>
      <c r="E1306" s="619">
        <v>45352</v>
      </c>
      <c r="F1306" s="201" t="s">
        <v>110</v>
      </c>
      <c r="G1306" s="208" t="s">
        <v>453</v>
      </c>
      <c r="H1306" s="201" t="s">
        <v>418</v>
      </c>
      <c r="I1306" s="201"/>
      <c r="J1306" s="202"/>
      <c r="K1306" s="202"/>
      <c r="L1306" s="202"/>
      <c r="M1306" s="202"/>
      <c r="N1306" s="202"/>
      <c r="O1306" s="202"/>
      <c r="P1306" s="202"/>
      <c r="Q1306" s="202"/>
      <c r="R1306" s="202"/>
      <c r="S1306" s="202"/>
      <c r="T1306" s="202"/>
    </row>
    <row r="1307" spans="1:20" s="182" customFormat="1" ht="14.15" hidden="1">
      <c r="A1307" s="222">
        <v>45370</v>
      </c>
      <c r="B1307" s="201" t="s">
        <v>1321</v>
      </c>
      <c r="C1307" s="208" t="s">
        <v>27</v>
      </c>
      <c r="D1307" s="592">
        <v>-176000</v>
      </c>
      <c r="E1307" s="619">
        <v>45352</v>
      </c>
      <c r="F1307" s="201" t="s">
        <v>130</v>
      </c>
      <c r="G1307" s="201" t="s">
        <v>130</v>
      </c>
      <c r="H1307" s="201" t="s">
        <v>323</v>
      </c>
      <c r="I1307" s="201"/>
      <c r="J1307" s="202"/>
      <c r="K1307" s="202"/>
      <c r="L1307" s="202"/>
      <c r="M1307" s="202"/>
      <c r="N1307" s="202"/>
      <c r="O1307" s="202"/>
      <c r="P1307" s="202"/>
      <c r="Q1307" s="202"/>
      <c r="R1307" s="202"/>
      <c r="S1307" s="202"/>
      <c r="T1307" s="202"/>
    </row>
    <row r="1308" spans="1:20" s="182" customFormat="1" ht="14.15" hidden="1">
      <c r="A1308" s="222">
        <v>45370</v>
      </c>
      <c r="B1308" s="201" t="s">
        <v>1322</v>
      </c>
      <c r="C1308" s="208" t="s">
        <v>27</v>
      </c>
      <c r="D1308" s="592">
        <v>-1995000</v>
      </c>
      <c r="E1308" s="619">
        <v>45352</v>
      </c>
      <c r="F1308" s="201" t="s">
        <v>110</v>
      </c>
      <c r="G1308" s="208" t="s">
        <v>453</v>
      </c>
      <c r="H1308" s="208" t="s">
        <v>212</v>
      </c>
      <c r="I1308" s="201"/>
      <c r="J1308" s="202"/>
      <c r="K1308" s="202"/>
      <c r="L1308" s="202"/>
      <c r="M1308" s="202"/>
      <c r="N1308" s="202"/>
      <c r="O1308" s="202"/>
      <c r="P1308" s="202"/>
      <c r="Q1308" s="202"/>
      <c r="R1308" s="202"/>
      <c r="S1308" s="202"/>
      <c r="T1308" s="202"/>
    </row>
    <row r="1309" spans="1:20" s="182" customFormat="1" ht="14.15" hidden="1">
      <c r="A1309" s="222">
        <v>45370</v>
      </c>
      <c r="B1309" s="201" t="s">
        <v>1323</v>
      </c>
      <c r="C1309" s="208" t="s">
        <v>27</v>
      </c>
      <c r="D1309" s="592">
        <v>-73800</v>
      </c>
      <c r="E1309" s="619">
        <v>45352</v>
      </c>
      <c r="F1309" s="201" t="s">
        <v>130</v>
      </c>
      <c r="G1309" s="201" t="s">
        <v>130</v>
      </c>
      <c r="H1309" s="201" t="s">
        <v>184</v>
      </c>
      <c r="I1309" s="201"/>
      <c r="J1309" s="202"/>
      <c r="K1309" s="202"/>
      <c r="L1309" s="202"/>
      <c r="M1309" s="202"/>
      <c r="N1309" s="202"/>
      <c r="O1309" s="202"/>
      <c r="P1309" s="202"/>
      <c r="Q1309" s="202"/>
      <c r="R1309" s="202"/>
      <c r="S1309" s="202"/>
      <c r="T1309" s="202"/>
    </row>
    <row r="1310" spans="1:20" s="182" customFormat="1" ht="14.15" hidden="1">
      <c r="A1310" s="222">
        <v>45370</v>
      </c>
      <c r="B1310" s="201" t="s">
        <v>1324</v>
      </c>
      <c r="C1310" s="208" t="s">
        <v>27</v>
      </c>
      <c r="D1310" s="592">
        <v>-850000</v>
      </c>
      <c r="E1310" s="619">
        <v>45352</v>
      </c>
      <c r="F1310" s="201" t="s">
        <v>109</v>
      </c>
      <c r="G1310" s="208" t="s">
        <v>120</v>
      </c>
      <c r="H1310" s="208" t="s">
        <v>175</v>
      </c>
      <c r="I1310" s="201"/>
      <c r="J1310" s="202"/>
      <c r="K1310" s="202"/>
      <c r="L1310" s="202"/>
      <c r="M1310" s="202"/>
      <c r="N1310" s="202"/>
      <c r="O1310" s="202"/>
      <c r="P1310" s="202"/>
      <c r="Q1310" s="202"/>
      <c r="R1310" s="202"/>
      <c r="S1310" s="202"/>
      <c r="T1310" s="202"/>
    </row>
    <row r="1311" spans="1:20" s="182" customFormat="1" ht="14.15" hidden="1">
      <c r="A1311" s="222">
        <v>45370</v>
      </c>
      <c r="B1311" s="201" t="s">
        <v>1325</v>
      </c>
      <c r="C1311" s="208" t="s">
        <v>27</v>
      </c>
      <c r="D1311" s="592">
        <v>-8039698</v>
      </c>
      <c r="E1311" s="619">
        <v>45352</v>
      </c>
      <c r="F1311" s="201" t="s">
        <v>109</v>
      </c>
      <c r="G1311" s="208" t="s">
        <v>120</v>
      </c>
      <c r="H1311" s="208" t="s">
        <v>175</v>
      </c>
      <c r="I1311" s="201"/>
      <c r="J1311" s="202"/>
      <c r="K1311" s="202"/>
      <c r="L1311" s="202"/>
      <c r="M1311" s="202"/>
      <c r="N1311" s="202"/>
      <c r="O1311" s="202"/>
      <c r="P1311" s="202"/>
      <c r="Q1311" s="202"/>
      <c r="R1311" s="202"/>
      <c r="S1311" s="202"/>
      <c r="T1311" s="202"/>
    </row>
    <row r="1312" spans="1:20" s="182" customFormat="1" ht="14.15" hidden="1">
      <c r="A1312" s="222">
        <v>45371</v>
      </c>
      <c r="B1312" s="201" t="s">
        <v>1326</v>
      </c>
      <c r="C1312" s="208" t="s">
        <v>27</v>
      </c>
      <c r="D1312" s="592">
        <v>-3890000</v>
      </c>
      <c r="E1312" s="619">
        <v>45352</v>
      </c>
      <c r="F1312" s="201" t="s">
        <v>109</v>
      </c>
      <c r="G1312" s="208" t="s">
        <v>120</v>
      </c>
      <c r="H1312" s="81" t="s">
        <v>138</v>
      </c>
      <c r="I1312" s="201"/>
      <c r="J1312" s="202"/>
      <c r="K1312" s="202"/>
      <c r="L1312" s="202"/>
      <c r="M1312" s="202"/>
      <c r="N1312" s="202"/>
      <c r="O1312" s="202"/>
      <c r="P1312" s="202"/>
      <c r="Q1312" s="202"/>
      <c r="R1312" s="202"/>
      <c r="S1312" s="202"/>
      <c r="T1312" s="202"/>
    </row>
    <row r="1313" spans="1:20" s="182" customFormat="1" ht="14.15" hidden="1">
      <c r="A1313" s="222">
        <v>45371</v>
      </c>
      <c r="B1313" s="201" t="s">
        <v>1327</v>
      </c>
      <c r="C1313" s="208" t="s">
        <v>27</v>
      </c>
      <c r="D1313" s="592">
        <v>-990000</v>
      </c>
      <c r="E1313" s="619">
        <v>45352</v>
      </c>
      <c r="F1313" s="201" t="s">
        <v>109</v>
      </c>
      <c r="G1313" s="208" t="s">
        <v>120</v>
      </c>
      <c r="H1313" s="201"/>
      <c r="I1313" s="201"/>
      <c r="J1313" s="202"/>
      <c r="K1313" s="202"/>
      <c r="L1313" s="202"/>
      <c r="M1313" s="202"/>
      <c r="N1313" s="202"/>
      <c r="O1313" s="202"/>
      <c r="P1313" s="202"/>
      <c r="Q1313" s="202"/>
      <c r="R1313" s="202"/>
      <c r="S1313" s="202"/>
      <c r="T1313" s="202"/>
    </row>
    <row r="1314" spans="1:20" s="182" customFormat="1" ht="14.15" hidden="1">
      <c r="A1314" s="222">
        <v>45371</v>
      </c>
      <c r="B1314" s="201" t="s">
        <v>1328</v>
      </c>
      <c r="C1314" s="208" t="s">
        <v>133</v>
      </c>
      <c r="D1314" s="592">
        <v>-10000</v>
      </c>
      <c r="E1314" s="619">
        <v>45352</v>
      </c>
      <c r="F1314" s="201" t="s">
        <v>109</v>
      </c>
      <c r="G1314" s="208" t="s">
        <v>120</v>
      </c>
      <c r="H1314" s="201"/>
      <c r="I1314" s="201"/>
      <c r="J1314" s="202"/>
      <c r="K1314" s="202"/>
      <c r="L1314" s="202"/>
      <c r="M1314" s="202"/>
      <c r="N1314" s="202"/>
      <c r="O1314" s="202"/>
      <c r="P1314" s="202"/>
      <c r="Q1314" s="202"/>
      <c r="R1314" s="202"/>
      <c r="S1314" s="202"/>
      <c r="T1314" s="202"/>
    </row>
    <row r="1315" spans="1:20" s="182" customFormat="1" ht="14.15" hidden="1">
      <c r="A1315" s="222">
        <v>45371</v>
      </c>
      <c r="B1315" s="201" t="s">
        <v>1329</v>
      </c>
      <c r="C1315" s="208" t="s">
        <v>27</v>
      </c>
      <c r="D1315" s="592">
        <v>-15349030</v>
      </c>
      <c r="E1315" s="619">
        <v>45352</v>
      </c>
      <c r="F1315" s="201" t="s">
        <v>109</v>
      </c>
      <c r="G1315" s="201" t="s">
        <v>1330</v>
      </c>
      <c r="H1315" s="201" t="s">
        <v>461</v>
      </c>
      <c r="I1315" s="201"/>
      <c r="J1315" s="202"/>
      <c r="K1315" s="202"/>
      <c r="L1315" s="202"/>
      <c r="M1315" s="202"/>
      <c r="N1315" s="202"/>
      <c r="O1315" s="202"/>
      <c r="P1315" s="202"/>
      <c r="Q1315" s="202"/>
      <c r="R1315" s="202"/>
      <c r="S1315" s="202"/>
      <c r="T1315" s="202"/>
    </row>
    <row r="1316" spans="1:20" s="182" customFormat="1" ht="14.15" hidden="1">
      <c r="A1316" s="222">
        <v>45371</v>
      </c>
      <c r="B1316" s="201" t="s">
        <v>1331</v>
      </c>
      <c r="C1316" s="208" t="s">
        <v>27</v>
      </c>
      <c r="D1316" s="592">
        <v>-1844698</v>
      </c>
      <c r="E1316" s="619">
        <v>45352</v>
      </c>
      <c r="F1316" s="208" t="s">
        <v>109</v>
      </c>
      <c r="G1316" s="208" t="s">
        <v>317</v>
      </c>
      <c r="H1316" s="208" t="s">
        <v>147</v>
      </c>
      <c r="I1316" s="201"/>
      <c r="J1316" s="202"/>
      <c r="K1316" s="202"/>
      <c r="L1316" s="202"/>
      <c r="M1316" s="202"/>
      <c r="N1316" s="202"/>
      <c r="O1316" s="202"/>
      <c r="P1316" s="202"/>
      <c r="Q1316" s="202"/>
      <c r="R1316" s="202"/>
      <c r="S1316" s="202"/>
      <c r="T1316" s="202"/>
    </row>
    <row r="1317" spans="1:20" s="182" customFormat="1" ht="14.15" hidden="1">
      <c r="A1317" s="222">
        <v>45371</v>
      </c>
      <c r="B1317" s="201" t="s">
        <v>1332</v>
      </c>
      <c r="C1317" s="208" t="s">
        <v>27</v>
      </c>
      <c r="D1317" s="592">
        <v>-376000</v>
      </c>
      <c r="E1317" s="619">
        <v>45352</v>
      </c>
      <c r="F1317" s="201" t="s">
        <v>130</v>
      </c>
      <c r="G1317" s="201" t="s">
        <v>130</v>
      </c>
      <c r="H1317" s="201" t="s">
        <v>323</v>
      </c>
      <c r="I1317" s="201"/>
      <c r="J1317" s="202"/>
      <c r="K1317" s="202"/>
      <c r="L1317" s="202"/>
      <c r="M1317" s="202"/>
      <c r="N1317" s="202"/>
      <c r="O1317" s="202"/>
      <c r="P1317" s="202"/>
      <c r="Q1317" s="202"/>
      <c r="R1317" s="202"/>
      <c r="S1317" s="202"/>
      <c r="T1317" s="202"/>
    </row>
    <row r="1318" spans="1:20" s="182" customFormat="1" ht="14.15" hidden="1">
      <c r="A1318" s="222">
        <v>45371</v>
      </c>
      <c r="B1318" s="201" t="s">
        <v>1333</v>
      </c>
      <c r="C1318" s="208" t="s">
        <v>27</v>
      </c>
      <c r="D1318" s="592">
        <v>-40000</v>
      </c>
      <c r="E1318" s="619">
        <v>45352</v>
      </c>
      <c r="F1318" s="201" t="s">
        <v>130</v>
      </c>
      <c r="G1318" s="201" t="s">
        <v>130</v>
      </c>
      <c r="H1318" s="201" t="s">
        <v>184</v>
      </c>
      <c r="I1318" s="201"/>
      <c r="J1318" s="202"/>
      <c r="K1318" s="202"/>
      <c r="L1318" s="202"/>
      <c r="M1318" s="202"/>
      <c r="N1318" s="202"/>
      <c r="O1318" s="202"/>
      <c r="P1318" s="202"/>
      <c r="Q1318" s="202"/>
      <c r="R1318" s="202"/>
      <c r="S1318" s="202"/>
      <c r="T1318" s="202"/>
    </row>
    <row r="1319" spans="1:20" s="182" customFormat="1" ht="14.15" hidden="1">
      <c r="A1319" s="222">
        <v>45371</v>
      </c>
      <c r="B1319" s="201" t="s">
        <v>1334</v>
      </c>
      <c r="C1319" s="208" t="s">
        <v>27</v>
      </c>
      <c r="D1319" s="592">
        <v>-2318900</v>
      </c>
      <c r="E1319" s="619">
        <v>45352</v>
      </c>
      <c r="F1319" s="201" t="s">
        <v>130</v>
      </c>
      <c r="G1319" s="201" t="s">
        <v>130</v>
      </c>
      <c r="H1319" s="201" t="s">
        <v>184</v>
      </c>
      <c r="I1319" s="201"/>
      <c r="J1319" s="202"/>
      <c r="K1319" s="202"/>
      <c r="L1319" s="202"/>
      <c r="M1319" s="202"/>
      <c r="N1319" s="202"/>
      <c r="O1319" s="202"/>
      <c r="P1319" s="202"/>
      <c r="Q1319" s="202"/>
      <c r="R1319" s="202"/>
      <c r="S1319" s="202"/>
      <c r="T1319" s="202"/>
    </row>
    <row r="1320" spans="1:20" s="182" customFormat="1" ht="14.15" hidden="1">
      <c r="A1320" s="222">
        <v>45371</v>
      </c>
      <c r="B1320" s="201" t="s">
        <v>1335</v>
      </c>
      <c r="C1320" s="208" t="s">
        <v>27</v>
      </c>
      <c r="D1320" s="592">
        <v>-835050</v>
      </c>
      <c r="E1320" s="619">
        <v>45352</v>
      </c>
      <c r="F1320" s="201" t="s">
        <v>130</v>
      </c>
      <c r="G1320" s="601" t="s">
        <v>130</v>
      </c>
      <c r="H1320" s="201" t="s">
        <v>323</v>
      </c>
      <c r="I1320" s="201"/>
      <c r="J1320" s="202"/>
      <c r="K1320" s="202"/>
      <c r="L1320" s="202"/>
      <c r="M1320" s="202"/>
      <c r="N1320" s="202"/>
      <c r="O1320" s="202"/>
      <c r="P1320" s="202"/>
      <c r="Q1320" s="202"/>
      <c r="R1320" s="202"/>
      <c r="S1320" s="202"/>
      <c r="T1320" s="202"/>
    </row>
    <row r="1321" spans="1:20" s="182" customFormat="1" ht="14.15" hidden="1">
      <c r="A1321" s="222">
        <v>45372</v>
      </c>
      <c r="B1321" s="201" t="s">
        <v>1336</v>
      </c>
      <c r="C1321" s="208" t="s">
        <v>27</v>
      </c>
      <c r="D1321" s="592">
        <v>-7900</v>
      </c>
      <c r="E1321" s="619">
        <v>45352</v>
      </c>
      <c r="F1321" s="201" t="s">
        <v>130</v>
      </c>
      <c r="G1321" s="201" t="s">
        <v>130</v>
      </c>
      <c r="H1321" s="201" t="s">
        <v>184</v>
      </c>
      <c r="I1321" s="201"/>
      <c r="J1321" s="202"/>
      <c r="K1321" s="202"/>
      <c r="L1321" s="202"/>
      <c r="M1321" s="202"/>
      <c r="N1321" s="202"/>
      <c r="O1321" s="202"/>
      <c r="P1321" s="202"/>
      <c r="Q1321" s="202"/>
      <c r="R1321" s="202"/>
      <c r="S1321" s="202"/>
      <c r="T1321" s="202"/>
    </row>
    <row r="1322" spans="1:20" s="182" customFormat="1" ht="14.15" hidden="1">
      <c r="A1322" s="222">
        <v>45372</v>
      </c>
      <c r="B1322" s="201" t="s">
        <v>1337</v>
      </c>
      <c r="C1322" s="208" t="s">
        <v>27</v>
      </c>
      <c r="D1322" s="592">
        <v>-426550</v>
      </c>
      <c r="E1322" s="619">
        <v>45352</v>
      </c>
      <c r="F1322" s="201" t="s">
        <v>110</v>
      </c>
      <c r="G1322" s="208" t="s">
        <v>453</v>
      </c>
      <c r="H1322" s="201" t="s">
        <v>310</v>
      </c>
      <c r="I1322" s="201"/>
      <c r="J1322" s="202"/>
      <c r="K1322" s="202"/>
      <c r="L1322" s="202"/>
      <c r="M1322" s="202"/>
      <c r="N1322" s="202"/>
      <c r="O1322" s="202"/>
      <c r="P1322" s="202"/>
      <c r="Q1322" s="202"/>
      <c r="R1322" s="202"/>
      <c r="S1322" s="202"/>
      <c r="T1322" s="202"/>
    </row>
    <row r="1323" spans="1:20" s="182" customFormat="1" ht="14.15" hidden="1">
      <c r="A1323" s="222">
        <v>45372</v>
      </c>
      <c r="B1323" s="201" t="s">
        <v>1337</v>
      </c>
      <c r="C1323" s="208" t="s">
        <v>27</v>
      </c>
      <c r="D1323" s="592">
        <v>-1101600</v>
      </c>
      <c r="E1323" s="619">
        <v>45352</v>
      </c>
      <c r="F1323" s="201" t="s">
        <v>109</v>
      </c>
      <c r="G1323" s="208" t="s">
        <v>383</v>
      </c>
      <c r="H1323" s="201" t="s">
        <v>310</v>
      </c>
      <c r="I1323" s="201"/>
      <c r="J1323" s="202"/>
      <c r="K1323" s="202"/>
      <c r="L1323" s="202"/>
      <c r="M1323" s="202"/>
      <c r="N1323" s="202"/>
      <c r="O1323" s="202"/>
      <c r="P1323" s="202"/>
      <c r="Q1323" s="202"/>
      <c r="R1323" s="202"/>
      <c r="S1323" s="202"/>
      <c r="T1323" s="202"/>
    </row>
    <row r="1324" spans="1:20" s="182" customFormat="1" ht="14.15" hidden="1">
      <c r="A1324" s="222">
        <v>45372</v>
      </c>
      <c r="B1324" s="201" t="s">
        <v>1337</v>
      </c>
      <c r="C1324" s="208" t="s">
        <v>27</v>
      </c>
      <c r="D1324" s="592">
        <v>-3106832</v>
      </c>
      <c r="E1324" s="619">
        <v>45352</v>
      </c>
      <c r="F1324" s="201" t="s">
        <v>110</v>
      </c>
      <c r="G1324" s="208" t="s">
        <v>450</v>
      </c>
      <c r="H1324" s="201" t="s">
        <v>310</v>
      </c>
      <c r="I1324" s="201"/>
      <c r="J1324" s="202"/>
      <c r="K1324" s="202"/>
      <c r="L1324" s="202"/>
      <c r="M1324" s="202"/>
      <c r="N1324" s="202"/>
      <c r="O1324" s="202"/>
      <c r="P1324" s="202"/>
      <c r="Q1324" s="202"/>
      <c r="R1324" s="202"/>
      <c r="S1324" s="202"/>
      <c r="T1324" s="202"/>
    </row>
    <row r="1325" spans="1:20" s="182" customFormat="1" ht="14.15" hidden="1">
      <c r="A1325" s="222">
        <v>45372</v>
      </c>
      <c r="B1325" s="201" t="s">
        <v>1337</v>
      </c>
      <c r="C1325" s="208" t="s">
        <v>27</v>
      </c>
      <c r="D1325" s="592">
        <v>-67296</v>
      </c>
      <c r="E1325" s="619">
        <v>45352</v>
      </c>
      <c r="F1325" s="201" t="s">
        <v>109</v>
      </c>
      <c r="G1325" s="208" t="s">
        <v>383</v>
      </c>
      <c r="H1325" s="201" t="s">
        <v>310</v>
      </c>
      <c r="I1325" s="201"/>
      <c r="J1325" s="202"/>
      <c r="K1325" s="202"/>
      <c r="L1325" s="202"/>
      <c r="M1325" s="202"/>
      <c r="N1325" s="202"/>
      <c r="O1325" s="202"/>
      <c r="P1325" s="202"/>
      <c r="Q1325" s="202"/>
      <c r="R1325" s="202"/>
      <c r="S1325" s="202"/>
      <c r="T1325" s="202"/>
    </row>
    <row r="1326" spans="1:20" s="182" customFormat="1" ht="14.15" hidden="1">
      <c r="A1326" s="222">
        <v>45372</v>
      </c>
      <c r="B1326" s="201" t="s">
        <v>1337</v>
      </c>
      <c r="C1326" s="208" t="s">
        <v>27</v>
      </c>
      <c r="D1326" s="592">
        <v>-6377010</v>
      </c>
      <c r="E1326" s="619">
        <v>45352</v>
      </c>
      <c r="F1326" s="201" t="s">
        <v>109</v>
      </c>
      <c r="G1326" s="208" t="s">
        <v>383</v>
      </c>
      <c r="H1326" s="201" t="s">
        <v>310</v>
      </c>
      <c r="I1326" s="201"/>
      <c r="J1326" s="202"/>
      <c r="K1326" s="202"/>
      <c r="L1326" s="202"/>
      <c r="M1326" s="202"/>
      <c r="N1326" s="202"/>
      <c r="O1326" s="202"/>
      <c r="P1326" s="202"/>
      <c r="Q1326" s="202"/>
      <c r="R1326" s="202"/>
      <c r="S1326" s="202"/>
      <c r="T1326" s="202"/>
    </row>
    <row r="1327" spans="1:20" s="182" customFormat="1" ht="14.15" hidden="1">
      <c r="A1327" s="222">
        <v>45372</v>
      </c>
      <c r="B1327" s="201" t="s">
        <v>1337</v>
      </c>
      <c r="C1327" s="208" t="s">
        <v>27</v>
      </c>
      <c r="D1327" s="592">
        <v>-13408737</v>
      </c>
      <c r="E1327" s="619">
        <v>45352</v>
      </c>
      <c r="F1327" s="201" t="s">
        <v>110</v>
      </c>
      <c r="G1327" s="208" t="s">
        <v>450</v>
      </c>
      <c r="H1327" s="201" t="s">
        <v>310</v>
      </c>
      <c r="I1327" s="201"/>
      <c r="J1327" s="202"/>
      <c r="K1327" s="202"/>
      <c r="L1327" s="202"/>
      <c r="M1327" s="202"/>
      <c r="N1327" s="202"/>
      <c r="O1327" s="202"/>
      <c r="P1327" s="202"/>
      <c r="Q1327" s="202"/>
      <c r="R1327" s="202"/>
      <c r="S1327" s="202"/>
      <c r="T1327" s="202"/>
    </row>
    <row r="1328" spans="1:20" s="182" customFormat="1" ht="14.15" hidden="1">
      <c r="A1328" s="222">
        <v>45372</v>
      </c>
      <c r="B1328" s="201" t="s">
        <v>1337</v>
      </c>
      <c r="C1328" s="208" t="s">
        <v>27</v>
      </c>
      <c r="D1328" s="592">
        <v>-996204</v>
      </c>
      <c r="E1328" s="619">
        <v>45352</v>
      </c>
      <c r="F1328" s="201" t="s">
        <v>109</v>
      </c>
      <c r="G1328" s="208" t="s">
        <v>120</v>
      </c>
      <c r="H1328" s="201"/>
      <c r="I1328" s="201"/>
      <c r="J1328" s="202"/>
      <c r="K1328" s="202"/>
      <c r="L1328" s="202"/>
      <c r="M1328" s="202"/>
      <c r="N1328" s="202"/>
      <c r="O1328" s="202"/>
      <c r="P1328" s="202"/>
      <c r="Q1328" s="202"/>
      <c r="R1328" s="202"/>
      <c r="S1328" s="202"/>
      <c r="T1328" s="202"/>
    </row>
    <row r="1329" spans="1:20" s="182" customFormat="1" ht="14.15" hidden="1">
      <c r="A1329" s="222">
        <v>45372</v>
      </c>
      <c r="B1329" s="201" t="s">
        <v>1338</v>
      </c>
      <c r="C1329" s="208" t="s">
        <v>27</v>
      </c>
      <c r="D1329" s="592">
        <v>-3105814</v>
      </c>
      <c r="E1329" s="619">
        <v>45352</v>
      </c>
      <c r="F1329" s="208" t="s">
        <v>109</v>
      </c>
      <c r="G1329" s="208" t="s">
        <v>317</v>
      </c>
      <c r="H1329" s="201" t="s">
        <v>631</v>
      </c>
      <c r="I1329" s="201"/>
      <c r="J1329" s="202"/>
      <c r="K1329" s="202"/>
      <c r="L1329" s="202"/>
      <c r="M1329" s="202"/>
      <c r="N1329" s="202"/>
      <c r="O1329" s="202"/>
      <c r="P1329" s="202"/>
      <c r="Q1329" s="202"/>
      <c r="R1329" s="202"/>
      <c r="S1329" s="202"/>
      <c r="T1329" s="202"/>
    </row>
    <row r="1330" spans="1:20" s="182" customFormat="1" ht="14.15" hidden="1">
      <c r="A1330" s="222">
        <v>45372</v>
      </c>
      <c r="B1330" s="201" t="s">
        <v>1339</v>
      </c>
      <c r="C1330" s="208" t="s">
        <v>27</v>
      </c>
      <c r="D1330" s="592">
        <v>-279287</v>
      </c>
      <c r="E1330" s="619">
        <v>45352</v>
      </c>
      <c r="F1330" s="201" t="s">
        <v>130</v>
      </c>
      <c r="G1330" s="201" t="s">
        <v>130</v>
      </c>
      <c r="H1330" s="201" t="s">
        <v>184</v>
      </c>
      <c r="I1330" s="201"/>
      <c r="J1330" s="202"/>
      <c r="K1330" s="202"/>
      <c r="L1330" s="202"/>
      <c r="M1330" s="202"/>
      <c r="N1330" s="202"/>
      <c r="O1330" s="202"/>
      <c r="P1330" s="202"/>
      <c r="Q1330" s="202"/>
      <c r="R1330" s="202"/>
      <c r="S1330" s="202"/>
      <c r="T1330" s="202"/>
    </row>
    <row r="1331" spans="1:20" s="182" customFormat="1" ht="14.15" hidden="1">
      <c r="A1331" s="222">
        <v>45372</v>
      </c>
      <c r="B1331" s="201" t="s">
        <v>1340</v>
      </c>
      <c r="C1331" s="208" t="s">
        <v>133</v>
      </c>
      <c r="D1331" s="592">
        <v>-713</v>
      </c>
      <c r="E1331" s="619">
        <v>45352</v>
      </c>
      <c r="F1331" s="201" t="s">
        <v>130</v>
      </c>
      <c r="G1331" s="201" t="s">
        <v>130</v>
      </c>
      <c r="H1331" s="201" t="s">
        <v>184</v>
      </c>
      <c r="I1331" s="201"/>
      <c r="J1331" s="202"/>
      <c r="K1331" s="202"/>
      <c r="L1331" s="202"/>
      <c r="M1331" s="202"/>
      <c r="N1331" s="202"/>
      <c r="O1331" s="202"/>
      <c r="P1331" s="202"/>
      <c r="Q1331" s="202"/>
      <c r="R1331" s="202"/>
      <c r="S1331" s="202"/>
      <c r="T1331" s="202"/>
    </row>
    <row r="1332" spans="1:20" s="182" customFormat="1" ht="14.15" hidden="1">
      <c r="A1332" s="222">
        <v>45372</v>
      </c>
      <c r="B1332" s="201" t="s">
        <v>1073</v>
      </c>
      <c r="C1332" s="208" t="s">
        <v>141</v>
      </c>
      <c r="D1332" s="592">
        <v>-1240000</v>
      </c>
      <c r="E1332" s="619">
        <v>45352</v>
      </c>
      <c r="F1332" s="201" t="s">
        <v>109</v>
      </c>
      <c r="G1332" s="208" t="s">
        <v>120</v>
      </c>
      <c r="H1332" s="201"/>
      <c r="I1332" s="201"/>
      <c r="J1332" s="202"/>
      <c r="K1332" s="202"/>
      <c r="L1332" s="202"/>
      <c r="M1332" s="202"/>
      <c r="N1332" s="202"/>
      <c r="O1332" s="202"/>
      <c r="P1332" s="202"/>
      <c r="Q1332" s="202"/>
      <c r="R1332" s="202"/>
      <c r="S1332" s="202"/>
      <c r="T1332" s="202"/>
    </row>
    <row r="1333" spans="1:20" s="182" customFormat="1" ht="14.15" hidden="1">
      <c r="A1333" s="222">
        <v>45370</v>
      </c>
      <c r="B1333" s="201" t="s">
        <v>1341</v>
      </c>
      <c r="C1333" s="208" t="s">
        <v>27</v>
      </c>
      <c r="D1333" s="592">
        <v>-1116679.4099999999</v>
      </c>
      <c r="E1333" s="619">
        <v>45352</v>
      </c>
      <c r="F1333" s="201" t="s">
        <v>118</v>
      </c>
      <c r="G1333" s="201"/>
      <c r="H1333" s="201"/>
      <c r="I1333" s="201"/>
      <c r="J1333" s="202"/>
      <c r="K1333" s="202"/>
      <c r="L1333" s="202"/>
      <c r="M1333" s="202"/>
      <c r="N1333" s="202"/>
      <c r="O1333" s="202"/>
      <c r="P1333" s="202"/>
      <c r="Q1333" s="202"/>
      <c r="R1333" s="202"/>
      <c r="S1333" s="202"/>
      <c r="T1333" s="202"/>
    </row>
    <row r="1334" spans="1:20" s="182" customFormat="1" ht="14.15" hidden="1">
      <c r="A1334" s="222">
        <v>45370</v>
      </c>
      <c r="B1334" s="201" t="s">
        <v>1342</v>
      </c>
      <c r="C1334" s="208" t="s">
        <v>27</v>
      </c>
      <c r="D1334" s="592">
        <v>-2535131</v>
      </c>
      <c r="E1334" s="619">
        <v>45352</v>
      </c>
      <c r="F1334" s="84" t="s">
        <v>111</v>
      </c>
      <c r="G1334" s="201"/>
      <c r="H1334" s="201"/>
      <c r="I1334" s="201"/>
      <c r="J1334" s="202"/>
      <c r="K1334" s="202"/>
      <c r="L1334" s="202"/>
      <c r="M1334" s="202"/>
      <c r="N1334" s="202"/>
      <c r="O1334" s="202"/>
      <c r="P1334" s="202"/>
      <c r="Q1334" s="202"/>
      <c r="R1334" s="202"/>
      <c r="S1334" s="202"/>
      <c r="T1334" s="202"/>
    </row>
    <row r="1335" spans="1:20" s="182" customFormat="1" ht="14.15" hidden="1">
      <c r="A1335" s="222">
        <v>45367</v>
      </c>
      <c r="B1335" s="627" t="s">
        <v>1292</v>
      </c>
      <c r="C1335" s="208" t="s">
        <v>27</v>
      </c>
      <c r="D1335" s="592">
        <v>15000000</v>
      </c>
      <c r="E1335" s="619">
        <v>45352</v>
      </c>
      <c r="F1335" s="84" t="s">
        <v>111</v>
      </c>
      <c r="G1335" s="201"/>
      <c r="H1335" s="201"/>
      <c r="I1335" s="201"/>
      <c r="J1335" s="202"/>
      <c r="K1335" s="202"/>
      <c r="L1335" s="202"/>
      <c r="M1335" s="202"/>
      <c r="N1335" s="202"/>
      <c r="O1335" s="202"/>
      <c r="P1335" s="202"/>
      <c r="Q1335" s="202"/>
      <c r="R1335" s="202"/>
      <c r="S1335" s="202"/>
      <c r="T1335" s="202"/>
    </row>
    <row r="1336" spans="1:20" s="182" customFormat="1" ht="14.15" hidden="1">
      <c r="A1336" s="222">
        <v>45369</v>
      </c>
      <c r="B1336" s="628" t="s">
        <v>1343</v>
      </c>
      <c r="C1336" s="208" t="s">
        <v>1106</v>
      </c>
      <c r="D1336" s="592">
        <v>-1000</v>
      </c>
      <c r="E1336" s="619">
        <v>45352</v>
      </c>
      <c r="F1336" s="201" t="s">
        <v>130</v>
      </c>
      <c r="G1336" s="201" t="s">
        <v>130</v>
      </c>
      <c r="H1336" s="201" t="s">
        <v>184</v>
      </c>
      <c r="I1336" s="201"/>
      <c r="J1336" s="202"/>
      <c r="K1336" s="202"/>
      <c r="L1336" s="202"/>
      <c r="M1336" s="202"/>
      <c r="N1336" s="202"/>
      <c r="O1336" s="202"/>
      <c r="P1336" s="202"/>
      <c r="Q1336" s="202"/>
      <c r="R1336" s="202"/>
      <c r="S1336" s="202"/>
      <c r="T1336" s="202"/>
    </row>
    <row r="1337" spans="1:20" s="182" customFormat="1" ht="14.15" hidden="1">
      <c r="A1337" s="222">
        <v>45369</v>
      </c>
      <c r="B1337" s="628" t="s">
        <v>1344</v>
      </c>
      <c r="C1337" s="208" t="s">
        <v>1106</v>
      </c>
      <c r="D1337" s="592">
        <v>-43200</v>
      </c>
      <c r="E1337" s="619">
        <v>45352</v>
      </c>
      <c r="F1337" s="201" t="s">
        <v>110</v>
      </c>
      <c r="G1337" s="208" t="s">
        <v>774</v>
      </c>
      <c r="H1337" s="201"/>
      <c r="I1337" s="201"/>
      <c r="J1337" s="202"/>
      <c r="K1337" s="202"/>
      <c r="L1337" s="202"/>
      <c r="M1337" s="202"/>
      <c r="N1337" s="202"/>
      <c r="O1337" s="202"/>
      <c r="P1337" s="202"/>
      <c r="Q1337" s="202"/>
      <c r="R1337" s="202"/>
      <c r="S1337" s="202"/>
      <c r="T1337" s="202"/>
    </row>
    <row r="1338" spans="1:20" s="182" customFormat="1" ht="14.15" hidden="1">
      <c r="A1338" s="222">
        <v>45369</v>
      </c>
      <c r="B1338" s="628" t="s">
        <v>1345</v>
      </c>
      <c r="C1338" s="208" t="s">
        <v>1106</v>
      </c>
      <c r="D1338" s="592">
        <v>-14500</v>
      </c>
      <c r="E1338" s="619">
        <v>45352</v>
      </c>
      <c r="F1338" s="208" t="s">
        <v>109</v>
      </c>
      <c r="G1338" s="208" t="s">
        <v>317</v>
      </c>
      <c r="H1338" s="81" t="s">
        <v>138</v>
      </c>
      <c r="I1338" s="201"/>
      <c r="J1338" s="202"/>
      <c r="K1338" s="202"/>
      <c r="L1338" s="202"/>
      <c r="M1338" s="202"/>
      <c r="N1338" s="202"/>
      <c r="O1338" s="202"/>
      <c r="P1338" s="202"/>
      <c r="Q1338" s="202"/>
      <c r="R1338" s="202"/>
      <c r="S1338" s="202"/>
      <c r="T1338" s="202"/>
    </row>
    <row r="1339" spans="1:20" s="182" customFormat="1" ht="14.15" hidden="1">
      <c r="A1339" s="222">
        <v>45356</v>
      </c>
      <c r="B1339" s="628" t="s">
        <v>1346</v>
      </c>
      <c r="C1339" s="208" t="s">
        <v>1106</v>
      </c>
      <c r="D1339" s="592">
        <v>-16000</v>
      </c>
      <c r="E1339" s="619">
        <v>45352</v>
      </c>
      <c r="F1339" s="201" t="s">
        <v>109</v>
      </c>
      <c r="G1339" s="208" t="s">
        <v>120</v>
      </c>
      <c r="H1339" s="201"/>
      <c r="I1339" s="201" t="s">
        <v>1347</v>
      </c>
      <c r="J1339" s="202"/>
      <c r="K1339" s="202"/>
      <c r="L1339" s="202"/>
      <c r="M1339" s="202"/>
      <c r="N1339" s="202"/>
      <c r="O1339" s="202"/>
      <c r="P1339" s="202"/>
      <c r="Q1339" s="202"/>
      <c r="R1339" s="202"/>
      <c r="S1339" s="202"/>
      <c r="T1339" s="202"/>
    </row>
    <row r="1340" spans="1:20" s="182" customFormat="1" ht="14.15" hidden="1">
      <c r="A1340" s="222">
        <v>45356</v>
      </c>
      <c r="B1340" s="628" t="s">
        <v>1348</v>
      </c>
      <c r="C1340" s="208" t="s">
        <v>1106</v>
      </c>
      <c r="D1340" s="592">
        <v>-30000</v>
      </c>
      <c r="E1340" s="619">
        <v>45352</v>
      </c>
      <c r="F1340" s="201" t="s">
        <v>109</v>
      </c>
      <c r="G1340" s="208" t="s">
        <v>120</v>
      </c>
      <c r="H1340" s="201"/>
      <c r="I1340" s="201" t="s">
        <v>1347</v>
      </c>
      <c r="J1340" s="202"/>
      <c r="K1340" s="202"/>
      <c r="L1340" s="202"/>
      <c r="M1340" s="202"/>
      <c r="N1340" s="202"/>
      <c r="O1340" s="202"/>
      <c r="P1340" s="202"/>
      <c r="Q1340" s="202"/>
      <c r="R1340" s="202"/>
      <c r="S1340" s="202"/>
      <c r="T1340" s="202"/>
    </row>
    <row r="1341" spans="1:20" s="182" customFormat="1" ht="14.15" hidden="1">
      <c r="A1341" s="222">
        <v>45356</v>
      </c>
      <c r="B1341" s="628" t="s">
        <v>1349</v>
      </c>
      <c r="C1341" s="208" t="s">
        <v>1106</v>
      </c>
      <c r="D1341" s="592">
        <v>-28000</v>
      </c>
      <c r="E1341" s="619">
        <v>45352</v>
      </c>
      <c r="F1341" s="201" t="s">
        <v>109</v>
      </c>
      <c r="G1341" s="208" t="s">
        <v>120</v>
      </c>
      <c r="H1341" s="201"/>
      <c r="I1341" s="201" t="s">
        <v>1347</v>
      </c>
      <c r="J1341" s="202"/>
      <c r="K1341" s="202"/>
      <c r="L1341" s="202"/>
      <c r="M1341" s="202"/>
      <c r="N1341" s="202"/>
      <c r="O1341" s="202"/>
      <c r="P1341" s="202"/>
      <c r="Q1341" s="202"/>
      <c r="R1341" s="202"/>
      <c r="S1341" s="202"/>
      <c r="T1341" s="202"/>
    </row>
    <row r="1342" spans="1:20" s="182" customFormat="1" ht="14.15" hidden="1">
      <c r="A1342" s="222">
        <v>45356</v>
      </c>
      <c r="B1342" s="628" t="s">
        <v>1350</v>
      </c>
      <c r="C1342" s="208" t="s">
        <v>1106</v>
      </c>
      <c r="D1342" s="592">
        <v>-12000</v>
      </c>
      <c r="E1342" s="619">
        <v>45352</v>
      </c>
      <c r="F1342" s="201" t="s">
        <v>109</v>
      </c>
      <c r="G1342" s="208" t="s">
        <v>120</v>
      </c>
      <c r="H1342" s="201"/>
      <c r="I1342" s="201" t="s">
        <v>1347</v>
      </c>
      <c r="J1342" s="202"/>
      <c r="K1342" s="202"/>
      <c r="L1342" s="202"/>
      <c r="M1342" s="202"/>
      <c r="N1342" s="202"/>
      <c r="O1342" s="202"/>
      <c r="P1342" s="202"/>
      <c r="Q1342" s="202"/>
      <c r="R1342" s="202"/>
      <c r="S1342" s="202"/>
      <c r="T1342" s="202"/>
    </row>
    <row r="1343" spans="1:20" s="182" customFormat="1" ht="14.15" hidden="1">
      <c r="A1343" s="222">
        <v>45356</v>
      </c>
      <c r="B1343" s="628" t="s">
        <v>1351</v>
      </c>
      <c r="C1343" s="208" t="s">
        <v>1106</v>
      </c>
      <c r="D1343" s="592">
        <v>-7000</v>
      </c>
      <c r="E1343" s="619">
        <v>45352</v>
      </c>
      <c r="F1343" s="201" t="s">
        <v>109</v>
      </c>
      <c r="G1343" s="208" t="s">
        <v>120</v>
      </c>
      <c r="H1343" s="201"/>
      <c r="I1343" s="201" t="s">
        <v>1347</v>
      </c>
      <c r="J1343" s="202"/>
      <c r="K1343" s="202"/>
      <c r="L1343" s="202"/>
      <c r="M1343" s="202"/>
      <c r="N1343" s="202"/>
      <c r="O1343" s="202"/>
      <c r="P1343" s="202"/>
      <c r="Q1343" s="202"/>
      <c r="R1343" s="202"/>
      <c r="S1343" s="202"/>
      <c r="T1343" s="202"/>
    </row>
    <row r="1344" spans="1:20" s="182" customFormat="1" ht="14.15" hidden="1">
      <c r="A1344" s="222">
        <v>45357</v>
      </c>
      <c r="B1344" s="628" t="s">
        <v>1352</v>
      </c>
      <c r="C1344" s="208" t="s">
        <v>1106</v>
      </c>
      <c r="D1344" s="592">
        <v>-16000</v>
      </c>
      <c r="E1344" s="619">
        <v>45352</v>
      </c>
      <c r="F1344" s="201" t="s">
        <v>109</v>
      </c>
      <c r="G1344" s="208" t="s">
        <v>120</v>
      </c>
      <c r="H1344" s="201"/>
      <c r="I1344" s="201" t="s">
        <v>1347</v>
      </c>
      <c r="J1344" s="202"/>
      <c r="K1344" s="202"/>
      <c r="L1344" s="202"/>
      <c r="M1344" s="202"/>
      <c r="N1344" s="202"/>
      <c r="O1344" s="202"/>
      <c r="P1344" s="202"/>
      <c r="Q1344" s="202"/>
      <c r="R1344" s="202"/>
      <c r="S1344" s="202"/>
      <c r="T1344" s="202"/>
    </row>
    <row r="1345" spans="1:20" s="182" customFormat="1" ht="14.15" hidden="1">
      <c r="A1345" s="222">
        <v>45356</v>
      </c>
      <c r="B1345" s="201" t="s">
        <v>1353</v>
      </c>
      <c r="C1345" s="208" t="s">
        <v>1106</v>
      </c>
      <c r="D1345" s="592">
        <v>-2500</v>
      </c>
      <c r="E1345" s="619">
        <v>45352</v>
      </c>
      <c r="F1345" s="201" t="s">
        <v>109</v>
      </c>
      <c r="G1345" s="208" t="s">
        <v>120</v>
      </c>
      <c r="H1345" s="201"/>
      <c r="I1345" s="201" t="s">
        <v>1347</v>
      </c>
      <c r="J1345" s="202"/>
      <c r="K1345" s="202"/>
      <c r="L1345" s="202"/>
      <c r="M1345" s="202"/>
      <c r="N1345" s="202"/>
      <c r="O1345" s="202"/>
      <c r="P1345" s="202"/>
      <c r="Q1345" s="202"/>
      <c r="R1345" s="202"/>
      <c r="S1345" s="202"/>
      <c r="T1345" s="202"/>
    </row>
    <row r="1346" spans="1:20" s="182" customFormat="1" ht="14.15" hidden="1">
      <c r="A1346" s="222">
        <v>45357</v>
      </c>
      <c r="B1346" s="201" t="s">
        <v>1354</v>
      </c>
      <c r="C1346" s="208" t="s">
        <v>1106</v>
      </c>
      <c r="D1346" s="592">
        <v>-30000</v>
      </c>
      <c r="E1346" s="619">
        <v>45352</v>
      </c>
      <c r="F1346" s="201" t="s">
        <v>109</v>
      </c>
      <c r="G1346" s="208" t="s">
        <v>120</v>
      </c>
      <c r="H1346" s="201"/>
      <c r="I1346" s="201" t="s">
        <v>1347</v>
      </c>
      <c r="J1346" s="202"/>
      <c r="K1346" s="202"/>
      <c r="L1346" s="202"/>
      <c r="M1346" s="202"/>
      <c r="N1346" s="202"/>
      <c r="O1346" s="202"/>
      <c r="P1346" s="202"/>
      <c r="Q1346" s="202"/>
      <c r="R1346" s="202"/>
      <c r="S1346" s="202"/>
      <c r="T1346" s="202"/>
    </row>
    <row r="1347" spans="1:20" s="182" customFormat="1" ht="14.15" hidden="1">
      <c r="A1347" s="222">
        <v>45351</v>
      </c>
      <c r="B1347" s="201" t="s">
        <v>1355</v>
      </c>
      <c r="C1347" s="208" t="s">
        <v>1106</v>
      </c>
      <c r="D1347" s="592">
        <v>-80000</v>
      </c>
      <c r="E1347" s="619">
        <v>45352</v>
      </c>
      <c r="F1347" s="201" t="s">
        <v>109</v>
      </c>
      <c r="G1347" s="208" t="s">
        <v>120</v>
      </c>
      <c r="H1347" s="201"/>
      <c r="I1347" s="201" t="s">
        <v>1347</v>
      </c>
      <c r="J1347" s="202"/>
      <c r="K1347" s="202"/>
      <c r="L1347" s="202"/>
      <c r="M1347" s="202"/>
      <c r="N1347" s="202"/>
      <c r="O1347" s="202"/>
      <c r="P1347" s="202"/>
      <c r="Q1347" s="202"/>
      <c r="R1347" s="202"/>
      <c r="S1347" s="202"/>
      <c r="T1347" s="202"/>
    </row>
    <row r="1348" spans="1:20" s="182" customFormat="1" ht="14.15" hidden="1">
      <c r="A1348" s="222">
        <v>45351</v>
      </c>
      <c r="B1348" s="201" t="s">
        <v>1356</v>
      </c>
      <c r="C1348" s="208" t="s">
        <v>1106</v>
      </c>
      <c r="D1348" s="592">
        <v>-40000</v>
      </c>
      <c r="E1348" s="619">
        <v>45352</v>
      </c>
      <c r="F1348" s="201" t="s">
        <v>109</v>
      </c>
      <c r="G1348" s="208" t="s">
        <v>120</v>
      </c>
      <c r="H1348" s="201"/>
      <c r="I1348" s="201" t="s">
        <v>1347</v>
      </c>
      <c r="J1348" s="202"/>
      <c r="K1348" s="202"/>
      <c r="L1348" s="202"/>
      <c r="M1348" s="202"/>
      <c r="N1348" s="202"/>
      <c r="O1348" s="202"/>
      <c r="P1348" s="202"/>
      <c r="Q1348" s="202"/>
      <c r="R1348" s="202"/>
      <c r="S1348" s="202"/>
      <c r="T1348" s="202"/>
    </row>
    <row r="1349" spans="1:20" s="182" customFormat="1" ht="14.15" hidden="1">
      <c r="A1349" s="222">
        <v>45352</v>
      </c>
      <c r="B1349" s="201" t="s">
        <v>1357</v>
      </c>
      <c r="C1349" s="208" t="s">
        <v>1106</v>
      </c>
      <c r="D1349" s="592">
        <v>-67500</v>
      </c>
      <c r="E1349" s="619">
        <v>45352</v>
      </c>
      <c r="F1349" s="201" t="s">
        <v>109</v>
      </c>
      <c r="G1349" s="208" t="s">
        <v>120</v>
      </c>
      <c r="H1349" s="201"/>
      <c r="I1349" s="201" t="s">
        <v>1347</v>
      </c>
      <c r="J1349" s="202"/>
      <c r="K1349" s="202"/>
      <c r="L1349" s="202"/>
      <c r="M1349" s="202"/>
      <c r="N1349" s="202"/>
      <c r="O1349" s="202"/>
      <c r="P1349" s="202"/>
      <c r="Q1349" s="202"/>
      <c r="R1349" s="202"/>
      <c r="S1349" s="202"/>
      <c r="T1349" s="202"/>
    </row>
    <row r="1350" spans="1:20" s="182" customFormat="1" ht="14.15" hidden="1">
      <c r="A1350" s="222">
        <v>45352</v>
      </c>
      <c r="B1350" s="201" t="s">
        <v>1358</v>
      </c>
      <c r="C1350" s="208" t="s">
        <v>1106</v>
      </c>
      <c r="D1350" s="592">
        <v>-20000</v>
      </c>
      <c r="E1350" s="619">
        <v>45352</v>
      </c>
      <c r="F1350" s="201" t="s">
        <v>109</v>
      </c>
      <c r="G1350" s="208" t="s">
        <v>120</v>
      </c>
      <c r="H1350" s="201"/>
      <c r="I1350" s="201" t="s">
        <v>1347</v>
      </c>
      <c r="J1350" s="202"/>
      <c r="K1350" s="202"/>
      <c r="L1350" s="202"/>
      <c r="M1350" s="202"/>
      <c r="N1350" s="202"/>
      <c r="O1350" s="202"/>
      <c r="P1350" s="202"/>
      <c r="Q1350" s="202"/>
      <c r="R1350" s="202"/>
      <c r="S1350" s="202"/>
      <c r="T1350" s="202"/>
    </row>
    <row r="1351" spans="1:20" s="182" customFormat="1" ht="14.15" hidden="1">
      <c r="A1351" s="222">
        <v>45353</v>
      </c>
      <c r="B1351" s="201" t="s">
        <v>1359</v>
      </c>
      <c r="C1351" s="208" t="s">
        <v>1106</v>
      </c>
      <c r="D1351" s="592">
        <v>-15000</v>
      </c>
      <c r="E1351" s="619">
        <v>45352</v>
      </c>
      <c r="F1351" s="201" t="s">
        <v>109</v>
      </c>
      <c r="G1351" s="208" t="s">
        <v>120</v>
      </c>
      <c r="H1351" s="201"/>
      <c r="I1351" s="201" t="s">
        <v>1347</v>
      </c>
      <c r="J1351" s="202"/>
      <c r="K1351" s="202"/>
      <c r="L1351" s="202"/>
      <c r="M1351" s="202"/>
      <c r="N1351" s="202"/>
      <c r="O1351" s="202"/>
      <c r="P1351" s="202"/>
      <c r="Q1351" s="202"/>
      <c r="R1351" s="202"/>
      <c r="S1351" s="202"/>
      <c r="T1351" s="202"/>
    </row>
    <row r="1352" spans="1:20" s="182" customFormat="1" ht="14.15" hidden="1">
      <c r="A1352" s="222">
        <v>45353</v>
      </c>
      <c r="B1352" s="201" t="s">
        <v>1360</v>
      </c>
      <c r="C1352" s="208" t="s">
        <v>1106</v>
      </c>
      <c r="D1352" s="592">
        <v>-30000</v>
      </c>
      <c r="E1352" s="619">
        <v>45352</v>
      </c>
      <c r="F1352" s="201" t="s">
        <v>109</v>
      </c>
      <c r="G1352" s="208" t="s">
        <v>120</v>
      </c>
      <c r="H1352" s="201"/>
      <c r="I1352" s="201" t="s">
        <v>1347</v>
      </c>
      <c r="J1352" s="202"/>
      <c r="K1352" s="202"/>
      <c r="L1352" s="202"/>
      <c r="M1352" s="202"/>
      <c r="N1352" s="202"/>
      <c r="O1352" s="202"/>
      <c r="P1352" s="202"/>
      <c r="Q1352" s="202"/>
      <c r="R1352" s="202"/>
      <c r="S1352" s="202"/>
      <c r="T1352" s="202"/>
    </row>
    <row r="1353" spans="1:20" s="182" customFormat="1" ht="14.15" hidden="1">
      <c r="A1353" s="222">
        <v>45353</v>
      </c>
      <c r="B1353" s="201" t="s">
        <v>1361</v>
      </c>
      <c r="C1353" s="208" t="s">
        <v>1106</v>
      </c>
      <c r="D1353" s="592">
        <v>-40000</v>
      </c>
      <c r="E1353" s="619">
        <v>45352</v>
      </c>
      <c r="F1353" s="201" t="s">
        <v>109</v>
      </c>
      <c r="G1353" s="208" t="s">
        <v>120</v>
      </c>
      <c r="H1353" s="201"/>
      <c r="I1353" s="201" t="s">
        <v>1347</v>
      </c>
      <c r="J1353" s="202"/>
      <c r="K1353" s="202"/>
      <c r="L1353" s="202"/>
      <c r="M1353" s="202"/>
      <c r="N1353" s="202"/>
      <c r="O1353" s="202"/>
      <c r="P1353" s="202"/>
      <c r="Q1353" s="202"/>
      <c r="R1353" s="202"/>
      <c r="S1353" s="202"/>
      <c r="T1353" s="202"/>
    </row>
    <row r="1354" spans="1:20" s="182" customFormat="1" ht="14.15" hidden="1">
      <c r="A1354" s="222">
        <v>45353</v>
      </c>
      <c r="B1354" s="201" t="s">
        <v>1362</v>
      </c>
      <c r="C1354" s="208" t="s">
        <v>1106</v>
      </c>
      <c r="D1354" s="592">
        <v>-40000</v>
      </c>
      <c r="E1354" s="619">
        <v>45352</v>
      </c>
      <c r="F1354" s="201" t="s">
        <v>109</v>
      </c>
      <c r="G1354" s="208" t="s">
        <v>120</v>
      </c>
      <c r="H1354" s="201"/>
      <c r="I1354" s="201" t="s">
        <v>1347</v>
      </c>
      <c r="J1354" s="202"/>
      <c r="K1354" s="202"/>
      <c r="L1354" s="202"/>
      <c r="M1354" s="202"/>
      <c r="N1354" s="202"/>
      <c r="O1354" s="202"/>
      <c r="P1354" s="202"/>
      <c r="Q1354" s="202"/>
      <c r="R1354" s="202"/>
      <c r="S1354" s="202"/>
      <c r="T1354" s="202"/>
    </row>
    <row r="1355" spans="1:20" s="182" customFormat="1" ht="14.15" hidden="1">
      <c r="A1355" s="222">
        <v>45353</v>
      </c>
      <c r="B1355" s="201" t="s">
        <v>1363</v>
      </c>
      <c r="C1355" s="208" t="s">
        <v>1106</v>
      </c>
      <c r="D1355" s="592">
        <v>-30000</v>
      </c>
      <c r="E1355" s="619">
        <v>45352</v>
      </c>
      <c r="F1355" s="201" t="s">
        <v>109</v>
      </c>
      <c r="G1355" s="208" t="s">
        <v>120</v>
      </c>
      <c r="H1355" s="201"/>
      <c r="I1355" s="201" t="s">
        <v>1347</v>
      </c>
      <c r="J1355" s="202"/>
      <c r="K1355" s="202"/>
      <c r="L1355" s="202"/>
      <c r="M1355" s="202"/>
      <c r="N1355" s="202"/>
      <c r="O1355" s="202"/>
      <c r="P1355" s="202"/>
      <c r="Q1355" s="202"/>
      <c r="R1355" s="202"/>
      <c r="S1355" s="202"/>
      <c r="T1355" s="202"/>
    </row>
    <row r="1356" spans="1:20" s="182" customFormat="1" ht="14.15" hidden="1">
      <c r="A1356" s="222">
        <v>45353</v>
      </c>
      <c r="B1356" s="201" t="s">
        <v>1364</v>
      </c>
      <c r="C1356" s="208" t="s">
        <v>1106</v>
      </c>
      <c r="D1356" s="592">
        <v>-12900</v>
      </c>
      <c r="E1356" s="619">
        <v>45352</v>
      </c>
      <c r="F1356" s="201" t="s">
        <v>109</v>
      </c>
      <c r="G1356" s="208" t="s">
        <v>120</v>
      </c>
      <c r="H1356" s="201"/>
      <c r="I1356" s="201" t="s">
        <v>1347</v>
      </c>
      <c r="J1356" s="202"/>
      <c r="K1356" s="202"/>
      <c r="L1356" s="202"/>
      <c r="M1356" s="202"/>
      <c r="N1356" s="202"/>
      <c r="O1356" s="202"/>
      <c r="P1356" s="202"/>
      <c r="Q1356" s="202"/>
      <c r="R1356" s="202"/>
      <c r="S1356" s="202"/>
      <c r="T1356" s="202"/>
    </row>
    <row r="1357" spans="1:20" s="182" customFormat="1" ht="14.15" hidden="1">
      <c r="A1357" s="222">
        <v>45354</v>
      </c>
      <c r="B1357" s="201" t="s">
        <v>1365</v>
      </c>
      <c r="C1357" s="208" t="s">
        <v>1106</v>
      </c>
      <c r="D1357" s="592">
        <v>-12900</v>
      </c>
      <c r="E1357" s="619">
        <v>45352</v>
      </c>
      <c r="F1357" s="201" t="s">
        <v>109</v>
      </c>
      <c r="G1357" s="208" t="s">
        <v>120</v>
      </c>
      <c r="H1357" s="201"/>
      <c r="I1357" s="201" t="s">
        <v>1347</v>
      </c>
      <c r="J1357" s="202"/>
      <c r="K1357" s="202"/>
      <c r="L1357" s="202"/>
      <c r="M1357" s="202"/>
      <c r="N1357" s="202"/>
      <c r="O1357" s="202"/>
      <c r="P1357" s="202"/>
      <c r="Q1357" s="202"/>
      <c r="R1357" s="202"/>
      <c r="S1357" s="202"/>
      <c r="T1357" s="202"/>
    </row>
    <row r="1358" spans="1:20" s="182" customFormat="1" ht="14.15" hidden="1">
      <c r="A1358" s="222">
        <v>45354</v>
      </c>
      <c r="B1358" s="201" t="s">
        <v>1366</v>
      </c>
      <c r="C1358" s="208" t="s">
        <v>1106</v>
      </c>
      <c r="D1358" s="592">
        <v>-75000</v>
      </c>
      <c r="E1358" s="619">
        <v>45352</v>
      </c>
      <c r="F1358" s="201" t="s">
        <v>109</v>
      </c>
      <c r="G1358" s="208" t="s">
        <v>120</v>
      </c>
      <c r="H1358" s="201"/>
      <c r="I1358" s="201" t="s">
        <v>1347</v>
      </c>
      <c r="J1358" s="202"/>
      <c r="K1358" s="202"/>
      <c r="L1358" s="202"/>
      <c r="M1358" s="202"/>
      <c r="N1358" s="202"/>
      <c r="O1358" s="202"/>
      <c r="P1358" s="202"/>
      <c r="Q1358" s="202"/>
      <c r="R1358" s="202"/>
      <c r="S1358" s="202"/>
      <c r="T1358" s="202"/>
    </row>
    <row r="1359" spans="1:20" s="182" customFormat="1" ht="14.15" hidden="1">
      <c r="A1359" s="222">
        <v>45354</v>
      </c>
      <c r="B1359" s="201" t="s">
        <v>1367</v>
      </c>
      <c r="C1359" s="208" t="s">
        <v>1106</v>
      </c>
      <c r="D1359" s="592">
        <v>-92000</v>
      </c>
      <c r="E1359" s="619">
        <v>45352</v>
      </c>
      <c r="F1359" s="201" t="s">
        <v>109</v>
      </c>
      <c r="G1359" s="208" t="s">
        <v>120</v>
      </c>
      <c r="H1359" s="201"/>
      <c r="I1359" s="201" t="s">
        <v>1347</v>
      </c>
      <c r="J1359" s="202"/>
      <c r="K1359" s="202"/>
      <c r="L1359" s="202"/>
      <c r="M1359" s="202"/>
      <c r="N1359" s="202"/>
      <c r="O1359" s="202"/>
      <c r="P1359" s="202"/>
      <c r="Q1359" s="202"/>
      <c r="R1359" s="202"/>
      <c r="S1359" s="202"/>
      <c r="T1359" s="202"/>
    </row>
    <row r="1360" spans="1:20" s="182" customFormat="1" ht="14.15" hidden="1">
      <c r="A1360" s="222">
        <v>45355</v>
      </c>
      <c r="B1360" s="201" t="s">
        <v>1368</v>
      </c>
      <c r="C1360" s="208" t="s">
        <v>1106</v>
      </c>
      <c r="D1360" s="592">
        <v>-32000</v>
      </c>
      <c r="E1360" s="619">
        <v>45352</v>
      </c>
      <c r="F1360" s="201" t="s">
        <v>109</v>
      </c>
      <c r="G1360" s="208" t="s">
        <v>120</v>
      </c>
      <c r="H1360" s="201"/>
      <c r="I1360" s="201" t="s">
        <v>1347</v>
      </c>
      <c r="J1360" s="202"/>
      <c r="K1360" s="202"/>
      <c r="L1360" s="202"/>
      <c r="M1360" s="202"/>
      <c r="N1360" s="202"/>
      <c r="O1360" s="202"/>
      <c r="P1360" s="202"/>
      <c r="Q1360" s="202"/>
      <c r="R1360" s="202"/>
      <c r="S1360" s="202"/>
      <c r="T1360" s="202"/>
    </row>
    <row r="1361" spans="1:20" s="182" customFormat="1" ht="14.15" hidden="1">
      <c r="A1361" s="222">
        <v>45355</v>
      </c>
      <c r="B1361" s="201" t="s">
        <v>1369</v>
      </c>
      <c r="C1361" s="208" t="s">
        <v>1106</v>
      </c>
      <c r="D1361" s="592">
        <v>-170000</v>
      </c>
      <c r="E1361" s="619">
        <v>45352</v>
      </c>
      <c r="F1361" s="201" t="s">
        <v>109</v>
      </c>
      <c r="G1361" s="208" t="s">
        <v>120</v>
      </c>
      <c r="H1361" s="201"/>
      <c r="I1361" s="201" t="s">
        <v>1347</v>
      </c>
      <c r="J1361" s="202"/>
      <c r="K1361" s="202"/>
      <c r="L1361" s="202"/>
      <c r="M1361" s="202"/>
      <c r="N1361" s="202"/>
      <c r="O1361" s="202"/>
      <c r="P1361" s="202"/>
      <c r="Q1361" s="202"/>
      <c r="R1361" s="202"/>
      <c r="S1361" s="202"/>
      <c r="T1361" s="202"/>
    </row>
    <row r="1362" spans="1:20" s="182" customFormat="1" ht="14.15" hidden="1">
      <c r="A1362" s="222">
        <v>45355</v>
      </c>
      <c r="B1362" s="201" t="s">
        <v>1370</v>
      </c>
      <c r="C1362" s="208" t="s">
        <v>1106</v>
      </c>
      <c r="D1362" s="592">
        <v>-42000</v>
      </c>
      <c r="E1362" s="619">
        <v>45352</v>
      </c>
      <c r="F1362" s="201" t="s">
        <v>109</v>
      </c>
      <c r="G1362" s="208" t="s">
        <v>120</v>
      </c>
      <c r="H1362" s="201"/>
      <c r="I1362" s="201" t="s">
        <v>1347</v>
      </c>
      <c r="J1362" s="202"/>
      <c r="K1362" s="202"/>
      <c r="L1362" s="202"/>
      <c r="M1362" s="202"/>
      <c r="N1362" s="202"/>
      <c r="O1362" s="202"/>
      <c r="P1362" s="202"/>
      <c r="Q1362" s="202"/>
      <c r="R1362" s="202"/>
      <c r="S1362" s="202"/>
      <c r="T1362" s="202"/>
    </row>
    <row r="1363" spans="1:20" s="182" customFormat="1" ht="14.15" hidden="1">
      <c r="A1363" s="222">
        <v>45355</v>
      </c>
      <c r="B1363" s="201" t="s">
        <v>1371</v>
      </c>
      <c r="C1363" s="208" t="s">
        <v>1106</v>
      </c>
      <c r="D1363" s="592">
        <v>-50000</v>
      </c>
      <c r="E1363" s="619">
        <v>45352</v>
      </c>
      <c r="F1363" s="201" t="s">
        <v>109</v>
      </c>
      <c r="G1363" s="208" t="s">
        <v>120</v>
      </c>
      <c r="H1363" s="201"/>
      <c r="I1363" s="201" t="s">
        <v>1347</v>
      </c>
      <c r="J1363" s="202"/>
      <c r="K1363" s="202"/>
      <c r="L1363" s="202"/>
      <c r="M1363" s="202"/>
      <c r="N1363" s="202"/>
      <c r="O1363" s="202"/>
      <c r="P1363" s="202"/>
      <c r="Q1363" s="202"/>
      <c r="R1363" s="202"/>
      <c r="S1363" s="202"/>
      <c r="T1363" s="202"/>
    </row>
    <row r="1364" spans="1:20" s="182" customFormat="1" ht="14.15" hidden="1">
      <c r="A1364" s="222">
        <v>45355</v>
      </c>
      <c r="B1364" s="201" t="s">
        <v>1372</v>
      </c>
      <c r="C1364" s="208" t="s">
        <v>1106</v>
      </c>
      <c r="D1364" s="592">
        <v>-23000</v>
      </c>
      <c r="E1364" s="619">
        <v>45352</v>
      </c>
      <c r="F1364" s="201" t="s">
        <v>109</v>
      </c>
      <c r="G1364" s="208" t="s">
        <v>120</v>
      </c>
      <c r="H1364" s="201"/>
      <c r="I1364" s="201" t="s">
        <v>1347</v>
      </c>
      <c r="J1364" s="202"/>
      <c r="K1364" s="202"/>
      <c r="L1364" s="202"/>
      <c r="M1364" s="202"/>
      <c r="N1364" s="202"/>
      <c r="O1364" s="202"/>
      <c r="P1364" s="202"/>
      <c r="Q1364" s="202"/>
      <c r="R1364" s="202"/>
      <c r="S1364" s="202"/>
      <c r="T1364" s="202"/>
    </row>
    <row r="1365" spans="1:20" s="182" customFormat="1" ht="14.15" hidden="1">
      <c r="A1365" s="222">
        <v>45355</v>
      </c>
      <c r="B1365" s="201" t="s">
        <v>1373</v>
      </c>
      <c r="C1365" s="208" t="s">
        <v>1106</v>
      </c>
      <c r="D1365" s="592">
        <v>-48000</v>
      </c>
      <c r="E1365" s="619">
        <v>45352</v>
      </c>
      <c r="F1365" s="201" t="s">
        <v>109</v>
      </c>
      <c r="G1365" s="208" t="s">
        <v>120</v>
      </c>
      <c r="H1365" s="201"/>
      <c r="I1365" s="201" t="s">
        <v>1347</v>
      </c>
      <c r="J1365" s="202"/>
      <c r="K1365" s="202"/>
      <c r="L1365" s="202"/>
      <c r="M1365" s="202"/>
      <c r="N1365" s="202"/>
      <c r="O1365" s="202"/>
      <c r="P1365" s="202"/>
      <c r="Q1365" s="202"/>
      <c r="R1365" s="202"/>
      <c r="S1365" s="202"/>
      <c r="T1365" s="202"/>
    </row>
    <row r="1366" spans="1:20" s="182" customFormat="1" ht="14.15" hidden="1">
      <c r="A1366" s="222">
        <v>45356</v>
      </c>
      <c r="B1366" s="201" t="s">
        <v>1374</v>
      </c>
      <c r="C1366" s="208" t="s">
        <v>1106</v>
      </c>
      <c r="D1366" s="592">
        <v>-15000</v>
      </c>
      <c r="E1366" s="619">
        <v>45352</v>
      </c>
      <c r="F1366" s="201" t="s">
        <v>109</v>
      </c>
      <c r="G1366" s="208" t="s">
        <v>120</v>
      </c>
      <c r="H1366" s="201"/>
      <c r="I1366" s="201" t="s">
        <v>1347</v>
      </c>
      <c r="J1366" s="202"/>
      <c r="K1366" s="202"/>
      <c r="L1366" s="202"/>
      <c r="M1366" s="202"/>
      <c r="N1366" s="202"/>
      <c r="O1366" s="202"/>
      <c r="P1366" s="202"/>
      <c r="Q1366" s="202"/>
      <c r="R1366" s="202"/>
      <c r="S1366" s="202"/>
      <c r="T1366" s="202"/>
    </row>
    <row r="1367" spans="1:20" s="182" customFormat="1" ht="14.15" hidden="1">
      <c r="A1367" s="222">
        <v>45360</v>
      </c>
      <c r="B1367" s="201" t="s">
        <v>1375</v>
      </c>
      <c r="C1367" s="208" t="s">
        <v>1106</v>
      </c>
      <c r="D1367" s="592">
        <v>-50000</v>
      </c>
      <c r="E1367" s="619">
        <v>45352</v>
      </c>
      <c r="F1367" s="201" t="s">
        <v>109</v>
      </c>
      <c r="G1367" s="208" t="s">
        <v>120</v>
      </c>
      <c r="H1367" s="201"/>
      <c r="I1367" s="201" t="s">
        <v>1347</v>
      </c>
      <c r="J1367" s="202"/>
      <c r="K1367" s="202"/>
      <c r="L1367" s="202"/>
      <c r="M1367" s="202"/>
      <c r="N1367" s="202"/>
      <c r="O1367" s="202"/>
      <c r="P1367" s="202"/>
      <c r="Q1367" s="202"/>
      <c r="R1367" s="202"/>
      <c r="S1367" s="202"/>
      <c r="T1367" s="202"/>
    </row>
    <row r="1368" spans="1:20" s="182" customFormat="1" ht="14.15" hidden="1">
      <c r="A1368" s="222">
        <v>45363</v>
      </c>
      <c r="B1368" s="201" t="s">
        <v>1376</v>
      </c>
      <c r="C1368" s="208" t="s">
        <v>1106</v>
      </c>
      <c r="D1368" s="592">
        <v>-100000</v>
      </c>
      <c r="E1368" s="619">
        <v>45352</v>
      </c>
      <c r="F1368" s="201" t="s">
        <v>109</v>
      </c>
      <c r="G1368" s="208" t="s">
        <v>120</v>
      </c>
      <c r="H1368" s="201"/>
      <c r="I1368" s="201" t="s">
        <v>1347</v>
      </c>
      <c r="J1368" s="202"/>
      <c r="K1368" s="202"/>
      <c r="L1368" s="202"/>
      <c r="M1368" s="202"/>
      <c r="N1368" s="202"/>
      <c r="O1368" s="202"/>
      <c r="P1368" s="202"/>
      <c r="Q1368" s="202"/>
      <c r="R1368" s="202"/>
      <c r="S1368" s="202"/>
      <c r="T1368" s="202"/>
    </row>
    <row r="1369" spans="1:20" s="182" customFormat="1" ht="14.15" hidden="1">
      <c r="A1369" s="222">
        <v>45363</v>
      </c>
      <c r="B1369" s="201" t="s">
        <v>1377</v>
      </c>
      <c r="C1369" s="208" t="s">
        <v>1106</v>
      </c>
      <c r="D1369" s="592">
        <v>-24000</v>
      </c>
      <c r="E1369" s="619">
        <v>45352</v>
      </c>
      <c r="F1369" s="201" t="s">
        <v>109</v>
      </c>
      <c r="G1369" s="208" t="s">
        <v>120</v>
      </c>
      <c r="H1369" s="201"/>
      <c r="I1369" s="201" t="s">
        <v>1347</v>
      </c>
      <c r="J1369" s="202"/>
      <c r="K1369" s="202"/>
      <c r="L1369" s="202"/>
      <c r="M1369" s="202"/>
      <c r="N1369" s="202"/>
      <c r="O1369" s="202"/>
      <c r="P1369" s="202"/>
      <c r="Q1369" s="202"/>
      <c r="R1369" s="202"/>
      <c r="S1369" s="202"/>
      <c r="T1369" s="202"/>
    </row>
    <row r="1370" spans="1:20" s="182" customFormat="1" ht="14.15" hidden="1">
      <c r="A1370" s="222">
        <v>45363</v>
      </c>
      <c r="B1370" s="201" t="s">
        <v>1378</v>
      </c>
      <c r="C1370" s="208" t="s">
        <v>1106</v>
      </c>
      <c r="D1370" s="592">
        <v>-30000</v>
      </c>
      <c r="E1370" s="619">
        <v>45352</v>
      </c>
      <c r="F1370" s="201" t="s">
        <v>109</v>
      </c>
      <c r="G1370" s="208" t="s">
        <v>120</v>
      </c>
      <c r="H1370" s="201"/>
      <c r="I1370" s="201" t="s">
        <v>1347</v>
      </c>
      <c r="J1370" s="202"/>
      <c r="K1370" s="202"/>
      <c r="L1370" s="202"/>
      <c r="M1370" s="202"/>
      <c r="N1370" s="202"/>
      <c r="O1370" s="202"/>
      <c r="P1370" s="202"/>
      <c r="Q1370" s="202"/>
      <c r="R1370" s="202"/>
      <c r="S1370" s="202"/>
      <c r="T1370" s="202"/>
    </row>
    <row r="1371" spans="1:20" s="182" customFormat="1" ht="14.15" hidden="1">
      <c r="A1371" s="222">
        <v>45363</v>
      </c>
      <c r="B1371" s="201" t="s">
        <v>1379</v>
      </c>
      <c r="C1371" s="208" t="s">
        <v>1106</v>
      </c>
      <c r="D1371" s="592">
        <v>-32000</v>
      </c>
      <c r="E1371" s="619">
        <v>45352</v>
      </c>
      <c r="F1371" s="201" t="s">
        <v>109</v>
      </c>
      <c r="G1371" s="208" t="s">
        <v>120</v>
      </c>
      <c r="H1371" s="201"/>
      <c r="I1371" s="201" t="s">
        <v>1347</v>
      </c>
      <c r="J1371" s="202"/>
      <c r="K1371" s="202"/>
      <c r="L1371" s="202"/>
      <c r="M1371" s="202"/>
      <c r="N1371" s="202"/>
      <c r="O1371" s="202"/>
      <c r="P1371" s="202"/>
      <c r="Q1371" s="202"/>
      <c r="R1371" s="202"/>
      <c r="S1371" s="202"/>
      <c r="T1371" s="202"/>
    </row>
    <row r="1372" spans="1:20" s="182" customFormat="1" ht="14.15" hidden="1">
      <c r="A1372" s="222">
        <v>45363</v>
      </c>
      <c r="B1372" s="201" t="s">
        <v>1380</v>
      </c>
      <c r="C1372" s="208" t="s">
        <v>1106</v>
      </c>
      <c r="D1372" s="592">
        <v>-50000</v>
      </c>
      <c r="E1372" s="619">
        <v>45352</v>
      </c>
      <c r="F1372" s="201" t="s">
        <v>109</v>
      </c>
      <c r="G1372" s="208" t="s">
        <v>120</v>
      </c>
      <c r="H1372" s="201"/>
      <c r="I1372" s="201" t="s">
        <v>1347</v>
      </c>
      <c r="J1372" s="202"/>
      <c r="K1372" s="202"/>
      <c r="L1372" s="202"/>
      <c r="M1372" s="202"/>
      <c r="N1372" s="202"/>
      <c r="O1372" s="202"/>
      <c r="P1372" s="202"/>
      <c r="Q1372" s="202"/>
      <c r="R1372" s="202"/>
      <c r="S1372" s="202"/>
      <c r="T1372" s="202"/>
    </row>
    <row r="1373" spans="1:20" s="182" customFormat="1" ht="14.15" hidden="1">
      <c r="A1373" s="222">
        <v>45363</v>
      </c>
      <c r="B1373" s="201" t="s">
        <v>1381</v>
      </c>
      <c r="C1373" s="208" t="s">
        <v>1106</v>
      </c>
      <c r="D1373" s="592">
        <v>-4000</v>
      </c>
      <c r="E1373" s="619">
        <v>45352</v>
      </c>
      <c r="F1373" s="201" t="s">
        <v>109</v>
      </c>
      <c r="G1373" s="208" t="s">
        <v>120</v>
      </c>
      <c r="H1373" s="201"/>
      <c r="I1373" s="201" t="s">
        <v>1347</v>
      </c>
      <c r="J1373" s="202"/>
      <c r="K1373" s="202"/>
      <c r="L1373" s="202"/>
      <c r="M1373" s="202"/>
      <c r="N1373" s="202"/>
      <c r="O1373" s="202"/>
      <c r="P1373" s="202"/>
      <c r="Q1373" s="202"/>
      <c r="R1373" s="202"/>
      <c r="S1373" s="202"/>
      <c r="T1373" s="202"/>
    </row>
    <row r="1374" spans="1:20" s="182" customFormat="1" ht="14.15" hidden="1">
      <c r="A1374" s="222">
        <v>45364</v>
      </c>
      <c r="B1374" s="201" t="s">
        <v>1382</v>
      </c>
      <c r="C1374" s="208" t="s">
        <v>1106</v>
      </c>
      <c r="D1374" s="592">
        <v>-20000</v>
      </c>
      <c r="E1374" s="619">
        <v>45352</v>
      </c>
      <c r="F1374" s="201" t="s">
        <v>109</v>
      </c>
      <c r="G1374" s="208" t="s">
        <v>120</v>
      </c>
      <c r="H1374" s="201"/>
      <c r="I1374" s="201" t="s">
        <v>1347</v>
      </c>
      <c r="J1374" s="202"/>
      <c r="K1374" s="202"/>
      <c r="L1374" s="202"/>
      <c r="M1374" s="202"/>
      <c r="N1374" s="202"/>
      <c r="O1374" s="202"/>
      <c r="P1374" s="202"/>
      <c r="Q1374" s="202"/>
      <c r="R1374" s="202"/>
      <c r="S1374" s="202"/>
      <c r="T1374" s="202"/>
    </row>
    <row r="1375" spans="1:20" s="182" customFormat="1" ht="14.15" hidden="1">
      <c r="A1375" s="222">
        <v>45364</v>
      </c>
      <c r="B1375" s="201" t="s">
        <v>1383</v>
      </c>
      <c r="C1375" s="208" t="s">
        <v>1106</v>
      </c>
      <c r="D1375" s="592">
        <v>-40000</v>
      </c>
      <c r="E1375" s="619">
        <v>45352</v>
      </c>
      <c r="F1375" s="201" t="s">
        <v>109</v>
      </c>
      <c r="G1375" s="208" t="s">
        <v>120</v>
      </c>
      <c r="H1375" s="201"/>
      <c r="I1375" s="201" t="s">
        <v>1347</v>
      </c>
      <c r="J1375" s="202"/>
      <c r="K1375" s="202"/>
      <c r="L1375" s="202"/>
      <c r="M1375" s="202"/>
      <c r="N1375" s="202"/>
      <c r="O1375" s="202"/>
      <c r="P1375" s="202"/>
      <c r="Q1375" s="202"/>
      <c r="R1375" s="202"/>
      <c r="S1375" s="202"/>
      <c r="T1375" s="202"/>
    </row>
    <row r="1376" spans="1:20" s="182" customFormat="1" ht="14.15" hidden="1">
      <c r="A1376" s="222">
        <v>45364</v>
      </c>
      <c r="B1376" s="201" t="s">
        <v>1384</v>
      </c>
      <c r="C1376" s="208" t="s">
        <v>1106</v>
      </c>
      <c r="D1376" s="592">
        <v>-30000</v>
      </c>
      <c r="E1376" s="619">
        <v>45352</v>
      </c>
      <c r="F1376" s="201" t="s">
        <v>109</v>
      </c>
      <c r="G1376" s="208" t="s">
        <v>120</v>
      </c>
      <c r="H1376" s="201"/>
      <c r="I1376" s="201" t="s">
        <v>1347</v>
      </c>
      <c r="J1376" s="202"/>
      <c r="K1376" s="202"/>
      <c r="L1376" s="202"/>
      <c r="M1376" s="202"/>
      <c r="N1376" s="202"/>
      <c r="O1376" s="202"/>
      <c r="P1376" s="202"/>
      <c r="Q1376" s="202"/>
      <c r="R1376" s="202"/>
      <c r="S1376" s="202"/>
      <c r="T1376" s="202"/>
    </row>
    <row r="1377" spans="1:20" s="182" customFormat="1" ht="14.15" hidden="1">
      <c r="A1377" s="222">
        <v>45364</v>
      </c>
      <c r="B1377" s="201" t="s">
        <v>1385</v>
      </c>
      <c r="C1377" s="208" t="s">
        <v>1106</v>
      </c>
      <c r="D1377" s="592">
        <v>-38000</v>
      </c>
      <c r="E1377" s="619">
        <v>45352</v>
      </c>
      <c r="F1377" s="201" t="s">
        <v>109</v>
      </c>
      <c r="G1377" s="208" t="s">
        <v>120</v>
      </c>
      <c r="H1377" s="201"/>
      <c r="I1377" s="201" t="s">
        <v>1347</v>
      </c>
      <c r="J1377" s="202"/>
      <c r="K1377" s="202"/>
      <c r="L1377" s="202"/>
      <c r="M1377" s="202"/>
      <c r="N1377" s="202"/>
      <c r="O1377" s="202"/>
      <c r="P1377" s="202"/>
      <c r="Q1377" s="202"/>
      <c r="R1377" s="202"/>
      <c r="S1377" s="202"/>
      <c r="T1377" s="202"/>
    </row>
    <row r="1378" spans="1:20" s="182" customFormat="1" ht="14.15" hidden="1">
      <c r="A1378" s="222">
        <v>45364</v>
      </c>
      <c r="B1378" s="201" t="s">
        <v>701</v>
      </c>
      <c r="C1378" s="208" t="s">
        <v>1106</v>
      </c>
      <c r="D1378" s="592">
        <v>-20000</v>
      </c>
      <c r="E1378" s="619">
        <v>45352</v>
      </c>
      <c r="F1378" s="201" t="s">
        <v>109</v>
      </c>
      <c r="G1378" s="208" t="s">
        <v>120</v>
      </c>
      <c r="H1378" s="201"/>
      <c r="I1378" s="201" t="s">
        <v>1347</v>
      </c>
      <c r="J1378" s="202"/>
      <c r="K1378" s="202"/>
      <c r="L1378" s="202"/>
      <c r="M1378" s="202"/>
      <c r="N1378" s="202"/>
      <c r="O1378" s="202"/>
      <c r="P1378" s="202"/>
      <c r="Q1378" s="202"/>
      <c r="R1378" s="202"/>
      <c r="S1378" s="202"/>
      <c r="T1378" s="202"/>
    </row>
    <row r="1379" spans="1:20" s="182" customFormat="1" ht="14.15" hidden="1">
      <c r="A1379" s="222">
        <v>45364</v>
      </c>
      <c r="B1379" s="201" t="s">
        <v>1386</v>
      </c>
      <c r="C1379" s="208" t="s">
        <v>1106</v>
      </c>
      <c r="D1379" s="592">
        <v>-24000</v>
      </c>
      <c r="E1379" s="619">
        <v>45352</v>
      </c>
      <c r="F1379" s="201" t="s">
        <v>109</v>
      </c>
      <c r="G1379" s="208" t="s">
        <v>120</v>
      </c>
      <c r="H1379" s="201"/>
      <c r="I1379" s="201" t="s">
        <v>1347</v>
      </c>
      <c r="J1379" s="202"/>
      <c r="K1379" s="202"/>
      <c r="L1379" s="202"/>
      <c r="M1379" s="202"/>
      <c r="N1379" s="202"/>
      <c r="O1379" s="202"/>
      <c r="P1379" s="202"/>
      <c r="Q1379" s="202"/>
      <c r="R1379" s="202"/>
      <c r="S1379" s="202"/>
      <c r="T1379" s="202"/>
    </row>
    <row r="1380" spans="1:20" s="182" customFormat="1" ht="14.15" hidden="1">
      <c r="A1380" s="222">
        <v>45365</v>
      </c>
      <c r="B1380" s="201" t="s">
        <v>1387</v>
      </c>
      <c r="C1380" s="208" t="s">
        <v>1106</v>
      </c>
      <c r="D1380" s="592">
        <v>-10000</v>
      </c>
      <c r="E1380" s="619">
        <v>45352</v>
      </c>
      <c r="F1380" s="201" t="s">
        <v>109</v>
      </c>
      <c r="G1380" s="208" t="s">
        <v>120</v>
      </c>
      <c r="H1380" s="201"/>
      <c r="I1380" s="201" t="s">
        <v>1347</v>
      </c>
      <c r="J1380" s="202"/>
      <c r="K1380" s="202"/>
      <c r="L1380" s="202"/>
      <c r="M1380" s="202"/>
      <c r="N1380" s="202"/>
      <c r="O1380" s="202"/>
      <c r="P1380" s="202"/>
      <c r="Q1380" s="202"/>
      <c r="R1380" s="202"/>
      <c r="S1380" s="202"/>
      <c r="T1380" s="202"/>
    </row>
    <row r="1381" spans="1:20" s="182" customFormat="1" ht="14.15" hidden="1">
      <c r="A1381" s="222">
        <v>45365</v>
      </c>
      <c r="B1381" s="201" t="s">
        <v>1388</v>
      </c>
      <c r="C1381" s="208" t="s">
        <v>1106</v>
      </c>
      <c r="D1381" s="592">
        <v>-35000</v>
      </c>
      <c r="E1381" s="619">
        <v>45352</v>
      </c>
      <c r="F1381" s="201" t="s">
        <v>109</v>
      </c>
      <c r="G1381" s="208" t="s">
        <v>120</v>
      </c>
      <c r="H1381" s="201"/>
      <c r="I1381" s="201" t="s">
        <v>1347</v>
      </c>
      <c r="J1381" s="202"/>
      <c r="K1381" s="202"/>
      <c r="L1381" s="202"/>
      <c r="M1381" s="202"/>
      <c r="N1381" s="202"/>
      <c r="O1381" s="202"/>
      <c r="P1381" s="202"/>
      <c r="Q1381" s="202"/>
      <c r="R1381" s="202"/>
      <c r="S1381" s="202"/>
      <c r="T1381" s="202"/>
    </row>
    <row r="1382" spans="1:20" s="182" customFormat="1" ht="14.15" hidden="1">
      <c r="A1382" s="222">
        <v>45365</v>
      </c>
      <c r="B1382" s="201" t="s">
        <v>1377</v>
      </c>
      <c r="C1382" s="208" t="s">
        <v>1106</v>
      </c>
      <c r="D1382" s="592">
        <v>-18000</v>
      </c>
      <c r="E1382" s="619">
        <v>45352</v>
      </c>
      <c r="F1382" s="201" t="s">
        <v>109</v>
      </c>
      <c r="G1382" s="208" t="s">
        <v>120</v>
      </c>
      <c r="H1382" s="201"/>
      <c r="I1382" s="201" t="s">
        <v>1347</v>
      </c>
      <c r="J1382" s="202"/>
      <c r="K1382" s="202"/>
      <c r="L1382" s="202"/>
      <c r="M1382" s="202"/>
      <c r="N1382" s="202"/>
      <c r="O1382" s="202"/>
      <c r="P1382" s="202"/>
      <c r="Q1382" s="202"/>
      <c r="R1382" s="202"/>
      <c r="S1382" s="202"/>
      <c r="T1382" s="202"/>
    </row>
    <row r="1383" spans="1:20" s="182" customFormat="1" ht="14.15" hidden="1">
      <c r="A1383" s="222">
        <v>45365</v>
      </c>
      <c r="B1383" s="201" t="s">
        <v>1382</v>
      </c>
      <c r="C1383" s="208" t="s">
        <v>1106</v>
      </c>
      <c r="D1383" s="592">
        <v>-20000</v>
      </c>
      <c r="E1383" s="619">
        <v>45352</v>
      </c>
      <c r="F1383" s="201" t="s">
        <v>109</v>
      </c>
      <c r="G1383" s="208" t="s">
        <v>120</v>
      </c>
      <c r="H1383" s="201"/>
      <c r="I1383" s="201" t="s">
        <v>1347</v>
      </c>
      <c r="J1383" s="202"/>
      <c r="K1383" s="202"/>
      <c r="L1383" s="202"/>
      <c r="M1383" s="202"/>
      <c r="N1383" s="202"/>
      <c r="O1383" s="202"/>
      <c r="P1383" s="202"/>
      <c r="Q1383" s="202"/>
      <c r="R1383" s="202"/>
      <c r="S1383" s="202"/>
      <c r="T1383" s="202"/>
    </row>
    <row r="1384" spans="1:20" s="182" customFormat="1" ht="14.15" hidden="1">
      <c r="A1384" s="222">
        <v>45365</v>
      </c>
      <c r="B1384" s="201" t="s">
        <v>1389</v>
      </c>
      <c r="C1384" s="208" t="s">
        <v>1106</v>
      </c>
      <c r="D1384" s="592">
        <v>-32000</v>
      </c>
      <c r="E1384" s="619">
        <v>45352</v>
      </c>
      <c r="F1384" s="201" t="s">
        <v>109</v>
      </c>
      <c r="G1384" s="208" t="s">
        <v>120</v>
      </c>
      <c r="H1384" s="201"/>
      <c r="I1384" s="201" t="s">
        <v>1347</v>
      </c>
      <c r="J1384" s="202"/>
      <c r="K1384" s="202"/>
      <c r="L1384" s="202"/>
      <c r="M1384" s="202"/>
      <c r="N1384" s="202"/>
      <c r="O1384" s="202"/>
      <c r="P1384" s="202"/>
      <c r="Q1384" s="202"/>
      <c r="R1384" s="202"/>
      <c r="S1384" s="202"/>
      <c r="T1384" s="202"/>
    </row>
    <row r="1385" spans="1:20" s="182" customFormat="1" ht="14.15" hidden="1">
      <c r="A1385" s="222">
        <v>45366</v>
      </c>
      <c r="B1385" s="201" t="s">
        <v>1390</v>
      </c>
      <c r="C1385" s="208" t="s">
        <v>1106</v>
      </c>
      <c r="D1385" s="592">
        <v>-40000</v>
      </c>
      <c r="E1385" s="619">
        <v>45352</v>
      </c>
      <c r="F1385" s="201" t="s">
        <v>109</v>
      </c>
      <c r="G1385" s="208" t="s">
        <v>120</v>
      </c>
      <c r="H1385" s="201"/>
      <c r="I1385" s="201" t="s">
        <v>1347</v>
      </c>
      <c r="J1385" s="202"/>
      <c r="K1385" s="202"/>
      <c r="L1385" s="202"/>
      <c r="M1385" s="202"/>
      <c r="N1385" s="202"/>
      <c r="O1385" s="202"/>
      <c r="P1385" s="202"/>
      <c r="Q1385" s="202"/>
      <c r="R1385" s="202"/>
      <c r="S1385" s="202"/>
      <c r="T1385" s="202"/>
    </row>
    <row r="1386" spans="1:20" s="182" customFormat="1" ht="14.15" hidden="1">
      <c r="A1386" s="222">
        <v>45366</v>
      </c>
      <c r="B1386" s="201" t="s">
        <v>1391</v>
      </c>
      <c r="C1386" s="208" t="s">
        <v>1106</v>
      </c>
      <c r="D1386" s="592">
        <v>-40000</v>
      </c>
      <c r="E1386" s="619">
        <v>45352</v>
      </c>
      <c r="F1386" s="201" t="s">
        <v>109</v>
      </c>
      <c r="G1386" s="208" t="s">
        <v>120</v>
      </c>
      <c r="H1386" s="201"/>
      <c r="I1386" s="201" t="s">
        <v>1347</v>
      </c>
      <c r="J1386" s="202"/>
      <c r="K1386" s="202"/>
      <c r="L1386" s="202"/>
      <c r="M1386" s="202"/>
      <c r="N1386" s="202"/>
      <c r="O1386" s="202"/>
      <c r="P1386" s="202"/>
      <c r="Q1386" s="202"/>
      <c r="R1386" s="202"/>
      <c r="S1386" s="202"/>
      <c r="T1386" s="202"/>
    </row>
    <row r="1387" spans="1:20" s="182" customFormat="1" ht="14.15" hidden="1">
      <c r="A1387" s="222">
        <v>45367</v>
      </c>
      <c r="B1387" s="201" t="s">
        <v>1392</v>
      </c>
      <c r="C1387" s="208" t="s">
        <v>1106</v>
      </c>
      <c r="D1387" s="592">
        <v>-110000</v>
      </c>
      <c r="E1387" s="619">
        <v>45352</v>
      </c>
      <c r="F1387" s="201" t="s">
        <v>109</v>
      </c>
      <c r="G1387" s="208" t="s">
        <v>120</v>
      </c>
      <c r="H1387" s="201"/>
      <c r="I1387" s="201" t="s">
        <v>1347</v>
      </c>
      <c r="J1387" s="202"/>
      <c r="K1387" s="202"/>
      <c r="L1387" s="202"/>
      <c r="M1387" s="202"/>
      <c r="N1387" s="202"/>
      <c r="O1387" s="202"/>
      <c r="P1387" s="202"/>
      <c r="Q1387" s="202"/>
      <c r="R1387" s="202"/>
      <c r="S1387" s="202"/>
      <c r="T1387" s="202"/>
    </row>
    <row r="1388" spans="1:20" s="182" customFormat="1" ht="14.15" hidden="1">
      <c r="A1388" s="222">
        <v>45367</v>
      </c>
      <c r="B1388" s="201" t="s">
        <v>1393</v>
      </c>
      <c r="C1388" s="208" t="s">
        <v>1106</v>
      </c>
      <c r="D1388" s="592">
        <v>-18000</v>
      </c>
      <c r="E1388" s="619">
        <v>45352</v>
      </c>
      <c r="F1388" s="201" t="s">
        <v>109</v>
      </c>
      <c r="G1388" s="208" t="s">
        <v>120</v>
      </c>
      <c r="H1388" s="201"/>
      <c r="I1388" s="201" t="s">
        <v>1347</v>
      </c>
      <c r="J1388" s="202"/>
      <c r="K1388" s="202"/>
      <c r="L1388" s="202"/>
      <c r="M1388" s="202"/>
      <c r="N1388" s="202"/>
      <c r="O1388" s="202"/>
      <c r="P1388" s="202"/>
      <c r="Q1388" s="202"/>
      <c r="R1388" s="202"/>
      <c r="S1388" s="202"/>
      <c r="T1388" s="202"/>
    </row>
    <row r="1389" spans="1:20" s="182" customFormat="1" ht="14.15" hidden="1">
      <c r="A1389" s="222">
        <v>45367</v>
      </c>
      <c r="B1389" s="201" t="s">
        <v>1394</v>
      </c>
      <c r="C1389" s="208" t="s">
        <v>1106</v>
      </c>
      <c r="D1389" s="592">
        <v>-30000</v>
      </c>
      <c r="E1389" s="619">
        <v>45352</v>
      </c>
      <c r="F1389" s="201" t="s">
        <v>109</v>
      </c>
      <c r="G1389" s="208" t="s">
        <v>120</v>
      </c>
      <c r="H1389" s="201"/>
      <c r="I1389" s="201" t="s">
        <v>1347</v>
      </c>
      <c r="J1389" s="202"/>
      <c r="K1389" s="202"/>
      <c r="L1389" s="202"/>
      <c r="M1389" s="202"/>
      <c r="N1389" s="202"/>
      <c r="O1389" s="202"/>
      <c r="P1389" s="202"/>
      <c r="Q1389" s="202"/>
      <c r="R1389" s="202"/>
      <c r="S1389" s="202"/>
      <c r="T1389" s="202"/>
    </row>
    <row r="1390" spans="1:20" s="182" customFormat="1" ht="14.15" hidden="1">
      <c r="A1390" s="222">
        <v>45367</v>
      </c>
      <c r="B1390" s="201" t="s">
        <v>1395</v>
      </c>
      <c r="C1390" s="208" t="s">
        <v>1106</v>
      </c>
      <c r="D1390" s="592">
        <v>-40000</v>
      </c>
      <c r="E1390" s="619">
        <v>45352</v>
      </c>
      <c r="F1390" s="201" t="s">
        <v>109</v>
      </c>
      <c r="G1390" s="208" t="s">
        <v>120</v>
      </c>
      <c r="H1390" s="201"/>
      <c r="I1390" s="201" t="s">
        <v>1347</v>
      </c>
      <c r="J1390" s="202"/>
      <c r="K1390" s="202"/>
      <c r="L1390" s="202"/>
      <c r="M1390" s="202"/>
      <c r="N1390" s="202"/>
      <c r="O1390" s="202"/>
      <c r="P1390" s="202"/>
      <c r="Q1390" s="202"/>
      <c r="R1390" s="202"/>
      <c r="S1390" s="202"/>
      <c r="T1390" s="202"/>
    </row>
    <row r="1391" spans="1:20" s="182" customFormat="1" ht="14.15" hidden="1">
      <c r="A1391" s="222">
        <v>45367</v>
      </c>
      <c r="B1391" s="201" t="s">
        <v>1396</v>
      </c>
      <c r="C1391" s="208" t="s">
        <v>1106</v>
      </c>
      <c r="D1391" s="592">
        <v>-40000</v>
      </c>
      <c r="E1391" s="619">
        <v>45352</v>
      </c>
      <c r="F1391" s="201" t="s">
        <v>109</v>
      </c>
      <c r="G1391" s="208" t="s">
        <v>120</v>
      </c>
      <c r="H1391" s="201"/>
      <c r="I1391" s="201" t="s">
        <v>1347</v>
      </c>
      <c r="J1391" s="202"/>
      <c r="K1391" s="202"/>
      <c r="L1391" s="202"/>
      <c r="M1391" s="202"/>
      <c r="N1391" s="202"/>
      <c r="O1391" s="202"/>
      <c r="P1391" s="202"/>
      <c r="Q1391" s="202"/>
      <c r="R1391" s="202"/>
      <c r="S1391" s="202"/>
      <c r="T1391" s="202"/>
    </row>
    <row r="1392" spans="1:20" s="182" customFormat="1" ht="14.15" hidden="1">
      <c r="A1392" s="222">
        <v>45367</v>
      </c>
      <c r="B1392" s="201" t="s">
        <v>1397</v>
      </c>
      <c r="C1392" s="208" t="s">
        <v>1106</v>
      </c>
      <c r="D1392" s="592">
        <v>-160000</v>
      </c>
      <c r="E1392" s="619">
        <v>45352</v>
      </c>
      <c r="F1392" s="201" t="s">
        <v>109</v>
      </c>
      <c r="G1392" s="208" t="s">
        <v>120</v>
      </c>
      <c r="H1392" s="201"/>
      <c r="I1392" s="201" t="s">
        <v>1347</v>
      </c>
      <c r="J1392" s="202"/>
      <c r="K1392" s="202"/>
      <c r="L1392" s="202"/>
      <c r="M1392" s="202"/>
      <c r="N1392" s="202"/>
      <c r="O1392" s="202"/>
      <c r="P1392" s="202"/>
      <c r="Q1392" s="202"/>
      <c r="R1392" s="202"/>
      <c r="S1392" s="202"/>
      <c r="T1392" s="202"/>
    </row>
    <row r="1393" spans="1:20" s="182" customFormat="1" ht="14.15" hidden="1">
      <c r="A1393" s="222">
        <v>45367</v>
      </c>
      <c r="B1393" s="201" t="s">
        <v>1398</v>
      </c>
      <c r="C1393" s="208" t="s">
        <v>1106</v>
      </c>
      <c r="D1393" s="592">
        <v>-40000</v>
      </c>
      <c r="E1393" s="619">
        <v>45352</v>
      </c>
      <c r="F1393" s="201" t="s">
        <v>109</v>
      </c>
      <c r="G1393" s="208" t="s">
        <v>120</v>
      </c>
      <c r="H1393" s="201"/>
      <c r="I1393" s="201" t="s">
        <v>1347</v>
      </c>
      <c r="J1393" s="202"/>
      <c r="K1393" s="202"/>
      <c r="L1393" s="202"/>
      <c r="M1393" s="202"/>
      <c r="N1393" s="202"/>
      <c r="O1393" s="202"/>
      <c r="P1393" s="202"/>
      <c r="Q1393" s="202"/>
      <c r="R1393" s="202"/>
      <c r="S1393" s="202"/>
      <c r="T1393" s="202"/>
    </row>
    <row r="1394" spans="1:20" s="182" customFormat="1" ht="14.15" hidden="1">
      <c r="A1394" s="222">
        <v>45371</v>
      </c>
      <c r="B1394" s="201" t="s">
        <v>1399</v>
      </c>
      <c r="C1394" s="208" t="s">
        <v>1106</v>
      </c>
      <c r="D1394" s="592">
        <v>-20000</v>
      </c>
      <c r="E1394" s="619">
        <v>45352</v>
      </c>
      <c r="F1394" s="201" t="s">
        <v>109</v>
      </c>
      <c r="G1394" s="208" t="s">
        <v>383</v>
      </c>
      <c r="H1394" s="81" t="s">
        <v>138</v>
      </c>
      <c r="I1394" s="201"/>
      <c r="J1394" s="202"/>
      <c r="K1394" s="202"/>
      <c r="L1394" s="202"/>
      <c r="M1394" s="202"/>
      <c r="N1394" s="202"/>
      <c r="O1394" s="202"/>
      <c r="P1394" s="202"/>
      <c r="Q1394" s="202"/>
      <c r="R1394" s="202"/>
      <c r="S1394" s="202"/>
      <c r="T1394" s="202"/>
    </row>
    <row r="1395" spans="1:20" s="182" customFormat="1" ht="14.15" hidden="1">
      <c r="A1395" s="222">
        <v>45371</v>
      </c>
      <c r="B1395" s="201" t="s">
        <v>1400</v>
      </c>
      <c r="C1395" s="208" t="s">
        <v>1106</v>
      </c>
      <c r="D1395" s="592">
        <v>-93500</v>
      </c>
      <c r="E1395" s="619">
        <v>45352</v>
      </c>
      <c r="F1395" s="201" t="s">
        <v>109</v>
      </c>
      <c r="G1395" s="201" t="s">
        <v>1204</v>
      </c>
      <c r="H1395" s="208" t="s">
        <v>147</v>
      </c>
      <c r="I1395" s="201"/>
      <c r="J1395" s="202"/>
      <c r="K1395" s="202"/>
      <c r="L1395" s="202"/>
      <c r="M1395" s="202"/>
      <c r="N1395" s="202"/>
      <c r="O1395" s="202"/>
      <c r="P1395" s="202"/>
      <c r="Q1395" s="202"/>
      <c r="R1395" s="202"/>
      <c r="S1395" s="202"/>
      <c r="T1395" s="202"/>
    </row>
    <row r="1396" spans="1:20" s="182" customFormat="1" ht="14.15" hidden="1">
      <c r="A1396" s="222">
        <v>45371</v>
      </c>
      <c r="B1396" s="201" t="s">
        <v>1401</v>
      </c>
      <c r="C1396" s="208" t="s">
        <v>1106</v>
      </c>
      <c r="D1396" s="592">
        <v>-265000</v>
      </c>
      <c r="E1396" s="619">
        <v>45352</v>
      </c>
      <c r="F1396" s="201" t="s">
        <v>109</v>
      </c>
      <c r="G1396" s="201" t="s">
        <v>1204</v>
      </c>
      <c r="H1396" s="81" t="s">
        <v>138</v>
      </c>
      <c r="I1396" s="201"/>
      <c r="J1396" s="202"/>
      <c r="K1396" s="202"/>
      <c r="L1396" s="202"/>
      <c r="M1396" s="202"/>
      <c r="N1396" s="202"/>
      <c r="O1396" s="202"/>
      <c r="P1396" s="202"/>
      <c r="Q1396" s="202"/>
      <c r="R1396" s="202"/>
      <c r="S1396" s="202"/>
      <c r="T1396" s="202"/>
    </row>
    <row r="1397" spans="1:20" s="182" customFormat="1" ht="14.15" hidden="1">
      <c r="A1397" s="222">
        <v>45371</v>
      </c>
      <c r="B1397" s="201" t="s">
        <v>1402</v>
      </c>
      <c r="C1397" s="208" t="s">
        <v>1106</v>
      </c>
      <c r="D1397" s="592">
        <v>-98950</v>
      </c>
      <c r="E1397" s="619">
        <v>45352</v>
      </c>
      <c r="F1397" s="201" t="s">
        <v>130</v>
      </c>
      <c r="G1397" s="201" t="s">
        <v>130</v>
      </c>
      <c r="H1397" s="201" t="s">
        <v>184</v>
      </c>
      <c r="I1397" s="201"/>
      <c r="J1397" s="202"/>
      <c r="K1397" s="202"/>
      <c r="L1397" s="202"/>
      <c r="M1397" s="202"/>
      <c r="N1397" s="202"/>
      <c r="O1397" s="202"/>
      <c r="P1397" s="202"/>
      <c r="Q1397" s="202"/>
      <c r="R1397" s="202"/>
      <c r="S1397" s="202"/>
      <c r="T1397" s="202"/>
    </row>
    <row r="1398" spans="1:20" s="182" customFormat="1" ht="14.15" hidden="1">
      <c r="A1398" s="222">
        <v>45371</v>
      </c>
      <c r="B1398" s="201" t="s">
        <v>1403</v>
      </c>
      <c r="C1398" s="208" t="s">
        <v>1106</v>
      </c>
      <c r="D1398" s="592">
        <v>-6000</v>
      </c>
      <c r="E1398" s="619">
        <v>45352</v>
      </c>
      <c r="F1398" s="201" t="s">
        <v>109</v>
      </c>
      <c r="G1398" s="208" t="s">
        <v>170</v>
      </c>
      <c r="H1398" s="81" t="s">
        <v>138</v>
      </c>
      <c r="I1398" s="201"/>
      <c r="J1398" s="202"/>
      <c r="K1398" s="202"/>
      <c r="L1398" s="202"/>
      <c r="M1398" s="202"/>
      <c r="N1398" s="202"/>
      <c r="O1398" s="202"/>
      <c r="P1398" s="202"/>
      <c r="Q1398" s="202"/>
      <c r="R1398" s="202"/>
      <c r="S1398" s="202"/>
      <c r="T1398" s="202"/>
    </row>
    <row r="1399" spans="1:20" s="182" customFormat="1" ht="14.15" hidden="1">
      <c r="A1399" s="222">
        <v>45371</v>
      </c>
      <c r="B1399" s="201" t="s">
        <v>1404</v>
      </c>
      <c r="C1399" s="208" t="s">
        <v>1106</v>
      </c>
      <c r="D1399" s="592">
        <v>-34000</v>
      </c>
      <c r="E1399" s="619">
        <v>45352</v>
      </c>
      <c r="F1399" s="201" t="s">
        <v>130</v>
      </c>
      <c r="G1399" s="201" t="s">
        <v>257</v>
      </c>
      <c r="H1399" s="81" t="s">
        <v>138</v>
      </c>
      <c r="I1399" s="201"/>
      <c r="J1399" s="202"/>
      <c r="K1399" s="202"/>
      <c r="L1399" s="202"/>
      <c r="M1399" s="202"/>
      <c r="N1399" s="202"/>
      <c r="O1399" s="202"/>
      <c r="P1399" s="202"/>
      <c r="Q1399" s="202"/>
      <c r="R1399" s="202"/>
      <c r="S1399" s="202"/>
      <c r="T1399" s="202"/>
    </row>
    <row r="1400" spans="1:20" s="182" customFormat="1" ht="14.15" hidden="1">
      <c r="A1400" s="222">
        <v>45371</v>
      </c>
      <c r="B1400" s="201" t="s">
        <v>1405</v>
      </c>
      <c r="C1400" s="208" t="s">
        <v>1106</v>
      </c>
      <c r="D1400" s="592">
        <v>-15000</v>
      </c>
      <c r="E1400" s="619">
        <v>45352</v>
      </c>
      <c r="F1400" s="201" t="s">
        <v>207</v>
      </c>
      <c r="G1400" s="201" t="s">
        <v>1406</v>
      </c>
      <c r="H1400" s="81" t="s">
        <v>138</v>
      </c>
      <c r="I1400" s="201"/>
      <c r="J1400" s="202"/>
      <c r="K1400" s="202"/>
      <c r="L1400" s="202"/>
      <c r="M1400" s="202"/>
      <c r="N1400" s="202"/>
      <c r="O1400" s="202"/>
      <c r="P1400" s="202"/>
      <c r="Q1400" s="202"/>
      <c r="R1400" s="202"/>
      <c r="S1400" s="202"/>
      <c r="T1400" s="202"/>
    </row>
    <row r="1401" spans="1:20" s="182" customFormat="1" ht="14.15" hidden="1">
      <c r="A1401" s="222">
        <v>45345</v>
      </c>
      <c r="B1401" s="201" t="s">
        <v>1407</v>
      </c>
      <c r="C1401" s="208" t="s">
        <v>1106</v>
      </c>
      <c r="D1401" s="592">
        <v>-42000</v>
      </c>
      <c r="E1401" s="619">
        <v>45352</v>
      </c>
      <c r="F1401" s="201" t="s">
        <v>207</v>
      </c>
      <c r="G1401" s="201"/>
      <c r="H1401" s="201"/>
      <c r="I1401" s="201"/>
      <c r="J1401" s="202"/>
      <c r="K1401" s="202"/>
      <c r="L1401" s="202"/>
      <c r="M1401" s="202"/>
      <c r="N1401" s="202"/>
      <c r="O1401" s="202"/>
      <c r="P1401" s="202"/>
      <c r="Q1401" s="202"/>
      <c r="R1401" s="202"/>
      <c r="S1401" s="202"/>
      <c r="T1401" s="202"/>
    </row>
    <row r="1402" spans="1:20" s="182" customFormat="1" ht="14.15" hidden="1">
      <c r="A1402" s="222">
        <v>45365</v>
      </c>
      <c r="B1402" s="201" t="s">
        <v>1408</v>
      </c>
      <c r="C1402" s="208" t="s">
        <v>1106</v>
      </c>
      <c r="D1402" s="592">
        <v>-24000</v>
      </c>
      <c r="E1402" s="619">
        <v>45352</v>
      </c>
      <c r="F1402" s="201" t="s">
        <v>109</v>
      </c>
      <c r="G1402" s="208" t="s">
        <v>383</v>
      </c>
      <c r="H1402" s="208" t="s">
        <v>175</v>
      </c>
      <c r="I1402" s="201" t="s">
        <v>173</v>
      </c>
      <c r="J1402" s="202"/>
      <c r="K1402" s="202"/>
      <c r="L1402" s="202"/>
      <c r="M1402" s="202"/>
      <c r="N1402" s="202"/>
      <c r="O1402" s="202"/>
      <c r="P1402" s="202"/>
      <c r="Q1402" s="202"/>
      <c r="R1402" s="202"/>
      <c r="S1402" s="202"/>
      <c r="T1402" s="202"/>
    </row>
    <row r="1403" spans="1:20" s="182" customFormat="1" ht="14.15" hidden="1">
      <c r="A1403" s="222">
        <v>45365</v>
      </c>
      <c r="B1403" s="201" t="s">
        <v>1409</v>
      </c>
      <c r="C1403" s="208" t="s">
        <v>1106</v>
      </c>
      <c r="D1403" s="592">
        <v>-1650</v>
      </c>
      <c r="E1403" s="619">
        <v>45352</v>
      </c>
      <c r="F1403" s="201" t="s">
        <v>109</v>
      </c>
      <c r="G1403" s="208" t="s">
        <v>383</v>
      </c>
      <c r="H1403" s="208" t="s">
        <v>175</v>
      </c>
      <c r="I1403" s="201" t="s">
        <v>173</v>
      </c>
      <c r="J1403" s="202"/>
      <c r="K1403" s="202"/>
      <c r="L1403" s="202"/>
      <c r="M1403" s="202"/>
      <c r="N1403" s="202"/>
      <c r="O1403" s="202"/>
      <c r="P1403" s="202"/>
      <c r="Q1403" s="202"/>
      <c r="R1403" s="202"/>
      <c r="S1403" s="202"/>
      <c r="T1403" s="202"/>
    </row>
    <row r="1404" spans="1:20" s="182" customFormat="1" ht="14.15" hidden="1">
      <c r="A1404" s="222">
        <v>45365</v>
      </c>
      <c r="B1404" s="201" t="s">
        <v>1410</v>
      </c>
      <c r="C1404" s="208" t="s">
        <v>1106</v>
      </c>
      <c r="D1404" s="592">
        <v>-56600</v>
      </c>
      <c r="E1404" s="619">
        <v>45352</v>
      </c>
      <c r="F1404" s="201" t="s">
        <v>109</v>
      </c>
      <c r="G1404" s="208" t="s">
        <v>383</v>
      </c>
      <c r="H1404" s="208" t="s">
        <v>175</v>
      </c>
      <c r="I1404" s="201" t="s">
        <v>173</v>
      </c>
      <c r="J1404" s="202"/>
      <c r="K1404" s="202"/>
      <c r="L1404" s="202"/>
      <c r="M1404" s="202"/>
      <c r="N1404" s="202"/>
      <c r="O1404" s="202"/>
      <c r="P1404" s="202"/>
      <c r="Q1404" s="202"/>
      <c r="R1404" s="202"/>
      <c r="S1404" s="202"/>
      <c r="T1404" s="202"/>
    </row>
    <row r="1405" spans="1:20" s="182" customFormat="1" ht="14.15" hidden="1">
      <c r="A1405" s="222">
        <v>45365</v>
      </c>
      <c r="B1405" s="201" t="s">
        <v>1411</v>
      </c>
      <c r="C1405" s="208" t="s">
        <v>1106</v>
      </c>
      <c r="D1405" s="592">
        <v>-9000</v>
      </c>
      <c r="E1405" s="619">
        <v>45352</v>
      </c>
      <c r="F1405" s="201" t="s">
        <v>109</v>
      </c>
      <c r="G1405" s="208" t="s">
        <v>383</v>
      </c>
      <c r="H1405" s="208" t="s">
        <v>147</v>
      </c>
      <c r="I1405" s="201" t="s">
        <v>173</v>
      </c>
      <c r="J1405" s="202"/>
      <c r="K1405" s="202"/>
      <c r="L1405" s="202"/>
      <c r="M1405" s="202"/>
      <c r="N1405" s="202"/>
      <c r="O1405" s="202"/>
      <c r="P1405" s="202"/>
      <c r="Q1405" s="202"/>
      <c r="R1405" s="202"/>
      <c r="S1405" s="202"/>
      <c r="T1405" s="202"/>
    </row>
    <row r="1406" spans="1:20" s="182" customFormat="1" ht="14.15" hidden="1">
      <c r="A1406" s="222">
        <v>45366</v>
      </c>
      <c r="B1406" s="201" t="s">
        <v>1412</v>
      </c>
      <c r="C1406" s="208" t="s">
        <v>1106</v>
      </c>
      <c r="D1406" s="592">
        <v>-20000</v>
      </c>
      <c r="E1406" s="619">
        <v>45352</v>
      </c>
      <c r="F1406" s="208" t="s">
        <v>109</v>
      </c>
      <c r="G1406" s="208" t="s">
        <v>317</v>
      </c>
      <c r="H1406" s="208" t="s">
        <v>175</v>
      </c>
      <c r="I1406" s="201" t="s">
        <v>173</v>
      </c>
      <c r="J1406" s="202"/>
      <c r="K1406" s="202"/>
      <c r="L1406" s="202"/>
      <c r="M1406" s="202"/>
      <c r="N1406" s="202"/>
      <c r="O1406" s="202"/>
      <c r="P1406" s="202"/>
      <c r="Q1406" s="202"/>
      <c r="R1406" s="202"/>
      <c r="S1406" s="202"/>
      <c r="T1406" s="202"/>
    </row>
    <row r="1407" spans="1:20" s="182" customFormat="1" ht="14.15" hidden="1">
      <c r="A1407" s="222">
        <v>45366</v>
      </c>
      <c r="B1407" s="201" t="s">
        <v>1413</v>
      </c>
      <c r="C1407" s="208" t="s">
        <v>1106</v>
      </c>
      <c r="D1407" s="592">
        <v>-6600</v>
      </c>
      <c r="E1407" s="619">
        <v>45352</v>
      </c>
      <c r="F1407" s="201" t="s">
        <v>130</v>
      </c>
      <c r="G1407" s="201" t="s">
        <v>130</v>
      </c>
      <c r="H1407" s="201" t="s">
        <v>184</v>
      </c>
      <c r="I1407" s="201" t="s">
        <v>173</v>
      </c>
      <c r="J1407" s="202"/>
      <c r="K1407" s="202"/>
      <c r="L1407" s="202"/>
      <c r="M1407" s="202"/>
      <c r="N1407" s="202"/>
      <c r="O1407" s="202"/>
      <c r="P1407" s="202"/>
      <c r="Q1407" s="202"/>
      <c r="R1407" s="202"/>
      <c r="S1407" s="202"/>
      <c r="T1407" s="202"/>
    </row>
    <row r="1408" spans="1:20" s="182" customFormat="1" ht="14.15" hidden="1">
      <c r="A1408" s="222">
        <v>45367</v>
      </c>
      <c r="B1408" s="201" t="s">
        <v>1414</v>
      </c>
      <c r="C1408" s="208" t="s">
        <v>1106</v>
      </c>
      <c r="D1408" s="592">
        <v>-104000</v>
      </c>
      <c r="E1408" s="619">
        <v>45352</v>
      </c>
      <c r="F1408" s="208" t="s">
        <v>109</v>
      </c>
      <c r="G1408" s="208" t="s">
        <v>317</v>
      </c>
      <c r="H1408" s="208" t="s">
        <v>175</v>
      </c>
      <c r="I1408" s="201" t="s">
        <v>173</v>
      </c>
      <c r="J1408" s="202"/>
      <c r="K1408" s="202"/>
      <c r="L1408" s="202"/>
      <c r="M1408" s="202"/>
      <c r="N1408" s="202"/>
      <c r="O1408" s="202"/>
      <c r="P1408" s="202"/>
      <c r="Q1408" s="202"/>
      <c r="R1408" s="202"/>
      <c r="S1408" s="202"/>
      <c r="T1408" s="202"/>
    </row>
    <row r="1409" spans="1:20" s="182" customFormat="1" ht="14.15" hidden="1">
      <c r="A1409" s="222">
        <v>45370</v>
      </c>
      <c r="B1409" s="201" t="s">
        <v>1415</v>
      </c>
      <c r="C1409" s="208" t="s">
        <v>1106</v>
      </c>
      <c r="D1409" s="592">
        <v>-90000</v>
      </c>
      <c r="E1409" s="619">
        <v>45352</v>
      </c>
      <c r="F1409" s="201" t="s">
        <v>109</v>
      </c>
      <c r="G1409" s="208" t="s">
        <v>120</v>
      </c>
      <c r="H1409" s="208" t="s">
        <v>175</v>
      </c>
      <c r="I1409" s="201" t="s">
        <v>173</v>
      </c>
      <c r="J1409" s="202"/>
      <c r="K1409" s="202"/>
      <c r="L1409" s="202"/>
      <c r="M1409" s="202"/>
      <c r="N1409" s="202"/>
      <c r="O1409" s="202"/>
      <c r="P1409" s="202"/>
      <c r="Q1409" s="202"/>
      <c r="R1409" s="202"/>
      <c r="S1409" s="202"/>
      <c r="T1409" s="202"/>
    </row>
    <row r="1410" spans="1:20" s="182" customFormat="1" ht="14.15" hidden="1">
      <c r="A1410" s="222">
        <v>45370</v>
      </c>
      <c r="B1410" s="201" t="s">
        <v>1416</v>
      </c>
      <c r="C1410" s="208" t="s">
        <v>1106</v>
      </c>
      <c r="D1410" s="592">
        <v>-24000</v>
      </c>
      <c r="E1410" s="619">
        <v>45352</v>
      </c>
      <c r="F1410" s="201" t="s">
        <v>109</v>
      </c>
      <c r="G1410" s="208" t="s">
        <v>120</v>
      </c>
      <c r="H1410" s="208" t="s">
        <v>175</v>
      </c>
      <c r="I1410" s="201" t="s">
        <v>173</v>
      </c>
      <c r="J1410" s="202"/>
      <c r="K1410" s="202"/>
      <c r="L1410" s="202"/>
      <c r="M1410" s="202"/>
      <c r="N1410" s="202"/>
      <c r="O1410" s="202"/>
      <c r="P1410" s="202"/>
      <c r="Q1410" s="202"/>
      <c r="R1410" s="202"/>
      <c r="S1410" s="202"/>
      <c r="T1410" s="202"/>
    </row>
    <row r="1411" spans="1:20" s="182" customFormat="1" ht="14.15" hidden="1">
      <c r="A1411" s="222">
        <v>45371</v>
      </c>
      <c r="B1411" s="201" t="s">
        <v>1408</v>
      </c>
      <c r="C1411" s="208" t="s">
        <v>1106</v>
      </c>
      <c r="D1411" s="592">
        <v>-10500</v>
      </c>
      <c r="E1411" s="619">
        <v>45352</v>
      </c>
      <c r="F1411" s="201" t="s">
        <v>109</v>
      </c>
      <c r="G1411" s="208" t="s">
        <v>383</v>
      </c>
      <c r="H1411" s="208" t="s">
        <v>175</v>
      </c>
      <c r="I1411" s="201" t="s">
        <v>173</v>
      </c>
      <c r="J1411" s="202"/>
      <c r="K1411" s="202"/>
      <c r="L1411" s="202"/>
      <c r="M1411" s="202"/>
      <c r="N1411" s="202"/>
      <c r="O1411" s="202"/>
      <c r="P1411" s="202"/>
      <c r="Q1411" s="202"/>
      <c r="R1411" s="202"/>
      <c r="S1411" s="202"/>
      <c r="T1411" s="202"/>
    </row>
    <row r="1412" spans="1:20" s="182" customFormat="1" ht="14.15" hidden="1">
      <c r="A1412" s="222">
        <v>45371</v>
      </c>
      <c r="B1412" s="201" t="s">
        <v>1417</v>
      </c>
      <c r="C1412" s="208" t="s">
        <v>1106</v>
      </c>
      <c r="D1412" s="592">
        <v>-3900</v>
      </c>
      <c r="E1412" s="619">
        <v>45352</v>
      </c>
      <c r="F1412" s="201" t="s">
        <v>109</v>
      </c>
      <c r="G1412" s="208" t="s">
        <v>383</v>
      </c>
      <c r="H1412" s="208" t="s">
        <v>175</v>
      </c>
      <c r="I1412" s="201" t="s">
        <v>173</v>
      </c>
      <c r="J1412" s="202"/>
      <c r="K1412" s="202"/>
      <c r="L1412" s="202"/>
      <c r="M1412" s="202"/>
      <c r="N1412" s="202"/>
      <c r="O1412" s="202"/>
      <c r="P1412" s="202"/>
      <c r="Q1412" s="202"/>
      <c r="R1412" s="202"/>
      <c r="S1412" s="202"/>
      <c r="T1412" s="202"/>
    </row>
    <row r="1413" spans="1:20" s="182" customFormat="1" ht="14.15" hidden="1">
      <c r="A1413" s="222">
        <v>45371</v>
      </c>
      <c r="B1413" s="201" t="s">
        <v>1418</v>
      </c>
      <c r="C1413" s="208" t="s">
        <v>1106</v>
      </c>
      <c r="D1413" s="592">
        <v>-1852</v>
      </c>
      <c r="E1413" s="619">
        <v>45352</v>
      </c>
      <c r="F1413" s="201" t="s">
        <v>207</v>
      </c>
      <c r="G1413" s="201" t="s">
        <v>1406</v>
      </c>
      <c r="H1413" s="208" t="s">
        <v>175</v>
      </c>
      <c r="I1413" s="201" t="s">
        <v>173</v>
      </c>
      <c r="J1413" s="202"/>
      <c r="K1413" s="202"/>
      <c r="L1413" s="202"/>
      <c r="M1413" s="202"/>
      <c r="N1413" s="202"/>
      <c r="O1413" s="202"/>
      <c r="P1413" s="202"/>
      <c r="Q1413" s="202"/>
      <c r="R1413" s="202"/>
      <c r="S1413" s="202"/>
      <c r="T1413" s="202"/>
    </row>
    <row r="1414" spans="1:20" s="182" customFormat="1" ht="14.15" hidden="1">
      <c r="A1414" s="222">
        <v>45371</v>
      </c>
      <c r="B1414" s="201" t="s">
        <v>1419</v>
      </c>
      <c r="C1414" s="208" t="s">
        <v>1106</v>
      </c>
      <c r="D1414" s="592">
        <v>-53218</v>
      </c>
      <c r="E1414" s="619">
        <v>45352</v>
      </c>
      <c r="F1414" s="201" t="s">
        <v>207</v>
      </c>
      <c r="G1414" s="201" t="s">
        <v>1406</v>
      </c>
      <c r="H1414" s="208" t="s">
        <v>175</v>
      </c>
      <c r="I1414" s="201" t="s">
        <v>173</v>
      </c>
      <c r="J1414" s="202"/>
      <c r="K1414" s="202"/>
      <c r="L1414" s="202"/>
      <c r="M1414" s="202"/>
      <c r="N1414" s="202"/>
      <c r="O1414" s="202"/>
      <c r="P1414" s="202"/>
      <c r="Q1414" s="202"/>
      <c r="R1414" s="202"/>
      <c r="S1414" s="202"/>
      <c r="T1414" s="202"/>
    </row>
    <row r="1415" spans="1:20" s="182" customFormat="1" ht="14.15" hidden="1">
      <c r="A1415" s="222">
        <v>45371</v>
      </c>
      <c r="B1415" s="201" t="s">
        <v>1420</v>
      </c>
      <c r="C1415" s="208" t="s">
        <v>1106</v>
      </c>
      <c r="D1415" s="592">
        <v>-34000</v>
      </c>
      <c r="E1415" s="619">
        <v>45352</v>
      </c>
      <c r="F1415" s="201" t="s">
        <v>207</v>
      </c>
      <c r="G1415" s="201" t="s">
        <v>1406</v>
      </c>
      <c r="H1415" s="208" t="s">
        <v>175</v>
      </c>
      <c r="I1415" s="201" t="s">
        <v>173</v>
      </c>
      <c r="J1415" s="202"/>
      <c r="K1415" s="202"/>
      <c r="L1415" s="202"/>
      <c r="M1415" s="202"/>
      <c r="N1415" s="202"/>
      <c r="O1415" s="202"/>
      <c r="P1415" s="202"/>
      <c r="Q1415" s="202"/>
      <c r="R1415" s="202"/>
      <c r="S1415" s="202"/>
      <c r="T1415" s="202"/>
    </row>
    <row r="1416" spans="1:20" s="182" customFormat="1" ht="14.15" hidden="1">
      <c r="A1416" s="222">
        <v>45371</v>
      </c>
      <c r="B1416" s="201" t="s">
        <v>1421</v>
      </c>
      <c r="C1416" s="208" t="s">
        <v>1106</v>
      </c>
      <c r="D1416" s="592">
        <v>-8500</v>
      </c>
      <c r="E1416" s="619">
        <v>45352</v>
      </c>
      <c r="F1416" s="201" t="s">
        <v>207</v>
      </c>
      <c r="G1416" s="201" t="s">
        <v>1406</v>
      </c>
      <c r="H1416" s="208" t="s">
        <v>175</v>
      </c>
      <c r="I1416" s="201" t="s">
        <v>173</v>
      </c>
      <c r="J1416" s="202"/>
      <c r="K1416" s="202"/>
      <c r="L1416" s="202"/>
      <c r="M1416" s="202"/>
      <c r="N1416" s="202"/>
      <c r="O1416" s="202"/>
      <c r="P1416" s="202"/>
      <c r="Q1416" s="202"/>
      <c r="R1416" s="202"/>
      <c r="S1416" s="202"/>
      <c r="T1416" s="202"/>
    </row>
    <row r="1417" spans="1:20" s="182" customFormat="1" ht="14.15" hidden="1">
      <c r="A1417" s="222">
        <v>45373</v>
      </c>
      <c r="B1417" s="201" t="s">
        <v>1422</v>
      </c>
      <c r="C1417" s="208" t="s">
        <v>1106</v>
      </c>
      <c r="D1417" s="592">
        <v>100000</v>
      </c>
      <c r="E1417" s="619">
        <v>45352</v>
      </c>
      <c r="F1417" s="201" t="s">
        <v>130</v>
      </c>
      <c r="G1417" s="201" t="s">
        <v>257</v>
      </c>
      <c r="H1417" s="201" t="s">
        <v>1423</v>
      </c>
      <c r="I1417" s="201"/>
      <c r="J1417" s="202"/>
      <c r="K1417" s="202"/>
      <c r="L1417" s="202"/>
      <c r="M1417" s="202"/>
      <c r="N1417" s="202"/>
      <c r="O1417" s="202"/>
      <c r="P1417" s="202"/>
      <c r="Q1417" s="202"/>
      <c r="R1417" s="202"/>
      <c r="S1417" s="202"/>
      <c r="T1417" s="202"/>
    </row>
    <row r="1418" spans="1:20" s="182" customFormat="1" ht="14.15" hidden="1">
      <c r="A1418" s="222">
        <v>45373</v>
      </c>
      <c r="B1418" s="201" t="s">
        <v>1424</v>
      </c>
      <c r="C1418" s="208" t="s">
        <v>1106</v>
      </c>
      <c r="D1418" s="592">
        <v>-70000</v>
      </c>
      <c r="E1418" s="619">
        <v>45352</v>
      </c>
      <c r="F1418" s="201" t="s">
        <v>130</v>
      </c>
      <c r="G1418" s="201" t="s">
        <v>257</v>
      </c>
      <c r="H1418" s="81" t="s">
        <v>138</v>
      </c>
      <c r="I1418" s="201"/>
      <c r="J1418" s="202"/>
      <c r="K1418" s="202"/>
      <c r="L1418" s="202"/>
      <c r="M1418" s="202"/>
      <c r="N1418" s="202"/>
      <c r="O1418" s="202"/>
      <c r="P1418" s="202"/>
      <c r="Q1418" s="202"/>
      <c r="R1418" s="202"/>
      <c r="S1418" s="202"/>
      <c r="T1418" s="202"/>
    </row>
    <row r="1419" spans="1:20" s="182" customFormat="1" ht="14.15" hidden="1">
      <c r="A1419" s="222">
        <v>45370</v>
      </c>
      <c r="B1419" s="201" t="s">
        <v>1425</v>
      </c>
      <c r="C1419" s="208" t="s">
        <v>1106</v>
      </c>
      <c r="D1419" s="592">
        <v>-15000</v>
      </c>
      <c r="E1419" s="619">
        <v>45352</v>
      </c>
      <c r="F1419" s="291" t="s">
        <v>110</v>
      </c>
      <c r="G1419" s="208" t="s">
        <v>450</v>
      </c>
      <c r="H1419" s="81" t="s">
        <v>138</v>
      </c>
      <c r="I1419" s="201"/>
      <c r="J1419" s="202"/>
      <c r="K1419" s="202"/>
      <c r="L1419" s="202"/>
      <c r="M1419" s="202"/>
      <c r="N1419" s="202"/>
      <c r="O1419" s="202"/>
      <c r="P1419" s="202"/>
      <c r="Q1419" s="202"/>
      <c r="R1419" s="202"/>
      <c r="S1419" s="202"/>
      <c r="T1419" s="202"/>
    </row>
    <row r="1420" spans="1:20" s="182" customFormat="1" ht="14.15" hidden="1">
      <c r="A1420" s="222">
        <v>45370</v>
      </c>
      <c r="B1420" s="201" t="s">
        <v>1426</v>
      </c>
      <c r="C1420" s="208" t="s">
        <v>1106</v>
      </c>
      <c r="D1420" s="592">
        <v>-45000</v>
      </c>
      <c r="E1420" s="619">
        <v>45352</v>
      </c>
      <c r="F1420" s="201" t="s">
        <v>109</v>
      </c>
      <c r="G1420" s="208" t="s">
        <v>120</v>
      </c>
      <c r="H1420" s="81" t="s">
        <v>138</v>
      </c>
      <c r="I1420" s="201"/>
      <c r="J1420" s="202"/>
      <c r="K1420" s="202"/>
      <c r="L1420" s="202"/>
      <c r="M1420" s="202"/>
      <c r="N1420" s="202"/>
      <c r="O1420" s="202"/>
      <c r="P1420" s="202"/>
      <c r="Q1420" s="202"/>
      <c r="R1420" s="202"/>
      <c r="S1420" s="202"/>
      <c r="T1420" s="202"/>
    </row>
    <row r="1421" spans="1:20" s="182" customFormat="1" ht="14.15" hidden="1">
      <c r="A1421" s="222">
        <v>45370</v>
      </c>
      <c r="B1421" s="201" t="s">
        <v>1427</v>
      </c>
      <c r="C1421" s="208" t="s">
        <v>1106</v>
      </c>
      <c r="D1421" s="592">
        <v>-45000</v>
      </c>
      <c r="E1421" s="619">
        <v>45352</v>
      </c>
      <c r="F1421" s="201" t="s">
        <v>110</v>
      </c>
      <c r="G1421" s="208" t="s">
        <v>453</v>
      </c>
      <c r="H1421" s="81" t="s">
        <v>138</v>
      </c>
      <c r="I1421" s="201"/>
      <c r="J1421" s="202"/>
      <c r="K1421" s="202"/>
      <c r="L1421" s="202"/>
      <c r="M1421" s="202"/>
      <c r="N1421" s="202"/>
      <c r="O1421" s="202"/>
      <c r="P1421" s="202"/>
      <c r="Q1421" s="202"/>
      <c r="R1421" s="202"/>
      <c r="S1421" s="202"/>
      <c r="T1421" s="202"/>
    </row>
    <row r="1422" spans="1:20" s="182" customFormat="1" ht="14.15" hidden="1">
      <c r="A1422" s="222">
        <v>45370</v>
      </c>
      <c r="B1422" s="201" t="s">
        <v>1428</v>
      </c>
      <c r="C1422" s="208" t="s">
        <v>1106</v>
      </c>
      <c r="D1422" s="592">
        <v>-100000</v>
      </c>
      <c r="E1422" s="619">
        <v>45352</v>
      </c>
      <c r="F1422" s="201" t="s">
        <v>130</v>
      </c>
      <c r="G1422" s="201" t="s">
        <v>257</v>
      </c>
      <c r="H1422" s="81" t="s">
        <v>138</v>
      </c>
      <c r="I1422" s="201"/>
      <c r="J1422" s="202"/>
      <c r="K1422" s="202"/>
      <c r="L1422" s="202"/>
      <c r="M1422" s="202"/>
      <c r="N1422" s="202"/>
      <c r="O1422" s="202"/>
      <c r="P1422" s="202"/>
      <c r="Q1422" s="202"/>
      <c r="R1422" s="202"/>
      <c r="S1422" s="202"/>
      <c r="T1422" s="202"/>
    </row>
    <row r="1423" spans="1:20" s="182" customFormat="1" ht="14.15" hidden="1">
      <c r="A1423" s="222">
        <v>45373</v>
      </c>
      <c r="B1423" s="201" t="s">
        <v>1429</v>
      </c>
      <c r="C1423" s="208" t="s">
        <v>27</v>
      </c>
      <c r="D1423" s="592">
        <v>-380300</v>
      </c>
      <c r="E1423" s="619">
        <v>45352</v>
      </c>
      <c r="F1423" s="201" t="s">
        <v>110</v>
      </c>
      <c r="G1423" s="208" t="s">
        <v>453</v>
      </c>
      <c r="H1423" s="201" t="s">
        <v>310</v>
      </c>
      <c r="I1423" s="201"/>
      <c r="J1423" s="202"/>
      <c r="K1423" s="202"/>
      <c r="L1423" s="202"/>
      <c r="M1423" s="202"/>
      <c r="N1423" s="202"/>
      <c r="O1423" s="202"/>
      <c r="P1423" s="202"/>
      <c r="Q1423" s="202"/>
      <c r="R1423" s="202"/>
      <c r="S1423" s="202"/>
      <c r="T1423" s="202"/>
    </row>
    <row r="1424" spans="1:20" s="182" customFormat="1" ht="14.15" hidden="1">
      <c r="A1424" s="222">
        <v>45373</v>
      </c>
      <c r="B1424" s="201" t="s">
        <v>1430</v>
      </c>
      <c r="C1424" s="208" t="s">
        <v>27</v>
      </c>
      <c r="D1424" s="592">
        <v>-500000</v>
      </c>
      <c r="E1424" s="619">
        <v>45352</v>
      </c>
      <c r="F1424" s="208" t="s">
        <v>109</v>
      </c>
      <c r="G1424" s="208" t="s">
        <v>317</v>
      </c>
      <c r="H1424" s="208" t="s">
        <v>175</v>
      </c>
      <c r="I1424" s="201"/>
      <c r="J1424" s="202"/>
      <c r="K1424" s="202"/>
      <c r="L1424" s="202"/>
      <c r="M1424" s="202"/>
      <c r="N1424" s="202"/>
      <c r="O1424" s="202"/>
      <c r="P1424" s="202"/>
      <c r="Q1424" s="202"/>
      <c r="R1424" s="202"/>
      <c r="S1424" s="202"/>
      <c r="T1424" s="202"/>
    </row>
    <row r="1425" spans="1:20" s="182" customFormat="1" ht="14.15" hidden="1">
      <c r="A1425" s="222">
        <v>45373</v>
      </c>
      <c r="B1425" s="201" t="s">
        <v>1431</v>
      </c>
      <c r="C1425" s="208" t="s">
        <v>27</v>
      </c>
      <c r="D1425" s="592">
        <v>-270000</v>
      </c>
      <c r="E1425" s="619">
        <v>45352</v>
      </c>
      <c r="F1425" s="201" t="s">
        <v>109</v>
      </c>
      <c r="G1425" s="208" t="s">
        <v>120</v>
      </c>
      <c r="H1425" s="201"/>
      <c r="I1425" s="201"/>
      <c r="J1425" s="202"/>
      <c r="K1425" s="202"/>
      <c r="L1425" s="202"/>
      <c r="M1425" s="202"/>
      <c r="N1425" s="202"/>
      <c r="O1425" s="202"/>
      <c r="P1425" s="202"/>
      <c r="Q1425" s="202"/>
      <c r="R1425" s="202"/>
      <c r="S1425" s="202"/>
      <c r="T1425" s="202"/>
    </row>
    <row r="1426" spans="1:20" s="182" customFormat="1" ht="14.15" hidden="1">
      <c r="A1426" s="222">
        <v>45373</v>
      </c>
      <c r="B1426" s="201" t="s">
        <v>1432</v>
      </c>
      <c r="C1426" s="208" t="s">
        <v>27</v>
      </c>
      <c r="D1426" s="592">
        <v>-276242.26</v>
      </c>
      <c r="E1426" s="619">
        <v>45352</v>
      </c>
      <c r="F1426" s="84" t="s">
        <v>111</v>
      </c>
      <c r="G1426" s="201"/>
      <c r="H1426" s="201"/>
      <c r="I1426" s="201"/>
      <c r="J1426" s="202"/>
      <c r="K1426" s="202"/>
      <c r="L1426" s="202"/>
      <c r="M1426" s="202"/>
      <c r="N1426" s="202"/>
      <c r="O1426" s="202"/>
      <c r="P1426" s="202"/>
      <c r="Q1426" s="202"/>
      <c r="R1426" s="202"/>
      <c r="S1426" s="202"/>
      <c r="T1426" s="202"/>
    </row>
    <row r="1427" spans="1:20" s="182" customFormat="1" ht="14.15" hidden="1">
      <c r="A1427" s="222">
        <v>45373</v>
      </c>
      <c r="B1427" s="201" t="s">
        <v>1433</v>
      </c>
      <c r="C1427" s="208" t="s">
        <v>27</v>
      </c>
      <c r="D1427" s="592">
        <v>-875757.74</v>
      </c>
      <c r="E1427" s="619">
        <v>45352</v>
      </c>
      <c r="F1427" s="201" t="s">
        <v>118</v>
      </c>
      <c r="G1427" s="201"/>
      <c r="H1427" s="201"/>
      <c r="I1427" s="201"/>
      <c r="J1427" s="202"/>
      <c r="K1427" s="202"/>
      <c r="L1427" s="202"/>
      <c r="M1427" s="202"/>
      <c r="N1427" s="202"/>
      <c r="O1427" s="202"/>
      <c r="P1427" s="202"/>
      <c r="Q1427" s="202"/>
      <c r="R1427" s="202"/>
      <c r="S1427" s="202"/>
      <c r="T1427" s="202"/>
    </row>
    <row r="1428" spans="1:20" s="182" customFormat="1" ht="14.15" hidden="1">
      <c r="A1428" s="222">
        <v>45373</v>
      </c>
      <c r="B1428" s="201" t="s">
        <v>1434</v>
      </c>
      <c r="C1428" s="208" t="s">
        <v>27</v>
      </c>
      <c r="D1428" s="592">
        <v>-655695</v>
      </c>
      <c r="E1428" s="619">
        <v>45352</v>
      </c>
      <c r="F1428" s="84" t="s">
        <v>111</v>
      </c>
      <c r="G1428" s="201"/>
      <c r="H1428" s="201"/>
      <c r="I1428" s="201"/>
      <c r="J1428" s="202"/>
      <c r="K1428" s="202"/>
      <c r="L1428" s="202"/>
      <c r="M1428" s="202"/>
      <c r="N1428" s="202"/>
      <c r="O1428" s="202"/>
      <c r="P1428" s="202"/>
      <c r="Q1428" s="202"/>
      <c r="R1428" s="202"/>
      <c r="S1428" s="202"/>
      <c r="T1428" s="202"/>
    </row>
    <row r="1429" spans="1:20" s="182" customFormat="1" ht="14.15" hidden="1">
      <c r="A1429" s="222">
        <v>45373</v>
      </c>
      <c r="B1429" s="201" t="s">
        <v>1435</v>
      </c>
      <c r="C1429" s="208" t="s">
        <v>27</v>
      </c>
      <c r="D1429" s="592">
        <v>-777305</v>
      </c>
      <c r="E1429" s="619">
        <v>45352</v>
      </c>
      <c r="F1429" s="201" t="s">
        <v>118</v>
      </c>
      <c r="G1429" s="201"/>
      <c r="H1429" s="201"/>
      <c r="I1429" s="201"/>
      <c r="J1429" s="202"/>
      <c r="K1429" s="202"/>
      <c r="L1429" s="202"/>
      <c r="M1429" s="202"/>
      <c r="N1429" s="202"/>
      <c r="O1429" s="202"/>
      <c r="P1429" s="202"/>
      <c r="Q1429" s="202"/>
      <c r="R1429" s="202"/>
      <c r="S1429" s="202"/>
      <c r="T1429" s="202"/>
    </row>
    <row r="1430" spans="1:20" s="182" customFormat="1" ht="14.15" hidden="1">
      <c r="A1430" s="222">
        <v>45373</v>
      </c>
      <c r="B1430" s="201" t="s">
        <v>1436</v>
      </c>
      <c r="C1430" s="208" t="s">
        <v>27</v>
      </c>
      <c r="D1430" s="592">
        <v>-2293634.35</v>
      </c>
      <c r="E1430" s="619">
        <v>45352</v>
      </c>
      <c r="F1430" s="84" t="s">
        <v>111</v>
      </c>
      <c r="G1430" s="201"/>
      <c r="H1430" s="201"/>
      <c r="I1430" s="201"/>
      <c r="J1430" s="202"/>
      <c r="K1430" s="202"/>
      <c r="L1430" s="202"/>
      <c r="M1430" s="202"/>
      <c r="N1430" s="202"/>
      <c r="O1430" s="202"/>
      <c r="P1430" s="202"/>
      <c r="Q1430" s="202"/>
      <c r="R1430" s="202"/>
      <c r="S1430" s="202"/>
      <c r="T1430" s="202"/>
    </row>
    <row r="1431" spans="1:20" s="182" customFormat="1" ht="14.15" hidden="1">
      <c r="A1431" s="222">
        <v>45373</v>
      </c>
      <c r="B1431" s="201" t="s">
        <v>1437</v>
      </c>
      <c r="C1431" s="208" t="s">
        <v>27</v>
      </c>
      <c r="D1431" s="592">
        <v>-345100</v>
      </c>
      <c r="E1431" s="619">
        <v>45352</v>
      </c>
      <c r="F1431" s="201" t="s">
        <v>110</v>
      </c>
      <c r="G1431" s="208" t="s">
        <v>453</v>
      </c>
      <c r="H1431" s="201" t="s">
        <v>310</v>
      </c>
      <c r="I1431" s="201"/>
      <c r="J1431" s="202"/>
      <c r="K1431" s="202"/>
      <c r="L1431" s="202"/>
      <c r="M1431" s="202"/>
      <c r="N1431" s="202"/>
      <c r="O1431" s="202"/>
      <c r="P1431" s="202"/>
      <c r="Q1431" s="202"/>
      <c r="R1431" s="202"/>
      <c r="S1431" s="202"/>
      <c r="T1431" s="202"/>
    </row>
    <row r="1432" spans="1:20" s="182" customFormat="1" ht="14.15" hidden="1">
      <c r="A1432" s="222">
        <v>45369</v>
      </c>
      <c r="B1432" s="201" t="s">
        <v>1438</v>
      </c>
      <c r="C1432" s="208" t="s">
        <v>181</v>
      </c>
      <c r="D1432" s="592">
        <v>392852</v>
      </c>
      <c r="E1432" s="619">
        <v>45352</v>
      </c>
      <c r="F1432" s="201" t="s">
        <v>108</v>
      </c>
      <c r="G1432" s="614"/>
      <c r="H1432" s="201"/>
      <c r="I1432" s="201"/>
      <c r="J1432" s="202"/>
      <c r="K1432" s="202"/>
      <c r="L1432" s="202"/>
      <c r="M1432" s="202"/>
      <c r="N1432" s="202"/>
      <c r="O1432" s="202"/>
      <c r="P1432" s="202"/>
      <c r="Q1432" s="202"/>
      <c r="R1432" s="202"/>
      <c r="S1432" s="202"/>
      <c r="T1432" s="202"/>
    </row>
    <row r="1433" spans="1:20" s="182" customFormat="1" ht="14.15" hidden="1">
      <c r="A1433" s="222">
        <v>45369</v>
      </c>
      <c r="B1433" s="201" t="s">
        <v>1295</v>
      </c>
      <c r="C1433" s="208" t="s">
        <v>181</v>
      </c>
      <c r="D1433" s="592">
        <v>2920566</v>
      </c>
      <c r="E1433" s="619">
        <v>45352</v>
      </c>
      <c r="F1433" s="201" t="s">
        <v>108</v>
      </c>
      <c r="G1433" s="201"/>
      <c r="H1433" s="201"/>
      <c r="I1433" s="201"/>
      <c r="J1433" s="202"/>
      <c r="K1433" s="202"/>
      <c r="L1433" s="202"/>
      <c r="M1433" s="202"/>
      <c r="N1433" s="202"/>
      <c r="O1433" s="202"/>
      <c r="P1433" s="202"/>
      <c r="Q1433" s="202"/>
      <c r="R1433" s="202"/>
      <c r="S1433" s="202"/>
      <c r="T1433" s="202"/>
    </row>
    <row r="1434" spans="1:20" s="182" customFormat="1" ht="14.15" hidden="1">
      <c r="A1434" s="222">
        <v>45369</v>
      </c>
      <c r="B1434" s="201" t="s">
        <v>880</v>
      </c>
      <c r="C1434" s="208" t="s">
        <v>181</v>
      </c>
      <c r="D1434" s="592">
        <v>2252967</v>
      </c>
      <c r="E1434" s="619">
        <v>45352</v>
      </c>
      <c r="F1434" s="201" t="s">
        <v>108</v>
      </c>
      <c r="G1434" s="201"/>
      <c r="H1434" s="201"/>
      <c r="I1434" s="201"/>
      <c r="J1434" s="202"/>
      <c r="K1434" s="202"/>
      <c r="L1434" s="202"/>
      <c r="M1434" s="202"/>
      <c r="N1434" s="202"/>
      <c r="O1434" s="202"/>
      <c r="P1434" s="202"/>
      <c r="Q1434" s="202"/>
      <c r="R1434" s="202"/>
      <c r="S1434" s="202"/>
      <c r="T1434" s="202"/>
    </row>
    <row r="1435" spans="1:20" s="182" customFormat="1" ht="14.15" hidden="1">
      <c r="A1435" s="222">
        <v>45368</v>
      </c>
      <c r="B1435" s="201" t="s">
        <v>1439</v>
      </c>
      <c r="C1435" s="208" t="s">
        <v>141</v>
      </c>
      <c r="D1435" s="592">
        <v>-121816.94</v>
      </c>
      <c r="E1435" s="619">
        <v>45352</v>
      </c>
      <c r="F1435" s="201" t="s">
        <v>130</v>
      </c>
      <c r="G1435" s="201" t="s">
        <v>130</v>
      </c>
      <c r="H1435" s="208" t="s">
        <v>143</v>
      </c>
      <c r="I1435" s="201"/>
      <c r="J1435" s="202"/>
      <c r="K1435" s="202"/>
      <c r="L1435" s="202"/>
      <c r="M1435" s="202"/>
      <c r="N1435" s="202"/>
      <c r="O1435" s="202"/>
      <c r="P1435" s="202"/>
      <c r="Q1435" s="202"/>
      <c r="R1435" s="202"/>
      <c r="S1435" s="202"/>
      <c r="T1435" s="202"/>
    </row>
    <row r="1436" spans="1:20" s="182" customFormat="1" ht="14.15" hidden="1">
      <c r="A1436" s="222">
        <v>45369</v>
      </c>
      <c r="B1436" s="201" t="s">
        <v>1440</v>
      </c>
      <c r="C1436" s="208" t="s">
        <v>141</v>
      </c>
      <c r="D1436" s="592">
        <v>-18400</v>
      </c>
      <c r="E1436" s="619">
        <v>45352</v>
      </c>
      <c r="F1436" s="201" t="s">
        <v>130</v>
      </c>
      <c r="G1436" s="201" t="s">
        <v>130</v>
      </c>
      <c r="H1436" s="201" t="s">
        <v>852</v>
      </c>
      <c r="I1436" s="201"/>
      <c r="J1436" s="202"/>
      <c r="K1436" s="202"/>
      <c r="L1436" s="202"/>
      <c r="M1436" s="202"/>
      <c r="N1436" s="202"/>
      <c r="O1436" s="202"/>
      <c r="P1436" s="202"/>
      <c r="Q1436" s="202"/>
      <c r="R1436" s="202"/>
      <c r="S1436" s="202"/>
      <c r="T1436" s="202"/>
    </row>
    <row r="1437" spans="1:20" s="182" customFormat="1" ht="14.15" hidden="1">
      <c r="A1437" s="222">
        <v>45369</v>
      </c>
      <c r="B1437" s="201" t="s">
        <v>1441</v>
      </c>
      <c r="C1437" s="208" t="s">
        <v>141</v>
      </c>
      <c r="D1437" s="592">
        <v>-37000</v>
      </c>
      <c r="E1437" s="619">
        <v>45352</v>
      </c>
      <c r="F1437" s="201" t="s">
        <v>130</v>
      </c>
      <c r="G1437" s="201" t="s">
        <v>257</v>
      </c>
      <c r="H1437" s="201" t="s">
        <v>1138</v>
      </c>
      <c r="I1437" s="201"/>
      <c r="J1437" s="202"/>
      <c r="K1437" s="202"/>
      <c r="L1437" s="202"/>
      <c r="M1437" s="202"/>
      <c r="N1437" s="202"/>
      <c r="O1437" s="202"/>
      <c r="P1437" s="202"/>
      <c r="Q1437" s="202"/>
      <c r="R1437" s="202"/>
      <c r="S1437" s="202"/>
      <c r="T1437" s="202"/>
    </row>
    <row r="1438" spans="1:20" s="182" customFormat="1" ht="14.15" hidden="1">
      <c r="A1438" s="222">
        <v>45370</v>
      </c>
      <c r="B1438" s="201" t="s">
        <v>1442</v>
      </c>
      <c r="C1438" s="208" t="s">
        <v>141</v>
      </c>
      <c r="D1438" s="592">
        <v>-14500</v>
      </c>
      <c r="E1438" s="619">
        <v>45352</v>
      </c>
      <c r="F1438" s="201" t="s">
        <v>130</v>
      </c>
      <c r="G1438" s="201" t="s">
        <v>257</v>
      </c>
      <c r="H1438" s="201" t="s">
        <v>1138</v>
      </c>
      <c r="I1438" s="201"/>
      <c r="J1438" s="202"/>
      <c r="K1438" s="202"/>
      <c r="L1438" s="202"/>
      <c r="M1438" s="202"/>
      <c r="N1438" s="202"/>
      <c r="O1438" s="202"/>
      <c r="P1438" s="202"/>
      <c r="Q1438" s="202"/>
      <c r="R1438" s="202"/>
      <c r="S1438" s="202"/>
      <c r="T1438" s="202"/>
    </row>
    <row r="1439" spans="1:20" s="182" customFormat="1" ht="14.15" hidden="1">
      <c r="A1439" s="222">
        <v>45371</v>
      </c>
      <c r="B1439" s="201" t="s">
        <v>1443</v>
      </c>
      <c r="C1439" s="208" t="s">
        <v>141</v>
      </c>
      <c r="D1439" s="592">
        <v>-1008369.22</v>
      </c>
      <c r="E1439" s="619">
        <v>45352</v>
      </c>
      <c r="F1439" s="201" t="s">
        <v>130</v>
      </c>
      <c r="G1439" s="201" t="s">
        <v>130</v>
      </c>
      <c r="H1439" s="208" t="s">
        <v>143</v>
      </c>
      <c r="I1439" s="201"/>
      <c r="J1439" s="202"/>
      <c r="K1439" s="202"/>
      <c r="L1439" s="202"/>
      <c r="M1439" s="202"/>
      <c r="N1439" s="202"/>
      <c r="O1439" s="202"/>
      <c r="P1439" s="202"/>
      <c r="Q1439" s="202"/>
      <c r="R1439" s="202"/>
      <c r="S1439" s="202"/>
      <c r="T1439" s="202"/>
    </row>
    <row r="1440" spans="1:20" s="182" customFormat="1" ht="14.15" hidden="1">
      <c r="A1440" s="222">
        <v>45371</v>
      </c>
      <c r="B1440" s="201" t="s">
        <v>1443</v>
      </c>
      <c r="C1440" s="208" t="s">
        <v>141</v>
      </c>
      <c r="D1440" s="592">
        <v>-39138.410000000003</v>
      </c>
      <c r="E1440" s="619">
        <v>45352</v>
      </c>
      <c r="F1440" s="201" t="s">
        <v>130</v>
      </c>
      <c r="G1440" s="201" t="s">
        <v>130</v>
      </c>
      <c r="H1440" s="208" t="s">
        <v>143</v>
      </c>
      <c r="I1440" s="201"/>
      <c r="J1440" s="202"/>
      <c r="K1440" s="202"/>
      <c r="L1440" s="202"/>
      <c r="M1440" s="202"/>
      <c r="N1440" s="202"/>
      <c r="O1440" s="202"/>
      <c r="P1440" s="202"/>
      <c r="Q1440" s="202"/>
      <c r="R1440" s="202"/>
      <c r="S1440" s="202"/>
      <c r="T1440" s="202"/>
    </row>
    <row r="1441" spans="1:20" s="182" customFormat="1" ht="14.15" hidden="1">
      <c r="A1441" s="222">
        <v>45371</v>
      </c>
      <c r="B1441" s="201" t="s">
        <v>1444</v>
      </c>
      <c r="C1441" s="208" t="s">
        <v>141</v>
      </c>
      <c r="D1441" s="592">
        <v>-645000</v>
      </c>
      <c r="E1441" s="619">
        <v>45352</v>
      </c>
      <c r="F1441" s="201" t="s">
        <v>130</v>
      </c>
      <c r="G1441" s="201" t="s">
        <v>257</v>
      </c>
      <c r="H1441" s="201" t="s">
        <v>1182</v>
      </c>
      <c r="I1441" s="201"/>
      <c r="J1441" s="202"/>
      <c r="K1441" s="202"/>
      <c r="L1441" s="202"/>
      <c r="M1441" s="202"/>
      <c r="N1441" s="202"/>
      <c r="O1441" s="202"/>
      <c r="P1441" s="202"/>
      <c r="Q1441" s="202"/>
      <c r="R1441" s="202"/>
      <c r="S1441" s="202"/>
      <c r="T1441" s="202"/>
    </row>
    <row r="1442" spans="1:20" s="182" customFormat="1" ht="14.15" hidden="1">
      <c r="A1442" s="222">
        <v>45372</v>
      </c>
      <c r="B1442" s="201" t="s">
        <v>1445</v>
      </c>
      <c r="C1442" s="208" t="s">
        <v>141</v>
      </c>
      <c r="D1442" s="592">
        <v>-37500</v>
      </c>
      <c r="E1442" s="619">
        <v>45352</v>
      </c>
      <c r="F1442" s="201" t="s">
        <v>130</v>
      </c>
      <c r="G1442" s="201" t="s">
        <v>130</v>
      </c>
      <c r="H1442" s="201" t="s">
        <v>184</v>
      </c>
      <c r="I1442" s="201"/>
      <c r="J1442" s="202"/>
      <c r="K1442" s="202"/>
      <c r="L1442" s="202"/>
      <c r="M1442" s="202"/>
      <c r="N1442" s="202"/>
      <c r="O1442" s="202"/>
      <c r="P1442" s="202"/>
      <c r="Q1442" s="202"/>
      <c r="R1442" s="202"/>
      <c r="S1442" s="202"/>
      <c r="T1442" s="202"/>
    </row>
    <row r="1443" spans="1:20" s="182" customFormat="1" ht="14.15" hidden="1">
      <c r="A1443" s="222">
        <v>45372</v>
      </c>
      <c r="B1443" s="201" t="s">
        <v>1441</v>
      </c>
      <c r="C1443" s="208" t="s">
        <v>141</v>
      </c>
      <c r="D1443" s="592">
        <v>-30400</v>
      </c>
      <c r="E1443" s="619">
        <v>45352</v>
      </c>
      <c r="F1443" s="201" t="s">
        <v>130</v>
      </c>
      <c r="G1443" s="201" t="s">
        <v>130</v>
      </c>
      <c r="H1443" s="201" t="s">
        <v>852</v>
      </c>
      <c r="I1443" s="201"/>
      <c r="J1443" s="202"/>
      <c r="K1443" s="202"/>
      <c r="L1443" s="202"/>
      <c r="M1443" s="202"/>
      <c r="N1443" s="202"/>
      <c r="O1443" s="202"/>
      <c r="P1443" s="202"/>
      <c r="Q1443" s="202"/>
      <c r="R1443" s="202"/>
      <c r="S1443" s="202"/>
      <c r="T1443" s="202"/>
    </row>
    <row r="1444" spans="1:20" s="182" customFormat="1" ht="14.15" hidden="1">
      <c r="A1444" s="222">
        <v>45370</v>
      </c>
      <c r="B1444" s="201" t="s">
        <v>1446</v>
      </c>
      <c r="C1444" s="208" t="s">
        <v>27</v>
      </c>
      <c r="D1444" s="592">
        <v>18000000</v>
      </c>
      <c r="E1444" s="619">
        <v>45352</v>
      </c>
      <c r="F1444" s="201" t="s">
        <v>109</v>
      </c>
      <c r="G1444" s="201" t="s">
        <v>1330</v>
      </c>
      <c r="H1444" s="201" t="s">
        <v>461</v>
      </c>
      <c r="I1444" s="201"/>
      <c r="J1444" s="202"/>
      <c r="K1444" s="202"/>
      <c r="L1444" s="202"/>
      <c r="M1444" s="202"/>
      <c r="N1444" s="202"/>
      <c r="O1444" s="202"/>
      <c r="P1444" s="202"/>
      <c r="Q1444" s="202"/>
      <c r="R1444" s="202"/>
      <c r="S1444" s="202"/>
      <c r="T1444" s="202"/>
    </row>
    <row r="1445" spans="1:20" s="182" customFormat="1" ht="14.15" hidden="1">
      <c r="A1445" s="222">
        <v>45366</v>
      </c>
      <c r="B1445" s="201" t="s">
        <v>1447</v>
      </c>
      <c r="C1445" s="208" t="s">
        <v>181</v>
      </c>
      <c r="D1445" s="592">
        <v>4215131</v>
      </c>
      <c r="E1445" s="619">
        <v>45352</v>
      </c>
      <c r="F1445" s="201" t="s">
        <v>108</v>
      </c>
      <c r="G1445" s="201"/>
      <c r="H1445" s="201"/>
      <c r="I1445" s="201"/>
      <c r="J1445" s="202"/>
      <c r="K1445" s="202"/>
      <c r="L1445" s="202"/>
      <c r="M1445" s="202"/>
      <c r="N1445" s="202"/>
      <c r="O1445" s="202"/>
      <c r="P1445" s="202"/>
      <c r="Q1445" s="202"/>
      <c r="R1445" s="202"/>
      <c r="S1445" s="202"/>
      <c r="T1445" s="202"/>
    </row>
    <row r="1446" spans="1:20" s="182" customFormat="1" ht="14.15" hidden="1">
      <c r="A1446" s="222">
        <v>45352</v>
      </c>
      <c r="B1446" s="201" t="s">
        <v>1448</v>
      </c>
      <c r="C1446" s="208" t="s">
        <v>1106</v>
      </c>
      <c r="D1446" s="592">
        <v>-81000</v>
      </c>
      <c r="E1446" s="619">
        <v>45352</v>
      </c>
      <c r="F1446" s="201" t="s">
        <v>130</v>
      </c>
      <c r="G1446" s="201" t="s">
        <v>257</v>
      </c>
      <c r="H1446" s="201" t="s">
        <v>1138</v>
      </c>
      <c r="I1446" s="201"/>
      <c r="J1446" s="202"/>
      <c r="K1446" s="202"/>
      <c r="L1446" s="202"/>
      <c r="M1446" s="202"/>
      <c r="N1446" s="202"/>
      <c r="O1446" s="202"/>
      <c r="P1446" s="202"/>
      <c r="Q1446" s="202"/>
      <c r="R1446" s="202"/>
      <c r="S1446" s="202"/>
      <c r="T1446" s="202"/>
    </row>
    <row r="1447" spans="1:20" s="182" customFormat="1" ht="14.15" hidden="1">
      <c r="A1447" s="222">
        <v>45377</v>
      </c>
      <c r="B1447" s="201" t="s">
        <v>1449</v>
      </c>
      <c r="C1447" s="208" t="s">
        <v>27</v>
      </c>
      <c r="D1447" s="592">
        <v>-475300</v>
      </c>
      <c r="E1447" s="619">
        <v>45352</v>
      </c>
      <c r="F1447" s="201" t="s">
        <v>109</v>
      </c>
      <c r="G1447" s="208" t="s">
        <v>120</v>
      </c>
      <c r="H1447" s="208" t="s">
        <v>175</v>
      </c>
      <c r="I1447" s="201"/>
      <c r="J1447" s="202"/>
      <c r="K1447" s="202"/>
      <c r="L1447" s="202"/>
      <c r="M1447" s="202"/>
      <c r="N1447" s="202"/>
      <c r="O1447" s="202"/>
      <c r="P1447" s="202"/>
      <c r="Q1447" s="202"/>
      <c r="R1447" s="202"/>
      <c r="S1447" s="202"/>
      <c r="T1447" s="202"/>
    </row>
    <row r="1448" spans="1:20" s="182" customFormat="1" ht="14.15" hidden="1">
      <c r="A1448" s="222">
        <v>45377</v>
      </c>
      <c r="B1448" s="201" t="s">
        <v>1450</v>
      </c>
      <c r="C1448" s="208" t="s">
        <v>27</v>
      </c>
      <c r="D1448" s="592">
        <v>-5066500</v>
      </c>
      <c r="E1448" s="619">
        <v>45352</v>
      </c>
      <c r="F1448" s="201" t="s">
        <v>109</v>
      </c>
      <c r="G1448" s="208" t="s">
        <v>120</v>
      </c>
      <c r="H1448" s="201" t="s">
        <v>416</v>
      </c>
      <c r="I1448" s="201"/>
      <c r="J1448" s="202"/>
      <c r="K1448" s="202"/>
      <c r="L1448" s="202"/>
      <c r="M1448" s="202"/>
      <c r="N1448" s="202"/>
      <c r="O1448" s="202"/>
      <c r="P1448" s="202"/>
      <c r="Q1448" s="202"/>
      <c r="R1448" s="202"/>
      <c r="S1448" s="202"/>
      <c r="T1448" s="202"/>
    </row>
    <row r="1449" spans="1:20" s="182" customFormat="1" ht="14.15" hidden="1">
      <c r="A1449" s="222">
        <v>45377</v>
      </c>
      <c r="B1449" s="201" t="s">
        <v>1451</v>
      </c>
      <c r="C1449" s="208" t="s">
        <v>27</v>
      </c>
      <c r="D1449" s="592">
        <v>-1103674</v>
      </c>
      <c r="E1449" s="619">
        <v>45352</v>
      </c>
      <c r="F1449" s="201" t="s">
        <v>110</v>
      </c>
      <c r="G1449" s="208" t="s">
        <v>453</v>
      </c>
      <c r="H1449" s="201" t="s">
        <v>585</v>
      </c>
      <c r="I1449" s="201"/>
      <c r="J1449" s="202"/>
      <c r="K1449" s="202"/>
      <c r="L1449" s="202"/>
      <c r="M1449" s="202"/>
      <c r="N1449" s="202"/>
      <c r="O1449" s="202"/>
      <c r="P1449" s="202"/>
      <c r="Q1449" s="202"/>
      <c r="R1449" s="202"/>
      <c r="S1449" s="202"/>
      <c r="T1449" s="202"/>
    </row>
    <row r="1450" spans="1:20" s="182" customFormat="1" ht="14.15" hidden="1">
      <c r="A1450" s="222">
        <v>45377</v>
      </c>
      <c r="B1450" s="201" t="s">
        <v>1452</v>
      </c>
      <c r="C1450" s="208" t="s">
        <v>27</v>
      </c>
      <c r="D1450" s="592">
        <v>-2272128</v>
      </c>
      <c r="E1450" s="619">
        <v>45352</v>
      </c>
      <c r="F1450" s="201" t="s">
        <v>109</v>
      </c>
      <c r="G1450" s="208" t="s">
        <v>120</v>
      </c>
      <c r="H1450" s="208" t="s">
        <v>175</v>
      </c>
      <c r="I1450" s="201"/>
      <c r="J1450" s="202"/>
      <c r="K1450" s="202"/>
      <c r="L1450" s="202"/>
      <c r="M1450" s="202"/>
      <c r="N1450" s="202"/>
      <c r="O1450" s="202"/>
      <c r="P1450" s="202"/>
      <c r="Q1450" s="202"/>
      <c r="R1450" s="202"/>
      <c r="S1450" s="202"/>
      <c r="T1450" s="202"/>
    </row>
    <row r="1451" spans="1:20" s="182" customFormat="1" ht="14.15" hidden="1">
      <c r="A1451" s="222">
        <v>45377</v>
      </c>
      <c r="B1451" s="201" t="s">
        <v>1453</v>
      </c>
      <c r="C1451" s="208" t="s">
        <v>27</v>
      </c>
      <c r="D1451" s="592">
        <v>-181000</v>
      </c>
      <c r="E1451" s="619">
        <v>45352</v>
      </c>
      <c r="F1451" s="201" t="s">
        <v>130</v>
      </c>
      <c r="G1451" s="201" t="s">
        <v>130</v>
      </c>
      <c r="H1451" s="201" t="s">
        <v>184</v>
      </c>
      <c r="I1451" s="201"/>
      <c r="J1451" s="202"/>
      <c r="K1451" s="202"/>
      <c r="L1451" s="202"/>
      <c r="M1451" s="202"/>
      <c r="N1451" s="202"/>
      <c r="O1451" s="202"/>
      <c r="P1451" s="202"/>
      <c r="Q1451" s="202"/>
      <c r="R1451" s="202"/>
      <c r="S1451" s="202"/>
      <c r="T1451" s="202"/>
    </row>
    <row r="1452" spans="1:20" s="182" customFormat="1" ht="14.15" hidden="1">
      <c r="A1452" s="222">
        <v>45377</v>
      </c>
      <c r="B1452" s="201" t="s">
        <v>1454</v>
      </c>
      <c r="C1452" s="208" t="s">
        <v>27</v>
      </c>
      <c r="D1452" s="800">
        <v>-637533</v>
      </c>
      <c r="E1452" s="619">
        <v>45352</v>
      </c>
      <c r="F1452" s="201" t="s">
        <v>109</v>
      </c>
      <c r="G1452" s="201" t="s">
        <v>583</v>
      </c>
      <c r="H1452" s="201"/>
      <c r="I1452" s="201"/>
      <c r="J1452" s="202"/>
      <c r="K1452" s="202"/>
      <c r="L1452" s="202"/>
      <c r="M1452" s="202"/>
      <c r="N1452" s="202"/>
      <c r="O1452" s="202"/>
      <c r="P1452" s="202"/>
      <c r="Q1452" s="202"/>
      <c r="R1452" s="202"/>
      <c r="S1452" s="202"/>
      <c r="T1452" s="202"/>
    </row>
    <row r="1453" spans="1:20" s="182" customFormat="1" ht="14.15" hidden="1">
      <c r="A1453" s="222">
        <v>45377</v>
      </c>
      <c r="B1453" s="201" t="s">
        <v>1455</v>
      </c>
      <c r="C1453" s="208" t="s">
        <v>27</v>
      </c>
      <c r="D1453" s="592">
        <v>-39040</v>
      </c>
      <c r="E1453" s="619">
        <v>45352</v>
      </c>
      <c r="F1453" s="201" t="s">
        <v>130</v>
      </c>
      <c r="G1453" s="201" t="s">
        <v>130</v>
      </c>
      <c r="H1453" s="629" t="s">
        <v>406</v>
      </c>
      <c r="I1453" s="201"/>
      <c r="J1453" s="202"/>
      <c r="K1453" s="202"/>
      <c r="L1453" s="202"/>
      <c r="M1453" s="202"/>
      <c r="N1453" s="202"/>
      <c r="O1453" s="202"/>
      <c r="P1453" s="202"/>
      <c r="Q1453" s="202"/>
      <c r="R1453" s="202"/>
      <c r="S1453" s="202"/>
      <c r="T1453" s="202"/>
    </row>
    <row r="1454" spans="1:20" s="182" customFormat="1" ht="14.15" hidden="1">
      <c r="A1454" s="222">
        <v>45377</v>
      </c>
      <c r="B1454" s="201" t="s">
        <v>1456</v>
      </c>
      <c r="C1454" s="208" t="s">
        <v>27</v>
      </c>
      <c r="D1454" s="592">
        <v>-34114</v>
      </c>
      <c r="E1454" s="619">
        <v>45352</v>
      </c>
      <c r="F1454" s="201" t="s">
        <v>130</v>
      </c>
      <c r="G1454" s="201" t="s">
        <v>257</v>
      </c>
      <c r="H1454" s="201" t="s">
        <v>406</v>
      </c>
      <c r="I1454" s="201"/>
      <c r="J1454" s="202"/>
      <c r="K1454" s="202"/>
      <c r="L1454" s="202"/>
      <c r="M1454" s="202"/>
      <c r="N1454" s="202"/>
      <c r="O1454" s="202"/>
      <c r="P1454" s="202"/>
      <c r="Q1454" s="202"/>
      <c r="R1454" s="202"/>
      <c r="S1454" s="202"/>
      <c r="T1454" s="202"/>
    </row>
    <row r="1455" spans="1:20" s="182" customFormat="1" ht="14.15" hidden="1">
      <c r="A1455" s="222">
        <v>45377</v>
      </c>
      <c r="B1455" s="201" t="s">
        <v>1453</v>
      </c>
      <c r="C1455" s="208" t="s">
        <v>27</v>
      </c>
      <c r="D1455" s="592">
        <v>-80000</v>
      </c>
      <c r="E1455" s="619">
        <v>45352</v>
      </c>
      <c r="F1455" s="201" t="s">
        <v>130</v>
      </c>
      <c r="G1455" s="201" t="s">
        <v>130</v>
      </c>
      <c r="H1455" s="201" t="s">
        <v>184</v>
      </c>
      <c r="I1455" s="201"/>
      <c r="J1455" s="202"/>
      <c r="K1455" s="202"/>
      <c r="L1455" s="202"/>
      <c r="M1455" s="202"/>
      <c r="N1455" s="202"/>
      <c r="O1455" s="202"/>
      <c r="P1455" s="202"/>
      <c r="Q1455" s="202"/>
      <c r="R1455" s="202"/>
      <c r="S1455" s="202"/>
      <c r="T1455" s="202"/>
    </row>
    <row r="1456" spans="1:20" s="182" customFormat="1" ht="14.15" hidden="1">
      <c r="A1456" s="222">
        <v>45377</v>
      </c>
      <c r="B1456" s="201" t="s">
        <v>1457</v>
      </c>
      <c r="C1456" s="208" t="s">
        <v>27</v>
      </c>
      <c r="D1456" s="592">
        <v>-177000</v>
      </c>
      <c r="E1456" s="619">
        <v>45352</v>
      </c>
      <c r="F1456" s="201" t="s">
        <v>130</v>
      </c>
      <c r="G1456" s="201" t="s">
        <v>130</v>
      </c>
      <c r="H1456" s="201" t="s">
        <v>184</v>
      </c>
      <c r="I1456" s="201"/>
      <c r="J1456" s="202"/>
      <c r="K1456" s="202"/>
      <c r="L1456" s="202"/>
      <c r="M1456" s="202"/>
      <c r="N1456" s="202"/>
      <c r="O1456" s="202"/>
      <c r="P1456" s="202"/>
      <c r="Q1456" s="202"/>
      <c r="R1456" s="202"/>
      <c r="S1456" s="202"/>
      <c r="T1456" s="202"/>
    </row>
    <row r="1457" spans="1:149" s="182" customFormat="1" ht="14.15" hidden="1">
      <c r="A1457" s="222">
        <v>45377</v>
      </c>
      <c r="B1457" s="201" t="s">
        <v>1458</v>
      </c>
      <c r="C1457" s="208" t="s">
        <v>27</v>
      </c>
      <c r="D1457" s="592">
        <v>-150000</v>
      </c>
      <c r="E1457" s="619">
        <v>45352</v>
      </c>
      <c r="F1457" s="201" t="s">
        <v>109</v>
      </c>
      <c r="G1457" s="208" t="s">
        <v>120</v>
      </c>
      <c r="H1457" s="81" t="s">
        <v>138</v>
      </c>
      <c r="I1457" s="201"/>
      <c r="J1457" s="202"/>
      <c r="K1457" s="202"/>
      <c r="L1457" s="202"/>
      <c r="M1457" s="202"/>
      <c r="N1457" s="202"/>
      <c r="O1457" s="202"/>
      <c r="P1457" s="202"/>
      <c r="Q1457" s="202"/>
      <c r="R1457" s="202"/>
      <c r="S1457" s="202"/>
      <c r="T1457" s="202"/>
    </row>
    <row r="1458" spans="1:149" s="182" customFormat="1" ht="14.15" hidden="1">
      <c r="A1458" s="222">
        <v>45377</v>
      </c>
      <c r="B1458" s="201" t="s">
        <v>1459</v>
      </c>
      <c r="C1458" s="208" t="s">
        <v>27</v>
      </c>
      <c r="D1458" s="592">
        <v>-3278500</v>
      </c>
      <c r="E1458" s="619">
        <v>45352</v>
      </c>
      <c r="F1458" s="201" t="s">
        <v>109</v>
      </c>
      <c r="G1458" s="208" t="s">
        <v>120</v>
      </c>
      <c r="H1458" s="201"/>
      <c r="I1458" s="201"/>
      <c r="J1458" s="202"/>
      <c r="K1458" s="202"/>
      <c r="L1458" s="202"/>
      <c r="M1458" s="202"/>
      <c r="N1458" s="202"/>
      <c r="O1458" s="202"/>
      <c r="P1458" s="202"/>
      <c r="Q1458" s="202"/>
      <c r="R1458" s="202"/>
      <c r="S1458" s="202"/>
      <c r="T1458" s="202"/>
    </row>
    <row r="1459" spans="1:149" s="182" customFormat="1" ht="14.15" hidden="1">
      <c r="A1459" s="222">
        <v>45377</v>
      </c>
      <c r="B1459" s="201" t="s">
        <v>1460</v>
      </c>
      <c r="C1459" s="208" t="s">
        <v>27</v>
      </c>
      <c r="D1459" s="592">
        <v>-2510675</v>
      </c>
      <c r="E1459" s="619">
        <v>45352</v>
      </c>
      <c r="F1459" s="201" t="s">
        <v>207</v>
      </c>
      <c r="G1459" s="291"/>
      <c r="H1459" s="201"/>
      <c r="I1459" s="201"/>
      <c r="J1459" s="202"/>
      <c r="K1459" s="202"/>
      <c r="L1459" s="202"/>
      <c r="M1459" s="202"/>
      <c r="N1459" s="202"/>
      <c r="O1459" s="202"/>
      <c r="P1459" s="202"/>
      <c r="Q1459" s="202"/>
      <c r="R1459" s="202"/>
      <c r="S1459" s="202"/>
      <c r="T1459" s="202"/>
    </row>
    <row r="1460" spans="1:149" s="182" customFormat="1" ht="14.15" hidden="1">
      <c r="A1460" s="222">
        <v>45377</v>
      </c>
      <c r="B1460" s="201" t="s">
        <v>1461</v>
      </c>
      <c r="C1460" s="208" t="s">
        <v>27</v>
      </c>
      <c r="D1460" s="800">
        <v>-2650000</v>
      </c>
      <c r="E1460" s="619">
        <v>45352</v>
      </c>
      <c r="F1460" s="201" t="s">
        <v>109</v>
      </c>
      <c r="G1460" s="201" t="s">
        <v>581</v>
      </c>
      <c r="H1460" s="201"/>
      <c r="I1460" s="201"/>
      <c r="J1460" s="202"/>
      <c r="K1460" s="202"/>
      <c r="L1460" s="202"/>
      <c r="M1460" s="202"/>
      <c r="N1460" s="202"/>
      <c r="O1460" s="202"/>
      <c r="P1460" s="202"/>
      <c r="Q1460" s="202"/>
      <c r="R1460" s="202"/>
      <c r="S1460" s="202"/>
      <c r="T1460" s="202"/>
    </row>
    <row r="1461" spans="1:149" s="182" customFormat="1" ht="14.15" hidden="1">
      <c r="A1461" s="222">
        <v>45378</v>
      </c>
      <c r="B1461" s="201" t="s">
        <v>1462</v>
      </c>
      <c r="C1461" s="208" t="s">
        <v>27</v>
      </c>
      <c r="D1461" s="592">
        <v>-6272100</v>
      </c>
      <c r="E1461" s="619">
        <v>45352</v>
      </c>
      <c r="F1461" s="201" t="s">
        <v>109</v>
      </c>
      <c r="G1461" s="208" t="s">
        <v>120</v>
      </c>
      <c r="H1461" s="201"/>
      <c r="I1461" s="201"/>
      <c r="J1461" s="202"/>
      <c r="K1461" s="202"/>
      <c r="L1461" s="202"/>
      <c r="M1461" s="202"/>
      <c r="N1461" s="202"/>
      <c r="O1461" s="202"/>
      <c r="P1461" s="202"/>
      <c r="Q1461" s="202"/>
      <c r="R1461" s="202"/>
      <c r="S1461" s="202"/>
      <c r="T1461" s="202"/>
    </row>
    <row r="1462" spans="1:149" s="182" customFormat="1" ht="14.15" hidden="1">
      <c r="A1462" s="222">
        <v>45377</v>
      </c>
      <c r="B1462" s="201" t="s">
        <v>1460</v>
      </c>
      <c r="C1462" s="208" t="s">
        <v>27</v>
      </c>
      <c r="D1462" s="592">
        <v>-606900</v>
      </c>
      <c r="E1462" s="619">
        <v>45352</v>
      </c>
      <c r="F1462" s="201" t="s">
        <v>110</v>
      </c>
      <c r="G1462" s="208" t="s">
        <v>450</v>
      </c>
      <c r="H1462" s="201" t="s">
        <v>1463</v>
      </c>
      <c r="I1462" s="201"/>
      <c r="J1462" s="202"/>
      <c r="K1462" s="202"/>
      <c r="L1462" s="202"/>
      <c r="M1462" s="202"/>
      <c r="N1462" s="202"/>
      <c r="O1462" s="202"/>
      <c r="P1462" s="202"/>
      <c r="Q1462" s="202"/>
      <c r="R1462" s="202"/>
      <c r="S1462" s="202"/>
      <c r="T1462" s="202"/>
    </row>
    <row r="1463" spans="1:149" s="182" customFormat="1" ht="14.15" hidden="1">
      <c r="A1463" s="222">
        <v>45377</v>
      </c>
      <c r="B1463" s="201" t="s">
        <v>1460</v>
      </c>
      <c r="C1463" s="208" t="s">
        <v>27</v>
      </c>
      <c r="D1463" s="592">
        <v>-100000</v>
      </c>
      <c r="E1463" s="619">
        <v>45352</v>
      </c>
      <c r="F1463" s="291" t="s">
        <v>109</v>
      </c>
      <c r="G1463" s="208" t="s">
        <v>525</v>
      </c>
      <c r="H1463" s="201" t="s">
        <v>1463</v>
      </c>
      <c r="I1463" s="201"/>
      <c r="J1463" s="202"/>
      <c r="K1463" s="202"/>
      <c r="L1463" s="202"/>
      <c r="M1463" s="202"/>
      <c r="N1463" s="202"/>
      <c r="O1463" s="202"/>
      <c r="P1463" s="202"/>
      <c r="Q1463" s="202"/>
      <c r="R1463" s="202"/>
      <c r="S1463" s="202"/>
      <c r="T1463" s="202"/>
    </row>
    <row r="1464" spans="1:149" s="182" customFormat="1" ht="14.15" hidden="1">
      <c r="A1464" s="222">
        <v>45377</v>
      </c>
      <c r="B1464" s="201" t="s">
        <v>1460</v>
      </c>
      <c r="C1464" s="208" t="s">
        <v>27</v>
      </c>
      <c r="D1464" s="592">
        <v>-222221</v>
      </c>
      <c r="E1464" s="619">
        <v>45352</v>
      </c>
      <c r="F1464" s="291" t="s">
        <v>109</v>
      </c>
      <c r="G1464" s="208" t="s">
        <v>525</v>
      </c>
      <c r="H1464" s="201" t="s">
        <v>1463</v>
      </c>
      <c r="I1464" s="201"/>
      <c r="J1464" s="202"/>
      <c r="K1464" s="202"/>
      <c r="L1464" s="202"/>
      <c r="M1464" s="202"/>
      <c r="N1464" s="202"/>
      <c r="O1464" s="202"/>
      <c r="P1464" s="202"/>
      <c r="Q1464" s="202"/>
      <c r="R1464" s="202"/>
      <c r="S1464" s="202"/>
      <c r="T1464" s="202"/>
    </row>
    <row r="1465" spans="1:149" s="182" customFormat="1" ht="14.15" hidden="1">
      <c r="A1465" s="222">
        <v>45378</v>
      </c>
      <c r="B1465" s="201" t="s">
        <v>1464</v>
      </c>
      <c r="C1465" s="208" t="s">
        <v>27</v>
      </c>
      <c r="D1465" s="592">
        <v>-12587287.200000005</v>
      </c>
      <c r="E1465" s="619">
        <v>45352</v>
      </c>
      <c r="F1465" s="201" t="s">
        <v>110</v>
      </c>
      <c r="G1465" s="208" t="s">
        <v>774</v>
      </c>
      <c r="H1465" s="201" t="s">
        <v>123</v>
      </c>
      <c r="I1465" s="201"/>
      <c r="J1465" s="202"/>
      <c r="K1465" s="202"/>
      <c r="L1465" s="202"/>
      <c r="M1465" s="202"/>
      <c r="N1465" s="202"/>
      <c r="O1465" s="202"/>
      <c r="P1465" s="202"/>
      <c r="Q1465" s="202"/>
      <c r="R1465" s="202"/>
      <c r="S1465" s="202"/>
      <c r="T1465" s="202"/>
    </row>
    <row r="1466" spans="1:149" s="182" customFormat="1" ht="14.15" hidden="1">
      <c r="A1466" s="222">
        <v>45378</v>
      </c>
      <c r="B1466" s="201" t="s">
        <v>1465</v>
      </c>
      <c r="C1466" s="208" t="s">
        <v>27</v>
      </c>
      <c r="D1466" s="592">
        <v>-300000</v>
      </c>
      <c r="E1466" s="619">
        <v>45352</v>
      </c>
      <c r="F1466" s="201" t="s">
        <v>109</v>
      </c>
      <c r="G1466" s="208" t="s">
        <v>120</v>
      </c>
      <c r="H1466" s="201"/>
      <c r="I1466" s="201"/>
      <c r="J1466" s="202"/>
      <c r="K1466" s="202"/>
      <c r="L1466" s="202"/>
      <c r="M1466" s="202"/>
      <c r="N1466" s="202"/>
      <c r="O1466" s="202"/>
      <c r="P1466" s="202"/>
      <c r="Q1466" s="202"/>
      <c r="R1466" s="202"/>
      <c r="S1466" s="202"/>
      <c r="T1466" s="202"/>
    </row>
    <row r="1467" spans="1:149" s="182" customFormat="1" ht="14.15" hidden="1">
      <c r="A1467" s="222">
        <v>45378</v>
      </c>
      <c r="B1467" s="201" t="s">
        <v>1466</v>
      </c>
      <c r="C1467" s="208" t="s">
        <v>27</v>
      </c>
      <c r="D1467" s="592">
        <v>-663616</v>
      </c>
      <c r="E1467" s="619">
        <v>45352</v>
      </c>
      <c r="F1467" s="201" t="s">
        <v>109</v>
      </c>
      <c r="G1467" s="208" t="s">
        <v>120</v>
      </c>
      <c r="H1467" s="201" t="s">
        <v>323</v>
      </c>
      <c r="I1467" s="201"/>
      <c r="J1467" s="202"/>
      <c r="K1467" s="202"/>
      <c r="L1467" s="202"/>
      <c r="M1467" s="202"/>
      <c r="N1467" s="202"/>
      <c r="O1467" s="202"/>
      <c r="P1467" s="202"/>
      <c r="Q1467" s="202"/>
      <c r="R1467" s="202"/>
      <c r="S1467" s="202"/>
      <c r="T1467" s="202"/>
    </row>
    <row r="1468" spans="1:149" s="182" customFormat="1" ht="14.15" hidden="1">
      <c r="A1468" s="222">
        <v>45378</v>
      </c>
      <c r="B1468" s="201" t="s">
        <v>1467</v>
      </c>
      <c r="C1468" s="208" t="s">
        <v>27</v>
      </c>
      <c r="D1468" s="592">
        <v>-805000</v>
      </c>
      <c r="E1468" s="619">
        <v>45352</v>
      </c>
      <c r="F1468" s="201" t="s">
        <v>130</v>
      </c>
      <c r="G1468" s="291" t="s">
        <v>130</v>
      </c>
      <c r="H1468" s="201" t="s">
        <v>323</v>
      </c>
      <c r="I1468" s="201"/>
      <c r="J1468" s="202"/>
      <c r="K1468" s="202"/>
      <c r="L1468" s="202"/>
      <c r="M1468" s="202"/>
      <c r="N1468" s="202"/>
      <c r="O1468" s="202"/>
      <c r="P1468" s="202"/>
      <c r="Q1468" s="202"/>
      <c r="R1468" s="202"/>
      <c r="S1468" s="202"/>
      <c r="T1468" s="202"/>
    </row>
    <row r="1469" spans="1:149" s="182" customFormat="1" ht="14.15" hidden="1">
      <c r="A1469" s="222">
        <v>45378</v>
      </c>
      <c r="B1469" s="201" t="s">
        <v>1468</v>
      </c>
      <c r="C1469" s="208" t="s">
        <v>27</v>
      </c>
      <c r="D1469" s="592">
        <v>-1000000</v>
      </c>
      <c r="E1469" s="619">
        <v>45352</v>
      </c>
      <c r="F1469" s="201" t="s">
        <v>109</v>
      </c>
      <c r="G1469" s="208" t="s">
        <v>120</v>
      </c>
      <c r="H1469" s="201"/>
      <c r="I1469" s="201"/>
      <c r="J1469" s="202"/>
      <c r="K1469" s="202"/>
      <c r="L1469" s="202"/>
      <c r="M1469" s="202"/>
      <c r="N1469" s="202"/>
      <c r="O1469" s="202"/>
      <c r="P1469" s="202"/>
      <c r="Q1469" s="202"/>
      <c r="R1469" s="202"/>
      <c r="S1469" s="202"/>
      <c r="T1469" s="202"/>
    </row>
    <row r="1470" spans="1:149" s="182" customFormat="1" ht="14.15" hidden="1">
      <c r="A1470" s="222">
        <v>45378</v>
      </c>
      <c r="B1470" s="201" t="s">
        <v>1469</v>
      </c>
      <c r="C1470" s="208" t="s">
        <v>27</v>
      </c>
      <c r="D1470" s="592">
        <v>-285000</v>
      </c>
      <c r="E1470" s="619">
        <v>45352</v>
      </c>
      <c r="F1470" s="201" t="s">
        <v>109</v>
      </c>
      <c r="G1470" s="208" t="s">
        <v>120</v>
      </c>
      <c r="H1470" s="201"/>
      <c r="I1470" s="201"/>
      <c r="J1470" s="202"/>
      <c r="K1470" s="202"/>
      <c r="L1470" s="202"/>
      <c r="M1470" s="202"/>
      <c r="N1470" s="202"/>
      <c r="O1470" s="202"/>
      <c r="P1470" s="202"/>
      <c r="Q1470" s="202"/>
      <c r="R1470" s="202"/>
      <c r="S1470" s="202"/>
      <c r="T1470" s="202"/>
    </row>
    <row r="1471" spans="1:149" s="182" customFormat="1" ht="14.15" hidden="1">
      <c r="A1471" s="222">
        <v>45398</v>
      </c>
      <c r="B1471" s="201" t="s">
        <v>1470</v>
      </c>
      <c r="C1471" s="208" t="s">
        <v>27</v>
      </c>
      <c r="D1471" s="592">
        <v>-3623600</v>
      </c>
      <c r="E1471" s="619">
        <v>45383</v>
      </c>
      <c r="F1471" s="201" t="s">
        <v>130</v>
      </c>
      <c r="G1471" s="201" t="s">
        <v>130</v>
      </c>
      <c r="H1471" s="201" t="s">
        <v>1175</v>
      </c>
      <c r="I1471" s="201"/>
      <c r="J1471" s="202"/>
      <c r="K1471" s="202"/>
      <c r="L1471" s="202"/>
      <c r="M1471" s="202"/>
      <c r="N1471" s="202"/>
      <c r="O1471" s="202"/>
      <c r="P1471" s="202"/>
      <c r="Q1471" s="202"/>
      <c r="R1471" s="202"/>
      <c r="S1471" s="202"/>
      <c r="T1471" s="202"/>
      <c r="U1471" s="202"/>
      <c r="V1471" s="202"/>
      <c r="W1471" s="202"/>
      <c r="X1471" s="202"/>
      <c r="Y1471" s="202"/>
      <c r="Z1471" s="202"/>
      <c r="AA1471" s="202"/>
      <c r="AB1471" s="202"/>
      <c r="AC1471" s="202"/>
      <c r="AD1471" s="202"/>
      <c r="AE1471" s="202"/>
      <c r="AF1471" s="202"/>
      <c r="AG1471" s="202"/>
      <c r="AH1471" s="202"/>
      <c r="AI1471" s="202"/>
      <c r="AJ1471" s="202"/>
      <c r="AK1471" s="202"/>
      <c r="AL1471" s="202"/>
      <c r="AM1471" s="202"/>
      <c r="AN1471" s="202"/>
      <c r="AO1471" s="202"/>
      <c r="AP1471" s="202"/>
      <c r="AQ1471" s="202"/>
      <c r="AR1471" s="202"/>
      <c r="AS1471" s="202"/>
      <c r="AT1471" s="202"/>
      <c r="AU1471" s="202"/>
      <c r="AV1471" s="202"/>
      <c r="AW1471" s="202"/>
      <c r="AX1471" s="202"/>
      <c r="AY1471" s="202"/>
      <c r="AZ1471" s="202"/>
      <c r="BA1471" s="202"/>
      <c r="BB1471" s="202"/>
      <c r="BC1471" s="202"/>
      <c r="BD1471" s="202"/>
      <c r="BE1471" s="202"/>
      <c r="BF1471" s="202"/>
      <c r="BG1471" s="202"/>
      <c r="BH1471" s="202"/>
      <c r="BI1471" s="202"/>
      <c r="BJ1471" s="202"/>
      <c r="BK1471" s="202"/>
      <c r="BL1471" s="202"/>
      <c r="BM1471" s="202"/>
      <c r="BN1471" s="202"/>
      <c r="BO1471" s="202"/>
      <c r="BP1471" s="202"/>
      <c r="BQ1471" s="202"/>
      <c r="BR1471" s="202"/>
      <c r="BS1471" s="202"/>
      <c r="BT1471" s="202"/>
      <c r="BU1471" s="202"/>
      <c r="BV1471" s="202"/>
      <c r="BW1471" s="202"/>
      <c r="BX1471" s="202"/>
      <c r="BY1471" s="202"/>
      <c r="BZ1471" s="202"/>
      <c r="CA1471" s="202"/>
      <c r="CB1471" s="202"/>
      <c r="CC1471" s="202"/>
      <c r="CD1471" s="202"/>
      <c r="CE1471" s="202"/>
      <c r="CF1471" s="202"/>
      <c r="CG1471" s="202"/>
      <c r="CH1471" s="202"/>
      <c r="CI1471" s="202"/>
      <c r="CJ1471" s="202"/>
      <c r="CK1471" s="202"/>
      <c r="CL1471" s="202"/>
      <c r="CM1471" s="202"/>
      <c r="CN1471" s="202"/>
      <c r="CO1471" s="202"/>
      <c r="CP1471" s="202"/>
      <c r="CQ1471" s="202"/>
      <c r="CR1471" s="202"/>
      <c r="CS1471" s="202"/>
      <c r="CT1471" s="202"/>
      <c r="CU1471" s="202"/>
      <c r="CV1471" s="202"/>
      <c r="CW1471" s="202"/>
      <c r="CX1471" s="202"/>
      <c r="CY1471" s="202"/>
      <c r="CZ1471" s="202"/>
      <c r="DA1471" s="202"/>
      <c r="DB1471" s="202"/>
      <c r="DC1471" s="202"/>
      <c r="DD1471" s="202"/>
      <c r="DE1471" s="202"/>
      <c r="DF1471" s="202"/>
      <c r="DG1471" s="202"/>
      <c r="DH1471" s="202"/>
      <c r="DI1471" s="202"/>
      <c r="DJ1471" s="202"/>
      <c r="DK1471" s="202"/>
      <c r="DL1471" s="202"/>
      <c r="DM1471" s="202"/>
      <c r="DN1471" s="202"/>
      <c r="DO1471" s="202"/>
      <c r="DP1471" s="202"/>
      <c r="DQ1471" s="202"/>
      <c r="DR1471" s="202"/>
      <c r="DS1471" s="202"/>
      <c r="DT1471" s="202"/>
      <c r="DU1471" s="202"/>
      <c r="DV1471" s="202"/>
      <c r="DW1471" s="202"/>
      <c r="DX1471" s="202"/>
      <c r="DY1471" s="202"/>
      <c r="DZ1471" s="202"/>
      <c r="EA1471" s="202"/>
      <c r="EB1471" s="202"/>
      <c r="EC1471" s="202"/>
      <c r="ED1471" s="202"/>
      <c r="EE1471" s="202"/>
      <c r="EF1471" s="202"/>
      <c r="EG1471" s="202"/>
      <c r="EH1471" s="202"/>
      <c r="EI1471" s="202"/>
      <c r="EJ1471" s="202"/>
      <c r="EK1471" s="202"/>
      <c r="EL1471" s="202"/>
      <c r="EM1471" s="202"/>
      <c r="EN1471" s="202"/>
      <c r="EO1471" s="202"/>
      <c r="EP1471" s="202"/>
      <c r="EQ1471" s="202"/>
      <c r="ER1471" s="202"/>
      <c r="ES1471" s="202"/>
    </row>
    <row r="1472" spans="1:149" s="182" customFormat="1" ht="14.15" hidden="1">
      <c r="A1472" s="222">
        <v>45398</v>
      </c>
      <c r="B1472" s="201" t="s">
        <v>1471</v>
      </c>
      <c r="C1472" s="208" t="s">
        <v>27</v>
      </c>
      <c r="D1472" s="592">
        <v>-3057110</v>
      </c>
      <c r="E1472" s="619">
        <v>45383</v>
      </c>
      <c r="F1472" s="201" t="s">
        <v>130</v>
      </c>
      <c r="G1472" s="201" t="s">
        <v>130</v>
      </c>
      <c r="H1472" s="201" t="s">
        <v>1175</v>
      </c>
      <c r="I1472" s="201"/>
      <c r="J1472" s="202"/>
      <c r="K1472" s="202"/>
      <c r="L1472" s="202"/>
      <c r="M1472" s="202"/>
      <c r="N1472" s="202"/>
      <c r="O1472" s="202"/>
      <c r="P1472" s="202"/>
      <c r="Q1472" s="202"/>
      <c r="R1472" s="202"/>
      <c r="S1472" s="202"/>
      <c r="T1472" s="202"/>
      <c r="U1472" s="202"/>
      <c r="V1472" s="202"/>
      <c r="W1472" s="202"/>
      <c r="X1472" s="202"/>
      <c r="Y1472" s="202"/>
      <c r="Z1472" s="202"/>
      <c r="AA1472" s="202"/>
      <c r="AB1472" s="202"/>
      <c r="AC1472" s="202"/>
      <c r="AD1472" s="202"/>
      <c r="AE1472" s="202"/>
      <c r="AF1472" s="202"/>
      <c r="AG1472" s="202"/>
      <c r="AH1472" s="202"/>
      <c r="AI1472" s="202"/>
      <c r="AJ1472" s="202"/>
      <c r="AK1472" s="202"/>
      <c r="AL1472" s="202"/>
      <c r="AM1472" s="202"/>
      <c r="AN1472" s="202"/>
      <c r="AO1472" s="202"/>
      <c r="AP1472" s="202"/>
      <c r="AQ1472" s="202"/>
      <c r="AR1472" s="202"/>
      <c r="AS1472" s="202"/>
      <c r="AT1472" s="202"/>
      <c r="AU1472" s="202"/>
      <c r="AV1472" s="202"/>
      <c r="AW1472" s="202"/>
      <c r="AX1472" s="202"/>
      <c r="AY1472" s="202"/>
      <c r="AZ1472" s="202"/>
      <c r="BA1472" s="202"/>
      <c r="BB1472" s="202"/>
      <c r="BC1472" s="202"/>
      <c r="BD1472" s="202"/>
      <c r="BE1472" s="202"/>
      <c r="BF1472" s="202"/>
      <c r="BG1472" s="202"/>
      <c r="BH1472" s="202"/>
      <c r="BI1472" s="202"/>
      <c r="BJ1472" s="202"/>
      <c r="BK1472" s="202"/>
      <c r="BL1472" s="202"/>
      <c r="BM1472" s="202"/>
      <c r="BN1472" s="202"/>
      <c r="BO1472" s="202"/>
      <c r="BP1472" s="202"/>
      <c r="BQ1472" s="202"/>
      <c r="BR1472" s="202"/>
      <c r="BS1472" s="202"/>
      <c r="BT1472" s="202"/>
      <c r="BU1472" s="202"/>
      <c r="BV1472" s="202"/>
      <c r="BW1472" s="202"/>
      <c r="BX1472" s="202"/>
      <c r="BY1472" s="202"/>
      <c r="BZ1472" s="202"/>
      <c r="CA1472" s="202"/>
      <c r="CB1472" s="202"/>
      <c r="CC1472" s="202"/>
      <c r="CD1472" s="202"/>
      <c r="CE1472" s="202"/>
      <c r="CF1472" s="202"/>
      <c r="CG1472" s="202"/>
      <c r="CH1472" s="202"/>
      <c r="CI1472" s="202"/>
      <c r="CJ1472" s="202"/>
      <c r="CK1472" s="202"/>
      <c r="CL1472" s="202"/>
      <c r="CM1472" s="202"/>
      <c r="CN1472" s="202"/>
      <c r="CO1472" s="202"/>
      <c r="CP1472" s="202"/>
      <c r="CQ1472" s="202"/>
      <c r="CR1472" s="202"/>
      <c r="CS1472" s="202"/>
      <c r="CT1472" s="202"/>
      <c r="CU1472" s="202"/>
      <c r="CV1472" s="202"/>
      <c r="CW1472" s="202"/>
      <c r="CX1472" s="202"/>
      <c r="CY1472" s="202"/>
      <c r="CZ1472" s="202"/>
      <c r="DA1472" s="202"/>
      <c r="DB1472" s="202"/>
      <c r="DC1472" s="202"/>
      <c r="DD1472" s="202"/>
      <c r="DE1472" s="202"/>
      <c r="DF1472" s="202"/>
      <c r="DG1472" s="202"/>
      <c r="DH1472" s="202"/>
      <c r="DI1472" s="202"/>
      <c r="DJ1472" s="202"/>
      <c r="DK1472" s="202"/>
      <c r="DL1472" s="202"/>
      <c r="DM1472" s="202"/>
      <c r="DN1472" s="202"/>
      <c r="DO1472" s="202"/>
      <c r="DP1472" s="202"/>
      <c r="DQ1472" s="202"/>
      <c r="DR1472" s="202"/>
      <c r="DS1472" s="202"/>
      <c r="DT1472" s="202"/>
      <c r="DU1472" s="202"/>
      <c r="DV1472" s="202"/>
      <c r="DW1472" s="202"/>
      <c r="DX1472" s="202"/>
      <c r="DY1472" s="202"/>
      <c r="DZ1472" s="202"/>
      <c r="EA1472" s="202"/>
      <c r="EB1472" s="202"/>
      <c r="EC1472" s="202"/>
      <c r="ED1472" s="202"/>
      <c r="EE1472" s="202"/>
      <c r="EF1472" s="202"/>
      <c r="EG1472" s="202"/>
      <c r="EH1472" s="202"/>
      <c r="EI1472" s="202"/>
      <c r="EJ1472" s="202"/>
      <c r="EK1472" s="202"/>
      <c r="EL1472" s="202"/>
      <c r="EM1472" s="202"/>
      <c r="EN1472" s="202"/>
      <c r="EO1472" s="202"/>
      <c r="EP1472" s="202"/>
      <c r="EQ1472" s="202"/>
      <c r="ER1472" s="202"/>
      <c r="ES1472" s="202"/>
    </row>
    <row r="1473" spans="1:149" s="182" customFormat="1" ht="14.15" hidden="1">
      <c r="A1473" s="222">
        <v>45373</v>
      </c>
      <c r="B1473" s="201" t="s">
        <v>1472</v>
      </c>
      <c r="C1473" s="208" t="s">
        <v>27</v>
      </c>
      <c r="D1473" s="592">
        <v>19691100</v>
      </c>
      <c r="E1473" s="619">
        <v>45352</v>
      </c>
      <c r="F1473" s="208" t="s">
        <v>109</v>
      </c>
      <c r="G1473" s="208" t="s">
        <v>317</v>
      </c>
      <c r="H1473" s="201"/>
      <c r="I1473" s="201"/>
      <c r="J1473" s="202"/>
      <c r="K1473" s="202"/>
      <c r="L1473" s="202"/>
      <c r="M1473" s="202"/>
      <c r="N1473" s="202"/>
      <c r="O1473" s="202"/>
      <c r="P1473" s="202"/>
      <c r="Q1473" s="202"/>
      <c r="R1473" s="202"/>
      <c r="S1473" s="202"/>
      <c r="T1473" s="202"/>
    </row>
    <row r="1474" spans="1:149" s="182" customFormat="1" ht="14.15" hidden="1">
      <c r="A1474" s="222">
        <v>45377</v>
      </c>
      <c r="B1474" s="202" t="s">
        <v>1473</v>
      </c>
      <c r="C1474" s="208" t="s">
        <v>27</v>
      </c>
      <c r="D1474" s="592">
        <v>2593064</v>
      </c>
      <c r="E1474" s="619">
        <v>45352</v>
      </c>
      <c r="F1474" s="201" t="s">
        <v>108</v>
      </c>
      <c r="G1474" s="201"/>
      <c r="H1474" s="201"/>
      <c r="I1474" s="201"/>
      <c r="J1474" s="202"/>
      <c r="K1474" s="202"/>
      <c r="L1474" s="202"/>
      <c r="M1474" s="202"/>
      <c r="N1474" s="202"/>
      <c r="O1474" s="202"/>
      <c r="P1474" s="202"/>
      <c r="Q1474" s="202"/>
      <c r="R1474" s="202"/>
      <c r="S1474" s="202"/>
      <c r="T1474" s="202"/>
    </row>
    <row r="1475" spans="1:149" s="182" customFormat="1" ht="14.15" hidden="1">
      <c r="A1475" s="222">
        <v>45377</v>
      </c>
      <c r="B1475" s="201" t="s">
        <v>1474</v>
      </c>
      <c r="C1475" s="208" t="s">
        <v>27</v>
      </c>
      <c r="D1475" s="592">
        <v>40000</v>
      </c>
      <c r="E1475" s="619">
        <v>45352</v>
      </c>
      <c r="F1475" s="201" t="s">
        <v>130</v>
      </c>
      <c r="G1475" s="614" t="s">
        <v>257</v>
      </c>
      <c r="H1475" s="201" t="s">
        <v>1423</v>
      </c>
      <c r="I1475" s="201"/>
      <c r="J1475" s="202"/>
      <c r="K1475" s="202"/>
      <c r="L1475" s="202"/>
      <c r="M1475" s="202"/>
      <c r="N1475" s="202"/>
      <c r="O1475" s="202"/>
      <c r="P1475" s="202"/>
      <c r="Q1475" s="202"/>
      <c r="R1475" s="202"/>
      <c r="S1475" s="202"/>
      <c r="T1475" s="202"/>
    </row>
    <row r="1476" spans="1:149" s="182" customFormat="1" ht="14.15" hidden="1">
      <c r="A1476" s="222">
        <v>45378</v>
      </c>
      <c r="B1476" s="201" t="s">
        <v>1080</v>
      </c>
      <c r="C1476" s="208" t="s">
        <v>181</v>
      </c>
      <c r="D1476" s="592">
        <v>610436</v>
      </c>
      <c r="E1476" s="619">
        <v>45352</v>
      </c>
      <c r="F1476" s="201" t="s">
        <v>108</v>
      </c>
      <c r="G1476" s="201"/>
      <c r="H1476" s="201"/>
      <c r="I1476" s="201"/>
      <c r="J1476" s="202"/>
      <c r="K1476" s="202"/>
      <c r="L1476" s="202"/>
      <c r="M1476" s="202"/>
      <c r="N1476" s="202"/>
      <c r="O1476" s="202"/>
      <c r="P1476" s="202"/>
      <c r="Q1476" s="202"/>
      <c r="R1476" s="202"/>
      <c r="S1476" s="202"/>
      <c r="T1476" s="202"/>
    </row>
    <row r="1477" spans="1:149" s="182" customFormat="1" ht="14.15" hidden="1">
      <c r="A1477" s="222">
        <v>45375</v>
      </c>
      <c r="B1477" s="201" t="s">
        <v>1475</v>
      </c>
      <c r="C1477" s="208" t="s">
        <v>643</v>
      </c>
      <c r="D1477" s="592">
        <v>-30800</v>
      </c>
      <c r="E1477" s="619">
        <v>45352</v>
      </c>
      <c r="F1477" s="201" t="s">
        <v>130</v>
      </c>
      <c r="G1477" s="201" t="s">
        <v>257</v>
      </c>
      <c r="H1477" s="201" t="s">
        <v>1138</v>
      </c>
      <c r="I1477" s="201"/>
      <c r="J1477" s="202"/>
      <c r="K1477" s="202"/>
      <c r="L1477" s="202"/>
      <c r="M1477" s="202"/>
      <c r="N1477" s="202"/>
      <c r="O1477" s="202"/>
      <c r="P1477" s="202"/>
      <c r="Q1477" s="202"/>
      <c r="R1477" s="202"/>
      <c r="S1477" s="202"/>
      <c r="T1477" s="202"/>
    </row>
    <row r="1478" spans="1:149" s="182" customFormat="1" ht="14.15" hidden="1">
      <c r="A1478" s="222">
        <v>45377</v>
      </c>
      <c r="B1478" s="201" t="s">
        <v>1476</v>
      </c>
      <c r="C1478" s="208" t="s">
        <v>1106</v>
      </c>
      <c r="D1478" s="592">
        <v>-112000</v>
      </c>
      <c r="E1478" s="619">
        <v>45352</v>
      </c>
      <c r="F1478" s="201" t="s">
        <v>109</v>
      </c>
      <c r="G1478" s="208" t="s">
        <v>120</v>
      </c>
      <c r="H1478" s="201"/>
      <c r="I1478" s="201"/>
      <c r="J1478" s="202"/>
      <c r="K1478" s="202"/>
      <c r="L1478" s="202"/>
      <c r="M1478" s="202"/>
      <c r="N1478" s="202"/>
      <c r="O1478" s="202"/>
      <c r="P1478" s="202"/>
      <c r="Q1478" s="202"/>
      <c r="R1478" s="202"/>
      <c r="S1478" s="202"/>
      <c r="T1478" s="202"/>
    </row>
    <row r="1479" spans="1:149" s="182" customFormat="1" ht="14.15" hidden="1">
      <c r="A1479" s="222">
        <v>45378</v>
      </c>
      <c r="B1479" s="201" t="s">
        <v>1477</v>
      </c>
      <c r="C1479" s="208" t="s">
        <v>1106</v>
      </c>
      <c r="D1479" s="592">
        <v>-12400</v>
      </c>
      <c r="E1479" s="619">
        <v>45352</v>
      </c>
      <c r="F1479" s="201" t="s">
        <v>130</v>
      </c>
      <c r="G1479" s="201" t="s">
        <v>257</v>
      </c>
      <c r="H1479" s="81" t="s">
        <v>138</v>
      </c>
      <c r="I1479" s="201"/>
      <c r="J1479" s="202"/>
      <c r="K1479" s="202"/>
      <c r="L1479" s="202"/>
      <c r="M1479" s="202"/>
      <c r="N1479" s="202"/>
      <c r="O1479" s="202"/>
      <c r="P1479" s="202"/>
      <c r="Q1479" s="202"/>
      <c r="R1479" s="202"/>
      <c r="S1479" s="202"/>
      <c r="T1479" s="202"/>
    </row>
    <row r="1480" spans="1:149" s="182" customFormat="1" ht="14.15" hidden="1">
      <c r="A1480" s="222">
        <v>45378</v>
      </c>
      <c r="B1480" s="201" t="s">
        <v>1478</v>
      </c>
      <c r="C1480" s="208" t="s">
        <v>1106</v>
      </c>
      <c r="D1480" s="592">
        <v>-272800</v>
      </c>
      <c r="E1480" s="619">
        <v>45352</v>
      </c>
      <c r="F1480" s="208" t="s">
        <v>109</v>
      </c>
      <c r="G1480" s="208" t="s">
        <v>317</v>
      </c>
      <c r="H1480" s="201" t="s">
        <v>310</v>
      </c>
      <c r="I1480" s="201"/>
      <c r="J1480" s="202"/>
      <c r="K1480" s="202"/>
      <c r="L1480" s="202"/>
      <c r="M1480" s="202"/>
      <c r="N1480" s="202"/>
      <c r="O1480" s="202"/>
      <c r="P1480" s="202"/>
      <c r="Q1480" s="202"/>
      <c r="R1480" s="202"/>
      <c r="S1480" s="202"/>
      <c r="T1480" s="202"/>
    </row>
    <row r="1481" spans="1:149" s="182" customFormat="1" ht="14.15" hidden="1">
      <c r="A1481" s="222">
        <v>45367</v>
      </c>
      <c r="B1481" s="201" t="s">
        <v>1479</v>
      </c>
      <c r="C1481" s="208" t="s">
        <v>1106</v>
      </c>
      <c r="D1481" s="592">
        <v>-24800</v>
      </c>
      <c r="E1481" s="619">
        <v>45352</v>
      </c>
      <c r="F1481" s="201" t="s">
        <v>110</v>
      </c>
      <c r="G1481" s="208" t="s">
        <v>453</v>
      </c>
      <c r="H1481" s="81" t="s">
        <v>138</v>
      </c>
      <c r="I1481" s="201"/>
      <c r="J1481" s="202"/>
      <c r="K1481" s="202"/>
      <c r="L1481" s="202"/>
      <c r="M1481" s="202"/>
      <c r="N1481" s="202"/>
      <c r="O1481" s="202"/>
      <c r="P1481" s="202"/>
      <c r="Q1481" s="202"/>
      <c r="R1481" s="202"/>
      <c r="S1481" s="202"/>
      <c r="T1481" s="202"/>
    </row>
    <row r="1482" spans="1:149" s="182" customFormat="1" ht="14.15" hidden="1">
      <c r="A1482" s="222">
        <v>45367</v>
      </c>
      <c r="B1482" s="201" t="s">
        <v>1480</v>
      </c>
      <c r="C1482" s="208" t="s">
        <v>27</v>
      </c>
      <c r="D1482" s="592">
        <v>-730528</v>
      </c>
      <c r="E1482" s="619">
        <v>45352</v>
      </c>
      <c r="F1482" s="201" t="s">
        <v>110</v>
      </c>
      <c r="G1482" s="208" t="s">
        <v>453</v>
      </c>
      <c r="H1482" s="201" t="s">
        <v>310</v>
      </c>
      <c r="I1482" s="201"/>
      <c r="J1482" s="202"/>
      <c r="K1482" s="202"/>
      <c r="L1482" s="202"/>
      <c r="M1482" s="202"/>
      <c r="N1482" s="202"/>
      <c r="O1482" s="202"/>
      <c r="P1482" s="202"/>
      <c r="Q1482" s="202"/>
      <c r="R1482" s="202"/>
      <c r="S1482" s="202"/>
      <c r="T1482" s="202"/>
    </row>
    <row r="1483" spans="1:149" s="182" customFormat="1" ht="14.15" hidden="1">
      <c r="A1483" s="222">
        <v>45398</v>
      </c>
      <c r="B1483" s="201" t="s">
        <v>1470</v>
      </c>
      <c r="C1483" s="208" t="s">
        <v>27</v>
      </c>
      <c r="D1483" s="592">
        <v>-2117280</v>
      </c>
      <c r="E1483" s="619">
        <v>45383</v>
      </c>
      <c r="F1483" s="201" t="s">
        <v>109</v>
      </c>
      <c r="G1483" s="201" t="s">
        <v>918</v>
      </c>
      <c r="H1483" s="208" t="s">
        <v>147</v>
      </c>
      <c r="I1483" s="201"/>
      <c r="J1483" s="202"/>
      <c r="K1483" s="202"/>
      <c r="L1483" s="202"/>
      <c r="M1483" s="202"/>
      <c r="N1483" s="202"/>
      <c r="O1483" s="202"/>
      <c r="P1483" s="202"/>
      <c r="Q1483" s="202"/>
      <c r="R1483" s="202"/>
      <c r="S1483" s="202"/>
      <c r="T1483" s="202"/>
      <c r="U1483" s="202"/>
      <c r="V1483" s="202"/>
      <c r="W1483" s="202"/>
      <c r="X1483" s="202"/>
      <c r="Y1483" s="202"/>
      <c r="Z1483" s="202"/>
      <c r="AA1483" s="202"/>
      <c r="AB1483" s="202"/>
      <c r="AC1483" s="202"/>
      <c r="AD1483" s="202"/>
      <c r="AE1483" s="202"/>
      <c r="AF1483" s="202"/>
      <c r="AG1483" s="202"/>
      <c r="AH1483" s="202"/>
      <c r="AI1483" s="202"/>
      <c r="AJ1483" s="202"/>
      <c r="AK1483" s="202"/>
      <c r="AL1483" s="202"/>
      <c r="AM1483" s="202"/>
      <c r="AN1483" s="202"/>
      <c r="AO1483" s="202"/>
      <c r="AP1483" s="202"/>
      <c r="AQ1483" s="202"/>
      <c r="AR1483" s="202"/>
      <c r="AS1483" s="202"/>
      <c r="AT1483" s="202"/>
      <c r="AU1483" s="202"/>
      <c r="AV1483" s="202"/>
      <c r="AW1483" s="202"/>
      <c r="AX1483" s="202"/>
      <c r="AY1483" s="202"/>
      <c r="AZ1483" s="202"/>
      <c r="BA1483" s="202"/>
      <c r="BB1483" s="202"/>
      <c r="BC1483" s="202"/>
      <c r="BD1483" s="202"/>
      <c r="BE1483" s="202"/>
      <c r="BF1483" s="202"/>
      <c r="BG1483" s="202"/>
      <c r="BH1483" s="202"/>
      <c r="BI1483" s="202"/>
      <c r="BJ1483" s="202"/>
      <c r="BK1483" s="202"/>
      <c r="BL1483" s="202"/>
      <c r="BM1483" s="202"/>
      <c r="BN1483" s="202"/>
      <c r="BO1483" s="202"/>
      <c r="BP1483" s="202"/>
      <c r="BQ1483" s="202"/>
      <c r="BR1483" s="202"/>
      <c r="BS1483" s="202"/>
      <c r="BT1483" s="202"/>
      <c r="BU1483" s="202"/>
      <c r="BV1483" s="202"/>
      <c r="BW1483" s="202"/>
      <c r="BX1483" s="202"/>
      <c r="BY1483" s="202"/>
      <c r="BZ1483" s="202"/>
      <c r="CA1483" s="202"/>
      <c r="CB1483" s="202"/>
      <c r="CC1483" s="202"/>
      <c r="CD1483" s="202"/>
      <c r="CE1483" s="202"/>
      <c r="CF1483" s="202"/>
      <c r="CG1483" s="202"/>
      <c r="CH1483" s="202"/>
      <c r="CI1483" s="202"/>
      <c r="CJ1483" s="202"/>
      <c r="CK1483" s="202"/>
      <c r="CL1483" s="202"/>
      <c r="CM1483" s="202"/>
      <c r="CN1483" s="202"/>
      <c r="CO1483" s="202"/>
      <c r="CP1483" s="202"/>
      <c r="CQ1483" s="202"/>
      <c r="CR1483" s="202"/>
      <c r="CS1483" s="202"/>
      <c r="CT1483" s="202"/>
      <c r="CU1483" s="202"/>
      <c r="CV1483" s="202"/>
      <c r="CW1483" s="202"/>
      <c r="CX1483" s="202"/>
      <c r="CY1483" s="202"/>
      <c r="CZ1483" s="202"/>
      <c r="DA1483" s="202"/>
      <c r="DB1483" s="202"/>
      <c r="DC1483" s="202"/>
      <c r="DD1483" s="202"/>
      <c r="DE1483" s="202"/>
      <c r="DF1483" s="202"/>
      <c r="DG1483" s="202"/>
      <c r="DH1483" s="202"/>
      <c r="DI1483" s="202"/>
      <c r="DJ1483" s="202"/>
      <c r="DK1483" s="202"/>
      <c r="DL1483" s="202"/>
      <c r="DM1483" s="202"/>
      <c r="DN1483" s="202"/>
      <c r="DO1483" s="202"/>
      <c r="DP1483" s="202"/>
      <c r="DQ1483" s="202"/>
      <c r="DR1483" s="202"/>
      <c r="DS1483" s="202"/>
      <c r="DT1483" s="202"/>
      <c r="DU1483" s="202"/>
      <c r="DV1483" s="202"/>
      <c r="DW1483" s="202"/>
      <c r="DX1483" s="202"/>
      <c r="DY1483" s="202"/>
      <c r="DZ1483" s="202"/>
      <c r="EA1483" s="202"/>
      <c r="EB1483" s="202"/>
      <c r="EC1483" s="202"/>
      <c r="ED1483" s="202"/>
      <c r="EE1483" s="202"/>
      <c r="EF1483" s="202"/>
      <c r="EG1483" s="202"/>
      <c r="EH1483" s="202"/>
      <c r="EI1483" s="202"/>
      <c r="EJ1483" s="202"/>
      <c r="EK1483" s="202"/>
      <c r="EL1483" s="202"/>
      <c r="EM1483" s="202"/>
      <c r="EN1483" s="202"/>
      <c r="EO1483" s="202"/>
      <c r="EP1483" s="202"/>
      <c r="EQ1483" s="202"/>
      <c r="ER1483" s="202"/>
      <c r="ES1483" s="202"/>
    </row>
    <row r="1484" spans="1:149" s="182" customFormat="1" ht="14.15" hidden="1">
      <c r="A1484" s="222">
        <v>45398</v>
      </c>
      <c r="B1484" s="201" t="s">
        <v>1471</v>
      </c>
      <c r="C1484" s="208" t="s">
        <v>27</v>
      </c>
      <c r="D1484" s="592">
        <f>-5433650+542074.091177344</f>
        <v>-4891575.9088226557</v>
      </c>
      <c r="E1484" s="619">
        <v>45383</v>
      </c>
      <c r="F1484" s="201" t="s">
        <v>109</v>
      </c>
      <c r="G1484" s="208" t="s">
        <v>120</v>
      </c>
      <c r="H1484" s="208" t="s">
        <v>147</v>
      </c>
      <c r="I1484" s="201"/>
      <c r="J1484" s="202"/>
      <c r="K1484" s="202"/>
      <c r="L1484" s="202"/>
      <c r="M1484" s="202"/>
      <c r="N1484" s="202"/>
      <c r="O1484" s="202"/>
      <c r="P1484" s="202"/>
      <c r="Q1484" s="202"/>
      <c r="R1484" s="202"/>
      <c r="S1484" s="202"/>
      <c r="T1484" s="202"/>
      <c r="U1484" s="202"/>
      <c r="V1484" s="202"/>
      <c r="W1484" s="202"/>
      <c r="X1484" s="202"/>
      <c r="Y1484" s="202"/>
      <c r="Z1484" s="202"/>
      <c r="AA1484" s="202"/>
      <c r="AB1484" s="202"/>
      <c r="AC1484" s="202"/>
      <c r="AD1484" s="202"/>
      <c r="AE1484" s="202"/>
      <c r="AF1484" s="202"/>
      <c r="AG1484" s="202"/>
      <c r="AH1484" s="202"/>
      <c r="AI1484" s="202"/>
      <c r="AJ1484" s="202"/>
      <c r="AK1484" s="202"/>
      <c r="AL1484" s="202"/>
      <c r="AM1484" s="202"/>
      <c r="AN1484" s="202"/>
      <c r="AO1484" s="202"/>
      <c r="AP1484" s="202"/>
      <c r="AQ1484" s="202"/>
      <c r="AR1484" s="202"/>
      <c r="AS1484" s="202"/>
      <c r="AT1484" s="202"/>
      <c r="AU1484" s="202"/>
      <c r="AV1484" s="202"/>
      <c r="AW1484" s="202"/>
      <c r="AX1484" s="202"/>
      <c r="AY1484" s="202"/>
      <c r="AZ1484" s="202"/>
      <c r="BA1484" s="202"/>
      <c r="BB1484" s="202"/>
      <c r="BC1484" s="202"/>
      <c r="BD1484" s="202"/>
      <c r="BE1484" s="202"/>
      <c r="BF1484" s="202"/>
      <c r="BG1484" s="202"/>
      <c r="BH1484" s="202"/>
      <c r="BI1484" s="202"/>
      <c r="BJ1484" s="202"/>
      <c r="BK1484" s="202"/>
      <c r="BL1484" s="202"/>
      <c r="BM1484" s="202"/>
      <c r="BN1484" s="202"/>
      <c r="BO1484" s="202"/>
      <c r="BP1484" s="202"/>
      <c r="BQ1484" s="202"/>
      <c r="BR1484" s="202"/>
      <c r="BS1484" s="202"/>
      <c r="BT1484" s="202"/>
      <c r="BU1484" s="202"/>
      <c r="BV1484" s="202"/>
      <c r="BW1484" s="202"/>
      <c r="BX1484" s="202"/>
      <c r="BY1484" s="202"/>
      <c r="BZ1484" s="202"/>
      <c r="CA1484" s="202"/>
      <c r="CB1484" s="202"/>
      <c r="CC1484" s="202"/>
      <c r="CD1484" s="202"/>
      <c r="CE1484" s="202"/>
      <c r="CF1484" s="202"/>
      <c r="CG1484" s="202"/>
      <c r="CH1484" s="202"/>
      <c r="CI1484" s="202"/>
      <c r="CJ1484" s="202"/>
      <c r="CK1484" s="202"/>
      <c r="CL1484" s="202"/>
      <c r="CM1484" s="202"/>
      <c r="CN1484" s="202"/>
      <c r="CO1484" s="202"/>
      <c r="CP1484" s="202"/>
      <c r="CQ1484" s="202"/>
      <c r="CR1484" s="202"/>
      <c r="CS1484" s="202"/>
      <c r="CT1484" s="202"/>
      <c r="CU1484" s="202"/>
      <c r="CV1484" s="202"/>
      <c r="CW1484" s="202"/>
      <c r="CX1484" s="202"/>
      <c r="CY1484" s="202"/>
      <c r="CZ1484" s="202"/>
      <c r="DA1484" s="202"/>
      <c r="DB1484" s="202"/>
      <c r="DC1484" s="202"/>
      <c r="DD1484" s="202"/>
      <c r="DE1484" s="202"/>
      <c r="DF1484" s="202"/>
      <c r="DG1484" s="202"/>
      <c r="DH1484" s="202"/>
      <c r="DI1484" s="202"/>
      <c r="DJ1484" s="202"/>
      <c r="DK1484" s="202"/>
      <c r="DL1484" s="202"/>
      <c r="DM1484" s="202"/>
      <c r="DN1484" s="202"/>
      <c r="DO1484" s="202"/>
      <c r="DP1484" s="202"/>
      <c r="DQ1484" s="202"/>
      <c r="DR1484" s="202"/>
      <c r="DS1484" s="202"/>
      <c r="DT1484" s="202"/>
      <c r="DU1484" s="202"/>
      <c r="DV1484" s="202"/>
      <c r="DW1484" s="202"/>
      <c r="DX1484" s="202"/>
      <c r="DY1484" s="202"/>
      <c r="DZ1484" s="202"/>
      <c r="EA1484" s="202"/>
      <c r="EB1484" s="202"/>
      <c r="EC1484" s="202"/>
      <c r="ED1484" s="202"/>
      <c r="EE1484" s="202"/>
      <c r="EF1484" s="202"/>
      <c r="EG1484" s="202"/>
      <c r="EH1484" s="202"/>
      <c r="EI1484" s="202"/>
      <c r="EJ1484" s="202"/>
      <c r="EK1484" s="202"/>
      <c r="EL1484" s="202"/>
      <c r="EM1484" s="202"/>
      <c r="EN1484" s="202"/>
      <c r="EO1484" s="202"/>
      <c r="EP1484" s="202"/>
      <c r="EQ1484" s="202"/>
      <c r="ER1484" s="202"/>
      <c r="ES1484" s="202"/>
    </row>
    <row r="1485" spans="1:149" s="182" customFormat="1" ht="14.15" hidden="1">
      <c r="A1485" s="222">
        <v>45383</v>
      </c>
      <c r="B1485" s="201" t="s">
        <v>1481</v>
      </c>
      <c r="C1485" s="208" t="s">
        <v>133</v>
      </c>
      <c r="D1485" s="592">
        <v>-95731</v>
      </c>
      <c r="E1485" s="619">
        <v>45383</v>
      </c>
      <c r="F1485" s="201" t="s">
        <v>130</v>
      </c>
      <c r="G1485" s="201" t="s">
        <v>130</v>
      </c>
      <c r="H1485" s="201" t="s">
        <v>1148</v>
      </c>
      <c r="I1485" s="201"/>
      <c r="J1485" s="202"/>
      <c r="K1485" s="202"/>
      <c r="L1485" s="202"/>
      <c r="M1485" s="202"/>
      <c r="N1485" s="202"/>
      <c r="O1485" s="202"/>
      <c r="P1485" s="202"/>
      <c r="Q1485" s="202"/>
      <c r="R1485" s="202"/>
      <c r="S1485" s="202"/>
      <c r="T1485" s="202"/>
    </row>
    <row r="1486" spans="1:149" s="182" customFormat="1" ht="14.15" hidden="1">
      <c r="A1486" s="222">
        <v>45398</v>
      </c>
      <c r="B1486" s="201" t="s">
        <v>1482</v>
      </c>
      <c r="C1486" s="208" t="s">
        <v>27</v>
      </c>
      <c r="D1486" s="592">
        <v>-2300700</v>
      </c>
      <c r="E1486" s="619">
        <v>45383</v>
      </c>
      <c r="F1486" s="201" t="s">
        <v>130</v>
      </c>
      <c r="G1486" s="201" t="s">
        <v>257</v>
      </c>
      <c r="H1486" s="201" t="s">
        <v>1175</v>
      </c>
      <c r="I1486" s="201"/>
      <c r="J1486" s="202"/>
      <c r="K1486" s="202"/>
      <c r="L1486" s="202"/>
      <c r="M1486" s="202"/>
      <c r="N1486" s="202"/>
      <c r="O1486" s="202"/>
      <c r="P1486" s="202"/>
      <c r="Q1486" s="202"/>
      <c r="R1486" s="202"/>
      <c r="S1486" s="202"/>
      <c r="T1486" s="202"/>
      <c r="U1486" s="202"/>
      <c r="V1486" s="202"/>
      <c r="W1486" s="202"/>
      <c r="X1486" s="202"/>
      <c r="Y1486" s="202"/>
      <c r="Z1486" s="202"/>
      <c r="AA1486" s="202"/>
      <c r="AB1486" s="202"/>
      <c r="AC1486" s="202"/>
      <c r="AD1486" s="202"/>
      <c r="AE1486" s="202"/>
      <c r="AF1486" s="202"/>
      <c r="AG1486" s="202"/>
      <c r="AH1486" s="202"/>
      <c r="AI1486" s="202"/>
      <c r="AJ1486" s="202"/>
      <c r="AK1486" s="202"/>
      <c r="AL1486" s="202"/>
      <c r="AM1486" s="202"/>
      <c r="AN1486" s="202"/>
      <c r="AO1486" s="202"/>
      <c r="AP1486" s="202"/>
      <c r="AQ1486" s="202"/>
      <c r="AR1486" s="202"/>
      <c r="AS1486" s="202"/>
      <c r="AT1486" s="202"/>
      <c r="AU1486" s="202"/>
      <c r="AV1486" s="202"/>
      <c r="AW1486" s="202"/>
      <c r="AX1486" s="202"/>
      <c r="AY1486" s="202"/>
      <c r="AZ1486" s="202"/>
      <c r="BA1486" s="202"/>
      <c r="BB1486" s="202"/>
      <c r="BC1486" s="202"/>
      <c r="BD1486" s="202"/>
      <c r="BE1486" s="202"/>
      <c r="BF1486" s="202"/>
      <c r="BG1486" s="202"/>
      <c r="BH1486" s="202"/>
      <c r="BI1486" s="202"/>
      <c r="BJ1486" s="202"/>
      <c r="BK1486" s="202"/>
      <c r="BL1486" s="202"/>
      <c r="BM1486" s="202"/>
      <c r="BN1486" s="202"/>
      <c r="BO1486" s="202"/>
      <c r="BP1486" s="202"/>
      <c r="BQ1486" s="202"/>
      <c r="BR1486" s="202"/>
      <c r="BS1486" s="202"/>
      <c r="BT1486" s="202"/>
      <c r="BU1486" s="202"/>
      <c r="BV1486" s="202"/>
      <c r="BW1486" s="202"/>
      <c r="BX1486" s="202"/>
      <c r="BY1486" s="202"/>
      <c r="BZ1486" s="202"/>
      <c r="CA1486" s="202"/>
      <c r="CB1486" s="202"/>
      <c r="CC1486" s="202"/>
      <c r="CD1486" s="202"/>
      <c r="CE1486" s="202"/>
      <c r="CF1486" s="202"/>
      <c r="CG1486" s="202"/>
      <c r="CH1486" s="202"/>
      <c r="CI1486" s="202"/>
      <c r="CJ1486" s="202"/>
      <c r="CK1486" s="202"/>
      <c r="CL1486" s="202"/>
      <c r="CM1486" s="202"/>
      <c r="CN1486" s="202"/>
      <c r="CO1486" s="202"/>
      <c r="CP1486" s="202"/>
      <c r="CQ1486" s="202"/>
      <c r="CR1486" s="202"/>
      <c r="CS1486" s="202"/>
      <c r="CT1486" s="202"/>
      <c r="CU1486" s="202"/>
      <c r="CV1486" s="202"/>
      <c r="CW1486" s="202"/>
      <c r="CX1486" s="202"/>
      <c r="CY1486" s="202"/>
      <c r="CZ1486" s="202"/>
      <c r="DA1486" s="202"/>
      <c r="DB1486" s="202"/>
      <c r="DC1486" s="202"/>
      <c r="DD1486" s="202"/>
      <c r="DE1486" s="202"/>
      <c r="DF1486" s="202"/>
      <c r="DG1486" s="202"/>
      <c r="DH1486" s="202"/>
      <c r="DI1486" s="202"/>
      <c r="DJ1486" s="202"/>
      <c r="DK1486" s="202"/>
      <c r="DL1486" s="202"/>
      <c r="DM1486" s="202"/>
      <c r="DN1486" s="202"/>
      <c r="DO1486" s="202"/>
      <c r="DP1486" s="202"/>
      <c r="DQ1486" s="202"/>
      <c r="DR1486" s="202"/>
      <c r="DS1486" s="202"/>
      <c r="DT1486" s="202"/>
      <c r="DU1486" s="202"/>
      <c r="DV1486" s="202"/>
      <c r="DW1486" s="202"/>
      <c r="DX1486" s="202"/>
      <c r="DY1486" s="202"/>
      <c r="DZ1486" s="202"/>
      <c r="EA1486" s="202"/>
      <c r="EB1486" s="202"/>
      <c r="EC1486" s="202"/>
      <c r="ED1486" s="202"/>
      <c r="EE1486" s="202"/>
      <c r="EF1486" s="202"/>
      <c r="EG1486" s="202"/>
      <c r="EH1486" s="202"/>
      <c r="EI1486" s="202"/>
      <c r="EJ1486" s="202"/>
      <c r="EK1486" s="202"/>
      <c r="EL1486" s="202"/>
      <c r="EM1486" s="202"/>
      <c r="EN1486" s="202"/>
      <c r="EO1486" s="202"/>
      <c r="EP1486" s="202"/>
      <c r="EQ1486" s="202"/>
      <c r="ER1486" s="202"/>
      <c r="ES1486" s="202"/>
    </row>
    <row r="1487" spans="1:149" s="182" customFormat="1" ht="14.15" hidden="1">
      <c r="A1487" s="222">
        <v>45390</v>
      </c>
      <c r="B1487" s="201" t="s">
        <v>1483</v>
      </c>
      <c r="C1487" s="208" t="s">
        <v>27</v>
      </c>
      <c r="D1487" s="592">
        <v>-8950228</v>
      </c>
      <c r="E1487" s="619">
        <v>45383</v>
      </c>
      <c r="F1487" s="201" t="s">
        <v>110</v>
      </c>
      <c r="G1487" s="208" t="s">
        <v>450</v>
      </c>
      <c r="H1487" s="208" t="s">
        <v>212</v>
      </c>
      <c r="I1487" s="201"/>
      <c r="J1487" s="202"/>
      <c r="K1487" s="202"/>
      <c r="L1487" s="202"/>
      <c r="M1487" s="202"/>
      <c r="N1487" s="202"/>
      <c r="O1487" s="202"/>
      <c r="P1487" s="202"/>
      <c r="Q1487" s="202"/>
      <c r="R1487" s="202"/>
      <c r="S1487" s="202"/>
      <c r="T1487" s="202"/>
    </row>
    <row r="1488" spans="1:149" s="182" customFormat="1" ht="14.15" hidden="1">
      <c r="A1488" s="222">
        <v>45383</v>
      </c>
      <c r="B1488" s="201" t="s">
        <v>1484</v>
      </c>
      <c r="C1488" s="208" t="s">
        <v>133</v>
      </c>
      <c r="D1488" s="592">
        <v>-3134</v>
      </c>
      <c r="E1488" s="619">
        <v>45383</v>
      </c>
      <c r="F1488" s="201" t="s">
        <v>109</v>
      </c>
      <c r="G1488" s="208" t="s">
        <v>120</v>
      </c>
      <c r="H1488" s="201"/>
      <c r="I1488" s="201"/>
      <c r="J1488" s="202"/>
      <c r="K1488" s="202"/>
      <c r="L1488" s="202"/>
      <c r="M1488" s="202"/>
      <c r="N1488" s="202"/>
      <c r="O1488" s="202"/>
      <c r="P1488" s="202"/>
      <c r="Q1488" s="202"/>
      <c r="R1488" s="202"/>
      <c r="S1488" s="202"/>
      <c r="T1488" s="202"/>
    </row>
    <row r="1489" spans="1:149" s="182" customFormat="1" ht="14.15" hidden="1">
      <c r="A1489" s="222">
        <v>45404</v>
      </c>
      <c r="B1489" s="201" t="s">
        <v>1485</v>
      </c>
      <c r="C1489" s="208" t="s">
        <v>27</v>
      </c>
      <c r="D1489" s="592">
        <f>-6108204*30%</f>
        <v>-1832461.2</v>
      </c>
      <c r="E1489" s="619">
        <v>45383</v>
      </c>
      <c r="F1489" s="201" t="s">
        <v>109</v>
      </c>
      <c r="G1489" s="201" t="s">
        <v>1261</v>
      </c>
      <c r="H1489" s="201" t="s">
        <v>1463</v>
      </c>
      <c r="I1489" s="201"/>
      <c r="J1489" s="202"/>
      <c r="K1489" s="202"/>
      <c r="L1489" s="202"/>
      <c r="M1489" s="202"/>
      <c r="N1489" s="202"/>
      <c r="O1489" s="202"/>
      <c r="P1489" s="202"/>
      <c r="Q1489" s="202"/>
      <c r="R1489" s="202"/>
      <c r="S1489" s="202"/>
      <c r="T1489" s="202"/>
      <c r="U1489" s="202"/>
      <c r="V1489" s="202"/>
      <c r="W1489" s="202"/>
      <c r="X1489" s="202"/>
      <c r="Y1489" s="202"/>
      <c r="Z1489" s="202"/>
      <c r="AA1489" s="202"/>
      <c r="AB1489" s="202"/>
      <c r="AC1489" s="202"/>
      <c r="AD1489" s="202"/>
      <c r="AE1489" s="202"/>
      <c r="AF1489" s="202"/>
      <c r="AG1489" s="202"/>
      <c r="AH1489" s="202"/>
      <c r="AI1489" s="202"/>
      <c r="AJ1489" s="202"/>
      <c r="AK1489" s="202"/>
      <c r="AL1489" s="202"/>
      <c r="AM1489" s="202"/>
      <c r="AN1489" s="202"/>
      <c r="AO1489" s="202"/>
      <c r="AP1489" s="202"/>
      <c r="AQ1489" s="202"/>
      <c r="AR1489" s="202"/>
      <c r="AS1489" s="202"/>
      <c r="AT1489" s="202"/>
      <c r="AU1489" s="202"/>
      <c r="AV1489" s="202"/>
      <c r="AW1489" s="202"/>
      <c r="AX1489" s="202"/>
      <c r="AY1489" s="202"/>
      <c r="AZ1489" s="202"/>
      <c r="BA1489" s="202"/>
      <c r="BB1489" s="202"/>
      <c r="BC1489" s="202"/>
      <c r="BD1489" s="202"/>
      <c r="BE1489" s="202"/>
      <c r="BF1489" s="202"/>
      <c r="BG1489" s="202"/>
      <c r="BH1489" s="202"/>
      <c r="BI1489" s="202"/>
      <c r="BJ1489" s="202"/>
      <c r="BK1489" s="202"/>
      <c r="BL1489" s="202"/>
      <c r="BM1489" s="202"/>
      <c r="BN1489" s="202"/>
      <c r="BO1489" s="202"/>
      <c r="BP1489" s="202"/>
      <c r="BQ1489" s="202"/>
      <c r="BR1489" s="202"/>
      <c r="BS1489" s="202"/>
      <c r="BT1489" s="202"/>
      <c r="BU1489" s="202"/>
      <c r="BV1489" s="202"/>
      <c r="BW1489" s="202"/>
      <c r="BX1489" s="202"/>
      <c r="BY1489" s="202"/>
      <c r="BZ1489" s="202"/>
      <c r="CA1489" s="202"/>
      <c r="CB1489" s="202"/>
      <c r="CC1489" s="202"/>
      <c r="CD1489" s="202"/>
      <c r="CE1489" s="202"/>
      <c r="CF1489" s="202"/>
      <c r="CG1489" s="202"/>
      <c r="CH1489" s="202"/>
      <c r="CI1489" s="202"/>
      <c r="CJ1489" s="202"/>
      <c r="CK1489" s="202"/>
      <c r="CL1489" s="202"/>
      <c r="CM1489" s="202"/>
      <c r="CN1489" s="202"/>
      <c r="CO1489" s="202"/>
      <c r="CP1489" s="202"/>
      <c r="CQ1489" s="202"/>
      <c r="CR1489" s="202"/>
      <c r="CS1489" s="202"/>
      <c r="CT1489" s="202"/>
      <c r="CU1489" s="202"/>
      <c r="CV1489" s="202"/>
      <c r="CW1489" s="202"/>
      <c r="CX1489" s="202"/>
      <c r="CY1489" s="202"/>
      <c r="CZ1489" s="202"/>
      <c r="DA1489" s="202"/>
      <c r="DB1489" s="202"/>
      <c r="DC1489" s="202"/>
      <c r="DD1489" s="202"/>
      <c r="DE1489" s="202"/>
      <c r="DF1489" s="202"/>
      <c r="DG1489" s="202"/>
      <c r="DH1489" s="202"/>
      <c r="DI1489" s="202"/>
      <c r="DJ1489" s="202"/>
      <c r="DK1489" s="202"/>
      <c r="DL1489" s="202"/>
      <c r="DM1489" s="202"/>
      <c r="DN1489" s="202"/>
      <c r="DO1489" s="202"/>
      <c r="DP1489" s="202"/>
      <c r="DQ1489" s="202"/>
      <c r="DR1489" s="202"/>
      <c r="DS1489" s="202"/>
      <c r="DT1489" s="202"/>
      <c r="DU1489" s="202"/>
      <c r="DV1489" s="202"/>
      <c r="DW1489" s="202"/>
      <c r="DX1489" s="202"/>
      <c r="DY1489" s="202"/>
      <c r="DZ1489" s="202"/>
      <c r="EA1489" s="202"/>
      <c r="EB1489" s="202"/>
      <c r="EC1489" s="202"/>
      <c r="ED1489" s="202"/>
      <c r="EE1489" s="202"/>
      <c r="EF1489" s="202"/>
      <c r="EG1489" s="202"/>
      <c r="EH1489" s="202"/>
      <c r="EI1489" s="202"/>
      <c r="EJ1489" s="202"/>
      <c r="EK1489" s="202"/>
      <c r="EL1489" s="202"/>
      <c r="EM1489" s="202"/>
      <c r="EN1489" s="202"/>
      <c r="EO1489" s="202"/>
      <c r="EP1489" s="202"/>
      <c r="EQ1489" s="202"/>
      <c r="ER1489" s="202"/>
      <c r="ES1489" s="202"/>
    </row>
    <row r="1490" spans="1:149" s="182" customFormat="1" ht="14.15" hidden="1">
      <c r="A1490" s="222">
        <v>45383</v>
      </c>
      <c r="B1490" s="201" t="s">
        <v>1486</v>
      </c>
      <c r="C1490" s="208" t="s">
        <v>133</v>
      </c>
      <c r="D1490" s="592">
        <v>-39988</v>
      </c>
      <c r="E1490" s="619">
        <v>45383</v>
      </c>
      <c r="F1490" s="201" t="s">
        <v>109</v>
      </c>
      <c r="G1490" s="208" t="s">
        <v>120</v>
      </c>
      <c r="H1490" s="201"/>
      <c r="I1490" s="201"/>
      <c r="J1490" s="202"/>
      <c r="K1490" s="202"/>
      <c r="L1490" s="202"/>
      <c r="M1490" s="202"/>
      <c r="N1490" s="202"/>
      <c r="O1490" s="202"/>
      <c r="P1490" s="202"/>
      <c r="Q1490" s="202"/>
      <c r="R1490" s="202"/>
      <c r="S1490" s="202"/>
      <c r="T1490" s="202"/>
    </row>
    <row r="1491" spans="1:149" s="182" customFormat="1" ht="14.15" hidden="1">
      <c r="A1491" s="222">
        <v>45383</v>
      </c>
      <c r="B1491" s="201" t="s">
        <v>1487</v>
      </c>
      <c r="C1491" s="208" t="s">
        <v>133</v>
      </c>
      <c r="D1491" s="592">
        <v>-7997</v>
      </c>
      <c r="E1491" s="619">
        <v>45383</v>
      </c>
      <c r="F1491" s="201" t="s">
        <v>109</v>
      </c>
      <c r="G1491" s="208" t="s">
        <v>120</v>
      </c>
      <c r="H1491" s="201"/>
      <c r="I1491" s="201"/>
      <c r="J1491" s="202"/>
      <c r="K1491" s="202"/>
      <c r="L1491" s="202"/>
      <c r="M1491" s="202"/>
      <c r="N1491" s="202"/>
      <c r="O1491" s="202"/>
      <c r="P1491" s="202"/>
      <c r="Q1491" s="202"/>
      <c r="R1491" s="202"/>
      <c r="S1491" s="202"/>
      <c r="T1491" s="202"/>
    </row>
    <row r="1492" spans="1:149" s="182" customFormat="1" ht="14.15" hidden="1">
      <c r="A1492" s="222">
        <v>45405</v>
      </c>
      <c r="B1492" s="201" t="s">
        <v>1485</v>
      </c>
      <c r="C1492" s="208" t="s">
        <v>27</v>
      </c>
      <c r="D1492" s="592">
        <f>-6108204*30%</f>
        <v>-1832461.2</v>
      </c>
      <c r="E1492" s="619">
        <v>45383</v>
      </c>
      <c r="F1492" s="201" t="s">
        <v>110</v>
      </c>
      <c r="G1492" s="208" t="s">
        <v>774</v>
      </c>
      <c r="H1492" s="201" t="s">
        <v>1463</v>
      </c>
      <c r="I1492" s="201"/>
      <c r="J1492" s="202"/>
      <c r="K1492" s="202"/>
      <c r="L1492" s="202"/>
      <c r="M1492" s="202"/>
      <c r="N1492" s="202"/>
      <c r="O1492" s="202"/>
      <c r="P1492" s="202"/>
      <c r="Q1492" s="202"/>
      <c r="R1492" s="202"/>
      <c r="S1492" s="202"/>
      <c r="T1492" s="202"/>
      <c r="U1492" s="202"/>
      <c r="V1492" s="202"/>
      <c r="W1492" s="202"/>
      <c r="X1492" s="202"/>
      <c r="Y1492" s="202"/>
      <c r="Z1492" s="202"/>
      <c r="AA1492" s="202"/>
      <c r="AB1492" s="202"/>
      <c r="AC1492" s="202"/>
      <c r="AD1492" s="202"/>
      <c r="AE1492" s="202"/>
      <c r="AF1492" s="202"/>
      <c r="AG1492" s="202"/>
      <c r="AH1492" s="202"/>
      <c r="AI1492" s="202"/>
      <c r="AJ1492" s="202"/>
      <c r="AK1492" s="202"/>
      <c r="AL1492" s="202"/>
      <c r="AM1492" s="202"/>
      <c r="AN1492" s="202"/>
      <c r="AO1492" s="202"/>
      <c r="AP1492" s="202"/>
      <c r="AQ1492" s="202"/>
      <c r="AR1492" s="202"/>
      <c r="AS1492" s="202"/>
      <c r="AT1492" s="202"/>
      <c r="AU1492" s="202"/>
      <c r="AV1492" s="202"/>
      <c r="AW1492" s="202"/>
      <c r="AX1492" s="202"/>
      <c r="AY1492" s="202"/>
      <c r="AZ1492" s="202"/>
      <c r="BA1492" s="202"/>
      <c r="BB1492" s="202"/>
      <c r="BC1492" s="202"/>
      <c r="BD1492" s="202"/>
      <c r="BE1492" s="202"/>
      <c r="BF1492" s="202"/>
      <c r="BG1492" s="202"/>
      <c r="BH1492" s="202"/>
      <c r="BI1492" s="202"/>
      <c r="BJ1492" s="202"/>
      <c r="BK1492" s="202"/>
      <c r="BL1492" s="202"/>
      <c r="BM1492" s="202"/>
      <c r="BN1492" s="202"/>
      <c r="BO1492" s="202"/>
      <c r="BP1492" s="202"/>
      <c r="BQ1492" s="202"/>
      <c r="BR1492" s="202"/>
      <c r="BS1492" s="202"/>
      <c r="BT1492" s="202"/>
      <c r="BU1492" s="202"/>
      <c r="BV1492" s="202"/>
      <c r="BW1492" s="202"/>
      <c r="BX1492" s="202"/>
      <c r="BY1492" s="202"/>
      <c r="BZ1492" s="202"/>
      <c r="CA1492" s="202"/>
      <c r="CB1492" s="202"/>
      <c r="CC1492" s="202"/>
      <c r="CD1492" s="202"/>
      <c r="CE1492" s="202"/>
      <c r="CF1492" s="202"/>
      <c r="CG1492" s="202"/>
      <c r="CH1492" s="202"/>
      <c r="CI1492" s="202"/>
      <c r="CJ1492" s="202"/>
      <c r="CK1492" s="202"/>
      <c r="CL1492" s="202"/>
      <c r="CM1492" s="202"/>
      <c r="CN1492" s="202"/>
      <c r="CO1492" s="202"/>
      <c r="CP1492" s="202"/>
      <c r="CQ1492" s="202"/>
      <c r="CR1492" s="202"/>
      <c r="CS1492" s="202"/>
      <c r="CT1492" s="202"/>
      <c r="CU1492" s="202"/>
      <c r="CV1492" s="202"/>
      <c r="CW1492" s="202"/>
      <c r="CX1492" s="202"/>
      <c r="CY1492" s="202"/>
      <c r="CZ1492" s="202"/>
      <c r="DA1492" s="202"/>
      <c r="DB1492" s="202"/>
      <c r="DC1492" s="202"/>
      <c r="DD1492" s="202"/>
      <c r="DE1492" s="202"/>
      <c r="DF1492" s="202"/>
      <c r="DG1492" s="202"/>
      <c r="DH1492" s="202"/>
      <c r="DI1492" s="202"/>
      <c r="DJ1492" s="202"/>
      <c r="DK1492" s="202"/>
      <c r="DL1492" s="202"/>
      <c r="DM1492" s="202"/>
      <c r="DN1492" s="202"/>
      <c r="DO1492" s="202"/>
      <c r="DP1492" s="202"/>
      <c r="DQ1492" s="202"/>
      <c r="DR1492" s="202"/>
      <c r="DS1492" s="202"/>
      <c r="DT1492" s="202"/>
      <c r="DU1492" s="202"/>
      <c r="DV1492" s="202"/>
      <c r="DW1492" s="202"/>
      <c r="DX1492" s="202"/>
      <c r="DY1492" s="202"/>
      <c r="DZ1492" s="202"/>
      <c r="EA1492" s="202"/>
      <c r="EB1492" s="202"/>
      <c r="EC1492" s="202"/>
      <c r="ED1492" s="202"/>
      <c r="EE1492" s="202"/>
      <c r="EF1492" s="202"/>
      <c r="EG1492" s="202"/>
      <c r="EH1492" s="202"/>
      <c r="EI1492" s="202"/>
      <c r="EJ1492" s="202"/>
      <c r="EK1492" s="202"/>
      <c r="EL1492" s="202"/>
      <c r="EM1492" s="202"/>
      <c r="EN1492" s="202"/>
      <c r="EO1492" s="202"/>
      <c r="EP1492" s="202"/>
      <c r="EQ1492" s="202"/>
      <c r="ER1492" s="202"/>
      <c r="ES1492" s="202"/>
    </row>
    <row r="1493" spans="1:149" s="182" customFormat="1" ht="14.15" hidden="1">
      <c r="A1493" s="222">
        <v>45383</v>
      </c>
      <c r="B1493" s="201" t="s">
        <v>1488</v>
      </c>
      <c r="C1493" s="208" t="s">
        <v>133</v>
      </c>
      <c r="D1493" s="592">
        <v>-78400</v>
      </c>
      <c r="E1493" s="619">
        <v>45383</v>
      </c>
      <c r="F1493" s="208" t="s">
        <v>109</v>
      </c>
      <c r="G1493" s="208" t="s">
        <v>317</v>
      </c>
      <c r="H1493" s="208" t="s">
        <v>175</v>
      </c>
      <c r="I1493" s="201"/>
      <c r="J1493" s="202"/>
      <c r="K1493" s="202"/>
      <c r="L1493" s="202"/>
      <c r="M1493" s="202"/>
      <c r="N1493" s="202"/>
      <c r="O1493" s="202"/>
      <c r="P1493" s="202"/>
      <c r="Q1493" s="202"/>
      <c r="R1493" s="202"/>
      <c r="S1493" s="202"/>
      <c r="T1493" s="202"/>
    </row>
    <row r="1494" spans="1:149" s="182" customFormat="1" ht="14.15" hidden="1">
      <c r="A1494" s="222">
        <v>45405</v>
      </c>
      <c r="B1494" s="201" t="s">
        <v>1485</v>
      </c>
      <c r="C1494" s="208" t="s">
        <v>27</v>
      </c>
      <c r="D1494" s="592">
        <f>-6108204*40%</f>
        <v>-2443281.6</v>
      </c>
      <c r="E1494" s="619">
        <v>45383</v>
      </c>
      <c r="F1494" s="201" t="s">
        <v>110</v>
      </c>
      <c r="G1494" s="201" t="s">
        <v>1489</v>
      </c>
      <c r="H1494" s="201" t="s">
        <v>1463</v>
      </c>
      <c r="I1494" s="201"/>
      <c r="J1494" s="202"/>
      <c r="K1494" s="202"/>
      <c r="L1494" s="202"/>
      <c r="M1494" s="202"/>
      <c r="N1494" s="202"/>
      <c r="O1494" s="202"/>
      <c r="P1494" s="202"/>
      <c r="Q1494" s="202"/>
      <c r="R1494" s="202"/>
      <c r="S1494" s="202"/>
      <c r="T1494" s="202"/>
      <c r="U1494" s="202"/>
      <c r="V1494" s="202"/>
      <c r="W1494" s="202"/>
      <c r="X1494" s="202"/>
      <c r="Y1494" s="202"/>
      <c r="Z1494" s="202"/>
      <c r="AA1494" s="202"/>
      <c r="AB1494" s="202"/>
      <c r="AC1494" s="202"/>
      <c r="AD1494" s="202"/>
      <c r="AE1494" s="202"/>
      <c r="AF1494" s="202"/>
      <c r="AG1494" s="202"/>
      <c r="AH1494" s="202"/>
      <c r="AI1494" s="202"/>
      <c r="AJ1494" s="202"/>
      <c r="AK1494" s="202"/>
      <c r="AL1494" s="202"/>
      <c r="AM1494" s="202"/>
      <c r="AN1494" s="202"/>
      <c r="AO1494" s="202"/>
      <c r="AP1494" s="202"/>
      <c r="AQ1494" s="202"/>
      <c r="AR1494" s="202"/>
      <c r="AS1494" s="202"/>
      <c r="AT1494" s="202"/>
      <c r="AU1494" s="202"/>
      <c r="AV1494" s="202"/>
      <c r="AW1494" s="202"/>
      <c r="AX1494" s="202"/>
      <c r="AY1494" s="202"/>
      <c r="AZ1494" s="202"/>
      <c r="BA1494" s="202"/>
      <c r="BB1494" s="202"/>
      <c r="BC1494" s="202"/>
      <c r="BD1494" s="202"/>
      <c r="BE1494" s="202"/>
      <c r="BF1494" s="202"/>
      <c r="BG1494" s="202"/>
      <c r="BH1494" s="202"/>
      <c r="BI1494" s="202"/>
      <c r="BJ1494" s="202"/>
      <c r="BK1494" s="202"/>
      <c r="BL1494" s="202"/>
      <c r="BM1494" s="202"/>
      <c r="BN1494" s="202"/>
      <c r="BO1494" s="202"/>
      <c r="BP1494" s="202"/>
      <c r="BQ1494" s="202"/>
      <c r="BR1494" s="202"/>
      <c r="BS1494" s="202"/>
      <c r="BT1494" s="202"/>
      <c r="BU1494" s="202"/>
      <c r="BV1494" s="202"/>
      <c r="BW1494" s="202"/>
      <c r="BX1494" s="202"/>
      <c r="BY1494" s="202"/>
      <c r="BZ1494" s="202"/>
      <c r="CA1494" s="202"/>
      <c r="CB1494" s="202"/>
      <c r="CC1494" s="202"/>
      <c r="CD1494" s="202"/>
      <c r="CE1494" s="202"/>
      <c r="CF1494" s="202"/>
      <c r="CG1494" s="202"/>
      <c r="CH1494" s="202"/>
      <c r="CI1494" s="202"/>
      <c r="CJ1494" s="202"/>
      <c r="CK1494" s="202"/>
      <c r="CL1494" s="202"/>
      <c r="CM1494" s="202"/>
      <c r="CN1494" s="202"/>
      <c r="CO1494" s="202"/>
      <c r="CP1494" s="202"/>
      <c r="CQ1494" s="202"/>
      <c r="CR1494" s="202"/>
      <c r="CS1494" s="202"/>
      <c r="CT1494" s="202"/>
      <c r="CU1494" s="202"/>
      <c r="CV1494" s="202"/>
      <c r="CW1494" s="202"/>
      <c r="CX1494" s="202"/>
      <c r="CY1494" s="202"/>
      <c r="CZ1494" s="202"/>
      <c r="DA1494" s="202"/>
      <c r="DB1494" s="202"/>
      <c r="DC1494" s="202"/>
      <c r="DD1494" s="202"/>
      <c r="DE1494" s="202"/>
      <c r="DF1494" s="202"/>
      <c r="DG1494" s="202"/>
      <c r="DH1494" s="202"/>
      <c r="DI1494" s="202"/>
      <c r="DJ1494" s="202"/>
      <c r="DK1494" s="202"/>
      <c r="DL1494" s="202"/>
      <c r="DM1494" s="202"/>
      <c r="DN1494" s="202"/>
      <c r="DO1494" s="202"/>
      <c r="DP1494" s="202"/>
      <c r="DQ1494" s="202"/>
      <c r="DR1494" s="202"/>
      <c r="DS1494" s="202"/>
      <c r="DT1494" s="202"/>
      <c r="DU1494" s="202"/>
      <c r="DV1494" s="202"/>
      <c r="DW1494" s="202"/>
      <c r="DX1494" s="202"/>
      <c r="DY1494" s="202"/>
      <c r="DZ1494" s="202"/>
      <c r="EA1494" s="202"/>
      <c r="EB1494" s="202"/>
      <c r="EC1494" s="202"/>
      <c r="ED1494" s="202"/>
      <c r="EE1494" s="202"/>
      <c r="EF1494" s="202"/>
      <c r="EG1494" s="202"/>
      <c r="EH1494" s="202"/>
      <c r="EI1494" s="202"/>
      <c r="EJ1494" s="202"/>
      <c r="EK1494" s="202"/>
      <c r="EL1494" s="202"/>
      <c r="EM1494" s="202"/>
      <c r="EN1494" s="202"/>
      <c r="EO1494" s="202"/>
      <c r="EP1494" s="202"/>
      <c r="EQ1494" s="202"/>
      <c r="ER1494" s="202"/>
      <c r="ES1494" s="202"/>
    </row>
    <row r="1495" spans="1:149" s="182" customFormat="1" ht="14.15" hidden="1">
      <c r="A1495" s="222">
        <v>45398</v>
      </c>
      <c r="B1495" s="201" t="s">
        <v>1490</v>
      </c>
      <c r="C1495" s="208" t="s">
        <v>27</v>
      </c>
      <c r="D1495" s="592">
        <v>-1458600</v>
      </c>
      <c r="E1495" s="619">
        <v>45383</v>
      </c>
      <c r="F1495" s="201" t="s">
        <v>109</v>
      </c>
      <c r="G1495" s="208" t="s">
        <v>120</v>
      </c>
      <c r="H1495" s="208" t="s">
        <v>175</v>
      </c>
      <c r="I1495" s="201"/>
      <c r="J1495" s="202"/>
      <c r="K1495" s="202"/>
      <c r="L1495" s="202"/>
      <c r="M1495" s="202"/>
      <c r="N1495" s="202"/>
      <c r="O1495" s="202"/>
      <c r="P1495" s="202"/>
      <c r="Q1495" s="202"/>
      <c r="R1495" s="202"/>
      <c r="S1495" s="202"/>
      <c r="T1495" s="202"/>
      <c r="U1495" s="202"/>
      <c r="V1495" s="202"/>
      <c r="W1495" s="202"/>
      <c r="X1495" s="202"/>
      <c r="Y1495" s="202"/>
      <c r="Z1495" s="202"/>
      <c r="AA1495" s="202"/>
      <c r="AB1495" s="202"/>
      <c r="AC1495" s="202"/>
      <c r="AD1495" s="202"/>
      <c r="AE1495" s="202"/>
      <c r="AF1495" s="202"/>
      <c r="AG1495" s="202"/>
      <c r="AH1495" s="202"/>
      <c r="AI1495" s="202"/>
      <c r="AJ1495" s="202"/>
      <c r="AK1495" s="202"/>
      <c r="AL1495" s="202"/>
      <c r="AM1495" s="202"/>
      <c r="AN1495" s="202"/>
      <c r="AO1495" s="202"/>
      <c r="AP1495" s="202"/>
      <c r="AQ1495" s="202"/>
      <c r="AR1495" s="202"/>
      <c r="AS1495" s="202"/>
      <c r="AT1495" s="202"/>
      <c r="AU1495" s="202"/>
      <c r="AV1495" s="202"/>
      <c r="AW1495" s="202"/>
      <c r="AX1495" s="202"/>
      <c r="AY1495" s="202"/>
      <c r="AZ1495" s="202"/>
      <c r="BA1495" s="202"/>
      <c r="BB1495" s="202"/>
      <c r="BC1495" s="202"/>
      <c r="BD1495" s="202"/>
      <c r="BE1495" s="202"/>
      <c r="BF1495" s="202"/>
      <c r="BG1495" s="202"/>
      <c r="BH1495" s="202"/>
      <c r="BI1495" s="202"/>
      <c r="BJ1495" s="202"/>
      <c r="BK1495" s="202"/>
      <c r="BL1495" s="202"/>
      <c r="BM1495" s="202"/>
      <c r="BN1495" s="202"/>
      <c r="BO1495" s="202"/>
      <c r="BP1495" s="202"/>
      <c r="BQ1495" s="202"/>
      <c r="BR1495" s="202"/>
      <c r="BS1495" s="202"/>
      <c r="BT1495" s="202"/>
      <c r="BU1495" s="202"/>
      <c r="BV1495" s="202"/>
      <c r="BW1495" s="202"/>
      <c r="BX1495" s="202"/>
      <c r="BY1495" s="202"/>
      <c r="BZ1495" s="202"/>
      <c r="CA1495" s="202"/>
      <c r="CB1495" s="202"/>
      <c r="CC1495" s="202"/>
      <c r="CD1495" s="202"/>
      <c r="CE1495" s="202"/>
      <c r="CF1495" s="202"/>
      <c r="CG1495" s="202"/>
      <c r="CH1495" s="202"/>
      <c r="CI1495" s="202"/>
      <c r="CJ1495" s="202"/>
      <c r="CK1495" s="202"/>
      <c r="CL1495" s="202"/>
      <c r="CM1495" s="202"/>
      <c r="CN1495" s="202"/>
      <c r="CO1495" s="202"/>
      <c r="CP1495" s="202"/>
      <c r="CQ1495" s="202"/>
      <c r="CR1495" s="202"/>
      <c r="CS1495" s="202"/>
      <c r="CT1495" s="202"/>
      <c r="CU1495" s="202"/>
      <c r="CV1495" s="202"/>
      <c r="CW1495" s="202"/>
      <c r="CX1495" s="202"/>
      <c r="CY1495" s="202"/>
      <c r="CZ1495" s="202"/>
      <c r="DA1495" s="202"/>
      <c r="DB1495" s="202"/>
      <c r="DC1495" s="202"/>
      <c r="DD1495" s="202"/>
      <c r="DE1495" s="202"/>
      <c r="DF1495" s="202"/>
      <c r="DG1495" s="202"/>
      <c r="DH1495" s="202"/>
      <c r="DI1495" s="202"/>
      <c r="DJ1495" s="202"/>
      <c r="DK1495" s="202"/>
      <c r="DL1495" s="202"/>
      <c r="DM1495" s="202"/>
      <c r="DN1495" s="202"/>
      <c r="DO1495" s="202"/>
      <c r="DP1495" s="202"/>
      <c r="DQ1495" s="202"/>
      <c r="DR1495" s="202"/>
      <c r="DS1495" s="202"/>
      <c r="DT1495" s="202"/>
      <c r="DU1495" s="202"/>
      <c r="DV1495" s="202"/>
      <c r="DW1495" s="202"/>
      <c r="DX1495" s="202"/>
      <c r="DY1495" s="202"/>
      <c r="DZ1495" s="202"/>
      <c r="EA1495" s="202"/>
      <c r="EB1495" s="202"/>
      <c r="EC1495" s="202"/>
      <c r="ED1495" s="202"/>
      <c r="EE1495" s="202"/>
      <c r="EF1495" s="202"/>
      <c r="EG1495" s="202"/>
      <c r="EH1495" s="202"/>
      <c r="EI1495" s="202"/>
      <c r="EJ1495" s="202"/>
      <c r="EK1495" s="202"/>
      <c r="EL1495" s="202"/>
      <c r="EM1495" s="202"/>
      <c r="EN1495" s="202"/>
      <c r="EO1495" s="202"/>
      <c r="EP1495" s="202"/>
      <c r="EQ1495" s="202"/>
      <c r="ER1495" s="202"/>
      <c r="ES1495" s="202"/>
    </row>
    <row r="1496" spans="1:149" s="182" customFormat="1" ht="14.15" hidden="1">
      <c r="A1496" s="222">
        <v>45398</v>
      </c>
      <c r="B1496" s="201" t="s">
        <v>1491</v>
      </c>
      <c r="C1496" s="208" t="s">
        <v>27</v>
      </c>
      <c r="D1496" s="592">
        <v>-6800</v>
      </c>
      <c r="E1496" s="619">
        <v>45383</v>
      </c>
      <c r="F1496" s="201" t="s">
        <v>130</v>
      </c>
      <c r="G1496" s="201" t="s">
        <v>130</v>
      </c>
      <c r="H1496" s="201" t="s">
        <v>1175</v>
      </c>
      <c r="I1496" s="201"/>
      <c r="J1496" s="202"/>
      <c r="K1496" s="202"/>
      <c r="L1496" s="202"/>
      <c r="M1496" s="202"/>
      <c r="N1496" s="202"/>
      <c r="O1496" s="202"/>
      <c r="P1496" s="202"/>
      <c r="Q1496" s="202"/>
      <c r="R1496" s="202"/>
      <c r="S1496" s="202"/>
      <c r="T1496" s="202"/>
      <c r="U1496" s="202"/>
      <c r="V1496" s="202"/>
      <c r="W1496" s="202"/>
      <c r="X1496" s="202"/>
      <c r="Y1496" s="202"/>
      <c r="Z1496" s="202"/>
      <c r="AA1496" s="202"/>
      <c r="AB1496" s="202"/>
      <c r="AC1496" s="202"/>
      <c r="AD1496" s="202"/>
      <c r="AE1496" s="202"/>
      <c r="AF1496" s="202"/>
      <c r="AG1496" s="202"/>
      <c r="AH1496" s="202"/>
      <c r="AI1496" s="202"/>
      <c r="AJ1496" s="202"/>
      <c r="AK1496" s="202"/>
      <c r="AL1496" s="202"/>
      <c r="AM1496" s="202"/>
      <c r="AN1496" s="202"/>
      <c r="AO1496" s="202"/>
      <c r="AP1496" s="202"/>
      <c r="AQ1496" s="202"/>
      <c r="AR1496" s="202"/>
      <c r="AS1496" s="202"/>
      <c r="AT1496" s="202"/>
      <c r="AU1496" s="202"/>
      <c r="AV1496" s="202"/>
      <c r="AW1496" s="202"/>
      <c r="AX1496" s="202"/>
      <c r="AY1496" s="202"/>
      <c r="AZ1496" s="202"/>
      <c r="BA1496" s="202"/>
      <c r="BB1496" s="202"/>
      <c r="BC1496" s="202"/>
      <c r="BD1496" s="202"/>
      <c r="BE1496" s="202"/>
      <c r="BF1496" s="202"/>
      <c r="BG1496" s="202"/>
      <c r="BH1496" s="202"/>
      <c r="BI1496" s="202"/>
      <c r="BJ1496" s="202"/>
      <c r="BK1496" s="202"/>
      <c r="BL1496" s="202"/>
      <c r="BM1496" s="202"/>
      <c r="BN1496" s="202"/>
      <c r="BO1496" s="202"/>
      <c r="BP1496" s="202"/>
      <c r="BQ1496" s="202"/>
      <c r="BR1496" s="202"/>
      <c r="BS1496" s="202"/>
      <c r="BT1496" s="202"/>
      <c r="BU1496" s="202"/>
      <c r="BV1496" s="202"/>
      <c r="BW1496" s="202"/>
      <c r="BX1496" s="202"/>
      <c r="BY1496" s="202"/>
      <c r="BZ1496" s="202"/>
      <c r="CA1496" s="202"/>
      <c r="CB1496" s="202"/>
      <c r="CC1496" s="202"/>
      <c r="CD1496" s="202"/>
      <c r="CE1496" s="202"/>
      <c r="CF1496" s="202"/>
      <c r="CG1496" s="202"/>
      <c r="CH1496" s="202"/>
      <c r="CI1496" s="202"/>
      <c r="CJ1496" s="202"/>
      <c r="CK1496" s="202"/>
      <c r="CL1496" s="202"/>
      <c r="CM1496" s="202"/>
      <c r="CN1496" s="202"/>
      <c r="CO1496" s="202"/>
      <c r="CP1496" s="202"/>
      <c r="CQ1496" s="202"/>
      <c r="CR1496" s="202"/>
      <c r="CS1496" s="202"/>
      <c r="CT1496" s="202"/>
      <c r="CU1496" s="202"/>
      <c r="CV1496" s="202"/>
      <c r="CW1496" s="202"/>
      <c r="CX1496" s="202"/>
      <c r="CY1496" s="202"/>
      <c r="CZ1496" s="202"/>
      <c r="DA1496" s="202"/>
      <c r="DB1496" s="202"/>
      <c r="DC1496" s="202"/>
      <c r="DD1496" s="202"/>
      <c r="DE1496" s="202"/>
      <c r="DF1496" s="202"/>
      <c r="DG1496" s="202"/>
      <c r="DH1496" s="202"/>
      <c r="DI1496" s="202"/>
      <c r="DJ1496" s="202"/>
      <c r="DK1496" s="202"/>
      <c r="DL1496" s="202"/>
      <c r="DM1496" s="202"/>
      <c r="DN1496" s="202"/>
      <c r="DO1496" s="202"/>
      <c r="DP1496" s="202"/>
      <c r="DQ1496" s="202"/>
      <c r="DR1496" s="202"/>
      <c r="DS1496" s="202"/>
      <c r="DT1496" s="202"/>
      <c r="DU1496" s="202"/>
      <c r="DV1496" s="202"/>
      <c r="DW1496" s="202"/>
      <c r="DX1496" s="202"/>
      <c r="DY1496" s="202"/>
      <c r="DZ1496" s="202"/>
      <c r="EA1496" s="202"/>
      <c r="EB1496" s="202"/>
      <c r="EC1496" s="202"/>
      <c r="ED1496" s="202"/>
      <c r="EE1496" s="202"/>
      <c r="EF1496" s="202"/>
      <c r="EG1496" s="202"/>
      <c r="EH1496" s="202"/>
      <c r="EI1496" s="202"/>
      <c r="EJ1496" s="202"/>
      <c r="EK1496" s="202"/>
      <c r="EL1496" s="202"/>
      <c r="EM1496" s="202"/>
      <c r="EN1496" s="202"/>
      <c r="EO1496" s="202"/>
      <c r="EP1496" s="202"/>
      <c r="EQ1496" s="202"/>
      <c r="ER1496" s="202"/>
      <c r="ES1496" s="202"/>
    </row>
    <row r="1497" spans="1:149" s="182" customFormat="1" ht="14.15" hidden="1">
      <c r="A1497" s="222">
        <v>45373</v>
      </c>
      <c r="B1497" s="201" t="s">
        <v>1492</v>
      </c>
      <c r="C1497" s="208" t="s">
        <v>27</v>
      </c>
      <c r="D1497" s="592">
        <v>-2145068.6500000004</v>
      </c>
      <c r="E1497" s="619">
        <v>45352</v>
      </c>
      <c r="F1497" s="201" t="s">
        <v>118</v>
      </c>
      <c r="G1497" s="614"/>
      <c r="H1497" s="201"/>
      <c r="I1497" s="201"/>
      <c r="J1497" s="202"/>
      <c r="K1497" s="202"/>
      <c r="L1497" s="202"/>
      <c r="M1497" s="202"/>
      <c r="N1497" s="202"/>
      <c r="O1497" s="202"/>
      <c r="P1497" s="202"/>
      <c r="Q1497" s="202"/>
      <c r="R1497" s="202"/>
      <c r="S1497" s="202"/>
      <c r="T1497" s="202"/>
    </row>
    <row r="1498" spans="1:149" s="182" customFormat="1" ht="14.15" hidden="1">
      <c r="A1498" s="222">
        <v>45377</v>
      </c>
      <c r="B1498" s="201" t="s">
        <v>1493</v>
      </c>
      <c r="C1498" s="208" t="s">
        <v>181</v>
      </c>
      <c r="D1498" s="592">
        <v>-123229</v>
      </c>
      <c r="E1498" s="619">
        <v>45352</v>
      </c>
      <c r="F1498" s="84" t="s">
        <v>111</v>
      </c>
      <c r="G1498" s="614"/>
      <c r="H1498" s="201"/>
      <c r="I1498" s="201"/>
      <c r="J1498" s="202"/>
      <c r="K1498" s="202"/>
      <c r="L1498" s="202"/>
      <c r="M1498" s="202"/>
      <c r="N1498" s="202"/>
      <c r="O1498" s="202"/>
      <c r="P1498" s="202"/>
      <c r="Q1498" s="202"/>
      <c r="R1498" s="202"/>
      <c r="S1498" s="202"/>
      <c r="T1498" s="202"/>
    </row>
    <row r="1499" spans="1:149" s="182" customFormat="1" ht="14.15" hidden="1">
      <c r="A1499" s="222">
        <v>45377</v>
      </c>
      <c r="B1499" s="201" t="s">
        <v>1493</v>
      </c>
      <c r="C1499" s="208" t="s">
        <v>181</v>
      </c>
      <c r="D1499" s="592">
        <v>-2500000</v>
      </c>
      <c r="E1499" s="619">
        <v>45352</v>
      </c>
      <c r="F1499" s="201" t="s">
        <v>118</v>
      </c>
      <c r="G1499" s="614"/>
      <c r="H1499" s="201"/>
      <c r="I1499" s="201"/>
      <c r="J1499" s="202"/>
      <c r="K1499" s="202"/>
      <c r="L1499" s="202"/>
      <c r="M1499" s="202"/>
      <c r="N1499" s="202"/>
      <c r="O1499" s="202"/>
      <c r="P1499" s="202"/>
      <c r="Q1499" s="202"/>
      <c r="R1499" s="202"/>
      <c r="S1499" s="202"/>
      <c r="T1499" s="202"/>
    </row>
    <row r="1500" spans="1:149" s="182" customFormat="1" ht="14.15" hidden="1">
      <c r="A1500" s="222">
        <v>45370</v>
      </c>
      <c r="B1500" s="201" t="s">
        <v>1494</v>
      </c>
      <c r="C1500" s="208" t="s">
        <v>27</v>
      </c>
      <c r="D1500" s="592">
        <f>-2027400-787400</f>
        <v>-2814800</v>
      </c>
      <c r="E1500" s="619">
        <v>45352</v>
      </c>
      <c r="F1500" s="201" t="s">
        <v>110</v>
      </c>
      <c r="G1500" s="208" t="s">
        <v>453</v>
      </c>
      <c r="H1500" s="208" t="s">
        <v>147</v>
      </c>
      <c r="I1500" s="201"/>
      <c r="J1500" s="202"/>
      <c r="K1500" s="202"/>
      <c r="L1500" s="202"/>
      <c r="M1500" s="202"/>
      <c r="N1500" s="202"/>
      <c r="O1500" s="202"/>
      <c r="P1500" s="202"/>
      <c r="Q1500" s="202"/>
      <c r="R1500" s="202"/>
      <c r="S1500" s="202"/>
      <c r="T1500" s="202"/>
    </row>
    <row r="1501" spans="1:149" s="182" customFormat="1" ht="14.15" hidden="1">
      <c r="A1501" s="222">
        <v>45370</v>
      </c>
      <c r="B1501" s="201" t="s">
        <v>1495</v>
      </c>
      <c r="C1501" s="208" t="s">
        <v>27</v>
      </c>
      <c r="D1501" s="592">
        <f>-3611000-1973350</f>
        <v>-5584350</v>
      </c>
      <c r="E1501" s="619">
        <v>45352</v>
      </c>
      <c r="F1501" s="201" t="s">
        <v>109</v>
      </c>
      <c r="G1501" s="208" t="s">
        <v>120</v>
      </c>
      <c r="H1501" s="208" t="s">
        <v>147</v>
      </c>
      <c r="I1501" s="201"/>
      <c r="J1501" s="202"/>
      <c r="K1501" s="202"/>
      <c r="L1501" s="202"/>
      <c r="M1501" s="202"/>
      <c r="N1501" s="202"/>
      <c r="O1501" s="202"/>
      <c r="P1501" s="202"/>
      <c r="Q1501" s="202"/>
      <c r="R1501" s="202"/>
      <c r="S1501" s="202"/>
      <c r="T1501" s="202"/>
    </row>
    <row r="1502" spans="1:149" s="182" customFormat="1" ht="14.15" hidden="1">
      <c r="A1502" s="222">
        <v>45370</v>
      </c>
      <c r="B1502" s="201" t="s">
        <v>1496</v>
      </c>
      <c r="C1502" s="208" t="s">
        <v>27</v>
      </c>
      <c r="D1502" s="592">
        <f>-1240050-1616500</f>
        <v>-2856550</v>
      </c>
      <c r="E1502" s="619">
        <v>45352</v>
      </c>
      <c r="F1502" s="208" t="s">
        <v>109</v>
      </c>
      <c r="G1502" s="208" t="s">
        <v>317</v>
      </c>
      <c r="H1502" s="208" t="s">
        <v>147</v>
      </c>
      <c r="I1502" s="201"/>
      <c r="J1502" s="202"/>
      <c r="K1502" s="202"/>
      <c r="L1502" s="202"/>
      <c r="M1502" s="202"/>
      <c r="N1502" s="202"/>
      <c r="O1502" s="202"/>
      <c r="P1502" s="202"/>
      <c r="Q1502" s="202"/>
      <c r="R1502" s="202"/>
      <c r="S1502" s="202"/>
      <c r="T1502" s="202"/>
    </row>
    <row r="1503" spans="1:149" s="182" customFormat="1" ht="14.15" hidden="1">
      <c r="A1503" s="222">
        <v>45370</v>
      </c>
      <c r="B1503" s="201" t="s">
        <v>1497</v>
      </c>
      <c r="C1503" s="208" t="s">
        <v>27</v>
      </c>
      <c r="D1503" s="592">
        <f>-531450-590550</f>
        <v>-1122000</v>
      </c>
      <c r="E1503" s="619">
        <v>45352</v>
      </c>
      <c r="F1503" s="201" t="s">
        <v>110</v>
      </c>
      <c r="G1503" s="208" t="s">
        <v>450</v>
      </c>
      <c r="H1503" s="208" t="s">
        <v>147</v>
      </c>
      <c r="I1503" s="201"/>
      <c r="J1503" s="202"/>
      <c r="K1503" s="202"/>
      <c r="L1503" s="202"/>
      <c r="M1503" s="202"/>
      <c r="N1503" s="202"/>
      <c r="O1503" s="202"/>
      <c r="P1503" s="202"/>
      <c r="Q1503" s="202"/>
      <c r="R1503" s="202"/>
      <c r="S1503" s="202"/>
      <c r="T1503" s="202"/>
    </row>
    <row r="1504" spans="1:149" s="182" customFormat="1" ht="14.15" hidden="1">
      <c r="A1504" s="222">
        <v>45370</v>
      </c>
      <c r="B1504" s="201" t="s">
        <v>1498</v>
      </c>
      <c r="C1504" s="208" t="s">
        <v>27</v>
      </c>
      <c r="D1504" s="592">
        <v>-1552700</v>
      </c>
      <c r="E1504" s="619">
        <v>45352</v>
      </c>
      <c r="F1504" s="201" t="s">
        <v>130</v>
      </c>
      <c r="G1504" s="201" t="s">
        <v>257</v>
      </c>
      <c r="H1504" s="201" t="s">
        <v>1175</v>
      </c>
      <c r="I1504" s="201"/>
      <c r="J1504" s="202"/>
      <c r="K1504" s="202"/>
      <c r="L1504" s="202"/>
      <c r="M1504" s="202"/>
      <c r="N1504" s="202"/>
      <c r="O1504" s="202"/>
      <c r="P1504" s="202"/>
      <c r="Q1504" s="202"/>
      <c r="R1504" s="202"/>
      <c r="S1504" s="202"/>
      <c r="T1504" s="202"/>
    </row>
    <row r="1505" spans="1:20" s="182" customFormat="1" ht="14.15" hidden="1">
      <c r="A1505" s="222">
        <v>45378</v>
      </c>
      <c r="B1505" s="201" t="s">
        <v>1499</v>
      </c>
      <c r="C1505" s="208" t="s">
        <v>27</v>
      </c>
      <c r="D1505" s="592">
        <v>-2815200</v>
      </c>
      <c r="E1505" s="619">
        <v>45352</v>
      </c>
      <c r="F1505" s="201" t="s">
        <v>109</v>
      </c>
      <c r="G1505" s="208" t="s">
        <v>120</v>
      </c>
      <c r="H1505" s="208" t="s">
        <v>147</v>
      </c>
      <c r="I1505" s="201"/>
      <c r="J1505" s="202"/>
      <c r="K1505" s="202"/>
      <c r="L1505" s="202"/>
      <c r="M1505" s="202"/>
      <c r="N1505" s="202"/>
      <c r="O1505" s="202"/>
      <c r="P1505" s="202"/>
      <c r="Q1505" s="202"/>
      <c r="R1505" s="202"/>
      <c r="S1505" s="202"/>
      <c r="T1505" s="202"/>
    </row>
    <row r="1506" spans="1:20" s="182" customFormat="1" ht="14.15" hidden="1">
      <c r="A1506" s="222">
        <v>45378</v>
      </c>
      <c r="B1506" s="201" t="s">
        <v>1500</v>
      </c>
      <c r="C1506" s="208" t="s">
        <v>27</v>
      </c>
      <c r="D1506" s="592">
        <v>-5842200</v>
      </c>
      <c r="E1506" s="619">
        <v>45352</v>
      </c>
      <c r="F1506" s="201" t="s">
        <v>109</v>
      </c>
      <c r="G1506" s="208" t="s">
        <v>120</v>
      </c>
      <c r="H1506" s="208" t="s">
        <v>147</v>
      </c>
      <c r="I1506" s="201"/>
      <c r="J1506" s="202"/>
      <c r="K1506" s="202"/>
      <c r="L1506" s="202"/>
      <c r="M1506" s="202"/>
      <c r="N1506" s="202"/>
      <c r="O1506" s="202"/>
      <c r="P1506" s="202"/>
      <c r="Q1506" s="202"/>
      <c r="R1506" s="202"/>
      <c r="S1506" s="202"/>
      <c r="T1506" s="202"/>
    </row>
    <row r="1507" spans="1:20" s="182" customFormat="1" ht="14.15" hidden="1">
      <c r="A1507" s="222">
        <v>45378</v>
      </c>
      <c r="B1507" s="201" t="s">
        <v>1501</v>
      </c>
      <c r="C1507" s="208" t="s">
        <v>27</v>
      </c>
      <c r="D1507" s="592">
        <v>-1228700</v>
      </c>
      <c r="E1507" s="619">
        <v>45352</v>
      </c>
      <c r="F1507" s="201" t="s">
        <v>109</v>
      </c>
      <c r="G1507" s="208" t="s">
        <v>120</v>
      </c>
      <c r="H1507" s="208" t="s">
        <v>147</v>
      </c>
      <c r="I1507" s="201"/>
      <c r="J1507" s="202"/>
      <c r="K1507" s="202"/>
      <c r="L1507" s="202"/>
      <c r="M1507" s="202"/>
      <c r="N1507" s="202"/>
      <c r="O1507" s="202"/>
      <c r="P1507" s="202"/>
      <c r="Q1507" s="202"/>
      <c r="R1507" s="202"/>
      <c r="S1507" s="202"/>
      <c r="T1507" s="202"/>
    </row>
    <row r="1508" spans="1:20" s="182" customFormat="1" ht="14.15" hidden="1">
      <c r="A1508" s="222">
        <v>45378</v>
      </c>
      <c r="B1508" s="201" t="s">
        <v>1502</v>
      </c>
      <c r="C1508" s="208" t="s">
        <v>27</v>
      </c>
      <c r="D1508" s="592">
        <v>-699240</v>
      </c>
      <c r="E1508" s="619">
        <v>45352</v>
      </c>
      <c r="F1508" s="201" t="s">
        <v>109</v>
      </c>
      <c r="G1508" s="208" t="s">
        <v>120</v>
      </c>
      <c r="H1508" s="208" t="s">
        <v>147</v>
      </c>
      <c r="I1508" s="201"/>
      <c r="J1508" s="202"/>
      <c r="K1508" s="202"/>
      <c r="L1508" s="202"/>
      <c r="M1508" s="202"/>
      <c r="N1508" s="202"/>
      <c r="O1508" s="202"/>
      <c r="P1508" s="202"/>
      <c r="Q1508" s="202"/>
      <c r="R1508" s="202"/>
      <c r="S1508" s="202"/>
      <c r="T1508" s="202"/>
    </row>
    <row r="1509" spans="1:20" s="182" customFormat="1" ht="14.15" hidden="1">
      <c r="A1509" s="222">
        <v>45378</v>
      </c>
      <c r="B1509" s="201" t="s">
        <v>1503</v>
      </c>
      <c r="C1509" s="208" t="s">
        <v>27</v>
      </c>
      <c r="D1509" s="592">
        <v>-2554000</v>
      </c>
      <c r="E1509" s="619">
        <v>45352</v>
      </c>
      <c r="F1509" s="201" t="s">
        <v>130</v>
      </c>
      <c r="G1509" s="592" t="s">
        <v>130</v>
      </c>
      <c r="H1509" s="201" t="s">
        <v>1175</v>
      </c>
      <c r="I1509" s="201"/>
      <c r="J1509" s="202"/>
      <c r="K1509" s="202"/>
      <c r="L1509" s="202"/>
      <c r="M1509" s="202"/>
      <c r="N1509" s="202"/>
      <c r="O1509" s="202"/>
      <c r="P1509" s="202"/>
      <c r="Q1509" s="202"/>
      <c r="R1509" s="202"/>
      <c r="S1509" s="202"/>
      <c r="T1509" s="202"/>
    </row>
    <row r="1510" spans="1:20" s="182" customFormat="1" ht="14.15" hidden="1">
      <c r="A1510" s="222">
        <v>45378</v>
      </c>
      <c r="B1510" s="201" t="s">
        <v>1504</v>
      </c>
      <c r="C1510" s="208" t="s">
        <v>27</v>
      </c>
      <c r="D1510" s="592">
        <v>-756740</v>
      </c>
      <c r="E1510" s="619">
        <v>45352</v>
      </c>
      <c r="F1510" s="201" t="s">
        <v>110</v>
      </c>
      <c r="G1510" s="208" t="s">
        <v>453</v>
      </c>
      <c r="H1510" s="208" t="s">
        <v>147</v>
      </c>
      <c r="I1510" s="201"/>
      <c r="J1510" s="202"/>
      <c r="K1510" s="202"/>
      <c r="L1510" s="202"/>
      <c r="M1510" s="202"/>
      <c r="N1510" s="202"/>
      <c r="O1510" s="202"/>
      <c r="P1510" s="202"/>
      <c r="Q1510" s="202"/>
      <c r="R1510" s="202"/>
      <c r="S1510" s="202"/>
      <c r="T1510" s="202"/>
    </row>
    <row r="1511" spans="1:20" s="182" customFormat="1" ht="14.15" hidden="1">
      <c r="A1511" s="222">
        <v>45378</v>
      </c>
      <c r="B1511" s="201" t="s">
        <v>1505</v>
      </c>
      <c r="C1511" s="208" t="s">
        <v>27</v>
      </c>
      <c r="D1511" s="592">
        <v>-731183.70212765958</v>
      </c>
      <c r="E1511" s="619">
        <v>45352</v>
      </c>
      <c r="F1511" s="208" t="s">
        <v>109</v>
      </c>
      <c r="G1511" s="208" t="s">
        <v>317</v>
      </c>
      <c r="H1511" s="208" t="s">
        <v>147</v>
      </c>
      <c r="I1511" s="201"/>
      <c r="J1511" s="202"/>
      <c r="K1511" s="202"/>
      <c r="L1511" s="202"/>
      <c r="M1511" s="202"/>
      <c r="N1511" s="202"/>
      <c r="O1511" s="202"/>
      <c r="P1511" s="202"/>
      <c r="Q1511" s="202"/>
      <c r="R1511" s="202"/>
      <c r="S1511" s="202"/>
      <c r="T1511" s="202"/>
    </row>
    <row r="1512" spans="1:20" s="182" customFormat="1" ht="14.15" hidden="1">
      <c r="A1512" s="222">
        <v>45378</v>
      </c>
      <c r="B1512" s="201" t="s">
        <v>1505</v>
      </c>
      <c r="C1512" s="208" t="s">
        <v>27</v>
      </c>
      <c r="D1512" s="592">
        <v>-287178</v>
      </c>
      <c r="E1512" s="619">
        <v>45352</v>
      </c>
      <c r="F1512" s="201" t="s">
        <v>110</v>
      </c>
      <c r="G1512" s="208" t="s">
        <v>450</v>
      </c>
      <c r="H1512" s="208" t="s">
        <v>147</v>
      </c>
      <c r="I1512" s="201"/>
      <c r="J1512" s="202"/>
      <c r="K1512" s="202"/>
      <c r="L1512" s="202"/>
      <c r="M1512" s="202"/>
      <c r="N1512" s="202"/>
      <c r="O1512" s="202"/>
      <c r="P1512" s="202"/>
      <c r="Q1512" s="202"/>
      <c r="R1512" s="202"/>
      <c r="S1512" s="202"/>
      <c r="T1512" s="202"/>
    </row>
    <row r="1513" spans="1:20" s="182" customFormat="1" ht="14.15" hidden="1">
      <c r="A1513" s="222">
        <v>45378</v>
      </c>
      <c r="B1513" s="201" t="s">
        <v>1506</v>
      </c>
      <c r="C1513" s="208" t="s">
        <v>27</v>
      </c>
      <c r="D1513" s="592">
        <v>-7665962.25</v>
      </c>
      <c r="E1513" s="619">
        <v>45352</v>
      </c>
      <c r="F1513" s="201" t="s">
        <v>130</v>
      </c>
      <c r="G1513" s="592" t="s">
        <v>130</v>
      </c>
      <c r="H1513" s="201" t="s">
        <v>1175</v>
      </c>
      <c r="I1513" s="201"/>
      <c r="J1513" s="202"/>
      <c r="K1513" s="202"/>
      <c r="L1513" s="202"/>
      <c r="M1513" s="202"/>
      <c r="N1513" s="202"/>
      <c r="O1513" s="202"/>
      <c r="P1513" s="202"/>
      <c r="Q1513" s="202"/>
      <c r="R1513" s="202"/>
      <c r="S1513" s="202"/>
      <c r="T1513" s="202"/>
    </row>
    <row r="1514" spans="1:20" s="182" customFormat="1" ht="14.15" hidden="1">
      <c r="A1514" s="605">
        <v>45378</v>
      </c>
      <c r="B1514" s="601" t="s">
        <v>1507</v>
      </c>
      <c r="C1514" s="208" t="s">
        <v>27</v>
      </c>
      <c r="D1514" s="592">
        <v>-369580</v>
      </c>
      <c r="E1514" s="619">
        <v>45352</v>
      </c>
      <c r="F1514" s="601" t="s">
        <v>130</v>
      </c>
      <c r="G1514" s="592" t="s">
        <v>130</v>
      </c>
      <c r="H1514" s="601" t="s">
        <v>1175</v>
      </c>
      <c r="I1514" s="601"/>
      <c r="J1514" s="289"/>
      <c r="K1514" s="289"/>
      <c r="L1514" s="289"/>
      <c r="M1514" s="289"/>
      <c r="N1514" s="289"/>
      <c r="O1514" s="289"/>
      <c r="P1514" s="289"/>
      <c r="Q1514" s="289"/>
      <c r="R1514" s="289"/>
      <c r="S1514" s="289"/>
      <c r="T1514" s="289"/>
    </row>
    <row r="1515" spans="1:20" s="182" customFormat="1" ht="14.15" hidden="1">
      <c r="A1515" s="222">
        <v>45378</v>
      </c>
      <c r="B1515" s="201" t="s">
        <v>1508</v>
      </c>
      <c r="C1515" s="208" t="s">
        <v>27</v>
      </c>
      <c r="D1515" s="592">
        <v>-7665962.25</v>
      </c>
      <c r="E1515" s="619">
        <v>45352</v>
      </c>
      <c r="F1515" s="201" t="s">
        <v>130</v>
      </c>
      <c r="G1515" s="592" t="s">
        <v>130</v>
      </c>
      <c r="H1515" s="201" t="s">
        <v>1175</v>
      </c>
      <c r="I1515" s="201"/>
      <c r="J1515" s="202"/>
      <c r="K1515" s="202"/>
      <c r="L1515" s="202"/>
      <c r="M1515" s="202"/>
      <c r="N1515" s="202"/>
      <c r="O1515" s="202"/>
      <c r="P1515" s="202"/>
      <c r="Q1515" s="202"/>
      <c r="R1515" s="202"/>
      <c r="S1515" s="202"/>
      <c r="T1515" s="202"/>
    </row>
    <row r="1516" spans="1:20" s="182" customFormat="1" ht="14.15" hidden="1">
      <c r="A1516" s="605">
        <v>45378</v>
      </c>
      <c r="B1516" s="601" t="s">
        <v>1509</v>
      </c>
      <c r="C1516" s="208" t="s">
        <v>27</v>
      </c>
      <c r="D1516" s="592">
        <v>-1407680</v>
      </c>
      <c r="E1516" s="619">
        <v>45352</v>
      </c>
      <c r="F1516" s="601" t="s">
        <v>130</v>
      </c>
      <c r="G1516" s="592" t="s">
        <v>130</v>
      </c>
      <c r="H1516" s="601" t="s">
        <v>1175</v>
      </c>
      <c r="I1516" s="601"/>
      <c r="J1516" s="289"/>
      <c r="K1516" s="289"/>
      <c r="L1516" s="289"/>
      <c r="M1516" s="289"/>
      <c r="N1516" s="289"/>
      <c r="O1516" s="289"/>
      <c r="P1516" s="289"/>
      <c r="Q1516" s="289"/>
      <c r="R1516" s="289"/>
      <c r="S1516" s="289"/>
      <c r="T1516" s="289"/>
    </row>
    <row r="1517" spans="1:20" s="182" customFormat="1" ht="14.15" hidden="1">
      <c r="A1517" s="605">
        <v>45378</v>
      </c>
      <c r="B1517" s="601" t="s">
        <v>1510</v>
      </c>
      <c r="C1517" s="208" t="s">
        <v>27</v>
      </c>
      <c r="D1517" s="592">
        <v>-7665962.25</v>
      </c>
      <c r="E1517" s="619">
        <v>45352</v>
      </c>
      <c r="F1517" s="601" t="s">
        <v>130</v>
      </c>
      <c r="G1517" s="592" t="s">
        <v>130</v>
      </c>
      <c r="H1517" s="601" t="s">
        <v>1175</v>
      </c>
      <c r="I1517" s="601"/>
      <c r="J1517" s="289"/>
      <c r="K1517" s="289"/>
      <c r="L1517" s="289"/>
      <c r="M1517" s="289"/>
      <c r="N1517" s="289"/>
      <c r="O1517" s="289"/>
      <c r="P1517" s="289"/>
      <c r="Q1517" s="289"/>
      <c r="R1517" s="289"/>
      <c r="S1517" s="289"/>
      <c r="T1517" s="289"/>
    </row>
    <row r="1518" spans="1:20" s="182" customFormat="1" ht="14.15" hidden="1">
      <c r="A1518" s="605">
        <v>45378</v>
      </c>
      <c r="B1518" s="601" t="s">
        <v>1511</v>
      </c>
      <c r="C1518" s="208" t="s">
        <v>27</v>
      </c>
      <c r="D1518" s="592">
        <v>-104773</v>
      </c>
      <c r="E1518" s="619">
        <v>45352</v>
      </c>
      <c r="F1518" s="601" t="s">
        <v>130</v>
      </c>
      <c r="G1518" s="592" t="s">
        <v>130</v>
      </c>
      <c r="H1518" s="601" t="s">
        <v>1175</v>
      </c>
      <c r="I1518" s="601"/>
      <c r="J1518" s="289"/>
      <c r="K1518" s="289"/>
      <c r="L1518" s="289"/>
      <c r="M1518" s="289"/>
      <c r="N1518" s="289"/>
      <c r="O1518" s="289"/>
      <c r="P1518" s="289"/>
      <c r="Q1518" s="289"/>
      <c r="R1518" s="289"/>
      <c r="S1518" s="289"/>
      <c r="T1518" s="289"/>
    </row>
    <row r="1519" spans="1:20" s="182" customFormat="1" ht="14.15" hidden="1">
      <c r="A1519" s="222">
        <v>45378</v>
      </c>
      <c r="B1519" s="201" t="s">
        <v>1512</v>
      </c>
      <c r="C1519" s="208" t="s">
        <v>27</v>
      </c>
      <c r="D1519" s="592">
        <v>-705817.02127659577</v>
      </c>
      <c r="E1519" s="619">
        <v>45352</v>
      </c>
      <c r="F1519" s="201" t="s">
        <v>110</v>
      </c>
      <c r="G1519" s="208" t="s">
        <v>453</v>
      </c>
      <c r="H1519" s="208" t="s">
        <v>147</v>
      </c>
      <c r="I1519" s="201"/>
      <c r="J1519" s="202"/>
      <c r="K1519" s="202"/>
      <c r="L1519" s="202"/>
      <c r="M1519" s="202"/>
      <c r="N1519" s="202"/>
      <c r="O1519" s="202"/>
      <c r="P1519" s="202"/>
      <c r="Q1519" s="202"/>
      <c r="R1519" s="202"/>
      <c r="S1519" s="202"/>
      <c r="T1519" s="202"/>
    </row>
    <row r="1520" spans="1:20" s="182" customFormat="1" ht="14.15" hidden="1">
      <c r="A1520" s="222">
        <v>45378</v>
      </c>
      <c r="B1520" s="201" t="s">
        <v>1513</v>
      </c>
      <c r="C1520" s="208" t="s">
        <v>27</v>
      </c>
      <c r="D1520" s="592">
        <v>-598000</v>
      </c>
      <c r="E1520" s="619">
        <v>45352</v>
      </c>
      <c r="F1520" s="201" t="s">
        <v>110</v>
      </c>
      <c r="G1520" s="208" t="s">
        <v>453</v>
      </c>
      <c r="H1520" s="208" t="s">
        <v>147</v>
      </c>
      <c r="I1520" s="201"/>
      <c r="J1520" s="202"/>
      <c r="K1520" s="202"/>
      <c r="L1520" s="202"/>
      <c r="M1520" s="202"/>
      <c r="N1520" s="202"/>
      <c r="O1520" s="202"/>
      <c r="P1520" s="202"/>
      <c r="Q1520" s="202"/>
      <c r="R1520" s="202"/>
      <c r="S1520" s="202"/>
      <c r="T1520" s="202"/>
    </row>
    <row r="1521" spans="1:20" s="182" customFormat="1" ht="14.15" hidden="1">
      <c r="A1521" s="222">
        <v>45378</v>
      </c>
      <c r="B1521" s="201" t="s">
        <v>1514</v>
      </c>
      <c r="C1521" s="208" t="s">
        <v>27</v>
      </c>
      <c r="D1521" s="592">
        <v>-881400</v>
      </c>
      <c r="E1521" s="619">
        <v>45352</v>
      </c>
      <c r="F1521" s="201" t="s">
        <v>130</v>
      </c>
      <c r="G1521" s="291" t="s">
        <v>130</v>
      </c>
      <c r="H1521" s="201" t="s">
        <v>1175</v>
      </c>
      <c r="I1521" s="201"/>
      <c r="J1521" s="202"/>
      <c r="K1521" s="202"/>
      <c r="L1521" s="202"/>
      <c r="M1521" s="202"/>
      <c r="N1521" s="202"/>
      <c r="O1521" s="202"/>
      <c r="P1521" s="202"/>
      <c r="Q1521" s="202"/>
      <c r="R1521" s="202"/>
      <c r="S1521" s="202"/>
      <c r="T1521" s="202"/>
    </row>
    <row r="1522" spans="1:20" s="182" customFormat="1" ht="14.15" hidden="1">
      <c r="A1522" s="222">
        <v>45378</v>
      </c>
      <c r="B1522" s="627" t="s">
        <v>1515</v>
      </c>
      <c r="C1522" s="208" t="s">
        <v>27</v>
      </c>
      <c r="D1522" s="592">
        <v>-756740</v>
      </c>
      <c r="E1522" s="619">
        <v>45352</v>
      </c>
      <c r="F1522" s="201" t="s">
        <v>130</v>
      </c>
      <c r="G1522" s="592" t="s">
        <v>130</v>
      </c>
      <c r="H1522" s="201" t="s">
        <v>1175</v>
      </c>
      <c r="I1522" s="201"/>
      <c r="J1522" s="202"/>
      <c r="K1522" s="202"/>
      <c r="L1522" s="202"/>
      <c r="M1522" s="202"/>
      <c r="N1522" s="202"/>
      <c r="O1522" s="202"/>
      <c r="P1522" s="202"/>
      <c r="Q1522" s="202"/>
      <c r="R1522" s="202"/>
      <c r="S1522" s="202"/>
      <c r="T1522" s="202"/>
    </row>
    <row r="1523" spans="1:20" s="182" customFormat="1" ht="14.15" hidden="1">
      <c r="A1523" s="222">
        <v>45378</v>
      </c>
      <c r="B1523" s="627" t="s">
        <v>1516</v>
      </c>
      <c r="C1523" s="208" t="s">
        <v>27</v>
      </c>
      <c r="D1523" s="592">
        <v>-679000</v>
      </c>
      <c r="E1523" s="619">
        <v>45352</v>
      </c>
      <c r="F1523" s="201" t="s">
        <v>110</v>
      </c>
      <c r="G1523" s="208" t="s">
        <v>453</v>
      </c>
      <c r="H1523" s="208" t="s">
        <v>147</v>
      </c>
      <c r="I1523" s="201"/>
      <c r="J1523" s="202"/>
      <c r="K1523" s="202"/>
      <c r="L1523" s="202"/>
      <c r="M1523" s="202"/>
      <c r="N1523" s="202"/>
      <c r="O1523" s="202"/>
      <c r="P1523" s="202"/>
      <c r="Q1523" s="202"/>
      <c r="R1523" s="202"/>
      <c r="S1523" s="202"/>
      <c r="T1523" s="202"/>
    </row>
    <row r="1524" spans="1:20" s="182" customFormat="1" ht="14.15" hidden="1">
      <c r="A1524" s="222">
        <v>45378</v>
      </c>
      <c r="B1524" s="627" t="s">
        <v>1517</v>
      </c>
      <c r="C1524" s="208" t="s">
        <v>27</v>
      </c>
      <c r="D1524" s="592">
        <v>-673600</v>
      </c>
      <c r="E1524" s="619">
        <v>45352</v>
      </c>
      <c r="F1524" s="201" t="s">
        <v>109</v>
      </c>
      <c r="G1524" s="208" t="s">
        <v>120</v>
      </c>
      <c r="H1524" s="208" t="s">
        <v>147</v>
      </c>
      <c r="I1524" s="201"/>
      <c r="J1524" s="202"/>
      <c r="K1524" s="202"/>
      <c r="L1524" s="202"/>
      <c r="M1524" s="202"/>
      <c r="N1524" s="202"/>
      <c r="O1524" s="202"/>
      <c r="P1524" s="202"/>
      <c r="Q1524" s="202"/>
      <c r="R1524" s="202"/>
      <c r="S1524" s="202"/>
      <c r="T1524" s="202"/>
    </row>
    <row r="1525" spans="1:20" s="182" customFormat="1" ht="14.15" hidden="1">
      <c r="A1525" s="222">
        <v>45378</v>
      </c>
      <c r="B1525" s="627" t="s">
        <v>1518</v>
      </c>
      <c r="C1525" s="208" t="s">
        <v>27</v>
      </c>
      <c r="D1525" s="592">
        <v>-679000</v>
      </c>
      <c r="E1525" s="619">
        <v>45352</v>
      </c>
      <c r="F1525" s="201" t="s">
        <v>109</v>
      </c>
      <c r="G1525" s="208" t="s">
        <v>120</v>
      </c>
      <c r="H1525" s="208" t="s">
        <v>147</v>
      </c>
      <c r="I1525" s="201"/>
      <c r="J1525" s="202"/>
      <c r="K1525" s="202"/>
      <c r="L1525" s="202"/>
      <c r="M1525" s="202"/>
      <c r="N1525" s="202"/>
      <c r="O1525" s="202"/>
      <c r="P1525" s="202"/>
      <c r="Q1525" s="202"/>
      <c r="R1525" s="202"/>
      <c r="S1525" s="202"/>
      <c r="T1525" s="202"/>
    </row>
    <row r="1526" spans="1:20" s="182" customFormat="1" ht="14.15" hidden="1">
      <c r="A1526" s="222">
        <v>45378</v>
      </c>
      <c r="B1526" s="627" t="s">
        <v>1519</v>
      </c>
      <c r="C1526" s="208" t="s">
        <v>27</v>
      </c>
      <c r="D1526" s="592">
        <v>-937461.59999999986</v>
      </c>
      <c r="E1526" s="619">
        <v>45352</v>
      </c>
      <c r="F1526" s="201" t="s">
        <v>110</v>
      </c>
      <c r="G1526" s="208" t="s">
        <v>453</v>
      </c>
      <c r="H1526" s="208" t="s">
        <v>147</v>
      </c>
      <c r="I1526" s="201"/>
      <c r="J1526" s="202"/>
      <c r="K1526" s="202"/>
      <c r="L1526" s="202"/>
      <c r="M1526" s="202"/>
      <c r="N1526" s="202"/>
      <c r="O1526" s="202"/>
      <c r="P1526" s="202"/>
      <c r="Q1526" s="202"/>
      <c r="R1526" s="202"/>
      <c r="S1526" s="202"/>
      <c r="T1526" s="202"/>
    </row>
    <row r="1527" spans="1:20" s="182" customFormat="1" ht="14.15" hidden="1">
      <c r="A1527" s="222">
        <v>45378</v>
      </c>
      <c r="B1527" s="627" t="s">
        <v>1519</v>
      </c>
      <c r="C1527" s="208" t="s">
        <v>27</v>
      </c>
      <c r="D1527" s="592">
        <v>-937461.59999999986</v>
      </c>
      <c r="E1527" s="619">
        <v>45352</v>
      </c>
      <c r="F1527" s="208" t="s">
        <v>109</v>
      </c>
      <c r="G1527" s="208" t="s">
        <v>317</v>
      </c>
      <c r="H1527" s="208" t="s">
        <v>147</v>
      </c>
      <c r="I1527" s="201"/>
      <c r="J1527" s="202"/>
      <c r="K1527" s="202"/>
      <c r="L1527" s="202"/>
      <c r="M1527" s="202"/>
      <c r="N1527" s="202"/>
      <c r="O1527" s="202"/>
      <c r="P1527" s="202"/>
      <c r="Q1527" s="202"/>
      <c r="R1527" s="202"/>
      <c r="S1527" s="202"/>
      <c r="T1527" s="202"/>
    </row>
    <row r="1528" spans="1:20" s="182" customFormat="1" ht="14.15" hidden="1">
      <c r="A1528" s="222">
        <v>45378</v>
      </c>
      <c r="B1528" s="627" t="s">
        <v>1519</v>
      </c>
      <c r="C1528" s="208" t="s">
        <v>27</v>
      </c>
      <c r="D1528" s="592">
        <v>-937461.59999999986</v>
      </c>
      <c r="E1528" s="619">
        <v>45352</v>
      </c>
      <c r="F1528" s="201" t="s">
        <v>110</v>
      </c>
      <c r="G1528" s="208" t="s">
        <v>450</v>
      </c>
      <c r="H1528" s="208" t="s">
        <v>147</v>
      </c>
      <c r="I1528" s="201"/>
      <c r="J1528" s="202"/>
      <c r="K1528" s="202"/>
      <c r="L1528" s="202"/>
      <c r="M1528" s="202"/>
      <c r="N1528" s="202"/>
      <c r="O1528" s="202"/>
      <c r="P1528" s="202"/>
      <c r="Q1528" s="202"/>
      <c r="R1528" s="202"/>
      <c r="S1528" s="202"/>
      <c r="T1528" s="202"/>
    </row>
    <row r="1529" spans="1:20" s="182" customFormat="1" ht="14.15" hidden="1">
      <c r="A1529" s="222">
        <v>45378</v>
      </c>
      <c r="B1529" s="627" t="s">
        <v>1520</v>
      </c>
      <c r="C1529" s="208" t="s">
        <v>27</v>
      </c>
      <c r="D1529" s="592">
        <v>-2815200</v>
      </c>
      <c r="E1529" s="619">
        <v>45352</v>
      </c>
      <c r="F1529" s="201" t="s">
        <v>109</v>
      </c>
      <c r="G1529" s="208" t="s">
        <v>120</v>
      </c>
      <c r="H1529" s="208" t="s">
        <v>147</v>
      </c>
      <c r="I1529" s="201"/>
      <c r="J1529" s="202"/>
      <c r="K1529" s="202"/>
      <c r="L1529" s="202"/>
      <c r="M1529" s="202"/>
      <c r="N1529" s="202"/>
      <c r="O1529" s="202"/>
      <c r="P1529" s="202"/>
      <c r="Q1529" s="202"/>
      <c r="R1529" s="202"/>
      <c r="S1529" s="202"/>
      <c r="T1529" s="202"/>
    </row>
    <row r="1530" spans="1:20" s="182" customFormat="1" ht="14.15" hidden="1">
      <c r="A1530" s="222">
        <v>45378</v>
      </c>
      <c r="B1530" s="627" t="s">
        <v>1521</v>
      </c>
      <c r="C1530" s="208" t="s">
        <v>27</v>
      </c>
      <c r="D1530" s="592">
        <v>-679000</v>
      </c>
      <c r="E1530" s="619">
        <v>45352</v>
      </c>
      <c r="F1530" s="201" t="s">
        <v>109</v>
      </c>
      <c r="G1530" s="208" t="s">
        <v>120</v>
      </c>
      <c r="H1530" s="208" t="s">
        <v>147</v>
      </c>
      <c r="I1530" s="201"/>
      <c r="J1530" s="202"/>
      <c r="K1530" s="202"/>
      <c r="L1530" s="202"/>
      <c r="M1530" s="202"/>
      <c r="N1530" s="202"/>
      <c r="O1530" s="202"/>
      <c r="P1530" s="202"/>
      <c r="Q1530" s="202"/>
      <c r="R1530" s="202"/>
      <c r="S1530" s="202"/>
      <c r="T1530" s="202"/>
    </row>
    <row r="1531" spans="1:20" s="182" customFormat="1" ht="14.15" hidden="1">
      <c r="A1531" s="222">
        <v>45378</v>
      </c>
      <c r="B1531" s="627" t="s">
        <v>1522</v>
      </c>
      <c r="C1531" s="208" t="s">
        <v>27</v>
      </c>
      <c r="D1531" s="592">
        <v>-2024000</v>
      </c>
      <c r="E1531" s="619">
        <v>45352</v>
      </c>
      <c r="F1531" s="201" t="s">
        <v>130</v>
      </c>
      <c r="G1531" s="592" t="s">
        <v>130</v>
      </c>
      <c r="H1531" s="201" t="s">
        <v>1175</v>
      </c>
      <c r="I1531" s="201"/>
      <c r="J1531" s="202"/>
      <c r="K1531" s="202"/>
      <c r="L1531" s="202"/>
      <c r="M1531" s="202"/>
      <c r="N1531" s="202"/>
      <c r="O1531" s="202"/>
      <c r="P1531" s="202"/>
      <c r="Q1531" s="202"/>
      <c r="R1531" s="202"/>
      <c r="S1531" s="202"/>
      <c r="T1531" s="202"/>
    </row>
    <row r="1532" spans="1:20" s="182" customFormat="1" ht="14.15" hidden="1">
      <c r="A1532" s="222">
        <v>45378</v>
      </c>
      <c r="B1532" s="627" t="s">
        <v>1523</v>
      </c>
      <c r="C1532" s="208" t="s">
        <v>27</v>
      </c>
      <c r="D1532" s="592">
        <v>-793825.4</v>
      </c>
      <c r="E1532" s="619">
        <v>45352</v>
      </c>
      <c r="F1532" s="201" t="s">
        <v>110</v>
      </c>
      <c r="G1532" s="208" t="s">
        <v>453</v>
      </c>
      <c r="H1532" s="208" t="s">
        <v>147</v>
      </c>
      <c r="I1532" s="201"/>
      <c r="J1532" s="202"/>
      <c r="K1532" s="202"/>
      <c r="L1532" s="202"/>
      <c r="M1532" s="202"/>
      <c r="N1532" s="202"/>
      <c r="O1532" s="202"/>
      <c r="P1532" s="202"/>
      <c r="Q1532" s="202"/>
      <c r="R1532" s="202"/>
      <c r="S1532" s="202"/>
      <c r="T1532" s="202"/>
    </row>
    <row r="1533" spans="1:20" s="182" customFormat="1" ht="14.15" hidden="1">
      <c r="A1533" s="222">
        <v>45378</v>
      </c>
      <c r="B1533" s="627" t="s">
        <v>1523</v>
      </c>
      <c r="C1533" s="208" t="s">
        <v>27</v>
      </c>
      <c r="D1533" s="592">
        <v>-793550</v>
      </c>
      <c r="E1533" s="619">
        <v>45352</v>
      </c>
      <c r="F1533" s="208" t="s">
        <v>109</v>
      </c>
      <c r="G1533" s="208" t="s">
        <v>317</v>
      </c>
      <c r="H1533" s="208" t="s">
        <v>147</v>
      </c>
      <c r="I1533" s="201"/>
      <c r="J1533" s="202"/>
      <c r="K1533" s="202"/>
      <c r="L1533" s="202"/>
      <c r="M1533" s="202"/>
      <c r="N1533" s="202"/>
      <c r="O1533" s="202"/>
      <c r="P1533" s="202"/>
      <c r="Q1533" s="202"/>
      <c r="R1533" s="202"/>
      <c r="S1533" s="202"/>
      <c r="T1533" s="202"/>
    </row>
    <row r="1534" spans="1:20" s="182" customFormat="1" ht="14.15" hidden="1">
      <c r="A1534" s="222">
        <v>45378</v>
      </c>
      <c r="B1534" s="627" t="s">
        <v>1523</v>
      </c>
      <c r="C1534" s="208" t="s">
        <v>27</v>
      </c>
      <c r="D1534" s="592">
        <v>-793550</v>
      </c>
      <c r="E1534" s="619">
        <v>45352</v>
      </c>
      <c r="F1534" s="201" t="s">
        <v>110</v>
      </c>
      <c r="G1534" s="208" t="s">
        <v>450</v>
      </c>
      <c r="H1534" s="208" t="s">
        <v>147</v>
      </c>
      <c r="I1534" s="201"/>
      <c r="J1534" s="202"/>
      <c r="K1534" s="202"/>
      <c r="L1534" s="202"/>
      <c r="M1534" s="202"/>
      <c r="N1534" s="202"/>
      <c r="O1534" s="202"/>
      <c r="P1534" s="202"/>
      <c r="Q1534" s="202"/>
      <c r="R1534" s="202"/>
      <c r="S1534" s="202"/>
      <c r="T1534" s="202"/>
    </row>
    <row r="1535" spans="1:20" s="182" customFormat="1" ht="14.15" hidden="1">
      <c r="A1535" s="222">
        <v>45378</v>
      </c>
      <c r="B1535" s="627" t="s">
        <v>1524</v>
      </c>
      <c r="C1535" s="208" t="s">
        <v>27</v>
      </c>
      <c r="D1535" s="592">
        <v>-679000</v>
      </c>
      <c r="E1535" s="619">
        <v>45352</v>
      </c>
      <c r="F1535" s="201" t="s">
        <v>130</v>
      </c>
      <c r="G1535" s="592" t="s">
        <v>130</v>
      </c>
      <c r="H1535" s="201" t="s">
        <v>1175</v>
      </c>
      <c r="I1535" s="201"/>
      <c r="J1535" s="202"/>
      <c r="K1535" s="202"/>
      <c r="L1535" s="202"/>
      <c r="M1535" s="202"/>
      <c r="N1535" s="202"/>
      <c r="O1535" s="202"/>
      <c r="P1535" s="202"/>
      <c r="Q1535" s="202"/>
      <c r="R1535" s="202"/>
      <c r="S1535" s="202"/>
      <c r="T1535" s="202"/>
    </row>
    <row r="1536" spans="1:20" s="182" customFormat="1" ht="14.15" hidden="1">
      <c r="A1536" s="222">
        <v>45378</v>
      </c>
      <c r="B1536" s="627" t="s">
        <v>1525</v>
      </c>
      <c r="C1536" s="208" t="s">
        <v>27</v>
      </c>
      <c r="D1536" s="592">
        <v>-650000</v>
      </c>
      <c r="E1536" s="619">
        <v>45352</v>
      </c>
      <c r="F1536" s="201" t="s">
        <v>130</v>
      </c>
      <c r="G1536" s="592" t="s">
        <v>130</v>
      </c>
      <c r="H1536" s="201" t="s">
        <v>1175</v>
      </c>
      <c r="I1536" s="201"/>
      <c r="J1536" s="202"/>
      <c r="K1536" s="202"/>
      <c r="L1536" s="202"/>
      <c r="M1536" s="202"/>
      <c r="N1536" s="202"/>
      <c r="O1536" s="202"/>
      <c r="P1536" s="202"/>
      <c r="Q1536" s="202"/>
      <c r="R1536" s="202"/>
      <c r="S1536" s="202"/>
      <c r="T1536" s="202"/>
    </row>
    <row r="1537" spans="1:20" s="182" customFormat="1" ht="14.15" hidden="1">
      <c r="A1537" s="222">
        <v>45378</v>
      </c>
      <c r="B1537" s="201" t="s">
        <v>1526</v>
      </c>
      <c r="C1537" s="208" t="s">
        <v>27</v>
      </c>
      <c r="D1537" s="592">
        <v>-5000905</v>
      </c>
      <c r="E1537" s="619">
        <v>45352</v>
      </c>
      <c r="F1537" s="201" t="s">
        <v>130</v>
      </c>
      <c r="G1537" s="592" t="s">
        <v>257</v>
      </c>
      <c r="H1537" s="201" t="s">
        <v>1175</v>
      </c>
      <c r="I1537" s="201"/>
      <c r="J1537" s="202"/>
      <c r="K1537" s="202"/>
      <c r="L1537" s="202"/>
      <c r="M1537" s="202"/>
      <c r="N1537" s="202"/>
      <c r="O1537" s="202"/>
      <c r="P1537" s="202"/>
      <c r="Q1537" s="202"/>
      <c r="R1537" s="202"/>
      <c r="S1537" s="202"/>
      <c r="T1537" s="202"/>
    </row>
    <row r="1538" spans="1:20" s="182" customFormat="1" ht="14.15" hidden="1">
      <c r="A1538" s="222">
        <v>45378</v>
      </c>
      <c r="B1538" s="201" t="s">
        <v>1527</v>
      </c>
      <c r="C1538" s="208" t="s">
        <v>27</v>
      </c>
      <c r="D1538" s="592">
        <v>-679000</v>
      </c>
      <c r="E1538" s="619">
        <v>45352</v>
      </c>
      <c r="F1538" s="201" t="s">
        <v>109</v>
      </c>
      <c r="G1538" s="208" t="s">
        <v>120</v>
      </c>
      <c r="H1538" s="208" t="s">
        <v>147</v>
      </c>
      <c r="I1538" s="201"/>
      <c r="J1538" s="202"/>
      <c r="K1538" s="202"/>
      <c r="L1538" s="202"/>
      <c r="M1538" s="202"/>
      <c r="N1538" s="202"/>
      <c r="O1538" s="202"/>
      <c r="P1538" s="202"/>
      <c r="Q1538" s="202"/>
      <c r="R1538" s="202"/>
      <c r="S1538" s="202"/>
      <c r="T1538" s="202"/>
    </row>
    <row r="1539" spans="1:20" s="182" customFormat="1" ht="14.15" hidden="1">
      <c r="A1539" s="222">
        <v>45378</v>
      </c>
      <c r="B1539" s="201" t="s">
        <v>1528</v>
      </c>
      <c r="C1539" s="208" t="s">
        <v>27</v>
      </c>
      <c r="D1539" s="592">
        <v>-679000</v>
      </c>
      <c r="E1539" s="619">
        <v>45352</v>
      </c>
      <c r="F1539" s="201" t="s">
        <v>109</v>
      </c>
      <c r="G1539" s="208" t="s">
        <v>120</v>
      </c>
      <c r="H1539" s="208" t="s">
        <v>147</v>
      </c>
      <c r="I1539" s="201"/>
      <c r="J1539" s="202"/>
      <c r="K1539" s="202"/>
      <c r="L1539" s="202"/>
      <c r="M1539" s="202"/>
      <c r="N1539" s="202"/>
      <c r="O1539" s="202"/>
      <c r="P1539" s="202"/>
      <c r="Q1539" s="202"/>
      <c r="R1539" s="202"/>
      <c r="S1539" s="202"/>
      <c r="T1539" s="202"/>
    </row>
    <row r="1540" spans="1:20" s="182" customFormat="1" ht="14.15" hidden="1">
      <c r="A1540" s="222">
        <v>45378</v>
      </c>
      <c r="B1540" s="201" t="s">
        <v>1529</v>
      </c>
      <c r="C1540" s="208" t="s">
        <v>27</v>
      </c>
      <c r="D1540" s="592">
        <v>-679000</v>
      </c>
      <c r="E1540" s="619">
        <v>45352</v>
      </c>
      <c r="F1540" s="201" t="s">
        <v>109</v>
      </c>
      <c r="G1540" s="208" t="s">
        <v>120</v>
      </c>
      <c r="H1540" s="208" t="s">
        <v>147</v>
      </c>
      <c r="I1540" s="201"/>
      <c r="J1540" s="202"/>
      <c r="K1540" s="202"/>
      <c r="L1540" s="202"/>
      <c r="M1540" s="202"/>
      <c r="N1540" s="202"/>
      <c r="O1540" s="202"/>
      <c r="P1540" s="202"/>
      <c r="Q1540" s="202"/>
      <c r="R1540" s="202"/>
      <c r="S1540" s="202"/>
      <c r="T1540" s="202"/>
    </row>
    <row r="1541" spans="1:20" s="182" customFormat="1" ht="14.15" hidden="1">
      <c r="A1541" s="222">
        <v>45378</v>
      </c>
      <c r="B1541" s="201" t="s">
        <v>1530</v>
      </c>
      <c r="C1541" s="208" t="s">
        <v>27</v>
      </c>
      <c r="D1541" s="592">
        <v>-679000</v>
      </c>
      <c r="E1541" s="619">
        <v>45352</v>
      </c>
      <c r="F1541" s="201" t="s">
        <v>110</v>
      </c>
      <c r="G1541" s="208" t="s">
        <v>453</v>
      </c>
      <c r="H1541" s="208" t="s">
        <v>147</v>
      </c>
      <c r="I1541" s="201"/>
      <c r="J1541" s="202"/>
      <c r="K1541" s="202"/>
      <c r="L1541" s="202"/>
      <c r="M1541" s="202"/>
      <c r="N1541" s="202"/>
      <c r="O1541" s="202"/>
      <c r="P1541" s="202"/>
      <c r="Q1541" s="202"/>
      <c r="R1541" s="202"/>
      <c r="S1541" s="202"/>
      <c r="T1541" s="202"/>
    </row>
    <row r="1542" spans="1:20" s="182" customFormat="1" ht="14.15" hidden="1">
      <c r="A1542" s="222">
        <v>45378</v>
      </c>
      <c r="B1542" s="201" t="s">
        <v>1531</v>
      </c>
      <c r="C1542" s="208" t="s">
        <v>27</v>
      </c>
      <c r="D1542" s="592">
        <v>-456770.21276595746</v>
      </c>
      <c r="E1542" s="619">
        <v>45352</v>
      </c>
      <c r="F1542" s="208" t="s">
        <v>109</v>
      </c>
      <c r="G1542" s="208" t="s">
        <v>317</v>
      </c>
      <c r="H1542" s="208" t="s">
        <v>147</v>
      </c>
      <c r="I1542" s="201"/>
      <c r="J1542" s="202"/>
      <c r="K1542" s="202"/>
      <c r="L1542" s="202"/>
      <c r="M1542" s="202"/>
      <c r="N1542" s="202"/>
      <c r="O1542" s="202"/>
      <c r="P1542" s="202"/>
      <c r="Q1542" s="202"/>
      <c r="R1542" s="202"/>
      <c r="S1542" s="202"/>
      <c r="T1542" s="202"/>
    </row>
    <row r="1543" spans="1:20" s="182" customFormat="1" ht="14.15" hidden="1">
      <c r="A1543" s="222">
        <v>45378</v>
      </c>
      <c r="B1543" s="201" t="s">
        <v>1531</v>
      </c>
      <c r="C1543" s="208" t="s">
        <v>27</v>
      </c>
      <c r="D1543" s="592">
        <v>-179400</v>
      </c>
      <c r="E1543" s="619">
        <v>45352</v>
      </c>
      <c r="F1543" s="201" t="s">
        <v>110</v>
      </c>
      <c r="G1543" s="208" t="s">
        <v>450</v>
      </c>
      <c r="H1543" s="208" t="s">
        <v>147</v>
      </c>
      <c r="I1543" s="201"/>
      <c r="J1543" s="202"/>
      <c r="K1543" s="202"/>
      <c r="L1543" s="202"/>
      <c r="M1543" s="202"/>
      <c r="N1543" s="202"/>
      <c r="O1543" s="202"/>
      <c r="P1543" s="202"/>
      <c r="Q1543" s="202"/>
      <c r="R1543" s="202"/>
      <c r="S1543" s="202"/>
      <c r="T1543" s="202"/>
    </row>
    <row r="1544" spans="1:20" s="182" customFormat="1" ht="14.15" hidden="1">
      <c r="A1544" s="222">
        <v>45378</v>
      </c>
      <c r="B1544" s="201" t="s">
        <v>1532</v>
      </c>
      <c r="C1544" s="208" t="s">
        <v>27</v>
      </c>
      <c r="D1544" s="592">
        <v>-418600</v>
      </c>
      <c r="E1544" s="619">
        <v>45352</v>
      </c>
      <c r="F1544" s="208" t="s">
        <v>109</v>
      </c>
      <c r="G1544" s="208" t="s">
        <v>317</v>
      </c>
      <c r="H1544" s="208" t="s">
        <v>147</v>
      </c>
      <c r="I1544" s="201"/>
      <c r="J1544" s="202"/>
      <c r="K1544" s="202"/>
      <c r="L1544" s="202"/>
      <c r="M1544" s="202"/>
      <c r="N1544" s="202"/>
      <c r="O1544" s="202"/>
      <c r="P1544" s="202"/>
      <c r="Q1544" s="202"/>
      <c r="R1544" s="202"/>
      <c r="S1544" s="202"/>
      <c r="T1544" s="202"/>
    </row>
    <row r="1545" spans="1:20" s="182" customFormat="1" ht="14.15" hidden="1">
      <c r="A1545" s="222">
        <v>45378</v>
      </c>
      <c r="B1545" s="201" t="s">
        <v>1532</v>
      </c>
      <c r="C1545" s="208" t="s">
        <v>27</v>
      </c>
      <c r="D1545" s="592">
        <v>-277370.21276595746</v>
      </c>
      <c r="E1545" s="619">
        <v>45352</v>
      </c>
      <c r="F1545" s="201" t="s">
        <v>110</v>
      </c>
      <c r="G1545" s="208" t="s">
        <v>450</v>
      </c>
      <c r="H1545" s="208" t="s">
        <v>147</v>
      </c>
      <c r="I1545" s="201"/>
      <c r="J1545" s="202"/>
      <c r="K1545" s="202"/>
      <c r="L1545" s="202"/>
      <c r="M1545" s="202"/>
      <c r="N1545" s="202"/>
      <c r="O1545" s="202"/>
      <c r="P1545" s="202"/>
      <c r="Q1545" s="202"/>
      <c r="R1545" s="202"/>
      <c r="S1545" s="202"/>
      <c r="T1545" s="202"/>
    </row>
    <row r="1546" spans="1:20" s="182" customFormat="1" ht="14.15" hidden="1">
      <c r="A1546" s="222">
        <v>45378</v>
      </c>
      <c r="B1546" s="201" t="s">
        <v>1533</v>
      </c>
      <c r="C1546" s="208" t="s">
        <v>27</v>
      </c>
      <c r="D1546" s="592">
        <v>-456770.21276595746</v>
      </c>
      <c r="E1546" s="619">
        <v>45352</v>
      </c>
      <c r="F1546" s="208" t="s">
        <v>109</v>
      </c>
      <c r="G1546" s="208" t="s">
        <v>317</v>
      </c>
      <c r="H1546" s="208" t="s">
        <v>147</v>
      </c>
      <c r="I1546" s="201"/>
      <c r="J1546" s="202"/>
      <c r="K1546" s="202"/>
      <c r="L1546" s="202"/>
      <c r="M1546" s="202"/>
      <c r="N1546" s="202"/>
      <c r="O1546" s="202"/>
      <c r="P1546" s="202"/>
      <c r="Q1546" s="202"/>
      <c r="R1546" s="202"/>
      <c r="S1546" s="202"/>
      <c r="T1546" s="202"/>
    </row>
    <row r="1547" spans="1:20" s="182" customFormat="1" ht="14.15" hidden="1">
      <c r="A1547" s="222">
        <v>45378</v>
      </c>
      <c r="B1547" s="201" t="s">
        <v>1533</v>
      </c>
      <c r="C1547" s="208" t="s">
        <v>27</v>
      </c>
      <c r="D1547" s="592">
        <v>-179400</v>
      </c>
      <c r="E1547" s="619">
        <v>45352</v>
      </c>
      <c r="F1547" s="201" t="s">
        <v>110</v>
      </c>
      <c r="G1547" s="208" t="s">
        <v>450</v>
      </c>
      <c r="H1547" s="208" t="s">
        <v>147</v>
      </c>
      <c r="I1547" s="201"/>
      <c r="J1547" s="202"/>
      <c r="K1547" s="202"/>
      <c r="L1547" s="202"/>
      <c r="M1547" s="202"/>
      <c r="N1547" s="202"/>
      <c r="O1547" s="202"/>
      <c r="P1547" s="202"/>
      <c r="Q1547" s="202"/>
      <c r="R1547" s="202"/>
      <c r="S1547" s="202"/>
      <c r="T1547" s="202"/>
    </row>
    <row r="1548" spans="1:20" s="182" customFormat="1" ht="14.15" hidden="1">
      <c r="A1548" s="222">
        <v>45378</v>
      </c>
      <c r="B1548" s="201" t="s">
        <v>1534</v>
      </c>
      <c r="C1548" s="208" t="s">
        <v>27</v>
      </c>
      <c r="D1548" s="592">
        <v>-2668000</v>
      </c>
      <c r="E1548" s="619">
        <v>45352</v>
      </c>
      <c r="F1548" s="201" t="s">
        <v>130</v>
      </c>
      <c r="G1548" s="592" t="s">
        <v>257</v>
      </c>
      <c r="H1548" s="201" t="s">
        <v>1175</v>
      </c>
      <c r="I1548" s="201"/>
      <c r="J1548" s="202"/>
      <c r="K1548" s="202"/>
      <c r="L1548" s="202"/>
      <c r="M1548" s="202"/>
      <c r="N1548" s="202"/>
      <c r="O1548" s="202"/>
      <c r="P1548" s="202"/>
      <c r="Q1548" s="202"/>
      <c r="R1548" s="202"/>
      <c r="S1548" s="202"/>
      <c r="T1548" s="202"/>
    </row>
    <row r="1549" spans="1:20" s="182" customFormat="1" ht="14.15" hidden="1">
      <c r="A1549" s="222">
        <v>45378</v>
      </c>
      <c r="B1549" s="201" t="s">
        <v>1535</v>
      </c>
      <c r="C1549" s="208" t="s">
        <v>27</v>
      </c>
      <c r="D1549" s="592">
        <v>-679000</v>
      </c>
      <c r="E1549" s="619">
        <v>45352</v>
      </c>
      <c r="F1549" s="201" t="s">
        <v>109</v>
      </c>
      <c r="G1549" s="208" t="s">
        <v>120</v>
      </c>
      <c r="H1549" s="208" t="s">
        <v>147</v>
      </c>
      <c r="I1549" s="201"/>
      <c r="J1549" s="202"/>
      <c r="K1549" s="202"/>
      <c r="L1549" s="202"/>
      <c r="M1549" s="202"/>
      <c r="N1549" s="202"/>
      <c r="O1549" s="202"/>
      <c r="P1549" s="202"/>
      <c r="Q1549" s="202"/>
      <c r="R1549" s="202"/>
      <c r="S1549" s="202"/>
      <c r="T1549" s="202"/>
    </row>
    <row r="1550" spans="1:20" s="182" customFormat="1" ht="14.15" hidden="1">
      <c r="A1550" s="222">
        <v>45378</v>
      </c>
      <c r="B1550" s="201" t="s">
        <v>1536</v>
      </c>
      <c r="C1550" s="208" t="s">
        <v>27</v>
      </c>
      <c r="D1550" s="592">
        <f>-679000</f>
        <v>-679000</v>
      </c>
      <c r="E1550" s="619">
        <v>45352</v>
      </c>
      <c r="F1550" s="201" t="s">
        <v>109</v>
      </c>
      <c r="G1550" s="208" t="s">
        <v>120</v>
      </c>
      <c r="H1550" s="208" t="s">
        <v>147</v>
      </c>
      <c r="I1550" s="201"/>
      <c r="J1550" s="202"/>
      <c r="K1550" s="202"/>
      <c r="L1550" s="202"/>
      <c r="M1550" s="202"/>
      <c r="N1550" s="202"/>
      <c r="O1550" s="202"/>
      <c r="P1550" s="202"/>
      <c r="Q1550" s="202"/>
      <c r="R1550" s="202"/>
      <c r="S1550" s="202"/>
      <c r="T1550" s="202"/>
    </row>
    <row r="1551" spans="1:20" s="182" customFormat="1" ht="14.15" hidden="1">
      <c r="A1551" s="222">
        <v>45378</v>
      </c>
      <c r="B1551" s="201" t="s">
        <v>1537</v>
      </c>
      <c r="C1551" s="208" t="s">
        <v>27</v>
      </c>
      <c r="D1551" s="592">
        <v>-325000</v>
      </c>
      <c r="E1551" s="619">
        <v>45352</v>
      </c>
      <c r="F1551" s="201" t="s">
        <v>130</v>
      </c>
      <c r="G1551" s="592" t="s">
        <v>130</v>
      </c>
      <c r="H1551" s="201" t="s">
        <v>1175</v>
      </c>
      <c r="I1551" s="201"/>
      <c r="J1551" s="202"/>
      <c r="K1551" s="202"/>
      <c r="L1551" s="202"/>
      <c r="M1551" s="202"/>
      <c r="N1551" s="202"/>
      <c r="O1551" s="202"/>
      <c r="P1551" s="202"/>
      <c r="Q1551" s="202"/>
      <c r="R1551" s="202"/>
      <c r="S1551" s="202"/>
      <c r="T1551" s="202"/>
    </row>
    <row r="1552" spans="1:20" s="182" customFormat="1" ht="14.15" hidden="1">
      <c r="A1552" s="222">
        <v>45378</v>
      </c>
      <c r="B1552" s="201" t="s">
        <v>1538</v>
      </c>
      <c r="C1552" s="208" t="s">
        <v>27</v>
      </c>
      <c r="D1552" s="592">
        <v>-588466.66666666674</v>
      </c>
      <c r="E1552" s="619">
        <v>45352</v>
      </c>
      <c r="F1552" s="201" t="s">
        <v>109</v>
      </c>
      <c r="G1552" s="208" t="s">
        <v>120</v>
      </c>
      <c r="H1552" s="208" t="s">
        <v>147</v>
      </c>
      <c r="I1552" s="201"/>
      <c r="J1552" s="202"/>
      <c r="K1552" s="202"/>
      <c r="L1552" s="202"/>
      <c r="M1552" s="202"/>
      <c r="N1552" s="202"/>
      <c r="O1552" s="202"/>
      <c r="P1552" s="202"/>
      <c r="Q1552" s="202"/>
      <c r="R1552" s="202"/>
      <c r="S1552" s="202"/>
      <c r="T1552" s="202"/>
    </row>
    <row r="1553" spans="1:20" s="182" customFormat="1" ht="14.15" hidden="1">
      <c r="A1553" s="222">
        <v>45378</v>
      </c>
      <c r="B1553" s="201" t="s">
        <v>1539</v>
      </c>
      <c r="C1553" s="208" t="s">
        <v>27</v>
      </c>
      <c r="D1553" s="592">
        <v>-899825.33333333337</v>
      </c>
      <c r="E1553" s="619">
        <v>45352</v>
      </c>
      <c r="F1553" s="201" t="s">
        <v>109</v>
      </c>
      <c r="G1553" s="208" t="s">
        <v>120</v>
      </c>
      <c r="H1553" s="208" t="s">
        <v>147</v>
      </c>
      <c r="I1553" s="201"/>
      <c r="J1553" s="202"/>
      <c r="K1553" s="202"/>
      <c r="L1553" s="202"/>
      <c r="M1553" s="202"/>
      <c r="N1553" s="202"/>
      <c r="O1553" s="202"/>
      <c r="P1553" s="202"/>
      <c r="Q1553" s="202"/>
      <c r="R1553" s="202"/>
      <c r="S1553" s="202"/>
      <c r="T1553" s="202"/>
    </row>
    <row r="1554" spans="1:20" s="182" customFormat="1" ht="14.15" hidden="1">
      <c r="A1554" s="222">
        <v>45378</v>
      </c>
      <c r="B1554" s="201" t="s">
        <v>1540</v>
      </c>
      <c r="C1554" s="208" t="s">
        <v>27</v>
      </c>
      <c r="D1554" s="592">
        <f>-1201200-8198.19468104839</f>
        <v>-1209398.1946810484</v>
      </c>
      <c r="E1554" s="619">
        <v>45352</v>
      </c>
      <c r="F1554" s="201" t="s">
        <v>130</v>
      </c>
      <c r="G1554" s="592" t="s">
        <v>257</v>
      </c>
      <c r="H1554" s="201" t="s">
        <v>1175</v>
      </c>
      <c r="I1554" s="201"/>
      <c r="J1554" s="202"/>
      <c r="K1554" s="202"/>
      <c r="L1554" s="202"/>
      <c r="M1554" s="202"/>
      <c r="N1554" s="202"/>
      <c r="O1554" s="202"/>
      <c r="P1554" s="202"/>
      <c r="Q1554" s="202"/>
      <c r="R1554" s="202"/>
      <c r="S1554" s="202"/>
      <c r="T1554" s="202"/>
    </row>
    <row r="1555" spans="1:20" s="182" customFormat="1" ht="14.15" hidden="1">
      <c r="A1555" s="222">
        <v>45373</v>
      </c>
      <c r="B1555" s="201" t="s">
        <v>1541</v>
      </c>
      <c r="C1555" s="208" t="s">
        <v>330</v>
      </c>
      <c r="D1555" s="592">
        <v>-99000</v>
      </c>
      <c r="E1555" s="619">
        <v>45383</v>
      </c>
      <c r="F1555" s="201" t="s">
        <v>110</v>
      </c>
      <c r="G1555" s="208" t="s">
        <v>453</v>
      </c>
      <c r="H1555" s="208" t="s">
        <v>175</v>
      </c>
      <c r="I1555" s="201" t="s">
        <v>173</v>
      </c>
      <c r="J1555" s="202"/>
      <c r="K1555" s="202"/>
      <c r="L1555" s="202"/>
      <c r="M1555" s="202"/>
      <c r="N1555" s="202"/>
      <c r="O1555" s="202"/>
      <c r="P1555" s="202"/>
      <c r="Q1555" s="202"/>
      <c r="R1555" s="202"/>
      <c r="S1555" s="202"/>
      <c r="T1555" s="202"/>
    </row>
    <row r="1556" spans="1:20" s="182" customFormat="1" ht="14.15" hidden="1">
      <c r="A1556" s="222">
        <v>45373</v>
      </c>
      <c r="B1556" s="201" t="s">
        <v>1542</v>
      </c>
      <c r="C1556" s="208" t="s">
        <v>330</v>
      </c>
      <c r="D1556" s="592">
        <v>-16715</v>
      </c>
      <c r="E1556" s="619">
        <v>45383</v>
      </c>
      <c r="F1556" s="201" t="s">
        <v>110</v>
      </c>
      <c r="G1556" s="208" t="s">
        <v>453</v>
      </c>
      <c r="H1556" s="208" t="s">
        <v>175</v>
      </c>
      <c r="I1556" s="201" t="s">
        <v>173</v>
      </c>
      <c r="J1556" s="202"/>
      <c r="K1556" s="202"/>
      <c r="L1556" s="202"/>
      <c r="M1556" s="202"/>
      <c r="N1556" s="202"/>
      <c r="O1556" s="202"/>
      <c r="P1556" s="202"/>
      <c r="Q1556" s="202"/>
      <c r="R1556" s="202"/>
      <c r="S1556" s="202"/>
      <c r="T1556" s="202"/>
    </row>
    <row r="1557" spans="1:20" s="182" customFormat="1" ht="14.15" hidden="1">
      <c r="A1557" s="222">
        <v>45373</v>
      </c>
      <c r="B1557" s="201" t="s">
        <v>1543</v>
      </c>
      <c r="C1557" s="208" t="s">
        <v>330</v>
      </c>
      <c r="D1557" s="592">
        <v>-15500</v>
      </c>
      <c r="E1557" s="619">
        <v>45383</v>
      </c>
      <c r="F1557" s="201" t="s">
        <v>110</v>
      </c>
      <c r="G1557" s="208" t="s">
        <v>453</v>
      </c>
      <c r="H1557" s="208" t="s">
        <v>175</v>
      </c>
      <c r="I1557" s="201" t="s">
        <v>173</v>
      </c>
      <c r="J1557" s="202"/>
      <c r="K1557" s="202"/>
      <c r="L1557" s="202"/>
      <c r="M1557" s="202"/>
      <c r="N1557" s="202"/>
      <c r="O1557" s="202"/>
      <c r="P1557" s="202"/>
      <c r="Q1557" s="202"/>
      <c r="R1557" s="202"/>
      <c r="S1557" s="202"/>
      <c r="T1557" s="202"/>
    </row>
    <row r="1558" spans="1:20" s="182" customFormat="1" ht="14.15" hidden="1">
      <c r="A1558" s="222">
        <v>45373</v>
      </c>
      <c r="B1558" s="201" t="s">
        <v>1544</v>
      </c>
      <c r="C1558" s="208" t="s">
        <v>330</v>
      </c>
      <c r="D1558" s="592">
        <v>-52500</v>
      </c>
      <c r="E1558" s="619">
        <v>45383</v>
      </c>
      <c r="F1558" s="201" t="s">
        <v>110</v>
      </c>
      <c r="G1558" s="208" t="s">
        <v>453</v>
      </c>
      <c r="H1558" s="208" t="s">
        <v>175</v>
      </c>
      <c r="I1558" s="201" t="s">
        <v>173</v>
      </c>
      <c r="J1558" s="202"/>
      <c r="K1558" s="202"/>
      <c r="L1558" s="202"/>
      <c r="M1558" s="202"/>
      <c r="N1558" s="202"/>
      <c r="O1558" s="202"/>
      <c r="P1558" s="202"/>
      <c r="Q1558" s="202"/>
      <c r="R1558" s="202"/>
      <c r="S1558" s="202"/>
      <c r="T1558" s="202"/>
    </row>
    <row r="1559" spans="1:20" s="182" customFormat="1" ht="14.15" hidden="1">
      <c r="A1559" s="222">
        <v>45373</v>
      </c>
      <c r="B1559" s="201" t="s">
        <v>1545</v>
      </c>
      <c r="C1559" s="208" t="s">
        <v>330</v>
      </c>
      <c r="D1559" s="592">
        <v>-19000</v>
      </c>
      <c r="E1559" s="619">
        <v>45383</v>
      </c>
      <c r="F1559" s="201" t="s">
        <v>110</v>
      </c>
      <c r="G1559" s="208" t="s">
        <v>453</v>
      </c>
      <c r="H1559" s="208" t="s">
        <v>175</v>
      </c>
      <c r="I1559" s="201" t="s">
        <v>173</v>
      </c>
      <c r="J1559" s="202"/>
      <c r="K1559" s="202"/>
      <c r="L1559" s="202"/>
      <c r="M1559" s="202"/>
      <c r="N1559" s="202"/>
      <c r="O1559" s="202"/>
      <c r="P1559" s="202"/>
      <c r="Q1559" s="202"/>
      <c r="R1559" s="202"/>
      <c r="S1559" s="202"/>
      <c r="T1559" s="202"/>
    </row>
    <row r="1560" spans="1:20" s="182" customFormat="1" ht="14.15" hidden="1">
      <c r="A1560" s="222">
        <v>45373</v>
      </c>
      <c r="B1560" s="201" t="s">
        <v>1186</v>
      </c>
      <c r="C1560" s="208" t="s">
        <v>330</v>
      </c>
      <c r="D1560" s="592">
        <v>-3160</v>
      </c>
      <c r="E1560" s="619">
        <v>45383</v>
      </c>
      <c r="F1560" s="201" t="s">
        <v>110</v>
      </c>
      <c r="G1560" s="208" t="s">
        <v>453</v>
      </c>
      <c r="H1560" s="208" t="s">
        <v>175</v>
      </c>
      <c r="I1560" s="201" t="s">
        <v>173</v>
      </c>
      <c r="J1560" s="202"/>
      <c r="K1560" s="202"/>
      <c r="L1560" s="202"/>
      <c r="M1560" s="202"/>
      <c r="N1560" s="202"/>
      <c r="O1560" s="202"/>
      <c r="P1560" s="202"/>
      <c r="Q1560" s="202"/>
      <c r="R1560" s="202"/>
      <c r="S1560" s="202"/>
      <c r="T1560" s="202"/>
    </row>
    <row r="1561" spans="1:20" s="182" customFormat="1" ht="14.15" hidden="1">
      <c r="A1561" s="222">
        <v>45373</v>
      </c>
      <c r="B1561" s="201" t="s">
        <v>1546</v>
      </c>
      <c r="C1561" s="208" t="s">
        <v>330</v>
      </c>
      <c r="D1561" s="592">
        <v>-60000</v>
      </c>
      <c r="E1561" s="619">
        <v>45383</v>
      </c>
      <c r="F1561" s="201" t="s">
        <v>110</v>
      </c>
      <c r="G1561" s="208" t="s">
        <v>453</v>
      </c>
      <c r="H1561" s="208" t="s">
        <v>175</v>
      </c>
      <c r="I1561" s="201" t="s">
        <v>173</v>
      </c>
      <c r="J1561" s="202"/>
      <c r="K1561" s="202"/>
      <c r="L1561" s="202"/>
      <c r="M1561" s="202"/>
      <c r="N1561" s="202"/>
      <c r="O1561" s="202"/>
      <c r="P1561" s="202"/>
      <c r="Q1561" s="202"/>
      <c r="R1561" s="202"/>
      <c r="S1561" s="202"/>
      <c r="T1561" s="202"/>
    </row>
    <row r="1562" spans="1:20" s="182" customFormat="1" ht="14.15" hidden="1">
      <c r="A1562" s="222">
        <v>45373</v>
      </c>
      <c r="B1562" s="201" t="s">
        <v>1547</v>
      </c>
      <c r="C1562" s="208" t="s">
        <v>330</v>
      </c>
      <c r="D1562" s="592">
        <v>-120000</v>
      </c>
      <c r="E1562" s="619">
        <v>45383</v>
      </c>
      <c r="F1562" s="201" t="s">
        <v>110</v>
      </c>
      <c r="G1562" s="208" t="s">
        <v>453</v>
      </c>
      <c r="H1562" s="208" t="s">
        <v>175</v>
      </c>
      <c r="I1562" s="201" t="s">
        <v>173</v>
      </c>
      <c r="J1562" s="202"/>
      <c r="K1562" s="202"/>
      <c r="L1562" s="202"/>
      <c r="M1562" s="202"/>
      <c r="N1562" s="202"/>
      <c r="O1562" s="202"/>
      <c r="P1562" s="202"/>
      <c r="Q1562" s="202"/>
      <c r="R1562" s="202"/>
      <c r="S1562" s="202"/>
      <c r="T1562" s="202"/>
    </row>
    <row r="1563" spans="1:20" s="182" customFormat="1" ht="14.15" hidden="1">
      <c r="A1563" s="222">
        <v>45377</v>
      </c>
      <c r="B1563" s="201" t="s">
        <v>1548</v>
      </c>
      <c r="C1563" s="208" t="s">
        <v>330</v>
      </c>
      <c r="D1563" s="592">
        <v>-14800</v>
      </c>
      <c r="E1563" s="619">
        <v>45383</v>
      </c>
      <c r="F1563" s="201" t="s">
        <v>110</v>
      </c>
      <c r="G1563" s="208" t="s">
        <v>453</v>
      </c>
      <c r="H1563" s="208" t="s">
        <v>175</v>
      </c>
      <c r="I1563" s="201" t="s">
        <v>173</v>
      </c>
      <c r="J1563" s="202"/>
      <c r="K1563" s="202"/>
      <c r="L1563" s="202"/>
      <c r="M1563" s="202"/>
      <c r="N1563" s="202"/>
      <c r="O1563" s="202"/>
      <c r="P1563" s="202"/>
      <c r="Q1563" s="202"/>
      <c r="R1563" s="202"/>
      <c r="S1563" s="202"/>
      <c r="T1563" s="202"/>
    </row>
    <row r="1564" spans="1:20" s="182" customFormat="1" ht="14.15" hidden="1">
      <c r="A1564" s="222">
        <v>45377</v>
      </c>
      <c r="B1564" s="201" t="s">
        <v>1549</v>
      </c>
      <c r="C1564" s="208" t="s">
        <v>330</v>
      </c>
      <c r="D1564" s="592">
        <v>-14000</v>
      </c>
      <c r="E1564" s="619">
        <v>45383</v>
      </c>
      <c r="F1564" s="201" t="s">
        <v>110</v>
      </c>
      <c r="G1564" s="208" t="s">
        <v>453</v>
      </c>
      <c r="H1564" s="208" t="s">
        <v>175</v>
      </c>
      <c r="I1564" s="201" t="s">
        <v>173</v>
      </c>
      <c r="J1564" s="202"/>
      <c r="K1564" s="202"/>
      <c r="L1564" s="202"/>
      <c r="M1564" s="202"/>
      <c r="N1564" s="202"/>
      <c r="O1564" s="202"/>
      <c r="P1564" s="202"/>
      <c r="Q1564" s="202"/>
      <c r="R1564" s="202"/>
      <c r="S1564" s="202"/>
      <c r="T1564" s="202"/>
    </row>
    <row r="1565" spans="1:20" s="182" customFormat="1" ht="14.15" hidden="1">
      <c r="A1565" s="222">
        <v>45377</v>
      </c>
      <c r="B1565" s="201" t="s">
        <v>553</v>
      </c>
      <c r="C1565" s="208" t="s">
        <v>330</v>
      </c>
      <c r="D1565" s="592">
        <v>-48000</v>
      </c>
      <c r="E1565" s="619">
        <v>45383</v>
      </c>
      <c r="F1565" s="201" t="s">
        <v>109</v>
      </c>
      <c r="G1565" s="208" t="s">
        <v>120</v>
      </c>
      <c r="H1565" s="208" t="s">
        <v>175</v>
      </c>
      <c r="I1565" s="201" t="s">
        <v>173</v>
      </c>
      <c r="J1565" s="202"/>
      <c r="K1565" s="202"/>
      <c r="L1565" s="202"/>
      <c r="M1565" s="202"/>
      <c r="N1565" s="202"/>
      <c r="O1565" s="202"/>
      <c r="P1565" s="202"/>
      <c r="Q1565" s="202"/>
      <c r="R1565" s="202"/>
      <c r="S1565" s="202"/>
      <c r="T1565" s="202"/>
    </row>
    <row r="1566" spans="1:20" s="182" customFormat="1" ht="14.15" hidden="1">
      <c r="A1566" s="222">
        <v>45377</v>
      </c>
      <c r="B1566" s="201" t="s">
        <v>1550</v>
      </c>
      <c r="C1566" s="208" t="s">
        <v>330</v>
      </c>
      <c r="D1566" s="592">
        <v>-10000</v>
      </c>
      <c r="E1566" s="619">
        <v>45383</v>
      </c>
      <c r="F1566" s="201" t="s">
        <v>109</v>
      </c>
      <c r="G1566" s="208" t="s">
        <v>120</v>
      </c>
      <c r="H1566" s="208" t="s">
        <v>175</v>
      </c>
      <c r="I1566" s="201" t="s">
        <v>173</v>
      </c>
      <c r="J1566" s="202"/>
      <c r="K1566" s="202"/>
      <c r="L1566" s="202"/>
      <c r="M1566" s="202"/>
      <c r="N1566" s="202"/>
      <c r="O1566" s="202"/>
      <c r="P1566" s="202"/>
      <c r="Q1566" s="202"/>
      <c r="R1566" s="202"/>
      <c r="S1566" s="202"/>
      <c r="T1566" s="202"/>
    </row>
    <row r="1567" spans="1:20" s="182" customFormat="1" ht="14.15" hidden="1">
      <c r="A1567" s="222">
        <v>45377</v>
      </c>
      <c r="B1567" s="201" t="s">
        <v>1551</v>
      </c>
      <c r="C1567" s="208" t="s">
        <v>330</v>
      </c>
      <c r="D1567" s="592">
        <v>-31981</v>
      </c>
      <c r="E1567" s="619">
        <v>45383</v>
      </c>
      <c r="F1567" s="201" t="s">
        <v>109</v>
      </c>
      <c r="G1567" s="208" t="s">
        <v>120</v>
      </c>
      <c r="H1567" s="208" t="s">
        <v>175</v>
      </c>
      <c r="I1567" s="201" t="s">
        <v>173</v>
      </c>
      <c r="J1567" s="202"/>
      <c r="K1567" s="202"/>
      <c r="L1567" s="202"/>
      <c r="M1567" s="202"/>
      <c r="N1567" s="202"/>
      <c r="O1567" s="202"/>
      <c r="P1567" s="202"/>
      <c r="Q1567" s="202"/>
      <c r="R1567" s="202"/>
      <c r="S1567" s="202"/>
      <c r="T1567" s="202"/>
    </row>
    <row r="1568" spans="1:20" s="182" customFormat="1" ht="14.15" hidden="1">
      <c r="A1568" s="222">
        <v>45377</v>
      </c>
      <c r="B1568" s="201" t="s">
        <v>1552</v>
      </c>
      <c r="C1568" s="208" t="s">
        <v>330</v>
      </c>
      <c r="D1568" s="592">
        <v>-80600</v>
      </c>
      <c r="E1568" s="619">
        <v>45383</v>
      </c>
      <c r="F1568" s="201" t="s">
        <v>110</v>
      </c>
      <c r="G1568" s="208" t="s">
        <v>453</v>
      </c>
      <c r="H1568" s="208" t="s">
        <v>175</v>
      </c>
      <c r="I1568" s="201" t="s">
        <v>173</v>
      </c>
      <c r="J1568" s="202"/>
      <c r="K1568" s="202"/>
      <c r="L1568" s="202"/>
      <c r="M1568" s="202"/>
      <c r="N1568" s="202"/>
      <c r="O1568" s="202"/>
      <c r="P1568" s="202"/>
      <c r="Q1568" s="202"/>
      <c r="R1568" s="202"/>
      <c r="S1568" s="202"/>
      <c r="T1568" s="202"/>
    </row>
    <row r="1569" spans="1:20" s="182" customFormat="1" ht="14.15" hidden="1">
      <c r="A1569" s="222">
        <v>45372</v>
      </c>
      <c r="B1569" s="201" t="s">
        <v>1553</v>
      </c>
      <c r="C1569" s="208" t="s">
        <v>330</v>
      </c>
      <c r="D1569" s="592">
        <v>-15000</v>
      </c>
      <c r="E1569" s="619">
        <v>45383</v>
      </c>
      <c r="F1569" s="201" t="s">
        <v>109</v>
      </c>
      <c r="G1569" s="208" t="s">
        <v>120</v>
      </c>
      <c r="H1569" s="81" t="s">
        <v>138</v>
      </c>
      <c r="I1569" s="201" t="s">
        <v>173</v>
      </c>
      <c r="J1569" s="202"/>
      <c r="K1569" s="202"/>
      <c r="L1569" s="202"/>
      <c r="M1569" s="202"/>
      <c r="N1569" s="202"/>
      <c r="O1569" s="202"/>
      <c r="P1569" s="202"/>
      <c r="Q1569" s="202"/>
      <c r="R1569" s="202"/>
      <c r="S1569" s="202"/>
      <c r="T1569" s="202"/>
    </row>
    <row r="1570" spans="1:20" s="182" customFormat="1" ht="14.15" hidden="1">
      <c r="A1570" s="222">
        <v>45377</v>
      </c>
      <c r="B1570" s="201" t="s">
        <v>1554</v>
      </c>
      <c r="C1570" s="208" t="s">
        <v>330</v>
      </c>
      <c r="D1570" s="592">
        <v>-7000</v>
      </c>
      <c r="E1570" s="619">
        <v>45383</v>
      </c>
      <c r="F1570" s="201" t="s">
        <v>207</v>
      </c>
      <c r="G1570" s="208" t="s">
        <v>262</v>
      </c>
      <c r="H1570" s="81" t="s">
        <v>138</v>
      </c>
      <c r="I1570" s="201" t="s">
        <v>173</v>
      </c>
      <c r="J1570" s="202"/>
      <c r="K1570" s="202"/>
      <c r="L1570" s="202"/>
      <c r="M1570" s="202"/>
      <c r="N1570" s="202"/>
      <c r="O1570" s="202"/>
      <c r="P1570" s="202"/>
      <c r="Q1570" s="202"/>
      <c r="R1570" s="202"/>
      <c r="S1570" s="202"/>
      <c r="T1570" s="202"/>
    </row>
    <row r="1571" spans="1:20" s="182" customFormat="1" ht="14.15" hidden="1">
      <c r="A1571" s="222">
        <v>45377</v>
      </c>
      <c r="B1571" s="201" t="s">
        <v>1555</v>
      </c>
      <c r="C1571" s="208" t="s">
        <v>330</v>
      </c>
      <c r="D1571" s="592">
        <v>-7000</v>
      </c>
      <c r="E1571" s="619">
        <v>45383</v>
      </c>
      <c r="F1571" s="201" t="s">
        <v>207</v>
      </c>
      <c r="G1571" s="208" t="s">
        <v>262</v>
      </c>
      <c r="H1571" s="81" t="s">
        <v>138</v>
      </c>
      <c r="I1571" s="201" t="s">
        <v>173</v>
      </c>
      <c r="J1571" s="202"/>
      <c r="K1571" s="202"/>
      <c r="L1571" s="202"/>
      <c r="M1571" s="202"/>
      <c r="N1571" s="202"/>
      <c r="O1571" s="202"/>
      <c r="P1571" s="202"/>
      <c r="Q1571" s="202"/>
      <c r="R1571" s="202"/>
      <c r="S1571" s="202"/>
      <c r="T1571" s="202"/>
    </row>
    <row r="1572" spans="1:20" s="182" customFormat="1" ht="14.15" hidden="1">
      <c r="A1572" s="222">
        <v>45377</v>
      </c>
      <c r="B1572" s="201" t="s">
        <v>1556</v>
      </c>
      <c r="C1572" s="208" t="s">
        <v>330</v>
      </c>
      <c r="D1572" s="592">
        <v>-20000</v>
      </c>
      <c r="E1572" s="619">
        <v>45383</v>
      </c>
      <c r="F1572" s="201" t="s">
        <v>109</v>
      </c>
      <c r="G1572" s="208" t="s">
        <v>120</v>
      </c>
      <c r="H1572" s="81" t="s">
        <v>138</v>
      </c>
      <c r="I1572" s="201" t="s">
        <v>173</v>
      </c>
      <c r="J1572" s="202"/>
      <c r="K1572" s="202"/>
      <c r="L1572" s="202"/>
      <c r="M1572" s="202"/>
      <c r="N1572" s="202"/>
      <c r="O1572" s="202"/>
      <c r="P1572" s="202"/>
      <c r="Q1572" s="202"/>
      <c r="R1572" s="202"/>
      <c r="S1572" s="202"/>
      <c r="T1572" s="202"/>
    </row>
    <row r="1573" spans="1:20" s="182" customFormat="1" ht="14.15" hidden="1">
      <c r="A1573" s="222">
        <v>45371</v>
      </c>
      <c r="B1573" s="201" t="s">
        <v>1557</v>
      </c>
      <c r="C1573" s="208" t="s">
        <v>330</v>
      </c>
      <c r="D1573" s="592">
        <v>-20000</v>
      </c>
      <c r="E1573" s="619">
        <v>45383</v>
      </c>
      <c r="F1573" s="201" t="s">
        <v>109</v>
      </c>
      <c r="G1573" s="208" t="s">
        <v>120</v>
      </c>
      <c r="H1573" s="81" t="s">
        <v>138</v>
      </c>
      <c r="I1573" s="201" t="s">
        <v>173</v>
      </c>
      <c r="J1573" s="202"/>
      <c r="K1573" s="202"/>
      <c r="L1573" s="202"/>
      <c r="M1573" s="202"/>
      <c r="N1573" s="202"/>
      <c r="O1573" s="202"/>
      <c r="P1573" s="202"/>
      <c r="Q1573" s="202"/>
      <c r="R1573" s="202"/>
      <c r="S1573" s="202"/>
      <c r="T1573" s="202"/>
    </row>
    <row r="1574" spans="1:20" s="182" customFormat="1" ht="14.15" hidden="1">
      <c r="A1574" s="222">
        <v>45377</v>
      </c>
      <c r="B1574" s="201" t="s">
        <v>1558</v>
      </c>
      <c r="C1574" s="208" t="s">
        <v>330</v>
      </c>
      <c r="D1574" s="592">
        <v>-20000</v>
      </c>
      <c r="E1574" s="619">
        <v>45383</v>
      </c>
      <c r="F1574" s="201" t="s">
        <v>109</v>
      </c>
      <c r="G1574" s="208" t="s">
        <v>120</v>
      </c>
      <c r="H1574" s="81" t="s">
        <v>138</v>
      </c>
      <c r="I1574" s="201" t="s">
        <v>173</v>
      </c>
      <c r="J1574" s="202"/>
      <c r="K1574" s="202"/>
      <c r="L1574" s="202"/>
      <c r="M1574" s="202"/>
      <c r="N1574" s="202"/>
      <c r="O1574" s="202"/>
      <c r="P1574" s="202"/>
      <c r="Q1574" s="202"/>
      <c r="R1574" s="202"/>
      <c r="S1574" s="202"/>
      <c r="T1574" s="202"/>
    </row>
    <row r="1575" spans="1:20" s="182" customFormat="1" ht="14.15" hidden="1">
      <c r="A1575" s="222">
        <v>45377</v>
      </c>
      <c r="B1575" s="201" t="s">
        <v>1559</v>
      </c>
      <c r="C1575" s="208" t="s">
        <v>330</v>
      </c>
      <c r="D1575" s="592">
        <v>-6200</v>
      </c>
      <c r="E1575" s="619">
        <v>45383</v>
      </c>
      <c r="F1575" s="201" t="s">
        <v>110</v>
      </c>
      <c r="G1575" s="208" t="s">
        <v>453</v>
      </c>
      <c r="H1575" s="81" t="s">
        <v>138</v>
      </c>
      <c r="I1575" s="201" t="s">
        <v>173</v>
      </c>
      <c r="J1575" s="202"/>
      <c r="K1575" s="202"/>
      <c r="L1575" s="202"/>
      <c r="M1575" s="202"/>
      <c r="N1575" s="202"/>
      <c r="O1575" s="202"/>
      <c r="P1575" s="202"/>
      <c r="Q1575" s="202"/>
      <c r="R1575" s="202"/>
      <c r="S1575" s="202"/>
      <c r="T1575" s="202"/>
    </row>
    <row r="1576" spans="1:20" s="182" customFormat="1" ht="14.15" hidden="1">
      <c r="A1576" s="222">
        <v>45377</v>
      </c>
      <c r="B1576" s="201" t="s">
        <v>1560</v>
      </c>
      <c r="C1576" s="208" t="s">
        <v>330</v>
      </c>
      <c r="D1576" s="592">
        <v>-30000</v>
      </c>
      <c r="E1576" s="619">
        <v>45383</v>
      </c>
      <c r="F1576" s="201" t="s">
        <v>130</v>
      </c>
      <c r="G1576" s="201" t="s">
        <v>130</v>
      </c>
      <c r="H1576" s="81" t="s">
        <v>138</v>
      </c>
      <c r="I1576" s="201" t="s">
        <v>173</v>
      </c>
      <c r="J1576" s="202"/>
      <c r="K1576" s="202"/>
      <c r="L1576" s="202"/>
      <c r="M1576" s="202"/>
      <c r="N1576" s="202"/>
      <c r="O1576" s="202"/>
      <c r="P1576" s="202"/>
      <c r="Q1576" s="202"/>
      <c r="R1576" s="202"/>
      <c r="S1576" s="202"/>
      <c r="T1576" s="202"/>
    </row>
    <row r="1577" spans="1:20" s="182" customFormat="1" ht="14.15" hidden="1">
      <c r="A1577" s="222">
        <v>45383</v>
      </c>
      <c r="B1577" s="201" t="s">
        <v>1561</v>
      </c>
      <c r="C1577" s="208" t="s">
        <v>269</v>
      </c>
      <c r="D1577" s="592">
        <v>-14000</v>
      </c>
      <c r="E1577" s="619">
        <v>45383</v>
      </c>
      <c r="F1577" s="201" t="s">
        <v>110</v>
      </c>
      <c r="G1577" s="208" t="s">
        <v>453</v>
      </c>
      <c r="H1577" s="81" t="s">
        <v>138</v>
      </c>
      <c r="I1577" s="201"/>
      <c r="J1577" s="202"/>
      <c r="K1577" s="202"/>
      <c r="L1577" s="202"/>
      <c r="M1577" s="202"/>
      <c r="N1577" s="202"/>
      <c r="O1577" s="202"/>
      <c r="P1577" s="202"/>
      <c r="Q1577" s="202"/>
      <c r="R1577" s="202"/>
      <c r="S1577" s="202"/>
      <c r="T1577" s="202"/>
    </row>
    <row r="1578" spans="1:20" s="182" customFormat="1" ht="14.15" hidden="1">
      <c r="A1578" s="222">
        <v>45383</v>
      </c>
      <c r="B1578" s="201" t="s">
        <v>1562</v>
      </c>
      <c r="C1578" s="208" t="s">
        <v>269</v>
      </c>
      <c r="D1578" s="592">
        <v>-7000</v>
      </c>
      <c r="E1578" s="619">
        <v>45383</v>
      </c>
      <c r="F1578" s="201" t="s">
        <v>110</v>
      </c>
      <c r="G1578" s="208" t="s">
        <v>122</v>
      </c>
      <c r="H1578" s="81" t="s">
        <v>138</v>
      </c>
      <c r="I1578" s="201"/>
      <c r="J1578" s="202"/>
      <c r="K1578" s="202"/>
      <c r="L1578" s="202"/>
      <c r="M1578" s="202"/>
      <c r="N1578" s="202"/>
      <c r="O1578" s="202"/>
      <c r="P1578" s="202"/>
      <c r="Q1578" s="202"/>
      <c r="R1578" s="202"/>
      <c r="S1578" s="202"/>
      <c r="T1578" s="202"/>
    </row>
    <row r="1579" spans="1:20" s="182" customFormat="1" ht="14.15" hidden="1">
      <c r="A1579" s="222">
        <v>45383</v>
      </c>
      <c r="B1579" s="201" t="s">
        <v>1563</v>
      </c>
      <c r="C1579" s="208" t="s">
        <v>269</v>
      </c>
      <c r="D1579" s="592">
        <v>-13000</v>
      </c>
      <c r="E1579" s="619">
        <v>45383</v>
      </c>
      <c r="F1579" s="291" t="s">
        <v>110</v>
      </c>
      <c r="G1579" s="208" t="s">
        <v>450</v>
      </c>
      <c r="H1579" s="81" t="s">
        <v>138</v>
      </c>
      <c r="I1579" s="201"/>
      <c r="J1579" s="202"/>
      <c r="K1579" s="202"/>
      <c r="L1579" s="202"/>
      <c r="M1579" s="202"/>
      <c r="N1579" s="202"/>
      <c r="O1579" s="202"/>
      <c r="P1579" s="202"/>
      <c r="Q1579" s="202"/>
      <c r="R1579" s="202"/>
      <c r="S1579" s="202"/>
      <c r="T1579" s="202"/>
    </row>
    <row r="1580" spans="1:20" s="182" customFormat="1" ht="14.15" hidden="1">
      <c r="A1580" s="222">
        <v>45384</v>
      </c>
      <c r="B1580" s="201" t="s">
        <v>1564</v>
      </c>
      <c r="C1580" s="208" t="s">
        <v>269</v>
      </c>
      <c r="D1580" s="592">
        <v>-14000</v>
      </c>
      <c r="E1580" s="619">
        <v>45383</v>
      </c>
      <c r="F1580" s="201" t="s">
        <v>110</v>
      </c>
      <c r="G1580" s="208" t="s">
        <v>453</v>
      </c>
      <c r="H1580" s="81" t="s">
        <v>138</v>
      </c>
      <c r="I1580" s="201"/>
      <c r="J1580" s="202"/>
      <c r="K1580" s="202"/>
      <c r="L1580" s="202"/>
      <c r="M1580" s="202"/>
      <c r="N1580" s="202"/>
      <c r="O1580" s="202"/>
      <c r="P1580" s="202"/>
      <c r="Q1580" s="202"/>
      <c r="R1580" s="202"/>
      <c r="S1580" s="202"/>
      <c r="T1580" s="202"/>
    </row>
    <row r="1581" spans="1:20" s="182" customFormat="1" ht="14.15" hidden="1">
      <c r="A1581" s="222">
        <v>45384</v>
      </c>
      <c r="B1581" s="201" t="s">
        <v>1562</v>
      </c>
      <c r="C1581" s="208" t="s">
        <v>269</v>
      </c>
      <c r="D1581" s="592">
        <v>-6500</v>
      </c>
      <c r="E1581" s="619">
        <v>45383</v>
      </c>
      <c r="F1581" s="201" t="s">
        <v>110</v>
      </c>
      <c r="G1581" s="208" t="s">
        <v>122</v>
      </c>
      <c r="H1581" s="81" t="s">
        <v>138</v>
      </c>
      <c r="I1581" s="201"/>
      <c r="J1581" s="202"/>
      <c r="K1581" s="202"/>
      <c r="L1581" s="202"/>
      <c r="M1581" s="202"/>
      <c r="N1581" s="202"/>
      <c r="O1581" s="202"/>
      <c r="P1581" s="202"/>
      <c r="Q1581" s="202"/>
      <c r="R1581" s="202"/>
      <c r="S1581" s="202"/>
      <c r="T1581" s="202"/>
    </row>
    <row r="1582" spans="1:20" s="182" customFormat="1" ht="14.15" hidden="1">
      <c r="A1582" s="222">
        <v>45384</v>
      </c>
      <c r="B1582" s="201" t="s">
        <v>1565</v>
      </c>
      <c r="C1582" s="208" t="s">
        <v>269</v>
      </c>
      <c r="D1582" s="592">
        <v>-32500</v>
      </c>
      <c r="E1582" s="619">
        <v>45383</v>
      </c>
      <c r="F1582" s="201" t="s">
        <v>110</v>
      </c>
      <c r="G1582" s="208" t="s">
        <v>453</v>
      </c>
      <c r="H1582" s="81" t="s">
        <v>138</v>
      </c>
      <c r="I1582" s="201"/>
      <c r="J1582" s="202"/>
      <c r="K1582" s="202"/>
      <c r="L1582" s="202"/>
      <c r="M1582" s="202"/>
      <c r="N1582" s="202"/>
      <c r="O1582" s="202"/>
      <c r="P1582" s="202"/>
      <c r="Q1582" s="202"/>
      <c r="R1582" s="202"/>
      <c r="S1582" s="202"/>
      <c r="T1582" s="202"/>
    </row>
    <row r="1583" spans="1:20" s="182" customFormat="1" ht="14.15" hidden="1">
      <c r="A1583" s="222">
        <v>45384</v>
      </c>
      <c r="B1583" s="201" t="s">
        <v>1566</v>
      </c>
      <c r="C1583" s="208" t="s">
        <v>269</v>
      </c>
      <c r="D1583" s="592">
        <v>-66000</v>
      </c>
      <c r="E1583" s="619">
        <v>45383</v>
      </c>
      <c r="F1583" s="201" t="s">
        <v>130</v>
      </c>
      <c r="G1583" s="201" t="s">
        <v>257</v>
      </c>
      <c r="H1583" s="81" t="s">
        <v>138</v>
      </c>
      <c r="I1583" s="201"/>
      <c r="J1583" s="202"/>
      <c r="K1583" s="202"/>
      <c r="L1583" s="202"/>
      <c r="M1583" s="202"/>
      <c r="N1583" s="202"/>
      <c r="O1583" s="202"/>
      <c r="P1583" s="202"/>
      <c r="Q1583" s="202"/>
      <c r="R1583" s="202"/>
      <c r="S1583" s="202"/>
      <c r="T1583" s="202"/>
    </row>
    <row r="1584" spans="1:20" s="182" customFormat="1" ht="14.15" hidden="1">
      <c r="A1584" s="222">
        <v>45384</v>
      </c>
      <c r="B1584" s="201" t="s">
        <v>1567</v>
      </c>
      <c r="C1584" s="208" t="s">
        <v>269</v>
      </c>
      <c r="D1584" s="592">
        <v>-13000</v>
      </c>
      <c r="E1584" s="619">
        <v>45383</v>
      </c>
      <c r="F1584" s="201" t="s">
        <v>109</v>
      </c>
      <c r="G1584" s="208" t="s">
        <v>414</v>
      </c>
      <c r="H1584" s="81" t="s">
        <v>138</v>
      </c>
      <c r="I1584" s="201"/>
      <c r="J1584" s="202"/>
      <c r="K1584" s="202"/>
      <c r="L1584" s="202"/>
      <c r="M1584" s="202"/>
      <c r="N1584" s="202"/>
      <c r="O1584" s="202"/>
      <c r="P1584" s="202"/>
      <c r="Q1584" s="202"/>
      <c r="R1584" s="202"/>
      <c r="S1584" s="202"/>
      <c r="T1584" s="202"/>
    </row>
    <row r="1585" spans="1:20" s="182" customFormat="1" ht="14.15" hidden="1">
      <c r="A1585" s="222">
        <v>45384</v>
      </c>
      <c r="B1585" s="201" t="s">
        <v>1568</v>
      </c>
      <c r="C1585" s="208" t="s">
        <v>269</v>
      </c>
      <c r="D1585" s="592">
        <v>-25000</v>
      </c>
      <c r="E1585" s="619">
        <v>45383</v>
      </c>
      <c r="F1585" s="201" t="s">
        <v>207</v>
      </c>
      <c r="G1585" s="201" t="s">
        <v>1406</v>
      </c>
      <c r="H1585" s="81" t="s">
        <v>138</v>
      </c>
      <c r="I1585" s="201"/>
      <c r="J1585" s="202"/>
      <c r="K1585" s="202"/>
      <c r="L1585" s="202"/>
      <c r="M1585" s="202"/>
      <c r="N1585" s="202"/>
      <c r="O1585" s="202"/>
      <c r="P1585" s="202"/>
      <c r="Q1585" s="202"/>
      <c r="R1585" s="202"/>
      <c r="S1585" s="202"/>
      <c r="T1585" s="202"/>
    </row>
    <row r="1586" spans="1:20" s="182" customFormat="1" ht="14.15" hidden="1">
      <c r="A1586" s="222">
        <v>45384</v>
      </c>
      <c r="B1586" s="201" t="s">
        <v>1569</v>
      </c>
      <c r="C1586" s="208" t="s">
        <v>269</v>
      </c>
      <c r="D1586" s="592">
        <v>-70000</v>
      </c>
      <c r="E1586" s="619">
        <v>45383</v>
      </c>
      <c r="F1586" s="208" t="s">
        <v>109</v>
      </c>
      <c r="G1586" s="208" t="s">
        <v>137</v>
      </c>
      <c r="H1586" s="81" t="s">
        <v>138</v>
      </c>
      <c r="I1586" s="201"/>
      <c r="J1586" s="202"/>
      <c r="K1586" s="202"/>
      <c r="L1586" s="202"/>
      <c r="M1586" s="202"/>
      <c r="N1586" s="202"/>
      <c r="O1586" s="202"/>
      <c r="P1586" s="202"/>
      <c r="Q1586" s="202"/>
      <c r="R1586" s="202"/>
      <c r="S1586" s="202"/>
      <c r="T1586" s="202"/>
    </row>
    <row r="1587" spans="1:20" s="182" customFormat="1" ht="14.15" hidden="1">
      <c r="A1587" s="222">
        <v>45384</v>
      </c>
      <c r="B1587" s="201" t="s">
        <v>1570</v>
      </c>
      <c r="C1587" s="208" t="s">
        <v>269</v>
      </c>
      <c r="D1587" s="592">
        <v>-60000</v>
      </c>
      <c r="E1587" s="619">
        <v>45383</v>
      </c>
      <c r="F1587" s="201" t="s">
        <v>109</v>
      </c>
      <c r="G1587" s="208" t="s">
        <v>383</v>
      </c>
      <c r="H1587" s="81" t="s">
        <v>138</v>
      </c>
      <c r="I1587" s="201"/>
      <c r="J1587" s="202"/>
      <c r="K1587" s="202"/>
      <c r="L1587" s="202"/>
      <c r="M1587" s="202"/>
      <c r="N1587" s="202"/>
      <c r="O1587" s="202"/>
      <c r="P1587" s="202"/>
      <c r="Q1587" s="202"/>
      <c r="R1587" s="202"/>
      <c r="S1587" s="202"/>
      <c r="T1587" s="202"/>
    </row>
    <row r="1588" spans="1:20" s="182" customFormat="1" ht="14.15" hidden="1">
      <c r="A1588" s="222">
        <v>45384</v>
      </c>
      <c r="B1588" s="201" t="s">
        <v>1571</v>
      </c>
      <c r="C1588" s="208" t="s">
        <v>269</v>
      </c>
      <c r="D1588" s="592">
        <v>-6500</v>
      </c>
      <c r="E1588" s="619">
        <v>45383</v>
      </c>
      <c r="F1588" s="291" t="s">
        <v>110</v>
      </c>
      <c r="G1588" s="208" t="s">
        <v>450</v>
      </c>
      <c r="H1588" s="81" t="s">
        <v>138</v>
      </c>
      <c r="I1588" s="201"/>
      <c r="J1588" s="202"/>
      <c r="K1588" s="202"/>
      <c r="L1588" s="202"/>
      <c r="M1588" s="202"/>
      <c r="N1588" s="202"/>
      <c r="O1588" s="202"/>
      <c r="P1588" s="202"/>
      <c r="Q1588" s="202"/>
      <c r="R1588" s="202"/>
      <c r="S1588" s="202"/>
      <c r="T1588" s="202"/>
    </row>
    <row r="1589" spans="1:20" s="182" customFormat="1" ht="14.15" hidden="1">
      <c r="A1589" s="222">
        <v>45383</v>
      </c>
      <c r="B1589" s="201" t="s">
        <v>1572</v>
      </c>
      <c r="C1589" s="208" t="s">
        <v>269</v>
      </c>
      <c r="D1589" s="592">
        <v>1232300</v>
      </c>
      <c r="E1589" s="619">
        <v>45383</v>
      </c>
      <c r="F1589" s="201" t="s">
        <v>130</v>
      </c>
      <c r="G1589" s="201" t="s">
        <v>130</v>
      </c>
      <c r="H1589" s="201" t="s">
        <v>184</v>
      </c>
      <c r="I1589" s="201"/>
      <c r="J1589" s="202"/>
      <c r="K1589" s="202"/>
      <c r="L1589" s="202"/>
      <c r="M1589" s="202"/>
      <c r="N1589" s="202"/>
      <c r="O1589" s="202"/>
      <c r="P1589" s="202"/>
      <c r="Q1589" s="202"/>
      <c r="R1589" s="202"/>
      <c r="S1589" s="202"/>
      <c r="T1589" s="202"/>
    </row>
    <row r="1590" spans="1:20" s="182" customFormat="1" ht="14.15" hidden="1">
      <c r="A1590" s="222">
        <v>45384</v>
      </c>
      <c r="B1590" s="201" t="s">
        <v>1573</v>
      </c>
      <c r="C1590" s="208" t="s">
        <v>269</v>
      </c>
      <c r="D1590" s="592">
        <v>-12400</v>
      </c>
      <c r="E1590" s="619">
        <v>45383</v>
      </c>
      <c r="F1590" s="201" t="s">
        <v>110</v>
      </c>
      <c r="G1590" s="208" t="s">
        <v>122</v>
      </c>
      <c r="H1590" s="81" t="s">
        <v>138</v>
      </c>
      <c r="I1590" s="201" t="s">
        <v>1574</v>
      </c>
      <c r="J1590" s="202"/>
      <c r="K1590" s="202"/>
      <c r="L1590" s="202"/>
      <c r="M1590" s="202"/>
      <c r="N1590" s="202"/>
      <c r="O1590" s="202"/>
      <c r="P1590" s="202"/>
      <c r="Q1590" s="202"/>
      <c r="R1590" s="202"/>
      <c r="S1590" s="202"/>
      <c r="T1590" s="202"/>
    </row>
    <row r="1591" spans="1:20" s="182" customFormat="1" ht="14.15" hidden="1">
      <c r="A1591" s="222">
        <v>45377</v>
      </c>
      <c r="B1591" s="201" t="s">
        <v>1575</v>
      </c>
      <c r="C1591" s="208" t="s">
        <v>146</v>
      </c>
      <c r="D1591" s="592">
        <v>-6523</v>
      </c>
      <c r="E1591" s="619">
        <v>45383</v>
      </c>
      <c r="F1591" s="201" t="s">
        <v>109</v>
      </c>
      <c r="G1591" s="208" t="s">
        <v>120</v>
      </c>
      <c r="H1591" s="208" t="s">
        <v>175</v>
      </c>
      <c r="I1591" s="201" t="s">
        <v>173</v>
      </c>
      <c r="J1591" s="202"/>
      <c r="K1591" s="202"/>
      <c r="L1591" s="202"/>
      <c r="M1591" s="202"/>
      <c r="N1591" s="202"/>
      <c r="O1591" s="202"/>
      <c r="P1591" s="202"/>
      <c r="Q1591" s="202"/>
      <c r="R1591" s="202"/>
      <c r="S1591" s="202"/>
      <c r="T1591" s="202"/>
    </row>
    <row r="1592" spans="1:20" s="182" customFormat="1" ht="14.15" hidden="1">
      <c r="A1592" s="222">
        <v>45377</v>
      </c>
      <c r="B1592" s="201" t="s">
        <v>1576</v>
      </c>
      <c r="C1592" s="208" t="s">
        <v>146</v>
      </c>
      <c r="D1592" s="592">
        <v>-11603</v>
      </c>
      <c r="E1592" s="619">
        <v>45383</v>
      </c>
      <c r="F1592" s="201" t="s">
        <v>109</v>
      </c>
      <c r="G1592" s="208" t="s">
        <v>120</v>
      </c>
      <c r="H1592" s="208" t="s">
        <v>175</v>
      </c>
      <c r="I1592" s="201" t="s">
        <v>173</v>
      </c>
      <c r="J1592" s="202"/>
      <c r="K1592" s="202"/>
      <c r="L1592" s="202"/>
      <c r="M1592" s="202"/>
      <c r="N1592" s="202"/>
      <c r="O1592" s="202"/>
      <c r="P1592" s="202"/>
      <c r="Q1592" s="202"/>
      <c r="R1592" s="202"/>
      <c r="S1592" s="202"/>
      <c r="T1592" s="202"/>
    </row>
    <row r="1593" spans="1:20" s="182" customFormat="1" ht="14.15" hidden="1">
      <c r="A1593" s="222">
        <v>45378</v>
      </c>
      <c r="B1593" s="201" t="s">
        <v>1577</v>
      </c>
      <c r="C1593" s="208" t="s">
        <v>146</v>
      </c>
      <c r="D1593" s="592">
        <v>-55206</v>
      </c>
      <c r="E1593" s="619">
        <v>45383</v>
      </c>
      <c r="F1593" s="201" t="s">
        <v>110</v>
      </c>
      <c r="G1593" s="208" t="s">
        <v>453</v>
      </c>
      <c r="H1593" s="208" t="s">
        <v>175</v>
      </c>
      <c r="I1593" s="201" t="s">
        <v>173</v>
      </c>
      <c r="J1593" s="202"/>
      <c r="K1593" s="202"/>
      <c r="L1593" s="202"/>
      <c r="M1593" s="202"/>
      <c r="N1593" s="202"/>
      <c r="O1593" s="202"/>
      <c r="P1593" s="202"/>
      <c r="Q1593" s="202"/>
      <c r="R1593" s="202"/>
      <c r="S1593" s="202"/>
      <c r="T1593" s="202"/>
    </row>
    <row r="1594" spans="1:20" s="182" customFormat="1" ht="14.15" hidden="1">
      <c r="A1594" s="222">
        <v>45378</v>
      </c>
      <c r="B1594" s="201" t="s">
        <v>1578</v>
      </c>
      <c r="C1594" s="208" t="s">
        <v>146</v>
      </c>
      <c r="D1594" s="592">
        <v>-14000</v>
      </c>
      <c r="E1594" s="619">
        <v>45383</v>
      </c>
      <c r="F1594" s="201" t="s">
        <v>110</v>
      </c>
      <c r="G1594" s="208" t="s">
        <v>453</v>
      </c>
      <c r="H1594" s="208" t="s">
        <v>175</v>
      </c>
      <c r="I1594" s="201" t="s">
        <v>173</v>
      </c>
      <c r="J1594" s="202"/>
      <c r="K1594" s="202"/>
      <c r="L1594" s="202"/>
      <c r="M1594" s="202"/>
      <c r="N1594" s="202"/>
      <c r="O1594" s="202"/>
      <c r="P1594" s="202"/>
      <c r="Q1594" s="202"/>
      <c r="R1594" s="202"/>
      <c r="S1594" s="202"/>
      <c r="T1594" s="202"/>
    </row>
    <row r="1595" spans="1:20" s="182" customFormat="1" ht="14.15" hidden="1">
      <c r="A1595" s="222">
        <v>45383</v>
      </c>
      <c r="B1595" s="201" t="s">
        <v>1579</v>
      </c>
      <c r="C1595" s="208" t="s">
        <v>146</v>
      </c>
      <c r="D1595" s="592">
        <v>-13800</v>
      </c>
      <c r="E1595" s="619">
        <v>45383</v>
      </c>
      <c r="F1595" s="201" t="s">
        <v>110</v>
      </c>
      <c r="G1595" s="208" t="s">
        <v>122</v>
      </c>
      <c r="H1595" s="208" t="s">
        <v>175</v>
      </c>
      <c r="I1595" s="201" t="s">
        <v>173</v>
      </c>
      <c r="J1595" s="202"/>
      <c r="K1595" s="202"/>
      <c r="L1595" s="202"/>
      <c r="M1595" s="202"/>
      <c r="N1595" s="202"/>
      <c r="O1595" s="202"/>
      <c r="P1595" s="202"/>
      <c r="Q1595" s="202"/>
      <c r="R1595" s="202"/>
      <c r="S1595" s="202"/>
      <c r="T1595" s="202"/>
    </row>
    <row r="1596" spans="1:20" s="182" customFormat="1" ht="14.15" hidden="1">
      <c r="A1596" s="222">
        <v>45383</v>
      </c>
      <c r="B1596" s="201" t="s">
        <v>1580</v>
      </c>
      <c r="C1596" s="208" t="s">
        <v>146</v>
      </c>
      <c r="D1596" s="592">
        <v>-60628</v>
      </c>
      <c r="E1596" s="619">
        <v>45383</v>
      </c>
      <c r="F1596" s="201" t="s">
        <v>110</v>
      </c>
      <c r="G1596" s="208" t="s">
        <v>453</v>
      </c>
      <c r="H1596" s="208" t="s">
        <v>175</v>
      </c>
      <c r="I1596" s="201" t="s">
        <v>173</v>
      </c>
      <c r="J1596" s="202"/>
      <c r="K1596" s="202"/>
      <c r="L1596" s="202"/>
      <c r="M1596" s="202"/>
      <c r="N1596" s="202"/>
      <c r="O1596" s="202"/>
      <c r="P1596" s="202"/>
      <c r="Q1596" s="202"/>
      <c r="R1596" s="202"/>
      <c r="S1596" s="202"/>
      <c r="T1596" s="202"/>
    </row>
    <row r="1597" spans="1:20" s="182" customFormat="1" ht="14.15" hidden="1">
      <c r="A1597" s="222">
        <v>45383</v>
      </c>
      <c r="B1597" s="201" t="s">
        <v>1581</v>
      </c>
      <c r="C1597" s="208" t="s">
        <v>146</v>
      </c>
      <c r="D1597" s="592">
        <v>-77500</v>
      </c>
      <c r="E1597" s="619">
        <v>45383</v>
      </c>
      <c r="F1597" s="201" t="s">
        <v>110</v>
      </c>
      <c r="G1597" s="208" t="s">
        <v>453</v>
      </c>
      <c r="H1597" s="208" t="s">
        <v>175</v>
      </c>
      <c r="I1597" s="201" t="s">
        <v>173</v>
      </c>
      <c r="J1597" s="202"/>
      <c r="K1597" s="202"/>
      <c r="L1597" s="202"/>
      <c r="M1597" s="202"/>
      <c r="N1597" s="202"/>
      <c r="O1597" s="202"/>
      <c r="P1597" s="202"/>
      <c r="Q1597" s="202"/>
      <c r="R1597" s="202"/>
      <c r="S1597" s="202"/>
      <c r="T1597" s="202"/>
    </row>
    <row r="1598" spans="1:20" s="182" customFormat="1" ht="14.15" hidden="1">
      <c r="A1598" s="222">
        <v>45383</v>
      </c>
      <c r="B1598" s="201" t="s">
        <v>1582</v>
      </c>
      <c r="C1598" s="208" t="s">
        <v>146</v>
      </c>
      <c r="D1598" s="592">
        <v>-119000</v>
      </c>
      <c r="E1598" s="619">
        <v>45383</v>
      </c>
      <c r="F1598" s="291" t="s">
        <v>110</v>
      </c>
      <c r="G1598" s="208" t="s">
        <v>450</v>
      </c>
      <c r="H1598" s="208" t="s">
        <v>175</v>
      </c>
      <c r="I1598" s="201" t="s">
        <v>173</v>
      </c>
      <c r="J1598" s="202"/>
      <c r="K1598" s="202"/>
      <c r="L1598" s="202"/>
      <c r="M1598" s="202"/>
      <c r="N1598" s="202"/>
      <c r="O1598" s="202"/>
      <c r="P1598" s="202"/>
      <c r="Q1598" s="202"/>
      <c r="R1598" s="202"/>
      <c r="S1598" s="202"/>
      <c r="T1598" s="202"/>
    </row>
    <row r="1599" spans="1:20" s="182" customFormat="1" ht="14.15" hidden="1">
      <c r="A1599" s="222">
        <v>45383</v>
      </c>
      <c r="B1599" s="201" t="s">
        <v>557</v>
      </c>
      <c r="C1599" s="208" t="s">
        <v>146</v>
      </c>
      <c r="D1599" s="592">
        <v>-59400</v>
      </c>
      <c r="E1599" s="619">
        <v>45383</v>
      </c>
      <c r="F1599" s="201" t="s">
        <v>110</v>
      </c>
      <c r="G1599" s="208" t="s">
        <v>122</v>
      </c>
      <c r="H1599" s="208" t="s">
        <v>175</v>
      </c>
      <c r="I1599" s="201" t="s">
        <v>173</v>
      </c>
      <c r="J1599" s="202"/>
      <c r="K1599" s="202"/>
      <c r="L1599" s="202"/>
      <c r="M1599" s="202"/>
      <c r="N1599" s="202"/>
      <c r="O1599" s="202"/>
      <c r="P1599" s="202"/>
      <c r="Q1599" s="202"/>
      <c r="R1599" s="202"/>
      <c r="S1599" s="202"/>
      <c r="T1599" s="202"/>
    </row>
    <row r="1600" spans="1:20" s="182" customFormat="1" ht="14.15" hidden="1">
      <c r="A1600" s="222">
        <v>45383</v>
      </c>
      <c r="B1600" s="201" t="s">
        <v>1583</v>
      </c>
      <c r="C1600" s="208" t="s">
        <v>146</v>
      </c>
      <c r="D1600" s="592">
        <v>-26584</v>
      </c>
      <c r="E1600" s="619">
        <v>45383</v>
      </c>
      <c r="F1600" s="201" t="s">
        <v>110</v>
      </c>
      <c r="G1600" s="208" t="s">
        <v>122</v>
      </c>
      <c r="H1600" s="208" t="s">
        <v>175</v>
      </c>
      <c r="I1600" s="201" t="s">
        <v>173</v>
      </c>
      <c r="J1600" s="202"/>
      <c r="K1600" s="202"/>
      <c r="L1600" s="202"/>
      <c r="M1600" s="202"/>
      <c r="N1600" s="202"/>
      <c r="O1600" s="202"/>
      <c r="P1600" s="202"/>
      <c r="Q1600" s="202"/>
      <c r="R1600" s="202"/>
      <c r="S1600" s="202"/>
      <c r="T1600" s="202"/>
    </row>
    <row r="1601" spans="1:20" s="182" customFormat="1" ht="14.15" hidden="1">
      <c r="A1601" s="222">
        <v>45383</v>
      </c>
      <c r="B1601" s="201" t="s">
        <v>1584</v>
      </c>
      <c r="C1601" s="208" t="s">
        <v>146</v>
      </c>
      <c r="D1601" s="592">
        <v>-69000</v>
      </c>
      <c r="E1601" s="619">
        <v>45383</v>
      </c>
      <c r="F1601" s="201" t="s">
        <v>130</v>
      </c>
      <c r="G1601" s="201" t="s">
        <v>130</v>
      </c>
      <c r="H1601" s="201" t="s">
        <v>184</v>
      </c>
      <c r="I1601" s="201" t="s">
        <v>173</v>
      </c>
      <c r="J1601" s="202"/>
      <c r="K1601" s="202"/>
      <c r="L1601" s="202"/>
      <c r="M1601" s="202"/>
      <c r="N1601" s="202"/>
      <c r="O1601" s="202"/>
      <c r="P1601" s="202"/>
      <c r="Q1601" s="202"/>
      <c r="R1601" s="202"/>
      <c r="S1601" s="202"/>
      <c r="T1601" s="202"/>
    </row>
    <row r="1602" spans="1:20" s="182" customFormat="1" ht="14.15" hidden="1">
      <c r="A1602" s="222">
        <v>45384</v>
      </c>
      <c r="B1602" s="201" t="s">
        <v>1585</v>
      </c>
      <c r="C1602" s="208" t="s">
        <v>146</v>
      </c>
      <c r="D1602" s="592">
        <v>-27600</v>
      </c>
      <c r="E1602" s="619">
        <v>45383</v>
      </c>
      <c r="F1602" s="201" t="s">
        <v>110</v>
      </c>
      <c r="G1602" s="208" t="s">
        <v>122</v>
      </c>
      <c r="H1602" s="208" t="s">
        <v>175</v>
      </c>
      <c r="I1602" s="201" t="s">
        <v>173</v>
      </c>
      <c r="J1602" s="202"/>
      <c r="K1602" s="202"/>
      <c r="L1602" s="202"/>
      <c r="M1602" s="202"/>
      <c r="N1602" s="202"/>
      <c r="O1602" s="202"/>
      <c r="P1602" s="202"/>
      <c r="Q1602" s="202"/>
      <c r="R1602" s="202"/>
      <c r="S1602" s="202"/>
      <c r="T1602" s="202"/>
    </row>
    <row r="1603" spans="1:20" s="182" customFormat="1" ht="14.15" hidden="1">
      <c r="A1603" s="222">
        <v>45378</v>
      </c>
      <c r="B1603" s="201" t="s">
        <v>1586</v>
      </c>
      <c r="C1603" s="208" t="s">
        <v>146</v>
      </c>
      <c r="D1603" s="592">
        <v>-20000</v>
      </c>
      <c r="E1603" s="619">
        <v>45383</v>
      </c>
      <c r="F1603" s="201" t="s">
        <v>110</v>
      </c>
      <c r="G1603" s="208" t="s">
        <v>122</v>
      </c>
      <c r="H1603" s="81" t="s">
        <v>138</v>
      </c>
      <c r="I1603" s="201" t="s">
        <v>173</v>
      </c>
      <c r="J1603" s="202"/>
      <c r="K1603" s="202"/>
      <c r="L1603" s="202"/>
      <c r="M1603" s="202"/>
      <c r="N1603" s="202"/>
      <c r="O1603" s="202"/>
      <c r="P1603" s="202"/>
      <c r="Q1603" s="202"/>
      <c r="R1603" s="202"/>
      <c r="S1603" s="202"/>
      <c r="T1603" s="202"/>
    </row>
    <row r="1604" spans="1:20" s="182" customFormat="1" ht="14.15" hidden="1">
      <c r="A1604" s="222">
        <v>45378</v>
      </c>
      <c r="B1604" s="201" t="s">
        <v>1587</v>
      </c>
      <c r="C1604" s="208" t="s">
        <v>146</v>
      </c>
      <c r="D1604" s="592">
        <v>-6200</v>
      </c>
      <c r="E1604" s="619">
        <v>45383</v>
      </c>
      <c r="F1604" s="201" t="s">
        <v>110</v>
      </c>
      <c r="G1604" s="208" t="s">
        <v>122</v>
      </c>
      <c r="H1604" s="81" t="s">
        <v>138</v>
      </c>
      <c r="I1604" s="201" t="s">
        <v>173</v>
      </c>
      <c r="J1604" s="202"/>
      <c r="K1604" s="202"/>
      <c r="L1604" s="202"/>
      <c r="M1604" s="202"/>
      <c r="N1604" s="202"/>
      <c r="O1604" s="202"/>
      <c r="P1604" s="202"/>
      <c r="Q1604" s="202"/>
      <c r="R1604" s="202"/>
      <c r="S1604" s="202"/>
      <c r="T1604" s="202"/>
    </row>
    <row r="1605" spans="1:20" s="182" customFormat="1" ht="14.15" hidden="1">
      <c r="A1605" s="222">
        <v>45378</v>
      </c>
      <c r="B1605" s="201" t="s">
        <v>1588</v>
      </c>
      <c r="C1605" s="208" t="s">
        <v>146</v>
      </c>
      <c r="D1605" s="592">
        <v>-7000</v>
      </c>
      <c r="E1605" s="619">
        <v>45383</v>
      </c>
      <c r="F1605" s="201" t="s">
        <v>109</v>
      </c>
      <c r="G1605" s="208" t="s">
        <v>120</v>
      </c>
      <c r="H1605" s="81" t="s">
        <v>138</v>
      </c>
      <c r="I1605" s="201" t="s">
        <v>173</v>
      </c>
      <c r="J1605" s="202"/>
      <c r="K1605" s="202"/>
      <c r="L1605" s="202"/>
      <c r="M1605" s="202"/>
      <c r="N1605" s="202"/>
      <c r="O1605" s="202"/>
      <c r="P1605" s="202"/>
      <c r="Q1605" s="202"/>
      <c r="R1605" s="202"/>
      <c r="S1605" s="202"/>
      <c r="T1605" s="202"/>
    </row>
    <row r="1606" spans="1:20" s="182" customFormat="1" ht="14.15" hidden="1">
      <c r="A1606" s="222">
        <v>45383</v>
      </c>
      <c r="B1606" s="201" t="s">
        <v>1589</v>
      </c>
      <c r="C1606" s="208" t="s">
        <v>146</v>
      </c>
      <c r="D1606" s="592">
        <v>-20000</v>
      </c>
      <c r="E1606" s="619">
        <v>45383</v>
      </c>
      <c r="F1606" s="291" t="s">
        <v>110</v>
      </c>
      <c r="G1606" s="208" t="s">
        <v>450</v>
      </c>
      <c r="H1606" s="81" t="s">
        <v>138</v>
      </c>
      <c r="I1606" s="201" t="s">
        <v>173</v>
      </c>
      <c r="J1606" s="202"/>
      <c r="K1606" s="202"/>
      <c r="L1606" s="202"/>
      <c r="M1606" s="202"/>
      <c r="N1606" s="202"/>
      <c r="O1606" s="202"/>
      <c r="P1606" s="202"/>
      <c r="Q1606" s="202"/>
      <c r="R1606" s="202"/>
      <c r="S1606" s="202"/>
      <c r="T1606" s="202"/>
    </row>
    <row r="1607" spans="1:20" s="203" customFormat="1" ht="14.15" hidden="1">
      <c r="A1607" s="222">
        <v>45383</v>
      </c>
      <c r="B1607" s="201" t="s">
        <v>1590</v>
      </c>
      <c r="C1607" s="208" t="s">
        <v>146</v>
      </c>
      <c r="D1607" s="592">
        <v>-20000</v>
      </c>
      <c r="E1607" s="619">
        <v>45383</v>
      </c>
      <c r="F1607" s="201" t="s">
        <v>110</v>
      </c>
      <c r="G1607" s="208" t="s">
        <v>122</v>
      </c>
      <c r="H1607" s="81" t="s">
        <v>138</v>
      </c>
      <c r="I1607" s="201" t="s">
        <v>173</v>
      </c>
      <c r="J1607" s="202"/>
      <c r="K1607" s="202"/>
      <c r="L1607" s="202"/>
      <c r="M1607" s="202"/>
      <c r="N1607" s="202"/>
      <c r="O1607" s="202"/>
      <c r="P1607" s="202"/>
      <c r="Q1607" s="202"/>
      <c r="R1607" s="202"/>
      <c r="S1607" s="202"/>
      <c r="T1607" s="202"/>
    </row>
    <row r="1608" spans="1:20" s="203" customFormat="1" ht="14.15" hidden="1">
      <c r="A1608" s="222">
        <v>45383</v>
      </c>
      <c r="B1608" s="201" t="s">
        <v>1591</v>
      </c>
      <c r="C1608" s="208" t="s">
        <v>146</v>
      </c>
      <c r="D1608" s="592">
        <v>-20000</v>
      </c>
      <c r="E1608" s="619">
        <v>45383</v>
      </c>
      <c r="F1608" s="291" t="s">
        <v>110</v>
      </c>
      <c r="G1608" s="208" t="s">
        <v>450</v>
      </c>
      <c r="H1608" s="81" t="s">
        <v>138</v>
      </c>
      <c r="I1608" s="201" t="s">
        <v>173</v>
      </c>
      <c r="J1608" s="202"/>
      <c r="K1608" s="202"/>
      <c r="L1608" s="202"/>
      <c r="M1608" s="202"/>
      <c r="N1608" s="202"/>
      <c r="O1608" s="202"/>
      <c r="P1608" s="202"/>
      <c r="Q1608" s="202"/>
      <c r="R1608" s="202"/>
      <c r="S1608" s="202"/>
      <c r="T1608" s="202"/>
    </row>
    <row r="1609" spans="1:20" s="182" customFormat="1" ht="14.15" hidden="1">
      <c r="A1609" s="222">
        <v>45383</v>
      </c>
      <c r="B1609" s="201" t="s">
        <v>1589</v>
      </c>
      <c r="C1609" s="208" t="s">
        <v>146</v>
      </c>
      <c r="D1609" s="592">
        <v>-20000</v>
      </c>
      <c r="E1609" s="619">
        <v>45383</v>
      </c>
      <c r="F1609" s="291" t="s">
        <v>110</v>
      </c>
      <c r="G1609" s="208" t="s">
        <v>450</v>
      </c>
      <c r="H1609" s="81" t="s">
        <v>138</v>
      </c>
      <c r="I1609" s="201" t="s">
        <v>173</v>
      </c>
      <c r="J1609" s="202"/>
      <c r="K1609" s="202"/>
      <c r="L1609" s="202"/>
      <c r="M1609" s="202"/>
      <c r="N1609" s="202"/>
      <c r="O1609" s="202"/>
      <c r="P1609" s="202"/>
      <c r="Q1609" s="202"/>
      <c r="R1609" s="202"/>
      <c r="S1609" s="202"/>
      <c r="T1609" s="202"/>
    </row>
    <row r="1610" spans="1:20" s="182" customFormat="1" ht="14.15" hidden="1">
      <c r="A1610" s="222">
        <v>45383</v>
      </c>
      <c r="B1610" s="201" t="s">
        <v>1592</v>
      </c>
      <c r="C1610" s="208" t="s">
        <v>146</v>
      </c>
      <c r="D1610" s="592">
        <v>-7000</v>
      </c>
      <c r="E1610" s="619">
        <v>45383</v>
      </c>
      <c r="F1610" s="201" t="s">
        <v>109</v>
      </c>
      <c r="G1610" s="208" t="s">
        <v>120</v>
      </c>
      <c r="H1610" s="81" t="s">
        <v>138</v>
      </c>
      <c r="I1610" s="201" t="s">
        <v>173</v>
      </c>
      <c r="J1610" s="202"/>
      <c r="K1610" s="202"/>
      <c r="L1610" s="202"/>
      <c r="M1610" s="202"/>
      <c r="N1610" s="202"/>
      <c r="O1610" s="202"/>
      <c r="P1610" s="202"/>
      <c r="Q1610" s="202"/>
      <c r="R1610" s="202"/>
      <c r="S1610" s="202"/>
      <c r="T1610" s="202"/>
    </row>
    <row r="1611" spans="1:20" s="182" customFormat="1" ht="14.15" hidden="1">
      <c r="A1611" s="222">
        <v>45383</v>
      </c>
      <c r="B1611" s="201" t="s">
        <v>1593</v>
      </c>
      <c r="C1611" s="208" t="s">
        <v>146</v>
      </c>
      <c r="D1611" s="592">
        <v>-7000</v>
      </c>
      <c r="E1611" s="619">
        <v>45383</v>
      </c>
      <c r="F1611" s="201" t="s">
        <v>109</v>
      </c>
      <c r="G1611" s="208" t="s">
        <v>120</v>
      </c>
      <c r="H1611" s="81" t="s">
        <v>138</v>
      </c>
      <c r="I1611" s="201" t="s">
        <v>173</v>
      </c>
      <c r="J1611" s="202"/>
      <c r="K1611" s="202"/>
      <c r="L1611" s="202"/>
      <c r="M1611" s="202"/>
      <c r="N1611" s="202"/>
      <c r="O1611" s="202"/>
      <c r="P1611" s="202"/>
      <c r="Q1611" s="202"/>
      <c r="R1611" s="202"/>
      <c r="S1611" s="202"/>
      <c r="T1611" s="202"/>
    </row>
    <row r="1612" spans="1:20" s="182" customFormat="1" ht="14.15" hidden="1">
      <c r="A1612" s="222">
        <v>45383</v>
      </c>
      <c r="B1612" s="201" t="s">
        <v>1594</v>
      </c>
      <c r="C1612" s="208" t="s">
        <v>146</v>
      </c>
      <c r="D1612" s="592">
        <v>-10000</v>
      </c>
      <c r="E1612" s="619">
        <v>45383</v>
      </c>
      <c r="F1612" s="201" t="s">
        <v>109</v>
      </c>
      <c r="G1612" s="208" t="s">
        <v>120</v>
      </c>
      <c r="H1612" s="81" t="s">
        <v>138</v>
      </c>
      <c r="I1612" s="201" t="s">
        <v>173</v>
      </c>
      <c r="J1612" s="202"/>
      <c r="K1612" s="202"/>
      <c r="L1612" s="202"/>
      <c r="M1612" s="202"/>
      <c r="N1612" s="202"/>
      <c r="O1612" s="202"/>
      <c r="P1612" s="202"/>
      <c r="Q1612" s="202"/>
      <c r="R1612" s="202"/>
      <c r="S1612" s="202"/>
      <c r="T1612" s="202"/>
    </row>
    <row r="1613" spans="1:20" s="182" customFormat="1" ht="14.15" hidden="1">
      <c r="A1613" s="222">
        <v>45384</v>
      </c>
      <c r="B1613" s="201" t="s">
        <v>1595</v>
      </c>
      <c r="C1613" s="208" t="s">
        <v>146</v>
      </c>
      <c r="D1613" s="592">
        <v>-40000</v>
      </c>
      <c r="E1613" s="619">
        <v>45383</v>
      </c>
      <c r="F1613" s="201" t="s">
        <v>109</v>
      </c>
      <c r="G1613" s="208" t="s">
        <v>120</v>
      </c>
      <c r="H1613" s="81" t="s">
        <v>138</v>
      </c>
      <c r="I1613" s="201" t="s">
        <v>173</v>
      </c>
      <c r="J1613" s="202"/>
      <c r="K1613" s="202"/>
      <c r="L1613" s="202"/>
      <c r="M1613" s="202"/>
      <c r="N1613" s="202"/>
      <c r="O1613" s="202"/>
      <c r="P1613" s="202"/>
      <c r="Q1613" s="202"/>
      <c r="R1613" s="202"/>
      <c r="S1613" s="202"/>
      <c r="T1613" s="202"/>
    </row>
    <row r="1614" spans="1:20" s="182" customFormat="1" ht="14.15" hidden="1">
      <c r="A1614" s="222">
        <v>45384</v>
      </c>
      <c r="B1614" s="201" t="s">
        <v>1596</v>
      </c>
      <c r="C1614" s="208" t="s">
        <v>146</v>
      </c>
      <c r="D1614" s="592">
        <v>-800</v>
      </c>
      <c r="E1614" s="619">
        <v>45383</v>
      </c>
      <c r="F1614" s="201" t="s">
        <v>109</v>
      </c>
      <c r="G1614" s="208" t="s">
        <v>120</v>
      </c>
      <c r="H1614" s="81" t="s">
        <v>138</v>
      </c>
      <c r="I1614" s="201" t="s">
        <v>173</v>
      </c>
      <c r="J1614" s="202"/>
      <c r="K1614" s="202"/>
      <c r="L1614" s="202"/>
      <c r="M1614" s="202"/>
      <c r="N1614" s="202"/>
      <c r="O1614" s="202"/>
      <c r="P1614" s="202"/>
      <c r="Q1614" s="202"/>
      <c r="R1614" s="202"/>
      <c r="S1614" s="202"/>
      <c r="T1614" s="202"/>
    </row>
    <row r="1615" spans="1:20" s="182" customFormat="1" ht="14.15" hidden="1">
      <c r="A1615" s="222">
        <v>45385</v>
      </c>
      <c r="B1615" s="201" t="s">
        <v>1597</v>
      </c>
      <c r="C1615" s="208" t="s">
        <v>146</v>
      </c>
      <c r="D1615" s="592">
        <v>-12000</v>
      </c>
      <c r="E1615" s="619">
        <v>45383</v>
      </c>
      <c r="F1615" s="201" t="s">
        <v>110</v>
      </c>
      <c r="G1615" s="208" t="s">
        <v>453</v>
      </c>
      <c r="H1615" s="81" t="s">
        <v>138</v>
      </c>
      <c r="I1615" s="201" t="s">
        <v>1574</v>
      </c>
      <c r="J1615" s="202"/>
      <c r="K1615" s="202"/>
      <c r="L1615" s="202"/>
      <c r="M1615" s="202"/>
      <c r="N1615" s="202"/>
      <c r="O1615" s="202"/>
      <c r="P1615" s="202"/>
      <c r="Q1615" s="202"/>
      <c r="R1615" s="202"/>
      <c r="S1615" s="202"/>
      <c r="T1615" s="202"/>
    </row>
    <row r="1616" spans="1:20" s="182" customFormat="1" ht="14.15" hidden="1">
      <c r="A1616" s="222">
        <v>45385</v>
      </c>
      <c r="B1616" s="201" t="s">
        <v>1598</v>
      </c>
      <c r="C1616" s="208" t="s">
        <v>146</v>
      </c>
      <c r="D1616" s="592">
        <v>-6000</v>
      </c>
      <c r="E1616" s="619">
        <v>45383</v>
      </c>
      <c r="F1616" s="201" t="s">
        <v>110</v>
      </c>
      <c r="G1616" s="208" t="s">
        <v>122</v>
      </c>
      <c r="H1616" s="81" t="s">
        <v>138</v>
      </c>
      <c r="I1616" s="201" t="s">
        <v>1574</v>
      </c>
      <c r="J1616" s="202"/>
      <c r="K1616" s="202"/>
      <c r="L1616" s="202"/>
      <c r="M1616" s="202"/>
      <c r="N1616" s="202"/>
      <c r="O1616" s="202"/>
      <c r="P1616" s="202"/>
      <c r="Q1616" s="202"/>
      <c r="R1616" s="202"/>
      <c r="S1616" s="202"/>
      <c r="T1616" s="202"/>
    </row>
    <row r="1617" spans="1:149" s="182" customFormat="1" ht="0.75" hidden="1" customHeight="1">
      <c r="A1617" s="222">
        <v>45385</v>
      </c>
      <c r="B1617" s="201" t="s">
        <v>1599</v>
      </c>
      <c r="C1617" s="208" t="s">
        <v>146</v>
      </c>
      <c r="D1617" s="592">
        <v>-9400</v>
      </c>
      <c r="E1617" s="619">
        <v>45383</v>
      </c>
      <c r="F1617" s="291" t="s">
        <v>110</v>
      </c>
      <c r="G1617" s="208" t="s">
        <v>450</v>
      </c>
      <c r="H1617" s="201"/>
      <c r="I1617" s="201"/>
      <c r="J1617" s="202"/>
      <c r="K1617" s="202"/>
      <c r="L1617" s="202"/>
      <c r="M1617" s="202"/>
      <c r="N1617" s="202"/>
      <c r="O1617" s="202"/>
      <c r="P1617" s="202"/>
      <c r="Q1617" s="202"/>
      <c r="R1617" s="202"/>
      <c r="S1617" s="202"/>
      <c r="T1617" s="202"/>
    </row>
    <row r="1618" spans="1:149" s="182" customFormat="1" ht="14.15" hidden="1">
      <c r="A1618" s="222">
        <v>45385</v>
      </c>
      <c r="B1618" s="201" t="s">
        <v>1600</v>
      </c>
      <c r="C1618" s="208" t="s">
        <v>146</v>
      </c>
      <c r="D1618" s="592">
        <v>-5000</v>
      </c>
      <c r="E1618" s="619">
        <v>45383</v>
      </c>
      <c r="F1618" s="201" t="s">
        <v>207</v>
      </c>
      <c r="G1618" s="208" t="s">
        <v>262</v>
      </c>
      <c r="H1618" s="81" t="s">
        <v>138</v>
      </c>
      <c r="I1618" s="201"/>
      <c r="J1618" s="202"/>
      <c r="K1618" s="202"/>
      <c r="L1618" s="202"/>
      <c r="M1618" s="202"/>
      <c r="N1618" s="202"/>
      <c r="O1618" s="202"/>
      <c r="P1618" s="202"/>
      <c r="Q1618" s="202"/>
      <c r="R1618" s="202"/>
      <c r="S1618" s="202"/>
      <c r="T1618" s="202"/>
    </row>
    <row r="1619" spans="1:149" s="182" customFormat="1" ht="14.15" hidden="1">
      <c r="A1619" s="222">
        <v>45385</v>
      </c>
      <c r="B1619" s="201" t="s">
        <v>1601</v>
      </c>
      <c r="C1619" s="208" t="s">
        <v>146</v>
      </c>
      <c r="D1619" s="592">
        <v>-7000</v>
      </c>
      <c r="E1619" s="619">
        <v>45383</v>
      </c>
      <c r="F1619" s="201" t="s">
        <v>110</v>
      </c>
      <c r="G1619" s="208" t="s">
        <v>122</v>
      </c>
      <c r="H1619" s="81" t="s">
        <v>138</v>
      </c>
      <c r="I1619" s="201"/>
      <c r="J1619" s="202"/>
      <c r="K1619" s="202"/>
      <c r="L1619" s="202"/>
      <c r="M1619" s="202"/>
      <c r="N1619" s="202"/>
      <c r="O1619" s="202"/>
      <c r="P1619" s="202"/>
      <c r="Q1619" s="202"/>
      <c r="R1619" s="202"/>
      <c r="S1619" s="202"/>
      <c r="T1619" s="202"/>
    </row>
    <row r="1620" spans="1:149" s="182" customFormat="1" ht="14.15" hidden="1">
      <c r="A1620" s="222">
        <v>45386</v>
      </c>
      <c r="B1620" s="201" t="s">
        <v>1602</v>
      </c>
      <c r="C1620" s="208" t="s">
        <v>146</v>
      </c>
      <c r="D1620" s="592">
        <v>-120000</v>
      </c>
      <c r="E1620" s="619">
        <v>45383</v>
      </c>
      <c r="F1620" s="201" t="s">
        <v>130</v>
      </c>
      <c r="G1620" s="201" t="s">
        <v>130</v>
      </c>
      <c r="H1620" s="201" t="s">
        <v>323</v>
      </c>
      <c r="I1620" s="201"/>
      <c r="J1620" s="202"/>
      <c r="K1620" s="202"/>
      <c r="L1620" s="202"/>
      <c r="M1620" s="202"/>
      <c r="N1620" s="202"/>
      <c r="O1620" s="202"/>
      <c r="P1620" s="202"/>
      <c r="Q1620" s="202"/>
      <c r="R1620" s="202"/>
      <c r="S1620" s="202"/>
      <c r="T1620" s="202"/>
    </row>
    <row r="1621" spans="1:149" s="182" customFormat="1" ht="14.15" hidden="1">
      <c r="A1621" s="222">
        <v>45398</v>
      </c>
      <c r="B1621" s="201" t="s">
        <v>1603</v>
      </c>
      <c r="C1621" s="208" t="s">
        <v>27</v>
      </c>
      <c r="D1621" s="592">
        <v>-2385600</v>
      </c>
      <c r="E1621" s="619">
        <v>45383</v>
      </c>
      <c r="F1621" s="201" t="s">
        <v>130</v>
      </c>
      <c r="G1621" s="201" t="s">
        <v>257</v>
      </c>
      <c r="H1621" s="201" t="s">
        <v>663</v>
      </c>
      <c r="I1621" s="201"/>
      <c r="J1621" s="202"/>
      <c r="K1621" s="202"/>
      <c r="L1621" s="202"/>
      <c r="M1621" s="202"/>
      <c r="N1621" s="202"/>
      <c r="O1621" s="202"/>
      <c r="P1621" s="202"/>
      <c r="Q1621" s="202"/>
      <c r="R1621" s="202"/>
      <c r="S1621" s="202"/>
      <c r="T1621" s="202"/>
      <c r="U1621" s="202"/>
      <c r="V1621" s="202"/>
      <c r="W1621" s="202"/>
      <c r="X1621" s="202"/>
      <c r="Y1621" s="202"/>
      <c r="Z1621" s="202"/>
      <c r="AA1621" s="202"/>
      <c r="AB1621" s="202"/>
      <c r="AC1621" s="202"/>
      <c r="AD1621" s="202"/>
      <c r="AE1621" s="202"/>
      <c r="AF1621" s="202"/>
      <c r="AG1621" s="202"/>
      <c r="AH1621" s="202"/>
      <c r="AI1621" s="202"/>
      <c r="AJ1621" s="202"/>
      <c r="AK1621" s="202"/>
      <c r="AL1621" s="202"/>
      <c r="AM1621" s="202"/>
      <c r="AN1621" s="202"/>
      <c r="AO1621" s="202"/>
      <c r="AP1621" s="202"/>
      <c r="AQ1621" s="202"/>
      <c r="AR1621" s="202"/>
      <c r="AS1621" s="202"/>
      <c r="AT1621" s="202"/>
      <c r="AU1621" s="202"/>
      <c r="AV1621" s="202"/>
      <c r="AW1621" s="202"/>
      <c r="AX1621" s="202"/>
      <c r="AY1621" s="202"/>
      <c r="AZ1621" s="202"/>
      <c r="BA1621" s="202"/>
      <c r="BB1621" s="202"/>
      <c r="BC1621" s="202"/>
      <c r="BD1621" s="202"/>
      <c r="BE1621" s="202"/>
      <c r="BF1621" s="202"/>
      <c r="BG1621" s="202"/>
      <c r="BH1621" s="202"/>
      <c r="BI1621" s="202"/>
      <c r="BJ1621" s="202"/>
      <c r="BK1621" s="202"/>
      <c r="BL1621" s="202"/>
      <c r="BM1621" s="202"/>
      <c r="BN1621" s="202"/>
      <c r="BO1621" s="202"/>
      <c r="BP1621" s="202"/>
      <c r="BQ1621" s="202"/>
      <c r="BR1621" s="202"/>
      <c r="BS1621" s="202"/>
      <c r="BT1621" s="202"/>
      <c r="BU1621" s="202"/>
      <c r="BV1621" s="202"/>
      <c r="BW1621" s="202"/>
      <c r="BX1621" s="202"/>
      <c r="BY1621" s="202"/>
      <c r="BZ1621" s="202"/>
      <c r="CA1621" s="202"/>
      <c r="CB1621" s="202"/>
      <c r="CC1621" s="202"/>
      <c r="CD1621" s="202"/>
      <c r="CE1621" s="202"/>
      <c r="CF1621" s="202"/>
      <c r="CG1621" s="202"/>
      <c r="CH1621" s="202"/>
      <c r="CI1621" s="202"/>
      <c r="CJ1621" s="202"/>
      <c r="CK1621" s="202"/>
      <c r="CL1621" s="202"/>
      <c r="CM1621" s="202"/>
      <c r="CN1621" s="202"/>
      <c r="CO1621" s="202"/>
      <c r="CP1621" s="202"/>
      <c r="CQ1621" s="202"/>
      <c r="CR1621" s="202"/>
      <c r="CS1621" s="202"/>
      <c r="CT1621" s="202"/>
      <c r="CU1621" s="202"/>
      <c r="CV1621" s="202"/>
      <c r="CW1621" s="202"/>
      <c r="CX1621" s="202"/>
      <c r="CY1621" s="202"/>
      <c r="CZ1621" s="202"/>
      <c r="DA1621" s="202"/>
      <c r="DB1621" s="202"/>
      <c r="DC1621" s="202"/>
      <c r="DD1621" s="202"/>
      <c r="DE1621" s="202"/>
      <c r="DF1621" s="202"/>
      <c r="DG1621" s="202"/>
      <c r="DH1621" s="202"/>
      <c r="DI1621" s="202"/>
      <c r="DJ1621" s="202"/>
      <c r="DK1621" s="202"/>
      <c r="DL1621" s="202"/>
      <c r="DM1621" s="202"/>
      <c r="DN1621" s="202"/>
      <c r="DO1621" s="202"/>
      <c r="DP1621" s="202"/>
      <c r="DQ1621" s="202"/>
      <c r="DR1621" s="202"/>
      <c r="DS1621" s="202"/>
      <c r="DT1621" s="202"/>
      <c r="DU1621" s="202"/>
      <c r="DV1621" s="202"/>
      <c r="DW1621" s="202"/>
      <c r="DX1621" s="202"/>
      <c r="DY1621" s="202"/>
      <c r="DZ1621" s="202"/>
      <c r="EA1621" s="202"/>
      <c r="EB1621" s="202"/>
      <c r="EC1621" s="202"/>
      <c r="ED1621" s="202"/>
      <c r="EE1621" s="202"/>
      <c r="EF1621" s="202"/>
      <c r="EG1621" s="202"/>
      <c r="EH1621" s="202"/>
      <c r="EI1621" s="202"/>
      <c r="EJ1621" s="202"/>
      <c r="EK1621" s="202"/>
      <c r="EL1621" s="202"/>
      <c r="EM1621" s="202"/>
      <c r="EN1621" s="202"/>
      <c r="EO1621" s="202"/>
      <c r="EP1621" s="202"/>
      <c r="EQ1621" s="202"/>
      <c r="ER1621" s="202"/>
      <c r="ES1621" s="202"/>
    </row>
    <row r="1622" spans="1:149" s="182" customFormat="1" ht="14.15" hidden="1">
      <c r="A1622" s="222">
        <v>45398</v>
      </c>
      <c r="B1622" s="201" t="s">
        <v>1604</v>
      </c>
      <c r="C1622" s="208" t="s">
        <v>27</v>
      </c>
      <c r="D1622" s="592">
        <v>-405000</v>
      </c>
      <c r="E1622" s="619">
        <v>45383</v>
      </c>
      <c r="F1622" s="201" t="s">
        <v>130</v>
      </c>
      <c r="G1622" s="201" t="s">
        <v>130</v>
      </c>
      <c r="H1622" s="201" t="s">
        <v>323</v>
      </c>
      <c r="I1622" s="201"/>
      <c r="J1622" s="202"/>
      <c r="K1622" s="202"/>
      <c r="L1622" s="202"/>
      <c r="M1622" s="202"/>
      <c r="N1622" s="202"/>
      <c r="O1622" s="202"/>
      <c r="P1622" s="202"/>
      <c r="Q1622" s="202"/>
      <c r="R1622" s="202"/>
      <c r="S1622" s="202"/>
      <c r="T1622" s="202"/>
      <c r="U1622" s="202"/>
      <c r="V1622" s="202"/>
      <c r="W1622" s="202"/>
      <c r="X1622" s="202"/>
      <c r="Y1622" s="202"/>
      <c r="Z1622" s="202"/>
      <c r="AA1622" s="202"/>
      <c r="AB1622" s="202"/>
      <c r="AC1622" s="202"/>
      <c r="AD1622" s="202"/>
      <c r="AE1622" s="202"/>
      <c r="AF1622" s="202"/>
      <c r="AG1622" s="202"/>
      <c r="AH1622" s="202"/>
      <c r="AI1622" s="202"/>
      <c r="AJ1622" s="202"/>
      <c r="AK1622" s="202"/>
      <c r="AL1622" s="202"/>
      <c r="AM1622" s="202"/>
      <c r="AN1622" s="202"/>
      <c r="AO1622" s="202"/>
      <c r="AP1622" s="202"/>
      <c r="AQ1622" s="202"/>
      <c r="AR1622" s="202"/>
      <c r="AS1622" s="202"/>
      <c r="AT1622" s="202"/>
      <c r="AU1622" s="202"/>
      <c r="AV1622" s="202"/>
      <c r="AW1622" s="202"/>
      <c r="AX1622" s="202"/>
      <c r="AY1622" s="202"/>
      <c r="AZ1622" s="202"/>
      <c r="BA1622" s="202"/>
      <c r="BB1622" s="202"/>
      <c r="BC1622" s="202"/>
      <c r="BD1622" s="202"/>
      <c r="BE1622" s="202"/>
      <c r="BF1622" s="202"/>
      <c r="BG1622" s="202"/>
      <c r="BH1622" s="202"/>
      <c r="BI1622" s="202"/>
      <c r="BJ1622" s="202"/>
      <c r="BK1622" s="202"/>
      <c r="BL1622" s="202"/>
      <c r="BM1622" s="202"/>
      <c r="BN1622" s="202"/>
      <c r="BO1622" s="202"/>
      <c r="BP1622" s="202"/>
      <c r="BQ1622" s="202"/>
      <c r="BR1622" s="202"/>
      <c r="BS1622" s="202"/>
      <c r="BT1622" s="202"/>
      <c r="BU1622" s="202"/>
      <c r="BV1622" s="202"/>
      <c r="BW1622" s="202"/>
      <c r="BX1622" s="202"/>
      <c r="BY1622" s="202"/>
      <c r="BZ1622" s="202"/>
      <c r="CA1622" s="202"/>
      <c r="CB1622" s="202"/>
      <c r="CC1622" s="202"/>
      <c r="CD1622" s="202"/>
      <c r="CE1622" s="202"/>
      <c r="CF1622" s="202"/>
      <c r="CG1622" s="202"/>
      <c r="CH1622" s="202"/>
      <c r="CI1622" s="202"/>
      <c r="CJ1622" s="202"/>
      <c r="CK1622" s="202"/>
      <c r="CL1622" s="202"/>
      <c r="CM1622" s="202"/>
      <c r="CN1622" s="202"/>
      <c r="CO1622" s="202"/>
      <c r="CP1622" s="202"/>
      <c r="CQ1622" s="202"/>
      <c r="CR1622" s="202"/>
      <c r="CS1622" s="202"/>
      <c r="CT1622" s="202"/>
      <c r="CU1622" s="202"/>
      <c r="CV1622" s="202"/>
      <c r="CW1622" s="202"/>
      <c r="CX1622" s="202"/>
      <c r="CY1622" s="202"/>
      <c r="CZ1622" s="202"/>
      <c r="DA1622" s="202"/>
      <c r="DB1622" s="202"/>
      <c r="DC1622" s="202"/>
      <c r="DD1622" s="202"/>
      <c r="DE1622" s="202"/>
      <c r="DF1622" s="202"/>
      <c r="DG1622" s="202"/>
      <c r="DH1622" s="202"/>
      <c r="DI1622" s="202"/>
      <c r="DJ1622" s="202"/>
      <c r="DK1622" s="202"/>
      <c r="DL1622" s="202"/>
      <c r="DM1622" s="202"/>
      <c r="DN1622" s="202"/>
      <c r="DO1622" s="202"/>
      <c r="DP1622" s="202"/>
      <c r="DQ1622" s="202"/>
      <c r="DR1622" s="202"/>
      <c r="DS1622" s="202"/>
      <c r="DT1622" s="202"/>
      <c r="DU1622" s="202"/>
      <c r="DV1622" s="202"/>
      <c r="DW1622" s="202"/>
      <c r="DX1622" s="202"/>
      <c r="DY1622" s="202"/>
      <c r="DZ1622" s="202"/>
      <c r="EA1622" s="202"/>
      <c r="EB1622" s="202"/>
      <c r="EC1622" s="202"/>
      <c r="ED1622" s="202"/>
      <c r="EE1622" s="202"/>
      <c r="EF1622" s="202"/>
      <c r="EG1622" s="202"/>
      <c r="EH1622" s="202"/>
      <c r="EI1622" s="202"/>
      <c r="EJ1622" s="202"/>
      <c r="EK1622" s="202"/>
      <c r="EL1622" s="202"/>
      <c r="EM1622" s="202"/>
      <c r="EN1622" s="202"/>
      <c r="EO1622" s="202"/>
      <c r="EP1622" s="202"/>
      <c r="EQ1622" s="202"/>
      <c r="ER1622" s="202"/>
      <c r="ES1622" s="202"/>
    </row>
    <row r="1623" spans="1:149" s="182" customFormat="1" ht="14.15" hidden="1">
      <c r="A1623" s="222">
        <v>45386</v>
      </c>
      <c r="B1623" s="201" t="s">
        <v>1605</v>
      </c>
      <c r="C1623" s="208" t="s">
        <v>27</v>
      </c>
      <c r="D1623" s="592">
        <v>644112</v>
      </c>
      <c r="E1623" s="619">
        <v>45383</v>
      </c>
      <c r="F1623" s="201" t="s">
        <v>109</v>
      </c>
      <c r="G1623" s="208" t="s">
        <v>120</v>
      </c>
      <c r="H1623" s="201"/>
      <c r="I1623" s="201"/>
      <c r="J1623" s="202"/>
      <c r="K1623" s="202"/>
      <c r="L1623" s="202"/>
      <c r="M1623" s="202"/>
      <c r="N1623" s="202"/>
      <c r="O1623" s="202"/>
      <c r="P1623" s="202"/>
      <c r="Q1623" s="202"/>
      <c r="R1623" s="202"/>
      <c r="S1623" s="202"/>
      <c r="T1623" s="202"/>
    </row>
    <row r="1624" spans="1:149" s="182" customFormat="1" ht="14.15" hidden="1">
      <c r="A1624" s="222">
        <v>45386</v>
      </c>
      <c r="B1624" s="201" t="s">
        <v>1606</v>
      </c>
      <c r="C1624" s="208" t="s">
        <v>27</v>
      </c>
      <c r="D1624" s="592">
        <v>230000</v>
      </c>
      <c r="E1624" s="619">
        <v>45383</v>
      </c>
      <c r="F1624" s="201" t="s">
        <v>109</v>
      </c>
      <c r="G1624" s="208" t="s">
        <v>120</v>
      </c>
      <c r="H1624" s="201"/>
      <c r="I1624" s="201"/>
      <c r="J1624" s="202"/>
      <c r="K1624" s="202"/>
      <c r="L1624" s="202"/>
      <c r="M1624" s="202"/>
      <c r="N1624" s="202"/>
      <c r="O1624" s="202"/>
      <c r="P1624" s="202"/>
      <c r="Q1624" s="202"/>
      <c r="R1624" s="202"/>
      <c r="S1624" s="202"/>
      <c r="T1624" s="202"/>
      <c r="U1624" s="202"/>
      <c r="V1624" s="202"/>
      <c r="W1624" s="202"/>
      <c r="X1624" s="202"/>
      <c r="Y1624" s="202"/>
      <c r="Z1624" s="202"/>
      <c r="AA1624" s="202"/>
      <c r="AB1624" s="202"/>
      <c r="AC1624" s="202"/>
      <c r="AD1624" s="202"/>
      <c r="AE1624" s="202"/>
      <c r="AF1624" s="202"/>
      <c r="AG1624" s="202"/>
      <c r="AH1624" s="202"/>
      <c r="AI1624" s="202"/>
      <c r="AJ1624" s="202"/>
      <c r="AK1624" s="202"/>
      <c r="AL1624" s="202"/>
      <c r="AM1624" s="202"/>
      <c r="AN1624" s="202"/>
      <c r="AO1624" s="202"/>
      <c r="AP1624" s="202"/>
      <c r="AQ1624" s="202"/>
      <c r="AR1624" s="202"/>
      <c r="AS1624" s="202"/>
      <c r="AT1624" s="202"/>
      <c r="AU1624" s="202"/>
      <c r="AV1624" s="202"/>
      <c r="AW1624" s="202"/>
      <c r="AX1624" s="202"/>
      <c r="AY1624" s="202"/>
      <c r="AZ1624" s="202"/>
      <c r="BA1624" s="202"/>
      <c r="BB1624" s="202"/>
      <c r="BC1624" s="202"/>
      <c r="BD1624" s="202"/>
      <c r="BE1624" s="202"/>
      <c r="BF1624" s="202"/>
      <c r="BG1624" s="202"/>
      <c r="BH1624" s="202"/>
      <c r="BI1624" s="202"/>
      <c r="BJ1624" s="202"/>
      <c r="BK1624" s="202"/>
      <c r="BL1624" s="202"/>
      <c r="BM1624" s="202"/>
      <c r="BN1624" s="202"/>
      <c r="BO1624" s="202"/>
      <c r="BP1624" s="202"/>
      <c r="BQ1624" s="202"/>
      <c r="BR1624" s="202"/>
      <c r="BS1624" s="202"/>
      <c r="BT1624" s="202"/>
      <c r="BU1624" s="202"/>
      <c r="BV1624" s="202"/>
      <c r="BW1624" s="202"/>
      <c r="BX1624" s="202"/>
      <c r="BY1624" s="202"/>
      <c r="BZ1624" s="202"/>
      <c r="CA1624" s="202"/>
      <c r="CB1624" s="202"/>
      <c r="CC1624" s="202"/>
      <c r="CD1624" s="202"/>
      <c r="CE1624" s="202"/>
      <c r="CF1624" s="202"/>
      <c r="CG1624" s="202"/>
      <c r="CH1624" s="202"/>
      <c r="CI1624" s="202"/>
      <c r="CJ1624" s="202"/>
      <c r="CK1624" s="202"/>
      <c r="CL1624" s="202"/>
      <c r="CM1624" s="202"/>
      <c r="CN1624" s="202"/>
      <c r="CO1624" s="202"/>
      <c r="CP1624" s="202"/>
      <c r="CQ1624" s="202"/>
      <c r="CR1624" s="202"/>
      <c r="CS1624" s="202"/>
      <c r="CT1624" s="202"/>
      <c r="CU1624" s="202"/>
      <c r="CV1624" s="202"/>
      <c r="CW1624" s="202"/>
      <c r="CX1624" s="202"/>
      <c r="CY1624" s="202"/>
      <c r="CZ1624" s="202"/>
      <c r="DA1624" s="202"/>
      <c r="DB1624" s="202"/>
      <c r="DC1624" s="202"/>
      <c r="DD1624" s="202"/>
      <c r="DE1624" s="202"/>
      <c r="DF1624" s="202"/>
      <c r="DG1624" s="202"/>
      <c r="DH1624" s="202"/>
      <c r="DI1624" s="202"/>
      <c r="DJ1624" s="202"/>
      <c r="DK1624" s="202"/>
      <c r="DL1624" s="202"/>
      <c r="DM1624" s="202"/>
      <c r="DN1624" s="202"/>
      <c r="DO1624" s="202"/>
      <c r="DP1624" s="202"/>
      <c r="DQ1624" s="202"/>
      <c r="DR1624" s="202"/>
      <c r="DS1624" s="202"/>
      <c r="DT1624" s="202"/>
      <c r="DU1624" s="202"/>
      <c r="DV1624" s="202"/>
      <c r="DW1624" s="202"/>
      <c r="DX1624" s="202"/>
      <c r="DY1624" s="202"/>
      <c r="DZ1624" s="202"/>
      <c r="EA1624" s="202"/>
      <c r="EB1624" s="202"/>
      <c r="EC1624" s="202"/>
      <c r="ED1624" s="202"/>
      <c r="EE1624" s="202"/>
      <c r="EF1624" s="202"/>
      <c r="EG1624" s="202"/>
      <c r="EH1624" s="202"/>
      <c r="EI1624" s="202"/>
      <c r="EJ1624" s="202"/>
      <c r="EK1624" s="202"/>
      <c r="EL1624" s="202"/>
      <c r="EM1624" s="202"/>
      <c r="EN1624" s="202"/>
      <c r="EO1624" s="202"/>
      <c r="EP1624" s="202"/>
      <c r="EQ1624" s="202"/>
      <c r="ER1624" s="202"/>
      <c r="ES1624" s="202"/>
    </row>
    <row r="1625" spans="1:149" s="182" customFormat="1" ht="14.15" hidden="1">
      <c r="A1625" s="222">
        <v>45401</v>
      </c>
      <c r="B1625" s="630" t="s">
        <v>1607</v>
      </c>
      <c r="C1625" s="208" t="s">
        <v>27</v>
      </c>
      <c r="D1625" s="592">
        <v>471921</v>
      </c>
      <c r="E1625" s="619">
        <v>45383</v>
      </c>
      <c r="F1625" s="201" t="s">
        <v>110</v>
      </c>
      <c r="G1625" s="208" t="s">
        <v>450</v>
      </c>
      <c r="H1625" s="201" t="s">
        <v>1166</v>
      </c>
      <c r="I1625" s="201"/>
      <c r="J1625" s="202"/>
      <c r="K1625" s="202"/>
      <c r="L1625" s="202"/>
      <c r="M1625" s="202"/>
      <c r="N1625" s="202"/>
      <c r="O1625" s="202"/>
      <c r="P1625" s="202"/>
      <c r="Q1625" s="202"/>
      <c r="R1625" s="202"/>
      <c r="S1625" s="202"/>
      <c r="T1625" s="202"/>
      <c r="U1625" s="202"/>
      <c r="V1625" s="202"/>
      <c r="W1625" s="202"/>
      <c r="X1625" s="202"/>
      <c r="Y1625" s="202"/>
      <c r="Z1625" s="202"/>
      <c r="AA1625" s="202"/>
      <c r="AB1625" s="202"/>
      <c r="AC1625" s="202"/>
      <c r="AD1625" s="202"/>
      <c r="AE1625" s="202"/>
      <c r="AF1625" s="202"/>
      <c r="AG1625" s="202"/>
      <c r="AH1625" s="202"/>
      <c r="AI1625" s="202"/>
      <c r="AJ1625" s="202"/>
      <c r="AK1625" s="202"/>
      <c r="AL1625" s="202"/>
      <c r="AM1625" s="202"/>
      <c r="AN1625" s="202"/>
      <c r="AO1625" s="202"/>
      <c r="AP1625" s="202"/>
      <c r="AQ1625" s="202"/>
      <c r="AR1625" s="202"/>
      <c r="AS1625" s="202"/>
      <c r="AT1625" s="202"/>
      <c r="AU1625" s="202"/>
      <c r="AV1625" s="202"/>
      <c r="AW1625" s="202"/>
      <c r="AX1625" s="202"/>
      <c r="AY1625" s="202"/>
      <c r="AZ1625" s="202"/>
      <c r="BA1625" s="202"/>
      <c r="BB1625" s="202"/>
      <c r="BC1625" s="202"/>
      <c r="BD1625" s="202"/>
      <c r="BE1625" s="202"/>
      <c r="BF1625" s="202"/>
      <c r="BG1625" s="202"/>
      <c r="BH1625" s="202"/>
      <c r="BI1625" s="202"/>
      <c r="BJ1625" s="202"/>
      <c r="BK1625" s="202"/>
      <c r="BL1625" s="202"/>
      <c r="BM1625" s="202"/>
      <c r="BN1625" s="202"/>
      <c r="BO1625" s="202"/>
      <c r="BP1625" s="202"/>
      <c r="BQ1625" s="202"/>
      <c r="BR1625" s="202"/>
      <c r="BS1625" s="202"/>
      <c r="BT1625" s="202"/>
      <c r="BU1625" s="202"/>
      <c r="BV1625" s="202"/>
      <c r="BW1625" s="202"/>
      <c r="BX1625" s="202"/>
      <c r="BY1625" s="202"/>
      <c r="BZ1625" s="202"/>
      <c r="CA1625" s="202"/>
      <c r="CB1625" s="202"/>
      <c r="CC1625" s="202"/>
      <c r="CD1625" s="202"/>
      <c r="CE1625" s="202"/>
      <c r="CF1625" s="202"/>
      <c r="CG1625" s="202"/>
      <c r="CH1625" s="202"/>
      <c r="CI1625" s="202"/>
      <c r="CJ1625" s="202"/>
      <c r="CK1625" s="202"/>
      <c r="CL1625" s="202"/>
      <c r="CM1625" s="202"/>
      <c r="CN1625" s="202"/>
      <c r="CO1625" s="202"/>
      <c r="CP1625" s="202"/>
      <c r="CQ1625" s="202"/>
      <c r="CR1625" s="202"/>
      <c r="CS1625" s="202"/>
      <c r="CT1625" s="202"/>
      <c r="CU1625" s="202"/>
      <c r="CV1625" s="202"/>
      <c r="CW1625" s="202"/>
      <c r="CX1625" s="202"/>
      <c r="CY1625" s="202"/>
      <c r="CZ1625" s="202"/>
      <c r="DA1625" s="202"/>
      <c r="DB1625" s="202"/>
      <c r="DC1625" s="202"/>
      <c r="DD1625" s="202"/>
      <c r="DE1625" s="202"/>
      <c r="DF1625" s="202"/>
      <c r="DG1625" s="202"/>
      <c r="DH1625" s="202"/>
      <c r="DI1625" s="202"/>
      <c r="DJ1625" s="202"/>
      <c r="DK1625" s="202"/>
      <c r="DL1625" s="202"/>
      <c r="DM1625" s="202"/>
      <c r="DN1625" s="202"/>
      <c r="DO1625" s="202"/>
      <c r="DP1625" s="202"/>
      <c r="DQ1625" s="202"/>
      <c r="DR1625" s="202"/>
      <c r="DS1625" s="202"/>
      <c r="DT1625" s="202"/>
      <c r="DU1625" s="202"/>
      <c r="DV1625" s="202"/>
      <c r="DW1625" s="202"/>
      <c r="DX1625" s="202"/>
      <c r="DY1625" s="202"/>
      <c r="DZ1625" s="202"/>
      <c r="EA1625" s="202"/>
      <c r="EB1625" s="202"/>
      <c r="EC1625" s="202"/>
      <c r="ED1625" s="202"/>
      <c r="EE1625" s="202"/>
      <c r="EF1625" s="202"/>
      <c r="EG1625" s="202"/>
      <c r="EH1625" s="202"/>
      <c r="EI1625" s="202"/>
      <c r="EJ1625" s="202"/>
      <c r="EK1625" s="202"/>
      <c r="EL1625" s="202"/>
      <c r="EM1625" s="202"/>
      <c r="EN1625" s="202"/>
      <c r="EO1625" s="202"/>
      <c r="EP1625" s="202"/>
      <c r="EQ1625" s="202"/>
      <c r="ER1625" s="202"/>
      <c r="ES1625" s="202"/>
    </row>
    <row r="1626" spans="1:149" s="182" customFormat="1" ht="14.15" hidden="1">
      <c r="A1626" s="222">
        <v>45401</v>
      </c>
      <c r="B1626" s="630" t="s">
        <v>1608</v>
      </c>
      <c r="C1626" s="208" t="s">
        <v>27</v>
      </c>
      <c r="D1626" s="592">
        <v>9800305</v>
      </c>
      <c r="E1626" s="619">
        <v>45383</v>
      </c>
      <c r="F1626" s="201" t="s">
        <v>109</v>
      </c>
      <c r="G1626" s="208" t="s">
        <v>120</v>
      </c>
      <c r="H1626" s="201"/>
      <c r="I1626" s="201"/>
      <c r="J1626" s="202"/>
      <c r="K1626" s="202"/>
      <c r="L1626" s="202"/>
      <c r="M1626" s="202"/>
      <c r="N1626" s="202"/>
      <c r="O1626" s="202"/>
      <c r="P1626" s="202"/>
      <c r="Q1626" s="202"/>
      <c r="R1626" s="202"/>
      <c r="S1626" s="202"/>
      <c r="T1626" s="202"/>
      <c r="U1626" s="202"/>
      <c r="V1626" s="202"/>
      <c r="W1626" s="202"/>
      <c r="X1626" s="202"/>
      <c r="Y1626" s="202"/>
      <c r="Z1626" s="202"/>
      <c r="AA1626" s="202"/>
      <c r="AB1626" s="202"/>
      <c r="AC1626" s="202"/>
      <c r="AD1626" s="202"/>
      <c r="AE1626" s="202"/>
      <c r="AF1626" s="202"/>
      <c r="AG1626" s="202"/>
      <c r="AH1626" s="202"/>
      <c r="AI1626" s="202"/>
      <c r="AJ1626" s="202"/>
      <c r="AK1626" s="202"/>
      <c r="AL1626" s="202"/>
      <c r="AM1626" s="202"/>
      <c r="AN1626" s="202"/>
      <c r="AO1626" s="202"/>
      <c r="AP1626" s="202"/>
      <c r="AQ1626" s="202"/>
      <c r="AR1626" s="202"/>
      <c r="AS1626" s="202"/>
      <c r="AT1626" s="202"/>
      <c r="AU1626" s="202"/>
      <c r="AV1626" s="202"/>
      <c r="AW1626" s="202"/>
      <c r="AX1626" s="202"/>
      <c r="AY1626" s="202"/>
      <c r="AZ1626" s="202"/>
      <c r="BA1626" s="202"/>
      <c r="BB1626" s="202"/>
      <c r="BC1626" s="202"/>
      <c r="BD1626" s="202"/>
      <c r="BE1626" s="202"/>
      <c r="BF1626" s="202"/>
      <c r="BG1626" s="202"/>
      <c r="BH1626" s="202"/>
      <c r="BI1626" s="202"/>
      <c r="BJ1626" s="202"/>
      <c r="BK1626" s="202"/>
      <c r="BL1626" s="202"/>
      <c r="BM1626" s="202"/>
      <c r="BN1626" s="202"/>
      <c r="BO1626" s="202"/>
      <c r="BP1626" s="202"/>
      <c r="BQ1626" s="202"/>
      <c r="BR1626" s="202"/>
      <c r="BS1626" s="202"/>
      <c r="BT1626" s="202"/>
      <c r="BU1626" s="202"/>
      <c r="BV1626" s="202"/>
      <c r="BW1626" s="202"/>
      <c r="BX1626" s="202"/>
      <c r="BY1626" s="202"/>
      <c r="BZ1626" s="202"/>
      <c r="CA1626" s="202"/>
      <c r="CB1626" s="202"/>
      <c r="CC1626" s="202"/>
      <c r="CD1626" s="202"/>
      <c r="CE1626" s="202"/>
      <c r="CF1626" s="202"/>
      <c r="CG1626" s="202"/>
      <c r="CH1626" s="202"/>
      <c r="CI1626" s="202"/>
      <c r="CJ1626" s="202"/>
      <c r="CK1626" s="202"/>
      <c r="CL1626" s="202"/>
      <c r="CM1626" s="202"/>
      <c r="CN1626" s="202"/>
      <c r="CO1626" s="202"/>
      <c r="CP1626" s="202"/>
      <c r="CQ1626" s="202"/>
      <c r="CR1626" s="202"/>
      <c r="CS1626" s="202"/>
      <c r="CT1626" s="202"/>
      <c r="CU1626" s="202"/>
      <c r="CV1626" s="202"/>
      <c r="CW1626" s="202"/>
      <c r="CX1626" s="202"/>
      <c r="CY1626" s="202"/>
      <c r="CZ1626" s="202"/>
      <c r="DA1626" s="202"/>
      <c r="DB1626" s="202"/>
      <c r="DC1626" s="202"/>
      <c r="DD1626" s="202"/>
      <c r="DE1626" s="202"/>
      <c r="DF1626" s="202"/>
      <c r="DG1626" s="202"/>
      <c r="DH1626" s="202"/>
      <c r="DI1626" s="202"/>
      <c r="DJ1626" s="202"/>
      <c r="DK1626" s="202"/>
      <c r="DL1626" s="202"/>
      <c r="DM1626" s="202"/>
      <c r="DN1626" s="202"/>
      <c r="DO1626" s="202"/>
      <c r="DP1626" s="202"/>
      <c r="DQ1626" s="202"/>
      <c r="DR1626" s="202"/>
      <c r="DS1626" s="202"/>
      <c r="DT1626" s="202"/>
      <c r="DU1626" s="202"/>
      <c r="DV1626" s="202"/>
      <c r="DW1626" s="202"/>
      <c r="DX1626" s="202"/>
      <c r="DY1626" s="202"/>
      <c r="DZ1626" s="202"/>
      <c r="EA1626" s="202"/>
      <c r="EB1626" s="202"/>
      <c r="EC1626" s="202"/>
      <c r="ED1626" s="202"/>
      <c r="EE1626" s="202"/>
      <c r="EF1626" s="202"/>
      <c r="EG1626" s="202"/>
      <c r="EH1626" s="202"/>
      <c r="EI1626" s="202"/>
      <c r="EJ1626" s="202"/>
      <c r="EK1626" s="202"/>
      <c r="EL1626" s="202"/>
      <c r="EM1626" s="202"/>
      <c r="EN1626" s="202"/>
      <c r="EO1626" s="202"/>
      <c r="EP1626" s="202"/>
      <c r="EQ1626" s="202"/>
      <c r="ER1626" s="202"/>
      <c r="ES1626" s="202"/>
    </row>
    <row r="1627" spans="1:149" s="182" customFormat="1" ht="14.15" hidden="1">
      <c r="A1627" s="222">
        <v>45394</v>
      </c>
      <c r="B1627" s="630" t="s">
        <v>1609</v>
      </c>
      <c r="C1627" s="208" t="s">
        <v>27</v>
      </c>
      <c r="D1627" s="592">
        <v>362133</v>
      </c>
      <c r="E1627" s="619">
        <v>45383</v>
      </c>
      <c r="F1627" s="201" t="s">
        <v>130</v>
      </c>
      <c r="G1627" s="201" t="s">
        <v>130</v>
      </c>
      <c r="H1627" s="201" t="s">
        <v>1175</v>
      </c>
      <c r="I1627" s="201"/>
      <c r="J1627" s="202"/>
      <c r="K1627" s="202"/>
      <c r="L1627" s="202"/>
      <c r="M1627" s="202"/>
      <c r="N1627" s="202"/>
      <c r="O1627" s="202"/>
      <c r="P1627" s="202"/>
      <c r="Q1627" s="202"/>
      <c r="R1627" s="202"/>
      <c r="S1627" s="202"/>
      <c r="T1627" s="202"/>
      <c r="U1627" s="202"/>
      <c r="V1627" s="202"/>
      <c r="W1627" s="202"/>
      <c r="X1627" s="202"/>
      <c r="Y1627" s="202"/>
      <c r="Z1627" s="202"/>
      <c r="AA1627" s="202"/>
      <c r="AB1627" s="202"/>
      <c r="AC1627" s="202"/>
      <c r="AD1627" s="202"/>
      <c r="AE1627" s="202"/>
      <c r="AF1627" s="202"/>
      <c r="AG1627" s="202"/>
      <c r="AH1627" s="202"/>
      <c r="AI1627" s="202"/>
      <c r="AJ1627" s="202"/>
      <c r="AK1627" s="202"/>
      <c r="AL1627" s="202"/>
      <c r="AM1627" s="202"/>
      <c r="AN1627" s="202"/>
      <c r="AO1627" s="202"/>
      <c r="AP1627" s="202"/>
      <c r="AQ1627" s="202"/>
      <c r="AR1627" s="202"/>
      <c r="AS1627" s="202"/>
      <c r="AT1627" s="202"/>
      <c r="AU1627" s="202"/>
      <c r="AV1627" s="202"/>
      <c r="AW1627" s="202"/>
      <c r="AX1627" s="202"/>
      <c r="AY1627" s="202"/>
      <c r="AZ1627" s="202"/>
      <c r="BA1627" s="202"/>
      <c r="BB1627" s="202"/>
      <c r="BC1627" s="202"/>
      <c r="BD1627" s="202"/>
      <c r="BE1627" s="202"/>
      <c r="BF1627" s="202"/>
      <c r="BG1627" s="202"/>
      <c r="BH1627" s="202"/>
      <c r="BI1627" s="202"/>
      <c r="BJ1627" s="202"/>
      <c r="BK1627" s="202"/>
      <c r="BL1627" s="202"/>
      <c r="BM1627" s="202"/>
      <c r="BN1627" s="202"/>
      <c r="BO1627" s="202"/>
      <c r="BP1627" s="202"/>
      <c r="BQ1627" s="202"/>
      <c r="BR1627" s="202"/>
      <c r="BS1627" s="202"/>
      <c r="BT1627" s="202"/>
      <c r="BU1627" s="202"/>
      <c r="BV1627" s="202"/>
      <c r="BW1627" s="202"/>
      <c r="BX1627" s="202"/>
      <c r="BY1627" s="202"/>
      <c r="BZ1627" s="202"/>
      <c r="CA1627" s="202"/>
      <c r="CB1627" s="202"/>
      <c r="CC1627" s="202"/>
      <c r="CD1627" s="202"/>
      <c r="CE1627" s="202"/>
      <c r="CF1627" s="202"/>
      <c r="CG1627" s="202"/>
      <c r="CH1627" s="202"/>
      <c r="CI1627" s="202"/>
      <c r="CJ1627" s="202"/>
      <c r="CK1627" s="202"/>
      <c r="CL1627" s="202"/>
      <c r="CM1627" s="202"/>
      <c r="CN1627" s="202"/>
      <c r="CO1627" s="202"/>
      <c r="CP1627" s="202"/>
      <c r="CQ1627" s="202"/>
      <c r="CR1627" s="202"/>
      <c r="CS1627" s="202"/>
      <c r="CT1627" s="202"/>
      <c r="CU1627" s="202"/>
      <c r="CV1627" s="202"/>
      <c r="CW1627" s="202"/>
      <c r="CX1627" s="202"/>
      <c r="CY1627" s="202"/>
      <c r="CZ1627" s="202"/>
      <c r="DA1627" s="202"/>
      <c r="DB1627" s="202"/>
      <c r="DC1627" s="202"/>
      <c r="DD1627" s="202"/>
      <c r="DE1627" s="202"/>
      <c r="DF1627" s="202"/>
      <c r="DG1627" s="202"/>
      <c r="DH1627" s="202"/>
      <c r="DI1627" s="202"/>
      <c r="DJ1627" s="202"/>
      <c r="DK1627" s="202"/>
      <c r="DL1627" s="202"/>
      <c r="DM1627" s="202"/>
      <c r="DN1627" s="202"/>
      <c r="DO1627" s="202"/>
      <c r="DP1627" s="202"/>
      <c r="DQ1627" s="202"/>
      <c r="DR1627" s="202"/>
      <c r="DS1627" s="202"/>
      <c r="DT1627" s="202"/>
      <c r="DU1627" s="202"/>
      <c r="DV1627" s="202"/>
      <c r="DW1627" s="202"/>
      <c r="DX1627" s="202"/>
      <c r="DY1627" s="202"/>
      <c r="DZ1627" s="202"/>
      <c r="EA1627" s="202"/>
      <c r="EB1627" s="202"/>
      <c r="EC1627" s="202"/>
      <c r="ED1627" s="202"/>
      <c r="EE1627" s="202"/>
      <c r="EF1627" s="202"/>
      <c r="EG1627" s="202"/>
      <c r="EH1627" s="202"/>
      <c r="EI1627" s="202"/>
      <c r="EJ1627" s="202"/>
      <c r="EK1627" s="202"/>
      <c r="EL1627" s="202"/>
      <c r="EM1627" s="202"/>
      <c r="EN1627" s="202"/>
      <c r="EO1627" s="202"/>
      <c r="EP1627" s="202"/>
      <c r="EQ1627" s="202"/>
      <c r="ER1627" s="202"/>
      <c r="ES1627" s="202"/>
    </row>
    <row r="1628" spans="1:149" s="182" customFormat="1" ht="14.15" hidden="1">
      <c r="A1628" s="222">
        <v>45408</v>
      </c>
      <c r="B1628" s="201" t="s">
        <v>1610</v>
      </c>
      <c r="C1628" s="208" t="s">
        <v>27</v>
      </c>
      <c r="D1628" s="592">
        <v>67125817</v>
      </c>
      <c r="E1628" s="619">
        <v>45383</v>
      </c>
      <c r="F1628" s="201" t="s">
        <v>109</v>
      </c>
      <c r="G1628" s="208" t="s">
        <v>383</v>
      </c>
      <c r="H1628" s="201"/>
      <c r="I1628" s="201"/>
      <c r="J1628" s="202"/>
      <c r="K1628" s="202"/>
      <c r="L1628" s="202"/>
      <c r="M1628" s="202"/>
      <c r="N1628" s="202"/>
      <c r="O1628" s="202"/>
      <c r="P1628" s="202"/>
      <c r="Q1628" s="202"/>
      <c r="R1628" s="202"/>
      <c r="S1628" s="202"/>
      <c r="T1628" s="202"/>
      <c r="U1628" s="202"/>
      <c r="V1628" s="202"/>
      <c r="W1628" s="202"/>
      <c r="X1628" s="202"/>
      <c r="Y1628" s="202"/>
      <c r="Z1628" s="202"/>
      <c r="AA1628" s="202"/>
      <c r="AB1628" s="202"/>
      <c r="AC1628" s="202"/>
      <c r="AD1628" s="202"/>
      <c r="AE1628" s="202"/>
      <c r="AF1628" s="202"/>
      <c r="AG1628" s="202"/>
      <c r="AH1628" s="202"/>
      <c r="AI1628" s="202"/>
      <c r="AJ1628" s="202"/>
      <c r="AK1628" s="202"/>
      <c r="AL1628" s="202"/>
      <c r="AM1628" s="202"/>
      <c r="AN1628" s="202"/>
      <c r="AO1628" s="202"/>
      <c r="AP1628" s="202"/>
      <c r="AQ1628" s="202"/>
      <c r="AR1628" s="202"/>
      <c r="AS1628" s="202"/>
      <c r="AT1628" s="202"/>
      <c r="AU1628" s="202"/>
      <c r="AV1628" s="202"/>
      <c r="AW1628" s="202"/>
      <c r="AX1628" s="202"/>
      <c r="AY1628" s="202"/>
      <c r="AZ1628" s="202"/>
      <c r="BA1628" s="202"/>
      <c r="BB1628" s="202"/>
      <c r="BC1628" s="202"/>
      <c r="BD1628" s="202"/>
      <c r="BE1628" s="202"/>
      <c r="BF1628" s="202"/>
      <c r="BG1628" s="202"/>
      <c r="BH1628" s="202"/>
      <c r="BI1628" s="202"/>
      <c r="BJ1628" s="202"/>
      <c r="BK1628" s="202"/>
      <c r="BL1628" s="202"/>
      <c r="BM1628" s="202"/>
      <c r="BN1628" s="202"/>
      <c r="BO1628" s="202"/>
      <c r="BP1628" s="202"/>
      <c r="BQ1628" s="202"/>
      <c r="BR1628" s="202"/>
      <c r="BS1628" s="202"/>
      <c r="BT1628" s="202"/>
      <c r="BU1628" s="202"/>
      <c r="BV1628" s="202"/>
      <c r="BW1628" s="202"/>
      <c r="BX1628" s="202"/>
      <c r="BY1628" s="202"/>
      <c r="BZ1628" s="202"/>
      <c r="CA1628" s="202"/>
      <c r="CB1628" s="202"/>
      <c r="CC1628" s="202"/>
      <c r="CD1628" s="202"/>
      <c r="CE1628" s="202"/>
      <c r="CF1628" s="202"/>
      <c r="CG1628" s="202"/>
      <c r="CH1628" s="202"/>
      <c r="CI1628" s="202"/>
      <c r="CJ1628" s="202"/>
      <c r="CK1628" s="202"/>
      <c r="CL1628" s="202"/>
      <c r="CM1628" s="202"/>
      <c r="CN1628" s="202"/>
      <c r="CO1628" s="202"/>
      <c r="CP1628" s="202"/>
      <c r="CQ1628" s="202"/>
      <c r="CR1628" s="202"/>
      <c r="CS1628" s="202"/>
      <c r="CT1628" s="202"/>
      <c r="CU1628" s="202"/>
      <c r="CV1628" s="202"/>
      <c r="CW1628" s="202"/>
      <c r="CX1628" s="202"/>
      <c r="CY1628" s="202"/>
      <c r="CZ1628" s="202"/>
      <c r="DA1628" s="202"/>
      <c r="DB1628" s="202"/>
      <c r="DC1628" s="202"/>
      <c r="DD1628" s="202"/>
      <c r="DE1628" s="202"/>
      <c r="DF1628" s="202"/>
      <c r="DG1628" s="202"/>
      <c r="DH1628" s="202"/>
      <c r="DI1628" s="202"/>
      <c r="DJ1628" s="202"/>
      <c r="DK1628" s="202"/>
      <c r="DL1628" s="202"/>
      <c r="DM1628" s="202"/>
      <c r="DN1628" s="202"/>
      <c r="DO1628" s="202"/>
      <c r="DP1628" s="202"/>
      <c r="DQ1628" s="202"/>
      <c r="DR1628" s="202"/>
      <c r="DS1628" s="202"/>
      <c r="DT1628" s="202"/>
      <c r="DU1628" s="202"/>
      <c r="DV1628" s="202"/>
      <c r="DW1628" s="202"/>
      <c r="DX1628" s="202"/>
      <c r="DY1628" s="202"/>
      <c r="DZ1628" s="202"/>
      <c r="EA1628" s="202"/>
      <c r="EB1628" s="202"/>
      <c r="EC1628" s="202"/>
      <c r="ED1628" s="202"/>
      <c r="EE1628" s="202"/>
      <c r="EF1628" s="202"/>
      <c r="EG1628" s="202"/>
      <c r="EH1628" s="202"/>
      <c r="EI1628" s="202"/>
      <c r="EJ1628" s="202"/>
      <c r="EK1628" s="202"/>
      <c r="EL1628" s="202"/>
      <c r="EM1628" s="202"/>
      <c r="EN1628" s="202"/>
      <c r="EO1628" s="202"/>
      <c r="EP1628" s="202"/>
      <c r="EQ1628" s="202"/>
      <c r="ER1628" s="202"/>
      <c r="ES1628" s="202"/>
    </row>
    <row r="1629" spans="1:149" s="182" customFormat="1" ht="14.15" hidden="1">
      <c r="A1629" s="222">
        <v>45392</v>
      </c>
      <c r="B1629" s="201" t="s">
        <v>1611</v>
      </c>
      <c r="C1629" s="208" t="s">
        <v>27</v>
      </c>
      <c r="D1629" s="592">
        <v>15986163</v>
      </c>
      <c r="E1629" s="619">
        <v>45383</v>
      </c>
      <c r="F1629" s="201" t="s">
        <v>109</v>
      </c>
      <c r="G1629" s="208" t="s">
        <v>414</v>
      </c>
      <c r="H1629" s="201"/>
      <c r="I1629" s="201"/>
      <c r="J1629" s="202"/>
      <c r="K1629" s="202"/>
      <c r="L1629" s="202"/>
      <c r="M1629" s="202"/>
      <c r="N1629" s="202"/>
      <c r="O1629" s="202"/>
      <c r="P1629" s="202"/>
      <c r="Q1629" s="202"/>
      <c r="R1629" s="202"/>
      <c r="S1629" s="202"/>
      <c r="T1629" s="202"/>
    </row>
    <row r="1630" spans="1:149" s="182" customFormat="1" ht="14.15" hidden="1">
      <c r="A1630" s="222">
        <v>45392</v>
      </c>
      <c r="B1630" s="201" t="s">
        <v>1611</v>
      </c>
      <c r="C1630" s="208" t="s">
        <v>27</v>
      </c>
      <c r="D1630" s="592">
        <v>19151346</v>
      </c>
      <c r="E1630" s="619">
        <v>45383</v>
      </c>
      <c r="F1630" s="201" t="s">
        <v>109</v>
      </c>
      <c r="G1630" s="208" t="s">
        <v>168</v>
      </c>
      <c r="H1630" s="201"/>
      <c r="I1630" s="201"/>
      <c r="J1630" s="202"/>
      <c r="K1630" s="202"/>
      <c r="L1630" s="202"/>
      <c r="M1630" s="202"/>
      <c r="N1630" s="202"/>
      <c r="O1630" s="202"/>
      <c r="P1630" s="202"/>
      <c r="Q1630" s="202"/>
      <c r="R1630" s="202"/>
      <c r="S1630" s="202"/>
      <c r="T1630" s="202"/>
    </row>
    <row r="1631" spans="1:149" s="182" customFormat="1" ht="14.15" hidden="1">
      <c r="A1631" s="222">
        <v>45408</v>
      </c>
      <c r="B1631" s="201" t="s">
        <v>1612</v>
      </c>
      <c r="C1631" s="208" t="s">
        <v>27</v>
      </c>
      <c r="D1631" s="592">
        <v>9825039.8900000006</v>
      </c>
      <c r="E1631" s="619">
        <v>45383</v>
      </c>
      <c r="F1631" s="201" t="s">
        <v>108</v>
      </c>
      <c r="G1631" s="201"/>
      <c r="H1631" s="201"/>
      <c r="I1631" s="201"/>
      <c r="J1631" s="202"/>
      <c r="K1631" s="202"/>
      <c r="L1631" s="202"/>
      <c r="M1631" s="202"/>
      <c r="N1631" s="202"/>
      <c r="O1631" s="202"/>
      <c r="P1631" s="202"/>
      <c r="Q1631" s="202"/>
      <c r="R1631" s="202"/>
      <c r="S1631" s="202"/>
      <c r="T1631" s="202"/>
      <c r="U1631" s="202"/>
      <c r="V1631" s="202"/>
      <c r="W1631" s="202"/>
      <c r="X1631" s="202"/>
      <c r="Y1631" s="202"/>
      <c r="Z1631" s="202"/>
      <c r="AA1631" s="202"/>
      <c r="AB1631" s="202"/>
      <c r="AC1631" s="202"/>
      <c r="AD1631" s="202"/>
      <c r="AE1631" s="202"/>
      <c r="AF1631" s="202"/>
      <c r="AG1631" s="202"/>
      <c r="AH1631" s="202"/>
      <c r="AI1631" s="202"/>
      <c r="AJ1631" s="202"/>
      <c r="AK1631" s="202"/>
      <c r="AL1631" s="202"/>
      <c r="AM1631" s="202"/>
      <c r="AN1631" s="202"/>
      <c r="AO1631" s="202"/>
      <c r="AP1631" s="202"/>
      <c r="AQ1631" s="202"/>
      <c r="AR1631" s="202"/>
      <c r="AS1631" s="202"/>
      <c r="AT1631" s="202"/>
      <c r="AU1631" s="202"/>
      <c r="AV1631" s="202"/>
      <c r="AW1631" s="202"/>
      <c r="AX1631" s="202"/>
      <c r="AY1631" s="202"/>
      <c r="AZ1631" s="202"/>
      <c r="BA1631" s="202"/>
      <c r="BB1631" s="202"/>
      <c r="BC1631" s="202"/>
      <c r="BD1631" s="202"/>
      <c r="BE1631" s="202"/>
      <c r="BF1631" s="202"/>
      <c r="BG1631" s="202"/>
      <c r="BH1631" s="202"/>
      <c r="BI1631" s="202"/>
      <c r="BJ1631" s="202"/>
      <c r="BK1631" s="202"/>
      <c r="BL1631" s="202"/>
      <c r="BM1631" s="202"/>
      <c r="BN1631" s="202"/>
      <c r="BO1631" s="202"/>
      <c r="BP1631" s="202"/>
      <c r="BQ1631" s="202"/>
      <c r="BR1631" s="202"/>
      <c r="BS1631" s="202"/>
      <c r="BT1631" s="202"/>
      <c r="BU1631" s="202"/>
      <c r="BV1631" s="202"/>
      <c r="BW1631" s="202"/>
      <c r="BX1631" s="202"/>
      <c r="BY1631" s="202"/>
      <c r="BZ1631" s="202"/>
      <c r="CA1631" s="202"/>
      <c r="CB1631" s="202"/>
      <c r="CC1631" s="202"/>
      <c r="CD1631" s="202"/>
      <c r="CE1631" s="202"/>
      <c r="CF1631" s="202"/>
      <c r="CG1631" s="202"/>
      <c r="CH1631" s="202"/>
      <c r="CI1631" s="202"/>
      <c r="CJ1631" s="202"/>
      <c r="CK1631" s="202"/>
      <c r="CL1631" s="202"/>
      <c r="CM1631" s="202"/>
      <c r="CN1631" s="202"/>
      <c r="CO1631" s="202"/>
      <c r="CP1631" s="202"/>
      <c r="CQ1631" s="202"/>
      <c r="CR1631" s="202"/>
      <c r="CS1631" s="202"/>
      <c r="CT1631" s="202"/>
      <c r="CU1631" s="202"/>
      <c r="CV1631" s="202"/>
      <c r="CW1631" s="202"/>
      <c r="CX1631" s="202"/>
      <c r="CY1631" s="202"/>
      <c r="CZ1631" s="202"/>
      <c r="DA1631" s="202"/>
      <c r="DB1631" s="202"/>
      <c r="DC1631" s="202"/>
      <c r="DD1631" s="202"/>
      <c r="DE1631" s="202"/>
      <c r="DF1631" s="202"/>
      <c r="DG1631" s="202"/>
      <c r="DH1631" s="202"/>
      <c r="DI1631" s="202"/>
      <c r="DJ1631" s="202"/>
      <c r="DK1631" s="202"/>
      <c r="DL1631" s="202"/>
      <c r="DM1631" s="202"/>
      <c r="DN1631" s="202"/>
      <c r="DO1631" s="202"/>
      <c r="DP1631" s="202"/>
      <c r="DQ1631" s="202"/>
      <c r="DR1631" s="202"/>
      <c r="DS1631" s="202"/>
      <c r="DT1631" s="202"/>
      <c r="DU1631" s="202"/>
      <c r="DV1631" s="202"/>
      <c r="DW1631" s="202"/>
      <c r="DX1631" s="202"/>
      <c r="DY1631" s="202"/>
      <c r="DZ1631" s="202"/>
      <c r="EA1631" s="202"/>
      <c r="EB1631" s="202"/>
      <c r="EC1631" s="202"/>
      <c r="ED1631" s="202"/>
      <c r="EE1631" s="202"/>
      <c r="EF1631" s="202"/>
      <c r="EG1631" s="202"/>
      <c r="EH1631" s="202"/>
      <c r="EI1631" s="202"/>
      <c r="EJ1631" s="202"/>
      <c r="EK1631" s="202"/>
      <c r="EL1631" s="202"/>
      <c r="EM1631" s="202"/>
      <c r="EN1631" s="202"/>
      <c r="EO1631" s="202"/>
      <c r="EP1631" s="202"/>
      <c r="EQ1631" s="202"/>
      <c r="ER1631" s="202"/>
      <c r="ES1631" s="202"/>
    </row>
    <row r="1632" spans="1:149" s="182" customFormat="1" ht="14.15" hidden="1">
      <c r="A1632" s="222">
        <v>45411</v>
      </c>
      <c r="B1632" s="201" t="s">
        <v>1613</v>
      </c>
      <c r="C1632" s="208" t="s">
        <v>27</v>
      </c>
      <c r="D1632" s="592">
        <v>250000000</v>
      </c>
      <c r="E1632" s="619">
        <v>45383</v>
      </c>
      <c r="F1632" s="84" t="s">
        <v>111</v>
      </c>
      <c r="G1632" s="201"/>
      <c r="H1632" s="201"/>
      <c r="I1632" s="201"/>
      <c r="J1632" s="202"/>
      <c r="K1632" s="202"/>
      <c r="L1632" s="202"/>
      <c r="M1632" s="202"/>
      <c r="N1632" s="202"/>
      <c r="O1632" s="202"/>
      <c r="P1632" s="202"/>
      <c r="Q1632" s="202"/>
      <c r="R1632" s="202"/>
      <c r="S1632" s="202"/>
      <c r="T1632" s="202"/>
      <c r="U1632" s="202"/>
      <c r="V1632" s="202"/>
      <c r="W1632" s="202"/>
      <c r="X1632" s="202"/>
      <c r="Y1632" s="202"/>
      <c r="Z1632" s="202"/>
      <c r="AA1632" s="202"/>
      <c r="AB1632" s="202"/>
      <c r="AC1632" s="202"/>
      <c r="AD1632" s="202"/>
      <c r="AE1632" s="202"/>
      <c r="AF1632" s="202"/>
      <c r="AG1632" s="202"/>
      <c r="AH1632" s="202"/>
      <c r="AI1632" s="202"/>
      <c r="AJ1632" s="202"/>
      <c r="AK1632" s="202"/>
      <c r="AL1632" s="202"/>
      <c r="AM1632" s="202"/>
      <c r="AN1632" s="202"/>
      <c r="AO1632" s="202"/>
      <c r="AP1632" s="202"/>
      <c r="AQ1632" s="202"/>
      <c r="AR1632" s="202"/>
      <c r="AS1632" s="202"/>
      <c r="AT1632" s="202"/>
      <c r="AU1632" s="202"/>
      <c r="AV1632" s="202"/>
      <c r="AW1632" s="202"/>
      <c r="AX1632" s="202"/>
      <c r="AY1632" s="202"/>
      <c r="AZ1632" s="202"/>
      <c r="BA1632" s="202"/>
      <c r="BB1632" s="202"/>
      <c r="BC1632" s="202"/>
      <c r="BD1632" s="202"/>
      <c r="BE1632" s="202"/>
      <c r="BF1632" s="202"/>
      <c r="BG1632" s="202"/>
      <c r="BH1632" s="202"/>
      <c r="BI1632" s="202"/>
      <c r="BJ1632" s="202"/>
      <c r="BK1632" s="202"/>
      <c r="BL1632" s="202"/>
      <c r="BM1632" s="202"/>
      <c r="BN1632" s="202"/>
      <c r="BO1632" s="202"/>
      <c r="BP1632" s="202"/>
      <c r="BQ1632" s="202"/>
      <c r="BR1632" s="202"/>
      <c r="BS1632" s="202"/>
      <c r="BT1632" s="202"/>
      <c r="BU1632" s="202"/>
      <c r="BV1632" s="202"/>
      <c r="BW1632" s="202"/>
      <c r="BX1632" s="202"/>
      <c r="BY1632" s="202"/>
      <c r="BZ1632" s="202"/>
      <c r="CA1632" s="202"/>
      <c r="CB1632" s="202"/>
      <c r="CC1632" s="202"/>
      <c r="CD1632" s="202"/>
      <c r="CE1632" s="202"/>
      <c r="CF1632" s="202"/>
      <c r="CG1632" s="202"/>
      <c r="CH1632" s="202"/>
      <c r="CI1632" s="202"/>
      <c r="CJ1632" s="202"/>
      <c r="CK1632" s="202"/>
      <c r="CL1632" s="202"/>
      <c r="CM1632" s="202"/>
      <c r="CN1632" s="202"/>
      <c r="CO1632" s="202"/>
      <c r="CP1632" s="202"/>
      <c r="CQ1632" s="202"/>
      <c r="CR1632" s="202"/>
      <c r="CS1632" s="202"/>
      <c r="CT1632" s="202"/>
      <c r="CU1632" s="202"/>
      <c r="CV1632" s="202"/>
      <c r="CW1632" s="202"/>
      <c r="CX1632" s="202"/>
      <c r="CY1632" s="202"/>
      <c r="CZ1632" s="202"/>
      <c r="DA1632" s="202"/>
      <c r="DB1632" s="202"/>
      <c r="DC1632" s="202"/>
      <c r="DD1632" s="202"/>
      <c r="DE1632" s="202"/>
      <c r="DF1632" s="202"/>
      <c r="DG1632" s="202"/>
      <c r="DH1632" s="202"/>
      <c r="DI1632" s="202"/>
      <c r="DJ1632" s="202"/>
      <c r="DK1632" s="202"/>
      <c r="DL1632" s="202"/>
      <c r="DM1632" s="202"/>
      <c r="DN1632" s="202"/>
      <c r="DO1632" s="202"/>
      <c r="DP1632" s="202"/>
      <c r="DQ1632" s="202"/>
      <c r="DR1632" s="202"/>
      <c r="DS1632" s="202"/>
      <c r="DT1632" s="202"/>
      <c r="DU1632" s="202"/>
      <c r="DV1632" s="202"/>
      <c r="DW1632" s="202"/>
      <c r="DX1632" s="202"/>
      <c r="DY1632" s="202"/>
      <c r="DZ1632" s="202"/>
      <c r="EA1632" s="202"/>
      <c r="EB1632" s="202"/>
      <c r="EC1632" s="202"/>
      <c r="ED1632" s="202"/>
      <c r="EE1632" s="202"/>
      <c r="EF1632" s="202"/>
      <c r="EG1632" s="202"/>
      <c r="EH1632" s="202"/>
      <c r="EI1632" s="202"/>
      <c r="EJ1632" s="202"/>
      <c r="EK1632" s="202"/>
      <c r="EL1632" s="202"/>
      <c r="EM1632" s="202"/>
      <c r="EN1632" s="202"/>
      <c r="EO1632" s="202"/>
      <c r="EP1632" s="202"/>
      <c r="EQ1632" s="202"/>
      <c r="ER1632" s="202"/>
      <c r="ES1632" s="202"/>
    </row>
    <row r="1633" spans="1:149" s="182" customFormat="1" ht="14.15" hidden="1">
      <c r="A1633" s="222">
        <v>45411</v>
      </c>
      <c r="B1633" s="201" t="s">
        <v>1614</v>
      </c>
      <c r="C1633" s="208" t="s">
        <v>27</v>
      </c>
      <c r="D1633" s="592">
        <v>-13472750</v>
      </c>
      <c r="E1633" s="619">
        <v>45383</v>
      </c>
      <c r="F1633" s="84" t="s">
        <v>111</v>
      </c>
      <c r="G1633" s="201"/>
      <c r="H1633" s="201"/>
      <c r="I1633" s="201"/>
      <c r="J1633" s="202"/>
      <c r="K1633" s="202"/>
      <c r="L1633" s="202"/>
      <c r="M1633" s="202"/>
      <c r="N1633" s="202"/>
      <c r="O1633" s="202"/>
      <c r="P1633" s="202"/>
      <c r="Q1633" s="202"/>
      <c r="R1633" s="202"/>
      <c r="S1633" s="202"/>
      <c r="T1633" s="202"/>
      <c r="U1633" s="202"/>
      <c r="V1633" s="202"/>
      <c r="W1633" s="202"/>
      <c r="X1633" s="202"/>
      <c r="Y1633" s="202"/>
      <c r="Z1633" s="202"/>
      <c r="AA1633" s="202"/>
      <c r="AB1633" s="202"/>
      <c r="AC1633" s="202"/>
      <c r="AD1633" s="202"/>
      <c r="AE1633" s="202"/>
      <c r="AF1633" s="202"/>
      <c r="AG1633" s="202"/>
      <c r="AH1633" s="202"/>
      <c r="AI1633" s="202"/>
      <c r="AJ1633" s="202"/>
      <c r="AK1633" s="202"/>
      <c r="AL1633" s="202"/>
      <c r="AM1633" s="202"/>
      <c r="AN1633" s="202"/>
      <c r="AO1633" s="202"/>
      <c r="AP1633" s="202"/>
      <c r="AQ1633" s="202"/>
      <c r="AR1633" s="202"/>
      <c r="AS1633" s="202"/>
      <c r="AT1633" s="202"/>
      <c r="AU1633" s="202"/>
      <c r="AV1633" s="202"/>
      <c r="AW1633" s="202"/>
      <c r="AX1633" s="202"/>
      <c r="AY1633" s="202"/>
      <c r="AZ1633" s="202"/>
      <c r="BA1633" s="202"/>
      <c r="BB1633" s="202"/>
      <c r="BC1633" s="202"/>
      <c r="BD1633" s="202"/>
      <c r="BE1633" s="202"/>
      <c r="BF1633" s="202"/>
      <c r="BG1633" s="202"/>
      <c r="BH1633" s="202"/>
      <c r="BI1633" s="202"/>
      <c r="BJ1633" s="202"/>
      <c r="BK1633" s="202"/>
      <c r="BL1633" s="202"/>
      <c r="BM1633" s="202"/>
      <c r="BN1633" s="202"/>
      <c r="BO1633" s="202"/>
      <c r="BP1633" s="202"/>
      <c r="BQ1633" s="202"/>
      <c r="BR1633" s="202"/>
      <c r="BS1633" s="202"/>
      <c r="BT1633" s="202"/>
      <c r="BU1633" s="202"/>
      <c r="BV1633" s="202"/>
      <c r="BW1633" s="202"/>
      <c r="BX1633" s="202"/>
      <c r="BY1633" s="202"/>
      <c r="BZ1633" s="202"/>
      <c r="CA1633" s="202"/>
      <c r="CB1633" s="202"/>
      <c r="CC1633" s="202"/>
      <c r="CD1633" s="202"/>
      <c r="CE1633" s="202"/>
      <c r="CF1633" s="202"/>
      <c r="CG1633" s="202"/>
      <c r="CH1633" s="202"/>
      <c r="CI1633" s="202"/>
      <c r="CJ1633" s="202"/>
      <c r="CK1633" s="202"/>
      <c r="CL1633" s="202"/>
      <c r="CM1633" s="202"/>
      <c r="CN1633" s="202"/>
      <c r="CO1633" s="202"/>
      <c r="CP1633" s="202"/>
      <c r="CQ1633" s="202"/>
      <c r="CR1633" s="202"/>
      <c r="CS1633" s="202"/>
      <c r="CT1633" s="202"/>
      <c r="CU1633" s="202"/>
      <c r="CV1633" s="202"/>
      <c r="CW1633" s="202"/>
      <c r="CX1633" s="202"/>
      <c r="CY1633" s="202"/>
      <c r="CZ1633" s="202"/>
      <c r="DA1633" s="202"/>
      <c r="DB1633" s="202"/>
      <c r="DC1633" s="202"/>
      <c r="DD1633" s="202"/>
      <c r="DE1633" s="202"/>
      <c r="DF1633" s="202"/>
      <c r="DG1633" s="202"/>
      <c r="DH1633" s="202"/>
      <c r="DI1633" s="202"/>
      <c r="DJ1633" s="202"/>
      <c r="DK1633" s="202"/>
      <c r="DL1633" s="202"/>
      <c r="DM1633" s="202"/>
      <c r="DN1633" s="202"/>
      <c r="DO1633" s="202"/>
      <c r="DP1633" s="202"/>
      <c r="DQ1633" s="202"/>
      <c r="DR1633" s="202"/>
      <c r="DS1633" s="202"/>
      <c r="DT1633" s="202"/>
      <c r="DU1633" s="202"/>
      <c r="DV1633" s="202"/>
      <c r="DW1633" s="202"/>
      <c r="DX1633" s="202"/>
      <c r="DY1633" s="202"/>
      <c r="DZ1633" s="202"/>
      <c r="EA1633" s="202"/>
      <c r="EB1633" s="202"/>
      <c r="EC1633" s="202"/>
      <c r="ED1633" s="202"/>
      <c r="EE1633" s="202"/>
      <c r="EF1633" s="202"/>
      <c r="EG1633" s="202"/>
      <c r="EH1633" s="202"/>
      <c r="EI1633" s="202"/>
      <c r="EJ1633" s="202"/>
      <c r="EK1633" s="202"/>
      <c r="EL1633" s="202"/>
      <c r="EM1633" s="202"/>
      <c r="EN1633" s="202"/>
      <c r="EO1633" s="202"/>
      <c r="EP1633" s="202"/>
      <c r="EQ1633" s="202"/>
      <c r="ER1633" s="202"/>
      <c r="ES1633" s="202"/>
    </row>
    <row r="1634" spans="1:149" s="182" customFormat="1" ht="14.15" hidden="1">
      <c r="A1634" s="222">
        <v>45390</v>
      </c>
      <c r="B1634" s="201" t="s">
        <v>1615</v>
      </c>
      <c r="C1634" s="208" t="s">
        <v>27</v>
      </c>
      <c r="D1634" s="592">
        <v>-500000</v>
      </c>
      <c r="E1634" s="619">
        <v>45383</v>
      </c>
      <c r="F1634" s="201" t="s">
        <v>109</v>
      </c>
      <c r="G1634" s="201" t="s">
        <v>918</v>
      </c>
      <c r="H1634" s="208" t="s">
        <v>147</v>
      </c>
      <c r="I1634" s="201"/>
      <c r="J1634" s="202"/>
      <c r="K1634" s="202"/>
      <c r="L1634" s="202"/>
      <c r="M1634" s="202"/>
      <c r="N1634" s="202"/>
      <c r="O1634" s="202"/>
      <c r="P1634" s="202"/>
      <c r="Q1634" s="202"/>
      <c r="R1634" s="202"/>
      <c r="S1634" s="202"/>
      <c r="T1634" s="202"/>
    </row>
    <row r="1635" spans="1:149" s="182" customFormat="1" ht="14.15" hidden="1">
      <c r="A1635" s="222">
        <v>45390</v>
      </c>
      <c r="B1635" s="201" t="s">
        <v>1616</v>
      </c>
      <c r="C1635" s="208" t="s">
        <v>27</v>
      </c>
      <c r="D1635" s="592">
        <v>-275000</v>
      </c>
      <c r="E1635" s="619">
        <v>45383</v>
      </c>
      <c r="F1635" s="201" t="s">
        <v>110</v>
      </c>
      <c r="G1635" s="208" t="s">
        <v>122</v>
      </c>
      <c r="H1635" s="201" t="s">
        <v>363</v>
      </c>
      <c r="I1635" s="201"/>
      <c r="J1635" s="202"/>
      <c r="K1635" s="202"/>
      <c r="L1635" s="202"/>
      <c r="M1635" s="202"/>
      <c r="N1635" s="202"/>
      <c r="O1635" s="202"/>
      <c r="P1635" s="202"/>
      <c r="Q1635" s="202"/>
      <c r="R1635" s="202"/>
      <c r="S1635" s="202"/>
      <c r="T1635" s="202"/>
    </row>
    <row r="1636" spans="1:149" s="182" customFormat="1" ht="14.15" hidden="1">
      <c r="A1636" s="222">
        <v>45390</v>
      </c>
      <c r="B1636" s="201" t="s">
        <v>1617</v>
      </c>
      <c r="C1636" s="208" t="s">
        <v>27</v>
      </c>
      <c r="D1636" s="592">
        <v>-60000000</v>
      </c>
      <c r="E1636" s="619">
        <v>45383</v>
      </c>
      <c r="F1636" s="201" t="s">
        <v>109</v>
      </c>
      <c r="G1636" s="208" t="s">
        <v>120</v>
      </c>
      <c r="H1636" s="201"/>
      <c r="I1636" s="201"/>
      <c r="J1636" s="202"/>
      <c r="K1636" s="202"/>
      <c r="L1636" s="202"/>
      <c r="M1636" s="202"/>
      <c r="N1636" s="202"/>
      <c r="O1636" s="202"/>
      <c r="P1636" s="202"/>
      <c r="Q1636" s="202"/>
      <c r="R1636" s="202"/>
      <c r="S1636" s="202"/>
      <c r="T1636" s="202"/>
    </row>
    <row r="1637" spans="1:149" s="182" customFormat="1" ht="14.15" hidden="1">
      <c r="A1637" s="222">
        <v>45390</v>
      </c>
      <c r="B1637" s="201" t="s">
        <v>1618</v>
      </c>
      <c r="C1637" s="208" t="s">
        <v>27</v>
      </c>
      <c r="D1637" s="592">
        <v>-273448</v>
      </c>
      <c r="E1637" s="619">
        <v>45383</v>
      </c>
      <c r="F1637" s="201" t="s">
        <v>109</v>
      </c>
      <c r="G1637" s="208" t="s">
        <v>120</v>
      </c>
      <c r="H1637" s="208" t="s">
        <v>175</v>
      </c>
      <c r="I1637" s="201"/>
      <c r="J1637" s="202"/>
      <c r="K1637" s="202"/>
      <c r="L1637" s="202"/>
      <c r="M1637" s="202"/>
      <c r="N1637" s="202"/>
      <c r="O1637" s="202"/>
      <c r="P1637" s="202"/>
      <c r="Q1637" s="202"/>
      <c r="R1637" s="202"/>
      <c r="S1637" s="202"/>
      <c r="T1637" s="202"/>
    </row>
    <row r="1638" spans="1:149" s="182" customFormat="1" ht="14.15" hidden="1">
      <c r="A1638" s="222">
        <v>45383</v>
      </c>
      <c r="B1638" s="201" t="s">
        <v>1619</v>
      </c>
      <c r="C1638" s="208" t="s">
        <v>27</v>
      </c>
      <c r="D1638" s="592">
        <v>-145928</v>
      </c>
      <c r="E1638" s="619">
        <v>45383</v>
      </c>
      <c r="F1638" s="201" t="s">
        <v>109</v>
      </c>
      <c r="G1638" s="208" t="s">
        <v>120</v>
      </c>
      <c r="H1638" s="201"/>
      <c r="I1638" s="201"/>
      <c r="J1638" s="202"/>
      <c r="K1638" s="202"/>
      <c r="L1638" s="202"/>
      <c r="M1638" s="202"/>
      <c r="N1638" s="202"/>
      <c r="O1638" s="202"/>
      <c r="P1638" s="202"/>
      <c r="Q1638" s="202"/>
      <c r="R1638" s="202"/>
      <c r="S1638" s="202"/>
      <c r="T1638" s="202"/>
    </row>
    <row r="1639" spans="1:149" s="202" customFormat="1" ht="14.15" hidden="1">
      <c r="A1639" s="222">
        <v>45383</v>
      </c>
      <c r="B1639" s="201" t="s">
        <v>1620</v>
      </c>
      <c r="C1639" s="208" t="s">
        <v>27</v>
      </c>
      <c r="D1639" s="592">
        <v>-1290000</v>
      </c>
      <c r="E1639" s="619">
        <v>45383</v>
      </c>
      <c r="F1639" s="201" t="s">
        <v>110</v>
      </c>
      <c r="G1639" s="81" t="s">
        <v>1621</v>
      </c>
      <c r="H1639" s="201" t="s">
        <v>508</v>
      </c>
      <c r="I1639" s="201"/>
      <c r="U1639" s="182"/>
      <c r="V1639" s="182"/>
      <c r="W1639" s="182"/>
      <c r="X1639" s="182"/>
      <c r="Y1639" s="182"/>
      <c r="Z1639" s="182"/>
      <c r="AA1639" s="182"/>
      <c r="AB1639" s="182"/>
      <c r="AC1639" s="182"/>
      <c r="AD1639" s="182"/>
      <c r="AE1639" s="182"/>
      <c r="AF1639" s="182"/>
      <c r="AG1639" s="182"/>
      <c r="AH1639" s="182"/>
      <c r="AI1639" s="182"/>
      <c r="AJ1639" s="182"/>
      <c r="AK1639" s="182"/>
      <c r="AL1639" s="182"/>
      <c r="AM1639" s="182"/>
      <c r="AN1639" s="182"/>
      <c r="AO1639" s="182"/>
      <c r="AP1639" s="182"/>
      <c r="AQ1639" s="182"/>
      <c r="AR1639" s="182"/>
      <c r="AS1639" s="182"/>
      <c r="AT1639" s="182"/>
      <c r="AU1639" s="182"/>
      <c r="AV1639" s="182"/>
      <c r="AW1639" s="182"/>
      <c r="AX1639" s="182"/>
      <c r="AY1639" s="182"/>
      <c r="AZ1639" s="182"/>
      <c r="BA1639" s="182"/>
      <c r="BB1639" s="182"/>
      <c r="BC1639" s="182"/>
      <c r="BD1639" s="182"/>
      <c r="BE1639" s="182"/>
      <c r="BF1639" s="182"/>
      <c r="BG1639" s="182"/>
      <c r="BH1639" s="182"/>
      <c r="BI1639" s="182"/>
      <c r="BJ1639" s="182"/>
      <c r="BK1639" s="182"/>
      <c r="BL1639" s="182"/>
      <c r="BM1639" s="182"/>
      <c r="BN1639" s="182"/>
      <c r="BO1639" s="182"/>
      <c r="BP1639" s="182"/>
      <c r="BQ1639" s="182"/>
      <c r="BR1639" s="182"/>
      <c r="BS1639" s="182"/>
      <c r="BT1639" s="182"/>
      <c r="BU1639" s="182"/>
      <c r="BV1639" s="182"/>
      <c r="BW1639" s="182"/>
      <c r="BX1639" s="182"/>
      <c r="BY1639" s="182"/>
      <c r="BZ1639" s="182"/>
      <c r="CA1639" s="182"/>
      <c r="CB1639" s="182"/>
      <c r="CC1639" s="182"/>
      <c r="CD1639" s="182"/>
      <c r="CE1639" s="182"/>
      <c r="CF1639" s="182"/>
      <c r="CG1639" s="182"/>
      <c r="CH1639" s="182"/>
      <c r="CI1639" s="182"/>
      <c r="CJ1639" s="182"/>
      <c r="CK1639" s="182"/>
      <c r="CL1639" s="182"/>
      <c r="CM1639" s="182"/>
      <c r="CN1639" s="182"/>
      <c r="CO1639" s="182"/>
      <c r="CP1639" s="182"/>
      <c r="CQ1639" s="182"/>
      <c r="CR1639" s="182"/>
      <c r="CS1639" s="182"/>
      <c r="CT1639" s="182"/>
      <c r="CU1639" s="182"/>
      <c r="CV1639" s="182"/>
      <c r="CW1639" s="182"/>
      <c r="CX1639" s="182"/>
      <c r="CY1639" s="182"/>
      <c r="CZ1639" s="182"/>
      <c r="DA1639" s="182"/>
      <c r="DB1639" s="182"/>
      <c r="DC1639" s="182"/>
      <c r="DD1639" s="182"/>
      <c r="DE1639" s="182"/>
      <c r="DF1639" s="182"/>
      <c r="DG1639" s="182"/>
      <c r="DH1639" s="182"/>
      <c r="DI1639" s="182"/>
      <c r="DJ1639" s="182"/>
      <c r="DK1639" s="182"/>
      <c r="DL1639" s="182"/>
      <c r="DM1639" s="182"/>
      <c r="DN1639" s="182"/>
      <c r="DO1639" s="182"/>
      <c r="DP1639" s="182"/>
      <c r="DQ1639" s="182"/>
      <c r="DR1639" s="182"/>
      <c r="DS1639" s="182"/>
      <c r="DT1639" s="182"/>
      <c r="DU1639" s="182"/>
      <c r="DV1639" s="182"/>
      <c r="DW1639" s="182"/>
      <c r="DX1639" s="182"/>
      <c r="DY1639" s="182"/>
      <c r="DZ1639" s="182"/>
      <c r="EA1639" s="182"/>
      <c r="EB1639" s="182"/>
      <c r="EC1639" s="182"/>
      <c r="ED1639" s="182"/>
      <c r="EE1639" s="182"/>
      <c r="EF1639" s="182"/>
      <c r="EG1639" s="182"/>
      <c r="EH1639" s="182"/>
      <c r="EI1639" s="182"/>
      <c r="EJ1639" s="182"/>
      <c r="EK1639" s="182"/>
      <c r="EL1639" s="182"/>
      <c r="EM1639" s="182"/>
      <c r="EN1639" s="182"/>
      <c r="EO1639" s="182"/>
      <c r="EP1639" s="182"/>
      <c r="EQ1639" s="182"/>
      <c r="ER1639" s="182"/>
      <c r="ES1639" s="182"/>
    </row>
    <row r="1640" spans="1:149" s="202" customFormat="1" ht="14.15" hidden="1">
      <c r="A1640" s="222">
        <v>45383</v>
      </c>
      <c r="B1640" s="201" t="s">
        <v>1622</v>
      </c>
      <c r="C1640" s="208" t="s">
        <v>27</v>
      </c>
      <c r="D1640" s="592">
        <v>-904540</v>
      </c>
      <c r="E1640" s="619">
        <v>45383</v>
      </c>
      <c r="F1640" s="201" t="s">
        <v>109</v>
      </c>
      <c r="G1640" s="208" t="s">
        <v>120</v>
      </c>
      <c r="H1640" s="201"/>
      <c r="I1640" s="201"/>
      <c r="U1640" s="182"/>
      <c r="V1640" s="182"/>
      <c r="W1640" s="182"/>
      <c r="X1640" s="182"/>
      <c r="Y1640" s="182"/>
      <c r="Z1640" s="182"/>
      <c r="AA1640" s="182"/>
      <c r="AB1640" s="182"/>
      <c r="AC1640" s="182"/>
      <c r="AD1640" s="182"/>
      <c r="AE1640" s="182"/>
      <c r="AF1640" s="182"/>
      <c r="AG1640" s="182"/>
      <c r="AH1640" s="182"/>
      <c r="AI1640" s="182"/>
      <c r="AJ1640" s="182"/>
      <c r="AK1640" s="182"/>
      <c r="AL1640" s="182"/>
      <c r="AM1640" s="182"/>
      <c r="AN1640" s="182"/>
      <c r="AO1640" s="182"/>
      <c r="AP1640" s="182"/>
      <c r="AQ1640" s="182"/>
      <c r="AR1640" s="182"/>
      <c r="AS1640" s="182"/>
      <c r="AT1640" s="182"/>
      <c r="AU1640" s="182"/>
      <c r="AV1640" s="182"/>
      <c r="AW1640" s="182"/>
      <c r="AX1640" s="182"/>
      <c r="AY1640" s="182"/>
      <c r="AZ1640" s="182"/>
      <c r="BA1640" s="182"/>
      <c r="BB1640" s="182"/>
      <c r="BC1640" s="182"/>
      <c r="BD1640" s="182"/>
      <c r="BE1640" s="182"/>
      <c r="BF1640" s="182"/>
      <c r="BG1640" s="182"/>
      <c r="BH1640" s="182"/>
      <c r="BI1640" s="182"/>
      <c r="BJ1640" s="182"/>
      <c r="BK1640" s="182"/>
      <c r="BL1640" s="182"/>
      <c r="BM1640" s="182"/>
      <c r="BN1640" s="182"/>
      <c r="BO1640" s="182"/>
      <c r="BP1640" s="182"/>
      <c r="BQ1640" s="182"/>
      <c r="BR1640" s="182"/>
      <c r="BS1640" s="182"/>
      <c r="BT1640" s="182"/>
      <c r="BU1640" s="182"/>
      <c r="BV1640" s="182"/>
      <c r="BW1640" s="182"/>
      <c r="BX1640" s="182"/>
      <c r="BY1640" s="182"/>
      <c r="BZ1640" s="182"/>
      <c r="CA1640" s="182"/>
      <c r="CB1640" s="182"/>
      <c r="CC1640" s="182"/>
      <c r="CD1640" s="182"/>
      <c r="CE1640" s="182"/>
      <c r="CF1640" s="182"/>
      <c r="CG1640" s="182"/>
      <c r="CH1640" s="182"/>
      <c r="CI1640" s="182"/>
      <c r="CJ1640" s="182"/>
      <c r="CK1640" s="182"/>
      <c r="CL1640" s="182"/>
      <c r="CM1640" s="182"/>
      <c r="CN1640" s="182"/>
      <c r="CO1640" s="182"/>
      <c r="CP1640" s="182"/>
      <c r="CQ1640" s="182"/>
      <c r="CR1640" s="182"/>
      <c r="CS1640" s="182"/>
      <c r="CT1640" s="182"/>
      <c r="CU1640" s="182"/>
      <c r="CV1640" s="182"/>
      <c r="CW1640" s="182"/>
      <c r="CX1640" s="182"/>
      <c r="CY1640" s="182"/>
      <c r="CZ1640" s="182"/>
      <c r="DA1640" s="182"/>
      <c r="DB1640" s="182"/>
      <c r="DC1640" s="182"/>
      <c r="DD1640" s="182"/>
      <c r="DE1640" s="182"/>
      <c r="DF1640" s="182"/>
      <c r="DG1640" s="182"/>
      <c r="DH1640" s="182"/>
      <c r="DI1640" s="182"/>
      <c r="DJ1640" s="182"/>
      <c r="DK1640" s="182"/>
      <c r="DL1640" s="182"/>
      <c r="DM1640" s="182"/>
      <c r="DN1640" s="182"/>
      <c r="DO1640" s="182"/>
      <c r="DP1640" s="182"/>
      <c r="DQ1640" s="182"/>
      <c r="DR1640" s="182"/>
      <c r="DS1640" s="182"/>
      <c r="DT1640" s="182"/>
      <c r="DU1640" s="182"/>
      <c r="DV1640" s="182"/>
      <c r="DW1640" s="182"/>
      <c r="DX1640" s="182"/>
      <c r="DY1640" s="182"/>
      <c r="DZ1640" s="182"/>
      <c r="EA1640" s="182"/>
      <c r="EB1640" s="182"/>
      <c r="EC1640" s="182"/>
      <c r="ED1640" s="182"/>
      <c r="EE1640" s="182"/>
      <c r="EF1640" s="182"/>
      <c r="EG1640" s="182"/>
      <c r="EH1640" s="182"/>
      <c r="EI1640" s="182"/>
      <c r="EJ1640" s="182"/>
      <c r="EK1640" s="182"/>
      <c r="EL1640" s="182"/>
      <c r="EM1640" s="182"/>
      <c r="EN1640" s="182"/>
      <c r="EO1640" s="182"/>
      <c r="EP1640" s="182"/>
      <c r="EQ1640" s="182"/>
      <c r="ER1640" s="182"/>
      <c r="ES1640" s="182"/>
    </row>
    <row r="1641" spans="1:149" s="182" customFormat="1" ht="14.15" hidden="1">
      <c r="A1641" s="222">
        <v>45383</v>
      </c>
      <c r="B1641" s="201" t="s">
        <v>1623</v>
      </c>
      <c r="C1641" s="208" t="s">
        <v>27</v>
      </c>
      <c r="D1641" s="592">
        <v>-2752256</v>
      </c>
      <c r="E1641" s="619">
        <v>45383</v>
      </c>
      <c r="F1641" s="201" t="s">
        <v>130</v>
      </c>
      <c r="G1641" s="201" t="s">
        <v>130</v>
      </c>
      <c r="H1641" s="201" t="s">
        <v>1148</v>
      </c>
      <c r="I1641" s="201"/>
      <c r="J1641" s="202"/>
      <c r="K1641" s="202"/>
      <c r="L1641" s="202"/>
      <c r="M1641" s="202"/>
      <c r="N1641" s="202"/>
      <c r="O1641" s="202"/>
      <c r="P1641" s="202"/>
      <c r="Q1641" s="202"/>
      <c r="R1641" s="202"/>
      <c r="S1641" s="202"/>
      <c r="T1641" s="202"/>
    </row>
    <row r="1642" spans="1:149" s="203" customFormat="1" ht="14.15" hidden="1">
      <c r="A1642" s="222">
        <v>45383</v>
      </c>
      <c r="B1642" s="201" t="s">
        <v>1624</v>
      </c>
      <c r="C1642" s="208" t="s">
        <v>27</v>
      </c>
      <c r="D1642" s="592">
        <v>-849000</v>
      </c>
      <c r="E1642" s="619">
        <v>45383</v>
      </c>
      <c r="F1642" s="201" t="s">
        <v>109</v>
      </c>
      <c r="G1642" s="208" t="s">
        <v>120</v>
      </c>
      <c r="H1642" s="201"/>
      <c r="I1642" s="201"/>
      <c r="J1642" s="202"/>
      <c r="K1642" s="202"/>
      <c r="L1642" s="202"/>
      <c r="M1642" s="202"/>
      <c r="N1642" s="202"/>
      <c r="O1642" s="202"/>
      <c r="P1642" s="202"/>
      <c r="Q1642" s="202"/>
      <c r="R1642" s="202"/>
      <c r="S1642" s="202"/>
      <c r="T1642" s="202"/>
      <c r="U1642" s="182"/>
      <c r="V1642" s="182"/>
      <c r="W1642" s="182"/>
      <c r="X1642" s="182"/>
      <c r="Y1642" s="182"/>
      <c r="Z1642" s="182"/>
      <c r="AA1642" s="182"/>
      <c r="AB1642" s="182"/>
      <c r="AC1642" s="182"/>
      <c r="AD1642" s="182"/>
      <c r="AE1642" s="182"/>
      <c r="AF1642" s="182"/>
      <c r="AG1642" s="182"/>
      <c r="AH1642" s="182"/>
      <c r="AI1642" s="182"/>
      <c r="AJ1642" s="182"/>
      <c r="AK1642" s="182"/>
      <c r="AL1642" s="182"/>
      <c r="AM1642" s="182"/>
      <c r="AN1642" s="182"/>
      <c r="AO1642" s="182"/>
      <c r="AP1642" s="182"/>
      <c r="AQ1642" s="182"/>
      <c r="AR1642" s="182"/>
      <c r="AS1642" s="182"/>
      <c r="AT1642" s="182"/>
      <c r="AU1642" s="182"/>
      <c r="AV1642" s="182"/>
      <c r="AW1642" s="182"/>
      <c r="AX1642" s="182"/>
      <c r="AY1642" s="182"/>
      <c r="AZ1642" s="182"/>
      <c r="BA1642" s="182"/>
      <c r="BB1642" s="182"/>
      <c r="BC1642" s="182"/>
      <c r="BD1642" s="182"/>
      <c r="BE1642" s="182"/>
      <c r="BF1642" s="182"/>
      <c r="BG1642" s="182"/>
      <c r="BH1642" s="182"/>
      <c r="BI1642" s="182"/>
      <c r="BJ1642" s="182"/>
      <c r="BK1642" s="182"/>
      <c r="BL1642" s="182"/>
      <c r="BM1642" s="182"/>
      <c r="BN1642" s="182"/>
      <c r="BO1642" s="182"/>
      <c r="BP1642" s="182"/>
      <c r="BQ1642" s="182"/>
      <c r="BR1642" s="182"/>
      <c r="BS1642" s="182"/>
      <c r="BT1642" s="182"/>
      <c r="BU1642" s="182"/>
      <c r="BV1642" s="182"/>
      <c r="BW1642" s="182"/>
      <c r="BX1642" s="182"/>
      <c r="BY1642" s="182"/>
      <c r="BZ1642" s="182"/>
      <c r="CA1642" s="182"/>
      <c r="CB1642" s="182"/>
      <c r="CC1642" s="182"/>
      <c r="CD1642" s="182"/>
      <c r="CE1642" s="182"/>
      <c r="CF1642" s="182"/>
      <c r="CG1642" s="182"/>
      <c r="CH1642" s="182"/>
      <c r="CI1642" s="182"/>
      <c r="CJ1642" s="182"/>
      <c r="CK1642" s="182"/>
      <c r="CL1642" s="182"/>
      <c r="CM1642" s="182"/>
      <c r="CN1642" s="182"/>
      <c r="CO1642" s="182"/>
      <c r="CP1642" s="182"/>
      <c r="CQ1642" s="182"/>
      <c r="CR1642" s="182"/>
      <c r="CS1642" s="182"/>
      <c r="CT1642" s="182"/>
      <c r="CU1642" s="182"/>
      <c r="CV1642" s="182"/>
      <c r="CW1642" s="182"/>
      <c r="CX1642" s="182"/>
      <c r="CY1642" s="182"/>
      <c r="CZ1642" s="182"/>
      <c r="DA1642" s="182"/>
      <c r="DB1642" s="182"/>
      <c r="DC1642" s="182"/>
      <c r="DD1642" s="182"/>
      <c r="DE1642" s="182"/>
      <c r="DF1642" s="182"/>
      <c r="DG1642" s="182"/>
      <c r="DH1642" s="182"/>
      <c r="DI1642" s="182"/>
      <c r="DJ1642" s="182"/>
      <c r="DK1642" s="182"/>
      <c r="DL1642" s="182"/>
      <c r="DM1642" s="182"/>
      <c r="DN1642" s="182"/>
      <c r="DO1642" s="182"/>
      <c r="DP1642" s="182"/>
      <c r="DQ1642" s="182"/>
      <c r="DR1642" s="182"/>
      <c r="DS1642" s="182"/>
      <c r="DT1642" s="182"/>
      <c r="DU1642" s="182"/>
      <c r="DV1642" s="182"/>
      <c r="DW1642" s="182"/>
      <c r="DX1642" s="182"/>
      <c r="DY1642" s="182"/>
      <c r="DZ1642" s="182"/>
      <c r="EA1642" s="182"/>
      <c r="EB1642" s="182"/>
      <c r="EC1642" s="182"/>
      <c r="ED1642" s="182"/>
      <c r="EE1642" s="182"/>
      <c r="EF1642" s="182"/>
      <c r="EG1642" s="182"/>
      <c r="EH1642" s="182"/>
      <c r="EI1642" s="182"/>
      <c r="EJ1642" s="182"/>
      <c r="EK1642" s="182"/>
      <c r="EL1642" s="182"/>
      <c r="EM1642" s="182"/>
      <c r="EN1642" s="182"/>
      <c r="EO1642" s="182"/>
      <c r="EP1642" s="182"/>
      <c r="EQ1642" s="182"/>
      <c r="ER1642" s="182"/>
      <c r="ES1642" s="182"/>
    </row>
    <row r="1643" spans="1:149" s="203" customFormat="1" ht="14.15" hidden="1">
      <c r="A1643" s="222">
        <v>45383</v>
      </c>
      <c r="B1643" s="201" t="s">
        <v>1625</v>
      </c>
      <c r="C1643" s="208" t="s">
        <v>27</v>
      </c>
      <c r="D1643" s="592">
        <v>-1239866</v>
      </c>
      <c r="E1643" s="619">
        <v>45383</v>
      </c>
      <c r="F1643" s="201" t="s">
        <v>109</v>
      </c>
      <c r="G1643" s="208" t="s">
        <v>120</v>
      </c>
      <c r="H1643" s="201"/>
      <c r="I1643" s="201"/>
      <c r="J1643" s="202"/>
      <c r="K1643" s="202"/>
      <c r="L1643" s="202"/>
      <c r="M1643" s="202"/>
      <c r="N1643" s="202"/>
      <c r="O1643" s="202"/>
      <c r="P1643" s="202"/>
      <c r="Q1643" s="202"/>
      <c r="R1643" s="202"/>
      <c r="S1643" s="202"/>
      <c r="T1643" s="202"/>
      <c r="U1643" s="182"/>
      <c r="V1643" s="182"/>
      <c r="W1643" s="182"/>
      <c r="X1643" s="182"/>
      <c r="Y1643" s="182"/>
      <c r="Z1643" s="182"/>
      <c r="AA1643" s="182"/>
      <c r="AB1643" s="182"/>
      <c r="AC1643" s="182"/>
      <c r="AD1643" s="182"/>
      <c r="AE1643" s="182"/>
      <c r="AF1643" s="182"/>
      <c r="AG1643" s="182"/>
      <c r="AH1643" s="182"/>
      <c r="AI1643" s="182"/>
      <c r="AJ1643" s="182"/>
      <c r="AK1643" s="182"/>
      <c r="AL1643" s="182"/>
      <c r="AM1643" s="182"/>
      <c r="AN1643" s="182"/>
      <c r="AO1643" s="182"/>
      <c r="AP1643" s="182"/>
      <c r="AQ1643" s="182"/>
      <c r="AR1643" s="182"/>
      <c r="AS1643" s="182"/>
      <c r="AT1643" s="182"/>
      <c r="AU1643" s="182"/>
      <c r="AV1643" s="182"/>
      <c r="AW1643" s="182"/>
      <c r="AX1643" s="182"/>
      <c r="AY1643" s="182"/>
      <c r="AZ1643" s="182"/>
      <c r="BA1643" s="182"/>
      <c r="BB1643" s="182"/>
      <c r="BC1643" s="182"/>
      <c r="BD1643" s="182"/>
      <c r="BE1643" s="182"/>
      <c r="BF1643" s="182"/>
      <c r="BG1643" s="182"/>
      <c r="BH1643" s="182"/>
      <c r="BI1643" s="182"/>
      <c r="BJ1643" s="182"/>
      <c r="BK1643" s="182"/>
      <c r="BL1643" s="182"/>
      <c r="BM1643" s="182"/>
      <c r="BN1643" s="182"/>
      <c r="BO1643" s="182"/>
      <c r="BP1643" s="182"/>
      <c r="BQ1643" s="182"/>
      <c r="BR1643" s="182"/>
      <c r="BS1643" s="182"/>
      <c r="BT1643" s="182"/>
      <c r="BU1643" s="182"/>
      <c r="BV1643" s="182"/>
      <c r="BW1643" s="182"/>
      <c r="BX1643" s="182"/>
      <c r="BY1643" s="182"/>
      <c r="BZ1643" s="182"/>
      <c r="CA1643" s="182"/>
      <c r="CB1643" s="182"/>
      <c r="CC1643" s="182"/>
      <c r="CD1643" s="182"/>
      <c r="CE1643" s="182"/>
      <c r="CF1643" s="182"/>
      <c r="CG1643" s="182"/>
      <c r="CH1643" s="182"/>
      <c r="CI1643" s="182"/>
      <c r="CJ1643" s="182"/>
      <c r="CK1643" s="182"/>
      <c r="CL1643" s="182"/>
      <c r="CM1643" s="182"/>
      <c r="CN1643" s="182"/>
      <c r="CO1643" s="182"/>
      <c r="CP1643" s="182"/>
      <c r="CQ1643" s="182"/>
      <c r="CR1643" s="182"/>
      <c r="CS1643" s="182"/>
      <c r="CT1643" s="182"/>
      <c r="CU1643" s="182"/>
      <c r="CV1643" s="182"/>
      <c r="CW1643" s="182"/>
      <c r="CX1643" s="182"/>
      <c r="CY1643" s="182"/>
      <c r="CZ1643" s="182"/>
      <c r="DA1643" s="182"/>
      <c r="DB1643" s="182"/>
      <c r="DC1643" s="182"/>
      <c r="DD1643" s="182"/>
      <c r="DE1643" s="182"/>
      <c r="DF1643" s="182"/>
      <c r="DG1643" s="182"/>
      <c r="DH1643" s="182"/>
      <c r="DI1643" s="182"/>
      <c r="DJ1643" s="182"/>
      <c r="DK1643" s="182"/>
      <c r="DL1643" s="182"/>
      <c r="DM1643" s="182"/>
      <c r="DN1643" s="182"/>
      <c r="DO1643" s="182"/>
      <c r="DP1643" s="182"/>
      <c r="DQ1643" s="182"/>
      <c r="DR1643" s="182"/>
      <c r="DS1643" s="182"/>
      <c r="DT1643" s="182"/>
      <c r="DU1643" s="182"/>
      <c r="DV1643" s="182"/>
      <c r="DW1643" s="182"/>
      <c r="DX1643" s="182"/>
      <c r="DY1643" s="182"/>
      <c r="DZ1643" s="182"/>
      <c r="EA1643" s="182"/>
      <c r="EB1643" s="182"/>
      <c r="EC1643" s="182"/>
      <c r="ED1643" s="182"/>
      <c r="EE1643" s="182"/>
      <c r="EF1643" s="182"/>
      <c r="EG1643" s="182"/>
      <c r="EH1643" s="182"/>
      <c r="EI1643" s="182"/>
      <c r="EJ1643" s="182"/>
      <c r="EK1643" s="182"/>
      <c r="EL1643" s="182"/>
      <c r="EM1643" s="182"/>
      <c r="EN1643" s="182"/>
      <c r="EO1643" s="182"/>
      <c r="EP1643" s="182"/>
      <c r="EQ1643" s="182"/>
      <c r="ER1643" s="182"/>
      <c r="ES1643" s="182"/>
    </row>
    <row r="1644" spans="1:149" s="182" customFormat="1" ht="14.15" hidden="1">
      <c r="A1644" s="222">
        <v>45383</v>
      </c>
      <c r="B1644" s="201" t="s">
        <v>1263</v>
      </c>
      <c r="C1644" s="208" t="s">
        <v>27</v>
      </c>
      <c r="D1644" s="592">
        <v>-1855221</v>
      </c>
      <c r="E1644" s="619">
        <v>45383</v>
      </c>
      <c r="F1644" s="201" t="s">
        <v>109</v>
      </c>
      <c r="G1644" s="208" t="s">
        <v>120</v>
      </c>
      <c r="H1644" s="201"/>
      <c r="I1644" s="201"/>
      <c r="J1644" s="202"/>
      <c r="K1644" s="202"/>
      <c r="L1644" s="202"/>
      <c r="M1644" s="202"/>
      <c r="N1644" s="202"/>
      <c r="O1644" s="202"/>
      <c r="P1644" s="202"/>
      <c r="Q1644" s="202"/>
      <c r="R1644" s="202"/>
      <c r="S1644" s="202"/>
      <c r="T1644" s="202"/>
    </row>
    <row r="1645" spans="1:149" s="182" customFormat="1" ht="14.15" hidden="1">
      <c r="A1645" s="222">
        <v>45383</v>
      </c>
      <c r="B1645" s="201" t="s">
        <v>1626</v>
      </c>
      <c r="C1645" s="208" t="s">
        <v>27</v>
      </c>
      <c r="D1645" s="592">
        <v>-425600</v>
      </c>
      <c r="E1645" s="619">
        <v>45383</v>
      </c>
      <c r="F1645" s="208" t="s">
        <v>109</v>
      </c>
      <c r="G1645" s="208" t="s">
        <v>317</v>
      </c>
      <c r="H1645" s="208" t="s">
        <v>175</v>
      </c>
      <c r="I1645" s="201"/>
      <c r="J1645" s="202"/>
      <c r="K1645" s="202"/>
      <c r="L1645" s="202"/>
      <c r="M1645" s="202"/>
      <c r="N1645" s="202"/>
      <c r="O1645" s="202"/>
      <c r="P1645" s="202"/>
      <c r="Q1645" s="202"/>
      <c r="R1645" s="202"/>
      <c r="S1645" s="202"/>
      <c r="T1645" s="202"/>
    </row>
    <row r="1646" spans="1:149" s="203" customFormat="1" ht="14.15" hidden="1">
      <c r="A1646" s="222">
        <v>45383</v>
      </c>
      <c r="B1646" s="201" t="s">
        <v>1627</v>
      </c>
      <c r="C1646" s="208" t="s">
        <v>27</v>
      </c>
      <c r="D1646" s="592">
        <v>-330000</v>
      </c>
      <c r="E1646" s="619">
        <v>45383</v>
      </c>
      <c r="F1646" s="201" t="s">
        <v>109</v>
      </c>
      <c r="G1646" s="208" t="s">
        <v>120</v>
      </c>
      <c r="H1646" s="201"/>
      <c r="I1646" s="201"/>
      <c r="J1646" s="202"/>
      <c r="K1646" s="202"/>
      <c r="L1646" s="202"/>
      <c r="M1646" s="202"/>
      <c r="N1646" s="202"/>
      <c r="O1646" s="202"/>
      <c r="P1646" s="202"/>
      <c r="Q1646" s="202"/>
      <c r="R1646" s="202"/>
      <c r="S1646" s="202"/>
      <c r="T1646" s="202"/>
      <c r="U1646" s="182"/>
      <c r="V1646" s="182"/>
      <c r="W1646" s="182"/>
      <c r="X1646" s="182"/>
      <c r="Y1646" s="182"/>
      <c r="Z1646" s="182"/>
      <c r="AA1646" s="182"/>
      <c r="AB1646" s="182"/>
      <c r="AC1646" s="182"/>
      <c r="AD1646" s="182"/>
      <c r="AE1646" s="182"/>
      <c r="AF1646" s="182"/>
      <c r="AG1646" s="182"/>
      <c r="AH1646" s="182"/>
      <c r="AI1646" s="182"/>
      <c r="AJ1646" s="182"/>
      <c r="AK1646" s="182"/>
      <c r="AL1646" s="182"/>
      <c r="AM1646" s="182"/>
      <c r="AN1646" s="182"/>
      <c r="AO1646" s="182"/>
      <c r="AP1646" s="182"/>
      <c r="AQ1646" s="182"/>
      <c r="AR1646" s="182"/>
      <c r="AS1646" s="182"/>
      <c r="AT1646" s="182"/>
      <c r="AU1646" s="182"/>
      <c r="AV1646" s="182"/>
      <c r="AW1646" s="182"/>
      <c r="AX1646" s="182"/>
      <c r="AY1646" s="182"/>
      <c r="AZ1646" s="182"/>
      <c r="BA1646" s="182"/>
      <c r="BB1646" s="182"/>
      <c r="BC1646" s="182"/>
      <c r="BD1646" s="182"/>
      <c r="BE1646" s="182"/>
      <c r="BF1646" s="182"/>
      <c r="BG1646" s="182"/>
      <c r="BH1646" s="182"/>
      <c r="BI1646" s="182"/>
      <c r="BJ1646" s="182"/>
      <c r="BK1646" s="182"/>
      <c r="BL1646" s="182"/>
      <c r="BM1646" s="182"/>
      <c r="BN1646" s="182"/>
      <c r="BO1646" s="182"/>
      <c r="BP1646" s="182"/>
      <c r="BQ1646" s="182"/>
      <c r="BR1646" s="182"/>
      <c r="BS1646" s="182"/>
      <c r="BT1646" s="182"/>
      <c r="BU1646" s="182"/>
      <c r="BV1646" s="182"/>
      <c r="BW1646" s="182"/>
      <c r="BX1646" s="182"/>
      <c r="BY1646" s="182"/>
      <c r="BZ1646" s="182"/>
      <c r="CA1646" s="182"/>
      <c r="CB1646" s="182"/>
      <c r="CC1646" s="182"/>
      <c r="CD1646" s="182"/>
      <c r="CE1646" s="182"/>
      <c r="CF1646" s="182"/>
      <c r="CG1646" s="182"/>
      <c r="CH1646" s="182"/>
      <c r="CI1646" s="182"/>
      <c r="CJ1646" s="182"/>
      <c r="CK1646" s="182"/>
      <c r="CL1646" s="182"/>
      <c r="CM1646" s="182"/>
      <c r="CN1646" s="182"/>
      <c r="CO1646" s="182"/>
      <c r="CP1646" s="182"/>
      <c r="CQ1646" s="182"/>
      <c r="CR1646" s="182"/>
      <c r="CS1646" s="182"/>
      <c r="CT1646" s="182"/>
      <c r="CU1646" s="182"/>
      <c r="CV1646" s="182"/>
      <c r="CW1646" s="182"/>
      <c r="CX1646" s="182"/>
      <c r="CY1646" s="182"/>
      <c r="CZ1646" s="182"/>
      <c r="DA1646" s="182"/>
      <c r="DB1646" s="182"/>
      <c r="DC1646" s="182"/>
      <c r="DD1646" s="182"/>
      <c r="DE1646" s="182"/>
      <c r="DF1646" s="182"/>
      <c r="DG1646" s="182"/>
      <c r="DH1646" s="182"/>
      <c r="DI1646" s="182"/>
      <c r="DJ1646" s="182"/>
      <c r="DK1646" s="182"/>
      <c r="DL1646" s="182"/>
      <c r="DM1646" s="182"/>
      <c r="DN1646" s="182"/>
      <c r="DO1646" s="182"/>
      <c r="DP1646" s="182"/>
      <c r="DQ1646" s="182"/>
      <c r="DR1646" s="182"/>
      <c r="DS1646" s="182"/>
      <c r="DT1646" s="182"/>
      <c r="DU1646" s="182"/>
      <c r="DV1646" s="182"/>
      <c r="DW1646" s="182"/>
      <c r="DX1646" s="182"/>
      <c r="DY1646" s="182"/>
      <c r="DZ1646" s="182"/>
      <c r="EA1646" s="182"/>
      <c r="EB1646" s="182"/>
      <c r="EC1646" s="182"/>
      <c r="ED1646" s="182"/>
      <c r="EE1646" s="182"/>
      <c r="EF1646" s="182"/>
      <c r="EG1646" s="182"/>
      <c r="EH1646" s="182"/>
      <c r="EI1646" s="182"/>
      <c r="EJ1646" s="182"/>
      <c r="EK1646" s="182"/>
      <c r="EL1646" s="182"/>
      <c r="EM1646" s="182"/>
      <c r="EN1646" s="182"/>
      <c r="EO1646" s="182"/>
      <c r="EP1646" s="182"/>
      <c r="EQ1646" s="182"/>
      <c r="ER1646" s="182"/>
      <c r="ES1646" s="182"/>
    </row>
    <row r="1647" spans="1:149" s="182" customFormat="1" ht="14.15" hidden="1">
      <c r="A1647" s="222">
        <v>45383</v>
      </c>
      <c r="B1647" s="201" t="s">
        <v>1628</v>
      </c>
      <c r="C1647" s="208" t="s">
        <v>27</v>
      </c>
      <c r="D1647" s="592">
        <v>-633353</v>
      </c>
      <c r="E1647" s="619">
        <v>45383</v>
      </c>
      <c r="F1647" s="201" t="s">
        <v>110</v>
      </c>
      <c r="G1647" s="208" t="s">
        <v>450</v>
      </c>
      <c r="H1647" s="201" t="s">
        <v>310</v>
      </c>
      <c r="I1647" s="201"/>
      <c r="J1647" s="202"/>
      <c r="K1647" s="202"/>
      <c r="L1647" s="202"/>
      <c r="M1647" s="202"/>
      <c r="N1647" s="202"/>
      <c r="O1647" s="202"/>
      <c r="P1647" s="202"/>
      <c r="Q1647" s="202"/>
      <c r="R1647" s="202"/>
      <c r="S1647" s="202"/>
      <c r="T1647" s="202"/>
    </row>
    <row r="1648" spans="1:149" s="182" customFormat="1" ht="14.15" hidden="1">
      <c r="A1648" s="222">
        <v>45383</v>
      </c>
      <c r="B1648" s="201" t="s">
        <v>1629</v>
      </c>
      <c r="C1648" s="208" t="s">
        <v>27</v>
      </c>
      <c r="D1648" s="592">
        <v>-22610000</v>
      </c>
      <c r="E1648" s="619">
        <v>45383</v>
      </c>
      <c r="F1648" s="201" t="s">
        <v>109</v>
      </c>
      <c r="G1648" s="208" t="s">
        <v>125</v>
      </c>
      <c r="H1648" s="201" t="s">
        <v>549</v>
      </c>
      <c r="I1648" s="201"/>
      <c r="J1648" s="202"/>
      <c r="K1648" s="202"/>
      <c r="L1648" s="202"/>
      <c r="M1648" s="202"/>
      <c r="N1648" s="202"/>
      <c r="O1648" s="202"/>
      <c r="P1648" s="202"/>
      <c r="Q1648" s="202"/>
      <c r="R1648" s="202"/>
      <c r="S1648" s="202"/>
      <c r="T1648" s="202"/>
    </row>
    <row r="1649" spans="1:20" s="182" customFormat="1" ht="14.15" hidden="1">
      <c r="A1649" s="222">
        <v>45384</v>
      </c>
      <c r="B1649" s="201" t="s">
        <v>1630</v>
      </c>
      <c r="C1649" s="208" t="s">
        <v>27</v>
      </c>
      <c r="D1649" s="592">
        <v>-729257</v>
      </c>
      <c r="E1649" s="619">
        <v>45383</v>
      </c>
      <c r="F1649" s="201" t="s">
        <v>110</v>
      </c>
      <c r="G1649" s="208" t="s">
        <v>122</v>
      </c>
      <c r="H1649" s="201" t="s">
        <v>310</v>
      </c>
      <c r="I1649" s="201"/>
      <c r="J1649" s="202"/>
      <c r="K1649" s="202"/>
      <c r="L1649" s="202"/>
      <c r="M1649" s="202"/>
      <c r="N1649" s="202"/>
      <c r="O1649" s="202"/>
      <c r="P1649" s="202"/>
      <c r="Q1649" s="202"/>
      <c r="R1649" s="202"/>
      <c r="S1649" s="202"/>
      <c r="T1649" s="202"/>
    </row>
    <row r="1650" spans="1:20" s="182" customFormat="1" ht="14.15" hidden="1">
      <c r="A1650" s="222">
        <v>45384</v>
      </c>
      <c r="B1650" s="201" t="s">
        <v>1631</v>
      </c>
      <c r="C1650" s="208" t="s">
        <v>27</v>
      </c>
      <c r="D1650" s="592">
        <v>-1512985</v>
      </c>
      <c r="E1650" s="619">
        <v>45383</v>
      </c>
      <c r="F1650" s="201" t="s">
        <v>207</v>
      </c>
      <c r="G1650" s="201"/>
      <c r="H1650" s="201"/>
      <c r="I1650" s="201"/>
      <c r="J1650" s="202"/>
      <c r="K1650" s="202"/>
      <c r="L1650" s="202"/>
      <c r="M1650" s="202"/>
      <c r="N1650" s="202"/>
      <c r="O1650" s="202"/>
      <c r="P1650" s="202"/>
      <c r="Q1650" s="202"/>
      <c r="R1650" s="202"/>
      <c r="S1650" s="202"/>
      <c r="T1650" s="202"/>
    </row>
    <row r="1651" spans="1:20" s="182" customFormat="1" ht="14.15" hidden="1">
      <c r="A1651" s="222">
        <v>45383</v>
      </c>
      <c r="B1651" s="201" t="s">
        <v>1632</v>
      </c>
      <c r="C1651" s="208" t="s">
        <v>141</v>
      </c>
      <c r="D1651" s="592">
        <v>172000000</v>
      </c>
      <c r="E1651" s="619">
        <v>45383</v>
      </c>
      <c r="F1651" s="201" t="s">
        <v>109</v>
      </c>
      <c r="G1651" s="208" t="s">
        <v>125</v>
      </c>
      <c r="H1651" s="201"/>
      <c r="I1651" s="201"/>
      <c r="J1651" s="202"/>
      <c r="K1651" s="202"/>
      <c r="L1651" s="202"/>
      <c r="M1651" s="202"/>
      <c r="N1651" s="202"/>
      <c r="O1651" s="202"/>
      <c r="P1651" s="202"/>
      <c r="Q1651" s="202"/>
      <c r="R1651" s="202"/>
      <c r="S1651" s="202"/>
      <c r="T1651" s="202"/>
    </row>
    <row r="1652" spans="1:20" s="182" customFormat="1" ht="14.15" hidden="1">
      <c r="A1652" s="222">
        <v>45383</v>
      </c>
      <c r="B1652" s="201" t="s">
        <v>1632</v>
      </c>
      <c r="C1652" s="208" t="s">
        <v>643</v>
      </c>
      <c r="D1652" s="592">
        <v>6418089</v>
      </c>
      <c r="E1652" s="619">
        <v>45383</v>
      </c>
      <c r="F1652" s="201" t="s">
        <v>109</v>
      </c>
      <c r="G1652" s="208" t="s">
        <v>125</v>
      </c>
      <c r="H1652" s="201"/>
      <c r="I1652" s="201"/>
      <c r="J1652" s="202"/>
      <c r="K1652" s="202"/>
      <c r="L1652" s="202"/>
      <c r="M1652" s="202"/>
      <c r="N1652" s="202"/>
      <c r="O1652" s="202"/>
      <c r="P1652" s="202"/>
      <c r="Q1652" s="202"/>
      <c r="R1652" s="202"/>
      <c r="S1652" s="202"/>
      <c r="T1652" s="202"/>
    </row>
    <row r="1653" spans="1:20" s="182" customFormat="1" ht="14.15" hidden="1">
      <c r="A1653" s="222">
        <v>45383</v>
      </c>
      <c r="B1653" s="201" t="s">
        <v>1633</v>
      </c>
      <c r="C1653" s="208" t="s">
        <v>181</v>
      </c>
      <c r="D1653" s="592">
        <v>1278379</v>
      </c>
      <c r="E1653" s="619">
        <v>45383</v>
      </c>
      <c r="F1653" s="201" t="s">
        <v>108</v>
      </c>
      <c r="G1653" s="201"/>
      <c r="H1653" s="201"/>
      <c r="I1653" s="201"/>
      <c r="J1653" s="202"/>
      <c r="K1653" s="202"/>
      <c r="L1653" s="202"/>
      <c r="M1653" s="202"/>
      <c r="N1653" s="202"/>
      <c r="O1653" s="202"/>
      <c r="P1653" s="202"/>
      <c r="Q1653" s="202"/>
      <c r="R1653" s="202"/>
      <c r="S1653" s="202"/>
      <c r="T1653" s="202"/>
    </row>
    <row r="1654" spans="1:20" s="182" customFormat="1" ht="14.15" hidden="1">
      <c r="A1654" s="222">
        <v>45384</v>
      </c>
      <c r="B1654" s="201" t="s">
        <v>1634</v>
      </c>
      <c r="C1654" s="208" t="s">
        <v>181</v>
      </c>
      <c r="D1654" s="592">
        <v>167640000</v>
      </c>
      <c r="E1654" s="619">
        <v>45383</v>
      </c>
      <c r="F1654" s="84" t="s">
        <v>111</v>
      </c>
      <c r="G1654" s="201"/>
      <c r="H1654" s="201"/>
      <c r="I1654" s="201"/>
      <c r="J1654" s="202"/>
      <c r="K1654" s="202"/>
      <c r="L1654" s="202"/>
      <c r="M1654" s="202"/>
      <c r="N1654" s="202"/>
      <c r="O1654" s="202"/>
      <c r="P1654" s="202"/>
      <c r="Q1654" s="202"/>
      <c r="R1654" s="202"/>
      <c r="S1654" s="202"/>
      <c r="T1654" s="202"/>
    </row>
    <row r="1655" spans="1:20" s="182" customFormat="1" ht="14.15" hidden="1">
      <c r="A1655" s="222">
        <v>45384</v>
      </c>
      <c r="B1655" s="201" t="s">
        <v>1635</v>
      </c>
      <c r="C1655" s="208" t="s">
        <v>181</v>
      </c>
      <c r="D1655" s="592">
        <v>1529205</v>
      </c>
      <c r="E1655" s="619">
        <v>45383</v>
      </c>
      <c r="F1655" s="201" t="s">
        <v>108</v>
      </c>
      <c r="G1655" s="201"/>
      <c r="H1655" s="201"/>
      <c r="I1655" s="201"/>
      <c r="J1655" s="202"/>
      <c r="K1655" s="202"/>
      <c r="L1655" s="202"/>
      <c r="M1655" s="202"/>
      <c r="N1655" s="202"/>
      <c r="O1655" s="202"/>
      <c r="P1655" s="202"/>
      <c r="Q1655" s="202"/>
      <c r="R1655" s="202"/>
      <c r="S1655" s="202"/>
      <c r="T1655" s="202"/>
    </row>
    <row r="1656" spans="1:20" s="182" customFormat="1" ht="14.15" hidden="1">
      <c r="A1656" s="222">
        <v>45385</v>
      </c>
      <c r="B1656" s="201" t="s">
        <v>597</v>
      </c>
      <c r="C1656" s="208" t="s">
        <v>181</v>
      </c>
      <c r="D1656" s="592">
        <v>2436225</v>
      </c>
      <c r="E1656" s="619">
        <v>45383</v>
      </c>
      <c r="F1656" s="201" t="s">
        <v>108</v>
      </c>
      <c r="G1656" s="201"/>
      <c r="H1656" s="201"/>
      <c r="I1656" s="201"/>
      <c r="J1656" s="202"/>
      <c r="K1656" s="202"/>
      <c r="L1656" s="202"/>
      <c r="M1656" s="202"/>
      <c r="N1656" s="202"/>
      <c r="O1656" s="202"/>
      <c r="P1656" s="202"/>
      <c r="Q1656" s="202"/>
      <c r="R1656" s="202"/>
      <c r="S1656" s="202"/>
      <c r="T1656" s="202"/>
    </row>
    <row r="1657" spans="1:20" s="182" customFormat="1" ht="14.15" hidden="1">
      <c r="A1657" s="222">
        <v>45370</v>
      </c>
      <c r="B1657" s="201" t="s">
        <v>1636</v>
      </c>
      <c r="C1657" s="208" t="s">
        <v>146</v>
      </c>
      <c r="D1657" s="592">
        <v>-20000</v>
      </c>
      <c r="E1657" s="619">
        <v>45383</v>
      </c>
      <c r="F1657" s="201" t="s">
        <v>109</v>
      </c>
      <c r="G1657" s="208" t="s">
        <v>120</v>
      </c>
      <c r="H1657" s="208" t="s">
        <v>147</v>
      </c>
      <c r="I1657" s="201" t="s">
        <v>1347</v>
      </c>
      <c r="J1657" s="202"/>
      <c r="K1657" s="202"/>
      <c r="L1657" s="202"/>
      <c r="M1657" s="202"/>
      <c r="N1657" s="202"/>
      <c r="O1657" s="202"/>
      <c r="P1657" s="202"/>
      <c r="Q1657" s="202"/>
      <c r="R1657" s="202"/>
      <c r="S1657" s="202"/>
      <c r="T1657" s="202"/>
    </row>
    <row r="1658" spans="1:20" s="182" customFormat="1" ht="14.15" hidden="1">
      <c r="A1658" s="222">
        <v>45370</v>
      </c>
      <c r="B1658" s="201" t="s">
        <v>1637</v>
      </c>
      <c r="C1658" s="208" t="s">
        <v>146</v>
      </c>
      <c r="D1658" s="592">
        <v>-15000</v>
      </c>
      <c r="E1658" s="619">
        <v>45383</v>
      </c>
      <c r="F1658" s="201" t="s">
        <v>109</v>
      </c>
      <c r="G1658" s="208" t="s">
        <v>120</v>
      </c>
      <c r="H1658" s="208" t="s">
        <v>175</v>
      </c>
      <c r="I1658" s="201" t="s">
        <v>1347</v>
      </c>
      <c r="J1658" s="202"/>
      <c r="K1658" s="202"/>
      <c r="L1658" s="202"/>
      <c r="M1658" s="202"/>
      <c r="N1658" s="202"/>
      <c r="O1658" s="202"/>
      <c r="P1658" s="202"/>
      <c r="Q1658" s="202"/>
      <c r="R1658" s="202"/>
      <c r="S1658" s="202"/>
      <c r="T1658" s="202"/>
    </row>
    <row r="1659" spans="1:20" s="182" customFormat="1" ht="14.15" hidden="1">
      <c r="A1659" s="222">
        <v>45370</v>
      </c>
      <c r="B1659" s="201" t="s">
        <v>1638</v>
      </c>
      <c r="C1659" s="208" t="s">
        <v>146</v>
      </c>
      <c r="D1659" s="592">
        <v>-170000</v>
      </c>
      <c r="E1659" s="619">
        <v>45383</v>
      </c>
      <c r="F1659" s="201" t="s">
        <v>109</v>
      </c>
      <c r="G1659" s="208" t="s">
        <v>120</v>
      </c>
      <c r="H1659" s="208" t="s">
        <v>175</v>
      </c>
      <c r="I1659" s="201" t="s">
        <v>1347</v>
      </c>
      <c r="J1659" s="202"/>
      <c r="K1659" s="202"/>
      <c r="L1659" s="202"/>
      <c r="M1659" s="202"/>
      <c r="N1659" s="202"/>
      <c r="O1659" s="202"/>
      <c r="P1659" s="202"/>
      <c r="Q1659" s="202"/>
      <c r="R1659" s="202"/>
      <c r="S1659" s="202"/>
      <c r="T1659" s="202"/>
    </row>
    <row r="1660" spans="1:20" s="182" customFormat="1" ht="14.15" hidden="1">
      <c r="A1660" s="222">
        <v>45370</v>
      </c>
      <c r="B1660" s="201" t="s">
        <v>1639</v>
      </c>
      <c r="C1660" s="208" t="s">
        <v>146</v>
      </c>
      <c r="D1660" s="592">
        <v>-10000</v>
      </c>
      <c r="E1660" s="619">
        <v>45383</v>
      </c>
      <c r="F1660" s="201" t="s">
        <v>109</v>
      </c>
      <c r="G1660" s="208" t="s">
        <v>120</v>
      </c>
      <c r="H1660" s="208" t="s">
        <v>147</v>
      </c>
      <c r="I1660" s="201" t="s">
        <v>1347</v>
      </c>
      <c r="J1660" s="202"/>
      <c r="K1660" s="202"/>
      <c r="L1660" s="202"/>
      <c r="M1660" s="202"/>
      <c r="N1660" s="202"/>
      <c r="O1660" s="202"/>
      <c r="P1660" s="202"/>
      <c r="Q1660" s="202"/>
      <c r="R1660" s="202"/>
      <c r="S1660" s="202"/>
      <c r="T1660" s="202"/>
    </row>
    <row r="1661" spans="1:20" s="182" customFormat="1" ht="14.15" hidden="1">
      <c r="A1661" s="222">
        <v>45370</v>
      </c>
      <c r="B1661" s="201" t="s">
        <v>1640</v>
      </c>
      <c r="C1661" s="208" t="s">
        <v>146</v>
      </c>
      <c r="D1661" s="592">
        <v>-6000</v>
      </c>
      <c r="E1661" s="619">
        <v>45383</v>
      </c>
      <c r="F1661" s="201" t="s">
        <v>109</v>
      </c>
      <c r="G1661" s="208" t="s">
        <v>120</v>
      </c>
      <c r="H1661" s="208" t="s">
        <v>175</v>
      </c>
      <c r="I1661" s="201" t="s">
        <v>1347</v>
      </c>
      <c r="J1661" s="202"/>
      <c r="K1661" s="202"/>
      <c r="L1661" s="202"/>
      <c r="M1661" s="202"/>
      <c r="N1661" s="202"/>
      <c r="O1661" s="202"/>
      <c r="P1661" s="202"/>
      <c r="Q1661" s="202"/>
      <c r="R1661" s="202"/>
      <c r="S1661" s="202"/>
      <c r="T1661" s="202"/>
    </row>
    <row r="1662" spans="1:20" s="182" customFormat="1" ht="14.15" hidden="1">
      <c r="A1662" s="222">
        <v>45370</v>
      </c>
      <c r="B1662" s="201" t="s">
        <v>1641</v>
      </c>
      <c r="C1662" s="208" t="s">
        <v>146</v>
      </c>
      <c r="D1662" s="592">
        <v>-28000</v>
      </c>
      <c r="E1662" s="619">
        <v>45383</v>
      </c>
      <c r="F1662" s="201" t="s">
        <v>109</v>
      </c>
      <c r="G1662" s="208" t="s">
        <v>120</v>
      </c>
      <c r="H1662" s="208" t="s">
        <v>175</v>
      </c>
      <c r="I1662" s="201" t="s">
        <v>1347</v>
      </c>
      <c r="J1662" s="202"/>
      <c r="K1662" s="202"/>
      <c r="L1662" s="202"/>
      <c r="M1662" s="202"/>
      <c r="N1662" s="202"/>
      <c r="O1662" s="202"/>
      <c r="P1662" s="202"/>
      <c r="Q1662" s="202"/>
      <c r="R1662" s="202"/>
      <c r="S1662" s="202"/>
      <c r="T1662" s="202"/>
    </row>
    <row r="1663" spans="1:20" s="182" customFormat="1" ht="14.15" hidden="1">
      <c r="A1663" s="222">
        <v>45372</v>
      </c>
      <c r="B1663" s="201" t="s">
        <v>1642</v>
      </c>
      <c r="C1663" s="208" t="s">
        <v>146</v>
      </c>
      <c r="D1663" s="592">
        <v>-45000</v>
      </c>
      <c r="E1663" s="619">
        <v>45383</v>
      </c>
      <c r="F1663" s="201" t="s">
        <v>109</v>
      </c>
      <c r="G1663" s="208" t="s">
        <v>120</v>
      </c>
      <c r="H1663" s="201"/>
      <c r="I1663" s="201" t="s">
        <v>1347</v>
      </c>
      <c r="J1663" s="202"/>
      <c r="K1663" s="202"/>
      <c r="L1663" s="202"/>
      <c r="M1663" s="202"/>
      <c r="N1663" s="202"/>
      <c r="O1663" s="202"/>
      <c r="P1663" s="202"/>
      <c r="Q1663" s="202"/>
      <c r="R1663" s="202"/>
      <c r="S1663" s="202"/>
      <c r="T1663" s="202"/>
    </row>
    <row r="1664" spans="1:20" s="182" customFormat="1" ht="14.15" hidden="1">
      <c r="A1664" s="222">
        <v>45372</v>
      </c>
      <c r="B1664" s="201" t="s">
        <v>1643</v>
      </c>
      <c r="C1664" s="208" t="s">
        <v>146</v>
      </c>
      <c r="D1664" s="592">
        <v>-50000</v>
      </c>
      <c r="E1664" s="619">
        <v>45383</v>
      </c>
      <c r="F1664" s="201" t="s">
        <v>109</v>
      </c>
      <c r="G1664" s="208" t="s">
        <v>120</v>
      </c>
      <c r="H1664" s="201"/>
      <c r="I1664" s="201" t="s">
        <v>1347</v>
      </c>
      <c r="J1664" s="202"/>
      <c r="K1664" s="202"/>
      <c r="L1664" s="202"/>
      <c r="M1664" s="202"/>
      <c r="N1664" s="202"/>
      <c r="O1664" s="202"/>
      <c r="P1664" s="202"/>
      <c r="Q1664" s="202"/>
      <c r="R1664" s="202"/>
      <c r="S1664" s="202"/>
      <c r="T1664" s="202"/>
    </row>
    <row r="1665" spans="1:20" s="182" customFormat="1" ht="14.15" hidden="1">
      <c r="A1665" s="222">
        <v>45372</v>
      </c>
      <c r="B1665" s="201" t="s">
        <v>1644</v>
      </c>
      <c r="C1665" s="208" t="s">
        <v>146</v>
      </c>
      <c r="D1665" s="592">
        <v>-38000</v>
      </c>
      <c r="E1665" s="619">
        <v>45383</v>
      </c>
      <c r="F1665" s="201" t="s">
        <v>109</v>
      </c>
      <c r="G1665" s="208" t="s">
        <v>120</v>
      </c>
      <c r="H1665" s="208" t="s">
        <v>175</v>
      </c>
      <c r="I1665" s="201" t="s">
        <v>1347</v>
      </c>
      <c r="J1665" s="202"/>
      <c r="K1665" s="202"/>
      <c r="L1665" s="202"/>
      <c r="M1665" s="202"/>
      <c r="N1665" s="202"/>
      <c r="O1665" s="202"/>
      <c r="P1665" s="202"/>
      <c r="Q1665" s="202"/>
      <c r="R1665" s="202"/>
      <c r="S1665" s="202"/>
      <c r="T1665" s="202"/>
    </row>
    <row r="1666" spans="1:20" s="182" customFormat="1" ht="14.15" hidden="1">
      <c r="A1666" s="222">
        <v>45372</v>
      </c>
      <c r="B1666" s="201" t="s">
        <v>1645</v>
      </c>
      <c r="C1666" s="208" t="s">
        <v>146</v>
      </c>
      <c r="D1666" s="592">
        <v>-20000</v>
      </c>
      <c r="E1666" s="619">
        <v>45383</v>
      </c>
      <c r="F1666" s="201" t="s">
        <v>109</v>
      </c>
      <c r="G1666" s="208" t="s">
        <v>120</v>
      </c>
      <c r="H1666" s="208" t="s">
        <v>147</v>
      </c>
      <c r="I1666" s="201" t="s">
        <v>1347</v>
      </c>
      <c r="J1666" s="202"/>
      <c r="K1666" s="202"/>
      <c r="L1666" s="202"/>
      <c r="M1666" s="202"/>
      <c r="N1666" s="202"/>
      <c r="O1666" s="202"/>
      <c r="P1666" s="202"/>
      <c r="Q1666" s="202"/>
      <c r="R1666" s="202"/>
      <c r="S1666" s="202"/>
      <c r="T1666" s="202"/>
    </row>
    <row r="1667" spans="1:20" s="182" customFormat="1" ht="14.15" hidden="1">
      <c r="A1667" s="222">
        <v>45372</v>
      </c>
      <c r="B1667" s="201" t="s">
        <v>1646</v>
      </c>
      <c r="C1667" s="208" t="s">
        <v>146</v>
      </c>
      <c r="D1667" s="592">
        <v>-207000</v>
      </c>
      <c r="E1667" s="619">
        <v>45383</v>
      </c>
      <c r="F1667" s="201" t="s">
        <v>109</v>
      </c>
      <c r="G1667" s="208" t="s">
        <v>120</v>
      </c>
      <c r="H1667" s="208" t="s">
        <v>175</v>
      </c>
      <c r="I1667" s="201" t="s">
        <v>1347</v>
      </c>
      <c r="J1667" s="202"/>
      <c r="K1667" s="202"/>
      <c r="L1667" s="202"/>
      <c r="M1667" s="202"/>
      <c r="N1667" s="202"/>
      <c r="O1667" s="202"/>
      <c r="P1667" s="202"/>
      <c r="Q1667" s="202"/>
      <c r="R1667" s="202"/>
      <c r="S1667" s="202"/>
      <c r="T1667" s="202"/>
    </row>
    <row r="1668" spans="1:20" s="182" customFormat="1" ht="14.15" hidden="1">
      <c r="A1668" s="222">
        <v>45372</v>
      </c>
      <c r="B1668" s="201" t="s">
        <v>1647</v>
      </c>
      <c r="C1668" s="208" t="s">
        <v>146</v>
      </c>
      <c r="D1668" s="592">
        <v>-50000</v>
      </c>
      <c r="E1668" s="619">
        <v>45383</v>
      </c>
      <c r="F1668" s="201" t="s">
        <v>109</v>
      </c>
      <c r="G1668" s="208" t="s">
        <v>120</v>
      </c>
      <c r="H1668" s="81" t="s">
        <v>138</v>
      </c>
      <c r="I1668" s="201" t="s">
        <v>1347</v>
      </c>
      <c r="J1668" s="202"/>
      <c r="K1668" s="202"/>
      <c r="L1668" s="202"/>
      <c r="M1668" s="202"/>
      <c r="N1668" s="202"/>
      <c r="O1668" s="202"/>
      <c r="P1668" s="202"/>
      <c r="Q1668" s="202"/>
      <c r="R1668" s="202"/>
      <c r="S1668" s="202"/>
      <c r="T1668" s="202"/>
    </row>
    <row r="1669" spans="1:20" s="182" customFormat="1" ht="14.15" hidden="1">
      <c r="A1669" s="222">
        <v>45372</v>
      </c>
      <c r="B1669" s="201" t="s">
        <v>1648</v>
      </c>
      <c r="C1669" s="208" t="s">
        <v>146</v>
      </c>
      <c r="D1669" s="592">
        <v>-20000</v>
      </c>
      <c r="E1669" s="619">
        <v>45383</v>
      </c>
      <c r="F1669" s="201" t="s">
        <v>109</v>
      </c>
      <c r="G1669" s="208" t="s">
        <v>120</v>
      </c>
      <c r="H1669" s="208" t="s">
        <v>175</v>
      </c>
      <c r="I1669" s="201" t="s">
        <v>1347</v>
      </c>
      <c r="J1669" s="202"/>
      <c r="K1669" s="202"/>
      <c r="L1669" s="202"/>
      <c r="M1669" s="202"/>
      <c r="N1669" s="202"/>
      <c r="O1669" s="202"/>
      <c r="P1669" s="202"/>
      <c r="Q1669" s="202"/>
      <c r="R1669" s="202"/>
      <c r="S1669" s="202"/>
      <c r="T1669" s="202"/>
    </row>
    <row r="1670" spans="1:20" s="182" customFormat="1" ht="14.15" hidden="1">
      <c r="A1670" s="222">
        <v>45373</v>
      </c>
      <c r="B1670" s="201" t="s">
        <v>1649</v>
      </c>
      <c r="C1670" s="208" t="s">
        <v>146</v>
      </c>
      <c r="D1670" s="592">
        <v>-144000</v>
      </c>
      <c r="E1670" s="619">
        <v>45383</v>
      </c>
      <c r="F1670" s="201" t="s">
        <v>109</v>
      </c>
      <c r="G1670" s="208" t="s">
        <v>120</v>
      </c>
      <c r="H1670" s="208" t="s">
        <v>175</v>
      </c>
      <c r="I1670" s="201" t="s">
        <v>1347</v>
      </c>
      <c r="J1670" s="202"/>
      <c r="K1670" s="202"/>
      <c r="L1670" s="202"/>
      <c r="M1670" s="202"/>
      <c r="N1670" s="202"/>
      <c r="O1670" s="202"/>
      <c r="P1670" s="202"/>
      <c r="Q1670" s="202"/>
      <c r="R1670" s="202"/>
      <c r="S1670" s="202"/>
      <c r="T1670" s="202"/>
    </row>
    <row r="1671" spans="1:20" s="182" customFormat="1" ht="14.15" hidden="1">
      <c r="A1671" s="222">
        <v>45373</v>
      </c>
      <c r="B1671" s="201" t="s">
        <v>1650</v>
      </c>
      <c r="C1671" s="208" t="s">
        <v>146</v>
      </c>
      <c r="D1671" s="592">
        <v>-20000</v>
      </c>
      <c r="E1671" s="619">
        <v>45383</v>
      </c>
      <c r="F1671" s="201" t="s">
        <v>109</v>
      </c>
      <c r="G1671" s="208" t="s">
        <v>120</v>
      </c>
      <c r="H1671" s="81" t="s">
        <v>138</v>
      </c>
      <c r="I1671" s="201" t="s">
        <v>1347</v>
      </c>
      <c r="J1671" s="202"/>
      <c r="K1671" s="202"/>
      <c r="L1671" s="202"/>
      <c r="M1671" s="202"/>
      <c r="N1671" s="202"/>
      <c r="O1671" s="202"/>
      <c r="P1671" s="202"/>
      <c r="Q1671" s="202"/>
      <c r="R1671" s="202"/>
      <c r="S1671" s="202"/>
      <c r="T1671" s="202"/>
    </row>
    <row r="1672" spans="1:20" s="182" customFormat="1" ht="14.15" hidden="1">
      <c r="A1672" s="222">
        <v>45373</v>
      </c>
      <c r="B1672" s="201" t="s">
        <v>1651</v>
      </c>
      <c r="C1672" s="208" t="s">
        <v>146</v>
      </c>
      <c r="D1672" s="592">
        <v>-20000</v>
      </c>
      <c r="E1672" s="619">
        <v>45383</v>
      </c>
      <c r="F1672" s="201" t="s">
        <v>109</v>
      </c>
      <c r="G1672" s="208" t="s">
        <v>120</v>
      </c>
      <c r="H1672" s="208" t="s">
        <v>147</v>
      </c>
      <c r="I1672" s="201" t="s">
        <v>1347</v>
      </c>
      <c r="J1672" s="202"/>
      <c r="K1672" s="202"/>
      <c r="L1672" s="202"/>
      <c r="M1672" s="202"/>
      <c r="N1672" s="202"/>
      <c r="O1672" s="202"/>
      <c r="P1672" s="202"/>
      <c r="Q1672" s="202"/>
      <c r="R1672" s="202"/>
      <c r="S1672" s="202"/>
      <c r="T1672" s="202"/>
    </row>
    <row r="1673" spans="1:20" s="182" customFormat="1" ht="14.15" hidden="1">
      <c r="A1673" s="222">
        <v>45373</v>
      </c>
      <c r="B1673" s="201" t="s">
        <v>1647</v>
      </c>
      <c r="C1673" s="208" t="s">
        <v>146</v>
      </c>
      <c r="D1673" s="592">
        <v>-50000</v>
      </c>
      <c r="E1673" s="619">
        <v>45383</v>
      </c>
      <c r="F1673" s="201" t="s">
        <v>109</v>
      </c>
      <c r="G1673" s="208" t="s">
        <v>120</v>
      </c>
      <c r="H1673" s="81" t="s">
        <v>138</v>
      </c>
      <c r="I1673" s="201" t="s">
        <v>1347</v>
      </c>
      <c r="J1673" s="202"/>
      <c r="K1673" s="202"/>
      <c r="L1673" s="202"/>
      <c r="M1673" s="202"/>
      <c r="N1673" s="202"/>
      <c r="O1673" s="202"/>
      <c r="P1673" s="202"/>
      <c r="Q1673" s="202"/>
      <c r="R1673" s="202"/>
      <c r="S1673" s="202"/>
      <c r="T1673" s="202"/>
    </row>
    <row r="1674" spans="1:20" s="182" customFormat="1" ht="14.15" hidden="1">
      <c r="A1674" s="222">
        <v>45374</v>
      </c>
      <c r="B1674" s="201" t="s">
        <v>1652</v>
      </c>
      <c r="C1674" s="208" t="s">
        <v>146</v>
      </c>
      <c r="D1674" s="592">
        <v>-110000</v>
      </c>
      <c r="E1674" s="619">
        <v>45383</v>
      </c>
      <c r="F1674" s="201" t="s">
        <v>109</v>
      </c>
      <c r="G1674" s="208" t="s">
        <v>120</v>
      </c>
      <c r="H1674" s="208" t="s">
        <v>147</v>
      </c>
      <c r="I1674" s="201" t="s">
        <v>1347</v>
      </c>
      <c r="J1674" s="202"/>
      <c r="K1674" s="202"/>
      <c r="L1674" s="202"/>
      <c r="M1674" s="202"/>
      <c r="N1674" s="202"/>
      <c r="O1674" s="202"/>
      <c r="P1674" s="202"/>
      <c r="Q1674" s="202"/>
      <c r="R1674" s="202"/>
      <c r="S1674" s="202"/>
      <c r="T1674" s="202"/>
    </row>
    <row r="1675" spans="1:20" s="182" customFormat="1" ht="14.15" hidden="1">
      <c r="A1675" s="222">
        <v>45374</v>
      </c>
      <c r="B1675" s="201" t="s">
        <v>1653</v>
      </c>
      <c r="C1675" s="208" t="s">
        <v>146</v>
      </c>
      <c r="D1675" s="592">
        <v>-20000</v>
      </c>
      <c r="E1675" s="619">
        <v>45383</v>
      </c>
      <c r="F1675" s="201" t="s">
        <v>109</v>
      </c>
      <c r="G1675" s="208" t="s">
        <v>120</v>
      </c>
      <c r="H1675" s="81" t="s">
        <v>138</v>
      </c>
      <c r="I1675" s="201" t="s">
        <v>1347</v>
      </c>
      <c r="J1675" s="202"/>
      <c r="K1675" s="202"/>
      <c r="L1675" s="202"/>
      <c r="M1675" s="202"/>
      <c r="N1675" s="202"/>
      <c r="O1675" s="202"/>
      <c r="P1675" s="202"/>
      <c r="Q1675" s="202"/>
      <c r="R1675" s="202"/>
      <c r="S1675" s="202"/>
      <c r="T1675" s="202"/>
    </row>
    <row r="1676" spans="1:20" s="182" customFormat="1" ht="14.15" hidden="1">
      <c r="A1676" s="222">
        <v>45374</v>
      </c>
      <c r="B1676" s="201" t="s">
        <v>1654</v>
      </c>
      <c r="C1676" s="208" t="s">
        <v>146</v>
      </c>
      <c r="D1676" s="592">
        <v>-20000</v>
      </c>
      <c r="E1676" s="619">
        <v>45383</v>
      </c>
      <c r="F1676" s="201" t="s">
        <v>109</v>
      </c>
      <c r="G1676" s="208" t="s">
        <v>120</v>
      </c>
      <c r="H1676" s="81" t="s">
        <v>138</v>
      </c>
      <c r="I1676" s="201" t="s">
        <v>1347</v>
      </c>
      <c r="J1676" s="202"/>
      <c r="K1676" s="202"/>
      <c r="L1676" s="202"/>
      <c r="M1676" s="202"/>
      <c r="N1676" s="202"/>
      <c r="O1676" s="202"/>
      <c r="P1676" s="202"/>
      <c r="Q1676" s="202"/>
      <c r="R1676" s="202"/>
      <c r="S1676" s="202"/>
      <c r="T1676" s="202"/>
    </row>
    <row r="1677" spans="1:20" s="182" customFormat="1" ht="14.15" hidden="1">
      <c r="A1677" s="222">
        <v>45374</v>
      </c>
      <c r="B1677" s="201" t="s">
        <v>1655</v>
      </c>
      <c r="C1677" s="208" t="s">
        <v>146</v>
      </c>
      <c r="D1677" s="592">
        <v>-20000</v>
      </c>
      <c r="E1677" s="619">
        <v>45383</v>
      </c>
      <c r="F1677" s="201" t="s">
        <v>109</v>
      </c>
      <c r="G1677" s="208" t="s">
        <v>120</v>
      </c>
      <c r="H1677" s="81" t="s">
        <v>138</v>
      </c>
      <c r="I1677" s="201" t="s">
        <v>1347</v>
      </c>
      <c r="J1677" s="202"/>
      <c r="K1677" s="202"/>
      <c r="L1677" s="202"/>
      <c r="M1677" s="202"/>
      <c r="N1677" s="202"/>
      <c r="O1677" s="202"/>
      <c r="P1677" s="202"/>
      <c r="Q1677" s="202"/>
      <c r="R1677" s="202"/>
      <c r="S1677" s="202"/>
      <c r="T1677" s="202"/>
    </row>
    <row r="1678" spans="1:20" s="182" customFormat="1" ht="14.15" hidden="1">
      <c r="A1678" s="222">
        <v>45374</v>
      </c>
      <c r="B1678" s="201" t="s">
        <v>1656</v>
      </c>
      <c r="C1678" s="208" t="s">
        <v>146</v>
      </c>
      <c r="D1678" s="592">
        <v>-13900</v>
      </c>
      <c r="E1678" s="619">
        <v>45383</v>
      </c>
      <c r="F1678" s="201" t="s">
        <v>109</v>
      </c>
      <c r="G1678" s="208" t="s">
        <v>120</v>
      </c>
      <c r="H1678" s="208" t="s">
        <v>147</v>
      </c>
      <c r="I1678" s="201" t="s">
        <v>1347</v>
      </c>
      <c r="J1678" s="202"/>
      <c r="K1678" s="202"/>
      <c r="L1678" s="202"/>
      <c r="M1678" s="202"/>
      <c r="N1678" s="202"/>
      <c r="O1678" s="202"/>
      <c r="P1678" s="202"/>
      <c r="Q1678" s="202"/>
      <c r="R1678" s="202"/>
      <c r="S1678" s="202"/>
      <c r="T1678" s="202"/>
    </row>
    <row r="1679" spans="1:20" s="182" customFormat="1" ht="14.15" hidden="1">
      <c r="A1679" s="222">
        <v>45374</v>
      </c>
      <c r="B1679" s="201" t="s">
        <v>1657</v>
      </c>
      <c r="C1679" s="208" t="s">
        <v>146</v>
      </c>
      <c r="D1679" s="592">
        <v>-3000</v>
      </c>
      <c r="E1679" s="619">
        <v>45383</v>
      </c>
      <c r="F1679" s="201" t="s">
        <v>109</v>
      </c>
      <c r="G1679" s="208" t="s">
        <v>120</v>
      </c>
      <c r="H1679" s="208" t="s">
        <v>147</v>
      </c>
      <c r="I1679" s="201" t="s">
        <v>1347</v>
      </c>
      <c r="J1679" s="202"/>
      <c r="K1679" s="202"/>
      <c r="L1679" s="202"/>
      <c r="M1679" s="202"/>
      <c r="N1679" s="202"/>
      <c r="O1679" s="202"/>
      <c r="P1679" s="202"/>
      <c r="Q1679" s="202"/>
      <c r="R1679" s="202"/>
      <c r="S1679" s="202"/>
      <c r="T1679" s="202"/>
    </row>
    <row r="1680" spans="1:20" s="182" customFormat="1" ht="14.15" hidden="1">
      <c r="A1680" s="222">
        <v>45374</v>
      </c>
      <c r="B1680" s="201" t="s">
        <v>1658</v>
      </c>
      <c r="C1680" s="208" t="s">
        <v>146</v>
      </c>
      <c r="D1680" s="592">
        <v>-18000</v>
      </c>
      <c r="E1680" s="619">
        <v>45383</v>
      </c>
      <c r="F1680" s="201" t="s">
        <v>109</v>
      </c>
      <c r="G1680" s="208" t="s">
        <v>120</v>
      </c>
      <c r="H1680" s="208" t="s">
        <v>147</v>
      </c>
      <c r="I1680" s="201" t="s">
        <v>1347</v>
      </c>
      <c r="J1680" s="202"/>
      <c r="K1680" s="202"/>
      <c r="L1680" s="202"/>
      <c r="M1680" s="202"/>
      <c r="N1680" s="202"/>
      <c r="O1680" s="202"/>
      <c r="P1680" s="202"/>
      <c r="Q1680" s="202"/>
      <c r="R1680" s="202"/>
      <c r="S1680" s="202"/>
      <c r="T1680" s="202"/>
    </row>
    <row r="1681" spans="1:20" s="182" customFormat="1" ht="14.15" hidden="1">
      <c r="A1681" s="222">
        <v>45374</v>
      </c>
      <c r="B1681" s="201" t="s">
        <v>1659</v>
      </c>
      <c r="C1681" s="208" t="s">
        <v>146</v>
      </c>
      <c r="D1681" s="592">
        <v>-66000</v>
      </c>
      <c r="E1681" s="619">
        <v>45383</v>
      </c>
      <c r="F1681" s="201" t="s">
        <v>109</v>
      </c>
      <c r="G1681" s="208" t="s">
        <v>120</v>
      </c>
      <c r="H1681" s="208" t="s">
        <v>147</v>
      </c>
      <c r="I1681" s="201" t="s">
        <v>1347</v>
      </c>
      <c r="J1681" s="202"/>
      <c r="K1681" s="202"/>
      <c r="L1681" s="202"/>
      <c r="M1681" s="202"/>
      <c r="N1681" s="202"/>
      <c r="O1681" s="202"/>
      <c r="P1681" s="202"/>
      <c r="Q1681" s="202"/>
      <c r="R1681" s="202"/>
      <c r="S1681" s="202"/>
      <c r="T1681" s="202"/>
    </row>
    <row r="1682" spans="1:20" s="182" customFormat="1" ht="14.15" hidden="1">
      <c r="A1682" s="222">
        <v>45375</v>
      </c>
      <c r="B1682" s="201" t="s">
        <v>1660</v>
      </c>
      <c r="C1682" s="208" t="s">
        <v>146</v>
      </c>
      <c r="D1682" s="592">
        <v>-40000</v>
      </c>
      <c r="E1682" s="619">
        <v>45383</v>
      </c>
      <c r="F1682" s="201" t="s">
        <v>109</v>
      </c>
      <c r="G1682" s="208" t="s">
        <v>120</v>
      </c>
      <c r="H1682" s="81" t="s">
        <v>138</v>
      </c>
      <c r="I1682" s="201" t="s">
        <v>1347</v>
      </c>
      <c r="J1682" s="202"/>
      <c r="K1682" s="202"/>
      <c r="L1682" s="202"/>
      <c r="M1682" s="202"/>
      <c r="N1682" s="202"/>
      <c r="O1682" s="202"/>
      <c r="P1682" s="202"/>
      <c r="Q1682" s="202"/>
      <c r="R1682" s="202"/>
      <c r="S1682" s="202"/>
      <c r="T1682" s="202"/>
    </row>
    <row r="1683" spans="1:20" s="182" customFormat="1" ht="14.15" hidden="1">
      <c r="A1683" s="222">
        <v>45375</v>
      </c>
      <c r="B1683" s="201" t="s">
        <v>1661</v>
      </c>
      <c r="C1683" s="208" t="s">
        <v>146</v>
      </c>
      <c r="D1683" s="592">
        <v>-10000</v>
      </c>
      <c r="E1683" s="619">
        <v>45383</v>
      </c>
      <c r="F1683" s="201" t="s">
        <v>109</v>
      </c>
      <c r="G1683" s="208" t="s">
        <v>120</v>
      </c>
      <c r="H1683" s="208" t="s">
        <v>147</v>
      </c>
      <c r="I1683" s="201" t="s">
        <v>1347</v>
      </c>
      <c r="J1683" s="202"/>
      <c r="K1683" s="202"/>
      <c r="L1683" s="202"/>
      <c r="M1683" s="202"/>
      <c r="N1683" s="202"/>
      <c r="O1683" s="202"/>
      <c r="P1683" s="202"/>
      <c r="Q1683" s="202"/>
      <c r="R1683" s="202"/>
      <c r="S1683" s="202"/>
      <c r="T1683" s="202"/>
    </row>
    <row r="1684" spans="1:20" s="182" customFormat="1" ht="14.15" hidden="1">
      <c r="A1684" s="222">
        <v>45375</v>
      </c>
      <c r="B1684" s="201" t="s">
        <v>1662</v>
      </c>
      <c r="C1684" s="208" t="s">
        <v>146</v>
      </c>
      <c r="D1684" s="592">
        <v>-40000</v>
      </c>
      <c r="E1684" s="619">
        <v>45383</v>
      </c>
      <c r="F1684" s="201" t="s">
        <v>109</v>
      </c>
      <c r="G1684" s="208" t="s">
        <v>120</v>
      </c>
      <c r="H1684" s="81" t="s">
        <v>138</v>
      </c>
      <c r="I1684" s="201" t="s">
        <v>1347</v>
      </c>
      <c r="J1684" s="202"/>
      <c r="K1684" s="202"/>
      <c r="L1684" s="202"/>
      <c r="M1684" s="202"/>
      <c r="N1684" s="202"/>
      <c r="O1684" s="202"/>
      <c r="P1684" s="202"/>
      <c r="Q1684" s="202"/>
      <c r="R1684" s="202"/>
      <c r="S1684" s="202"/>
      <c r="T1684" s="202"/>
    </row>
    <row r="1685" spans="1:20" s="182" customFormat="1" ht="14.15" hidden="1">
      <c r="A1685" s="222">
        <v>45376</v>
      </c>
      <c r="B1685" s="201" t="s">
        <v>1663</v>
      </c>
      <c r="C1685" s="208" t="s">
        <v>146</v>
      </c>
      <c r="D1685" s="592">
        <v>-30000</v>
      </c>
      <c r="E1685" s="619">
        <v>45383</v>
      </c>
      <c r="F1685" s="201" t="s">
        <v>109</v>
      </c>
      <c r="G1685" s="208" t="s">
        <v>120</v>
      </c>
      <c r="H1685" s="201"/>
      <c r="I1685" s="201" t="s">
        <v>1347</v>
      </c>
      <c r="J1685" s="202"/>
      <c r="K1685" s="202"/>
      <c r="L1685" s="202"/>
      <c r="M1685" s="202"/>
      <c r="N1685" s="202"/>
      <c r="O1685" s="202"/>
      <c r="P1685" s="202"/>
      <c r="Q1685" s="202"/>
      <c r="R1685" s="202"/>
      <c r="S1685" s="202"/>
      <c r="T1685" s="202"/>
    </row>
    <row r="1686" spans="1:20" s="182" customFormat="1" ht="14.15" hidden="1">
      <c r="A1686" s="222">
        <v>45377</v>
      </c>
      <c r="B1686" s="201" t="s">
        <v>1664</v>
      </c>
      <c r="C1686" s="208" t="s">
        <v>146</v>
      </c>
      <c r="D1686" s="592">
        <v>-12900</v>
      </c>
      <c r="E1686" s="619">
        <v>45383</v>
      </c>
      <c r="F1686" s="201" t="s">
        <v>109</v>
      </c>
      <c r="G1686" s="208" t="s">
        <v>120</v>
      </c>
      <c r="H1686" s="81" t="s">
        <v>138</v>
      </c>
      <c r="I1686" s="201" t="s">
        <v>1347</v>
      </c>
      <c r="J1686" s="202"/>
      <c r="K1686" s="202"/>
      <c r="L1686" s="202"/>
      <c r="M1686" s="202"/>
      <c r="N1686" s="202"/>
      <c r="O1686" s="202"/>
      <c r="P1686" s="202"/>
      <c r="Q1686" s="202"/>
      <c r="R1686" s="202"/>
      <c r="S1686" s="202"/>
      <c r="T1686" s="202"/>
    </row>
    <row r="1687" spans="1:20" s="182" customFormat="1" ht="14.15" hidden="1">
      <c r="A1687" s="222">
        <v>45378</v>
      </c>
      <c r="B1687" s="627" t="s">
        <v>1665</v>
      </c>
      <c r="C1687" s="208" t="s">
        <v>146</v>
      </c>
      <c r="D1687" s="592">
        <v>-12900</v>
      </c>
      <c r="E1687" s="619">
        <v>45383</v>
      </c>
      <c r="F1687" s="201" t="s">
        <v>109</v>
      </c>
      <c r="G1687" s="208" t="s">
        <v>120</v>
      </c>
      <c r="H1687" s="81" t="s">
        <v>138</v>
      </c>
      <c r="I1687" s="201" t="s">
        <v>1347</v>
      </c>
      <c r="J1687" s="202"/>
      <c r="K1687" s="202"/>
      <c r="L1687" s="202"/>
      <c r="M1687" s="202"/>
      <c r="N1687" s="202"/>
      <c r="O1687" s="202"/>
      <c r="P1687" s="202"/>
      <c r="Q1687" s="202"/>
      <c r="R1687" s="202"/>
      <c r="S1687" s="202"/>
      <c r="T1687" s="202"/>
    </row>
    <row r="1688" spans="1:20" s="203" customFormat="1" ht="14.15" hidden="1">
      <c r="A1688" s="222">
        <v>45378</v>
      </c>
      <c r="B1688" s="627" t="s">
        <v>1666</v>
      </c>
      <c r="C1688" s="208" t="s">
        <v>146</v>
      </c>
      <c r="D1688" s="592">
        <v>-43000</v>
      </c>
      <c r="E1688" s="619">
        <v>45383</v>
      </c>
      <c r="F1688" s="201" t="s">
        <v>109</v>
      </c>
      <c r="G1688" s="208" t="s">
        <v>120</v>
      </c>
      <c r="H1688" s="201"/>
      <c r="I1688" s="201" t="s">
        <v>1347</v>
      </c>
      <c r="J1688" s="202"/>
      <c r="K1688" s="202"/>
      <c r="L1688" s="202"/>
      <c r="M1688" s="202"/>
      <c r="N1688" s="202"/>
      <c r="O1688" s="202"/>
      <c r="P1688" s="202"/>
      <c r="Q1688" s="202"/>
      <c r="R1688" s="202"/>
      <c r="S1688" s="202"/>
      <c r="T1688" s="202"/>
    </row>
    <row r="1689" spans="1:20" s="182" customFormat="1" ht="14.15" hidden="1">
      <c r="A1689" s="222">
        <v>45378</v>
      </c>
      <c r="B1689" s="201" t="s">
        <v>1667</v>
      </c>
      <c r="C1689" s="208" t="s">
        <v>146</v>
      </c>
      <c r="D1689" s="592">
        <v>-50000</v>
      </c>
      <c r="E1689" s="619">
        <v>45383</v>
      </c>
      <c r="F1689" s="201" t="s">
        <v>109</v>
      </c>
      <c r="G1689" s="208" t="s">
        <v>120</v>
      </c>
      <c r="H1689" s="208" t="s">
        <v>147</v>
      </c>
      <c r="I1689" s="201" t="s">
        <v>1347</v>
      </c>
      <c r="J1689" s="202"/>
      <c r="K1689" s="202"/>
      <c r="L1689" s="202"/>
      <c r="M1689" s="202"/>
      <c r="N1689" s="202"/>
      <c r="O1689" s="202"/>
      <c r="P1689" s="202"/>
      <c r="Q1689" s="202"/>
      <c r="R1689" s="202"/>
      <c r="S1689" s="202"/>
      <c r="T1689" s="202"/>
    </row>
    <row r="1690" spans="1:20" s="182" customFormat="1" ht="14.15" hidden="1">
      <c r="A1690" s="222">
        <v>45390</v>
      </c>
      <c r="B1690" s="201" t="s">
        <v>1617</v>
      </c>
      <c r="C1690" s="208" t="s">
        <v>643</v>
      </c>
      <c r="D1690" s="592">
        <v>-189510275</v>
      </c>
      <c r="E1690" s="619">
        <v>45383</v>
      </c>
      <c r="F1690" s="201" t="s">
        <v>109</v>
      </c>
      <c r="G1690" s="208" t="s">
        <v>120</v>
      </c>
      <c r="H1690" s="201"/>
      <c r="I1690" s="201"/>
      <c r="J1690" s="202"/>
      <c r="K1690" s="202"/>
      <c r="L1690" s="202"/>
      <c r="M1690" s="202"/>
      <c r="N1690" s="202"/>
      <c r="O1690" s="202"/>
      <c r="P1690" s="202"/>
      <c r="Q1690" s="202"/>
      <c r="R1690" s="202"/>
      <c r="S1690" s="202"/>
      <c r="T1690" s="202"/>
    </row>
    <row r="1691" spans="1:20" s="182" customFormat="1" ht="14.15" hidden="1">
      <c r="A1691" s="222">
        <v>45384</v>
      </c>
      <c r="B1691" s="201" t="s">
        <v>1668</v>
      </c>
      <c r="C1691" s="208" t="s">
        <v>27</v>
      </c>
      <c r="D1691" s="592">
        <v>-173000</v>
      </c>
      <c r="E1691" s="619">
        <v>45383</v>
      </c>
      <c r="F1691" s="201" t="s">
        <v>130</v>
      </c>
      <c r="G1691" s="201" t="s">
        <v>130</v>
      </c>
      <c r="H1691" s="201" t="s">
        <v>1175</v>
      </c>
      <c r="I1691" s="201"/>
      <c r="J1691" s="202"/>
      <c r="K1691" s="202"/>
      <c r="L1691" s="202"/>
      <c r="M1691" s="202"/>
      <c r="N1691" s="202"/>
      <c r="O1691" s="202"/>
      <c r="P1691" s="202"/>
      <c r="Q1691" s="202"/>
      <c r="R1691" s="202"/>
      <c r="S1691" s="202"/>
      <c r="T1691" s="202"/>
    </row>
    <row r="1692" spans="1:20" s="182" customFormat="1" ht="14.15" hidden="1">
      <c r="A1692" s="222">
        <v>45384</v>
      </c>
      <c r="B1692" s="201" t="s">
        <v>1669</v>
      </c>
      <c r="C1692" s="208" t="s">
        <v>27</v>
      </c>
      <c r="D1692" s="592">
        <v>-1185000</v>
      </c>
      <c r="E1692" s="619">
        <v>45383</v>
      </c>
      <c r="F1692" s="201" t="s">
        <v>109</v>
      </c>
      <c r="G1692" s="201" t="s">
        <v>918</v>
      </c>
      <c r="H1692" s="201" t="s">
        <v>363</v>
      </c>
      <c r="I1692" s="201"/>
      <c r="J1692" s="202"/>
      <c r="K1692" s="202"/>
      <c r="L1692" s="202"/>
      <c r="M1692" s="202"/>
      <c r="N1692" s="202"/>
      <c r="O1692" s="202"/>
      <c r="P1692" s="202"/>
      <c r="Q1692" s="202"/>
      <c r="R1692" s="202"/>
      <c r="S1692" s="202"/>
      <c r="T1692" s="202"/>
    </row>
    <row r="1693" spans="1:20" s="182" customFormat="1" ht="14.15" hidden="1">
      <c r="A1693" s="222">
        <v>45384</v>
      </c>
      <c r="B1693" s="201" t="s">
        <v>1670</v>
      </c>
      <c r="C1693" s="208" t="s">
        <v>27</v>
      </c>
      <c r="D1693" s="592">
        <v>-1240000</v>
      </c>
      <c r="E1693" s="619">
        <v>45383</v>
      </c>
      <c r="F1693" s="201" t="s">
        <v>109</v>
      </c>
      <c r="G1693" s="208" t="s">
        <v>120</v>
      </c>
      <c r="H1693" s="201"/>
      <c r="I1693" s="201"/>
      <c r="J1693" s="202"/>
      <c r="K1693" s="202"/>
      <c r="L1693" s="202"/>
      <c r="M1693" s="202"/>
      <c r="N1693" s="202"/>
      <c r="O1693" s="202"/>
      <c r="P1693" s="202"/>
      <c r="Q1693" s="202"/>
      <c r="R1693" s="202"/>
      <c r="S1693" s="202"/>
      <c r="T1693" s="202"/>
    </row>
    <row r="1694" spans="1:20" s="182" customFormat="1" ht="14.15" hidden="1">
      <c r="A1694" s="222">
        <v>45384</v>
      </c>
      <c r="B1694" s="201" t="s">
        <v>1619</v>
      </c>
      <c r="C1694" s="208" t="s">
        <v>27</v>
      </c>
      <c r="D1694" s="592">
        <v>-500490</v>
      </c>
      <c r="E1694" s="619">
        <v>45383</v>
      </c>
      <c r="F1694" s="201" t="s">
        <v>130</v>
      </c>
      <c r="G1694" s="201" t="s">
        <v>130</v>
      </c>
      <c r="H1694" s="201" t="s">
        <v>323</v>
      </c>
      <c r="I1694" s="201"/>
      <c r="J1694" s="202"/>
      <c r="K1694" s="202"/>
      <c r="L1694" s="202"/>
      <c r="M1694" s="202"/>
      <c r="N1694" s="202"/>
      <c r="O1694" s="202"/>
      <c r="P1694" s="202"/>
      <c r="Q1694" s="202"/>
      <c r="R1694" s="202"/>
      <c r="S1694" s="202"/>
      <c r="T1694" s="202"/>
    </row>
    <row r="1695" spans="1:20" s="182" customFormat="1" ht="14.15" hidden="1">
      <c r="A1695" s="222">
        <v>45384</v>
      </c>
      <c r="B1695" s="201" t="s">
        <v>1333</v>
      </c>
      <c r="C1695" s="208" t="s">
        <v>27</v>
      </c>
      <c r="D1695" s="592">
        <v>-7900</v>
      </c>
      <c r="E1695" s="619">
        <v>45383</v>
      </c>
      <c r="F1695" s="201" t="s">
        <v>130</v>
      </c>
      <c r="G1695" s="201" t="s">
        <v>130</v>
      </c>
      <c r="H1695" s="201" t="s">
        <v>184</v>
      </c>
      <c r="I1695" s="201"/>
      <c r="J1695" s="202"/>
      <c r="K1695" s="202"/>
      <c r="L1695" s="202"/>
      <c r="M1695" s="202"/>
      <c r="N1695" s="202"/>
      <c r="O1695" s="202"/>
      <c r="P1695" s="202"/>
      <c r="Q1695" s="202"/>
      <c r="R1695" s="202"/>
      <c r="S1695" s="202"/>
      <c r="T1695" s="202"/>
    </row>
    <row r="1696" spans="1:20" s="182" customFormat="1" ht="14.15" hidden="1">
      <c r="A1696" s="222">
        <v>45384</v>
      </c>
      <c r="B1696" s="201" t="s">
        <v>1671</v>
      </c>
      <c r="C1696" s="208" t="s">
        <v>27</v>
      </c>
      <c r="D1696" s="592">
        <v>-6604500</v>
      </c>
      <c r="E1696" s="619">
        <v>45383</v>
      </c>
      <c r="F1696" s="201" t="s">
        <v>109</v>
      </c>
      <c r="G1696" s="208" t="s">
        <v>120</v>
      </c>
      <c r="H1696" s="201"/>
      <c r="I1696" s="201"/>
      <c r="J1696" s="202"/>
      <c r="K1696" s="202"/>
      <c r="L1696" s="202"/>
      <c r="M1696" s="202"/>
      <c r="N1696" s="202"/>
      <c r="O1696" s="202"/>
      <c r="P1696" s="202"/>
      <c r="Q1696" s="202"/>
      <c r="R1696" s="202"/>
      <c r="S1696" s="202"/>
      <c r="T1696" s="202"/>
    </row>
    <row r="1697" spans="1:149" s="182" customFormat="1" ht="14.15" hidden="1">
      <c r="A1697" s="222">
        <v>45384</v>
      </c>
      <c r="B1697" s="201" t="s">
        <v>1672</v>
      </c>
      <c r="C1697" s="208" t="s">
        <v>27</v>
      </c>
      <c r="D1697" s="592">
        <v>-20900</v>
      </c>
      <c r="E1697" s="619">
        <v>45383</v>
      </c>
      <c r="F1697" s="201" t="s">
        <v>109</v>
      </c>
      <c r="G1697" s="201" t="s">
        <v>150</v>
      </c>
      <c r="H1697" s="201"/>
      <c r="I1697" s="201"/>
      <c r="J1697" s="202"/>
      <c r="K1697" s="202"/>
      <c r="L1697" s="202"/>
      <c r="M1697" s="202"/>
      <c r="N1697" s="202"/>
      <c r="O1697" s="202"/>
      <c r="P1697" s="202"/>
      <c r="Q1697" s="202"/>
      <c r="R1697" s="202"/>
      <c r="S1697" s="202"/>
      <c r="T1697" s="202"/>
    </row>
    <row r="1698" spans="1:149" s="182" customFormat="1" ht="14.15" hidden="1">
      <c r="A1698" s="222">
        <v>45385</v>
      </c>
      <c r="B1698" s="201" t="s">
        <v>1673</v>
      </c>
      <c r="C1698" s="208" t="s">
        <v>27</v>
      </c>
      <c r="D1698" s="592">
        <v>-218532</v>
      </c>
      <c r="E1698" s="619">
        <v>45383</v>
      </c>
      <c r="F1698" s="201" t="s">
        <v>110</v>
      </c>
      <c r="G1698" s="208" t="s">
        <v>450</v>
      </c>
      <c r="H1698" s="201" t="s">
        <v>310</v>
      </c>
      <c r="I1698" s="201"/>
      <c r="J1698" s="202"/>
      <c r="K1698" s="202"/>
      <c r="L1698" s="202"/>
      <c r="M1698" s="202"/>
      <c r="N1698" s="202"/>
      <c r="O1698" s="202"/>
      <c r="P1698" s="202"/>
      <c r="Q1698" s="202"/>
      <c r="R1698" s="202"/>
      <c r="S1698" s="202"/>
      <c r="T1698" s="202"/>
    </row>
    <row r="1699" spans="1:149" s="182" customFormat="1" ht="14.15" hidden="1">
      <c r="A1699" s="222">
        <v>45385</v>
      </c>
      <c r="B1699" s="201" t="s">
        <v>1674</v>
      </c>
      <c r="C1699" s="208" t="s">
        <v>27</v>
      </c>
      <c r="D1699" s="592">
        <v>-226000</v>
      </c>
      <c r="E1699" s="619">
        <v>45383</v>
      </c>
      <c r="F1699" s="201" t="s">
        <v>110</v>
      </c>
      <c r="G1699" s="208" t="s">
        <v>450</v>
      </c>
      <c r="H1699" s="201" t="s">
        <v>310</v>
      </c>
      <c r="I1699" s="201"/>
      <c r="J1699" s="202"/>
      <c r="K1699" s="202"/>
      <c r="L1699" s="202"/>
      <c r="M1699" s="202"/>
      <c r="N1699" s="202"/>
      <c r="O1699" s="202"/>
      <c r="P1699" s="202"/>
      <c r="Q1699" s="202"/>
      <c r="R1699" s="202"/>
      <c r="S1699" s="202"/>
      <c r="T1699" s="202"/>
    </row>
    <row r="1700" spans="1:149" s="182" customFormat="1" ht="14.15" hidden="1">
      <c r="A1700" s="222">
        <v>45385</v>
      </c>
      <c r="B1700" s="201" t="s">
        <v>1619</v>
      </c>
      <c r="C1700" s="208" t="s">
        <v>27</v>
      </c>
      <c r="D1700" s="592">
        <f>-125708</f>
        <v>-125708</v>
      </c>
      <c r="E1700" s="619">
        <v>45383</v>
      </c>
      <c r="F1700" s="201" t="s">
        <v>130</v>
      </c>
      <c r="G1700" s="201" t="s">
        <v>130</v>
      </c>
      <c r="H1700" s="201" t="s">
        <v>323</v>
      </c>
      <c r="I1700" s="201"/>
      <c r="J1700" s="202"/>
      <c r="K1700" s="202"/>
      <c r="L1700" s="202"/>
      <c r="M1700" s="202"/>
      <c r="N1700" s="202"/>
      <c r="O1700" s="202"/>
      <c r="P1700" s="202"/>
      <c r="Q1700" s="202"/>
      <c r="R1700" s="202"/>
      <c r="S1700" s="202"/>
      <c r="T1700" s="202"/>
    </row>
    <row r="1701" spans="1:149" s="182" customFormat="1" ht="14.15" hidden="1">
      <c r="A1701" s="222">
        <v>45385</v>
      </c>
      <c r="B1701" s="201" t="s">
        <v>1675</v>
      </c>
      <c r="C1701" s="208" t="s">
        <v>27</v>
      </c>
      <c r="D1701" s="592">
        <v>-400000</v>
      </c>
      <c r="E1701" s="619">
        <v>45383</v>
      </c>
      <c r="F1701" s="201" t="s">
        <v>130</v>
      </c>
      <c r="G1701" s="201" t="s">
        <v>130</v>
      </c>
      <c r="H1701" s="201" t="s">
        <v>323</v>
      </c>
      <c r="I1701" s="201"/>
      <c r="J1701" s="202"/>
      <c r="K1701" s="202"/>
      <c r="L1701" s="202"/>
      <c r="M1701" s="202"/>
      <c r="N1701" s="202"/>
      <c r="O1701" s="202"/>
      <c r="P1701" s="202"/>
      <c r="Q1701" s="202"/>
      <c r="R1701" s="202"/>
      <c r="S1701" s="202"/>
      <c r="T1701" s="202"/>
    </row>
    <row r="1702" spans="1:149" s="182" customFormat="1" ht="14.15" hidden="1">
      <c r="A1702" s="222">
        <v>45385</v>
      </c>
      <c r="B1702" s="201" t="s">
        <v>1675</v>
      </c>
      <c r="C1702" s="208" t="s">
        <v>27</v>
      </c>
      <c r="D1702" s="592">
        <v>-1000000</v>
      </c>
      <c r="E1702" s="619">
        <v>45383</v>
      </c>
      <c r="F1702" s="201" t="s">
        <v>109</v>
      </c>
      <c r="G1702" s="208" t="s">
        <v>120</v>
      </c>
      <c r="H1702" s="201" t="s">
        <v>323</v>
      </c>
      <c r="I1702" s="201"/>
      <c r="J1702" s="202"/>
      <c r="K1702" s="202"/>
      <c r="L1702" s="202"/>
      <c r="M1702" s="202"/>
      <c r="N1702" s="202"/>
      <c r="O1702" s="202"/>
      <c r="P1702" s="202"/>
      <c r="Q1702" s="202"/>
      <c r="R1702" s="202"/>
      <c r="S1702" s="202"/>
      <c r="T1702" s="202"/>
    </row>
    <row r="1703" spans="1:149" s="182" customFormat="1" ht="14.15" hidden="1">
      <c r="A1703" s="222">
        <v>45385</v>
      </c>
      <c r="B1703" s="201" t="s">
        <v>1676</v>
      </c>
      <c r="C1703" s="208" t="s">
        <v>27</v>
      </c>
      <c r="D1703" s="592">
        <v>-160400</v>
      </c>
      <c r="E1703" s="619">
        <v>45383</v>
      </c>
      <c r="F1703" s="201" t="s">
        <v>109</v>
      </c>
      <c r="G1703" s="201" t="s">
        <v>150</v>
      </c>
      <c r="H1703" s="201"/>
      <c r="I1703" s="201"/>
      <c r="J1703" s="202"/>
      <c r="K1703" s="202"/>
      <c r="L1703" s="202"/>
      <c r="M1703" s="202"/>
      <c r="N1703" s="202"/>
      <c r="O1703" s="202"/>
      <c r="P1703" s="202"/>
      <c r="Q1703" s="202"/>
      <c r="R1703" s="202"/>
      <c r="S1703" s="202"/>
      <c r="T1703" s="202"/>
    </row>
    <row r="1704" spans="1:149" s="182" customFormat="1" ht="14.15" hidden="1">
      <c r="A1704" s="222">
        <v>45385</v>
      </c>
      <c r="B1704" s="201" t="s">
        <v>1677</v>
      </c>
      <c r="C1704" s="208" t="s">
        <v>27</v>
      </c>
      <c r="D1704" s="800">
        <v>-649000</v>
      </c>
      <c r="E1704" s="619">
        <v>45383</v>
      </c>
      <c r="F1704" s="201" t="s">
        <v>109</v>
      </c>
      <c r="G1704" s="201" t="s">
        <v>581</v>
      </c>
      <c r="H1704" s="201"/>
      <c r="I1704" s="201"/>
      <c r="J1704" s="202"/>
      <c r="K1704" s="202"/>
      <c r="L1704" s="202"/>
      <c r="M1704" s="202"/>
      <c r="N1704" s="202"/>
      <c r="O1704" s="202"/>
      <c r="P1704" s="202"/>
      <c r="Q1704" s="202"/>
      <c r="R1704" s="202"/>
      <c r="S1704" s="202"/>
      <c r="T1704" s="202"/>
    </row>
    <row r="1705" spans="1:149" s="182" customFormat="1" ht="14.15" hidden="1">
      <c r="A1705" s="222">
        <v>45386</v>
      </c>
      <c r="B1705" s="201" t="s">
        <v>1605</v>
      </c>
      <c r="C1705" s="208" t="s">
        <v>27</v>
      </c>
      <c r="D1705" s="592">
        <v>-644112</v>
      </c>
      <c r="E1705" s="619">
        <v>45383</v>
      </c>
      <c r="F1705" s="201" t="s">
        <v>109</v>
      </c>
      <c r="G1705" s="208" t="s">
        <v>120</v>
      </c>
      <c r="H1705" s="201"/>
      <c r="I1705" s="201"/>
      <c r="J1705" s="202"/>
      <c r="K1705" s="202"/>
      <c r="L1705" s="202"/>
      <c r="M1705" s="202"/>
      <c r="N1705" s="202"/>
      <c r="O1705" s="202"/>
      <c r="P1705" s="202"/>
      <c r="Q1705" s="202"/>
      <c r="R1705" s="202"/>
      <c r="S1705" s="202"/>
      <c r="T1705" s="202"/>
    </row>
    <row r="1706" spans="1:149" s="182" customFormat="1" ht="14.15" hidden="1">
      <c r="A1706" s="222">
        <v>45386</v>
      </c>
      <c r="B1706" s="201" t="s">
        <v>1606</v>
      </c>
      <c r="C1706" s="208" t="s">
        <v>27</v>
      </c>
      <c r="D1706" s="592">
        <v>-230000</v>
      </c>
      <c r="E1706" s="619">
        <v>45383</v>
      </c>
      <c r="F1706" s="201" t="s">
        <v>109</v>
      </c>
      <c r="G1706" s="208" t="s">
        <v>120</v>
      </c>
      <c r="H1706" s="201"/>
      <c r="I1706" s="201"/>
      <c r="J1706" s="202"/>
      <c r="K1706" s="202"/>
      <c r="L1706" s="202"/>
      <c r="M1706" s="202"/>
      <c r="N1706" s="202"/>
      <c r="O1706" s="202"/>
      <c r="P1706" s="202"/>
      <c r="Q1706" s="202"/>
      <c r="R1706" s="202"/>
      <c r="S1706" s="202"/>
      <c r="T1706" s="202"/>
      <c r="U1706" s="202"/>
      <c r="V1706" s="202"/>
      <c r="W1706" s="202"/>
      <c r="X1706" s="202"/>
      <c r="Y1706" s="202"/>
      <c r="Z1706" s="202"/>
      <c r="AA1706" s="202"/>
      <c r="AB1706" s="202"/>
      <c r="AC1706" s="202"/>
      <c r="AD1706" s="202"/>
      <c r="AE1706" s="202"/>
      <c r="AF1706" s="202"/>
      <c r="AG1706" s="202"/>
      <c r="AH1706" s="202"/>
      <c r="AI1706" s="202"/>
      <c r="AJ1706" s="202"/>
      <c r="AK1706" s="202"/>
      <c r="AL1706" s="202"/>
      <c r="AM1706" s="202"/>
      <c r="AN1706" s="202"/>
      <c r="AO1706" s="202"/>
      <c r="AP1706" s="202"/>
      <c r="AQ1706" s="202"/>
      <c r="AR1706" s="202"/>
      <c r="AS1706" s="202"/>
      <c r="AT1706" s="202"/>
      <c r="AU1706" s="202"/>
      <c r="AV1706" s="202"/>
      <c r="AW1706" s="202"/>
      <c r="AX1706" s="202"/>
      <c r="AY1706" s="202"/>
      <c r="AZ1706" s="202"/>
      <c r="BA1706" s="202"/>
      <c r="BB1706" s="202"/>
      <c r="BC1706" s="202"/>
      <c r="BD1706" s="202"/>
      <c r="BE1706" s="202"/>
      <c r="BF1706" s="202"/>
      <c r="BG1706" s="202"/>
      <c r="BH1706" s="202"/>
      <c r="BI1706" s="202"/>
      <c r="BJ1706" s="202"/>
      <c r="BK1706" s="202"/>
      <c r="BL1706" s="202"/>
      <c r="BM1706" s="202"/>
      <c r="BN1706" s="202"/>
      <c r="BO1706" s="202"/>
      <c r="BP1706" s="202"/>
      <c r="BQ1706" s="202"/>
      <c r="BR1706" s="202"/>
      <c r="BS1706" s="202"/>
      <c r="BT1706" s="202"/>
      <c r="BU1706" s="202"/>
      <c r="BV1706" s="202"/>
      <c r="BW1706" s="202"/>
      <c r="BX1706" s="202"/>
      <c r="BY1706" s="202"/>
      <c r="BZ1706" s="202"/>
      <c r="CA1706" s="202"/>
      <c r="CB1706" s="202"/>
      <c r="CC1706" s="202"/>
      <c r="CD1706" s="202"/>
      <c r="CE1706" s="202"/>
      <c r="CF1706" s="202"/>
      <c r="CG1706" s="202"/>
      <c r="CH1706" s="202"/>
      <c r="CI1706" s="202"/>
      <c r="CJ1706" s="202"/>
      <c r="CK1706" s="202"/>
      <c r="CL1706" s="202"/>
      <c r="CM1706" s="202"/>
      <c r="CN1706" s="202"/>
      <c r="CO1706" s="202"/>
      <c r="CP1706" s="202"/>
      <c r="CQ1706" s="202"/>
      <c r="CR1706" s="202"/>
      <c r="CS1706" s="202"/>
      <c r="CT1706" s="202"/>
      <c r="CU1706" s="202"/>
      <c r="CV1706" s="202"/>
      <c r="CW1706" s="202"/>
      <c r="CX1706" s="202"/>
      <c r="CY1706" s="202"/>
      <c r="CZ1706" s="202"/>
      <c r="DA1706" s="202"/>
      <c r="DB1706" s="202"/>
      <c r="DC1706" s="202"/>
      <c r="DD1706" s="202"/>
      <c r="DE1706" s="202"/>
      <c r="DF1706" s="202"/>
      <c r="DG1706" s="202"/>
      <c r="DH1706" s="202"/>
      <c r="DI1706" s="202"/>
      <c r="DJ1706" s="202"/>
      <c r="DK1706" s="202"/>
      <c r="DL1706" s="202"/>
      <c r="DM1706" s="202"/>
      <c r="DN1706" s="202"/>
      <c r="DO1706" s="202"/>
      <c r="DP1706" s="202"/>
      <c r="DQ1706" s="202"/>
      <c r="DR1706" s="202"/>
      <c r="DS1706" s="202"/>
      <c r="DT1706" s="202"/>
      <c r="DU1706" s="202"/>
      <c r="DV1706" s="202"/>
      <c r="DW1706" s="202"/>
      <c r="DX1706" s="202"/>
      <c r="DY1706" s="202"/>
      <c r="DZ1706" s="202"/>
      <c r="EA1706" s="202"/>
      <c r="EB1706" s="202"/>
      <c r="EC1706" s="202"/>
      <c r="ED1706" s="202"/>
      <c r="EE1706" s="202"/>
      <c r="EF1706" s="202"/>
      <c r="EG1706" s="202"/>
      <c r="EH1706" s="202"/>
      <c r="EI1706" s="202"/>
      <c r="EJ1706" s="202"/>
      <c r="EK1706" s="202"/>
      <c r="EL1706" s="202"/>
      <c r="EM1706" s="202"/>
      <c r="EN1706" s="202"/>
      <c r="EO1706" s="202"/>
      <c r="EP1706" s="202"/>
      <c r="EQ1706" s="202"/>
      <c r="ER1706" s="202"/>
      <c r="ES1706" s="202"/>
    </row>
    <row r="1707" spans="1:149" s="182" customFormat="1" ht="14.15" hidden="1">
      <c r="A1707" s="222">
        <v>45386</v>
      </c>
      <c r="B1707" s="201" t="s">
        <v>1678</v>
      </c>
      <c r="C1707" s="208" t="s">
        <v>27</v>
      </c>
      <c r="D1707" s="592">
        <v>-1136538</v>
      </c>
      <c r="E1707" s="619">
        <v>45383</v>
      </c>
      <c r="F1707" s="201" t="s">
        <v>110</v>
      </c>
      <c r="G1707" s="208" t="s">
        <v>122</v>
      </c>
      <c r="H1707" s="201" t="s">
        <v>310</v>
      </c>
      <c r="I1707" s="201"/>
      <c r="J1707" s="202"/>
      <c r="K1707" s="202"/>
      <c r="L1707" s="202"/>
      <c r="M1707" s="202"/>
      <c r="N1707" s="202"/>
      <c r="O1707" s="202"/>
      <c r="P1707" s="202"/>
      <c r="Q1707" s="202"/>
      <c r="R1707" s="202"/>
      <c r="S1707" s="202"/>
      <c r="T1707" s="202"/>
    </row>
    <row r="1708" spans="1:149" s="182" customFormat="1" ht="14.15" hidden="1">
      <c r="A1708" s="222">
        <v>45386</v>
      </c>
      <c r="B1708" s="201" t="s">
        <v>1679</v>
      </c>
      <c r="C1708" s="208" t="s">
        <v>27</v>
      </c>
      <c r="D1708" s="592">
        <v>-1485000</v>
      </c>
      <c r="E1708" s="619">
        <v>45383</v>
      </c>
      <c r="F1708" s="201" t="s">
        <v>109</v>
      </c>
      <c r="G1708" s="208" t="s">
        <v>120</v>
      </c>
      <c r="H1708" s="201"/>
      <c r="I1708" s="201"/>
      <c r="J1708" s="202"/>
      <c r="K1708" s="202"/>
      <c r="L1708" s="202"/>
      <c r="M1708" s="202"/>
      <c r="N1708" s="202"/>
      <c r="O1708" s="202"/>
      <c r="P1708" s="202"/>
      <c r="Q1708" s="202"/>
      <c r="R1708" s="202"/>
      <c r="S1708" s="202"/>
      <c r="T1708" s="202"/>
      <c r="U1708" s="203"/>
      <c r="V1708" s="203"/>
      <c r="W1708" s="203"/>
      <c r="X1708" s="203"/>
      <c r="Y1708" s="203"/>
      <c r="Z1708" s="203"/>
      <c r="AA1708" s="203"/>
      <c r="AB1708" s="203"/>
      <c r="AC1708" s="203"/>
      <c r="AD1708" s="203"/>
      <c r="AE1708" s="203"/>
      <c r="AF1708" s="203"/>
      <c r="AG1708" s="203"/>
      <c r="AH1708" s="203"/>
      <c r="AI1708" s="203"/>
      <c r="AJ1708" s="203"/>
      <c r="AK1708" s="203"/>
      <c r="AL1708" s="203"/>
      <c r="AM1708" s="203"/>
      <c r="AN1708" s="203"/>
      <c r="AO1708" s="203"/>
      <c r="AP1708" s="203"/>
      <c r="AQ1708" s="203"/>
      <c r="AR1708" s="203"/>
      <c r="AS1708" s="203"/>
      <c r="AT1708" s="203"/>
      <c r="AU1708" s="203"/>
      <c r="AV1708" s="203"/>
      <c r="AW1708" s="203"/>
      <c r="AX1708" s="203"/>
      <c r="AY1708" s="203"/>
      <c r="AZ1708" s="203"/>
      <c r="BA1708" s="203"/>
      <c r="BB1708" s="203"/>
      <c r="BC1708" s="203"/>
      <c r="BD1708" s="203"/>
      <c r="BE1708" s="203"/>
      <c r="BF1708" s="203"/>
      <c r="BG1708" s="203"/>
      <c r="BH1708" s="203"/>
      <c r="BI1708" s="203"/>
      <c r="BJ1708" s="203"/>
      <c r="BK1708" s="203"/>
      <c r="BL1708" s="203"/>
      <c r="BM1708" s="203"/>
      <c r="BN1708" s="203"/>
      <c r="BO1708" s="203"/>
      <c r="BP1708" s="203"/>
      <c r="BQ1708" s="203"/>
      <c r="BR1708" s="203"/>
      <c r="BS1708" s="203"/>
      <c r="BT1708" s="203"/>
      <c r="BU1708" s="203"/>
      <c r="BV1708" s="203"/>
      <c r="BW1708" s="203"/>
      <c r="BX1708" s="203"/>
      <c r="BY1708" s="203"/>
      <c r="BZ1708" s="203"/>
      <c r="CA1708" s="203"/>
      <c r="CB1708" s="203"/>
      <c r="CC1708" s="203"/>
      <c r="CD1708" s="203"/>
      <c r="CE1708" s="203"/>
      <c r="CF1708" s="203"/>
      <c r="CG1708" s="203"/>
      <c r="CH1708" s="203"/>
      <c r="CI1708" s="203"/>
      <c r="CJ1708" s="203"/>
      <c r="CK1708" s="203"/>
      <c r="CL1708" s="203"/>
      <c r="CM1708" s="203"/>
      <c r="CN1708" s="203"/>
      <c r="CO1708" s="203"/>
      <c r="CP1708" s="203"/>
      <c r="CQ1708" s="203"/>
      <c r="CR1708" s="203"/>
      <c r="CS1708" s="203"/>
      <c r="CT1708" s="203"/>
      <c r="CU1708" s="203"/>
      <c r="CV1708" s="203"/>
      <c r="CW1708" s="203"/>
      <c r="CX1708" s="203"/>
      <c r="CY1708" s="203"/>
      <c r="CZ1708" s="203"/>
      <c r="DA1708" s="203"/>
      <c r="DB1708" s="203"/>
      <c r="DC1708" s="203"/>
      <c r="DD1708" s="203"/>
      <c r="DE1708" s="203"/>
      <c r="DF1708" s="203"/>
      <c r="DG1708" s="203"/>
      <c r="DH1708" s="203"/>
      <c r="DI1708" s="203"/>
      <c r="DJ1708" s="203"/>
      <c r="DK1708" s="203"/>
      <c r="DL1708" s="203"/>
      <c r="DM1708" s="203"/>
      <c r="DN1708" s="203"/>
      <c r="DO1708" s="203"/>
      <c r="DP1708" s="203"/>
      <c r="DQ1708" s="203"/>
      <c r="DR1708" s="203"/>
      <c r="DS1708" s="203"/>
      <c r="DT1708" s="203"/>
      <c r="DU1708" s="203"/>
      <c r="DV1708" s="203"/>
      <c r="DW1708" s="203"/>
      <c r="DX1708" s="203"/>
      <c r="DY1708" s="203"/>
      <c r="DZ1708" s="203"/>
      <c r="EA1708" s="203"/>
      <c r="EB1708" s="203"/>
      <c r="EC1708" s="203"/>
      <c r="ED1708" s="203"/>
      <c r="EE1708" s="203"/>
      <c r="EF1708" s="203"/>
      <c r="EG1708" s="203"/>
      <c r="EH1708" s="203"/>
      <c r="EI1708" s="203"/>
      <c r="EJ1708" s="203"/>
      <c r="EK1708" s="203"/>
      <c r="EL1708" s="203"/>
      <c r="EM1708" s="203"/>
      <c r="EN1708" s="203"/>
      <c r="EO1708" s="203"/>
      <c r="EP1708" s="203"/>
      <c r="EQ1708" s="203"/>
      <c r="ER1708" s="203"/>
      <c r="ES1708" s="203"/>
    </row>
    <row r="1709" spans="1:149" s="182" customFormat="1" ht="14.15" hidden="1">
      <c r="A1709" s="222">
        <v>45386</v>
      </c>
      <c r="B1709" s="201" t="s">
        <v>1680</v>
      </c>
      <c r="C1709" s="208" t="s">
        <v>27</v>
      </c>
      <c r="D1709" s="592">
        <v>-751000</v>
      </c>
      <c r="E1709" s="619">
        <v>45383</v>
      </c>
      <c r="F1709" s="201" t="s">
        <v>130</v>
      </c>
      <c r="G1709" s="201" t="s">
        <v>130</v>
      </c>
      <c r="H1709" s="201" t="s">
        <v>184</v>
      </c>
      <c r="I1709" s="201"/>
      <c r="J1709" s="202"/>
      <c r="K1709" s="202"/>
      <c r="L1709" s="202"/>
      <c r="M1709" s="202"/>
      <c r="N1709" s="202"/>
      <c r="O1709" s="202"/>
      <c r="P1709" s="202"/>
      <c r="Q1709" s="202"/>
      <c r="R1709" s="202"/>
      <c r="S1709" s="202"/>
      <c r="T1709" s="202"/>
      <c r="U1709" s="203"/>
      <c r="V1709" s="203"/>
      <c r="W1709" s="203"/>
      <c r="X1709" s="203"/>
      <c r="Y1709" s="203"/>
      <c r="Z1709" s="203"/>
      <c r="AA1709" s="203"/>
      <c r="AB1709" s="203"/>
      <c r="AC1709" s="203"/>
      <c r="AD1709" s="203"/>
      <c r="AE1709" s="203"/>
      <c r="AF1709" s="203"/>
      <c r="AG1709" s="203"/>
      <c r="AH1709" s="203"/>
      <c r="AI1709" s="203"/>
      <c r="AJ1709" s="203"/>
      <c r="AK1709" s="203"/>
      <c r="AL1709" s="203"/>
      <c r="AM1709" s="203"/>
      <c r="AN1709" s="203"/>
      <c r="AO1709" s="203"/>
      <c r="AP1709" s="203"/>
      <c r="AQ1709" s="203"/>
      <c r="AR1709" s="203"/>
      <c r="AS1709" s="203"/>
      <c r="AT1709" s="203"/>
      <c r="AU1709" s="203"/>
      <c r="AV1709" s="203"/>
      <c r="AW1709" s="203"/>
      <c r="AX1709" s="203"/>
      <c r="AY1709" s="203"/>
      <c r="AZ1709" s="203"/>
      <c r="BA1709" s="203"/>
      <c r="BB1709" s="203"/>
      <c r="BC1709" s="203"/>
      <c r="BD1709" s="203"/>
      <c r="BE1709" s="203"/>
      <c r="BF1709" s="203"/>
      <c r="BG1709" s="203"/>
      <c r="BH1709" s="203"/>
      <c r="BI1709" s="203"/>
      <c r="BJ1709" s="203"/>
      <c r="BK1709" s="203"/>
      <c r="BL1709" s="203"/>
      <c r="BM1709" s="203"/>
      <c r="BN1709" s="203"/>
      <c r="BO1709" s="203"/>
      <c r="BP1709" s="203"/>
      <c r="BQ1709" s="203"/>
      <c r="BR1709" s="203"/>
      <c r="BS1709" s="203"/>
      <c r="BT1709" s="203"/>
      <c r="BU1709" s="203"/>
      <c r="BV1709" s="203"/>
      <c r="BW1709" s="203"/>
      <c r="BX1709" s="203"/>
      <c r="BY1709" s="203"/>
      <c r="BZ1709" s="203"/>
      <c r="CA1709" s="203"/>
      <c r="CB1709" s="203"/>
      <c r="CC1709" s="203"/>
      <c r="CD1709" s="203"/>
      <c r="CE1709" s="203"/>
      <c r="CF1709" s="203"/>
      <c r="CG1709" s="203"/>
      <c r="CH1709" s="203"/>
      <c r="CI1709" s="203"/>
      <c r="CJ1709" s="203"/>
      <c r="CK1709" s="203"/>
      <c r="CL1709" s="203"/>
      <c r="CM1709" s="203"/>
      <c r="CN1709" s="203"/>
      <c r="CO1709" s="203"/>
      <c r="CP1709" s="203"/>
      <c r="CQ1709" s="203"/>
      <c r="CR1709" s="203"/>
      <c r="CS1709" s="203"/>
      <c r="CT1709" s="203"/>
      <c r="CU1709" s="203"/>
      <c r="CV1709" s="203"/>
      <c r="CW1709" s="203"/>
      <c r="CX1709" s="203"/>
      <c r="CY1709" s="203"/>
      <c r="CZ1709" s="203"/>
      <c r="DA1709" s="203"/>
      <c r="DB1709" s="203"/>
      <c r="DC1709" s="203"/>
      <c r="DD1709" s="203"/>
      <c r="DE1709" s="203"/>
      <c r="DF1709" s="203"/>
      <c r="DG1709" s="203"/>
      <c r="DH1709" s="203"/>
      <c r="DI1709" s="203"/>
      <c r="DJ1709" s="203"/>
      <c r="DK1709" s="203"/>
      <c r="DL1709" s="203"/>
      <c r="DM1709" s="203"/>
      <c r="DN1709" s="203"/>
      <c r="DO1709" s="203"/>
      <c r="DP1709" s="203"/>
      <c r="DQ1709" s="203"/>
      <c r="DR1709" s="203"/>
      <c r="DS1709" s="203"/>
      <c r="DT1709" s="203"/>
      <c r="DU1709" s="203"/>
      <c r="DV1709" s="203"/>
      <c r="DW1709" s="203"/>
      <c r="DX1709" s="203"/>
      <c r="DY1709" s="203"/>
      <c r="DZ1709" s="203"/>
      <c r="EA1709" s="203"/>
      <c r="EB1709" s="203"/>
      <c r="EC1709" s="203"/>
      <c r="ED1709" s="203"/>
      <c r="EE1709" s="203"/>
      <c r="EF1709" s="203"/>
      <c r="EG1709" s="203"/>
      <c r="EH1709" s="203"/>
      <c r="EI1709" s="203"/>
      <c r="EJ1709" s="203"/>
      <c r="EK1709" s="203"/>
      <c r="EL1709" s="203"/>
      <c r="EM1709" s="203"/>
      <c r="EN1709" s="203"/>
      <c r="EO1709" s="203"/>
      <c r="EP1709" s="203"/>
      <c r="EQ1709" s="203"/>
      <c r="ER1709" s="203"/>
      <c r="ES1709" s="203"/>
    </row>
    <row r="1710" spans="1:149" s="182" customFormat="1" ht="14.15" hidden="1">
      <c r="A1710" s="222">
        <v>45386</v>
      </c>
      <c r="B1710" s="201" t="s">
        <v>1681</v>
      </c>
      <c r="C1710" s="208" t="s">
        <v>27</v>
      </c>
      <c r="D1710" s="592">
        <v>-868500</v>
      </c>
      <c r="E1710" s="619">
        <v>45383</v>
      </c>
      <c r="F1710" s="201" t="s">
        <v>109</v>
      </c>
      <c r="G1710" s="208" t="s">
        <v>120</v>
      </c>
      <c r="H1710" s="201"/>
      <c r="I1710" s="201"/>
      <c r="J1710" s="202"/>
      <c r="K1710" s="202"/>
      <c r="L1710" s="202"/>
      <c r="M1710" s="202"/>
      <c r="N1710" s="202"/>
      <c r="O1710" s="202"/>
      <c r="P1710" s="202"/>
      <c r="Q1710" s="202"/>
      <c r="R1710" s="202"/>
      <c r="S1710" s="202"/>
      <c r="T1710" s="202"/>
    </row>
    <row r="1711" spans="1:149" s="182" customFormat="1" ht="14.15" hidden="1">
      <c r="A1711" s="222">
        <v>45387</v>
      </c>
      <c r="B1711" s="201" t="s">
        <v>1682</v>
      </c>
      <c r="C1711" s="208" t="s">
        <v>27</v>
      </c>
      <c r="D1711" s="592">
        <v>-166000</v>
      </c>
      <c r="E1711" s="619">
        <v>45383</v>
      </c>
      <c r="F1711" s="201" t="s">
        <v>130</v>
      </c>
      <c r="G1711" s="201" t="s">
        <v>130</v>
      </c>
      <c r="H1711" s="201" t="s">
        <v>184</v>
      </c>
      <c r="I1711" s="201"/>
      <c r="J1711" s="202"/>
      <c r="K1711" s="202"/>
      <c r="L1711" s="202"/>
      <c r="M1711" s="202"/>
      <c r="N1711" s="202"/>
      <c r="O1711" s="202"/>
      <c r="P1711" s="202"/>
      <c r="Q1711" s="202"/>
      <c r="R1711" s="202"/>
      <c r="S1711" s="202"/>
      <c r="T1711" s="202"/>
    </row>
    <row r="1712" spans="1:149" s="182" customFormat="1" ht="14.15" hidden="1">
      <c r="A1712" s="222">
        <v>45386</v>
      </c>
      <c r="B1712" s="201" t="s">
        <v>1326</v>
      </c>
      <c r="C1712" s="208" t="s">
        <v>27</v>
      </c>
      <c r="D1712" s="592">
        <v>-1426333</v>
      </c>
      <c r="E1712" s="619">
        <v>45383</v>
      </c>
      <c r="F1712" s="201" t="s">
        <v>109</v>
      </c>
      <c r="G1712" s="208" t="s">
        <v>120</v>
      </c>
      <c r="H1712" s="201"/>
      <c r="I1712" s="201"/>
      <c r="J1712" s="202"/>
      <c r="K1712" s="202"/>
      <c r="L1712" s="202"/>
      <c r="M1712" s="202"/>
      <c r="N1712" s="202"/>
      <c r="O1712" s="202"/>
      <c r="P1712" s="202"/>
      <c r="Q1712" s="202"/>
      <c r="R1712" s="202"/>
      <c r="S1712" s="202"/>
      <c r="T1712" s="202"/>
      <c r="U1712" s="203"/>
      <c r="V1712" s="203"/>
      <c r="W1712" s="203"/>
      <c r="X1712" s="203"/>
      <c r="Y1712" s="203"/>
      <c r="Z1712" s="203"/>
      <c r="AA1712" s="203"/>
      <c r="AB1712" s="203"/>
      <c r="AC1712" s="203"/>
      <c r="AD1712" s="203"/>
      <c r="AE1712" s="203"/>
      <c r="AF1712" s="203"/>
      <c r="AG1712" s="203"/>
      <c r="AH1712" s="203"/>
      <c r="AI1712" s="203"/>
      <c r="AJ1712" s="203"/>
      <c r="AK1712" s="203"/>
      <c r="AL1712" s="203"/>
      <c r="AM1712" s="203"/>
      <c r="AN1712" s="203"/>
      <c r="AO1712" s="203"/>
      <c r="AP1712" s="203"/>
      <c r="AQ1712" s="203"/>
      <c r="AR1712" s="203"/>
      <c r="AS1712" s="203"/>
      <c r="AT1712" s="203"/>
      <c r="AU1712" s="203"/>
      <c r="AV1712" s="203"/>
      <c r="AW1712" s="203"/>
      <c r="AX1712" s="203"/>
      <c r="AY1712" s="203"/>
      <c r="AZ1712" s="203"/>
      <c r="BA1712" s="203"/>
      <c r="BB1712" s="203"/>
      <c r="BC1712" s="203"/>
      <c r="BD1712" s="203"/>
      <c r="BE1712" s="203"/>
      <c r="BF1712" s="203"/>
      <c r="BG1712" s="203"/>
      <c r="BH1712" s="203"/>
      <c r="BI1712" s="203"/>
      <c r="BJ1712" s="203"/>
      <c r="BK1712" s="203"/>
      <c r="BL1712" s="203"/>
      <c r="BM1712" s="203"/>
      <c r="BN1712" s="203"/>
      <c r="BO1712" s="203"/>
      <c r="BP1712" s="203"/>
      <c r="BQ1712" s="203"/>
      <c r="BR1712" s="203"/>
      <c r="BS1712" s="203"/>
      <c r="BT1712" s="203"/>
      <c r="BU1712" s="203"/>
      <c r="BV1712" s="203"/>
      <c r="BW1712" s="203"/>
      <c r="BX1712" s="203"/>
      <c r="BY1712" s="203"/>
      <c r="BZ1712" s="203"/>
      <c r="CA1712" s="203"/>
      <c r="CB1712" s="203"/>
      <c r="CC1712" s="203"/>
      <c r="CD1712" s="203"/>
      <c r="CE1712" s="203"/>
      <c r="CF1712" s="203"/>
      <c r="CG1712" s="203"/>
      <c r="CH1712" s="203"/>
      <c r="CI1712" s="203"/>
      <c r="CJ1712" s="203"/>
      <c r="CK1712" s="203"/>
      <c r="CL1712" s="203"/>
      <c r="CM1712" s="203"/>
      <c r="CN1712" s="203"/>
      <c r="CO1712" s="203"/>
      <c r="CP1712" s="203"/>
      <c r="CQ1712" s="203"/>
      <c r="CR1712" s="203"/>
      <c r="CS1712" s="203"/>
      <c r="CT1712" s="203"/>
      <c r="CU1712" s="203"/>
      <c r="CV1712" s="203"/>
      <c r="CW1712" s="203"/>
      <c r="CX1712" s="203"/>
      <c r="CY1712" s="203"/>
      <c r="CZ1712" s="203"/>
      <c r="DA1712" s="203"/>
      <c r="DB1712" s="203"/>
      <c r="DC1712" s="203"/>
      <c r="DD1712" s="203"/>
      <c r="DE1712" s="203"/>
      <c r="DF1712" s="203"/>
      <c r="DG1712" s="203"/>
      <c r="DH1712" s="203"/>
      <c r="DI1712" s="203"/>
      <c r="DJ1712" s="203"/>
      <c r="DK1712" s="203"/>
      <c r="DL1712" s="203"/>
      <c r="DM1712" s="203"/>
      <c r="DN1712" s="203"/>
      <c r="DO1712" s="203"/>
      <c r="DP1712" s="203"/>
      <c r="DQ1712" s="203"/>
      <c r="DR1712" s="203"/>
      <c r="DS1712" s="203"/>
      <c r="DT1712" s="203"/>
      <c r="DU1712" s="203"/>
      <c r="DV1712" s="203"/>
      <c r="DW1712" s="203"/>
      <c r="DX1712" s="203"/>
      <c r="DY1712" s="203"/>
      <c r="DZ1712" s="203"/>
      <c r="EA1712" s="203"/>
      <c r="EB1712" s="203"/>
      <c r="EC1712" s="203"/>
      <c r="ED1712" s="203"/>
      <c r="EE1712" s="203"/>
      <c r="EF1712" s="203"/>
      <c r="EG1712" s="203"/>
      <c r="EH1712" s="203"/>
      <c r="EI1712" s="203"/>
      <c r="EJ1712" s="203"/>
      <c r="EK1712" s="203"/>
      <c r="EL1712" s="203"/>
      <c r="EM1712" s="203"/>
      <c r="EN1712" s="203"/>
      <c r="EO1712" s="203"/>
      <c r="EP1712" s="203"/>
      <c r="EQ1712" s="203"/>
      <c r="ER1712" s="203"/>
      <c r="ES1712" s="203"/>
    </row>
    <row r="1713" spans="1:20" s="182" customFormat="1" ht="14.15" hidden="1">
      <c r="A1713" s="222">
        <v>45386</v>
      </c>
      <c r="B1713" s="201" t="s">
        <v>1683</v>
      </c>
      <c r="C1713" s="208" t="s">
        <v>27</v>
      </c>
      <c r="D1713" s="592">
        <v>-600000</v>
      </c>
      <c r="E1713" s="619">
        <v>45383</v>
      </c>
      <c r="F1713" s="201" t="s">
        <v>109</v>
      </c>
      <c r="G1713" s="208" t="s">
        <v>120</v>
      </c>
      <c r="H1713" s="201"/>
      <c r="I1713" s="201"/>
      <c r="J1713" s="202"/>
      <c r="K1713" s="202"/>
      <c r="L1713" s="202"/>
      <c r="M1713" s="202"/>
      <c r="N1713" s="202"/>
      <c r="O1713" s="202"/>
      <c r="P1713" s="202"/>
      <c r="Q1713" s="202"/>
      <c r="R1713" s="202"/>
      <c r="S1713" s="202"/>
      <c r="T1713" s="202"/>
    </row>
    <row r="1714" spans="1:20" s="182" customFormat="1" ht="14.15" hidden="1">
      <c r="A1714" s="222">
        <v>45386</v>
      </c>
      <c r="B1714" s="201" t="s">
        <v>1684</v>
      </c>
      <c r="C1714" s="208" t="s">
        <v>27</v>
      </c>
      <c r="D1714" s="592">
        <v>-630671</v>
      </c>
      <c r="E1714" s="619">
        <v>45383</v>
      </c>
      <c r="F1714" s="201" t="s">
        <v>110</v>
      </c>
      <c r="G1714" s="208" t="s">
        <v>453</v>
      </c>
      <c r="H1714" s="201" t="s">
        <v>585</v>
      </c>
      <c r="I1714" s="201"/>
      <c r="J1714" s="202"/>
      <c r="K1714" s="202"/>
      <c r="L1714" s="202"/>
      <c r="M1714" s="202"/>
      <c r="N1714" s="202"/>
      <c r="O1714" s="202"/>
      <c r="P1714" s="202"/>
      <c r="Q1714" s="202"/>
      <c r="R1714" s="202"/>
      <c r="S1714" s="202"/>
      <c r="T1714" s="202"/>
    </row>
    <row r="1715" spans="1:20" s="182" customFormat="1" ht="14.15" hidden="1">
      <c r="A1715" s="222">
        <v>45387</v>
      </c>
      <c r="B1715" s="201" t="s">
        <v>1685</v>
      </c>
      <c r="C1715" s="208" t="s">
        <v>27</v>
      </c>
      <c r="D1715" s="592">
        <v>-850000</v>
      </c>
      <c r="E1715" s="619">
        <v>45383</v>
      </c>
      <c r="F1715" s="201" t="s">
        <v>109</v>
      </c>
      <c r="G1715" s="201" t="s">
        <v>918</v>
      </c>
      <c r="H1715" s="208" t="s">
        <v>147</v>
      </c>
      <c r="I1715" s="201"/>
      <c r="J1715" s="202"/>
      <c r="K1715" s="202"/>
      <c r="L1715" s="202"/>
      <c r="M1715" s="202"/>
      <c r="N1715" s="202"/>
      <c r="O1715" s="202"/>
      <c r="P1715" s="202"/>
      <c r="Q1715" s="202"/>
      <c r="R1715" s="202"/>
      <c r="S1715" s="202"/>
      <c r="T1715" s="202"/>
    </row>
    <row r="1716" spans="1:20" s="182" customFormat="1" ht="14.15" hidden="1">
      <c r="A1716" s="222">
        <v>45385</v>
      </c>
      <c r="B1716" s="201" t="s">
        <v>1686</v>
      </c>
      <c r="C1716" s="208" t="s">
        <v>27</v>
      </c>
      <c r="D1716" s="592">
        <v>-868760</v>
      </c>
      <c r="E1716" s="619">
        <v>45383</v>
      </c>
      <c r="F1716" s="201" t="s">
        <v>109</v>
      </c>
      <c r="G1716" s="208" t="s">
        <v>120</v>
      </c>
      <c r="H1716" s="201" t="s">
        <v>1687</v>
      </c>
      <c r="I1716" s="201"/>
      <c r="J1716" s="202"/>
      <c r="K1716" s="202"/>
      <c r="L1716" s="202"/>
      <c r="M1716" s="202"/>
      <c r="N1716" s="202"/>
      <c r="O1716" s="202"/>
      <c r="P1716" s="202"/>
      <c r="Q1716" s="202"/>
      <c r="R1716" s="202"/>
      <c r="S1716" s="202"/>
      <c r="T1716" s="202"/>
    </row>
    <row r="1717" spans="1:20" s="182" customFormat="1" ht="14.15" hidden="1">
      <c r="A1717" s="222">
        <v>45390</v>
      </c>
      <c r="B1717" s="201" t="s">
        <v>1688</v>
      </c>
      <c r="C1717" s="208" t="s">
        <v>27</v>
      </c>
      <c r="D1717" s="592">
        <v>-231433</v>
      </c>
      <c r="E1717" s="619">
        <v>45383</v>
      </c>
      <c r="F1717" s="201" t="s">
        <v>130</v>
      </c>
      <c r="G1717" s="201" t="s">
        <v>130</v>
      </c>
      <c r="H1717" s="201" t="s">
        <v>184</v>
      </c>
      <c r="I1717" s="201"/>
      <c r="J1717" s="202"/>
      <c r="K1717" s="202"/>
      <c r="L1717" s="202"/>
      <c r="M1717" s="202"/>
      <c r="N1717" s="202"/>
      <c r="O1717" s="202"/>
      <c r="P1717" s="202"/>
      <c r="Q1717" s="202"/>
      <c r="R1717" s="202"/>
      <c r="S1717" s="202"/>
      <c r="T1717" s="202"/>
    </row>
    <row r="1718" spans="1:20" s="182" customFormat="1" ht="14.15" hidden="1">
      <c r="A1718" s="222">
        <v>45390</v>
      </c>
      <c r="B1718" s="201" t="s">
        <v>1689</v>
      </c>
      <c r="C1718" s="208" t="s">
        <v>27</v>
      </c>
      <c r="D1718" s="592">
        <v>-644112</v>
      </c>
      <c r="E1718" s="619">
        <v>45383</v>
      </c>
      <c r="F1718" s="201" t="s">
        <v>109</v>
      </c>
      <c r="G1718" s="208" t="s">
        <v>120</v>
      </c>
      <c r="H1718" s="208" t="s">
        <v>175</v>
      </c>
      <c r="I1718" s="201"/>
      <c r="J1718" s="202"/>
      <c r="K1718" s="202"/>
      <c r="L1718" s="202"/>
      <c r="M1718" s="202"/>
      <c r="N1718" s="202"/>
      <c r="O1718" s="202"/>
      <c r="P1718" s="202"/>
      <c r="Q1718" s="202"/>
      <c r="R1718" s="202"/>
      <c r="S1718" s="202"/>
      <c r="T1718" s="202"/>
    </row>
    <row r="1719" spans="1:20" s="182" customFormat="1" ht="14.15" hidden="1">
      <c r="A1719" s="222">
        <v>45390</v>
      </c>
      <c r="B1719" s="201" t="s">
        <v>1690</v>
      </c>
      <c r="C1719" s="208" t="s">
        <v>27</v>
      </c>
      <c r="D1719" s="592">
        <v>-2288000</v>
      </c>
      <c r="E1719" s="619">
        <v>45383</v>
      </c>
      <c r="F1719" s="201" t="s">
        <v>130</v>
      </c>
      <c r="G1719" s="201" t="s">
        <v>257</v>
      </c>
      <c r="H1719" s="201" t="s">
        <v>663</v>
      </c>
      <c r="I1719" s="201"/>
      <c r="J1719" s="202"/>
      <c r="K1719" s="202"/>
      <c r="L1719" s="202"/>
      <c r="M1719" s="202"/>
      <c r="N1719" s="202"/>
      <c r="O1719" s="202"/>
      <c r="P1719" s="202"/>
      <c r="Q1719" s="202"/>
      <c r="R1719" s="202"/>
      <c r="S1719" s="202"/>
      <c r="T1719" s="202"/>
    </row>
    <row r="1720" spans="1:20" s="182" customFormat="1" ht="14.15" hidden="1">
      <c r="A1720" s="222">
        <v>45390</v>
      </c>
      <c r="B1720" s="201" t="s">
        <v>1691</v>
      </c>
      <c r="C1720" s="208" t="s">
        <v>27</v>
      </c>
      <c r="D1720" s="592">
        <v>-230000</v>
      </c>
      <c r="E1720" s="619">
        <v>45383</v>
      </c>
      <c r="F1720" s="201" t="s">
        <v>109</v>
      </c>
      <c r="G1720" s="208" t="s">
        <v>120</v>
      </c>
      <c r="H1720" s="208" t="s">
        <v>175</v>
      </c>
      <c r="I1720" s="201"/>
      <c r="J1720" s="202"/>
      <c r="K1720" s="202"/>
      <c r="L1720" s="202"/>
      <c r="M1720" s="202"/>
      <c r="N1720" s="202"/>
      <c r="O1720" s="202"/>
      <c r="P1720" s="202"/>
      <c r="Q1720" s="202"/>
      <c r="R1720" s="202"/>
      <c r="S1720" s="202"/>
      <c r="T1720" s="202"/>
    </row>
    <row r="1721" spans="1:20" s="182" customFormat="1" ht="14.15" hidden="1">
      <c r="A1721" s="222">
        <v>45392</v>
      </c>
      <c r="B1721" s="201" t="s">
        <v>1692</v>
      </c>
      <c r="C1721" s="208" t="s">
        <v>133</v>
      </c>
      <c r="D1721" s="592">
        <v>-189000</v>
      </c>
      <c r="E1721" s="619">
        <v>45383</v>
      </c>
      <c r="F1721" s="201" t="s">
        <v>109</v>
      </c>
      <c r="G1721" s="208" t="s">
        <v>120</v>
      </c>
      <c r="H1721" s="201"/>
      <c r="I1721" s="201"/>
      <c r="J1721" s="202"/>
      <c r="K1721" s="202"/>
      <c r="L1721" s="202"/>
      <c r="M1721" s="202"/>
      <c r="N1721" s="202"/>
      <c r="O1721" s="202"/>
      <c r="P1721" s="202"/>
      <c r="Q1721" s="202"/>
      <c r="R1721" s="202"/>
      <c r="S1721" s="202"/>
      <c r="T1721" s="202"/>
    </row>
    <row r="1722" spans="1:20" s="182" customFormat="1" ht="14.15" hidden="1">
      <c r="A1722" s="222">
        <v>45392</v>
      </c>
      <c r="B1722" s="201" t="s">
        <v>1693</v>
      </c>
      <c r="C1722" s="208" t="s">
        <v>133</v>
      </c>
      <c r="D1722" s="592">
        <v>-315000</v>
      </c>
      <c r="E1722" s="619">
        <v>45383</v>
      </c>
      <c r="F1722" s="201" t="s">
        <v>109</v>
      </c>
      <c r="G1722" s="208" t="s">
        <v>120</v>
      </c>
      <c r="H1722" s="201"/>
      <c r="I1722" s="201"/>
      <c r="J1722" s="202"/>
      <c r="K1722" s="202"/>
      <c r="L1722" s="202"/>
      <c r="M1722" s="202"/>
      <c r="N1722" s="202"/>
      <c r="O1722" s="202"/>
      <c r="P1722" s="202"/>
      <c r="Q1722" s="202"/>
      <c r="R1722" s="202"/>
      <c r="S1722" s="202"/>
      <c r="T1722" s="202"/>
    </row>
    <row r="1723" spans="1:20" s="182" customFormat="1" ht="14.15" hidden="1">
      <c r="A1723" s="222">
        <v>45390</v>
      </c>
      <c r="B1723" s="201" t="s">
        <v>1690</v>
      </c>
      <c r="C1723" s="208" t="s">
        <v>27</v>
      </c>
      <c r="D1723" s="592">
        <v>-2288000</v>
      </c>
      <c r="E1723" s="619">
        <v>45383</v>
      </c>
      <c r="F1723" s="201" t="s">
        <v>130</v>
      </c>
      <c r="G1723" s="201" t="s">
        <v>257</v>
      </c>
      <c r="H1723" s="201" t="s">
        <v>663</v>
      </c>
      <c r="I1723" s="201"/>
      <c r="J1723" s="202"/>
      <c r="K1723" s="202"/>
      <c r="L1723" s="202"/>
      <c r="M1723" s="202"/>
      <c r="N1723" s="202"/>
      <c r="O1723" s="202"/>
      <c r="P1723" s="202"/>
      <c r="Q1723" s="202"/>
      <c r="R1723" s="202"/>
      <c r="S1723" s="202"/>
      <c r="T1723" s="202"/>
    </row>
    <row r="1724" spans="1:20" s="182" customFormat="1" ht="14.15" hidden="1">
      <c r="A1724" s="222">
        <v>45390</v>
      </c>
      <c r="B1724" s="201" t="s">
        <v>1694</v>
      </c>
      <c r="C1724" s="208" t="s">
        <v>27</v>
      </c>
      <c r="D1724" s="592">
        <v>-396000</v>
      </c>
      <c r="E1724" s="619">
        <v>45383</v>
      </c>
      <c r="F1724" s="201" t="s">
        <v>109</v>
      </c>
      <c r="G1724" s="201" t="s">
        <v>918</v>
      </c>
      <c r="H1724" s="208" t="s">
        <v>175</v>
      </c>
      <c r="I1724" s="201"/>
      <c r="J1724" s="202"/>
      <c r="K1724" s="202"/>
      <c r="L1724" s="202"/>
      <c r="M1724" s="202"/>
      <c r="N1724" s="202"/>
      <c r="O1724" s="202"/>
      <c r="P1724" s="202"/>
      <c r="Q1724" s="202"/>
      <c r="R1724" s="202"/>
      <c r="S1724" s="202"/>
      <c r="T1724" s="202"/>
    </row>
    <row r="1725" spans="1:20" s="182" customFormat="1" ht="14.15" hidden="1">
      <c r="A1725" s="222">
        <v>45390</v>
      </c>
      <c r="B1725" s="201" t="s">
        <v>1695</v>
      </c>
      <c r="C1725" s="208" t="s">
        <v>27</v>
      </c>
      <c r="D1725" s="592">
        <v>-1215228</v>
      </c>
      <c r="E1725" s="619">
        <v>45383</v>
      </c>
      <c r="F1725" s="201" t="s">
        <v>110</v>
      </c>
      <c r="G1725" s="81" t="s">
        <v>1621</v>
      </c>
      <c r="H1725" s="201" t="s">
        <v>549</v>
      </c>
      <c r="I1725" s="201"/>
      <c r="J1725" s="202"/>
      <c r="K1725" s="202"/>
      <c r="L1725" s="202"/>
      <c r="M1725" s="202"/>
      <c r="N1725" s="202"/>
      <c r="O1725" s="202"/>
      <c r="P1725" s="202"/>
      <c r="Q1725" s="202"/>
      <c r="R1725" s="202"/>
      <c r="S1725" s="202"/>
      <c r="T1725" s="202"/>
    </row>
    <row r="1726" spans="1:20" s="182" customFormat="1" ht="14.15" hidden="1">
      <c r="A1726" s="222">
        <v>45390</v>
      </c>
      <c r="B1726" s="201" t="s">
        <v>1696</v>
      </c>
      <c r="C1726" s="208" t="s">
        <v>27</v>
      </c>
      <c r="D1726" s="592">
        <v>-1701747</v>
      </c>
      <c r="E1726" s="619">
        <v>45383</v>
      </c>
      <c r="F1726" s="201" t="s">
        <v>110</v>
      </c>
      <c r="G1726" s="208" t="s">
        <v>122</v>
      </c>
      <c r="H1726" s="201" t="s">
        <v>310</v>
      </c>
      <c r="I1726" s="201"/>
      <c r="J1726" s="202"/>
      <c r="K1726" s="202"/>
      <c r="L1726" s="202"/>
      <c r="M1726" s="202"/>
      <c r="N1726" s="202"/>
      <c r="O1726" s="202"/>
      <c r="P1726" s="202"/>
      <c r="Q1726" s="202"/>
      <c r="R1726" s="202"/>
      <c r="S1726" s="202"/>
      <c r="T1726" s="202"/>
    </row>
    <row r="1727" spans="1:20" s="182" customFormat="1" ht="14.15" hidden="1">
      <c r="A1727" s="222">
        <v>45390</v>
      </c>
      <c r="B1727" s="201" t="s">
        <v>1468</v>
      </c>
      <c r="C1727" s="208" t="s">
        <v>27</v>
      </c>
      <c r="D1727" s="592">
        <v>-8000000</v>
      </c>
      <c r="E1727" s="619">
        <v>45383</v>
      </c>
      <c r="F1727" s="201" t="s">
        <v>109</v>
      </c>
      <c r="G1727" s="208" t="s">
        <v>120</v>
      </c>
      <c r="H1727" s="201"/>
      <c r="I1727" s="201"/>
      <c r="J1727" s="202"/>
      <c r="K1727" s="202"/>
      <c r="L1727" s="202"/>
      <c r="M1727" s="202"/>
      <c r="N1727" s="202"/>
      <c r="O1727" s="202"/>
      <c r="P1727" s="202"/>
      <c r="Q1727" s="202"/>
      <c r="R1727" s="202"/>
      <c r="S1727" s="202"/>
      <c r="T1727" s="202"/>
    </row>
    <row r="1728" spans="1:20" s="182" customFormat="1" ht="14.15" hidden="1">
      <c r="A1728" s="222">
        <v>45390</v>
      </c>
      <c r="B1728" s="201" t="s">
        <v>1697</v>
      </c>
      <c r="C1728" s="208" t="s">
        <v>27</v>
      </c>
      <c r="D1728" s="800">
        <v>-328149</v>
      </c>
      <c r="E1728" s="619">
        <v>45383</v>
      </c>
      <c r="F1728" s="201" t="s">
        <v>109</v>
      </c>
      <c r="G1728" s="201" t="s">
        <v>581</v>
      </c>
      <c r="H1728" s="201"/>
      <c r="I1728" s="201"/>
      <c r="J1728" s="202"/>
      <c r="K1728" s="202"/>
      <c r="L1728" s="202"/>
      <c r="M1728" s="202"/>
      <c r="N1728" s="202"/>
      <c r="O1728" s="202"/>
      <c r="P1728" s="202"/>
      <c r="Q1728" s="202"/>
      <c r="R1728" s="202"/>
      <c r="S1728" s="202"/>
      <c r="T1728" s="202"/>
    </row>
    <row r="1729" spans="1:20" s="182" customFormat="1" ht="14.15" hidden="1">
      <c r="A1729" s="222">
        <v>45390</v>
      </c>
      <c r="B1729" s="201" t="s">
        <v>1698</v>
      </c>
      <c r="C1729" s="208" t="s">
        <v>27</v>
      </c>
      <c r="D1729" s="592">
        <v>-1780000</v>
      </c>
      <c r="E1729" s="619">
        <v>45383</v>
      </c>
      <c r="F1729" s="201" t="s">
        <v>109</v>
      </c>
      <c r="G1729" s="208" t="s">
        <v>120</v>
      </c>
      <c r="H1729" s="208" t="s">
        <v>147</v>
      </c>
      <c r="I1729" s="201"/>
      <c r="J1729" s="202"/>
      <c r="K1729" s="202"/>
      <c r="L1729" s="202"/>
      <c r="M1729" s="202"/>
      <c r="N1729" s="202"/>
      <c r="O1729" s="202"/>
      <c r="P1729" s="202"/>
      <c r="Q1729" s="202"/>
      <c r="R1729" s="202"/>
      <c r="S1729" s="202"/>
      <c r="T1729" s="202"/>
    </row>
    <row r="1730" spans="1:20" s="182" customFormat="1" ht="14.15" hidden="1">
      <c r="A1730" s="222">
        <v>45391</v>
      </c>
      <c r="B1730" s="201" t="s">
        <v>1073</v>
      </c>
      <c r="C1730" s="208" t="s">
        <v>27</v>
      </c>
      <c r="D1730" s="592">
        <v>-1240000</v>
      </c>
      <c r="E1730" s="619">
        <v>45383</v>
      </c>
      <c r="F1730" s="201" t="s">
        <v>109</v>
      </c>
      <c r="G1730" s="208" t="s">
        <v>120</v>
      </c>
      <c r="H1730" s="208" t="s">
        <v>175</v>
      </c>
      <c r="I1730" s="201"/>
      <c r="J1730" s="202"/>
      <c r="K1730" s="202"/>
      <c r="L1730" s="202"/>
      <c r="M1730" s="202"/>
      <c r="N1730" s="202"/>
      <c r="O1730" s="202"/>
      <c r="P1730" s="202"/>
      <c r="Q1730" s="202"/>
      <c r="R1730" s="202"/>
      <c r="S1730" s="202"/>
      <c r="T1730" s="202"/>
    </row>
    <row r="1731" spans="1:20" s="182" customFormat="1" ht="14.15" hidden="1">
      <c r="A1731" s="222">
        <v>45391</v>
      </c>
      <c r="B1731" s="201" t="s">
        <v>1699</v>
      </c>
      <c r="C1731" s="208" t="s">
        <v>27</v>
      </c>
      <c r="D1731" s="592">
        <v>-1568000</v>
      </c>
      <c r="E1731" s="619">
        <v>45383</v>
      </c>
      <c r="F1731" s="201" t="s">
        <v>109</v>
      </c>
      <c r="G1731" s="208" t="s">
        <v>125</v>
      </c>
      <c r="H1731" s="201" t="s">
        <v>416</v>
      </c>
      <c r="I1731" s="201"/>
      <c r="J1731" s="202"/>
      <c r="K1731" s="202"/>
      <c r="L1731" s="202"/>
      <c r="M1731" s="202"/>
      <c r="N1731" s="202"/>
      <c r="O1731" s="202"/>
      <c r="P1731" s="202"/>
      <c r="Q1731" s="202"/>
      <c r="R1731" s="202"/>
      <c r="S1731" s="202"/>
      <c r="T1731" s="202"/>
    </row>
    <row r="1732" spans="1:20" s="182" customFormat="1" ht="14.15" hidden="1">
      <c r="A1732" s="222">
        <v>45392</v>
      </c>
      <c r="B1732" s="201" t="s">
        <v>1700</v>
      </c>
      <c r="C1732" s="208" t="s">
        <v>27</v>
      </c>
      <c r="D1732" s="592">
        <v>-381160</v>
      </c>
      <c r="E1732" s="619">
        <v>45383</v>
      </c>
      <c r="F1732" s="201" t="s">
        <v>109</v>
      </c>
      <c r="G1732" s="208" t="s">
        <v>120</v>
      </c>
      <c r="H1732" s="208" t="s">
        <v>175</v>
      </c>
      <c r="I1732" s="201"/>
      <c r="J1732" s="202"/>
      <c r="K1732" s="202"/>
      <c r="L1732" s="202"/>
      <c r="M1732" s="202"/>
      <c r="N1732" s="202"/>
      <c r="O1732" s="202"/>
      <c r="P1732" s="202"/>
      <c r="Q1732" s="202"/>
      <c r="R1732" s="202"/>
      <c r="S1732" s="202"/>
      <c r="T1732" s="202"/>
    </row>
    <row r="1733" spans="1:20" s="182" customFormat="1" ht="14.15" hidden="1">
      <c r="A1733" s="222">
        <v>45392</v>
      </c>
      <c r="B1733" s="201" t="s">
        <v>1701</v>
      </c>
      <c r="C1733" s="208" t="s">
        <v>27</v>
      </c>
      <c r="D1733" s="592">
        <v>-20516000</v>
      </c>
      <c r="E1733" s="619">
        <v>45383</v>
      </c>
      <c r="F1733" s="201" t="s">
        <v>1702</v>
      </c>
      <c r="G1733" s="201"/>
      <c r="H1733" s="201"/>
      <c r="I1733" s="201"/>
      <c r="J1733" s="202"/>
      <c r="K1733" s="202"/>
      <c r="L1733" s="202"/>
      <c r="M1733" s="202"/>
      <c r="N1733" s="202"/>
      <c r="O1733" s="202"/>
      <c r="P1733" s="202"/>
      <c r="Q1733" s="202"/>
      <c r="R1733" s="202"/>
      <c r="S1733" s="202"/>
      <c r="T1733" s="202"/>
    </row>
    <row r="1734" spans="1:20" s="182" customFormat="1" ht="14.15" hidden="1">
      <c r="A1734" s="222">
        <v>45392</v>
      </c>
      <c r="B1734" s="201" t="s">
        <v>1703</v>
      </c>
      <c r="C1734" s="208" t="s">
        <v>27</v>
      </c>
      <c r="D1734" s="592">
        <v>-86000</v>
      </c>
      <c r="E1734" s="619">
        <v>45383</v>
      </c>
      <c r="F1734" s="201" t="s">
        <v>1702</v>
      </c>
      <c r="G1734" s="201"/>
      <c r="H1734" s="201"/>
      <c r="I1734" s="201"/>
      <c r="J1734" s="202"/>
      <c r="K1734" s="202"/>
      <c r="L1734" s="202"/>
      <c r="M1734" s="202"/>
      <c r="N1734" s="202"/>
      <c r="O1734" s="202"/>
      <c r="P1734" s="202"/>
      <c r="Q1734" s="202"/>
      <c r="R1734" s="202"/>
      <c r="S1734" s="202"/>
      <c r="T1734" s="202"/>
    </row>
    <row r="1735" spans="1:20" s="182" customFormat="1" ht="14.15" hidden="1">
      <c r="A1735" s="222">
        <v>45392</v>
      </c>
      <c r="B1735" s="201" t="s">
        <v>1704</v>
      </c>
      <c r="C1735" s="208" t="s">
        <v>27</v>
      </c>
      <c r="D1735" s="592">
        <v>-125800</v>
      </c>
      <c r="E1735" s="619">
        <v>45383</v>
      </c>
      <c r="F1735" s="201" t="s">
        <v>109</v>
      </c>
      <c r="G1735" s="208" t="s">
        <v>120</v>
      </c>
      <c r="H1735" s="201"/>
      <c r="I1735" s="201"/>
      <c r="J1735" s="202"/>
      <c r="K1735" s="202"/>
      <c r="L1735" s="202"/>
      <c r="M1735" s="202"/>
      <c r="N1735" s="202"/>
      <c r="O1735" s="202"/>
      <c r="P1735" s="202"/>
      <c r="Q1735" s="202"/>
      <c r="R1735" s="202"/>
      <c r="S1735" s="202"/>
      <c r="T1735" s="202"/>
    </row>
    <row r="1736" spans="1:20" s="182" customFormat="1" ht="14.15" hidden="1">
      <c r="A1736" s="222">
        <v>45393</v>
      </c>
      <c r="B1736" s="201" t="s">
        <v>1705</v>
      </c>
      <c r="C1736" s="208" t="s">
        <v>133</v>
      </c>
      <c r="D1736" s="592">
        <v>-376000</v>
      </c>
      <c r="E1736" s="619">
        <v>45383</v>
      </c>
      <c r="F1736" s="201" t="s">
        <v>109</v>
      </c>
      <c r="G1736" s="208" t="s">
        <v>120</v>
      </c>
      <c r="H1736" s="208" t="s">
        <v>147</v>
      </c>
      <c r="I1736" s="201"/>
      <c r="J1736" s="202"/>
      <c r="K1736" s="202"/>
      <c r="L1736" s="202"/>
      <c r="M1736" s="202"/>
      <c r="N1736" s="202"/>
      <c r="O1736" s="202"/>
      <c r="P1736" s="202"/>
      <c r="Q1736" s="202"/>
      <c r="R1736" s="202"/>
      <c r="S1736" s="202"/>
      <c r="T1736" s="202"/>
    </row>
    <row r="1737" spans="1:20" s="182" customFormat="1" ht="14.15" hidden="1">
      <c r="A1737" s="222">
        <v>45392</v>
      </c>
      <c r="B1737" s="201" t="s">
        <v>1706</v>
      </c>
      <c r="C1737" s="208" t="s">
        <v>27</v>
      </c>
      <c r="D1737" s="592">
        <v>-480000</v>
      </c>
      <c r="E1737" s="619">
        <v>45383</v>
      </c>
      <c r="F1737" s="201" t="s">
        <v>109</v>
      </c>
      <c r="G1737" s="208" t="s">
        <v>120</v>
      </c>
      <c r="H1737" s="201"/>
      <c r="I1737" s="201"/>
      <c r="J1737" s="202"/>
      <c r="K1737" s="202"/>
      <c r="L1737" s="202"/>
      <c r="M1737" s="202"/>
      <c r="N1737" s="202"/>
      <c r="O1737" s="202"/>
      <c r="P1737" s="202"/>
      <c r="Q1737" s="202"/>
      <c r="R1737" s="202"/>
      <c r="S1737" s="202"/>
      <c r="T1737" s="202"/>
    </row>
    <row r="1738" spans="1:20" s="182" customFormat="1" ht="14.15" hidden="1">
      <c r="A1738" s="222">
        <v>45392</v>
      </c>
      <c r="B1738" s="201" t="s">
        <v>1707</v>
      </c>
      <c r="C1738" s="208" t="s">
        <v>27</v>
      </c>
      <c r="D1738" s="592">
        <v>-510150</v>
      </c>
      <c r="E1738" s="619">
        <v>45383</v>
      </c>
      <c r="F1738" s="201" t="s">
        <v>109</v>
      </c>
      <c r="G1738" s="208" t="s">
        <v>120</v>
      </c>
      <c r="H1738" s="208" t="s">
        <v>175</v>
      </c>
      <c r="I1738" s="201"/>
      <c r="J1738" s="202"/>
      <c r="K1738" s="202"/>
      <c r="L1738" s="202"/>
      <c r="M1738" s="202"/>
      <c r="N1738" s="202"/>
      <c r="O1738" s="202"/>
      <c r="P1738" s="202"/>
      <c r="Q1738" s="202"/>
      <c r="R1738" s="202"/>
      <c r="S1738" s="202"/>
      <c r="T1738" s="202"/>
    </row>
    <row r="1739" spans="1:20" s="182" customFormat="1" ht="14.15" hidden="1">
      <c r="A1739" s="222">
        <v>45392</v>
      </c>
      <c r="B1739" s="201" t="s">
        <v>1708</v>
      </c>
      <c r="C1739" s="208" t="s">
        <v>27</v>
      </c>
      <c r="D1739" s="592">
        <v>-150000</v>
      </c>
      <c r="E1739" s="619">
        <v>45383</v>
      </c>
      <c r="F1739" s="201" t="s">
        <v>130</v>
      </c>
      <c r="G1739" s="201" t="s">
        <v>130</v>
      </c>
      <c r="H1739" s="201" t="s">
        <v>184</v>
      </c>
      <c r="I1739" s="201"/>
      <c r="J1739" s="202"/>
      <c r="K1739" s="202"/>
      <c r="L1739" s="202"/>
      <c r="M1739" s="202"/>
      <c r="N1739" s="202"/>
      <c r="O1739" s="202"/>
      <c r="P1739" s="202"/>
      <c r="Q1739" s="202"/>
      <c r="R1739" s="202"/>
      <c r="S1739" s="202"/>
      <c r="T1739" s="202"/>
    </row>
    <row r="1740" spans="1:20" s="182" customFormat="1" ht="14.15" hidden="1">
      <c r="A1740" s="222">
        <v>45392</v>
      </c>
      <c r="B1740" s="201" t="s">
        <v>1709</v>
      </c>
      <c r="C1740" s="208" t="s">
        <v>27</v>
      </c>
      <c r="D1740" s="592">
        <v>-560000</v>
      </c>
      <c r="E1740" s="619">
        <v>45383</v>
      </c>
      <c r="F1740" s="201" t="s">
        <v>130</v>
      </c>
      <c r="G1740" s="201" t="s">
        <v>130</v>
      </c>
      <c r="H1740" s="201" t="s">
        <v>323</v>
      </c>
      <c r="I1740" s="201"/>
      <c r="J1740" s="202"/>
      <c r="K1740" s="202"/>
      <c r="L1740" s="202"/>
      <c r="M1740" s="202"/>
      <c r="N1740" s="202"/>
      <c r="O1740" s="202"/>
      <c r="P1740" s="202"/>
      <c r="Q1740" s="202"/>
      <c r="R1740" s="202"/>
      <c r="S1740" s="202"/>
      <c r="T1740" s="202"/>
    </row>
    <row r="1741" spans="1:20" s="182" customFormat="1" ht="14.15" hidden="1">
      <c r="A1741" s="222">
        <v>45385</v>
      </c>
      <c r="B1741" s="201" t="s">
        <v>1710</v>
      </c>
      <c r="C1741" s="208" t="s">
        <v>146</v>
      </c>
      <c r="D1741" s="592">
        <v>-5000</v>
      </c>
      <c r="E1741" s="619">
        <v>45383</v>
      </c>
      <c r="F1741" s="201" t="s">
        <v>207</v>
      </c>
      <c r="G1741" s="208" t="s">
        <v>262</v>
      </c>
      <c r="H1741" s="208" t="s">
        <v>175</v>
      </c>
      <c r="I1741" s="201" t="s">
        <v>173</v>
      </c>
      <c r="J1741" s="202"/>
      <c r="K1741" s="202"/>
      <c r="L1741" s="202"/>
      <c r="M1741" s="202"/>
      <c r="N1741" s="202"/>
      <c r="O1741" s="202"/>
      <c r="P1741" s="202"/>
      <c r="Q1741" s="202"/>
      <c r="R1741" s="202"/>
      <c r="S1741" s="202"/>
      <c r="T1741" s="202"/>
    </row>
    <row r="1742" spans="1:20" s="182" customFormat="1" ht="14.15" hidden="1">
      <c r="A1742" s="222">
        <v>45385</v>
      </c>
      <c r="B1742" s="201" t="s">
        <v>1711</v>
      </c>
      <c r="C1742" s="208" t="s">
        <v>146</v>
      </c>
      <c r="D1742" s="592">
        <v>-97000</v>
      </c>
      <c r="E1742" s="619">
        <v>45383</v>
      </c>
      <c r="F1742" s="201" t="s">
        <v>109</v>
      </c>
      <c r="G1742" s="208" t="s">
        <v>120</v>
      </c>
      <c r="H1742" s="201"/>
      <c r="I1742" s="201" t="s">
        <v>173</v>
      </c>
      <c r="J1742" s="202"/>
      <c r="K1742" s="202"/>
      <c r="L1742" s="202"/>
      <c r="M1742" s="202"/>
      <c r="N1742" s="202"/>
      <c r="O1742" s="202"/>
      <c r="P1742" s="202"/>
      <c r="Q1742" s="202"/>
      <c r="R1742" s="202"/>
      <c r="S1742" s="202"/>
      <c r="T1742" s="202"/>
    </row>
    <row r="1743" spans="1:20" s="182" customFormat="1" ht="14.15" hidden="1">
      <c r="A1743" s="222">
        <v>45385</v>
      </c>
      <c r="B1743" s="201" t="s">
        <v>1712</v>
      </c>
      <c r="C1743" s="208" t="s">
        <v>146</v>
      </c>
      <c r="D1743" s="592">
        <v>-52434</v>
      </c>
      <c r="E1743" s="619">
        <v>45383</v>
      </c>
      <c r="F1743" s="291" t="s">
        <v>110</v>
      </c>
      <c r="G1743" s="208" t="s">
        <v>450</v>
      </c>
      <c r="H1743" s="208" t="s">
        <v>175</v>
      </c>
      <c r="I1743" s="201" t="s">
        <v>173</v>
      </c>
      <c r="J1743" s="202"/>
      <c r="K1743" s="202"/>
      <c r="L1743" s="202"/>
      <c r="M1743" s="202"/>
      <c r="N1743" s="202"/>
      <c r="O1743" s="202"/>
      <c r="P1743" s="202"/>
      <c r="Q1743" s="202"/>
      <c r="R1743" s="202"/>
      <c r="S1743" s="202"/>
      <c r="T1743" s="202"/>
    </row>
    <row r="1744" spans="1:20" s="182" customFormat="1" ht="14.15" hidden="1">
      <c r="A1744" s="222">
        <v>45385</v>
      </c>
      <c r="B1744" s="201" t="s">
        <v>1713</v>
      </c>
      <c r="C1744" s="208" t="s">
        <v>146</v>
      </c>
      <c r="D1744" s="592">
        <v>-30000</v>
      </c>
      <c r="E1744" s="619">
        <v>45383</v>
      </c>
      <c r="F1744" s="291" t="s">
        <v>110</v>
      </c>
      <c r="G1744" s="208" t="s">
        <v>450</v>
      </c>
      <c r="H1744" s="208" t="s">
        <v>175</v>
      </c>
      <c r="I1744" s="201" t="s">
        <v>173</v>
      </c>
      <c r="J1744" s="202"/>
      <c r="K1744" s="202"/>
      <c r="L1744" s="202"/>
      <c r="M1744" s="202"/>
      <c r="N1744" s="202"/>
      <c r="O1744" s="202"/>
      <c r="P1744" s="202"/>
      <c r="Q1744" s="202"/>
      <c r="R1744" s="202"/>
      <c r="S1744" s="202"/>
      <c r="T1744" s="202"/>
    </row>
    <row r="1745" spans="1:20" s="182" customFormat="1" ht="14.15" hidden="1">
      <c r="A1745" s="222">
        <v>45385</v>
      </c>
      <c r="B1745" s="201" t="s">
        <v>1714</v>
      </c>
      <c r="C1745" s="208" t="s">
        <v>146</v>
      </c>
      <c r="D1745" s="592">
        <v>-95000</v>
      </c>
      <c r="E1745" s="619">
        <v>45383</v>
      </c>
      <c r="F1745" s="291" t="s">
        <v>110</v>
      </c>
      <c r="G1745" s="208" t="s">
        <v>450</v>
      </c>
      <c r="H1745" s="208" t="s">
        <v>175</v>
      </c>
      <c r="I1745" s="201" t="s">
        <v>173</v>
      </c>
      <c r="J1745" s="202"/>
      <c r="K1745" s="202"/>
      <c r="L1745" s="202"/>
      <c r="M1745" s="202"/>
      <c r="N1745" s="202"/>
      <c r="O1745" s="202"/>
      <c r="P1745" s="202"/>
      <c r="Q1745" s="202"/>
      <c r="R1745" s="202"/>
      <c r="S1745" s="202"/>
      <c r="T1745" s="202"/>
    </row>
    <row r="1746" spans="1:20" s="182" customFormat="1" ht="14.15" hidden="1">
      <c r="A1746" s="222">
        <v>45385</v>
      </c>
      <c r="B1746" s="201" t="s">
        <v>1715</v>
      </c>
      <c r="C1746" s="208" t="s">
        <v>146</v>
      </c>
      <c r="D1746" s="592">
        <v>-20300</v>
      </c>
      <c r="E1746" s="619">
        <v>45383</v>
      </c>
      <c r="F1746" s="291" t="s">
        <v>110</v>
      </c>
      <c r="G1746" s="208" t="s">
        <v>450</v>
      </c>
      <c r="H1746" s="208" t="s">
        <v>175</v>
      </c>
      <c r="I1746" s="201" t="s">
        <v>173</v>
      </c>
      <c r="J1746" s="202"/>
      <c r="K1746" s="202"/>
      <c r="L1746" s="202"/>
      <c r="M1746" s="202"/>
      <c r="N1746" s="202"/>
      <c r="O1746" s="202"/>
      <c r="P1746" s="202"/>
      <c r="Q1746" s="202"/>
      <c r="R1746" s="202"/>
      <c r="S1746" s="202"/>
      <c r="T1746" s="202"/>
    </row>
    <row r="1747" spans="1:20" s="182" customFormat="1" ht="14.15" hidden="1">
      <c r="A1747" s="222">
        <v>45386</v>
      </c>
      <c r="B1747" s="201" t="s">
        <v>1716</v>
      </c>
      <c r="C1747" s="208" t="s">
        <v>146</v>
      </c>
      <c r="D1747" s="592">
        <v>-22000</v>
      </c>
      <c r="E1747" s="619">
        <v>45383</v>
      </c>
      <c r="F1747" s="201" t="s">
        <v>110</v>
      </c>
      <c r="G1747" s="208" t="s">
        <v>122</v>
      </c>
      <c r="H1747" s="208" t="s">
        <v>175</v>
      </c>
      <c r="I1747" s="201" t="s">
        <v>173</v>
      </c>
      <c r="J1747" s="202"/>
      <c r="K1747" s="202"/>
      <c r="L1747" s="202"/>
      <c r="M1747" s="202"/>
      <c r="N1747" s="202"/>
      <c r="O1747" s="202"/>
      <c r="P1747" s="202"/>
      <c r="Q1747" s="202"/>
      <c r="R1747" s="202"/>
      <c r="S1747" s="202"/>
      <c r="T1747" s="202"/>
    </row>
    <row r="1748" spans="1:20" s="182" customFormat="1" ht="14.15" hidden="1">
      <c r="A1748" s="222">
        <v>45386</v>
      </c>
      <c r="B1748" s="201" t="s">
        <v>1717</v>
      </c>
      <c r="C1748" s="208" t="s">
        <v>146</v>
      </c>
      <c r="D1748" s="592">
        <v>-167623</v>
      </c>
      <c r="E1748" s="619">
        <v>45383</v>
      </c>
      <c r="F1748" s="201" t="s">
        <v>110</v>
      </c>
      <c r="G1748" s="208" t="s">
        <v>122</v>
      </c>
      <c r="H1748" s="208" t="s">
        <v>175</v>
      </c>
      <c r="I1748" s="201" t="s">
        <v>173</v>
      </c>
      <c r="J1748" s="202"/>
      <c r="K1748" s="202"/>
      <c r="L1748" s="202"/>
      <c r="M1748" s="202"/>
      <c r="N1748" s="202"/>
      <c r="O1748" s="202"/>
      <c r="P1748" s="202"/>
      <c r="Q1748" s="202"/>
      <c r="R1748" s="202"/>
      <c r="S1748" s="202"/>
      <c r="T1748" s="202"/>
    </row>
    <row r="1749" spans="1:20" s="182" customFormat="1" ht="14.15" hidden="1">
      <c r="A1749" s="222">
        <v>45386</v>
      </c>
      <c r="B1749" s="201" t="s">
        <v>1718</v>
      </c>
      <c r="C1749" s="208" t="s">
        <v>146</v>
      </c>
      <c r="D1749" s="592">
        <v>-20700</v>
      </c>
      <c r="E1749" s="619">
        <v>45383</v>
      </c>
      <c r="F1749" s="201" t="s">
        <v>110</v>
      </c>
      <c r="G1749" s="208" t="s">
        <v>122</v>
      </c>
      <c r="H1749" s="208" t="s">
        <v>175</v>
      </c>
      <c r="I1749" s="201" t="s">
        <v>173</v>
      </c>
      <c r="J1749" s="202"/>
      <c r="K1749" s="202"/>
      <c r="L1749" s="202"/>
      <c r="M1749" s="202"/>
      <c r="N1749" s="202"/>
      <c r="O1749" s="202"/>
      <c r="P1749" s="202"/>
      <c r="Q1749" s="202"/>
      <c r="R1749" s="202"/>
      <c r="S1749" s="202"/>
      <c r="T1749" s="202"/>
    </row>
    <row r="1750" spans="1:20" s="182" customFormat="1" ht="14.15" hidden="1">
      <c r="A1750" s="222">
        <v>45386</v>
      </c>
      <c r="B1750" s="201" t="s">
        <v>1719</v>
      </c>
      <c r="C1750" s="208" t="s">
        <v>146</v>
      </c>
      <c r="D1750" s="592">
        <v>-17000</v>
      </c>
      <c r="E1750" s="619">
        <v>45383</v>
      </c>
      <c r="F1750" s="201" t="s">
        <v>109</v>
      </c>
      <c r="G1750" s="208" t="s">
        <v>120</v>
      </c>
      <c r="H1750" s="201"/>
      <c r="I1750" s="201" t="s">
        <v>173</v>
      </c>
      <c r="J1750" s="202"/>
      <c r="K1750" s="202"/>
      <c r="L1750" s="202"/>
      <c r="M1750" s="202"/>
      <c r="N1750" s="202"/>
      <c r="O1750" s="202"/>
      <c r="P1750" s="202"/>
      <c r="Q1750" s="202"/>
      <c r="R1750" s="202"/>
      <c r="S1750" s="202"/>
      <c r="T1750" s="202"/>
    </row>
    <row r="1751" spans="1:20" s="182" customFormat="1" ht="14.15" hidden="1">
      <c r="A1751" s="222">
        <v>45386</v>
      </c>
      <c r="B1751" s="201" t="s">
        <v>1720</v>
      </c>
      <c r="C1751" s="208" t="s">
        <v>146</v>
      </c>
      <c r="D1751" s="592">
        <v>-9000</v>
      </c>
      <c r="E1751" s="619">
        <v>45383</v>
      </c>
      <c r="F1751" s="201" t="s">
        <v>109</v>
      </c>
      <c r="G1751" s="208" t="s">
        <v>383</v>
      </c>
      <c r="H1751" s="81" t="s">
        <v>138</v>
      </c>
      <c r="I1751" s="201" t="s">
        <v>173</v>
      </c>
      <c r="J1751" s="202"/>
      <c r="K1751" s="202"/>
      <c r="L1751" s="202"/>
      <c r="M1751" s="202"/>
      <c r="N1751" s="202"/>
      <c r="O1751" s="202"/>
      <c r="P1751" s="202"/>
      <c r="Q1751" s="202"/>
      <c r="R1751" s="202"/>
      <c r="S1751" s="202"/>
      <c r="T1751" s="202"/>
    </row>
    <row r="1752" spans="1:20" s="182" customFormat="1" ht="14.15" hidden="1">
      <c r="A1752" s="222">
        <v>45385</v>
      </c>
      <c r="B1752" s="201" t="s">
        <v>1721</v>
      </c>
      <c r="C1752" s="208" t="s">
        <v>146</v>
      </c>
      <c r="D1752" s="592">
        <v>-50000</v>
      </c>
      <c r="E1752" s="619">
        <v>45383</v>
      </c>
      <c r="F1752" s="201" t="s">
        <v>109</v>
      </c>
      <c r="G1752" s="208" t="s">
        <v>120</v>
      </c>
      <c r="H1752" s="81" t="s">
        <v>138</v>
      </c>
      <c r="I1752" s="201" t="s">
        <v>173</v>
      </c>
      <c r="J1752" s="202"/>
      <c r="K1752" s="202"/>
      <c r="L1752" s="202"/>
      <c r="M1752" s="202"/>
      <c r="N1752" s="202"/>
      <c r="O1752" s="202"/>
      <c r="P1752" s="202"/>
      <c r="Q1752" s="202"/>
      <c r="R1752" s="202"/>
      <c r="S1752" s="202"/>
      <c r="T1752" s="202"/>
    </row>
    <row r="1753" spans="1:20" s="182" customFormat="1" ht="14.15" hidden="1">
      <c r="A1753" s="222">
        <v>45386</v>
      </c>
      <c r="B1753" s="201" t="s">
        <v>1722</v>
      </c>
      <c r="C1753" s="208" t="s">
        <v>146</v>
      </c>
      <c r="D1753" s="592">
        <v>-25000</v>
      </c>
      <c r="E1753" s="619">
        <v>45383</v>
      </c>
      <c r="F1753" s="201" t="s">
        <v>109</v>
      </c>
      <c r="G1753" s="208" t="s">
        <v>120</v>
      </c>
      <c r="H1753" s="81" t="s">
        <v>138</v>
      </c>
      <c r="I1753" s="201" t="s">
        <v>173</v>
      </c>
      <c r="J1753" s="202"/>
      <c r="K1753" s="202"/>
      <c r="L1753" s="202"/>
      <c r="M1753" s="202"/>
      <c r="N1753" s="202"/>
      <c r="O1753" s="202"/>
      <c r="P1753" s="202"/>
      <c r="Q1753" s="202"/>
      <c r="R1753" s="202"/>
      <c r="S1753" s="202"/>
      <c r="T1753" s="202"/>
    </row>
    <row r="1754" spans="1:20" s="182" customFormat="1" ht="14.15" hidden="1">
      <c r="A1754" s="222">
        <v>45386</v>
      </c>
      <c r="B1754" s="201" t="s">
        <v>1723</v>
      </c>
      <c r="C1754" s="208" t="s">
        <v>146</v>
      </c>
      <c r="D1754" s="592">
        <v>-7000</v>
      </c>
      <c r="E1754" s="619">
        <v>45383</v>
      </c>
      <c r="F1754" s="201" t="s">
        <v>109</v>
      </c>
      <c r="G1754" s="201" t="s">
        <v>918</v>
      </c>
      <c r="H1754" s="81" t="s">
        <v>138</v>
      </c>
      <c r="I1754" s="201" t="s">
        <v>173</v>
      </c>
      <c r="J1754" s="202"/>
      <c r="K1754" s="202"/>
      <c r="L1754" s="202"/>
      <c r="M1754" s="202"/>
      <c r="N1754" s="202"/>
      <c r="O1754" s="202"/>
      <c r="P1754" s="202"/>
      <c r="Q1754" s="202"/>
      <c r="R1754" s="202"/>
      <c r="S1754" s="202"/>
      <c r="T1754" s="202"/>
    </row>
    <row r="1755" spans="1:20" s="182" customFormat="1" ht="14.15" hidden="1">
      <c r="A1755" s="222">
        <v>45392</v>
      </c>
      <c r="B1755" s="201" t="s">
        <v>1724</v>
      </c>
      <c r="C1755" s="208" t="s">
        <v>27</v>
      </c>
      <c r="D1755" s="592">
        <v>-36518</v>
      </c>
      <c r="E1755" s="619">
        <v>45383</v>
      </c>
      <c r="F1755" s="201" t="s">
        <v>110</v>
      </c>
      <c r="G1755" s="208" t="s">
        <v>122</v>
      </c>
      <c r="H1755" s="208" t="s">
        <v>175</v>
      </c>
      <c r="I1755" s="201"/>
      <c r="J1755" s="202"/>
      <c r="K1755" s="202"/>
      <c r="L1755" s="202"/>
      <c r="M1755" s="202"/>
      <c r="N1755" s="202"/>
      <c r="O1755" s="202"/>
      <c r="P1755" s="202"/>
      <c r="Q1755" s="202"/>
      <c r="R1755" s="202"/>
      <c r="S1755" s="202"/>
      <c r="T1755" s="202"/>
    </row>
    <row r="1756" spans="1:20" s="182" customFormat="1" ht="14.15" hidden="1">
      <c r="A1756" s="222">
        <v>45387</v>
      </c>
      <c r="B1756" s="201" t="s">
        <v>1725</v>
      </c>
      <c r="C1756" s="208" t="s">
        <v>146</v>
      </c>
      <c r="D1756" s="592">
        <v>-2000</v>
      </c>
      <c r="E1756" s="619">
        <v>45383</v>
      </c>
      <c r="F1756" s="201" t="s">
        <v>130</v>
      </c>
      <c r="G1756" s="201" t="s">
        <v>130</v>
      </c>
      <c r="H1756" s="201" t="s">
        <v>323</v>
      </c>
      <c r="I1756" s="201" t="s">
        <v>173</v>
      </c>
      <c r="J1756" s="202"/>
      <c r="K1756" s="202"/>
      <c r="L1756" s="202"/>
      <c r="M1756" s="202"/>
      <c r="N1756" s="202"/>
      <c r="O1756" s="202"/>
      <c r="P1756" s="202"/>
      <c r="Q1756" s="202"/>
      <c r="R1756" s="202"/>
      <c r="S1756" s="202"/>
      <c r="T1756" s="202"/>
    </row>
    <row r="1757" spans="1:20" s="182" customFormat="1" ht="14.15" hidden="1">
      <c r="A1757" s="222">
        <v>45386</v>
      </c>
      <c r="B1757" s="201" t="s">
        <v>1726</v>
      </c>
      <c r="C1757" s="208" t="s">
        <v>146</v>
      </c>
      <c r="D1757" s="592">
        <v>-75000</v>
      </c>
      <c r="E1757" s="619">
        <v>45383</v>
      </c>
      <c r="F1757" s="291" t="s">
        <v>110</v>
      </c>
      <c r="G1757" s="208" t="s">
        <v>450</v>
      </c>
      <c r="H1757" s="81" t="s">
        <v>138</v>
      </c>
      <c r="I1757" s="201"/>
      <c r="J1757" s="202"/>
      <c r="K1757" s="202"/>
      <c r="L1757" s="202"/>
      <c r="M1757" s="202"/>
      <c r="N1757" s="202"/>
      <c r="O1757" s="202"/>
      <c r="P1757" s="202"/>
      <c r="Q1757" s="202"/>
      <c r="R1757" s="202"/>
      <c r="S1757" s="202"/>
      <c r="T1757" s="202"/>
    </row>
    <row r="1758" spans="1:20" s="203" customFormat="1" ht="14.15" hidden="1">
      <c r="A1758" s="222">
        <v>45386</v>
      </c>
      <c r="B1758" s="201" t="s">
        <v>1726</v>
      </c>
      <c r="C1758" s="208" t="s">
        <v>146</v>
      </c>
      <c r="D1758" s="592">
        <v>-85000</v>
      </c>
      <c r="E1758" s="619">
        <v>45383</v>
      </c>
      <c r="F1758" s="201" t="s">
        <v>109</v>
      </c>
      <c r="G1758" s="208" t="s">
        <v>120</v>
      </c>
      <c r="H1758" s="201"/>
      <c r="I1758" s="201"/>
      <c r="J1758" s="202"/>
      <c r="K1758" s="202"/>
      <c r="L1758" s="202"/>
      <c r="M1758" s="202"/>
      <c r="N1758" s="202"/>
      <c r="O1758" s="202"/>
      <c r="P1758" s="202"/>
      <c r="Q1758" s="202"/>
      <c r="R1758" s="202"/>
      <c r="S1758" s="202"/>
      <c r="T1758" s="202"/>
    </row>
    <row r="1759" spans="1:20" s="182" customFormat="1" ht="14.15" hidden="1">
      <c r="A1759" s="222">
        <v>45386</v>
      </c>
      <c r="B1759" s="201" t="s">
        <v>1726</v>
      </c>
      <c r="C1759" s="208" t="s">
        <v>146</v>
      </c>
      <c r="D1759" s="592">
        <v>-45000</v>
      </c>
      <c r="E1759" s="619">
        <v>45383</v>
      </c>
      <c r="F1759" s="201" t="s">
        <v>110</v>
      </c>
      <c r="G1759" s="208" t="s">
        <v>453</v>
      </c>
      <c r="H1759" s="81" t="s">
        <v>138</v>
      </c>
      <c r="I1759" s="201"/>
      <c r="J1759" s="202"/>
      <c r="K1759" s="202"/>
      <c r="L1759" s="202"/>
      <c r="M1759" s="202"/>
      <c r="N1759" s="202"/>
      <c r="O1759" s="202"/>
      <c r="P1759" s="202"/>
      <c r="Q1759" s="202"/>
      <c r="R1759" s="202"/>
      <c r="S1759" s="202"/>
      <c r="T1759" s="202"/>
    </row>
    <row r="1760" spans="1:20" s="182" customFormat="1" ht="14.15" hidden="1">
      <c r="A1760" s="222">
        <v>45386</v>
      </c>
      <c r="B1760" s="201" t="s">
        <v>1726</v>
      </c>
      <c r="C1760" s="208" t="s">
        <v>146</v>
      </c>
      <c r="D1760" s="592">
        <v>-66000</v>
      </c>
      <c r="E1760" s="619">
        <v>45383</v>
      </c>
      <c r="F1760" s="201" t="s">
        <v>110</v>
      </c>
      <c r="G1760" s="208" t="s">
        <v>122</v>
      </c>
      <c r="H1760" s="81" t="s">
        <v>138</v>
      </c>
      <c r="I1760" s="201"/>
      <c r="J1760" s="202"/>
      <c r="K1760" s="202"/>
      <c r="L1760" s="202"/>
      <c r="M1760" s="202"/>
      <c r="N1760" s="202"/>
      <c r="O1760" s="202"/>
      <c r="P1760" s="202"/>
      <c r="Q1760" s="202"/>
      <c r="R1760" s="202"/>
      <c r="S1760" s="202"/>
      <c r="T1760" s="202"/>
    </row>
    <row r="1761" spans="1:20" s="182" customFormat="1" ht="14.15" hidden="1">
      <c r="A1761" s="631">
        <v>45390</v>
      </c>
      <c r="B1761" s="201" t="s">
        <v>1727</v>
      </c>
      <c r="C1761" s="208" t="s">
        <v>146</v>
      </c>
      <c r="D1761" s="592">
        <v>-55966</v>
      </c>
      <c r="E1761" s="619">
        <v>45383</v>
      </c>
      <c r="F1761" s="201" t="s">
        <v>109</v>
      </c>
      <c r="G1761" s="208" t="s">
        <v>120</v>
      </c>
      <c r="H1761" s="208" t="s">
        <v>147</v>
      </c>
      <c r="I1761" s="201"/>
      <c r="J1761" s="202"/>
      <c r="K1761" s="202"/>
      <c r="L1761" s="202"/>
      <c r="M1761" s="202"/>
      <c r="N1761" s="202"/>
      <c r="O1761" s="202"/>
      <c r="P1761" s="202"/>
      <c r="Q1761" s="202"/>
      <c r="R1761" s="202"/>
      <c r="S1761" s="202"/>
      <c r="T1761" s="202"/>
    </row>
    <row r="1762" spans="1:20" s="182" customFormat="1" ht="14.15" hidden="1">
      <c r="A1762" s="222">
        <v>45391</v>
      </c>
      <c r="B1762" s="201" t="s">
        <v>1728</v>
      </c>
      <c r="C1762" s="208" t="s">
        <v>146</v>
      </c>
      <c r="D1762" s="592">
        <v>-6000</v>
      </c>
      <c r="E1762" s="619">
        <v>45383</v>
      </c>
      <c r="F1762" s="201" t="s">
        <v>130</v>
      </c>
      <c r="G1762" s="201" t="s">
        <v>257</v>
      </c>
      <c r="H1762" s="81" t="s">
        <v>138</v>
      </c>
      <c r="I1762" s="201"/>
      <c r="J1762" s="202"/>
      <c r="K1762" s="202"/>
      <c r="L1762" s="202"/>
      <c r="M1762" s="202"/>
      <c r="N1762" s="202"/>
      <c r="O1762" s="202"/>
      <c r="P1762" s="202"/>
      <c r="Q1762" s="202"/>
      <c r="R1762" s="202"/>
      <c r="S1762" s="202"/>
      <c r="T1762" s="202"/>
    </row>
    <row r="1763" spans="1:20" s="182" customFormat="1" ht="14.15" hidden="1">
      <c r="A1763" s="222">
        <v>45391</v>
      </c>
      <c r="B1763" s="201" t="s">
        <v>1729</v>
      </c>
      <c r="C1763" s="208" t="s">
        <v>146</v>
      </c>
      <c r="D1763" s="592">
        <v>-405300</v>
      </c>
      <c r="E1763" s="619">
        <v>45383</v>
      </c>
      <c r="F1763" s="201" t="s">
        <v>109</v>
      </c>
      <c r="G1763" s="208" t="s">
        <v>120</v>
      </c>
      <c r="H1763" s="208" t="s">
        <v>147</v>
      </c>
      <c r="I1763" s="201"/>
      <c r="J1763" s="202"/>
      <c r="K1763" s="202"/>
      <c r="L1763" s="202"/>
      <c r="M1763" s="202"/>
      <c r="N1763" s="202"/>
      <c r="O1763" s="202"/>
      <c r="P1763" s="202"/>
      <c r="Q1763" s="202"/>
      <c r="R1763" s="202"/>
      <c r="S1763" s="202"/>
      <c r="T1763" s="202"/>
    </row>
    <row r="1764" spans="1:20" s="182" customFormat="1" ht="14.15" hidden="1">
      <c r="A1764" s="222">
        <v>45391</v>
      </c>
      <c r="B1764" s="201" t="s">
        <v>1730</v>
      </c>
      <c r="C1764" s="208" t="s">
        <v>133</v>
      </c>
      <c r="D1764" s="592">
        <v>-14700</v>
      </c>
      <c r="E1764" s="619">
        <v>45383</v>
      </c>
      <c r="F1764" s="201" t="s">
        <v>109</v>
      </c>
      <c r="G1764" s="208" t="s">
        <v>120</v>
      </c>
      <c r="H1764" s="201"/>
      <c r="I1764" s="201"/>
      <c r="J1764" s="202"/>
      <c r="K1764" s="202"/>
      <c r="L1764" s="202"/>
      <c r="M1764" s="202"/>
      <c r="N1764" s="202"/>
      <c r="O1764" s="202"/>
      <c r="P1764" s="202"/>
      <c r="Q1764" s="202"/>
      <c r="R1764" s="202"/>
      <c r="S1764" s="202"/>
      <c r="T1764" s="202"/>
    </row>
    <row r="1765" spans="1:20" s="182" customFormat="1" ht="14.15" hidden="1">
      <c r="A1765" s="631">
        <v>45392</v>
      </c>
      <c r="B1765" s="201" t="s">
        <v>1731</v>
      </c>
      <c r="C1765" s="208" t="s">
        <v>146</v>
      </c>
      <c r="D1765" s="592">
        <v>-25800</v>
      </c>
      <c r="E1765" s="619">
        <v>45383</v>
      </c>
      <c r="F1765" s="201" t="s">
        <v>109</v>
      </c>
      <c r="G1765" s="208" t="s">
        <v>120</v>
      </c>
      <c r="H1765" s="81" t="s">
        <v>138</v>
      </c>
      <c r="I1765" s="201"/>
      <c r="J1765" s="202"/>
      <c r="K1765" s="202"/>
      <c r="L1765" s="202"/>
      <c r="M1765" s="202"/>
      <c r="N1765" s="202"/>
      <c r="O1765" s="202"/>
      <c r="P1765" s="202"/>
      <c r="Q1765" s="202"/>
      <c r="R1765" s="202"/>
      <c r="S1765" s="202"/>
      <c r="T1765" s="202"/>
    </row>
    <row r="1766" spans="1:20" s="182" customFormat="1" ht="14.15" hidden="1">
      <c r="A1766" s="222">
        <v>45416</v>
      </c>
      <c r="B1766" s="201" t="s">
        <v>1732</v>
      </c>
      <c r="C1766" s="208" t="s">
        <v>146</v>
      </c>
      <c r="D1766" s="592">
        <v>-55870</v>
      </c>
      <c r="E1766" s="619">
        <v>45383</v>
      </c>
      <c r="F1766" s="201" t="s">
        <v>110</v>
      </c>
      <c r="G1766" s="208" t="s">
        <v>122</v>
      </c>
      <c r="H1766" s="208" t="s">
        <v>175</v>
      </c>
      <c r="I1766" s="201" t="s">
        <v>173</v>
      </c>
      <c r="J1766" s="202"/>
      <c r="K1766" s="202"/>
      <c r="L1766" s="202"/>
      <c r="M1766" s="202"/>
      <c r="N1766" s="202"/>
      <c r="O1766" s="202"/>
      <c r="P1766" s="202"/>
      <c r="Q1766" s="202"/>
      <c r="R1766" s="202"/>
      <c r="S1766" s="202"/>
      <c r="T1766" s="202"/>
    </row>
    <row r="1767" spans="1:20" s="182" customFormat="1" ht="14.15" hidden="1">
      <c r="A1767" s="222">
        <v>45416</v>
      </c>
      <c r="B1767" s="201" t="s">
        <v>1733</v>
      </c>
      <c r="C1767" s="208" t="s">
        <v>146</v>
      </c>
      <c r="D1767" s="592">
        <v>-9000</v>
      </c>
      <c r="E1767" s="619">
        <v>45383</v>
      </c>
      <c r="F1767" s="201" t="s">
        <v>109</v>
      </c>
      <c r="G1767" s="208" t="s">
        <v>383</v>
      </c>
      <c r="H1767" s="208" t="s">
        <v>175</v>
      </c>
      <c r="I1767" s="201" t="s">
        <v>173</v>
      </c>
      <c r="J1767" s="202"/>
      <c r="K1767" s="202"/>
      <c r="L1767" s="202"/>
      <c r="M1767" s="202"/>
      <c r="N1767" s="202"/>
      <c r="O1767" s="202"/>
      <c r="P1767" s="202"/>
      <c r="Q1767" s="202"/>
      <c r="R1767" s="202"/>
      <c r="S1767" s="202"/>
      <c r="T1767" s="202"/>
    </row>
    <row r="1768" spans="1:20" s="182" customFormat="1" ht="14.15" hidden="1">
      <c r="A1768" s="222">
        <v>45387</v>
      </c>
      <c r="B1768" s="201" t="s">
        <v>1734</v>
      </c>
      <c r="C1768" s="208" t="s">
        <v>146</v>
      </c>
      <c r="D1768" s="592">
        <v>-105000</v>
      </c>
      <c r="E1768" s="619">
        <v>45383</v>
      </c>
      <c r="F1768" s="201" t="s">
        <v>110</v>
      </c>
      <c r="G1768" s="208" t="s">
        <v>122</v>
      </c>
      <c r="H1768" s="208" t="s">
        <v>175</v>
      </c>
      <c r="I1768" s="201" t="s">
        <v>173</v>
      </c>
      <c r="J1768" s="202"/>
      <c r="K1768" s="202"/>
      <c r="L1768" s="202"/>
      <c r="M1768" s="202"/>
      <c r="N1768" s="202"/>
      <c r="O1768" s="202"/>
      <c r="P1768" s="202"/>
      <c r="Q1768" s="202"/>
      <c r="R1768" s="202"/>
      <c r="S1768" s="202"/>
      <c r="T1768" s="202"/>
    </row>
    <row r="1769" spans="1:20" s="182" customFormat="1" ht="14.15" hidden="1">
      <c r="A1769" s="222">
        <v>45387</v>
      </c>
      <c r="B1769" s="201" t="s">
        <v>1735</v>
      </c>
      <c r="C1769" s="208" t="s">
        <v>146</v>
      </c>
      <c r="D1769" s="592">
        <v>-19800</v>
      </c>
      <c r="E1769" s="619">
        <v>45383</v>
      </c>
      <c r="F1769" s="201" t="s">
        <v>110</v>
      </c>
      <c r="G1769" s="208" t="s">
        <v>122</v>
      </c>
      <c r="H1769" s="208" t="s">
        <v>175</v>
      </c>
      <c r="I1769" s="201" t="s">
        <v>173</v>
      </c>
      <c r="J1769" s="202"/>
      <c r="K1769" s="202"/>
      <c r="L1769" s="202"/>
      <c r="M1769" s="202"/>
      <c r="N1769" s="202"/>
      <c r="O1769" s="202"/>
      <c r="P1769" s="202"/>
      <c r="Q1769" s="202"/>
      <c r="R1769" s="202"/>
      <c r="S1769" s="202"/>
      <c r="T1769" s="202"/>
    </row>
    <row r="1770" spans="1:20" s="182" customFormat="1" ht="14.15" hidden="1">
      <c r="A1770" s="222">
        <v>45387</v>
      </c>
      <c r="B1770" s="201" t="s">
        <v>1736</v>
      </c>
      <c r="C1770" s="208" t="s">
        <v>146</v>
      </c>
      <c r="D1770" s="592">
        <v>-59400</v>
      </c>
      <c r="E1770" s="619">
        <v>45383</v>
      </c>
      <c r="F1770" s="201" t="s">
        <v>109</v>
      </c>
      <c r="G1770" s="201" t="s">
        <v>918</v>
      </c>
      <c r="H1770" s="208" t="s">
        <v>175</v>
      </c>
      <c r="I1770" s="201" t="s">
        <v>173</v>
      </c>
      <c r="J1770" s="202"/>
      <c r="K1770" s="202"/>
      <c r="L1770" s="202"/>
      <c r="M1770" s="202"/>
      <c r="N1770" s="202"/>
      <c r="O1770" s="202"/>
      <c r="P1770" s="202"/>
      <c r="Q1770" s="202"/>
      <c r="R1770" s="202"/>
      <c r="S1770" s="202"/>
      <c r="T1770" s="202"/>
    </row>
    <row r="1771" spans="1:20" s="182" customFormat="1" ht="14.15" hidden="1">
      <c r="A1771" s="222">
        <v>45387</v>
      </c>
      <c r="B1771" s="201" t="s">
        <v>1737</v>
      </c>
      <c r="C1771" s="208" t="s">
        <v>146</v>
      </c>
      <c r="D1771" s="592">
        <v>-16000</v>
      </c>
      <c r="E1771" s="619">
        <v>45383</v>
      </c>
      <c r="F1771" s="201" t="s">
        <v>109</v>
      </c>
      <c r="G1771" s="208" t="s">
        <v>120</v>
      </c>
      <c r="H1771" s="208" t="s">
        <v>175</v>
      </c>
      <c r="I1771" s="201" t="s">
        <v>173</v>
      </c>
      <c r="J1771" s="202"/>
      <c r="K1771" s="202"/>
      <c r="L1771" s="202"/>
      <c r="M1771" s="202"/>
      <c r="N1771" s="202"/>
      <c r="O1771" s="202"/>
      <c r="P1771" s="202"/>
      <c r="Q1771" s="202"/>
      <c r="R1771" s="202"/>
      <c r="S1771" s="202"/>
      <c r="T1771" s="202"/>
    </row>
    <row r="1772" spans="1:20" s="182" customFormat="1" ht="14.15" hidden="1">
      <c r="A1772" s="222">
        <v>45387</v>
      </c>
      <c r="B1772" s="201" t="s">
        <v>1738</v>
      </c>
      <c r="C1772" s="208" t="s">
        <v>146</v>
      </c>
      <c r="D1772" s="592">
        <v>-45000</v>
      </c>
      <c r="E1772" s="619">
        <v>45383</v>
      </c>
      <c r="F1772" s="201" t="s">
        <v>110</v>
      </c>
      <c r="G1772" s="208" t="s">
        <v>122</v>
      </c>
      <c r="H1772" s="208" t="s">
        <v>175</v>
      </c>
      <c r="I1772" s="201" t="s">
        <v>173</v>
      </c>
      <c r="J1772" s="202"/>
      <c r="K1772" s="202"/>
      <c r="L1772" s="202"/>
      <c r="M1772" s="202"/>
      <c r="N1772" s="202"/>
      <c r="O1772" s="202"/>
      <c r="P1772" s="202"/>
      <c r="Q1772" s="202"/>
      <c r="R1772" s="202"/>
      <c r="S1772" s="202"/>
      <c r="T1772" s="202"/>
    </row>
    <row r="1773" spans="1:20" s="182" customFormat="1" ht="14.15" hidden="1">
      <c r="A1773" s="222">
        <v>45387</v>
      </c>
      <c r="B1773" s="201" t="s">
        <v>1739</v>
      </c>
      <c r="C1773" s="208" t="s">
        <v>146</v>
      </c>
      <c r="D1773" s="592">
        <v>-116590</v>
      </c>
      <c r="E1773" s="619">
        <v>45383</v>
      </c>
      <c r="F1773" s="201" t="s">
        <v>109</v>
      </c>
      <c r="G1773" s="201" t="s">
        <v>918</v>
      </c>
      <c r="H1773" s="208" t="s">
        <v>175</v>
      </c>
      <c r="I1773" s="201" t="s">
        <v>173</v>
      </c>
      <c r="J1773" s="202"/>
      <c r="K1773" s="202"/>
      <c r="L1773" s="202"/>
      <c r="M1773" s="202"/>
      <c r="N1773" s="202"/>
      <c r="O1773" s="202"/>
      <c r="P1773" s="202"/>
      <c r="Q1773" s="202"/>
      <c r="R1773" s="202"/>
      <c r="S1773" s="202"/>
      <c r="T1773" s="202"/>
    </row>
    <row r="1774" spans="1:20" s="182" customFormat="1" ht="14.15" hidden="1">
      <c r="A1774" s="222">
        <v>45387</v>
      </c>
      <c r="B1774" s="632" t="s">
        <v>1740</v>
      </c>
      <c r="C1774" s="208" t="s">
        <v>146</v>
      </c>
      <c r="D1774" s="592">
        <v>-22000</v>
      </c>
      <c r="E1774" s="619">
        <v>45383</v>
      </c>
      <c r="F1774" s="201" t="s">
        <v>109</v>
      </c>
      <c r="G1774" s="206" t="s">
        <v>1741</v>
      </c>
      <c r="H1774" s="81" t="s">
        <v>138</v>
      </c>
      <c r="I1774" s="201" t="s">
        <v>173</v>
      </c>
      <c r="J1774" s="202"/>
      <c r="K1774" s="202"/>
      <c r="L1774" s="202"/>
      <c r="M1774" s="202"/>
      <c r="N1774" s="202"/>
      <c r="O1774" s="202"/>
      <c r="P1774" s="202"/>
      <c r="Q1774" s="202"/>
      <c r="R1774" s="202"/>
      <c r="S1774" s="202"/>
      <c r="T1774" s="202"/>
    </row>
    <row r="1775" spans="1:20" s="182" customFormat="1" ht="14.15" hidden="1">
      <c r="A1775" s="222">
        <v>45387</v>
      </c>
      <c r="B1775" s="201" t="s">
        <v>1742</v>
      </c>
      <c r="C1775" s="208" t="s">
        <v>146</v>
      </c>
      <c r="D1775" s="592">
        <v>-7000</v>
      </c>
      <c r="E1775" s="619">
        <v>45383</v>
      </c>
      <c r="F1775" s="201" t="s">
        <v>110</v>
      </c>
      <c r="G1775" s="208" t="s">
        <v>122</v>
      </c>
      <c r="H1775" s="81" t="s">
        <v>138</v>
      </c>
      <c r="I1775" s="201" t="s">
        <v>173</v>
      </c>
      <c r="J1775" s="202"/>
      <c r="K1775" s="202"/>
      <c r="L1775" s="202"/>
      <c r="M1775" s="202"/>
      <c r="N1775" s="202"/>
      <c r="O1775" s="202"/>
      <c r="P1775" s="202"/>
      <c r="Q1775" s="202"/>
      <c r="R1775" s="202"/>
      <c r="S1775" s="202"/>
      <c r="T1775" s="202"/>
    </row>
    <row r="1776" spans="1:20" s="182" customFormat="1" ht="14.15" hidden="1">
      <c r="A1776" s="222">
        <v>45387</v>
      </c>
      <c r="B1776" s="201" t="s">
        <v>1743</v>
      </c>
      <c r="C1776" s="208" t="s">
        <v>146</v>
      </c>
      <c r="D1776" s="592">
        <v>-7000</v>
      </c>
      <c r="E1776" s="619">
        <v>45383</v>
      </c>
      <c r="F1776" s="201" t="s">
        <v>109</v>
      </c>
      <c r="G1776" s="208" t="s">
        <v>383</v>
      </c>
      <c r="H1776" s="81" t="s">
        <v>138</v>
      </c>
      <c r="I1776" s="201" t="s">
        <v>173</v>
      </c>
      <c r="J1776" s="202"/>
      <c r="K1776" s="202"/>
      <c r="L1776" s="202"/>
      <c r="M1776" s="202"/>
      <c r="N1776" s="202"/>
      <c r="O1776" s="202"/>
      <c r="P1776" s="202"/>
      <c r="Q1776" s="202"/>
      <c r="R1776" s="202"/>
      <c r="S1776" s="202"/>
      <c r="T1776" s="202"/>
    </row>
    <row r="1777" spans="1:20" s="182" customFormat="1" ht="14.15" hidden="1">
      <c r="A1777" s="222">
        <v>45387</v>
      </c>
      <c r="B1777" s="201" t="s">
        <v>1744</v>
      </c>
      <c r="C1777" s="208" t="s">
        <v>146</v>
      </c>
      <c r="D1777" s="592">
        <v>-7000</v>
      </c>
      <c r="E1777" s="619">
        <v>45383</v>
      </c>
      <c r="F1777" s="201" t="s">
        <v>109</v>
      </c>
      <c r="G1777" s="208" t="s">
        <v>383</v>
      </c>
      <c r="H1777" s="81" t="s">
        <v>138</v>
      </c>
      <c r="I1777" s="201" t="s">
        <v>173</v>
      </c>
      <c r="J1777" s="202"/>
      <c r="K1777" s="202"/>
      <c r="L1777" s="202"/>
      <c r="M1777" s="202"/>
      <c r="N1777" s="202"/>
      <c r="O1777" s="202"/>
      <c r="P1777" s="202"/>
      <c r="Q1777" s="202"/>
      <c r="R1777" s="202"/>
      <c r="S1777" s="202"/>
      <c r="T1777" s="202"/>
    </row>
    <row r="1778" spans="1:20" s="182" customFormat="1" ht="14.15" hidden="1">
      <c r="A1778" s="222">
        <v>45387</v>
      </c>
      <c r="B1778" s="201" t="s">
        <v>1745</v>
      </c>
      <c r="C1778" s="208" t="s">
        <v>146</v>
      </c>
      <c r="D1778" s="592">
        <v>-7000</v>
      </c>
      <c r="E1778" s="619">
        <v>45383</v>
      </c>
      <c r="F1778" s="201" t="s">
        <v>109</v>
      </c>
      <c r="G1778" s="208" t="s">
        <v>383</v>
      </c>
      <c r="H1778" s="81" t="s">
        <v>138</v>
      </c>
      <c r="I1778" s="201" t="s">
        <v>173</v>
      </c>
      <c r="J1778" s="202"/>
      <c r="K1778" s="202"/>
      <c r="L1778" s="202"/>
      <c r="M1778" s="202"/>
      <c r="N1778" s="202"/>
      <c r="O1778" s="202"/>
      <c r="P1778" s="202"/>
      <c r="Q1778" s="202"/>
      <c r="R1778" s="202"/>
      <c r="S1778" s="202"/>
      <c r="T1778" s="202"/>
    </row>
    <row r="1779" spans="1:20" s="182" customFormat="1" ht="14.15" hidden="1">
      <c r="A1779" s="222">
        <v>45387</v>
      </c>
      <c r="B1779" s="201" t="s">
        <v>1746</v>
      </c>
      <c r="C1779" s="208" t="s">
        <v>146</v>
      </c>
      <c r="D1779" s="592">
        <v>-7000</v>
      </c>
      <c r="E1779" s="619">
        <v>45383</v>
      </c>
      <c r="F1779" s="201" t="s">
        <v>109</v>
      </c>
      <c r="G1779" s="208" t="s">
        <v>383</v>
      </c>
      <c r="H1779" s="81" t="s">
        <v>138</v>
      </c>
      <c r="I1779" s="201" t="s">
        <v>173</v>
      </c>
      <c r="J1779" s="202"/>
      <c r="K1779" s="202"/>
      <c r="L1779" s="202"/>
      <c r="M1779" s="202"/>
      <c r="N1779" s="202"/>
      <c r="O1779" s="202"/>
      <c r="P1779" s="202"/>
      <c r="Q1779" s="202"/>
      <c r="R1779" s="202"/>
      <c r="S1779" s="202"/>
      <c r="T1779" s="202"/>
    </row>
    <row r="1780" spans="1:20" s="182" customFormat="1" ht="14.15" hidden="1">
      <c r="A1780" s="222">
        <v>45391</v>
      </c>
      <c r="B1780" s="201" t="s">
        <v>1747</v>
      </c>
      <c r="C1780" s="208" t="s">
        <v>146</v>
      </c>
      <c r="D1780" s="592">
        <v>-32000</v>
      </c>
      <c r="E1780" s="619">
        <v>45383</v>
      </c>
      <c r="F1780" s="201" t="s">
        <v>109</v>
      </c>
      <c r="G1780" s="201" t="s">
        <v>918</v>
      </c>
      <c r="H1780" s="81" t="s">
        <v>138</v>
      </c>
      <c r="I1780" s="201" t="s">
        <v>1574</v>
      </c>
      <c r="J1780" s="202"/>
      <c r="K1780" s="202"/>
      <c r="L1780" s="202"/>
      <c r="M1780" s="202"/>
      <c r="N1780" s="202"/>
      <c r="O1780" s="202"/>
      <c r="P1780" s="202"/>
      <c r="Q1780" s="202"/>
      <c r="R1780" s="202"/>
      <c r="S1780" s="202"/>
      <c r="T1780" s="202"/>
    </row>
    <row r="1781" spans="1:20" s="182" customFormat="1" ht="14.15" hidden="1">
      <c r="A1781" s="222">
        <v>45391</v>
      </c>
      <c r="B1781" s="201" t="s">
        <v>1748</v>
      </c>
      <c r="C1781" s="208" t="s">
        <v>146</v>
      </c>
      <c r="D1781" s="592">
        <v>-30000</v>
      </c>
      <c r="E1781" s="619">
        <v>45383</v>
      </c>
      <c r="F1781" s="201" t="s">
        <v>109</v>
      </c>
      <c r="G1781" s="201" t="s">
        <v>918</v>
      </c>
      <c r="H1781" s="81" t="s">
        <v>138</v>
      </c>
      <c r="I1781" s="201" t="s">
        <v>1574</v>
      </c>
      <c r="J1781" s="202"/>
      <c r="K1781" s="202"/>
      <c r="L1781" s="202"/>
      <c r="M1781" s="202"/>
      <c r="N1781" s="202"/>
      <c r="O1781" s="202"/>
      <c r="P1781" s="202"/>
      <c r="Q1781" s="202"/>
      <c r="R1781" s="202"/>
      <c r="S1781" s="202"/>
      <c r="T1781" s="202"/>
    </row>
    <row r="1782" spans="1:20" s="182" customFormat="1" ht="14.15" hidden="1">
      <c r="A1782" s="222">
        <v>45391</v>
      </c>
      <c r="B1782" s="201" t="s">
        <v>1749</v>
      </c>
      <c r="C1782" s="208" t="s">
        <v>146</v>
      </c>
      <c r="D1782" s="592">
        <v>-8000</v>
      </c>
      <c r="E1782" s="619">
        <v>45383</v>
      </c>
      <c r="F1782" s="201" t="s">
        <v>109</v>
      </c>
      <c r="G1782" s="201" t="s">
        <v>918</v>
      </c>
      <c r="H1782" s="81" t="s">
        <v>138</v>
      </c>
      <c r="I1782" s="201" t="s">
        <v>1574</v>
      </c>
      <c r="J1782" s="202"/>
      <c r="K1782" s="202"/>
      <c r="L1782" s="202"/>
      <c r="M1782" s="202"/>
      <c r="N1782" s="202"/>
      <c r="O1782" s="202"/>
      <c r="P1782" s="202"/>
      <c r="Q1782" s="202"/>
      <c r="R1782" s="202"/>
      <c r="S1782" s="202"/>
      <c r="T1782" s="202"/>
    </row>
    <row r="1783" spans="1:20" s="182" customFormat="1" ht="14.15" hidden="1">
      <c r="A1783" s="222">
        <v>45391</v>
      </c>
      <c r="B1783" s="201" t="s">
        <v>1750</v>
      </c>
      <c r="C1783" s="208" t="s">
        <v>146</v>
      </c>
      <c r="D1783" s="592">
        <v>-6000</v>
      </c>
      <c r="E1783" s="619">
        <v>45383</v>
      </c>
      <c r="F1783" s="201" t="s">
        <v>109</v>
      </c>
      <c r="G1783" s="201" t="s">
        <v>918</v>
      </c>
      <c r="H1783" s="81" t="s">
        <v>138</v>
      </c>
      <c r="I1783" s="201" t="s">
        <v>1574</v>
      </c>
      <c r="J1783" s="202"/>
      <c r="K1783" s="202"/>
      <c r="L1783" s="202"/>
      <c r="M1783" s="202"/>
      <c r="N1783" s="202"/>
      <c r="O1783" s="202"/>
      <c r="P1783" s="202"/>
      <c r="Q1783" s="202"/>
      <c r="R1783" s="202"/>
      <c r="S1783" s="202"/>
      <c r="T1783" s="202"/>
    </row>
    <row r="1784" spans="1:20" s="182" customFormat="1" ht="14.15" hidden="1">
      <c r="A1784" s="222">
        <v>45391</v>
      </c>
      <c r="B1784" s="201" t="s">
        <v>1751</v>
      </c>
      <c r="C1784" s="208" t="s">
        <v>146</v>
      </c>
      <c r="D1784" s="592">
        <v>-6000</v>
      </c>
      <c r="E1784" s="619">
        <v>45383</v>
      </c>
      <c r="F1784" s="201" t="s">
        <v>109</v>
      </c>
      <c r="G1784" s="201" t="s">
        <v>918</v>
      </c>
      <c r="H1784" s="81" t="s">
        <v>138</v>
      </c>
      <c r="I1784" s="201" t="s">
        <v>1574</v>
      </c>
      <c r="J1784" s="202"/>
      <c r="K1784" s="202"/>
      <c r="L1784" s="202"/>
      <c r="M1784" s="202"/>
      <c r="N1784" s="202"/>
      <c r="O1784" s="202"/>
      <c r="P1784" s="202"/>
      <c r="Q1784" s="202"/>
      <c r="R1784" s="202"/>
      <c r="S1784" s="202"/>
      <c r="T1784" s="202"/>
    </row>
    <row r="1785" spans="1:20" s="182" customFormat="1" ht="14.15" hidden="1">
      <c r="A1785" s="222">
        <v>45391</v>
      </c>
      <c r="B1785" s="201" t="s">
        <v>1752</v>
      </c>
      <c r="C1785" s="208" t="s">
        <v>146</v>
      </c>
      <c r="D1785" s="592">
        <v>-15000</v>
      </c>
      <c r="E1785" s="619">
        <v>45383</v>
      </c>
      <c r="F1785" s="201" t="s">
        <v>109</v>
      </c>
      <c r="G1785" s="201" t="s">
        <v>918</v>
      </c>
      <c r="H1785" s="81" t="s">
        <v>138</v>
      </c>
      <c r="I1785" s="201" t="s">
        <v>1574</v>
      </c>
      <c r="J1785" s="202"/>
      <c r="K1785" s="202"/>
      <c r="L1785" s="202"/>
      <c r="M1785" s="202"/>
      <c r="N1785" s="202"/>
      <c r="O1785" s="202"/>
      <c r="P1785" s="202"/>
      <c r="Q1785" s="202"/>
      <c r="R1785" s="202"/>
      <c r="S1785" s="202"/>
      <c r="T1785" s="202"/>
    </row>
    <row r="1786" spans="1:20" s="182" customFormat="1" ht="14.15" hidden="1">
      <c r="A1786" s="222">
        <v>45391</v>
      </c>
      <c r="B1786" s="201" t="s">
        <v>1753</v>
      </c>
      <c r="C1786" s="208" t="s">
        <v>146</v>
      </c>
      <c r="D1786" s="592">
        <v>-10000</v>
      </c>
      <c r="E1786" s="619">
        <v>45383</v>
      </c>
      <c r="F1786" s="201" t="s">
        <v>109</v>
      </c>
      <c r="G1786" s="201" t="s">
        <v>918</v>
      </c>
      <c r="H1786" s="81" t="s">
        <v>138</v>
      </c>
      <c r="I1786" s="201" t="s">
        <v>1574</v>
      </c>
      <c r="J1786" s="202"/>
      <c r="K1786" s="202"/>
      <c r="L1786" s="202"/>
      <c r="M1786" s="202"/>
      <c r="N1786" s="202"/>
      <c r="O1786" s="202"/>
      <c r="P1786" s="202"/>
      <c r="Q1786" s="202"/>
      <c r="R1786" s="202"/>
      <c r="S1786" s="202"/>
      <c r="T1786" s="202"/>
    </row>
    <row r="1787" spans="1:20" s="182" customFormat="1" ht="14.15" hidden="1">
      <c r="A1787" s="222">
        <v>45391</v>
      </c>
      <c r="B1787" s="201" t="s">
        <v>1754</v>
      </c>
      <c r="C1787" s="208" t="s">
        <v>146</v>
      </c>
      <c r="D1787" s="592">
        <v>-17000</v>
      </c>
      <c r="E1787" s="619">
        <v>45383</v>
      </c>
      <c r="F1787" s="201" t="s">
        <v>109</v>
      </c>
      <c r="G1787" s="201" t="s">
        <v>918</v>
      </c>
      <c r="H1787" s="81" t="s">
        <v>138</v>
      </c>
      <c r="I1787" s="201" t="s">
        <v>1574</v>
      </c>
      <c r="J1787" s="202"/>
      <c r="K1787" s="202"/>
      <c r="L1787" s="202"/>
      <c r="M1787" s="202"/>
      <c r="N1787" s="202"/>
      <c r="O1787" s="202"/>
      <c r="P1787" s="202"/>
      <c r="Q1787" s="202"/>
      <c r="R1787" s="202"/>
      <c r="S1787" s="202"/>
      <c r="T1787" s="202"/>
    </row>
    <row r="1788" spans="1:20" s="182" customFormat="1" ht="14.15" hidden="1">
      <c r="A1788" s="222">
        <v>45391</v>
      </c>
      <c r="B1788" s="201" t="s">
        <v>1755</v>
      </c>
      <c r="C1788" s="208" t="s">
        <v>146</v>
      </c>
      <c r="D1788" s="592">
        <v>-8600</v>
      </c>
      <c r="E1788" s="619">
        <v>45383</v>
      </c>
      <c r="F1788" s="201" t="s">
        <v>130</v>
      </c>
      <c r="G1788" s="201" t="s">
        <v>257</v>
      </c>
      <c r="H1788" s="81" t="s">
        <v>138</v>
      </c>
      <c r="I1788" s="201" t="s">
        <v>1574</v>
      </c>
      <c r="J1788" s="202"/>
      <c r="K1788" s="202"/>
      <c r="L1788" s="202"/>
      <c r="M1788" s="202"/>
      <c r="N1788" s="202"/>
      <c r="O1788" s="202"/>
      <c r="P1788" s="202"/>
      <c r="Q1788" s="202"/>
      <c r="R1788" s="202"/>
      <c r="S1788" s="202"/>
      <c r="T1788" s="202"/>
    </row>
    <row r="1789" spans="1:20" s="182" customFormat="1" ht="14.15" hidden="1">
      <c r="A1789" s="222">
        <v>45392</v>
      </c>
      <c r="B1789" s="201" t="s">
        <v>1756</v>
      </c>
      <c r="C1789" s="208" t="s">
        <v>146</v>
      </c>
      <c r="D1789" s="592">
        <v>-12000</v>
      </c>
      <c r="E1789" s="619">
        <v>45383</v>
      </c>
      <c r="F1789" s="201" t="s">
        <v>110</v>
      </c>
      <c r="G1789" s="81" t="s">
        <v>1621</v>
      </c>
      <c r="H1789" s="81" t="s">
        <v>138</v>
      </c>
      <c r="I1789" s="201" t="s">
        <v>1574</v>
      </c>
      <c r="J1789" s="202"/>
      <c r="K1789" s="202"/>
      <c r="L1789" s="202"/>
      <c r="M1789" s="202"/>
      <c r="N1789" s="202"/>
      <c r="O1789" s="202"/>
      <c r="P1789" s="202"/>
      <c r="Q1789" s="202"/>
      <c r="R1789" s="202"/>
      <c r="S1789" s="202"/>
      <c r="T1789" s="202"/>
    </row>
    <row r="1790" spans="1:20" s="182" customFormat="1" ht="14.15" hidden="1">
      <c r="A1790" s="222">
        <v>45393</v>
      </c>
      <c r="B1790" s="201" t="s">
        <v>1757</v>
      </c>
      <c r="C1790" s="208" t="s">
        <v>146</v>
      </c>
      <c r="D1790" s="592">
        <v>-6500</v>
      </c>
      <c r="E1790" s="619">
        <v>45383</v>
      </c>
      <c r="F1790" s="201" t="s">
        <v>130</v>
      </c>
      <c r="G1790" s="201" t="s">
        <v>257</v>
      </c>
      <c r="H1790" s="81" t="s">
        <v>138</v>
      </c>
      <c r="I1790" s="201"/>
      <c r="J1790" s="202"/>
      <c r="K1790" s="202"/>
      <c r="L1790" s="202"/>
      <c r="M1790" s="202"/>
      <c r="N1790" s="202"/>
      <c r="O1790" s="202"/>
      <c r="P1790" s="202"/>
      <c r="Q1790" s="202"/>
      <c r="R1790" s="202"/>
      <c r="S1790" s="202"/>
      <c r="T1790" s="202"/>
    </row>
    <row r="1791" spans="1:20" s="182" customFormat="1" ht="14.15" hidden="1">
      <c r="A1791" s="631">
        <v>45393</v>
      </c>
      <c r="B1791" s="201" t="s">
        <v>1573</v>
      </c>
      <c r="C1791" s="208" t="s">
        <v>146</v>
      </c>
      <c r="D1791" s="592">
        <v>-13000</v>
      </c>
      <c r="E1791" s="619">
        <v>45383</v>
      </c>
      <c r="F1791" s="201" t="s">
        <v>110</v>
      </c>
      <c r="G1791" s="208" t="s">
        <v>122</v>
      </c>
      <c r="H1791" s="81" t="s">
        <v>138</v>
      </c>
      <c r="I1791" s="201" t="s">
        <v>1574</v>
      </c>
      <c r="J1791" s="202"/>
      <c r="K1791" s="202"/>
      <c r="L1791" s="202"/>
      <c r="M1791" s="202"/>
      <c r="N1791" s="202"/>
      <c r="O1791" s="202"/>
      <c r="P1791" s="202"/>
      <c r="Q1791" s="202"/>
      <c r="R1791" s="202"/>
      <c r="S1791" s="202"/>
      <c r="T1791" s="202"/>
    </row>
    <row r="1792" spans="1:20" s="182" customFormat="1" ht="14.15" hidden="1">
      <c r="A1792" s="631">
        <v>45393</v>
      </c>
      <c r="B1792" s="201" t="s">
        <v>1758</v>
      </c>
      <c r="C1792" s="208" t="s">
        <v>146</v>
      </c>
      <c r="D1792" s="592">
        <v>-110000</v>
      </c>
      <c r="E1792" s="619">
        <v>45383</v>
      </c>
      <c r="F1792" s="201" t="s">
        <v>130</v>
      </c>
      <c r="G1792" s="201" t="s">
        <v>130</v>
      </c>
      <c r="H1792" s="201" t="s">
        <v>184</v>
      </c>
      <c r="I1792" s="201" t="s">
        <v>1574</v>
      </c>
      <c r="J1792" s="202"/>
      <c r="K1792" s="202"/>
      <c r="L1792" s="202"/>
      <c r="M1792" s="202"/>
      <c r="N1792" s="202"/>
      <c r="O1792" s="202"/>
      <c r="P1792" s="202"/>
      <c r="Q1792" s="202"/>
      <c r="R1792" s="202"/>
      <c r="S1792" s="202"/>
      <c r="T1792" s="202"/>
    </row>
    <row r="1793" spans="1:20" s="182" customFormat="1" ht="14.15" hidden="1">
      <c r="A1793" s="631">
        <v>45387</v>
      </c>
      <c r="B1793" s="201" t="s">
        <v>1759</v>
      </c>
      <c r="C1793" s="208" t="s">
        <v>146</v>
      </c>
      <c r="D1793" s="592">
        <v>-120000</v>
      </c>
      <c r="E1793" s="619">
        <v>45383</v>
      </c>
      <c r="F1793" s="201" t="s">
        <v>130</v>
      </c>
      <c r="G1793" s="201" t="s">
        <v>130</v>
      </c>
      <c r="H1793" s="201" t="s">
        <v>184</v>
      </c>
      <c r="I1793" s="201"/>
      <c r="J1793" s="202"/>
      <c r="K1793" s="202"/>
      <c r="L1793" s="202"/>
      <c r="M1793" s="202"/>
      <c r="N1793" s="202"/>
      <c r="O1793" s="202"/>
      <c r="P1793" s="202"/>
      <c r="Q1793" s="202"/>
      <c r="R1793" s="202"/>
      <c r="S1793" s="202"/>
      <c r="T1793" s="202"/>
    </row>
    <row r="1794" spans="1:20" s="182" customFormat="1" ht="14.15" hidden="1">
      <c r="A1794" s="222">
        <v>45377</v>
      </c>
      <c r="B1794" s="201" t="s">
        <v>1760</v>
      </c>
      <c r="C1794" s="208" t="s">
        <v>146</v>
      </c>
      <c r="D1794" s="592">
        <v>-11603</v>
      </c>
      <c r="E1794" s="619">
        <v>45383</v>
      </c>
      <c r="F1794" s="201" t="s">
        <v>109</v>
      </c>
      <c r="G1794" s="208" t="s">
        <v>120</v>
      </c>
      <c r="H1794" s="208" t="s">
        <v>175</v>
      </c>
      <c r="I1794" s="201" t="s">
        <v>173</v>
      </c>
      <c r="J1794" s="202"/>
      <c r="K1794" s="202"/>
      <c r="L1794" s="202"/>
      <c r="M1794" s="202"/>
      <c r="N1794" s="202"/>
      <c r="O1794" s="202"/>
      <c r="P1794" s="202"/>
      <c r="Q1794" s="202"/>
      <c r="R1794" s="202"/>
      <c r="S1794" s="202"/>
      <c r="T1794" s="202"/>
    </row>
    <row r="1795" spans="1:20" s="182" customFormat="1" ht="14.15" hidden="1">
      <c r="A1795" s="222">
        <v>45377</v>
      </c>
      <c r="B1795" s="201" t="s">
        <v>1761</v>
      </c>
      <c r="C1795" s="208" t="s">
        <v>146</v>
      </c>
      <c r="D1795" s="592">
        <v>-6523</v>
      </c>
      <c r="E1795" s="619">
        <v>45383</v>
      </c>
      <c r="F1795" s="201" t="s">
        <v>109</v>
      </c>
      <c r="G1795" s="208" t="s">
        <v>120</v>
      </c>
      <c r="H1795" s="208" t="s">
        <v>175</v>
      </c>
      <c r="I1795" s="201" t="s">
        <v>173</v>
      </c>
      <c r="J1795" s="202"/>
      <c r="K1795" s="202"/>
      <c r="L1795" s="202"/>
      <c r="M1795" s="202"/>
      <c r="N1795" s="202"/>
      <c r="O1795" s="202"/>
      <c r="P1795" s="202"/>
      <c r="Q1795" s="202"/>
      <c r="R1795" s="202"/>
      <c r="S1795" s="202"/>
      <c r="T1795" s="202"/>
    </row>
    <row r="1796" spans="1:20" s="182" customFormat="1" ht="14.15" hidden="1">
      <c r="A1796" s="222">
        <v>45386</v>
      </c>
      <c r="B1796" s="201" t="s">
        <v>1762</v>
      </c>
      <c r="C1796" s="208" t="s">
        <v>146</v>
      </c>
      <c r="D1796" s="592">
        <v>-60000</v>
      </c>
      <c r="E1796" s="619">
        <v>45383</v>
      </c>
      <c r="F1796" s="201" t="s">
        <v>110</v>
      </c>
      <c r="G1796" s="201" t="s">
        <v>918</v>
      </c>
      <c r="H1796" s="81" t="s">
        <v>138</v>
      </c>
      <c r="I1796" s="201" t="s">
        <v>173</v>
      </c>
      <c r="J1796" s="202"/>
      <c r="K1796" s="202"/>
      <c r="L1796" s="202"/>
      <c r="M1796" s="202"/>
      <c r="N1796" s="202"/>
      <c r="O1796" s="202"/>
      <c r="P1796" s="202"/>
      <c r="Q1796" s="202"/>
      <c r="R1796" s="202"/>
      <c r="S1796" s="202"/>
      <c r="T1796" s="202"/>
    </row>
    <row r="1797" spans="1:20" s="182" customFormat="1" ht="14.15" hidden="1">
      <c r="A1797" s="222">
        <v>45390</v>
      </c>
      <c r="B1797" s="201" t="s">
        <v>1763</v>
      </c>
      <c r="C1797" s="208" t="s">
        <v>146</v>
      </c>
      <c r="D1797" s="592">
        <v>-61154</v>
      </c>
      <c r="E1797" s="619">
        <v>45383</v>
      </c>
      <c r="F1797" s="291" t="s">
        <v>110</v>
      </c>
      <c r="G1797" s="208" t="s">
        <v>450</v>
      </c>
      <c r="H1797" s="208" t="s">
        <v>175</v>
      </c>
      <c r="I1797" s="201" t="s">
        <v>173</v>
      </c>
      <c r="J1797" s="202"/>
      <c r="K1797" s="202"/>
      <c r="L1797" s="202"/>
      <c r="M1797" s="202"/>
      <c r="N1797" s="202"/>
      <c r="O1797" s="202"/>
      <c r="P1797" s="202"/>
      <c r="Q1797" s="202"/>
      <c r="R1797" s="202"/>
      <c r="S1797" s="202"/>
      <c r="T1797" s="202"/>
    </row>
    <row r="1798" spans="1:20" s="182" customFormat="1" ht="14.15" hidden="1">
      <c r="A1798" s="222">
        <v>45390</v>
      </c>
      <c r="B1798" s="201" t="s">
        <v>1764</v>
      </c>
      <c r="C1798" s="208" t="s">
        <v>146</v>
      </c>
      <c r="D1798" s="592">
        <v>-17000</v>
      </c>
      <c r="E1798" s="619">
        <v>45383</v>
      </c>
      <c r="F1798" s="291" t="s">
        <v>110</v>
      </c>
      <c r="G1798" s="208" t="s">
        <v>450</v>
      </c>
      <c r="H1798" s="208" t="s">
        <v>175</v>
      </c>
      <c r="I1798" s="201" t="s">
        <v>173</v>
      </c>
      <c r="J1798" s="202"/>
      <c r="K1798" s="202"/>
      <c r="L1798" s="202"/>
      <c r="M1798" s="202"/>
      <c r="N1798" s="202"/>
      <c r="O1798" s="202"/>
      <c r="P1798" s="202"/>
      <c r="Q1798" s="202"/>
      <c r="R1798" s="202"/>
      <c r="S1798" s="202"/>
      <c r="T1798" s="202"/>
    </row>
    <row r="1799" spans="1:20" s="182" customFormat="1" ht="14.15" hidden="1">
      <c r="A1799" s="222">
        <v>45390</v>
      </c>
      <c r="B1799" s="201" t="s">
        <v>1765</v>
      </c>
      <c r="C1799" s="208" t="s">
        <v>146</v>
      </c>
      <c r="D1799" s="592">
        <v>-14500</v>
      </c>
      <c r="E1799" s="619">
        <v>45383</v>
      </c>
      <c r="F1799" s="201" t="s">
        <v>109</v>
      </c>
      <c r="G1799" s="208" t="s">
        <v>120</v>
      </c>
      <c r="H1799" s="208" t="s">
        <v>175</v>
      </c>
      <c r="I1799" s="201" t="s">
        <v>173</v>
      </c>
      <c r="J1799" s="202"/>
      <c r="K1799" s="202"/>
      <c r="L1799" s="202"/>
      <c r="M1799" s="202"/>
      <c r="N1799" s="202"/>
      <c r="O1799" s="202"/>
      <c r="P1799" s="202"/>
      <c r="Q1799" s="202"/>
      <c r="R1799" s="202"/>
      <c r="S1799" s="202"/>
      <c r="T1799" s="202"/>
    </row>
    <row r="1800" spans="1:20" s="182" customFormat="1" ht="14.15" hidden="1">
      <c r="A1800" s="222">
        <v>45390</v>
      </c>
      <c r="B1800" s="201" t="s">
        <v>1229</v>
      </c>
      <c r="C1800" s="208" t="s">
        <v>146</v>
      </c>
      <c r="D1800" s="592">
        <v>-14500</v>
      </c>
      <c r="E1800" s="619">
        <v>45383</v>
      </c>
      <c r="F1800" s="201" t="s">
        <v>130</v>
      </c>
      <c r="G1800" s="201" t="s">
        <v>130</v>
      </c>
      <c r="H1800" s="81" t="s">
        <v>138</v>
      </c>
      <c r="I1800" s="201" t="s">
        <v>173</v>
      </c>
      <c r="J1800" s="202"/>
      <c r="K1800" s="202"/>
      <c r="L1800" s="202"/>
      <c r="M1800" s="202"/>
      <c r="N1800" s="202"/>
      <c r="O1800" s="202"/>
      <c r="P1800" s="202"/>
      <c r="Q1800" s="202"/>
      <c r="R1800" s="202"/>
      <c r="S1800" s="202"/>
      <c r="T1800" s="202"/>
    </row>
    <row r="1801" spans="1:20" s="182" customFormat="1" ht="14.15" hidden="1">
      <c r="A1801" s="222">
        <v>45390</v>
      </c>
      <c r="B1801" s="201" t="s">
        <v>1766</v>
      </c>
      <c r="C1801" s="208" t="s">
        <v>146</v>
      </c>
      <c r="D1801" s="592">
        <v>-60000</v>
      </c>
      <c r="E1801" s="619">
        <v>45383</v>
      </c>
      <c r="F1801" s="291" t="s">
        <v>110</v>
      </c>
      <c r="G1801" s="208" t="s">
        <v>450</v>
      </c>
      <c r="H1801" s="208" t="s">
        <v>175</v>
      </c>
      <c r="I1801" s="201" t="s">
        <v>173</v>
      </c>
      <c r="J1801" s="202"/>
      <c r="K1801" s="202"/>
      <c r="L1801" s="202"/>
      <c r="M1801" s="202"/>
      <c r="N1801" s="202"/>
      <c r="O1801" s="202"/>
      <c r="P1801" s="202"/>
      <c r="Q1801" s="202"/>
      <c r="R1801" s="202"/>
      <c r="S1801" s="202"/>
      <c r="T1801" s="202"/>
    </row>
    <row r="1802" spans="1:20" s="182" customFormat="1" ht="14.15" hidden="1">
      <c r="A1802" s="222">
        <v>45391</v>
      </c>
      <c r="B1802" s="201" t="s">
        <v>1767</v>
      </c>
      <c r="C1802" s="208" t="s">
        <v>146</v>
      </c>
      <c r="D1802" s="592">
        <v>-50000</v>
      </c>
      <c r="E1802" s="619">
        <v>45383</v>
      </c>
      <c r="F1802" s="291" t="s">
        <v>110</v>
      </c>
      <c r="G1802" s="208" t="s">
        <v>450</v>
      </c>
      <c r="H1802" s="208" t="s">
        <v>175</v>
      </c>
      <c r="I1802" s="201" t="s">
        <v>173</v>
      </c>
      <c r="J1802" s="202"/>
      <c r="K1802" s="202"/>
      <c r="L1802" s="202"/>
      <c r="M1802" s="202"/>
      <c r="N1802" s="202"/>
      <c r="O1802" s="202"/>
      <c r="P1802" s="202"/>
      <c r="Q1802" s="202"/>
      <c r="R1802" s="202"/>
      <c r="S1802" s="202"/>
      <c r="T1802" s="202"/>
    </row>
    <row r="1803" spans="1:20" s="182" customFormat="1" ht="14.15" hidden="1">
      <c r="A1803" s="222">
        <v>45390</v>
      </c>
      <c r="B1803" s="201" t="s">
        <v>1768</v>
      </c>
      <c r="C1803" s="208" t="s">
        <v>146</v>
      </c>
      <c r="D1803" s="592">
        <v>-5500</v>
      </c>
      <c r="E1803" s="619">
        <v>45383</v>
      </c>
      <c r="F1803" s="201" t="s">
        <v>130</v>
      </c>
      <c r="G1803" s="201" t="s">
        <v>130</v>
      </c>
      <c r="H1803" s="201" t="s">
        <v>184</v>
      </c>
      <c r="I1803" s="201" t="s">
        <v>173</v>
      </c>
      <c r="J1803" s="202"/>
      <c r="K1803" s="202"/>
      <c r="L1803" s="202"/>
      <c r="M1803" s="202"/>
      <c r="N1803" s="202"/>
      <c r="O1803" s="202"/>
      <c r="P1803" s="202"/>
      <c r="Q1803" s="202"/>
      <c r="R1803" s="202"/>
      <c r="S1803" s="202"/>
      <c r="T1803" s="202"/>
    </row>
    <row r="1804" spans="1:20" s="182" customFormat="1" ht="14.15" hidden="1">
      <c r="A1804" s="222">
        <v>45391</v>
      </c>
      <c r="B1804" s="201" t="s">
        <v>1769</v>
      </c>
      <c r="C1804" s="208" t="s">
        <v>146</v>
      </c>
      <c r="D1804" s="592">
        <v>-11600</v>
      </c>
      <c r="E1804" s="619">
        <v>45383</v>
      </c>
      <c r="F1804" s="201" t="s">
        <v>110</v>
      </c>
      <c r="G1804" s="208" t="s">
        <v>122</v>
      </c>
      <c r="H1804" s="208" t="s">
        <v>175</v>
      </c>
      <c r="I1804" s="201" t="s">
        <v>173</v>
      </c>
      <c r="J1804" s="202"/>
      <c r="K1804" s="202"/>
      <c r="L1804" s="202"/>
      <c r="M1804" s="202"/>
      <c r="N1804" s="202"/>
      <c r="O1804" s="202"/>
      <c r="P1804" s="202"/>
      <c r="Q1804" s="202"/>
      <c r="R1804" s="202"/>
      <c r="S1804" s="202"/>
      <c r="T1804" s="202"/>
    </row>
    <row r="1805" spans="1:20" s="182" customFormat="1" ht="14.15" hidden="1">
      <c r="A1805" s="222">
        <v>45392</v>
      </c>
      <c r="B1805" s="201" t="s">
        <v>1770</v>
      </c>
      <c r="C1805" s="208" t="s">
        <v>146</v>
      </c>
      <c r="D1805" s="592">
        <v>-2550</v>
      </c>
      <c r="E1805" s="619">
        <v>45383</v>
      </c>
      <c r="F1805" s="201" t="s">
        <v>110</v>
      </c>
      <c r="G1805" s="201" t="s">
        <v>918</v>
      </c>
      <c r="H1805" s="208" t="s">
        <v>175</v>
      </c>
      <c r="I1805" s="201" t="s">
        <v>173</v>
      </c>
      <c r="J1805" s="202"/>
      <c r="K1805" s="202"/>
      <c r="L1805" s="202"/>
      <c r="M1805" s="202"/>
      <c r="N1805" s="202"/>
      <c r="O1805" s="202"/>
      <c r="P1805" s="202"/>
      <c r="Q1805" s="202"/>
      <c r="R1805" s="202"/>
      <c r="S1805" s="202"/>
      <c r="T1805" s="202"/>
    </row>
    <row r="1806" spans="1:20" s="182" customFormat="1" ht="14.15" hidden="1">
      <c r="A1806" s="222">
        <v>45392</v>
      </c>
      <c r="B1806" s="201" t="s">
        <v>1771</v>
      </c>
      <c r="C1806" s="208" t="s">
        <v>146</v>
      </c>
      <c r="D1806" s="592">
        <v>-25000</v>
      </c>
      <c r="E1806" s="619">
        <v>45383</v>
      </c>
      <c r="F1806" s="201" t="s">
        <v>110</v>
      </c>
      <c r="G1806" s="208" t="s">
        <v>122</v>
      </c>
      <c r="H1806" s="208" t="s">
        <v>175</v>
      </c>
      <c r="I1806" s="201" t="s">
        <v>173</v>
      </c>
      <c r="J1806" s="202"/>
      <c r="K1806" s="202"/>
      <c r="L1806" s="202"/>
      <c r="M1806" s="202"/>
      <c r="N1806" s="202"/>
      <c r="O1806" s="202"/>
      <c r="P1806" s="202"/>
      <c r="Q1806" s="202"/>
      <c r="R1806" s="202"/>
      <c r="S1806" s="202"/>
      <c r="T1806" s="202"/>
    </row>
    <row r="1807" spans="1:20" s="182" customFormat="1" ht="14.15" hidden="1">
      <c r="A1807" s="222">
        <v>45392</v>
      </c>
      <c r="B1807" s="201" t="s">
        <v>1772</v>
      </c>
      <c r="C1807" s="208" t="s">
        <v>146</v>
      </c>
      <c r="D1807" s="592">
        <v>-67378</v>
      </c>
      <c r="E1807" s="619">
        <v>45383</v>
      </c>
      <c r="F1807" s="291" t="s">
        <v>110</v>
      </c>
      <c r="G1807" s="208" t="s">
        <v>450</v>
      </c>
      <c r="H1807" s="208" t="s">
        <v>175</v>
      </c>
      <c r="I1807" s="201" t="s">
        <v>173</v>
      </c>
      <c r="J1807" s="202"/>
      <c r="K1807" s="202"/>
      <c r="L1807" s="202"/>
      <c r="M1807" s="202"/>
      <c r="N1807" s="202"/>
      <c r="O1807" s="202"/>
      <c r="P1807" s="202"/>
      <c r="Q1807" s="202"/>
      <c r="R1807" s="202"/>
      <c r="S1807" s="202"/>
      <c r="T1807" s="202"/>
    </row>
    <row r="1808" spans="1:20" s="182" customFormat="1" ht="14.15" hidden="1">
      <c r="A1808" s="222">
        <v>45392</v>
      </c>
      <c r="B1808" s="201" t="s">
        <v>1773</v>
      </c>
      <c r="C1808" s="208" t="s">
        <v>146</v>
      </c>
      <c r="D1808" s="592">
        <v>-36000</v>
      </c>
      <c r="E1808" s="619">
        <v>45383</v>
      </c>
      <c r="F1808" s="291" t="s">
        <v>110</v>
      </c>
      <c r="G1808" s="208" t="s">
        <v>450</v>
      </c>
      <c r="H1808" s="208" t="s">
        <v>175</v>
      </c>
      <c r="I1808" s="201" t="s">
        <v>173</v>
      </c>
      <c r="J1808" s="202"/>
      <c r="K1808" s="202"/>
      <c r="L1808" s="202"/>
      <c r="M1808" s="202"/>
      <c r="N1808" s="202"/>
      <c r="O1808" s="202"/>
      <c r="P1808" s="202"/>
      <c r="Q1808" s="202"/>
      <c r="R1808" s="202"/>
      <c r="S1808" s="202"/>
      <c r="T1808" s="202"/>
    </row>
    <row r="1809" spans="1:20" s="182" customFormat="1" ht="14.15" hidden="1">
      <c r="A1809" s="222">
        <v>45392</v>
      </c>
      <c r="B1809" s="201" t="s">
        <v>1774</v>
      </c>
      <c r="C1809" s="208" t="s">
        <v>146</v>
      </c>
      <c r="D1809" s="592">
        <v>-103000</v>
      </c>
      <c r="E1809" s="619">
        <v>45383</v>
      </c>
      <c r="F1809" s="201" t="s">
        <v>130</v>
      </c>
      <c r="G1809" s="201" t="s">
        <v>130</v>
      </c>
      <c r="H1809" s="201" t="s">
        <v>184</v>
      </c>
      <c r="I1809" s="201" t="s">
        <v>173</v>
      </c>
      <c r="J1809" s="202"/>
      <c r="K1809" s="202"/>
      <c r="L1809" s="202"/>
      <c r="M1809" s="202"/>
      <c r="N1809" s="202"/>
      <c r="O1809" s="202"/>
      <c r="P1809" s="202"/>
      <c r="Q1809" s="202"/>
      <c r="R1809" s="202"/>
      <c r="S1809" s="202"/>
      <c r="T1809" s="202"/>
    </row>
    <row r="1810" spans="1:20" s="182" customFormat="1" ht="14.15" hidden="1">
      <c r="A1810" s="222">
        <v>45392</v>
      </c>
      <c r="B1810" s="201" t="s">
        <v>1775</v>
      </c>
      <c r="C1810" s="208" t="s">
        <v>146</v>
      </c>
      <c r="D1810" s="592">
        <v>-17000</v>
      </c>
      <c r="E1810" s="619">
        <v>45383</v>
      </c>
      <c r="F1810" s="291" t="s">
        <v>110</v>
      </c>
      <c r="G1810" s="208" t="s">
        <v>450</v>
      </c>
      <c r="H1810" s="208" t="s">
        <v>175</v>
      </c>
      <c r="I1810" s="201" t="s">
        <v>173</v>
      </c>
      <c r="J1810" s="202"/>
      <c r="K1810" s="202"/>
      <c r="L1810" s="202"/>
      <c r="M1810" s="202"/>
      <c r="N1810" s="202"/>
      <c r="O1810" s="202"/>
      <c r="P1810" s="202"/>
      <c r="Q1810" s="202"/>
      <c r="R1810" s="202"/>
      <c r="S1810" s="202"/>
      <c r="T1810" s="202"/>
    </row>
    <row r="1811" spans="1:20" s="182" customFormat="1" ht="14.15" hidden="1">
      <c r="A1811" s="222">
        <v>45393</v>
      </c>
      <c r="B1811" s="201" t="s">
        <v>1776</v>
      </c>
      <c r="C1811" s="208" t="s">
        <v>146</v>
      </c>
      <c r="D1811" s="592">
        <v>-99600</v>
      </c>
      <c r="E1811" s="619">
        <v>45383</v>
      </c>
      <c r="F1811" s="291" t="s">
        <v>110</v>
      </c>
      <c r="G1811" s="208" t="s">
        <v>450</v>
      </c>
      <c r="H1811" s="208" t="s">
        <v>175</v>
      </c>
      <c r="I1811" s="201" t="s">
        <v>173</v>
      </c>
      <c r="J1811" s="202"/>
      <c r="K1811" s="202"/>
      <c r="L1811" s="202"/>
      <c r="M1811" s="202"/>
      <c r="N1811" s="202"/>
      <c r="O1811" s="202"/>
      <c r="P1811" s="202"/>
      <c r="Q1811" s="202"/>
      <c r="R1811" s="202"/>
      <c r="S1811" s="202"/>
      <c r="T1811" s="202"/>
    </row>
    <row r="1812" spans="1:20" s="182" customFormat="1" ht="14.15" hidden="1">
      <c r="A1812" s="222">
        <v>45393</v>
      </c>
      <c r="B1812" s="201" t="s">
        <v>1777</v>
      </c>
      <c r="C1812" s="208" t="s">
        <v>146</v>
      </c>
      <c r="D1812" s="592">
        <v>-30000</v>
      </c>
      <c r="E1812" s="619">
        <v>45383</v>
      </c>
      <c r="F1812" s="201" t="s">
        <v>110</v>
      </c>
      <c r="G1812" s="208" t="s">
        <v>122</v>
      </c>
      <c r="H1812" s="208" t="s">
        <v>175</v>
      </c>
      <c r="I1812" s="201" t="s">
        <v>173</v>
      </c>
      <c r="J1812" s="202"/>
      <c r="K1812" s="202"/>
      <c r="L1812" s="202"/>
      <c r="M1812" s="202"/>
      <c r="N1812" s="202"/>
      <c r="O1812" s="202"/>
      <c r="P1812" s="202"/>
      <c r="Q1812" s="202"/>
      <c r="R1812" s="202"/>
      <c r="S1812" s="202"/>
      <c r="T1812" s="202"/>
    </row>
    <row r="1813" spans="1:20" s="182" customFormat="1" ht="14.15" hidden="1">
      <c r="A1813" s="222">
        <v>45393</v>
      </c>
      <c r="B1813" s="201" t="s">
        <v>1778</v>
      </c>
      <c r="C1813" s="208" t="s">
        <v>146</v>
      </c>
      <c r="D1813" s="592">
        <v>-14800</v>
      </c>
      <c r="E1813" s="619">
        <v>45383</v>
      </c>
      <c r="F1813" s="291" t="s">
        <v>110</v>
      </c>
      <c r="G1813" s="208" t="s">
        <v>450</v>
      </c>
      <c r="H1813" s="208" t="s">
        <v>175</v>
      </c>
      <c r="I1813" s="201" t="s">
        <v>173</v>
      </c>
      <c r="J1813" s="202"/>
      <c r="K1813" s="202"/>
      <c r="L1813" s="202"/>
      <c r="M1813" s="202"/>
      <c r="N1813" s="202"/>
      <c r="O1813" s="202"/>
      <c r="P1813" s="202"/>
      <c r="Q1813" s="202"/>
      <c r="R1813" s="202"/>
      <c r="S1813" s="202"/>
      <c r="T1813" s="202"/>
    </row>
    <row r="1814" spans="1:20" s="182" customFormat="1" ht="14.15" hidden="1">
      <c r="A1814" s="222">
        <v>45394</v>
      </c>
      <c r="B1814" s="201" t="s">
        <v>1779</v>
      </c>
      <c r="C1814" s="208" t="s">
        <v>146</v>
      </c>
      <c r="D1814" s="592">
        <v>-15000</v>
      </c>
      <c r="E1814" s="619">
        <v>45383</v>
      </c>
      <c r="F1814" s="201" t="s">
        <v>109</v>
      </c>
      <c r="G1814" s="201" t="s">
        <v>918</v>
      </c>
      <c r="H1814" s="81" t="s">
        <v>138</v>
      </c>
      <c r="I1814" s="201" t="s">
        <v>173</v>
      </c>
      <c r="J1814" s="202"/>
      <c r="K1814" s="202"/>
      <c r="L1814" s="202"/>
      <c r="M1814" s="202"/>
      <c r="N1814" s="202"/>
      <c r="O1814" s="202"/>
      <c r="P1814" s="202"/>
      <c r="Q1814" s="202"/>
      <c r="R1814" s="202"/>
      <c r="S1814" s="202"/>
      <c r="T1814" s="202"/>
    </row>
    <row r="1815" spans="1:20" s="182" customFormat="1" ht="14.15" hidden="1">
      <c r="A1815" s="222">
        <v>45394</v>
      </c>
      <c r="B1815" s="201" t="s">
        <v>1780</v>
      </c>
      <c r="C1815" s="208" t="s">
        <v>146</v>
      </c>
      <c r="D1815" s="592">
        <v>-94232</v>
      </c>
      <c r="E1815" s="619">
        <v>45383</v>
      </c>
      <c r="F1815" s="201" t="s">
        <v>130</v>
      </c>
      <c r="G1815" s="201" t="s">
        <v>130</v>
      </c>
      <c r="H1815" s="201" t="s">
        <v>184</v>
      </c>
      <c r="I1815" s="201"/>
      <c r="J1815" s="202"/>
      <c r="K1815" s="202"/>
      <c r="L1815" s="202"/>
      <c r="M1815" s="202"/>
      <c r="N1815" s="202"/>
      <c r="O1815" s="202"/>
      <c r="P1815" s="202"/>
      <c r="Q1815" s="202"/>
      <c r="R1815" s="202"/>
      <c r="S1815" s="202"/>
      <c r="T1815" s="202"/>
    </row>
    <row r="1816" spans="1:20" s="182" customFormat="1" ht="14.15" hidden="1">
      <c r="A1816" s="222">
        <v>45387</v>
      </c>
      <c r="B1816" s="201" t="s">
        <v>1781</v>
      </c>
      <c r="C1816" s="208" t="s">
        <v>146</v>
      </c>
      <c r="D1816" s="592">
        <v>-70000</v>
      </c>
      <c r="E1816" s="619">
        <v>45383</v>
      </c>
      <c r="F1816" s="201" t="s">
        <v>109</v>
      </c>
      <c r="G1816" s="201" t="s">
        <v>918</v>
      </c>
      <c r="H1816" s="81" t="s">
        <v>138</v>
      </c>
      <c r="I1816" s="201" t="s">
        <v>1574</v>
      </c>
      <c r="J1816" s="202"/>
      <c r="K1816" s="202"/>
      <c r="L1816" s="202"/>
      <c r="M1816" s="202"/>
      <c r="N1816" s="202"/>
      <c r="O1816" s="202"/>
      <c r="P1816" s="202"/>
      <c r="Q1816" s="202"/>
      <c r="R1816" s="202"/>
      <c r="S1816" s="202"/>
      <c r="T1816" s="202"/>
    </row>
    <row r="1817" spans="1:20" s="182" customFormat="1" ht="14.15" hidden="1">
      <c r="A1817" s="222">
        <v>45387</v>
      </c>
      <c r="B1817" s="201" t="s">
        <v>1782</v>
      </c>
      <c r="C1817" s="208" t="s">
        <v>146</v>
      </c>
      <c r="D1817" s="592">
        <v>-28400</v>
      </c>
      <c r="E1817" s="619">
        <v>45383</v>
      </c>
      <c r="F1817" s="201" t="s">
        <v>109</v>
      </c>
      <c r="G1817" s="201" t="s">
        <v>918</v>
      </c>
      <c r="H1817" s="81" t="s">
        <v>138</v>
      </c>
      <c r="I1817" s="201" t="s">
        <v>1574</v>
      </c>
      <c r="J1817" s="202"/>
      <c r="K1817" s="202"/>
      <c r="L1817" s="202"/>
      <c r="M1817" s="202"/>
      <c r="N1817" s="202"/>
      <c r="O1817" s="202"/>
      <c r="P1817" s="202"/>
      <c r="Q1817" s="202"/>
      <c r="R1817" s="202"/>
      <c r="S1817" s="202"/>
      <c r="T1817" s="202"/>
    </row>
    <row r="1818" spans="1:20" s="182" customFormat="1" ht="14.15" hidden="1">
      <c r="A1818" s="222">
        <v>45387</v>
      </c>
      <c r="B1818" s="201" t="s">
        <v>1783</v>
      </c>
      <c r="C1818" s="208" t="s">
        <v>146</v>
      </c>
      <c r="D1818" s="592">
        <v>-30000</v>
      </c>
      <c r="E1818" s="619">
        <v>45383</v>
      </c>
      <c r="F1818" s="291" t="s">
        <v>110</v>
      </c>
      <c r="G1818" s="208" t="s">
        <v>450</v>
      </c>
      <c r="H1818" s="81" t="s">
        <v>138</v>
      </c>
      <c r="I1818" s="201" t="s">
        <v>1574</v>
      </c>
      <c r="J1818" s="202"/>
      <c r="K1818" s="202"/>
      <c r="L1818" s="202"/>
      <c r="M1818" s="202"/>
      <c r="N1818" s="202"/>
      <c r="O1818" s="202"/>
      <c r="P1818" s="202"/>
      <c r="Q1818" s="202"/>
      <c r="R1818" s="202"/>
      <c r="S1818" s="202"/>
      <c r="T1818" s="202"/>
    </row>
    <row r="1819" spans="1:20" s="182" customFormat="1" ht="14.15" hidden="1">
      <c r="A1819" s="222">
        <v>45387</v>
      </c>
      <c r="B1819" s="201" t="s">
        <v>1784</v>
      </c>
      <c r="C1819" s="208" t="s">
        <v>146</v>
      </c>
      <c r="D1819" s="592">
        <v>-18000</v>
      </c>
      <c r="E1819" s="619">
        <v>45383</v>
      </c>
      <c r="F1819" s="201" t="s">
        <v>110</v>
      </c>
      <c r="G1819" s="208" t="s">
        <v>122</v>
      </c>
      <c r="H1819" s="81" t="s">
        <v>138</v>
      </c>
      <c r="I1819" s="201"/>
      <c r="J1819" s="202"/>
      <c r="K1819" s="202"/>
      <c r="L1819" s="202"/>
      <c r="M1819" s="202"/>
      <c r="N1819" s="202"/>
      <c r="O1819" s="202"/>
      <c r="P1819" s="202"/>
      <c r="Q1819" s="202"/>
      <c r="R1819" s="202"/>
      <c r="S1819" s="202"/>
      <c r="T1819" s="202"/>
    </row>
    <row r="1820" spans="1:20" s="182" customFormat="1" ht="14.15" hidden="1">
      <c r="A1820" s="222">
        <v>45387</v>
      </c>
      <c r="B1820" s="201" t="s">
        <v>1785</v>
      </c>
      <c r="C1820" s="208" t="s">
        <v>146</v>
      </c>
      <c r="D1820" s="592">
        <v>-9000</v>
      </c>
      <c r="E1820" s="619">
        <v>45383</v>
      </c>
      <c r="F1820" s="201" t="s">
        <v>130</v>
      </c>
      <c r="G1820" s="201" t="s">
        <v>130</v>
      </c>
      <c r="H1820" s="201" t="s">
        <v>184</v>
      </c>
      <c r="I1820" s="201" t="s">
        <v>1574</v>
      </c>
      <c r="J1820" s="202"/>
      <c r="K1820" s="202"/>
      <c r="L1820" s="202"/>
      <c r="M1820" s="202"/>
      <c r="N1820" s="202"/>
      <c r="O1820" s="202"/>
      <c r="P1820" s="202"/>
      <c r="Q1820" s="202"/>
      <c r="R1820" s="202"/>
      <c r="S1820" s="202"/>
      <c r="T1820" s="202"/>
    </row>
    <row r="1821" spans="1:20" s="182" customFormat="1" ht="14.15" hidden="1">
      <c r="A1821" s="222">
        <v>45386</v>
      </c>
      <c r="B1821" s="201" t="s">
        <v>1786</v>
      </c>
      <c r="C1821" s="208" t="s">
        <v>146</v>
      </c>
      <c r="D1821" s="592">
        <v>-9400</v>
      </c>
      <c r="E1821" s="619">
        <v>45383</v>
      </c>
      <c r="F1821" s="291" t="s">
        <v>110</v>
      </c>
      <c r="G1821" s="208" t="s">
        <v>450</v>
      </c>
      <c r="H1821" s="208" t="s">
        <v>175</v>
      </c>
      <c r="I1821" s="201" t="s">
        <v>1574</v>
      </c>
      <c r="J1821" s="202"/>
      <c r="K1821" s="202"/>
      <c r="L1821" s="202"/>
      <c r="M1821" s="202"/>
      <c r="N1821" s="202"/>
      <c r="O1821" s="202"/>
      <c r="P1821" s="202"/>
      <c r="Q1821" s="202"/>
      <c r="R1821" s="202"/>
      <c r="S1821" s="202"/>
      <c r="T1821" s="202"/>
    </row>
    <row r="1822" spans="1:20" s="182" customFormat="1" ht="14.15" hidden="1">
      <c r="A1822" s="222">
        <v>45392</v>
      </c>
      <c r="B1822" s="201" t="s">
        <v>1787</v>
      </c>
      <c r="C1822" s="208" t="s">
        <v>27</v>
      </c>
      <c r="D1822" s="592">
        <v>-6971250</v>
      </c>
      <c r="E1822" s="619">
        <v>45383</v>
      </c>
      <c r="F1822" s="291" t="s">
        <v>109</v>
      </c>
      <c r="G1822" s="208" t="s">
        <v>525</v>
      </c>
      <c r="H1822" s="201" t="s">
        <v>418</v>
      </c>
      <c r="I1822" s="201"/>
      <c r="J1822" s="202"/>
      <c r="K1822" s="202"/>
      <c r="L1822" s="202"/>
      <c r="M1822" s="202"/>
      <c r="N1822" s="202"/>
      <c r="O1822" s="202"/>
      <c r="P1822" s="202"/>
      <c r="Q1822" s="202"/>
      <c r="R1822" s="202"/>
      <c r="S1822" s="202"/>
      <c r="T1822" s="202"/>
    </row>
    <row r="1823" spans="1:20" s="182" customFormat="1" ht="14.15" hidden="1">
      <c r="A1823" s="222">
        <v>45393</v>
      </c>
      <c r="B1823" s="201" t="s">
        <v>1788</v>
      </c>
      <c r="C1823" s="208" t="s">
        <v>27</v>
      </c>
      <c r="D1823" s="592">
        <v>-228500</v>
      </c>
      <c r="E1823" s="619">
        <v>45383</v>
      </c>
      <c r="F1823" s="201" t="s">
        <v>109</v>
      </c>
      <c r="G1823" s="201" t="s">
        <v>918</v>
      </c>
      <c r="H1823" s="208" t="s">
        <v>175</v>
      </c>
      <c r="I1823" s="201"/>
      <c r="J1823" s="202"/>
      <c r="K1823" s="202"/>
      <c r="L1823" s="202"/>
      <c r="M1823" s="202"/>
      <c r="N1823" s="202"/>
      <c r="O1823" s="202"/>
      <c r="P1823" s="202"/>
      <c r="Q1823" s="202"/>
      <c r="R1823" s="202"/>
      <c r="S1823" s="202"/>
      <c r="T1823" s="202"/>
    </row>
    <row r="1824" spans="1:20" s="182" customFormat="1" ht="14.15" hidden="1">
      <c r="A1824" s="222">
        <v>45391</v>
      </c>
      <c r="B1824" s="201" t="s">
        <v>1789</v>
      </c>
      <c r="C1824" s="208" t="s">
        <v>643</v>
      </c>
      <c r="D1824" s="592">
        <v>-95520</v>
      </c>
      <c r="E1824" s="619">
        <v>45383</v>
      </c>
      <c r="F1824" s="201" t="s">
        <v>130</v>
      </c>
      <c r="G1824" s="201" t="s">
        <v>130</v>
      </c>
      <c r="H1824" s="208" t="s">
        <v>143</v>
      </c>
      <c r="I1824" s="201"/>
      <c r="J1824" s="202"/>
      <c r="K1824" s="202"/>
      <c r="L1824" s="202"/>
      <c r="M1824" s="202"/>
      <c r="N1824" s="202"/>
      <c r="O1824" s="202"/>
      <c r="P1824" s="202"/>
      <c r="Q1824" s="202"/>
      <c r="R1824" s="202"/>
      <c r="S1824" s="202"/>
      <c r="T1824" s="202"/>
    </row>
    <row r="1825" spans="1:20" s="182" customFormat="1" ht="14.15" hidden="1">
      <c r="A1825" s="222">
        <v>45391</v>
      </c>
      <c r="B1825" s="201" t="s">
        <v>1438</v>
      </c>
      <c r="C1825" s="208" t="s">
        <v>181</v>
      </c>
      <c r="D1825" s="592">
        <v>402650</v>
      </c>
      <c r="E1825" s="619">
        <v>45383</v>
      </c>
      <c r="F1825" s="201" t="s">
        <v>108</v>
      </c>
      <c r="G1825" s="201"/>
      <c r="H1825" s="201"/>
      <c r="I1825" s="201"/>
      <c r="J1825" s="202"/>
      <c r="K1825" s="202"/>
      <c r="L1825" s="202"/>
      <c r="M1825" s="202"/>
      <c r="N1825" s="202"/>
      <c r="O1825" s="202"/>
      <c r="P1825" s="202"/>
      <c r="Q1825" s="202"/>
      <c r="R1825" s="202"/>
      <c r="S1825" s="202"/>
      <c r="T1825" s="202"/>
    </row>
    <row r="1826" spans="1:20" s="182" customFormat="1" ht="14.15" hidden="1">
      <c r="A1826" s="222">
        <v>45393</v>
      </c>
      <c r="B1826" s="201" t="s">
        <v>1790</v>
      </c>
      <c r="C1826" s="208" t="s">
        <v>181</v>
      </c>
      <c r="D1826" s="592">
        <v>2899487</v>
      </c>
      <c r="E1826" s="619">
        <v>45383</v>
      </c>
      <c r="F1826" s="201" t="s">
        <v>108</v>
      </c>
      <c r="G1826" s="201"/>
      <c r="H1826" s="201"/>
      <c r="I1826" s="201"/>
      <c r="J1826" s="202"/>
      <c r="K1826" s="202"/>
      <c r="L1826" s="202"/>
      <c r="M1826" s="202"/>
      <c r="N1826" s="202"/>
      <c r="O1826" s="202"/>
      <c r="P1826" s="202"/>
      <c r="Q1826" s="202"/>
      <c r="R1826" s="202"/>
      <c r="S1826" s="202"/>
      <c r="T1826" s="202"/>
    </row>
    <row r="1827" spans="1:20" s="182" customFormat="1" ht="14.15" hidden="1">
      <c r="A1827" s="222">
        <v>45393</v>
      </c>
      <c r="B1827" s="201" t="s">
        <v>1686</v>
      </c>
      <c r="C1827" s="208" t="s">
        <v>27</v>
      </c>
      <c r="D1827" s="592">
        <v>-868759</v>
      </c>
      <c r="E1827" s="619">
        <v>45383</v>
      </c>
      <c r="F1827" s="201" t="s">
        <v>109</v>
      </c>
      <c r="G1827" s="208" t="s">
        <v>120</v>
      </c>
      <c r="H1827" s="208" t="s">
        <v>175</v>
      </c>
      <c r="I1827" s="201"/>
      <c r="J1827" s="202"/>
      <c r="K1827" s="202"/>
      <c r="L1827" s="202"/>
      <c r="M1827" s="202"/>
      <c r="N1827" s="202"/>
      <c r="O1827" s="202"/>
      <c r="P1827" s="202"/>
      <c r="Q1827" s="202"/>
      <c r="R1827" s="202"/>
      <c r="S1827" s="202"/>
      <c r="T1827" s="202"/>
    </row>
    <row r="1828" spans="1:20" s="182" customFormat="1" ht="14.15" hidden="1">
      <c r="A1828" s="222">
        <v>45393</v>
      </c>
      <c r="B1828" s="201" t="s">
        <v>1791</v>
      </c>
      <c r="C1828" s="208" t="s">
        <v>27</v>
      </c>
      <c r="D1828" s="592">
        <v>-24996000</v>
      </c>
      <c r="E1828" s="619">
        <v>45383</v>
      </c>
      <c r="F1828" s="201" t="s">
        <v>109</v>
      </c>
      <c r="G1828" s="208" t="s">
        <v>120</v>
      </c>
      <c r="H1828" s="201"/>
      <c r="I1828" s="201"/>
      <c r="J1828" s="202"/>
      <c r="K1828" s="202"/>
      <c r="L1828" s="202"/>
      <c r="M1828" s="202"/>
      <c r="N1828" s="202"/>
      <c r="O1828" s="202"/>
      <c r="P1828" s="202"/>
      <c r="Q1828" s="202"/>
      <c r="R1828" s="202"/>
      <c r="S1828" s="202"/>
      <c r="T1828" s="202"/>
    </row>
    <row r="1829" spans="1:20" s="182" customFormat="1" ht="14.15" hidden="1">
      <c r="A1829" s="222">
        <v>45392</v>
      </c>
      <c r="B1829" s="201" t="s">
        <v>1037</v>
      </c>
      <c r="C1829" s="208" t="s">
        <v>27</v>
      </c>
      <c r="D1829" s="592">
        <v>-1932000</v>
      </c>
      <c r="E1829" s="619">
        <v>45383</v>
      </c>
      <c r="F1829" s="201" t="s">
        <v>130</v>
      </c>
      <c r="G1829" s="201" t="s">
        <v>130</v>
      </c>
      <c r="H1829" s="629" t="s">
        <v>163</v>
      </c>
      <c r="I1829" s="201"/>
      <c r="J1829" s="202"/>
      <c r="K1829" s="202"/>
      <c r="L1829" s="202"/>
      <c r="M1829" s="202"/>
      <c r="N1829" s="202"/>
      <c r="O1829" s="202"/>
      <c r="P1829" s="202"/>
      <c r="Q1829" s="202"/>
      <c r="R1829" s="202"/>
      <c r="S1829" s="202"/>
      <c r="T1829" s="202"/>
    </row>
    <row r="1830" spans="1:20" s="182" customFormat="1" ht="14.15" hidden="1">
      <c r="A1830" s="222">
        <v>45392</v>
      </c>
      <c r="B1830" s="201" t="s">
        <v>1792</v>
      </c>
      <c r="C1830" s="208" t="s">
        <v>27</v>
      </c>
      <c r="D1830" s="592">
        <v>-4663927</v>
      </c>
      <c r="E1830" s="619">
        <v>45383</v>
      </c>
      <c r="F1830" s="201" t="s">
        <v>109</v>
      </c>
      <c r="G1830" s="208" t="s">
        <v>120</v>
      </c>
      <c r="H1830" s="208" t="s">
        <v>175</v>
      </c>
      <c r="I1830" s="201"/>
      <c r="J1830" s="202"/>
      <c r="K1830" s="202"/>
      <c r="L1830" s="202"/>
      <c r="M1830" s="202"/>
      <c r="N1830" s="202"/>
      <c r="O1830" s="202"/>
      <c r="P1830" s="202"/>
      <c r="Q1830" s="202"/>
      <c r="R1830" s="202"/>
      <c r="S1830" s="202"/>
      <c r="T1830" s="202"/>
    </row>
    <row r="1831" spans="1:20" s="182" customFormat="1" ht="14.15" hidden="1">
      <c r="A1831" s="222">
        <v>45393</v>
      </c>
      <c r="B1831" s="201" t="s">
        <v>1793</v>
      </c>
      <c r="C1831" s="208" t="s">
        <v>27</v>
      </c>
      <c r="D1831" s="592">
        <v>-2975000</v>
      </c>
      <c r="E1831" s="619">
        <v>45383</v>
      </c>
      <c r="F1831" s="208" t="s">
        <v>109</v>
      </c>
      <c r="G1831" s="208" t="s">
        <v>317</v>
      </c>
      <c r="H1831" s="201" t="s">
        <v>1166</v>
      </c>
      <c r="I1831" s="201"/>
      <c r="J1831" s="202"/>
      <c r="K1831" s="202"/>
      <c r="L1831" s="202"/>
      <c r="M1831" s="202"/>
      <c r="N1831" s="202"/>
      <c r="O1831" s="202"/>
      <c r="P1831" s="202"/>
      <c r="Q1831" s="202"/>
      <c r="R1831" s="202"/>
      <c r="S1831" s="202"/>
      <c r="T1831" s="202"/>
    </row>
    <row r="1832" spans="1:20" s="182" customFormat="1" ht="14.15" hidden="1">
      <c r="A1832" s="222">
        <v>45393</v>
      </c>
      <c r="B1832" s="201" t="s">
        <v>206</v>
      </c>
      <c r="C1832" s="208" t="s">
        <v>27</v>
      </c>
      <c r="D1832" s="592">
        <v>-144244</v>
      </c>
      <c r="E1832" s="619">
        <v>45383</v>
      </c>
      <c r="F1832" s="201" t="s">
        <v>130</v>
      </c>
      <c r="G1832" s="201" t="s">
        <v>130</v>
      </c>
      <c r="H1832" s="201" t="s">
        <v>1245</v>
      </c>
      <c r="I1832" s="201"/>
      <c r="J1832" s="202"/>
      <c r="K1832" s="202"/>
      <c r="L1832" s="202"/>
      <c r="M1832" s="202"/>
      <c r="N1832" s="202"/>
      <c r="O1832" s="202"/>
      <c r="P1832" s="202"/>
      <c r="Q1832" s="202"/>
      <c r="R1832" s="202"/>
      <c r="S1832" s="202"/>
      <c r="T1832" s="202"/>
    </row>
    <row r="1833" spans="1:20" s="182" customFormat="1" ht="14.15" hidden="1">
      <c r="A1833" s="222">
        <v>45392</v>
      </c>
      <c r="B1833" s="201" t="s">
        <v>250</v>
      </c>
      <c r="C1833" s="208" t="s">
        <v>27</v>
      </c>
      <c r="D1833" s="592">
        <v>-62940</v>
      </c>
      <c r="E1833" s="619">
        <v>45383</v>
      </c>
      <c r="F1833" s="201" t="s">
        <v>130</v>
      </c>
      <c r="G1833" s="201" t="s">
        <v>130</v>
      </c>
      <c r="H1833" s="201" t="s">
        <v>184</v>
      </c>
      <c r="I1833" s="201"/>
      <c r="J1833" s="202"/>
      <c r="K1833" s="202"/>
      <c r="L1833" s="202"/>
      <c r="M1833" s="202"/>
      <c r="N1833" s="202"/>
      <c r="O1833" s="202"/>
      <c r="P1833" s="202"/>
      <c r="Q1833" s="202"/>
      <c r="R1833" s="202"/>
      <c r="S1833" s="202"/>
      <c r="T1833" s="202"/>
    </row>
    <row r="1834" spans="1:20" s="182" customFormat="1" ht="14.15" hidden="1">
      <c r="A1834" s="222">
        <v>45392</v>
      </c>
      <c r="B1834" s="201" t="s">
        <v>1794</v>
      </c>
      <c r="C1834" s="208" t="s">
        <v>27</v>
      </c>
      <c r="D1834" s="592">
        <v>-108670</v>
      </c>
      <c r="E1834" s="619">
        <v>45383</v>
      </c>
      <c r="F1834" s="201" t="s">
        <v>130</v>
      </c>
      <c r="G1834" s="201" t="s">
        <v>130</v>
      </c>
      <c r="H1834" s="201" t="s">
        <v>406</v>
      </c>
      <c r="I1834" s="201"/>
      <c r="J1834" s="202"/>
      <c r="K1834" s="202"/>
      <c r="L1834" s="202"/>
      <c r="M1834" s="202"/>
      <c r="N1834" s="202"/>
      <c r="O1834" s="202"/>
      <c r="P1834" s="202"/>
      <c r="Q1834" s="202"/>
      <c r="R1834" s="202"/>
      <c r="S1834" s="202"/>
      <c r="T1834" s="202"/>
    </row>
    <row r="1835" spans="1:20" s="182" customFormat="1" ht="14.15" hidden="1">
      <c r="A1835" s="222">
        <v>45399</v>
      </c>
      <c r="B1835" s="201" t="s">
        <v>1795</v>
      </c>
      <c r="C1835" s="208" t="s">
        <v>146</v>
      </c>
      <c r="D1835" s="592">
        <v>-27000</v>
      </c>
      <c r="E1835" s="619">
        <v>45383</v>
      </c>
      <c r="F1835" s="201" t="s">
        <v>109</v>
      </c>
      <c r="G1835" s="208" t="s">
        <v>120</v>
      </c>
      <c r="H1835" s="81" t="s">
        <v>138</v>
      </c>
      <c r="I1835" s="201"/>
      <c r="J1835" s="202"/>
      <c r="K1835" s="202"/>
      <c r="L1835" s="202"/>
      <c r="M1835" s="202"/>
      <c r="N1835" s="202"/>
      <c r="O1835" s="202"/>
      <c r="P1835" s="202"/>
      <c r="Q1835" s="202"/>
      <c r="R1835" s="202"/>
      <c r="S1835" s="202"/>
      <c r="T1835" s="202"/>
    </row>
    <row r="1836" spans="1:20" s="182" customFormat="1" ht="14.15" hidden="1">
      <c r="A1836" s="222">
        <v>45399</v>
      </c>
      <c r="B1836" s="201" t="s">
        <v>1795</v>
      </c>
      <c r="C1836" s="208" t="s">
        <v>269</v>
      </c>
      <c r="D1836" s="592">
        <v>-73000</v>
      </c>
      <c r="E1836" s="619">
        <v>45383</v>
      </c>
      <c r="F1836" s="291" t="s">
        <v>110</v>
      </c>
      <c r="G1836" s="208" t="s">
        <v>450</v>
      </c>
      <c r="H1836" s="81" t="s">
        <v>138</v>
      </c>
      <c r="I1836" s="201"/>
      <c r="J1836" s="202"/>
      <c r="K1836" s="202"/>
      <c r="L1836" s="202"/>
      <c r="M1836" s="202"/>
      <c r="N1836" s="202"/>
      <c r="O1836" s="202"/>
      <c r="P1836" s="202"/>
      <c r="Q1836" s="202"/>
      <c r="R1836" s="202"/>
      <c r="S1836" s="202"/>
      <c r="T1836" s="202"/>
    </row>
    <row r="1837" spans="1:20" s="182" customFormat="1" ht="14.15" hidden="1">
      <c r="A1837" s="222">
        <v>45399</v>
      </c>
      <c r="B1837" s="201" t="s">
        <v>1795</v>
      </c>
      <c r="C1837" s="208" t="s">
        <v>146</v>
      </c>
      <c r="D1837" s="592">
        <v>-70000</v>
      </c>
      <c r="E1837" s="619">
        <v>45383</v>
      </c>
      <c r="F1837" s="201" t="s">
        <v>110</v>
      </c>
      <c r="G1837" s="208" t="s">
        <v>122</v>
      </c>
      <c r="H1837" s="81" t="s">
        <v>138</v>
      </c>
      <c r="I1837" s="201"/>
      <c r="J1837" s="202"/>
      <c r="K1837" s="202"/>
      <c r="L1837" s="202"/>
      <c r="M1837" s="202"/>
      <c r="N1837" s="202"/>
      <c r="O1837" s="202"/>
      <c r="P1837" s="202"/>
      <c r="Q1837" s="202"/>
      <c r="R1837" s="202"/>
      <c r="S1837" s="202"/>
      <c r="T1837" s="202"/>
    </row>
    <row r="1838" spans="1:20" s="182" customFormat="1" ht="14.15" hidden="1">
      <c r="A1838" s="222">
        <v>45399</v>
      </c>
      <c r="B1838" s="201" t="s">
        <v>1795</v>
      </c>
      <c r="C1838" s="208" t="s">
        <v>146</v>
      </c>
      <c r="D1838" s="592">
        <v>-86000</v>
      </c>
      <c r="E1838" s="619">
        <v>45383</v>
      </c>
      <c r="F1838" s="201" t="s">
        <v>109</v>
      </c>
      <c r="G1838" s="201" t="s">
        <v>918</v>
      </c>
      <c r="H1838" s="81" t="s">
        <v>138</v>
      </c>
      <c r="I1838" s="201"/>
      <c r="J1838" s="202"/>
      <c r="K1838" s="202"/>
      <c r="L1838" s="202"/>
      <c r="M1838" s="202"/>
      <c r="N1838" s="202"/>
      <c r="O1838" s="202"/>
      <c r="P1838" s="202"/>
      <c r="Q1838" s="202"/>
      <c r="R1838" s="202"/>
      <c r="S1838" s="202"/>
      <c r="T1838" s="202"/>
    </row>
    <row r="1839" spans="1:20" s="182" customFormat="1" ht="14.15" hidden="1">
      <c r="A1839" s="222">
        <v>45399</v>
      </c>
      <c r="B1839" s="201" t="s">
        <v>1795</v>
      </c>
      <c r="C1839" s="208" t="s">
        <v>269</v>
      </c>
      <c r="D1839" s="592">
        <v>-6000</v>
      </c>
      <c r="E1839" s="619">
        <v>45383</v>
      </c>
      <c r="F1839" s="201" t="s">
        <v>110</v>
      </c>
      <c r="G1839" s="208" t="s">
        <v>453</v>
      </c>
      <c r="H1839" s="81" t="s">
        <v>138</v>
      </c>
      <c r="I1839" s="201"/>
      <c r="J1839" s="202"/>
      <c r="K1839" s="202"/>
      <c r="L1839" s="202"/>
      <c r="M1839" s="202"/>
      <c r="N1839" s="202"/>
      <c r="O1839" s="202"/>
      <c r="P1839" s="202"/>
      <c r="Q1839" s="202"/>
      <c r="R1839" s="202"/>
      <c r="S1839" s="202"/>
      <c r="T1839" s="202"/>
    </row>
    <row r="1840" spans="1:20" s="182" customFormat="1" ht="14.15" hidden="1">
      <c r="A1840" s="222">
        <v>45399</v>
      </c>
      <c r="B1840" s="201" t="s">
        <v>1795</v>
      </c>
      <c r="C1840" s="208" t="s">
        <v>269</v>
      </c>
      <c r="D1840" s="592">
        <v>-12000</v>
      </c>
      <c r="E1840" s="619">
        <v>45383</v>
      </c>
      <c r="F1840" s="201" t="s">
        <v>110</v>
      </c>
      <c r="G1840" s="208" t="s">
        <v>453</v>
      </c>
      <c r="H1840" s="81" t="s">
        <v>138</v>
      </c>
      <c r="I1840" s="201"/>
      <c r="J1840" s="202"/>
      <c r="K1840" s="202"/>
      <c r="L1840" s="202"/>
      <c r="M1840" s="202"/>
      <c r="N1840" s="202"/>
      <c r="O1840" s="202"/>
      <c r="P1840" s="202"/>
      <c r="Q1840" s="202"/>
      <c r="R1840" s="202"/>
      <c r="S1840" s="202"/>
      <c r="T1840" s="202"/>
    </row>
    <row r="1841" spans="1:9" s="202" customFormat="1" ht="14.15" hidden="1">
      <c r="A1841" s="222">
        <v>45026</v>
      </c>
      <c r="B1841" s="201" t="s">
        <v>1796</v>
      </c>
      <c r="C1841" s="208" t="s">
        <v>133</v>
      </c>
      <c r="D1841" s="592">
        <v>-20000</v>
      </c>
      <c r="E1841" s="619">
        <v>45383</v>
      </c>
      <c r="F1841" s="201" t="s">
        <v>109</v>
      </c>
      <c r="G1841" s="208" t="s">
        <v>120</v>
      </c>
      <c r="H1841" s="201"/>
      <c r="I1841" s="201"/>
    </row>
    <row r="1842" spans="1:9" s="202" customFormat="1" ht="14.15" hidden="1">
      <c r="A1842" s="222">
        <v>45399</v>
      </c>
      <c r="B1842" s="201" t="s">
        <v>1797</v>
      </c>
      <c r="C1842" s="208" t="s">
        <v>269</v>
      </c>
      <c r="D1842" s="592">
        <v>-67000</v>
      </c>
      <c r="E1842" s="619">
        <v>45383</v>
      </c>
      <c r="F1842" s="201" t="s">
        <v>130</v>
      </c>
      <c r="G1842" s="201" t="s">
        <v>257</v>
      </c>
      <c r="H1842" s="81" t="s">
        <v>138</v>
      </c>
      <c r="I1842" s="201"/>
    </row>
    <row r="1843" spans="1:9" s="202" customFormat="1" ht="14.15" hidden="1">
      <c r="A1843" s="222">
        <v>45398</v>
      </c>
      <c r="B1843" s="201" t="s">
        <v>1798</v>
      </c>
      <c r="C1843" s="208" t="s">
        <v>269</v>
      </c>
      <c r="D1843" s="592">
        <v>-31500</v>
      </c>
      <c r="E1843" s="619">
        <v>45383</v>
      </c>
      <c r="F1843" s="201" t="s">
        <v>110</v>
      </c>
      <c r="G1843" s="208" t="s">
        <v>122</v>
      </c>
      <c r="H1843" s="81" t="s">
        <v>138</v>
      </c>
      <c r="I1843" s="201"/>
    </row>
    <row r="1844" spans="1:9" s="202" customFormat="1" ht="14.15" hidden="1">
      <c r="A1844" s="222">
        <v>45398</v>
      </c>
      <c r="B1844" s="201" t="s">
        <v>1798</v>
      </c>
      <c r="C1844" s="208" t="s">
        <v>269</v>
      </c>
      <c r="D1844" s="592">
        <v>-12400</v>
      </c>
      <c r="E1844" s="619">
        <v>45383</v>
      </c>
      <c r="F1844" s="201" t="s">
        <v>110</v>
      </c>
      <c r="G1844" s="208" t="s">
        <v>122</v>
      </c>
      <c r="H1844" s="81" t="s">
        <v>138</v>
      </c>
      <c r="I1844" s="201"/>
    </row>
    <row r="1845" spans="1:9" s="202" customFormat="1" ht="14.15" hidden="1">
      <c r="A1845" s="222">
        <v>45398</v>
      </c>
      <c r="B1845" s="201" t="s">
        <v>1799</v>
      </c>
      <c r="C1845" s="208" t="s">
        <v>269</v>
      </c>
      <c r="D1845" s="592">
        <v>-148000</v>
      </c>
      <c r="E1845" s="619">
        <v>45383</v>
      </c>
      <c r="F1845" s="201" t="s">
        <v>110</v>
      </c>
      <c r="G1845" s="81" t="s">
        <v>1621</v>
      </c>
      <c r="H1845" s="81" t="s">
        <v>138</v>
      </c>
      <c r="I1845" s="201" t="s">
        <v>173</v>
      </c>
    </row>
    <row r="1846" spans="1:9" s="202" customFormat="1" ht="14.15" hidden="1">
      <c r="A1846" s="222">
        <v>45398</v>
      </c>
      <c r="B1846" s="201" t="s">
        <v>1798</v>
      </c>
      <c r="C1846" s="208" t="s">
        <v>269</v>
      </c>
      <c r="D1846" s="592">
        <v>-12000</v>
      </c>
      <c r="E1846" s="619">
        <v>45383</v>
      </c>
      <c r="F1846" s="201" t="s">
        <v>110</v>
      </c>
      <c r="G1846" s="208" t="s">
        <v>122</v>
      </c>
      <c r="H1846" s="81" t="s">
        <v>138</v>
      </c>
      <c r="I1846" s="201"/>
    </row>
    <row r="1847" spans="1:9" s="202" customFormat="1" ht="14.15" hidden="1">
      <c r="A1847" s="222">
        <v>45398</v>
      </c>
      <c r="B1847" s="201" t="s">
        <v>1800</v>
      </c>
      <c r="C1847" s="208" t="s">
        <v>269</v>
      </c>
      <c r="D1847" s="592">
        <v>-18500</v>
      </c>
      <c r="E1847" s="619">
        <v>45383</v>
      </c>
      <c r="F1847" s="291" t="s">
        <v>110</v>
      </c>
      <c r="G1847" s="208" t="s">
        <v>450</v>
      </c>
      <c r="H1847" s="81" t="s">
        <v>138</v>
      </c>
      <c r="I1847" s="201"/>
    </row>
    <row r="1848" spans="1:9" s="202" customFormat="1" ht="14.15" hidden="1">
      <c r="A1848" s="222">
        <v>45398</v>
      </c>
      <c r="B1848" s="201" t="s">
        <v>1798</v>
      </c>
      <c r="C1848" s="208" t="s">
        <v>269</v>
      </c>
      <c r="D1848" s="592">
        <v>-12500</v>
      </c>
      <c r="E1848" s="619">
        <v>45383</v>
      </c>
      <c r="F1848" s="201" t="s">
        <v>110</v>
      </c>
      <c r="G1848" s="208" t="s">
        <v>122</v>
      </c>
      <c r="H1848" s="81" t="s">
        <v>138</v>
      </c>
      <c r="I1848" s="201"/>
    </row>
    <row r="1849" spans="1:9" s="202" customFormat="1" ht="14.15" hidden="1">
      <c r="A1849" s="222">
        <v>45398</v>
      </c>
      <c r="B1849" s="201" t="s">
        <v>1801</v>
      </c>
      <c r="C1849" s="208" t="s">
        <v>269</v>
      </c>
      <c r="D1849" s="592">
        <v>-15000</v>
      </c>
      <c r="E1849" s="619">
        <v>45383</v>
      </c>
      <c r="F1849" s="201" t="s">
        <v>109</v>
      </c>
      <c r="G1849" s="208" t="s">
        <v>125</v>
      </c>
      <c r="H1849" s="81" t="s">
        <v>138</v>
      </c>
      <c r="I1849" s="201"/>
    </row>
    <row r="1850" spans="1:9" s="202" customFormat="1" ht="14.15" hidden="1">
      <c r="A1850" s="222">
        <v>45399</v>
      </c>
      <c r="B1850" s="201" t="s">
        <v>1798</v>
      </c>
      <c r="C1850" s="208" t="s">
        <v>269</v>
      </c>
      <c r="D1850" s="592">
        <v>-6000</v>
      </c>
      <c r="E1850" s="619">
        <v>45383</v>
      </c>
      <c r="F1850" s="201" t="s">
        <v>110</v>
      </c>
      <c r="G1850" s="208" t="s">
        <v>122</v>
      </c>
      <c r="H1850" s="81" t="s">
        <v>138</v>
      </c>
      <c r="I1850" s="201"/>
    </row>
    <row r="1851" spans="1:9" s="202" customFormat="1" ht="14.15" hidden="1">
      <c r="A1851" s="222">
        <v>45399</v>
      </c>
      <c r="B1851" s="201" t="s">
        <v>1802</v>
      </c>
      <c r="C1851" s="208" t="s">
        <v>269</v>
      </c>
      <c r="D1851" s="592">
        <v>100000</v>
      </c>
      <c r="E1851" s="619">
        <v>45383</v>
      </c>
      <c r="F1851" s="201" t="s">
        <v>130</v>
      </c>
      <c r="G1851" s="201" t="s">
        <v>130</v>
      </c>
      <c r="H1851" s="201" t="s">
        <v>184</v>
      </c>
      <c r="I1851" s="201"/>
    </row>
    <row r="1852" spans="1:9" s="202" customFormat="1" ht="14.15" hidden="1">
      <c r="A1852" s="222">
        <v>45393</v>
      </c>
      <c r="B1852" s="201" t="s">
        <v>1803</v>
      </c>
      <c r="C1852" s="208" t="s">
        <v>146</v>
      </c>
      <c r="D1852" s="592">
        <v>-9000</v>
      </c>
      <c r="E1852" s="619">
        <v>45383</v>
      </c>
      <c r="F1852" s="201" t="s">
        <v>109</v>
      </c>
      <c r="G1852" s="201" t="s">
        <v>918</v>
      </c>
      <c r="H1852" s="208" t="s">
        <v>175</v>
      </c>
      <c r="I1852" s="201" t="s">
        <v>173</v>
      </c>
    </row>
    <row r="1853" spans="1:9" s="202" customFormat="1" ht="14.15" hidden="1">
      <c r="A1853" s="222">
        <v>45393</v>
      </c>
      <c r="B1853" s="201" t="s">
        <v>1804</v>
      </c>
      <c r="C1853" s="208" t="s">
        <v>146</v>
      </c>
      <c r="D1853" s="592">
        <v>-1650</v>
      </c>
      <c r="E1853" s="619">
        <v>45383</v>
      </c>
      <c r="F1853" s="201" t="s">
        <v>109</v>
      </c>
      <c r="G1853" s="201" t="s">
        <v>918</v>
      </c>
      <c r="H1853" s="208" t="s">
        <v>175</v>
      </c>
      <c r="I1853" s="201" t="s">
        <v>173</v>
      </c>
    </row>
    <row r="1854" spans="1:9" s="202" customFormat="1" ht="14.15" hidden="1">
      <c r="A1854" s="222">
        <v>45393</v>
      </c>
      <c r="B1854" s="201" t="s">
        <v>1805</v>
      </c>
      <c r="C1854" s="208" t="s">
        <v>146</v>
      </c>
      <c r="D1854" s="592">
        <v>-48000</v>
      </c>
      <c r="E1854" s="619">
        <v>45383</v>
      </c>
      <c r="F1854" s="201" t="s">
        <v>109</v>
      </c>
      <c r="G1854" s="208" t="s">
        <v>120</v>
      </c>
      <c r="H1854" s="208" t="s">
        <v>175</v>
      </c>
      <c r="I1854" s="201" t="s">
        <v>173</v>
      </c>
    </row>
    <row r="1855" spans="1:9" s="202" customFormat="1" ht="14.15" hidden="1">
      <c r="A1855" s="222">
        <v>45394</v>
      </c>
      <c r="B1855" s="201" t="s">
        <v>1806</v>
      </c>
      <c r="C1855" s="208" t="s">
        <v>146</v>
      </c>
      <c r="D1855" s="592">
        <v>-16500</v>
      </c>
      <c r="E1855" s="619">
        <v>45383</v>
      </c>
      <c r="F1855" s="291" t="s">
        <v>110</v>
      </c>
      <c r="G1855" s="208" t="s">
        <v>450</v>
      </c>
      <c r="H1855" s="208" t="s">
        <v>175</v>
      </c>
      <c r="I1855" s="201" t="s">
        <v>173</v>
      </c>
    </row>
    <row r="1856" spans="1:9" s="202" customFormat="1" ht="14.15" hidden="1">
      <c r="A1856" s="222">
        <v>45394</v>
      </c>
      <c r="B1856" s="201" t="s">
        <v>1807</v>
      </c>
      <c r="C1856" s="208" t="s">
        <v>146</v>
      </c>
      <c r="D1856" s="592">
        <v>-37700</v>
      </c>
      <c r="E1856" s="619">
        <v>45383</v>
      </c>
      <c r="F1856" s="291" t="s">
        <v>110</v>
      </c>
      <c r="G1856" s="208" t="s">
        <v>450</v>
      </c>
      <c r="H1856" s="208" t="s">
        <v>175</v>
      </c>
      <c r="I1856" s="201" t="s">
        <v>173</v>
      </c>
    </row>
    <row r="1857" spans="1:9" s="202" customFormat="1" ht="14.15" hidden="1">
      <c r="A1857" s="222">
        <v>45394</v>
      </c>
      <c r="B1857" s="201" t="s">
        <v>1808</v>
      </c>
      <c r="C1857" s="208" t="s">
        <v>146</v>
      </c>
      <c r="D1857" s="592">
        <v>-1700</v>
      </c>
      <c r="E1857" s="619">
        <v>45383</v>
      </c>
      <c r="F1857" s="291" t="s">
        <v>110</v>
      </c>
      <c r="G1857" s="208" t="s">
        <v>450</v>
      </c>
      <c r="H1857" s="208" t="s">
        <v>175</v>
      </c>
      <c r="I1857" s="201" t="s">
        <v>173</v>
      </c>
    </row>
    <row r="1858" spans="1:9" s="202" customFormat="1" ht="14.15" hidden="1">
      <c r="A1858" s="222">
        <v>45394</v>
      </c>
      <c r="B1858" s="201" t="s">
        <v>1809</v>
      </c>
      <c r="C1858" s="208" t="s">
        <v>146</v>
      </c>
      <c r="D1858" s="592">
        <v>-50000</v>
      </c>
      <c r="E1858" s="619">
        <v>45383</v>
      </c>
      <c r="F1858" s="291" t="s">
        <v>110</v>
      </c>
      <c r="G1858" s="208" t="s">
        <v>450</v>
      </c>
      <c r="H1858" s="208" t="s">
        <v>175</v>
      </c>
      <c r="I1858" s="201" t="s">
        <v>173</v>
      </c>
    </row>
    <row r="1859" spans="1:9" s="202" customFormat="1" ht="14.15" hidden="1">
      <c r="A1859" s="222">
        <v>45397</v>
      </c>
      <c r="B1859" s="201" t="s">
        <v>1810</v>
      </c>
      <c r="C1859" s="208" t="s">
        <v>146</v>
      </c>
      <c r="D1859" s="592">
        <v>-72700</v>
      </c>
      <c r="E1859" s="619">
        <v>45383</v>
      </c>
      <c r="F1859" s="201" t="s">
        <v>109</v>
      </c>
      <c r="G1859" s="208" t="s">
        <v>120</v>
      </c>
      <c r="H1859" s="208" t="s">
        <v>175</v>
      </c>
      <c r="I1859" s="201" t="s">
        <v>173</v>
      </c>
    </row>
    <row r="1860" spans="1:9" s="202" customFormat="1" ht="14.15" hidden="1">
      <c r="A1860" s="222">
        <v>45397</v>
      </c>
      <c r="B1860" s="201" t="s">
        <v>1811</v>
      </c>
      <c r="C1860" s="208" t="s">
        <v>146</v>
      </c>
      <c r="D1860" s="592">
        <v>-145500</v>
      </c>
      <c r="E1860" s="619">
        <v>45383</v>
      </c>
      <c r="F1860" s="201" t="s">
        <v>110</v>
      </c>
      <c r="G1860" s="208" t="s">
        <v>122</v>
      </c>
      <c r="H1860" s="208" t="s">
        <v>175</v>
      </c>
      <c r="I1860" s="201" t="s">
        <v>173</v>
      </c>
    </row>
    <row r="1861" spans="1:9" s="202" customFormat="1" ht="14.15" hidden="1">
      <c r="A1861" s="222">
        <v>45397</v>
      </c>
      <c r="B1861" s="201" t="s">
        <v>1812</v>
      </c>
      <c r="C1861" s="208" t="s">
        <v>146</v>
      </c>
      <c r="D1861" s="592">
        <v>-119126</v>
      </c>
      <c r="E1861" s="619">
        <v>45383</v>
      </c>
      <c r="F1861" s="291" t="s">
        <v>110</v>
      </c>
      <c r="G1861" s="208" t="s">
        <v>450</v>
      </c>
      <c r="H1861" s="208" t="s">
        <v>175</v>
      </c>
      <c r="I1861" s="201" t="s">
        <v>173</v>
      </c>
    </row>
    <row r="1862" spans="1:9" s="202" customFormat="1" ht="14.15" hidden="1">
      <c r="A1862" s="222">
        <v>45397</v>
      </c>
      <c r="B1862" s="201" t="s">
        <v>1813</v>
      </c>
      <c r="C1862" s="208" t="s">
        <v>146</v>
      </c>
      <c r="D1862" s="592">
        <v>-6720</v>
      </c>
      <c r="E1862" s="619">
        <v>45383</v>
      </c>
      <c r="F1862" s="291" t="s">
        <v>110</v>
      </c>
      <c r="G1862" s="208" t="s">
        <v>450</v>
      </c>
      <c r="H1862" s="208" t="s">
        <v>175</v>
      </c>
      <c r="I1862" s="201" t="s">
        <v>173</v>
      </c>
    </row>
    <row r="1863" spans="1:9" s="202" customFormat="1" ht="14.15" hidden="1">
      <c r="A1863" s="222">
        <v>45397</v>
      </c>
      <c r="B1863" s="201" t="s">
        <v>1814</v>
      </c>
      <c r="C1863" s="208" t="s">
        <v>146</v>
      </c>
      <c r="D1863" s="592">
        <v>-17500</v>
      </c>
      <c r="E1863" s="619">
        <v>45383</v>
      </c>
      <c r="F1863" s="201" t="s">
        <v>130</v>
      </c>
      <c r="G1863" s="201" t="s">
        <v>130</v>
      </c>
      <c r="H1863" s="201" t="s">
        <v>184</v>
      </c>
      <c r="I1863" s="201" t="s">
        <v>173</v>
      </c>
    </row>
    <row r="1864" spans="1:9" s="202" customFormat="1" ht="14.15" hidden="1">
      <c r="A1864" s="222">
        <v>45394</v>
      </c>
      <c r="B1864" s="201" t="s">
        <v>1815</v>
      </c>
      <c r="C1864" s="208" t="s">
        <v>146</v>
      </c>
      <c r="D1864" s="592">
        <v>-7000</v>
      </c>
      <c r="E1864" s="619">
        <v>45383</v>
      </c>
      <c r="F1864" s="291" t="s">
        <v>110</v>
      </c>
      <c r="G1864" s="208" t="s">
        <v>450</v>
      </c>
      <c r="H1864" s="81" t="s">
        <v>138</v>
      </c>
      <c r="I1864" s="201" t="s">
        <v>173</v>
      </c>
    </row>
    <row r="1865" spans="1:9" s="202" customFormat="1" ht="14.15" hidden="1">
      <c r="A1865" s="222">
        <v>45303</v>
      </c>
      <c r="B1865" s="201" t="s">
        <v>1816</v>
      </c>
      <c r="C1865" s="208" t="s">
        <v>146</v>
      </c>
      <c r="D1865" s="592">
        <v>-7000</v>
      </c>
      <c r="E1865" s="619">
        <v>45383</v>
      </c>
      <c r="F1865" s="201" t="s">
        <v>110</v>
      </c>
      <c r="G1865" s="208" t="s">
        <v>122</v>
      </c>
      <c r="H1865" s="81" t="s">
        <v>138</v>
      </c>
      <c r="I1865" s="201" t="s">
        <v>173</v>
      </c>
    </row>
    <row r="1866" spans="1:9" s="202" customFormat="1" ht="14.15" hidden="1">
      <c r="A1866" s="222">
        <v>45394</v>
      </c>
      <c r="B1866" s="201" t="s">
        <v>1817</v>
      </c>
      <c r="C1866" s="208" t="s">
        <v>146</v>
      </c>
      <c r="D1866" s="592">
        <v>-7000</v>
      </c>
      <c r="E1866" s="619">
        <v>45383</v>
      </c>
      <c r="F1866" s="201" t="s">
        <v>109</v>
      </c>
      <c r="G1866" s="201" t="s">
        <v>918</v>
      </c>
      <c r="H1866" s="81" t="s">
        <v>138</v>
      </c>
      <c r="I1866" s="201" t="s">
        <v>173</v>
      </c>
    </row>
    <row r="1867" spans="1:9" s="202" customFormat="1" ht="14.15" hidden="1">
      <c r="A1867" s="222">
        <v>45394</v>
      </c>
      <c r="B1867" s="201" t="s">
        <v>1818</v>
      </c>
      <c r="C1867" s="208" t="s">
        <v>146</v>
      </c>
      <c r="D1867" s="592">
        <v>-6000</v>
      </c>
      <c r="E1867" s="619">
        <v>45383</v>
      </c>
      <c r="F1867" s="201" t="s">
        <v>109</v>
      </c>
      <c r="G1867" s="201" t="s">
        <v>918</v>
      </c>
      <c r="H1867" s="81" t="s">
        <v>138</v>
      </c>
      <c r="I1867" s="201" t="s">
        <v>173</v>
      </c>
    </row>
    <row r="1868" spans="1:9" s="202" customFormat="1" ht="14.15" hidden="1">
      <c r="A1868" s="222">
        <v>45394</v>
      </c>
      <c r="B1868" s="201" t="s">
        <v>1819</v>
      </c>
      <c r="C1868" s="208" t="s">
        <v>146</v>
      </c>
      <c r="D1868" s="592">
        <v>-7000</v>
      </c>
      <c r="E1868" s="619">
        <v>45383</v>
      </c>
      <c r="F1868" s="201" t="s">
        <v>130</v>
      </c>
      <c r="G1868" s="201" t="s">
        <v>130</v>
      </c>
      <c r="H1868" s="81" t="s">
        <v>138</v>
      </c>
      <c r="I1868" s="201" t="s">
        <v>173</v>
      </c>
    </row>
    <row r="1869" spans="1:9" s="202" customFormat="1" ht="14.15" hidden="1">
      <c r="A1869" s="222">
        <v>45394</v>
      </c>
      <c r="B1869" s="201" t="s">
        <v>1820</v>
      </c>
      <c r="C1869" s="208" t="s">
        <v>146</v>
      </c>
      <c r="D1869" s="592">
        <v>-7000</v>
      </c>
      <c r="E1869" s="619">
        <v>45383</v>
      </c>
      <c r="F1869" s="201" t="s">
        <v>109</v>
      </c>
      <c r="G1869" s="201" t="s">
        <v>918</v>
      </c>
      <c r="H1869" s="81" t="s">
        <v>138</v>
      </c>
      <c r="I1869" s="201" t="s">
        <v>173</v>
      </c>
    </row>
    <row r="1870" spans="1:9" s="202" customFormat="1" ht="14.15" hidden="1">
      <c r="A1870" s="222">
        <v>45394</v>
      </c>
      <c r="B1870" s="201" t="s">
        <v>1821</v>
      </c>
      <c r="C1870" s="208" t="s">
        <v>146</v>
      </c>
      <c r="D1870" s="592">
        <v>-20000</v>
      </c>
      <c r="E1870" s="619">
        <v>45383</v>
      </c>
      <c r="F1870" s="291" t="s">
        <v>110</v>
      </c>
      <c r="G1870" s="208" t="s">
        <v>450</v>
      </c>
      <c r="H1870" s="81" t="s">
        <v>138</v>
      </c>
      <c r="I1870" s="201" t="s">
        <v>173</v>
      </c>
    </row>
    <row r="1871" spans="1:9" s="202" customFormat="1" ht="14.15" hidden="1">
      <c r="A1871" s="222">
        <v>45394</v>
      </c>
      <c r="B1871" s="201" t="s">
        <v>1822</v>
      </c>
      <c r="C1871" s="208" t="s">
        <v>146</v>
      </c>
      <c r="D1871" s="592">
        <v>-20000</v>
      </c>
      <c r="E1871" s="619">
        <v>45383</v>
      </c>
      <c r="F1871" s="208" t="s">
        <v>109</v>
      </c>
      <c r="G1871" s="208" t="s">
        <v>317</v>
      </c>
      <c r="H1871" s="81" t="s">
        <v>138</v>
      </c>
      <c r="I1871" s="201" t="s">
        <v>173</v>
      </c>
    </row>
    <row r="1872" spans="1:9" s="202" customFormat="1" ht="14.15" hidden="1">
      <c r="A1872" s="222">
        <v>45394</v>
      </c>
      <c r="B1872" s="201" t="s">
        <v>1823</v>
      </c>
      <c r="C1872" s="208" t="s">
        <v>146</v>
      </c>
      <c r="D1872" s="592">
        <v>-20000</v>
      </c>
      <c r="E1872" s="619">
        <v>45383</v>
      </c>
      <c r="F1872" s="208" t="s">
        <v>109</v>
      </c>
      <c r="G1872" s="208" t="s">
        <v>317</v>
      </c>
      <c r="H1872" s="81" t="s">
        <v>138</v>
      </c>
      <c r="I1872" s="201" t="s">
        <v>173</v>
      </c>
    </row>
    <row r="1873" spans="1:9" s="202" customFormat="1" ht="14.15" hidden="1">
      <c r="A1873" s="222">
        <v>45394</v>
      </c>
      <c r="B1873" s="201" t="s">
        <v>1589</v>
      </c>
      <c r="C1873" s="208" t="s">
        <v>146</v>
      </c>
      <c r="D1873" s="592">
        <v>-20000</v>
      </c>
      <c r="E1873" s="619">
        <v>45383</v>
      </c>
      <c r="F1873" s="291" t="s">
        <v>110</v>
      </c>
      <c r="G1873" s="208" t="s">
        <v>450</v>
      </c>
      <c r="H1873" s="81" t="s">
        <v>138</v>
      </c>
      <c r="I1873" s="201" t="s">
        <v>173</v>
      </c>
    </row>
    <row r="1874" spans="1:9" s="202" customFormat="1" ht="14.15" hidden="1">
      <c r="A1874" s="222">
        <v>45394</v>
      </c>
      <c r="B1874" s="201" t="s">
        <v>1824</v>
      </c>
      <c r="C1874" s="208" t="s">
        <v>146</v>
      </c>
      <c r="D1874" s="592">
        <v>-6000</v>
      </c>
      <c r="E1874" s="619">
        <v>45383</v>
      </c>
      <c r="F1874" s="291" t="s">
        <v>110</v>
      </c>
      <c r="G1874" s="208" t="s">
        <v>450</v>
      </c>
      <c r="H1874" s="81" t="s">
        <v>138</v>
      </c>
      <c r="I1874" s="201" t="s">
        <v>173</v>
      </c>
    </row>
    <row r="1875" spans="1:9" s="202" customFormat="1" ht="14.15" hidden="1">
      <c r="A1875" s="222">
        <v>45397</v>
      </c>
      <c r="B1875" s="201" t="s">
        <v>1825</v>
      </c>
      <c r="C1875" s="208" t="s">
        <v>146</v>
      </c>
      <c r="D1875" s="592">
        <v>-15000</v>
      </c>
      <c r="E1875" s="619">
        <v>45383</v>
      </c>
      <c r="F1875" s="201" t="s">
        <v>109</v>
      </c>
      <c r="G1875" s="201" t="s">
        <v>918</v>
      </c>
      <c r="H1875" s="81" t="s">
        <v>138</v>
      </c>
      <c r="I1875" s="201" t="s">
        <v>173</v>
      </c>
    </row>
    <row r="1876" spans="1:9" s="202" customFormat="1" ht="14.15" hidden="1">
      <c r="A1876" s="222">
        <v>45400</v>
      </c>
      <c r="B1876" s="201" t="s">
        <v>1826</v>
      </c>
      <c r="C1876" s="208" t="s">
        <v>146</v>
      </c>
      <c r="D1876" s="592">
        <v>-900</v>
      </c>
      <c r="E1876" s="619">
        <v>45383</v>
      </c>
      <c r="F1876" s="201" t="s">
        <v>130</v>
      </c>
      <c r="G1876" s="201" t="s">
        <v>130</v>
      </c>
      <c r="H1876" s="201" t="s">
        <v>184</v>
      </c>
      <c r="I1876" s="201"/>
    </row>
    <row r="1877" spans="1:9" s="202" customFormat="1" ht="14.15" hidden="1">
      <c r="A1877" s="222">
        <v>45400</v>
      </c>
      <c r="B1877" s="201" t="s">
        <v>1827</v>
      </c>
      <c r="C1877" s="208" t="s">
        <v>146</v>
      </c>
      <c r="D1877" s="592">
        <v>-12000</v>
      </c>
      <c r="E1877" s="619">
        <v>45383</v>
      </c>
      <c r="F1877" s="201" t="s">
        <v>110</v>
      </c>
      <c r="G1877" s="208" t="s">
        <v>122</v>
      </c>
      <c r="H1877" s="81" t="s">
        <v>138</v>
      </c>
      <c r="I1877" s="201"/>
    </row>
    <row r="1878" spans="1:9" s="202" customFormat="1" ht="14.15" hidden="1">
      <c r="A1878" s="222">
        <v>45400</v>
      </c>
      <c r="B1878" s="201" t="s">
        <v>1827</v>
      </c>
      <c r="C1878" s="208" t="s">
        <v>146</v>
      </c>
      <c r="D1878" s="592">
        <v>-12000</v>
      </c>
      <c r="E1878" s="619">
        <v>45383</v>
      </c>
      <c r="F1878" s="201" t="s">
        <v>110</v>
      </c>
      <c r="G1878" s="208" t="s">
        <v>453</v>
      </c>
      <c r="H1878" s="81" t="s">
        <v>138</v>
      </c>
      <c r="I1878" s="201"/>
    </row>
    <row r="1879" spans="1:9" s="202" customFormat="1" ht="14.15" hidden="1">
      <c r="A1879" s="222">
        <v>45400</v>
      </c>
      <c r="B1879" s="201" t="s">
        <v>1827</v>
      </c>
      <c r="C1879" s="208" t="s">
        <v>146</v>
      </c>
      <c r="D1879" s="592">
        <v>-42000</v>
      </c>
      <c r="E1879" s="619">
        <v>45383</v>
      </c>
      <c r="F1879" s="291" t="s">
        <v>110</v>
      </c>
      <c r="G1879" s="208" t="s">
        <v>450</v>
      </c>
      <c r="H1879" s="81" t="s">
        <v>138</v>
      </c>
      <c r="I1879" s="201"/>
    </row>
    <row r="1880" spans="1:9" s="202" customFormat="1" ht="14.15" hidden="1">
      <c r="A1880" s="222">
        <v>45400</v>
      </c>
      <c r="B1880" s="201" t="s">
        <v>1827</v>
      </c>
      <c r="C1880" s="208" t="s">
        <v>146</v>
      </c>
      <c r="D1880" s="592">
        <v>-200000</v>
      </c>
      <c r="E1880" s="619">
        <v>45383</v>
      </c>
      <c r="F1880" s="201" t="s">
        <v>130</v>
      </c>
      <c r="G1880" s="201" t="s">
        <v>257</v>
      </c>
      <c r="H1880" s="81" t="s">
        <v>138</v>
      </c>
      <c r="I1880" s="201"/>
    </row>
    <row r="1881" spans="1:9" s="202" customFormat="1" ht="14.15" hidden="1">
      <c r="A1881" s="222">
        <v>45400</v>
      </c>
      <c r="B1881" s="201" t="s">
        <v>1827</v>
      </c>
      <c r="C1881" s="208" t="s">
        <v>146</v>
      </c>
      <c r="D1881" s="592">
        <v>-41000</v>
      </c>
      <c r="E1881" s="619">
        <v>45383</v>
      </c>
      <c r="F1881" s="201" t="s">
        <v>109</v>
      </c>
      <c r="G1881" s="201" t="s">
        <v>918</v>
      </c>
      <c r="H1881" s="81" t="s">
        <v>138</v>
      </c>
      <c r="I1881" s="201"/>
    </row>
    <row r="1882" spans="1:9" s="202" customFormat="1" ht="14.15" hidden="1">
      <c r="A1882" s="222">
        <v>45400</v>
      </c>
      <c r="B1882" s="201" t="s">
        <v>1827</v>
      </c>
      <c r="C1882" s="208" t="s">
        <v>146</v>
      </c>
      <c r="D1882" s="592">
        <v>-14000</v>
      </c>
      <c r="E1882" s="619">
        <v>45383</v>
      </c>
      <c r="F1882" s="201" t="s">
        <v>109</v>
      </c>
      <c r="G1882" s="208" t="s">
        <v>120</v>
      </c>
      <c r="H1882" s="81" t="s">
        <v>138</v>
      </c>
      <c r="I1882" s="201"/>
    </row>
    <row r="1883" spans="1:9" s="202" customFormat="1" ht="14.15" hidden="1">
      <c r="A1883" s="222">
        <v>45400</v>
      </c>
      <c r="B1883" s="201" t="s">
        <v>1827</v>
      </c>
      <c r="C1883" s="208" t="s">
        <v>146</v>
      </c>
      <c r="D1883" s="592">
        <v>-6000</v>
      </c>
      <c r="E1883" s="619">
        <v>45383</v>
      </c>
      <c r="F1883" s="201" t="s">
        <v>207</v>
      </c>
      <c r="G1883" s="208" t="s">
        <v>262</v>
      </c>
      <c r="H1883" s="81" t="s">
        <v>138</v>
      </c>
      <c r="I1883" s="201"/>
    </row>
    <row r="1884" spans="1:9" s="202" customFormat="1" ht="14.15" hidden="1">
      <c r="A1884" s="222">
        <v>45400</v>
      </c>
      <c r="B1884" s="201" t="s">
        <v>1828</v>
      </c>
      <c r="C1884" s="208" t="s">
        <v>146</v>
      </c>
      <c r="D1884" s="592">
        <v>-12400</v>
      </c>
      <c r="E1884" s="619">
        <v>45383</v>
      </c>
      <c r="F1884" s="291" t="s">
        <v>110</v>
      </c>
      <c r="G1884" s="208" t="s">
        <v>450</v>
      </c>
      <c r="H1884" s="81" t="s">
        <v>138</v>
      </c>
      <c r="I1884" s="201"/>
    </row>
    <row r="1885" spans="1:9" s="202" customFormat="1" ht="14.15" hidden="1">
      <c r="A1885" s="222">
        <v>45400</v>
      </c>
      <c r="B1885" s="201" t="s">
        <v>1800</v>
      </c>
      <c r="C1885" s="208" t="s">
        <v>146</v>
      </c>
      <c r="D1885" s="592">
        <v>-20000</v>
      </c>
      <c r="E1885" s="619">
        <v>45383</v>
      </c>
      <c r="F1885" s="291" t="s">
        <v>110</v>
      </c>
      <c r="G1885" s="208" t="s">
        <v>450</v>
      </c>
      <c r="H1885" s="81" t="s">
        <v>138</v>
      </c>
      <c r="I1885" s="201"/>
    </row>
    <row r="1886" spans="1:9" s="202" customFormat="1" ht="14.15" hidden="1">
      <c r="A1886" s="222">
        <v>45400</v>
      </c>
      <c r="B1886" s="201" t="s">
        <v>1798</v>
      </c>
      <c r="C1886" s="208" t="s">
        <v>146</v>
      </c>
      <c r="D1886" s="592">
        <v>-6000</v>
      </c>
      <c r="E1886" s="619">
        <v>45383</v>
      </c>
      <c r="F1886" s="201" t="s">
        <v>110</v>
      </c>
      <c r="G1886" s="208" t="s">
        <v>122</v>
      </c>
      <c r="H1886" s="81" t="s">
        <v>138</v>
      </c>
      <c r="I1886" s="201"/>
    </row>
    <row r="1887" spans="1:9" s="202" customFormat="1" ht="14.15" hidden="1">
      <c r="A1887" s="222">
        <v>45400</v>
      </c>
      <c r="B1887" s="201" t="s">
        <v>1829</v>
      </c>
      <c r="C1887" s="208" t="s">
        <v>146</v>
      </c>
      <c r="D1887" s="592">
        <v>-9500</v>
      </c>
      <c r="E1887" s="619">
        <v>45383</v>
      </c>
      <c r="F1887" s="201" t="s">
        <v>110</v>
      </c>
      <c r="G1887" s="208" t="s">
        <v>453</v>
      </c>
      <c r="H1887" s="81" t="s">
        <v>138</v>
      </c>
      <c r="I1887" s="201"/>
    </row>
    <row r="1888" spans="1:9" s="202" customFormat="1" ht="14.15" hidden="1">
      <c r="A1888" s="222">
        <v>45397</v>
      </c>
      <c r="B1888" s="201" t="s">
        <v>1789</v>
      </c>
      <c r="C1888" s="208" t="s">
        <v>643</v>
      </c>
      <c r="D1888" s="592">
        <v>-123500</v>
      </c>
      <c r="E1888" s="619">
        <v>45383</v>
      </c>
      <c r="F1888" s="201" t="s">
        <v>130</v>
      </c>
      <c r="G1888" s="201" t="s">
        <v>130</v>
      </c>
      <c r="H1888" s="208" t="s">
        <v>143</v>
      </c>
      <c r="I1888" s="201"/>
    </row>
    <row r="1889" spans="1:149" s="202" customFormat="1" ht="14.15" hidden="1">
      <c r="A1889" s="222">
        <v>45399</v>
      </c>
      <c r="B1889" s="201" t="s">
        <v>1830</v>
      </c>
      <c r="C1889" s="208" t="s">
        <v>643</v>
      </c>
      <c r="D1889" s="592">
        <v>-123026.55</v>
      </c>
      <c r="E1889" s="619">
        <v>45383</v>
      </c>
      <c r="F1889" s="201" t="s">
        <v>130</v>
      </c>
      <c r="G1889" s="201" t="s">
        <v>130</v>
      </c>
      <c r="H1889" s="208" t="s">
        <v>143</v>
      </c>
      <c r="I1889" s="201"/>
    </row>
    <row r="1890" spans="1:149" s="202" customFormat="1" ht="14.15" hidden="1">
      <c r="A1890" s="222">
        <v>45400</v>
      </c>
      <c r="B1890" s="201" t="s">
        <v>1831</v>
      </c>
      <c r="C1890" s="208" t="s">
        <v>643</v>
      </c>
      <c r="D1890" s="592">
        <v>-149940</v>
      </c>
      <c r="E1890" s="619">
        <v>45383</v>
      </c>
      <c r="F1890" s="201" t="s">
        <v>130</v>
      </c>
      <c r="G1890" s="201" t="s">
        <v>130</v>
      </c>
      <c r="H1890" s="201" t="s">
        <v>184</v>
      </c>
      <c r="I1890" s="201"/>
    </row>
    <row r="1891" spans="1:149" s="202" customFormat="1" ht="14.15" hidden="1">
      <c r="A1891" s="222">
        <v>45400</v>
      </c>
      <c r="B1891" s="201" t="s">
        <v>1832</v>
      </c>
      <c r="C1891" s="208" t="s">
        <v>643</v>
      </c>
      <c r="D1891" s="592">
        <v>-11500</v>
      </c>
      <c r="E1891" s="619">
        <v>45383</v>
      </c>
      <c r="F1891" s="201" t="s">
        <v>130</v>
      </c>
      <c r="G1891" s="201" t="s">
        <v>257</v>
      </c>
      <c r="H1891" s="201" t="s">
        <v>1182</v>
      </c>
      <c r="I1891" s="201"/>
    </row>
    <row r="1892" spans="1:149" s="202" customFormat="1" ht="14.15" hidden="1">
      <c r="A1892" s="222">
        <v>45401</v>
      </c>
      <c r="B1892" s="201" t="s">
        <v>1833</v>
      </c>
      <c r="C1892" s="208" t="s">
        <v>643</v>
      </c>
      <c r="D1892" s="592">
        <v>-40100</v>
      </c>
      <c r="E1892" s="619">
        <v>45383</v>
      </c>
      <c r="F1892" s="201" t="s">
        <v>130</v>
      </c>
      <c r="G1892" s="201" t="s">
        <v>257</v>
      </c>
      <c r="H1892" s="201" t="s">
        <v>1182</v>
      </c>
      <c r="I1892" s="201"/>
    </row>
    <row r="1893" spans="1:149" s="202" customFormat="1" ht="14.15" hidden="1">
      <c r="A1893" s="222">
        <v>45394</v>
      </c>
      <c r="B1893" s="201" t="s">
        <v>1834</v>
      </c>
      <c r="C1893" s="208" t="s">
        <v>181</v>
      </c>
      <c r="D1893" s="592">
        <v>4141955</v>
      </c>
      <c r="E1893" s="619">
        <v>45383</v>
      </c>
      <c r="F1893" s="201" t="s">
        <v>108</v>
      </c>
      <c r="G1893" s="201"/>
      <c r="H1893" s="201"/>
      <c r="I1893" s="201"/>
    </row>
    <row r="1894" spans="1:149" s="202" customFormat="1" ht="14.15" hidden="1">
      <c r="A1894" s="222">
        <v>45400</v>
      </c>
      <c r="B1894" s="201" t="s">
        <v>1835</v>
      </c>
      <c r="C1894" s="208" t="s">
        <v>181</v>
      </c>
      <c r="D1894" s="592">
        <v>1164220</v>
      </c>
      <c r="E1894" s="619">
        <v>45383</v>
      </c>
      <c r="F1894" s="201" t="s">
        <v>108</v>
      </c>
      <c r="G1894" s="201"/>
      <c r="H1894" s="201"/>
      <c r="I1894" s="201"/>
    </row>
    <row r="1895" spans="1:149" s="202" customFormat="1" ht="14.15" hidden="1">
      <c r="A1895" s="222">
        <v>45400</v>
      </c>
      <c r="B1895" s="201" t="s">
        <v>1836</v>
      </c>
      <c r="C1895" s="208" t="s">
        <v>181</v>
      </c>
      <c r="D1895" s="592">
        <v>2603134</v>
      </c>
      <c r="E1895" s="619">
        <v>45383</v>
      </c>
      <c r="F1895" s="201" t="s">
        <v>108</v>
      </c>
      <c r="G1895" s="201"/>
      <c r="H1895" s="201"/>
      <c r="I1895" s="201"/>
    </row>
    <row r="1896" spans="1:149" s="202" customFormat="1" ht="14.15" hidden="1">
      <c r="A1896" s="222">
        <v>45392</v>
      </c>
      <c r="B1896" s="201" t="s">
        <v>1837</v>
      </c>
      <c r="C1896" s="208" t="s">
        <v>27</v>
      </c>
      <c r="D1896" s="592">
        <v>-117400</v>
      </c>
      <c r="E1896" s="619">
        <v>45383</v>
      </c>
      <c r="F1896" s="201" t="s">
        <v>130</v>
      </c>
      <c r="G1896" s="201" t="s">
        <v>130</v>
      </c>
      <c r="H1896" s="201" t="s">
        <v>1242</v>
      </c>
      <c r="I1896" s="201"/>
      <c r="U1896" s="182"/>
      <c r="V1896" s="182"/>
      <c r="W1896" s="182"/>
      <c r="X1896" s="182"/>
      <c r="Y1896" s="182"/>
      <c r="Z1896" s="182"/>
      <c r="AA1896" s="182"/>
      <c r="AB1896" s="182"/>
      <c r="AC1896" s="182"/>
      <c r="AD1896" s="182"/>
      <c r="AE1896" s="182"/>
      <c r="AF1896" s="182"/>
      <c r="AG1896" s="182"/>
      <c r="AH1896" s="182"/>
      <c r="AI1896" s="182"/>
      <c r="AJ1896" s="182"/>
      <c r="AK1896" s="182"/>
      <c r="AL1896" s="182"/>
      <c r="AM1896" s="182"/>
      <c r="AN1896" s="182"/>
      <c r="AO1896" s="182"/>
      <c r="AP1896" s="182"/>
      <c r="AQ1896" s="182"/>
      <c r="AR1896" s="182"/>
      <c r="AS1896" s="182"/>
      <c r="AT1896" s="182"/>
      <c r="AU1896" s="182"/>
      <c r="AV1896" s="182"/>
      <c r="AW1896" s="182"/>
      <c r="AX1896" s="182"/>
      <c r="AY1896" s="182"/>
      <c r="AZ1896" s="182"/>
      <c r="BA1896" s="182"/>
      <c r="BB1896" s="182"/>
      <c r="BC1896" s="182"/>
      <c r="BD1896" s="182"/>
      <c r="BE1896" s="182"/>
      <c r="BF1896" s="182"/>
      <c r="BG1896" s="182"/>
      <c r="BH1896" s="182"/>
      <c r="BI1896" s="182"/>
      <c r="BJ1896" s="182"/>
      <c r="BK1896" s="182"/>
      <c r="BL1896" s="182"/>
      <c r="BM1896" s="182"/>
      <c r="BN1896" s="182"/>
      <c r="BO1896" s="182"/>
      <c r="BP1896" s="182"/>
      <c r="BQ1896" s="182"/>
      <c r="BR1896" s="182"/>
      <c r="BS1896" s="182"/>
      <c r="BT1896" s="182"/>
      <c r="BU1896" s="182"/>
      <c r="BV1896" s="182"/>
      <c r="BW1896" s="182"/>
      <c r="BX1896" s="182"/>
      <c r="BY1896" s="182"/>
      <c r="BZ1896" s="182"/>
      <c r="CA1896" s="182"/>
      <c r="CB1896" s="182"/>
      <c r="CC1896" s="182"/>
      <c r="CD1896" s="182"/>
      <c r="CE1896" s="182"/>
      <c r="CF1896" s="182"/>
      <c r="CG1896" s="182"/>
      <c r="CH1896" s="182"/>
      <c r="CI1896" s="182"/>
      <c r="CJ1896" s="182"/>
      <c r="CK1896" s="182"/>
      <c r="CL1896" s="182"/>
      <c r="CM1896" s="182"/>
      <c r="CN1896" s="182"/>
      <c r="CO1896" s="182"/>
      <c r="CP1896" s="182"/>
      <c r="CQ1896" s="182"/>
      <c r="CR1896" s="182"/>
      <c r="CS1896" s="182"/>
      <c r="CT1896" s="182"/>
      <c r="CU1896" s="182"/>
      <c r="CV1896" s="182"/>
      <c r="CW1896" s="182"/>
      <c r="CX1896" s="182"/>
      <c r="CY1896" s="182"/>
      <c r="CZ1896" s="182"/>
      <c r="DA1896" s="182"/>
      <c r="DB1896" s="182"/>
      <c r="DC1896" s="182"/>
      <c r="DD1896" s="182"/>
      <c r="DE1896" s="182"/>
      <c r="DF1896" s="182"/>
      <c r="DG1896" s="182"/>
      <c r="DH1896" s="182"/>
      <c r="DI1896" s="182"/>
      <c r="DJ1896" s="182"/>
      <c r="DK1896" s="182"/>
      <c r="DL1896" s="182"/>
      <c r="DM1896" s="182"/>
      <c r="DN1896" s="182"/>
      <c r="DO1896" s="182"/>
      <c r="DP1896" s="182"/>
      <c r="DQ1896" s="182"/>
      <c r="DR1896" s="182"/>
      <c r="DS1896" s="182"/>
      <c r="DT1896" s="182"/>
      <c r="DU1896" s="182"/>
      <c r="DV1896" s="182"/>
      <c r="DW1896" s="182"/>
      <c r="DX1896" s="182"/>
      <c r="DY1896" s="182"/>
      <c r="DZ1896" s="182"/>
      <c r="EA1896" s="182"/>
      <c r="EB1896" s="182"/>
      <c r="EC1896" s="182"/>
      <c r="ED1896" s="182"/>
      <c r="EE1896" s="182"/>
      <c r="EF1896" s="182"/>
      <c r="EG1896" s="182"/>
      <c r="EH1896" s="182"/>
      <c r="EI1896" s="182"/>
      <c r="EJ1896" s="182"/>
      <c r="EK1896" s="182"/>
      <c r="EL1896" s="182"/>
      <c r="EM1896" s="182"/>
      <c r="EN1896" s="182"/>
      <c r="EO1896" s="182"/>
      <c r="EP1896" s="182"/>
      <c r="EQ1896" s="182"/>
      <c r="ER1896" s="182"/>
      <c r="ES1896" s="182"/>
    </row>
    <row r="1897" spans="1:149" s="202" customFormat="1" ht="14.15" hidden="1">
      <c r="A1897" s="222">
        <v>45393</v>
      </c>
      <c r="B1897" s="201" t="s">
        <v>1838</v>
      </c>
      <c r="C1897" s="208" t="s">
        <v>27</v>
      </c>
      <c r="D1897" s="592">
        <v>-1050000</v>
      </c>
      <c r="E1897" s="619">
        <v>45383</v>
      </c>
      <c r="F1897" s="201" t="s">
        <v>109</v>
      </c>
      <c r="G1897" s="208" t="s">
        <v>120</v>
      </c>
      <c r="H1897" s="201"/>
      <c r="I1897" s="201"/>
      <c r="U1897" s="182"/>
      <c r="V1897" s="182"/>
      <c r="W1897" s="182"/>
      <c r="X1897" s="182"/>
      <c r="Y1897" s="182"/>
      <c r="Z1897" s="182"/>
      <c r="AA1897" s="182"/>
      <c r="AB1897" s="182"/>
      <c r="AC1897" s="182"/>
      <c r="AD1897" s="182"/>
      <c r="AE1897" s="182"/>
      <c r="AF1897" s="182"/>
      <c r="AG1897" s="182"/>
      <c r="AH1897" s="182"/>
      <c r="AI1897" s="182"/>
      <c r="AJ1897" s="182"/>
      <c r="AK1897" s="182"/>
      <c r="AL1897" s="182"/>
      <c r="AM1897" s="182"/>
      <c r="AN1897" s="182"/>
      <c r="AO1897" s="182"/>
      <c r="AP1897" s="182"/>
      <c r="AQ1897" s="182"/>
      <c r="AR1897" s="182"/>
      <c r="AS1897" s="182"/>
      <c r="AT1897" s="182"/>
      <c r="AU1897" s="182"/>
      <c r="AV1897" s="182"/>
      <c r="AW1897" s="182"/>
      <c r="AX1897" s="182"/>
      <c r="AY1897" s="182"/>
      <c r="AZ1897" s="182"/>
      <c r="BA1897" s="182"/>
      <c r="BB1897" s="182"/>
      <c r="BC1897" s="182"/>
      <c r="BD1897" s="182"/>
      <c r="BE1897" s="182"/>
      <c r="BF1897" s="182"/>
      <c r="BG1897" s="182"/>
      <c r="BH1897" s="182"/>
      <c r="BI1897" s="182"/>
      <c r="BJ1897" s="182"/>
      <c r="BK1897" s="182"/>
      <c r="BL1897" s="182"/>
      <c r="BM1897" s="182"/>
      <c r="BN1897" s="182"/>
      <c r="BO1897" s="182"/>
      <c r="BP1897" s="182"/>
      <c r="BQ1897" s="182"/>
      <c r="BR1897" s="182"/>
      <c r="BS1897" s="182"/>
      <c r="BT1897" s="182"/>
      <c r="BU1897" s="182"/>
      <c r="BV1897" s="182"/>
      <c r="BW1897" s="182"/>
      <c r="BX1897" s="182"/>
      <c r="BY1897" s="182"/>
      <c r="BZ1897" s="182"/>
      <c r="CA1897" s="182"/>
      <c r="CB1897" s="182"/>
      <c r="CC1897" s="182"/>
      <c r="CD1897" s="182"/>
      <c r="CE1897" s="182"/>
      <c r="CF1897" s="182"/>
      <c r="CG1897" s="182"/>
      <c r="CH1897" s="182"/>
      <c r="CI1897" s="182"/>
      <c r="CJ1897" s="182"/>
      <c r="CK1897" s="182"/>
      <c r="CL1897" s="182"/>
      <c r="CM1897" s="182"/>
      <c r="CN1897" s="182"/>
      <c r="CO1897" s="182"/>
      <c r="CP1897" s="182"/>
      <c r="CQ1897" s="182"/>
      <c r="CR1897" s="182"/>
      <c r="CS1897" s="182"/>
      <c r="CT1897" s="182"/>
      <c r="CU1897" s="182"/>
      <c r="CV1897" s="182"/>
      <c r="CW1897" s="182"/>
      <c r="CX1897" s="182"/>
      <c r="CY1897" s="182"/>
      <c r="CZ1897" s="182"/>
      <c r="DA1897" s="182"/>
      <c r="DB1897" s="182"/>
      <c r="DC1897" s="182"/>
      <c r="DD1897" s="182"/>
      <c r="DE1897" s="182"/>
      <c r="DF1897" s="182"/>
      <c r="DG1897" s="182"/>
      <c r="DH1897" s="182"/>
      <c r="DI1897" s="182"/>
      <c r="DJ1897" s="182"/>
      <c r="DK1897" s="182"/>
      <c r="DL1897" s="182"/>
      <c r="DM1897" s="182"/>
      <c r="DN1897" s="182"/>
      <c r="DO1897" s="182"/>
      <c r="DP1897" s="182"/>
      <c r="DQ1897" s="182"/>
      <c r="DR1897" s="182"/>
      <c r="DS1897" s="182"/>
      <c r="DT1897" s="182"/>
      <c r="DU1897" s="182"/>
      <c r="DV1897" s="182"/>
      <c r="DW1897" s="182"/>
      <c r="DX1897" s="182"/>
      <c r="DY1897" s="182"/>
      <c r="DZ1897" s="182"/>
      <c r="EA1897" s="182"/>
      <c r="EB1897" s="182"/>
      <c r="EC1897" s="182"/>
      <c r="ED1897" s="182"/>
      <c r="EE1897" s="182"/>
      <c r="EF1897" s="182"/>
      <c r="EG1897" s="182"/>
      <c r="EH1897" s="182"/>
      <c r="EI1897" s="182"/>
      <c r="EJ1897" s="182"/>
      <c r="EK1897" s="182"/>
      <c r="EL1897" s="182"/>
      <c r="EM1897" s="182"/>
      <c r="EN1897" s="182"/>
      <c r="EO1897" s="182"/>
      <c r="EP1897" s="182"/>
      <c r="EQ1897" s="182"/>
      <c r="ER1897" s="182"/>
      <c r="ES1897" s="182"/>
    </row>
    <row r="1898" spans="1:149" s="202" customFormat="1" ht="14.15" hidden="1">
      <c r="A1898" s="222">
        <v>45393</v>
      </c>
      <c r="B1898" s="201" t="s">
        <v>1839</v>
      </c>
      <c r="C1898" s="208" t="s">
        <v>27</v>
      </c>
      <c r="D1898" s="592">
        <v>-2250594</v>
      </c>
      <c r="E1898" s="619">
        <v>45383</v>
      </c>
      <c r="F1898" s="84" t="s">
        <v>111</v>
      </c>
      <c r="G1898" s="201"/>
      <c r="H1898" s="201"/>
      <c r="I1898" s="201"/>
      <c r="U1898" s="182"/>
      <c r="V1898" s="182"/>
      <c r="W1898" s="182"/>
      <c r="X1898" s="182"/>
      <c r="Y1898" s="182"/>
      <c r="Z1898" s="182"/>
      <c r="AA1898" s="182"/>
      <c r="AB1898" s="182"/>
      <c r="AC1898" s="182"/>
      <c r="AD1898" s="182"/>
      <c r="AE1898" s="182"/>
      <c r="AF1898" s="182"/>
      <c r="AG1898" s="182"/>
      <c r="AH1898" s="182"/>
      <c r="AI1898" s="182"/>
      <c r="AJ1898" s="182"/>
      <c r="AK1898" s="182"/>
      <c r="AL1898" s="182"/>
      <c r="AM1898" s="182"/>
      <c r="AN1898" s="182"/>
      <c r="AO1898" s="182"/>
      <c r="AP1898" s="182"/>
      <c r="AQ1898" s="182"/>
      <c r="AR1898" s="182"/>
      <c r="AS1898" s="182"/>
      <c r="AT1898" s="182"/>
      <c r="AU1898" s="182"/>
      <c r="AV1898" s="182"/>
      <c r="AW1898" s="182"/>
      <c r="AX1898" s="182"/>
      <c r="AY1898" s="182"/>
      <c r="AZ1898" s="182"/>
      <c r="BA1898" s="182"/>
      <c r="BB1898" s="182"/>
      <c r="BC1898" s="182"/>
      <c r="BD1898" s="182"/>
      <c r="BE1898" s="182"/>
      <c r="BF1898" s="182"/>
      <c r="BG1898" s="182"/>
      <c r="BH1898" s="182"/>
      <c r="BI1898" s="182"/>
      <c r="BJ1898" s="182"/>
      <c r="BK1898" s="182"/>
      <c r="BL1898" s="182"/>
      <c r="BM1898" s="182"/>
      <c r="BN1898" s="182"/>
      <c r="BO1898" s="182"/>
      <c r="BP1898" s="182"/>
      <c r="BQ1898" s="182"/>
      <c r="BR1898" s="182"/>
      <c r="BS1898" s="182"/>
      <c r="BT1898" s="182"/>
      <c r="BU1898" s="182"/>
      <c r="BV1898" s="182"/>
      <c r="BW1898" s="182"/>
      <c r="BX1898" s="182"/>
      <c r="BY1898" s="182"/>
      <c r="BZ1898" s="182"/>
      <c r="CA1898" s="182"/>
      <c r="CB1898" s="182"/>
      <c r="CC1898" s="182"/>
      <c r="CD1898" s="182"/>
      <c r="CE1898" s="182"/>
      <c r="CF1898" s="182"/>
      <c r="CG1898" s="182"/>
      <c r="CH1898" s="182"/>
      <c r="CI1898" s="182"/>
      <c r="CJ1898" s="182"/>
      <c r="CK1898" s="182"/>
      <c r="CL1898" s="182"/>
      <c r="CM1898" s="182"/>
      <c r="CN1898" s="182"/>
      <c r="CO1898" s="182"/>
      <c r="CP1898" s="182"/>
      <c r="CQ1898" s="182"/>
      <c r="CR1898" s="182"/>
      <c r="CS1898" s="182"/>
      <c r="CT1898" s="182"/>
      <c r="CU1898" s="182"/>
      <c r="CV1898" s="182"/>
      <c r="CW1898" s="182"/>
      <c r="CX1898" s="182"/>
      <c r="CY1898" s="182"/>
      <c r="CZ1898" s="182"/>
      <c r="DA1898" s="182"/>
      <c r="DB1898" s="182"/>
      <c r="DC1898" s="182"/>
      <c r="DD1898" s="182"/>
      <c r="DE1898" s="182"/>
      <c r="DF1898" s="182"/>
      <c r="DG1898" s="182"/>
      <c r="DH1898" s="182"/>
      <c r="DI1898" s="182"/>
      <c r="DJ1898" s="182"/>
      <c r="DK1898" s="182"/>
      <c r="DL1898" s="182"/>
      <c r="DM1898" s="182"/>
      <c r="DN1898" s="182"/>
      <c r="DO1898" s="182"/>
      <c r="DP1898" s="182"/>
      <c r="DQ1898" s="182"/>
      <c r="DR1898" s="182"/>
      <c r="DS1898" s="182"/>
      <c r="DT1898" s="182"/>
      <c r="DU1898" s="182"/>
      <c r="DV1898" s="182"/>
      <c r="DW1898" s="182"/>
      <c r="DX1898" s="182"/>
      <c r="DY1898" s="182"/>
      <c r="DZ1898" s="182"/>
      <c r="EA1898" s="182"/>
      <c r="EB1898" s="182"/>
      <c r="EC1898" s="182"/>
      <c r="ED1898" s="182"/>
      <c r="EE1898" s="182"/>
      <c r="EF1898" s="182"/>
      <c r="EG1898" s="182"/>
      <c r="EH1898" s="182"/>
      <c r="EI1898" s="182"/>
      <c r="EJ1898" s="182"/>
      <c r="EK1898" s="182"/>
      <c r="EL1898" s="182"/>
      <c r="EM1898" s="182"/>
      <c r="EN1898" s="182"/>
      <c r="EO1898" s="182"/>
      <c r="EP1898" s="182"/>
      <c r="EQ1898" s="182"/>
      <c r="ER1898" s="182"/>
      <c r="ES1898" s="182"/>
    </row>
    <row r="1899" spans="1:149" s="202" customFormat="1" ht="14.15" hidden="1">
      <c r="A1899" s="222">
        <v>45393</v>
      </c>
      <c r="B1899" s="201" t="s">
        <v>1840</v>
      </c>
      <c r="C1899" s="208" t="s">
        <v>27</v>
      </c>
      <c r="D1899" s="592">
        <v>-3497368</v>
      </c>
      <c r="E1899" s="619">
        <v>45383</v>
      </c>
      <c r="F1899" s="201" t="s">
        <v>110</v>
      </c>
      <c r="G1899" s="81" t="s">
        <v>1621</v>
      </c>
      <c r="H1899" s="208" t="s">
        <v>175</v>
      </c>
      <c r="I1899" s="201"/>
      <c r="U1899" s="182"/>
      <c r="V1899" s="182"/>
      <c r="W1899" s="182"/>
      <c r="X1899" s="182"/>
      <c r="Y1899" s="182"/>
      <c r="Z1899" s="182"/>
      <c r="AA1899" s="182"/>
      <c r="AB1899" s="182"/>
      <c r="AC1899" s="182"/>
      <c r="AD1899" s="182"/>
      <c r="AE1899" s="182"/>
      <c r="AF1899" s="182"/>
      <c r="AG1899" s="182"/>
      <c r="AH1899" s="182"/>
      <c r="AI1899" s="182"/>
      <c r="AJ1899" s="182"/>
      <c r="AK1899" s="182"/>
      <c r="AL1899" s="182"/>
      <c r="AM1899" s="182"/>
      <c r="AN1899" s="182"/>
      <c r="AO1899" s="182"/>
      <c r="AP1899" s="182"/>
      <c r="AQ1899" s="182"/>
      <c r="AR1899" s="182"/>
      <c r="AS1899" s="182"/>
      <c r="AT1899" s="182"/>
      <c r="AU1899" s="182"/>
      <c r="AV1899" s="182"/>
      <c r="AW1899" s="182"/>
      <c r="AX1899" s="182"/>
      <c r="AY1899" s="182"/>
      <c r="AZ1899" s="182"/>
      <c r="BA1899" s="182"/>
      <c r="BB1899" s="182"/>
      <c r="BC1899" s="182"/>
      <c r="BD1899" s="182"/>
      <c r="BE1899" s="182"/>
      <c r="BF1899" s="182"/>
      <c r="BG1899" s="182"/>
      <c r="BH1899" s="182"/>
      <c r="BI1899" s="182"/>
      <c r="BJ1899" s="182"/>
      <c r="BK1899" s="182"/>
      <c r="BL1899" s="182"/>
      <c r="BM1899" s="182"/>
      <c r="BN1899" s="182"/>
      <c r="BO1899" s="182"/>
      <c r="BP1899" s="182"/>
      <c r="BQ1899" s="182"/>
      <c r="BR1899" s="182"/>
      <c r="BS1899" s="182"/>
      <c r="BT1899" s="182"/>
      <c r="BU1899" s="182"/>
      <c r="BV1899" s="182"/>
      <c r="BW1899" s="182"/>
      <c r="BX1899" s="182"/>
      <c r="BY1899" s="182"/>
      <c r="BZ1899" s="182"/>
      <c r="CA1899" s="182"/>
      <c r="CB1899" s="182"/>
      <c r="CC1899" s="182"/>
      <c r="CD1899" s="182"/>
      <c r="CE1899" s="182"/>
      <c r="CF1899" s="182"/>
      <c r="CG1899" s="182"/>
      <c r="CH1899" s="182"/>
      <c r="CI1899" s="182"/>
      <c r="CJ1899" s="182"/>
      <c r="CK1899" s="182"/>
      <c r="CL1899" s="182"/>
      <c r="CM1899" s="182"/>
      <c r="CN1899" s="182"/>
      <c r="CO1899" s="182"/>
      <c r="CP1899" s="182"/>
      <c r="CQ1899" s="182"/>
      <c r="CR1899" s="182"/>
      <c r="CS1899" s="182"/>
      <c r="CT1899" s="182"/>
      <c r="CU1899" s="182"/>
      <c r="CV1899" s="182"/>
      <c r="CW1899" s="182"/>
      <c r="CX1899" s="182"/>
      <c r="CY1899" s="182"/>
      <c r="CZ1899" s="182"/>
      <c r="DA1899" s="182"/>
      <c r="DB1899" s="182"/>
      <c r="DC1899" s="182"/>
      <c r="DD1899" s="182"/>
      <c r="DE1899" s="182"/>
      <c r="DF1899" s="182"/>
      <c r="DG1899" s="182"/>
      <c r="DH1899" s="182"/>
      <c r="DI1899" s="182"/>
      <c r="DJ1899" s="182"/>
      <c r="DK1899" s="182"/>
      <c r="DL1899" s="182"/>
      <c r="DM1899" s="182"/>
      <c r="DN1899" s="182"/>
      <c r="DO1899" s="182"/>
      <c r="DP1899" s="182"/>
      <c r="DQ1899" s="182"/>
      <c r="DR1899" s="182"/>
      <c r="DS1899" s="182"/>
      <c r="DT1899" s="182"/>
      <c r="DU1899" s="182"/>
      <c r="DV1899" s="182"/>
      <c r="DW1899" s="182"/>
      <c r="DX1899" s="182"/>
      <c r="DY1899" s="182"/>
      <c r="DZ1899" s="182"/>
      <c r="EA1899" s="182"/>
      <c r="EB1899" s="182"/>
      <c r="EC1899" s="182"/>
      <c r="ED1899" s="182"/>
      <c r="EE1899" s="182"/>
      <c r="EF1899" s="182"/>
      <c r="EG1899" s="182"/>
      <c r="EH1899" s="182"/>
      <c r="EI1899" s="182"/>
      <c r="EJ1899" s="182"/>
      <c r="EK1899" s="182"/>
      <c r="EL1899" s="182"/>
      <c r="EM1899" s="182"/>
      <c r="EN1899" s="182"/>
      <c r="EO1899" s="182"/>
      <c r="EP1899" s="182"/>
      <c r="EQ1899" s="182"/>
      <c r="ER1899" s="182"/>
      <c r="ES1899" s="182"/>
    </row>
    <row r="1900" spans="1:149" s="202" customFormat="1" ht="14.15" hidden="1">
      <c r="A1900" s="222">
        <v>45393</v>
      </c>
      <c r="B1900" s="201" t="s">
        <v>1619</v>
      </c>
      <c r="C1900" s="208" t="s">
        <v>27</v>
      </c>
      <c r="D1900" s="592">
        <v>-239784</v>
      </c>
      <c r="E1900" s="619">
        <v>45383</v>
      </c>
      <c r="F1900" s="201" t="s">
        <v>130</v>
      </c>
      <c r="G1900" s="201" t="s">
        <v>130</v>
      </c>
      <c r="H1900" s="201" t="s">
        <v>323</v>
      </c>
      <c r="I1900" s="201"/>
      <c r="U1900" s="182"/>
      <c r="V1900" s="182"/>
      <c r="W1900" s="182"/>
      <c r="X1900" s="182"/>
      <c r="Y1900" s="182"/>
      <c r="Z1900" s="182"/>
      <c r="AA1900" s="182"/>
      <c r="AB1900" s="182"/>
      <c r="AC1900" s="182"/>
      <c r="AD1900" s="182"/>
      <c r="AE1900" s="182"/>
      <c r="AF1900" s="182"/>
      <c r="AG1900" s="182"/>
      <c r="AH1900" s="182"/>
      <c r="AI1900" s="182"/>
      <c r="AJ1900" s="182"/>
      <c r="AK1900" s="182"/>
      <c r="AL1900" s="182"/>
      <c r="AM1900" s="182"/>
      <c r="AN1900" s="182"/>
      <c r="AO1900" s="182"/>
      <c r="AP1900" s="182"/>
      <c r="AQ1900" s="182"/>
      <c r="AR1900" s="182"/>
      <c r="AS1900" s="182"/>
      <c r="AT1900" s="182"/>
      <c r="AU1900" s="182"/>
      <c r="AV1900" s="182"/>
      <c r="AW1900" s="182"/>
      <c r="AX1900" s="182"/>
      <c r="AY1900" s="182"/>
      <c r="AZ1900" s="182"/>
      <c r="BA1900" s="182"/>
      <c r="BB1900" s="182"/>
      <c r="BC1900" s="182"/>
      <c r="BD1900" s="182"/>
      <c r="BE1900" s="182"/>
      <c r="BF1900" s="182"/>
      <c r="BG1900" s="182"/>
      <c r="BH1900" s="182"/>
      <c r="BI1900" s="182"/>
      <c r="BJ1900" s="182"/>
      <c r="BK1900" s="182"/>
      <c r="BL1900" s="182"/>
      <c r="BM1900" s="182"/>
      <c r="BN1900" s="182"/>
      <c r="BO1900" s="182"/>
      <c r="BP1900" s="182"/>
      <c r="BQ1900" s="182"/>
      <c r="BR1900" s="182"/>
      <c r="BS1900" s="182"/>
      <c r="BT1900" s="182"/>
      <c r="BU1900" s="182"/>
      <c r="BV1900" s="182"/>
      <c r="BW1900" s="182"/>
      <c r="BX1900" s="182"/>
      <c r="BY1900" s="182"/>
      <c r="BZ1900" s="182"/>
      <c r="CA1900" s="182"/>
      <c r="CB1900" s="182"/>
      <c r="CC1900" s="182"/>
      <c r="CD1900" s="182"/>
      <c r="CE1900" s="182"/>
      <c r="CF1900" s="182"/>
      <c r="CG1900" s="182"/>
      <c r="CH1900" s="182"/>
      <c r="CI1900" s="182"/>
      <c r="CJ1900" s="182"/>
      <c r="CK1900" s="182"/>
      <c r="CL1900" s="182"/>
      <c r="CM1900" s="182"/>
      <c r="CN1900" s="182"/>
      <c r="CO1900" s="182"/>
      <c r="CP1900" s="182"/>
      <c r="CQ1900" s="182"/>
      <c r="CR1900" s="182"/>
      <c r="CS1900" s="182"/>
      <c r="CT1900" s="182"/>
      <c r="CU1900" s="182"/>
      <c r="CV1900" s="182"/>
      <c r="CW1900" s="182"/>
      <c r="CX1900" s="182"/>
      <c r="CY1900" s="182"/>
      <c r="CZ1900" s="182"/>
      <c r="DA1900" s="182"/>
      <c r="DB1900" s="182"/>
      <c r="DC1900" s="182"/>
      <c r="DD1900" s="182"/>
      <c r="DE1900" s="182"/>
      <c r="DF1900" s="182"/>
      <c r="DG1900" s="182"/>
      <c r="DH1900" s="182"/>
      <c r="DI1900" s="182"/>
      <c r="DJ1900" s="182"/>
      <c r="DK1900" s="182"/>
      <c r="DL1900" s="182"/>
      <c r="DM1900" s="182"/>
      <c r="DN1900" s="182"/>
      <c r="DO1900" s="182"/>
      <c r="DP1900" s="182"/>
      <c r="DQ1900" s="182"/>
      <c r="DR1900" s="182"/>
      <c r="DS1900" s="182"/>
      <c r="DT1900" s="182"/>
      <c r="DU1900" s="182"/>
      <c r="DV1900" s="182"/>
      <c r="DW1900" s="182"/>
      <c r="DX1900" s="182"/>
      <c r="DY1900" s="182"/>
      <c r="DZ1900" s="182"/>
      <c r="EA1900" s="182"/>
      <c r="EB1900" s="182"/>
      <c r="EC1900" s="182"/>
      <c r="ED1900" s="182"/>
      <c r="EE1900" s="182"/>
      <c r="EF1900" s="182"/>
      <c r="EG1900" s="182"/>
      <c r="EH1900" s="182"/>
      <c r="EI1900" s="182"/>
      <c r="EJ1900" s="182"/>
      <c r="EK1900" s="182"/>
      <c r="EL1900" s="182"/>
      <c r="EM1900" s="182"/>
      <c r="EN1900" s="182"/>
      <c r="EO1900" s="182"/>
      <c r="EP1900" s="182"/>
      <c r="EQ1900" s="182"/>
      <c r="ER1900" s="182"/>
      <c r="ES1900" s="182"/>
    </row>
    <row r="1901" spans="1:149" s="202" customFormat="1" ht="14.15" hidden="1">
      <c r="A1901" s="222">
        <v>45393</v>
      </c>
      <c r="B1901" s="201" t="s">
        <v>1841</v>
      </c>
      <c r="C1901" s="208" t="s">
        <v>27</v>
      </c>
      <c r="D1901" s="592">
        <v>-1513561</v>
      </c>
      <c r="E1901" s="619">
        <v>45383</v>
      </c>
      <c r="F1901" s="201" t="s">
        <v>110</v>
      </c>
      <c r="G1901" s="81" t="s">
        <v>1621</v>
      </c>
      <c r="H1901" s="208" t="s">
        <v>175</v>
      </c>
      <c r="I1901" s="201"/>
      <c r="U1901" s="182"/>
      <c r="V1901" s="182"/>
      <c r="W1901" s="182"/>
      <c r="X1901" s="182"/>
      <c r="Y1901" s="182"/>
      <c r="Z1901" s="182"/>
      <c r="AA1901" s="182"/>
      <c r="AB1901" s="182"/>
      <c r="AC1901" s="182"/>
      <c r="AD1901" s="182"/>
      <c r="AE1901" s="182"/>
      <c r="AF1901" s="182"/>
      <c r="AG1901" s="182"/>
      <c r="AH1901" s="182"/>
      <c r="AI1901" s="182"/>
      <c r="AJ1901" s="182"/>
      <c r="AK1901" s="182"/>
      <c r="AL1901" s="182"/>
      <c r="AM1901" s="182"/>
      <c r="AN1901" s="182"/>
      <c r="AO1901" s="182"/>
      <c r="AP1901" s="182"/>
      <c r="AQ1901" s="182"/>
      <c r="AR1901" s="182"/>
      <c r="AS1901" s="182"/>
      <c r="AT1901" s="182"/>
      <c r="AU1901" s="182"/>
      <c r="AV1901" s="182"/>
      <c r="AW1901" s="182"/>
      <c r="AX1901" s="182"/>
      <c r="AY1901" s="182"/>
      <c r="AZ1901" s="182"/>
      <c r="BA1901" s="182"/>
      <c r="BB1901" s="182"/>
      <c r="BC1901" s="182"/>
      <c r="BD1901" s="182"/>
      <c r="BE1901" s="182"/>
      <c r="BF1901" s="182"/>
      <c r="BG1901" s="182"/>
      <c r="BH1901" s="182"/>
      <c r="BI1901" s="182"/>
      <c r="BJ1901" s="182"/>
      <c r="BK1901" s="182"/>
      <c r="BL1901" s="182"/>
      <c r="BM1901" s="182"/>
      <c r="BN1901" s="182"/>
      <c r="BO1901" s="182"/>
      <c r="BP1901" s="182"/>
      <c r="BQ1901" s="182"/>
      <c r="BR1901" s="182"/>
      <c r="BS1901" s="182"/>
      <c r="BT1901" s="182"/>
      <c r="BU1901" s="182"/>
      <c r="BV1901" s="182"/>
      <c r="BW1901" s="182"/>
      <c r="BX1901" s="182"/>
      <c r="BY1901" s="182"/>
      <c r="BZ1901" s="182"/>
      <c r="CA1901" s="182"/>
      <c r="CB1901" s="182"/>
      <c r="CC1901" s="182"/>
      <c r="CD1901" s="182"/>
      <c r="CE1901" s="182"/>
      <c r="CF1901" s="182"/>
      <c r="CG1901" s="182"/>
      <c r="CH1901" s="182"/>
      <c r="CI1901" s="182"/>
      <c r="CJ1901" s="182"/>
      <c r="CK1901" s="182"/>
      <c r="CL1901" s="182"/>
      <c r="CM1901" s="182"/>
      <c r="CN1901" s="182"/>
      <c r="CO1901" s="182"/>
      <c r="CP1901" s="182"/>
      <c r="CQ1901" s="182"/>
      <c r="CR1901" s="182"/>
      <c r="CS1901" s="182"/>
      <c r="CT1901" s="182"/>
      <c r="CU1901" s="182"/>
      <c r="CV1901" s="182"/>
      <c r="CW1901" s="182"/>
      <c r="CX1901" s="182"/>
      <c r="CY1901" s="182"/>
      <c r="CZ1901" s="182"/>
      <c r="DA1901" s="182"/>
      <c r="DB1901" s="182"/>
      <c r="DC1901" s="182"/>
      <c r="DD1901" s="182"/>
      <c r="DE1901" s="182"/>
      <c r="DF1901" s="182"/>
      <c r="DG1901" s="182"/>
      <c r="DH1901" s="182"/>
      <c r="DI1901" s="182"/>
      <c r="DJ1901" s="182"/>
      <c r="DK1901" s="182"/>
      <c r="DL1901" s="182"/>
      <c r="DM1901" s="182"/>
      <c r="DN1901" s="182"/>
      <c r="DO1901" s="182"/>
      <c r="DP1901" s="182"/>
      <c r="DQ1901" s="182"/>
      <c r="DR1901" s="182"/>
      <c r="DS1901" s="182"/>
      <c r="DT1901" s="182"/>
      <c r="DU1901" s="182"/>
      <c r="DV1901" s="182"/>
      <c r="DW1901" s="182"/>
      <c r="DX1901" s="182"/>
      <c r="DY1901" s="182"/>
      <c r="DZ1901" s="182"/>
      <c r="EA1901" s="182"/>
      <c r="EB1901" s="182"/>
      <c r="EC1901" s="182"/>
      <c r="ED1901" s="182"/>
      <c r="EE1901" s="182"/>
      <c r="EF1901" s="182"/>
      <c r="EG1901" s="182"/>
      <c r="EH1901" s="182"/>
      <c r="EI1901" s="182"/>
      <c r="EJ1901" s="182"/>
      <c r="EK1901" s="182"/>
      <c r="EL1901" s="182"/>
      <c r="EM1901" s="182"/>
      <c r="EN1901" s="182"/>
      <c r="EO1901" s="182"/>
      <c r="EP1901" s="182"/>
      <c r="EQ1901" s="182"/>
      <c r="ER1901" s="182"/>
      <c r="ES1901" s="182"/>
    </row>
    <row r="1902" spans="1:149" s="202" customFormat="1" ht="14.15" hidden="1">
      <c r="A1902" s="222">
        <v>45393</v>
      </c>
      <c r="B1902" s="201" t="s">
        <v>1842</v>
      </c>
      <c r="C1902" s="208" t="s">
        <v>27</v>
      </c>
      <c r="D1902" s="592">
        <v>-4024000</v>
      </c>
      <c r="E1902" s="619">
        <v>45383</v>
      </c>
      <c r="F1902" s="201" t="s">
        <v>109</v>
      </c>
      <c r="G1902" s="208" t="s">
        <v>120</v>
      </c>
      <c r="H1902" s="208" t="s">
        <v>147</v>
      </c>
      <c r="I1902" s="201"/>
      <c r="U1902" s="182"/>
      <c r="V1902" s="182"/>
      <c r="W1902" s="182"/>
      <c r="X1902" s="182"/>
      <c r="Y1902" s="182"/>
      <c r="Z1902" s="182"/>
      <c r="AA1902" s="182"/>
      <c r="AB1902" s="182"/>
      <c r="AC1902" s="182"/>
      <c r="AD1902" s="182"/>
      <c r="AE1902" s="182"/>
      <c r="AF1902" s="182"/>
      <c r="AG1902" s="182"/>
      <c r="AH1902" s="182"/>
      <c r="AI1902" s="182"/>
      <c r="AJ1902" s="182"/>
      <c r="AK1902" s="182"/>
      <c r="AL1902" s="182"/>
      <c r="AM1902" s="182"/>
      <c r="AN1902" s="182"/>
      <c r="AO1902" s="182"/>
      <c r="AP1902" s="182"/>
      <c r="AQ1902" s="182"/>
      <c r="AR1902" s="182"/>
      <c r="AS1902" s="182"/>
      <c r="AT1902" s="182"/>
      <c r="AU1902" s="182"/>
      <c r="AV1902" s="182"/>
      <c r="AW1902" s="182"/>
      <c r="AX1902" s="182"/>
      <c r="AY1902" s="182"/>
      <c r="AZ1902" s="182"/>
      <c r="BA1902" s="182"/>
      <c r="BB1902" s="182"/>
      <c r="BC1902" s="182"/>
      <c r="BD1902" s="182"/>
      <c r="BE1902" s="182"/>
      <c r="BF1902" s="182"/>
      <c r="BG1902" s="182"/>
      <c r="BH1902" s="182"/>
      <c r="BI1902" s="182"/>
      <c r="BJ1902" s="182"/>
      <c r="BK1902" s="182"/>
      <c r="BL1902" s="182"/>
      <c r="BM1902" s="182"/>
      <c r="BN1902" s="182"/>
      <c r="BO1902" s="182"/>
      <c r="BP1902" s="182"/>
      <c r="BQ1902" s="182"/>
      <c r="BR1902" s="182"/>
      <c r="BS1902" s="182"/>
      <c r="BT1902" s="182"/>
      <c r="BU1902" s="182"/>
      <c r="BV1902" s="182"/>
      <c r="BW1902" s="182"/>
      <c r="BX1902" s="182"/>
      <c r="BY1902" s="182"/>
      <c r="BZ1902" s="182"/>
      <c r="CA1902" s="182"/>
      <c r="CB1902" s="182"/>
      <c r="CC1902" s="182"/>
      <c r="CD1902" s="182"/>
      <c r="CE1902" s="182"/>
      <c r="CF1902" s="182"/>
      <c r="CG1902" s="182"/>
      <c r="CH1902" s="182"/>
      <c r="CI1902" s="182"/>
      <c r="CJ1902" s="182"/>
      <c r="CK1902" s="182"/>
      <c r="CL1902" s="182"/>
      <c r="CM1902" s="182"/>
      <c r="CN1902" s="182"/>
      <c r="CO1902" s="182"/>
      <c r="CP1902" s="182"/>
      <c r="CQ1902" s="182"/>
      <c r="CR1902" s="182"/>
      <c r="CS1902" s="182"/>
      <c r="CT1902" s="182"/>
      <c r="CU1902" s="182"/>
      <c r="CV1902" s="182"/>
      <c r="CW1902" s="182"/>
      <c r="CX1902" s="182"/>
      <c r="CY1902" s="182"/>
      <c r="CZ1902" s="182"/>
      <c r="DA1902" s="182"/>
      <c r="DB1902" s="182"/>
      <c r="DC1902" s="182"/>
      <c r="DD1902" s="182"/>
      <c r="DE1902" s="182"/>
      <c r="DF1902" s="182"/>
      <c r="DG1902" s="182"/>
      <c r="DH1902" s="182"/>
      <c r="DI1902" s="182"/>
      <c r="DJ1902" s="182"/>
      <c r="DK1902" s="182"/>
      <c r="DL1902" s="182"/>
      <c r="DM1902" s="182"/>
      <c r="DN1902" s="182"/>
      <c r="DO1902" s="182"/>
      <c r="DP1902" s="182"/>
      <c r="DQ1902" s="182"/>
      <c r="DR1902" s="182"/>
      <c r="DS1902" s="182"/>
      <c r="DT1902" s="182"/>
      <c r="DU1902" s="182"/>
      <c r="DV1902" s="182"/>
      <c r="DW1902" s="182"/>
      <c r="DX1902" s="182"/>
      <c r="DY1902" s="182"/>
      <c r="DZ1902" s="182"/>
      <c r="EA1902" s="182"/>
      <c r="EB1902" s="182"/>
      <c r="EC1902" s="182"/>
      <c r="ED1902" s="182"/>
      <c r="EE1902" s="182"/>
      <c r="EF1902" s="182"/>
      <c r="EG1902" s="182"/>
      <c r="EH1902" s="182"/>
      <c r="EI1902" s="182"/>
      <c r="EJ1902" s="182"/>
      <c r="EK1902" s="182"/>
      <c r="EL1902" s="182"/>
      <c r="EM1902" s="182"/>
      <c r="EN1902" s="182"/>
      <c r="EO1902" s="182"/>
      <c r="EP1902" s="182"/>
      <c r="EQ1902" s="182"/>
      <c r="ER1902" s="182"/>
      <c r="ES1902" s="182"/>
    </row>
    <row r="1903" spans="1:149" s="202" customFormat="1" ht="14.15" hidden="1">
      <c r="A1903" s="222">
        <v>45393</v>
      </c>
      <c r="B1903" s="201" t="s">
        <v>1174</v>
      </c>
      <c r="C1903" s="208" t="s">
        <v>27</v>
      </c>
      <c r="D1903" s="592">
        <v>-1300000</v>
      </c>
      <c r="E1903" s="619">
        <v>45383</v>
      </c>
      <c r="F1903" s="201" t="s">
        <v>130</v>
      </c>
      <c r="G1903" s="614" t="s">
        <v>130</v>
      </c>
      <c r="H1903" s="201" t="s">
        <v>184</v>
      </c>
      <c r="I1903" s="201"/>
      <c r="U1903" s="182"/>
      <c r="V1903" s="182"/>
      <c r="W1903" s="182"/>
      <c r="X1903" s="182"/>
      <c r="Y1903" s="182"/>
      <c r="Z1903" s="182"/>
      <c r="AA1903" s="182"/>
      <c r="AB1903" s="182"/>
      <c r="AC1903" s="182"/>
      <c r="AD1903" s="182"/>
      <c r="AE1903" s="182"/>
      <c r="AF1903" s="182"/>
      <c r="AG1903" s="182"/>
      <c r="AH1903" s="182"/>
      <c r="AI1903" s="182"/>
      <c r="AJ1903" s="182"/>
      <c r="AK1903" s="182"/>
      <c r="AL1903" s="182"/>
      <c r="AM1903" s="182"/>
      <c r="AN1903" s="182"/>
      <c r="AO1903" s="182"/>
      <c r="AP1903" s="182"/>
      <c r="AQ1903" s="182"/>
      <c r="AR1903" s="182"/>
      <c r="AS1903" s="182"/>
      <c r="AT1903" s="182"/>
      <c r="AU1903" s="182"/>
      <c r="AV1903" s="182"/>
      <c r="AW1903" s="182"/>
      <c r="AX1903" s="182"/>
      <c r="AY1903" s="182"/>
      <c r="AZ1903" s="182"/>
      <c r="BA1903" s="182"/>
      <c r="BB1903" s="182"/>
      <c r="BC1903" s="182"/>
      <c r="BD1903" s="182"/>
      <c r="BE1903" s="182"/>
      <c r="BF1903" s="182"/>
      <c r="BG1903" s="182"/>
      <c r="BH1903" s="182"/>
      <c r="BI1903" s="182"/>
      <c r="BJ1903" s="182"/>
      <c r="BK1903" s="182"/>
      <c r="BL1903" s="182"/>
      <c r="BM1903" s="182"/>
      <c r="BN1903" s="182"/>
      <c r="BO1903" s="182"/>
      <c r="BP1903" s="182"/>
      <c r="BQ1903" s="182"/>
      <c r="BR1903" s="182"/>
      <c r="BS1903" s="182"/>
      <c r="BT1903" s="182"/>
      <c r="BU1903" s="182"/>
      <c r="BV1903" s="182"/>
      <c r="BW1903" s="182"/>
      <c r="BX1903" s="182"/>
      <c r="BY1903" s="182"/>
      <c r="BZ1903" s="182"/>
      <c r="CA1903" s="182"/>
      <c r="CB1903" s="182"/>
      <c r="CC1903" s="182"/>
      <c r="CD1903" s="182"/>
      <c r="CE1903" s="182"/>
      <c r="CF1903" s="182"/>
      <c r="CG1903" s="182"/>
      <c r="CH1903" s="182"/>
      <c r="CI1903" s="182"/>
      <c r="CJ1903" s="182"/>
      <c r="CK1903" s="182"/>
      <c r="CL1903" s="182"/>
      <c r="CM1903" s="182"/>
      <c r="CN1903" s="182"/>
      <c r="CO1903" s="182"/>
      <c r="CP1903" s="182"/>
      <c r="CQ1903" s="182"/>
      <c r="CR1903" s="182"/>
      <c r="CS1903" s="182"/>
      <c r="CT1903" s="182"/>
      <c r="CU1903" s="182"/>
      <c r="CV1903" s="182"/>
      <c r="CW1903" s="182"/>
      <c r="CX1903" s="182"/>
      <c r="CY1903" s="182"/>
      <c r="CZ1903" s="182"/>
      <c r="DA1903" s="182"/>
      <c r="DB1903" s="182"/>
      <c r="DC1903" s="182"/>
      <c r="DD1903" s="182"/>
      <c r="DE1903" s="182"/>
      <c r="DF1903" s="182"/>
      <c r="DG1903" s="182"/>
      <c r="DH1903" s="182"/>
      <c r="DI1903" s="182"/>
      <c r="DJ1903" s="182"/>
      <c r="DK1903" s="182"/>
      <c r="DL1903" s="182"/>
      <c r="DM1903" s="182"/>
      <c r="DN1903" s="182"/>
      <c r="DO1903" s="182"/>
      <c r="DP1903" s="182"/>
      <c r="DQ1903" s="182"/>
      <c r="DR1903" s="182"/>
      <c r="DS1903" s="182"/>
      <c r="DT1903" s="182"/>
      <c r="DU1903" s="182"/>
      <c r="DV1903" s="182"/>
      <c r="DW1903" s="182"/>
      <c r="DX1903" s="182"/>
      <c r="DY1903" s="182"/>
      <c r="DZ1903" s="182"/>
      <c r="EA1903" s="182"/>
      <c r="EB1903" s="182"/>
      <c r="EC1903" s="182"/>
      <c r="ED1903" s="182"/>
      <c r="EE1903" s="182"/>
      <c r="EF1903" s="182"/>
      <c r="EG1903" s="182"/>
      <c r="EH1903" s="182"/>
      <c r="EI1903" s="182"/>
      <c r="EJ1903" s="182"/>
      <c r="EK1903" s="182"/>
      <c r="EL1903" s="182"/>
      <c r="EM1903" s="182"/>
      <c r="EN1903" s="182"/>
      <c r="EO1903" s="182"/>
      <c r="EP1903" s="182"/>
      <c r="EQ1903" s="182"/>
      <c r="ER1903" s="182"/>
      <c r="ES1903" s="182"/>
    </row>
    <row r="1904" spans="1:149" s="202" customFormat="1" ht="14.15" hidden="1">
      <c r="A1904" s="222">
        <v>45393</v>
      </c>
      <c r="B1904" s="201" t="s">
        <v>1843</v>
      </c>
      <c r="C1904" s="208" t="s">
        <v>27</v>
      </c>
      <c r="D1904" s="592">
        <v>-1265000</v>
      </c>
      <c r="E1904" s="619">
        <v>45383</v>
      </c>
      <c r="F1904" s="201" t="s">
        <v>109</v>
      </c>
      <c r="G1904" s="201" t="s">
        <v>918</v>
      </c>
      <c r="H1904" s="208" t="s">
        <v>147</v>
      </c>
      <c r="I1904" s="201"/>
      <c r="U1904" s="182"/>
      <c r="V1904" s="182"/>
      <c r="W1904" s="182"/>
      <c r="X1904" s="182"/>
      <c r="Y1904" s="182"/>
      <c r="Z1904" s="182"/>
      <c r="AA1904" s="182"/>
      <c r="AB1904" s="182"/>
      <c r="AC1904" s="182"/>
      <c r="AD1904" s="182"/>
      <c r="AE1904" s="182"/>
      <c r="AF1904" s="182"/>
      <c r="AG1904" s="182"/>
      <c r="AH1904" s="182"/>
      <c r="AI1904" s="182"/>
      <c r="AJ1904" s="182"/>
      <c r="AK1904" s="182"/>
      <c r="AL1904" s="182"/>
      <c r="AM1904" s="182"/>
      <c r="AN1904" s="182"/>
      <c r="AO1904" s="182"/>
      <c r="AP1904" s="182"/>
      <c r="AQ1904" s="182"/>
      <c r="AR1904" s="182"/>
      <c r="AS1904" s="182"/>
      <c r="AT1904" s="182"/>
      <c r="AU1904" s="182"/>
      <c r="AV1904" s="182"/>
      <c r="AW1904" s="182"/>
      <c r="AX1904" s="182"/>
      <c r="AY1904" s="182"/>
      <c r="AZ1904" s="182"/>
      <c r="BA1904" s="182"/>
      <c r="BB1904" s="182"/>
      <c r="BC1904" s="182"/>
      <c r="BD1904" s="182"/>
      <c r="BE1904" s="182"/>
      <c r="BF1904" s="182"/>
      <c r="BG1904" s="182"/>
      <c r="BH1904" s="182"/>
      <c r="BI1904" s="182"/>
      <c r="BJ1904" s="182"/>
      <c r="BK1904" s="182"/>
      <c r="BL1904" s="182"/>
      <c r="BM1904" s="182"/>
      <c r="BN1904" s="182"/>
      <c r="BO1904" s="182"/>
      <c r="BP1904" s="182"/>
      <c r="BQ1904" s="182"/>
      <c r="BR1904" s="182"/>
      <c r="BS1904" s="182"/>
      <c r="BT1904" s="182"/>
      <c r="BU1904" s="182"/>
      <c r="BV1904" s="182"/>
      <c r="BW1904" s="182"/>
      <c r="BX1904" s="182"/>
      <c r="BY1904" s="182"/>
      <c r="BZ1904" s="182"/>
      <c r="CA1904" s="182"/>
      <c r="CB1904" s="182"/>
      <c r="CC1904" s="182"/>
      <c r="CD1904" s="182"/>
      <c r="CE1904" s="182"/>
      <c r="CF1904" s="182"/>
      <c r="CG1904" s="182"/>
      <c r="CH1904" s="182"/>
      <c r="CI1904" s="182"/>
      <c r="CJ1904" s="182"/>
      <c r="CK1904" s="182"/>
      <c r="CL1904" s="182"/>
      <c r="CM1904" s="182"/>
      <c r="CN1904" s="182"/>
      <c r="CO1904" s="182"/>
      <c r="CP1904" s="182"/>
      <c r="CQ1904" s="182"/>
      <c r="CR1904" s="182"/>
      <c r="CS1904" s="182"/>
      <c r="CT1904" s="182"/>
      <c r="CU1904" s="182"/>
      <c r="CV1904" s="182"/>
      <c r="CW1904" s="182"/>
      <c r="CX1904" s="182"/>
      <c r="CY1904" s="182"/>
      <c r="CZ1904" s="182"/>
      <c r="DA1904" s="182"/>
      <c r="DB1904" s="182"/>
      <c r="DC1904" s="182"/>
      <c r="DD1904" s="182"/>
      <c r="DE1904" s="182"/>
      <c r="DF1904" s="182"/>
      <c r="DG1904" s="182"/>
      <c r="DH1904" s="182"/>
      <c r="DI1904" s="182"/>
      <c r="DJ1904" s="182"/>
      <c r="DK1904" s="182"/>
      <c r="DL1904" s="182"/>
      <c r="DM1904" s="182"/>
      <c r="DN1904" s="182"/>
      <c r="DO1904" s="182"/>
      <c r="DP1904" s="182"/>
      <c r="DQ1904" s="182"/>
      <c r="DR1904" s="182"/>
      <c r="DS1904" s="182"/>
      <c r="DT1904" s="182"/>
      <c r="DU1904" s="182"/>
      <c r="DV1904" s="182"/>
      <c r="DW1904" s="182"/>
      <c r="DX1904" s="182"/>
      <c r="DY1904" s="182"/>
      <c r="DZ1904" s="182"/>
      <c r="EA1904" s="182"/>
      <c r="EB1904" s="182"/>
      <c r="EC1904" s="182"/>
      <c r="ED1904" s="182"/>
      <c r="EE1904" s="182"/>
      <c r="EF1904" s="182"/>
      <c r="EG1904" s="182"/>
      <c r="EH1904" s="182"/>
      <c r="EI1904" s="182"/>
      <c r="EJ1904" s="182"/>
      <c r="EK1904" s="182"/>
      <c r="EL1904" s="182"/>
      <c r="EM1904" s="182"/>
      <c r="EN1904" s="182"/>
      <c r="EO1904" s="182"/>
      <c r="EP1904" s="182"/>
      <c r="EQ1904" s="182"/>
      <c r="ER1904" s="182"/>
      <c r="ES1904" s="182"/>
    </row>
    <row r="1905" spans="1:149" s="202" customFormat="1" ht="14.15" hidden="1">
      <c r="A1905" s="222">
        <v>45397</v>
      </c>
      <c r="B1905" s="201" t="s">
        <v>1844</v>
      </c>
      <c r="C1905" s="208" t="s">
        <v>27</v>
      </c>
      <c r="D1905" s="592">
        <v>-1240000</v>
      </c>
      <c r="E1905" s="619">
        <v>45383</v>
      </c>
      <c r="F1905" s="201" t="s">
        <v>109</v>
      </c>
      <c r="G1905" s="208" t="s">
        <v>120</v>
      </c>
      <c r="H1905" s="208" t="s">
        <v>175</v>
      </c>
      <c r="I1905" s="201"/>
      <c r="U1905" s="182"/>
      <c r="V1905" s="182"/>
      <c r="W1905" s="182"/>
      <c r="X1905" s="182"/>
      <c r="Y1905" s="182"/>
      <c r="Z1905" s="182"/>
      <c r="AA1905" s="182"/>
      <c r="AB1905" s="182"/>
      <c r="AC1905" s="182"/>
      <c r="AD1905" s="182"/>
      <c r="AE1905" s="182"/>
      <c r="AF1905" s="182"/>
      <c r="AG1905" s="182"/>
      <c r="AH1905" s="182"/>
      <c r="AI1905" s="182"/>
      <c r="AJ1905" s="182"/>
      <c r="AK1905" s="182"/>
      <c r="AL1905" s="182"/>
      <c r="AM1905" s="182"/>
      <c r="AN1905" s="182"/>
      <c r="AO1905" s="182"/>
      <c r="AP1905" s="182"/>
      <c r="AQ1905" s="182"/>
      <c r="AR1905" s="182"/>
      <c r="AS1905" s="182"/>
      <c r="AT1905" s="182"/>
      <c r="AU1905" s="182"/>
      <c r="AV1905" s="182"/>
      <c r="AW1905" s="182"/>
      <c r="AX1905" s="182"/>
      <c r="AY1905" s="182"/>
      <c r="AZ1905" s="182"/>
      <c r="BA1905" s="182"/>
      <c r="BB1905" s="182"/>
      <c r="BC1905" s="182"/>
      <c r="BD1905" s="182"/>
      <c r="BE1905" s="182"/>
      <c r="BF1905" s="182"/>
      <c r="BG1905" s="182"/>
      <c r="BH1905" s="182"/>
      <c r="BI1905" s="182"/>
      <c r="BJ1905" s="182"/>
      <c r="BK1905" s="182"/>
      <c r="BL1905" s="182"/>
      <c r="BM1905" s="182"/>
      <c r="BN1905" s="182"/>
      <c r="BO1905" s="182"/>
      <c r="BP1905" s="182"/>
      <c r="BQ1905" s="182"/>
      <c r="BR1905" s="182"/>
      <c r="BS1905" s="182"/>
      <c r="BT1905" s="182"/>
      <c r="BU1905" s="182"/>
      <c r="BV1905" s="182"/>
      <c r="BW1905" s="182"/>
      <c r="BX1905" s="182"/>
      <c r="BY1905" s="182"/>
      <c r="BZ1905" s="182"/>
      <c r="CA1905" s="182"/>
      <c r="CB1905" s="182"/>
      <c r="CC1905" s="182"/>
      <c r="CD1905" s="182"/>
      <c r="CE1905" s="182"/>
      <c r="CF1905" s="182"/>
      <c r="CG1905" s="182"/>
      <c r="CH1905" s="182"/>
      <c r="CI1905" s="182"/>
      <c r="CJ1905" s="182"/>
      <c r="CK1905" s="182"/>
      <c r="CL1905" s="182"/>
      <c r="CM1905" s="182"/>
      <c r="CN1905" s="182"/>
      <c r="CO1905" s="182"/>
      <c r="CP1905" s="182"/>
      <c r="CQ1905" s="182"/>
      <c r="CR1905" s="182"/>
      <c r="CS1905" s="182"/>
      <c r="CT1905" s="182"/>
      <c r="CU1905" s="182"/>
      <c r="CV1905" s="182"/>
      <c r="CW1905" s="182"/>
      <c r="CX1905" s="182"/>
      <c r="CY1905" s="182"/>
      <c r="CZ1905" s="182"/>
      <c r="DA1905" s="182"/>
      <c r="DB1905" s="182"/>
      <c r="DC1905" s="182"/>
      <c r="DD1905" s="182"/>
      <c r="DE1905" s="182"/>
      <c r="DF1905" s="182"/>
      <c r="DG1905" s="182"/>
      <c r="DH1905" s="182"/>
      <c r="DI1905" s="182"/>
      <c r="DJ1905" s="182"/>
      <c r="DK1905" s="182"/>
      <c r="DL1905" s="182"/>
      <c r="DM1905" s="182"/>
      <c r="DN1905" s="182"/>
      <c r="DO1905" s="182"/>
      <c r="DP1905" s="182"/>
      <c r="DQ1905" s="182"/>
      <c r="DR1905" s="182"/>
      <c r="DS1905" s="182"/>
      <c r="DT1905" s="182"/>
      <c r="DU1905" s="182"/>
      <c r="DV1905" s="182"/>
      <c r="DW1905" s="182"/>
      <c r="DX1905" s="182"/>
      <c r="DY1905" s="182"/>
      <c r="DZ1905" s="182"/>
      <c r="EA1905" s="182"/>
      <c r="EB1905" s="182"/>
      <c r="EC1905" s="182"/>
      <c r="ED1905" s="182"/>
      <c r="EE1905" s="182"/>
      <c r="EF1905" s="182"/>
      <c r="EG1905" s="182"/>
      <c r="EH1905" s="182"/>
      <c r="EI1905" s="182"/>
      <c r="EJ1905" s="182"/>
      <c r="EK1905" s="182"/>
      <c r="EL1905" s="182"/>
      <c r="EM1905" s="182"/>
      <c r="EN1905" s="182"/>
      <c r="EO1905" s="182"/>
      <c r="EP1905" s="182"/>
      <c r="EQ1905" s="182"/>
      <c r="ER1905" s="182"/>
      <c r="ES1905" s="182"/>
    </row>
    <row r="1906" spans="1:149" s="202" customFormat="1" ht="14.15" hidden="1">
      <c r="A1906" s="222">
        <v>45397</v>
      </c>
      <c r="B1906" s="201" t="s">
        <v>1845</v>
      </c>
      <c r="C1906" s="208" t="s">
        <v>27</v>
      </c>
      <c r="D1906" s="592">
        <v>-2010000</v>
      </c>
      <c r="E1906" s="619">
        <v>45383</v>
      </c>
      <c r="F1906" s="201" t="s">
        <v>109</v>
      </c>
      <c r="G1906" s="208" t="s">
        <v>120</v>
      </c>
      <c r="H1906" s="208" t="s">
        <v>147</v>
      </c>
      <c r="I1906" s="201"/>
      <c r="U1906" s="182"/>
      <c r="V1906" s="182"/>
      <c r="W1906" s="182"/>
      <c r="X1906" s="182"/>
      <c r="Y1906" s="182"/>
      <c r="Z1906" s="182"/>
      <c r="AA1906" s="182"/>
      <c r="AB1906" s="182"/>
      <c r="AC1906" s="182"/>
      <c r="AD1906" s="182"/>
      <c r="AE1906" s="182"/>
      <c r="AF1906" s="182"/>
      <c r="AG1906" s="182"/>
      <c r="AH1906" s="182"/>
      <c r="AI1906" s="182"/>
      <c r="AJ1906" s="182"/>
      <c r="AK1906" s="182"/>
      <c r="AL1906" s="182"/>
      <c r="AM1906" s="182"/>
      <c r="AN1906" s="182"/>
      <c r="AO1906" s="182"/>
      <c r="AP1906" s="182"/>
      <c r="AQ1906" s="182"/>
      <c r="AR1906" s="182"/>
      <c r="AS1906" s="182"/>
      <c r="AT1906" s="182"/>
      <c r="AU1906" s="182"/>
      <c r="AV1906" s="182"/>
      <c r="AW1906" s="182"/>
      <c r="AX1906" s="182"/>
      <c r="AY1906" s="182"/>
      <c r="AZ1906" s="182"/>
      <c r="BA1906" s="182"/>
      <c r="BB1906" s="182"/>
      <c r="BC1906" s="182"/>
      <c r="BD1906" s="182"/>
      <c r="BE1906" s="182"/>
      <c r="BF1906" s="182"/>
      <c r="BG1906" s="182"/>
      <c r="BH1906" s="182"/>
      <c r="BI1906" s="182"/>
      <c r="BJ1906" s="182"/>
      <c r="BK1906" s="182"/>
      <c r="BL1906" s="182"/>
      <c r="BM1906" s="182"/>
      <c r="BN1906" s="182"/>
      <c r="BO1906" s="182"/>
      <c r="BP1906" s="182"/>
      <c r="BQ1906" s="182"/>
      <c r="BR1906" s="182"/>
      <c r="BS1906" s="182"/>
      <c r="BT1906" s="182"/>
      <c r="BU1906" s="182"/>
      <c r="BV1906" s="182"/>
      <c r="BW1906" s="182"/>
      <c r="BX1906" s="182"/>
      <c r="BY1906" s="182"/>
      <c r="BZ1906" s="182"/>
      <c r="CA1906" s="182"/>
      <c r="CB1906" s="182"/>
      <c r="CC1906" s="182"/>
      <c r="CD1906" s="182"/>
      <c r="CE1906" s="182"/>
      <c r="CF1906" s="182"/>
      <c r="CG1906" s="182"/>
      <c r="CH1906" s="182"/>
      <c r="CI1906" s="182"/>
      <c r="CJ1906" s="182"/>
      <c r="CK1906" s="182"/>
      <c r="CL1906" s="182"/>
      <c r="CM1906" s="182"/>
      <c r="CN1906" s="182"/>
      <c r="CO1906" s="182"/>
      <c r="CP1906" s="182"/>
      <c r="CQ1906" s="182"/>
      <c r="CR1906" s="182"/>
      <c r="CS1906" s="182"/>
      <c r="CT1906" s="182"/>
      <c r="CU1906" s="182"/>
      <c r="CV1906" s="182"/>
      <c r="CW1906" s="182"/>
      <c r="CX1906" s="182"/>
      <c r="CY1906" s="182"/>
      <c r="CZ1906" s="182"/>
      <c r="DA1906" s="182"/>
      <c r="DB1906" s="182"/>
      <c r="DC1906" s="182"/>
      <c r="DD1906" s="182"/>
      <c r="DE1906" s="182"/>
      <c r="DF1906" s="182"/>
      <c r="DG1906" s="182"/>
      <c r="DH1906" s="182"/>
      <c r="DI1906" s="182"/>
      <c r="DJ1906" s="182"/>
      <c r="DK1906" s="182"/>
      <c r="DL1906" s="182"/>
      <c r="DM1906" s="182"/>
      <c r="DN1906" s="182"/>
      <c r="DO1906" s="182"/>
      <c r="DP1906" s="182"/>
      <c r="DQ1906" s="182"/>
      <c r="DR1906" s="182"/>
      <c r="DS1906" s="182"/>
      <c r="DT1906" s="182"/>
      <c r="DU1906" s="182"/>
      <c r="DV1906" s="182"/>
      <c r="DW1906" s="182"/>
      <c r="DX1906" s="182"/>
      <c r="DY1906" s="182"/>
      <c r="DZ1906" s="182"/>
      <c r="EA1906" s="182"/>
      <c r="EB1906" s="182"/>
      <c r="EC1906" s="182"/>
      <c r="ED1906" s="182"/>
      <c r="EE1906" s="182"/>
      <c r="EF1906" s="182"/>
      <c r="EG1906" s="182"/>
      <c r="EH1906" s="182"/>
      <c r="EI1906" s="182"/>
      <c r="EJ1906" s="182"/>
      <c r="EK1906" s="182"/>
      <c r="EL1906" s="182"/>
      <c r="EM1906" s="182"/>
      <c r="EN1906" s="182"/>
      <c r="EO1906" s="182"/>
      <c r="EP1906" s="182"/>
      <c r="EQ1906" s="182"/>
      <c r="ER1906" s="182"/>
      <c r="ES1906" s="182"/>
    </row>
    <row r="1907" spans="1:149" s="202" customFormat="1" ht="14.15" hidden="1">
      <c r="A1907" s="222">
        <v>45397</v>
      </c>
      <c r="B1907" s="201" t="s">
        <v>1846</v>
      </c>
      <c r="C1907" s="208" t="s">
        <v>27</v>
      </c>
      <c r="D1907" s="592">
        <v>-2322000</v>
      </c>
      <c r="E1907" s="619">
        <v>45383</v>
      </c>
      <c r="F1907" s="201" t="s">
        <v>110</v>
      </c>
      <c r="G1907" s="208" t="s">
        <v>453</v>
      </c>
      <c r="H1907" s="201" t="s">
        <v>631</v>
      </c>
      <c r="I1907" s="201"/>
      <c r="U1907" s="182"/>
      <c r="V1907" s="182"/>
      <c r="W1907" s="182"/>
      <c r="X1907" s="182"/>
      <c r="Y1907" s="182"/>
      <c r="Z1907" s="182"/>
      <c r="AA1907" s="182"/>
      <c r="AB1907" s="182"/>
      <c r="AC1907" s="182"/>
      <c r="AD1907" s="182"/>
      <c r="AE1907" s="182"/>
      <c r="AF1907" s="182"/>
      <c r="AG1907" s="182"/>
      <c r="AH1907" s="182"/>
      <c r="AI1907" s="182"/>
      <c r="AJ1907" s="182"/>
      <c r="AK1907" s="182"/>
      <c r="AL1907" s="182"/>
      <c r="AM1907" s="182"/>
      <c r="AN1907" s="182"/>
      <c r="AO1907" s="182"/>
      <c r="AP1907" s="182"/>
      <c r="AQ1907" s="182"/>
      <c r="AR1907" s="182"/>
      <c r="AS1907" s="182"/>
      <c r="AT1907" s="182"/>
      <c r="AU1907" s="182"/>
      <c r="AV1907" s="182"/>
      <c r="AW1907" s="182"/>
      <c r="AX1907" s="182"/>
      <c r="AY1907" s="182"/>
      <c r="AZ1907" s="182"/>
      <c r="BA1907" s="182"/>
      <c r="BB1907" s="182"/>
      <c r="BC1907" s="182"/>
      <c r="BD1907" s="182"/>
      <c r="BE1907" s="182"/>
      <c r="BF1907" s="182"/>
      <c r="BG1907" s="182"/>
      <c r="BH1907" s="182"/>
      <c r="BI1907" s="182"/>
      <c r="BJ1907" s="182"/>
      <c r="BK1907" s="182"/>
      <c r="BL1907" s="182"/>
      <c r="BM1907" s="182"/>
      <c r="BN1907" s="182"/>
      <c r="BO1907" s="182"/>
      <c r="BP1907" s="182"/>
      <c r="BQ1907" s="182"/>
      <c r="BR1907" s="182"/>
      <c r="BS1907" s="182"/>
      <c r="BT1907" s="182"/>
      <c r="BU1907" s="182"/>
      <c r="BV1907" s="182"/>
      <c r="BW1907" s="182"/>
      <c r="BX1907" s="182"/>
      <c r="BY1907" s="182"/>
      <c r="BZ1907" s="182"/>
      <c r="CA1907" s="182"/>
      <c r="CB1907" s="182"/>
      <c r="CC1907" s="182"/>
      <c r="CD1907" s="182"/>
      <c r="CE1907" s="182"/>
      <c r="CF1907" s="182"/>
      <c r="CG1907" s="182"/>
      <c r="CH1907" s="182"/>
      <c r="CI1907" s="182"/>
      <c r="CJ1907" s="182"/>
      <c r="CK1907" s="182"/>
      <c r="CL1907" s="182"/>
      <c r="CM1907" s="182"/>
      <c r="CN1907" s="182"/>
      <c r="CO1907" s="182"/>
      <c r="CP1907" s="182"/>
      <c r="CQ1907" s="182"/>
      <c r="CR1907" s="182"/>
      <c r="CS1907" s="182"/>
      <c r="CT1907" s="182"/>
      <c r="CU1907" s="182"/>
      <c r="CV1907" s="182"/>
      <c r="CW1907" s="182"/>
      <c r="CX1907" s="182"/>
      <c r="CY1907" s="182"/>
      <c r="CZ1907" s="182"/>
      <c r="DA1907" s="182"/>
      <c r="DB1907" s="182"/>
      <c r="DC1907" s="182"/>
      <c r="DD1907" s="182"/>
      <c r="DE1907" s="182"/>
      <c r="DF1907" s="182"/>
      <c r="DG1907" s="182"/>
      <c r="DH1907" s="182"/>
      <c r="DI1907" s="182"/>
      <c r="DJ1907" s="182"/>
      <c r="DK1907" s="182"/>
      <c r="DL1907" s="182"/>
      <c r="DM1907" s="182"/>
      <c r="DN1907" s="182"/>
      <c r="DO1907" s="182"/>
      <c r="DP1907" s="182"/>
      <c r="DQ1907" s="182"/>
      <c r="DR1907" s="182"/>
      <c r="DS1907" s="182"/>
      <c r="DT1907" s="182"/>
      <c r="DU1907" s="182"/>
      <c r="DV1907" s="182"/>
      <c r="DW1907" s="182"/>
      <c r="DX1907" s="182"/>
      <c r="DY1907" s="182"/>
      <c r="DZ1907" s="182"/>
      <c r="EA1907" s="182"/>
      <c r="EB1907" s="182"/>
      <c r="EC1907" s="182"/>
      <c r="ED1907" s="182"/>
      <c r="EE1907" s="182"/>
      <c r="EF1907" s="182"/>
      <c r="EG1907" s="182"/>
      <c r="EH1907" s="182"/>
      <c r="EI1907" s="182"/>
      <c r="EJ1907" s="182"/>
      <c r="EK1907" s="182"/>
      <c r="EL1907" s="182"/>
      <c r="EM1907" s="182"/>
      <c r="EN1907" s="182"/>
      <c r="EO1907" s="182"/>
      <c r="EP1907" s="182"/>
      <c r="EQ1907" s="182"/>
      <c r="ER1907" s="182"/>
      <c r="ES1907" s="182"/>
    </row>
    <row r="1908" spans="1:149" s="202" customFormat="1" ht="14.15" hidden="1">
      <c r="A1908" s="222">
        <v>45397</v>
      </c>
      <c r="B1908" s="201" t="s">
        <v>1847</v>
      </c>
      <c r="C1908" s="208" t="s">
        <v>27</v>
      </c>
      <c r="D1908" s="592">
        <v>-3891728</v>
      </c>
      <c r="E1908" s="619">
        <v>45383</v>
      </c>
      <c r="F1908" s="201" t="s">
        <v>110</v>
      </c>
      <c r="G1908" s="81" t="s">
        <v>1621</v>
      </c>
      <c r="H1908" s="201" t="s">
        <v>418</v>
      </c>
      <c r="I1908" s="201"/>
      <c r="U1908" s="182"/>
      <c r="V1908" s="182"/>
      <c r="W1908" s="182"/>
      <c r="X1908" s="182"/>
      <c r="Y1908" s="182"/>
      <c r="Z1908" s="182"/>
      <c r="AA1908" s="182"/>
      <c r="AB1908" s="182"/>
      <c r="AC1908" s="182"/>
      <c r="AD1908" s="182"/>
      <c r="AE1908" s="182"/>
      <c r="AF1908" s="182"/>
      <c r="AG1908" s="182"/>
      <c r="AH1908" s="182"/>
      <c r="AI1908" s="182"/>
      <c r="AJ1908" s="182"/>
      <c r="AK1908" s="182"/>
      <c r="AL1908" s="182"/>
      <c r="AM1908" s="182"/>
      <c r="AN1908" s="182"/>
      <c r="AO1908" s="182"/>
      <c r="AP1908" s="182"/>
      <c r="AQ1908" s="182"/>
      <c r="AR1908" s="182"/>
      <c r="AS1908" s="182"/>
      <c r="AT1908" s="182"/>
      <c r="AU1908" s="182"/>
      <c r="AV1908" s="182"/>
      <c r="AW1908" s="182"/>
      <c r="AX1908" s="182"/>
      <c r="AY1908" s="182"/>
      <c r="AZ1908" s="182"/>
      <c r="BA1908" s="182"/>
      <c r="BB1908" s="182"/>
      <c r="BC1908" s="182"/>
      <c r="BD1908" s="182"/>
      <c r="BE1908" s="182"/>
      <c r="BF1908" s="182"/>
      <c r="BG1908" s="182"/>
      <c r="BH1908" s="182"/>
      <c r="BI1908" s="182"/>
      <c r="BJ1908" s="182"/>
      <c r="BK1908" s="182"/>
      <c r="BL1908" s="182"/>
      <c r="BM1908" s="182"/>
      <c r="BN1908" s="182"/>
      <c r="BO1908" s="182"/>
      <c r="BP1908" s="182"/>
      <c r="BQ1908" s="182"/>
      <c r="BR1908" s="182"/>
      <c r="BS1908" s="182"/>
      <c r="BT1908" s="182"/>
      <c r="BU1908" s="182"/>
      <c r="BV1908" s="182"/>
      <c r="BW1908" s="182"/>
      <c r="BX1908" s="182"/>
      <c r="BY1908" s="182"/>
      <c r="BZ1908" s="182"/>
      <c r="CA1908" s="182"/>
      <c r="CB1908" s="182"/>
      <c r="CC1908" s="182"/>
      <c r="CD1908" s="182"/>
      <c r="CE1908" s="182"/>
      <c r="CF1908" s="182"/>
      <c r="CG1908" s="182"/>
      <c r="CH1908" s="182"/>
      <c r="CI1908" s="182"/>
      <c r="CJ1908" s="182"/>
      <c r="CK1908" s="182"/>
      <c r="CL1908" s="182"/>
      <c r="CM1908" s="182"/>
      <c r="CN1908" s="182"/>
      <c r="CO1908" s="182"/>
      <c r="CP1908" s="182"/>
      <c r="CQ1908" s="182"/>
      <c r="CR1908" s="182"/>
      <c r="CS1908" s="182"/>
      <c r="CT1908" s="182"/>
      <c r="CU1908" s="182"/>
      <c r="CV1908" s="182"/>
      <c r="CW1908" s="182"/>
      <c r="CX1908" s="182"/>
      <c r="CY1908" s="182"/>
      <c r="CZ1908" s="182"/>
      <c r="DA1908" s="182"/>
      <c r="DB1908" s="182"/>
      <c r="DC1908" s="182"/>
      <c r="DD1908" s="182"/>
      <c r="DE1908" s="182"/>
      <c r="DF1908" s="182"/>
      <c r="DG1908" s="182"/>
      <c r="DH1908" s="182"/>
      <c r="DI1908" s="182"/>
      <c r="DJ1908" s="182"/>
      <c r="DK1908" s="182"/>
      <c r="DL1908" s="182"/>
      <c r="DM1908" s="182"/>
      <c r="DN1908" s="182"/>
      <c r="DO1908" s="182"/>
      <c r="DP1908" s="182"/>
      <c r="DQ1908" s="182"/>
      <c r="DR1908" s="182"/>
      <c r="DS1908" s="182"/>
      <c r="DT1908" s="182"/>
      <c r="DU1908" s="182"/>
      <c r="DV1908" s="182"/>
      <c r="DW1908" s="182"/>
      <c r="DX1908" s="182"/>
      <c r="DY1908" s="182"/>
      <c r="DZ1908" s="182"/>
      <c r="EA1908" s="182"/>
      <c r="EB1908" s="182"/>
      <c r="EC1908" s="182"/>
      <c r="ED1908" s="182"/>
      <c r="EE1908" s="182"/>
      <c r="EF1908" s="182"/>
      <c r="EG1908" s="182"/>
      <c r="EH1908" s="182"/>
      <c r="EI1908" s="182"/>
      <c r="EJ1908" s="182"/>
      <c r="EK1908" s="182"/>
      <c r="EL1908" s="182"/>
      <c r="EM1908" s="182"/>
      <c r="EN1908" s="182"/>
      <c r="EO1908" s="182"/>
      <c r="EP1908" s="182"/>
      <c r="EQ1908" s="182"/>
      <c r="ER1908" s="182"/>
      <c r="ES1908" s="182"/>
    </row>
    <row r="1909" spans="1:149" s="202" customFormat="1" ht="14.15" hidden="1">
      <c r="A1909" s="222">
        <v>45397</v>
      </c>
      <c r="B1909" s="201" t="s">
        <v>1848</v>
      </c>
      <c r="C1909" s="208" t="s">
        <v>27</v>
      </c>
      <c r="D1909" s="592">
        <v>-630671</v>
      </c>
      <c r="E1909" s="619">
        <v>45383</v>
      </c>
      <c r="F1909" s="201" t="s">
        <v>110</v>
      </c>
      <c r="G1909" s="208" t="s">
        <v>450</v>
      </c>
      <c r="H1909" s="201" t="s">
        <v>585</v>
      </c>
      <c r="I1909" s="201"/>
      <c r="U1909" s="182"/>
      <c r="V1909" s="182"/>
      <c r="W1909" s="182"/>
      <c r="X1909" s="182"/>
      <c r="Y1909" s="182"/>
      <c r="Z1909" s="182"/>
      <c r="AA1909" s="182"/>
      <c r="AB1909" s="182"/>
      <c r="AC1909" s="182"/>
      <c r="AD1909" s="182"/>
      <c r="AE1909" s="182"/>
      <c r="AF1909" s="182"/>
      <c r="AG1909" s="182"/>
      <c r="AH1909" s="182"/>
      <c r="AI1909" s="182"/>
      <c r="AJ1909" s="182"/>
      <c r="AK1909" s="182"/>
      <c r="AL1909" s="182"/>
      <c r="AM1909" s="182"/>
      <c r="AN1909" s="182"/>
      <c r="AO1909" s="182"/>
      <c r="AP1909" s="182"/>
      <c r="AQ1909" s="182"/>
      <c r="AR1909" s="182"/>
      <c r="AS1909" s="182"/>
      <c r="AT1909" s="182"/>
      <c r="AU1909" s="182"/>
      <c r="AV1909" s="182"/>
      <c r="AW1909" s="182"/>
      <c r="AX1909" s="182"/>
      <c r="AY1909" s="182"/>
      <c r="AZ1909" s="182"/>
      <c r="BA1909" s="182"/>
      <c r="BB1909" s="182"/>
      <c r="BC1909" s="182"/>
      <c r="BD1909" s="182"/>
      <c r="BE1909" s="182"/>
      <c r="BF1909" s="182"/>
      <c r="BG1909" s="182"/>
      <c r="BH1909" s="182"/>
      <c r="BI1909" s="182"/>
      <c r="BJ1909" s="182"/>
      <c r="BK1909" s="182"/>
      <c r="BL1909" s="182"/>
      <c r="BM1909" s="182"/>
      <c r="BN1909" s="182"/>
      <c r="BO1909" s="182"/>
      <c r="BP1909" s="182"/>
      <c r="BQ1909" s="182"/>
      <c r="BR1909" s="182"/>
      <c r="BS1909" s="182"/>
      <c r="BT1909" s="182"/>
      <c r="BU1909" s="182"/>
      <c r="BV1909" s="182"/>
      <c r="BW1909" s="182"/>
      <c r="BX1909" s="182"/>
      <c r="BY1909" s="182"/>
      <c r="BZ1909" s="182"/>
      <c r="CA1909" s="182"/>
      <c r="CB1909" s="182"/>
      <c r="CC1909" s="182"/>
      <c r="CD1909" s="182"/>
      <c r="CE1909" s="182"/>
      <c r="CF1909" s="182"/>
      <c r="CG1909" s="182"/>
      <c r="CH1909" s="182"/>
      <c r="CI1909" s="182"/>
      <c r="CJ1909" s="182"/>
      <c r="CK1909" s="182"/>
      <c r="CL1909" s="182"/>
      <c r="CM1909" s="182"/>
      <c r="CN1909" s="182"/>
      <c r="CO1909" s="182"/>
      <c r="CP1909" s="182"/>
      <c r="CQ1909" s="182"/>
      <c r="CR1909" s="182"/>
      <c r="CS1909" s="182"/>
      <c r="CT1909" s="182"/>
      <c r="CU1909" s="182"/>
      <c r="CV1909" s="182"/>
      <c r="CW1909" s="182"/>
      <c r="CX1909" s="182"/>
      <c r="CY1909" s="182"/>
      <c r="CZ1909" s="182"/>
      <c r="DA1909" s="182"/>
      <c r="DB1909" s="182"/>
      <c r="DC1909" s="182"/>
      <c r="DD1909" s="182"/>
      <c r="DE1909" s="182"/>
      <c r="DF1909" s="182"/>
      <c r="DG1909" s="182"/>
      <c r="DH1909" s="182"/>
      <c r="DI1909" s="182"/>
      <c r="DJ1909" s="182"/>
      <c r="DK1909" s="182"/>
      <c r="DL1909" s="182"/>
      <c r="DM1909" s="182"/>
      <c r="DN1909" s="182"/>
      <c r="DO1909" s="182"/>
      <c r="DP1909" s="182"/>
      <c r="DQ1909" s="182"/>
      <c r="DR1909" s="182"/>
      <c r="DS1909" s="182"/>
      <c r="DT1909" s="182"/>
      <c r="DU1909" s="182"/>
      <c r="DV1909" s="182"/>
      <c r="DW1909" s="182"/>
      <c r="DX1909" s="182"/>
      <c r="DY1909" s="182"/>
      <c r="DZ1909" s="182"/>
      <c r="EA1909" s="182"/>
      <c r="EB1909" s="182"/>
      <c r="EC1909" s="182"/>
      <c r="ED1909" s="182"/>
      <c r="EE1909" s="182"/>
      <c r="EF1909" s="182"/>
      <c r="EG1909" s="182"/>
      <c r="EH1909" s="182"/>
      <c r="EI1909" s="182"/>
      <c r="EJ1909" s="182"/>
      <c r="EK1909" s="182"/>
      <c r="EL1909" s="182"/>
      <c r="EM1909" s="182"/>
      <c r="EN1909" s="182"/>
      <c r="EO1909" s="182"/>
      <c r="EP1909" s="182"/>
      <c r="EQ1909" s="182"/>
      <c r="ER1909" s="182"/>
      <c r="ES1909" s="182"/>
    </row>
    <row r="1910" spans="1:149" s="202" customFormat="1" ht="14.15" hidden="1">
      <c r="A1910" s="222">
        <v>45397</v>
      </c>
      <c r="B1910" s="201" t="s">
        <v>1849</v>
      </c>
      <c r="C1910" s="208" t="s">
        <v>27</v>
      </c>
      <c r="D1910" s="592">
        <v>-20900</v>
      </c>
      <c r="E1910" s="619">
        <v>45383</v>
      </c>
      <c r="F1910" s="201" t="s">
        <v>109</v>
      </c>
      <c r="G1910" s="208" t="s">
        <v>120</v>
      </c>
      <c r="H1910" s="201"/>
      <c r="I1910" s="201"/>
      <c r="U1910" s="182"/>
      <c r="V1910" s="182"/>
      <c r="W1910" s="182"/>
      <c r="X1910" s="182"/>
      <c r="Y1910" s="182"/>
      <c r="Z1910" s="182"/>
      <c r="AA1910" s="182"/>
      <c r="AB1910" s="182"/>
      <c r="AC1910" s="182"/>
      <c r="AD1910" s="182"/>
      <c r="AE1910" s="182"/>
      <c r="AF1910" s="182"/>
      <c r="AG1910" s="182"/>
      <c r="AH1910" s="182"/>
      <c r="AI1910" s="182"/>
      <c r="AJ1910" s="182"/>
      <c r="AK1910" s="182"/>
      <c r="AL1910" s="182"/>
      <c r="AM1910" s="182"/>
      <c r="AN1910" s="182"/>
      <c r="AO1910" s="182"/>
      <c r="AP1910" s="182"/>
      <c r="AQ1910" s="182"/>
      <c r="AR1910" s="182"/>
      <c r="AS1910" s="182"/>
      <c r="AT1910" s="182"/>
      <c r="AU1910" s="182"/>
      <c r="AV1910" s="182"/>
      <c r="AW1910" s="182"/>
      <c r="AX1910" s="182"/>
      <c r="AY1910" s="182"/>
      <c r="AZ1910" s="182"/>
      <c r="BA1910" s="182"/>
      <c r="BB1910" s="182"/>
      <c r="BC1910" s="182"/>
      <c r="BD1910" s="182"/>
      <c r="BE1910" s="182"/>
      <c r="BF1910" s="182"/>
      <c r="BG1910" s="182"/>
      <c r="BH1910" s="182"/>
      <c r="BI1910" s="182"/>
      <c r="BJ1910" s="182"/>
      <c r="BK1910" s="182"/>
      <c r="BL1910" s="182"/>
      <c r="BM1910" s="182"/>
      <c r="BN1910" s="182"/>
      <c r="BO1910" s="182"/>
      <c r="BP1910" s="182"/>
      <c r="BQ1910" s="182"/>
      <c r="BR1910" s="182"/>
      <c r="BS1910" s="182"/>
      <c r="BT1910" s="182"/>
      <c r="BU1910" s="182"/>
      <c r="BV1910" s="182"/>
      <c r="BW1910" s="182"/>
      <c r="BX1910" s="182"/>
      <c r="BY1910" s="182"/>
      <c r="BZ1910" s="182"/>
      <c r="CA1910" s="182"/>
      <c r="CB1910" s="182"/>
      <c r="CC1910" s="182"/>
      <c r="CD1910" s="182"/>
      <c r="CE1910" s="182"/>
      <c r="CF1910" s="182"/>
      <c r="CG1910" s="182"/>
      <c r="CH1910" s="182"/>
      <c r="CI1910" s="182"/>
      <c r="CJ1910" s="182"/>
      <c r="CK1910" s="182"/>
      <c r="CL1910" s="182"/>
      <c r="CM1910" s="182"/>
      <c r="CN1910" s="182"/>
      <c r="CO1910" s="182"/>
      <c r="CP1910" s="182"/>
      <c r="CQ1910" s="182"/>
      <c r="CR1910" s="182"/>
      <c r="CS1910" s="182"/>
      <c r="CT1910" s="182"/>
      <c r="CU1910" s="182"/>
      <c r="CV1910" s="182"/>
      <c r="CW1910" s="182"/>
      <c r="CX1910" s="182"/>
      <c r="CY1910" s="182"/>
      <c r="CZ1910" s="182"/>
      <c r="DA1910" s="182"/>
      <c r="DB1910" s="182"/>
      <c r="DC1910" s="182"/>
      <c r="DD1910" s="182"/>
      <c r="DE1910" s="182"/>
      <c r="DF1910" s="182"/>
      <c r="DG1910" s="182"/>
      <c r="DH1910" s="182"/>
      <c r="DI1910" s="182"/>
      <c r="DJ1910" s="182"/>
      <c r="DK1910" s="182"/>
      <c r="DL1910" s="182"/>
      <c r="DM1910" s="182"/>
      <c r="DN1910" s="182"/>
      <c r="DO1910" s="182"/>
      <c r="DP1910" s="182"/>
      <c r="DQ1910" s="182"/>
      <c r="DR1910" s="182"/>
      <c r="DS1910" s="182"/>
      <c r="DT1910" s="182"/>
      <c r="DU1910" s="182"/>
      <c r="DV1910" s="182"/>
      <c r="DW1910" s="182"/>
      <c r="DX1910" s="182"/>
      <c r="DY1910" s="182"/>
      <c r="DZ1910" s="182"/>
      <c r="EA1910" s="182"/>
      <c r="EB1910" s="182"/>
      <c r="EC1910" s="182"/>
      <c r="ED1910" s="182"/>
      <c r="EE1910" s="182"/>
      <c r="EF1910" s="182"/>
      <c r="EG1910" s="182"/>
      <c r="EH1910" s="182"/>
      <c r="EI1910" s="182"/>
      <c r="EJ1910" s="182"/>
      <c r="EK1910" s="182"/>
      <c r="EL1910" s="182"/>
      <c r="EM1910" s="182"/>
      <c r="EN1910" s="182"/>
      <c r="EO1910" s="182"/>
      <c r="EP1910" s="182"/>
      <c r="EQ1910" s="182"/>
      <c r="ER1910" s="182"/>
      <c r="ES1910" s="182"/>
    </row>
    <row r="1911" spans="1:149" s="202" customFormat="1" ht="14.15" hidden="1">
      <c r="A1911" s="222">
        <v>45397</v>
      </c>
      <c r="B1911" s="201" t="s">
        <v>1850</v>
      </c>
      <c r="C1911" s="208" t="s">
        <v>27</v>
      </c>
      <c r="D1911" s="592">
        <v>-427610</v>
      </c>
      <c r="E1911" s="619">
        <v>45383</v>
      </c>
      <c r="F1911" s="208" t="s">
        <v>109</v>
      </c>
      <c r="G1911" s="208" t="s">
        <v>317</v>
      </c>
      <c r="H1911" s="81" t="s">
        <v>138</v>
      </c>
      <c r="I1911" s="201"/>
      <c r="U1911" s="182"/>
      <c r="V1911" s="182"/>
      <c r="W1911" s="182"/>
      <c r="X1911" s="182"/>
      <c r="Y1911" s="182"/>
      <c r="Z1911" s="182"/>
      <c r="AA1911" s="182"/>
      <c r="AB1911" s="182"/>
      <c r="AC1911" s="182"/>
      <c r="AD1911" s="182"/>
      <c r="AE1911" s="182"/>
      <c r="AF1911" s="182"/>
      <c r="AG1911" s="182"/>
      <c r="AH1911" s="182"/>
      <c r="AI1911" s="182"/>
      <c r="AJ1911" s="182"/>
      <c r="AK1911" s="182"/>
      <c r="AL1911" s="182"/>
      <c r="AM1911" s="182"/>
      <c r="AN1911" s="182"/>
      <c r="AO1911" s="182"/>
      <c r="AP1911" s="182"/>
      <c r="AQ1911" s="182"/>
      <c r="AR1911" s="182"/>
      <c r="AS1911" s="182"/>
      <c r="AT1911" s="182"/>
      <c r="AU1911" s="182"/>
      <c r="AV1911" s="182"/>
      <c r="AW1911" s="182"/>
      <c r="AX1911" s="182"/>
      <c r="AY1911" s="182"/>
      <c r="AZ1911" s="182"/>
      <c r="BA1911" s="182"/>
      <c r="BB1911" s="182"/>
      <c r="BC1911" s="182"/>
      <c r="BD1911" s="182"/>
      <c r="BE1911" s="182"/>
      <c r="BF1911" s="182"/>
      <c r="BG1911" s="182"/>
      <c r="BH1911" s="182"/>
      <c r="BI1911" s="182"/>
      <c r="BJ1911" s="182"/>
      <c r="BK1911" s="182"/>
      <c r="BL1911" s="182"/>
      <c r="BM1911" s="182"/>
      <c r="BN1911" s="182"/>
      <c r="BO1911" s="182"/>
      <c r="BP1911" s="182"/>
      <c r="BQ1911" s="182"/>
      <c r="BR1911" s="182"/>
      <c r="BS1911" s="182"/>
      <c r="BT1911" s="182"/>
      <c r="BU1911" s="182"/>
      <c r="BV1911" s="182"/>
      <c r="BW1911" s="182"/>
      <c r="BX1911" s="182"/>
      <c r="BY1911" s="182"/>
      <c r="BZ1911" s="182"/>
      <c r="CA1911" s="182"/>
      <c r="CB1911" s="182"/>
      <c r="CC1911" s="182"/>
      <c r="CD1911" s="182"/>
      <c r="CE1911" s="182"/>
      <c r="CF1911" s="182"/>
      <c r="CG1911" s="182"/>
      <c r="CH1911" s="182"/>
      <c r="CI1911" s="182"/>
      <c r="CJ1911" s="182"/>
      <c r="CK1911" s="182"/>
      <c r="CL1911" s="182"/>
      <c r="CM1911" s="182"/>
      <c r="CN1911" s="182"/>
      <c r="CO1911" s="182"/>
      <c r="CP1911" s="182"/>
      <c r="CQ1911" s="182"/>
      <c r="CR1911" s="182"/>
      <c r="CS1911" s="182"/>
      <c r="CT1911" s="182"/>
      <c r="CU1911" s="182"/>
      <c r="CV1911" s="182"/>
      <c r="CW1911" s="182"/>
      <c r="CX1911" s="182"/>
      <c r="CY1911" s="182"/>
      <c r="CZ1911" s="182"/>
      <c r="DA1911" s="182"/>
      <c r="DB1911" s="182"/>
      <c r="DC1911" s="182"/>
      <c r="DD1911" s="182"/>
      <c r="DE1911" s="182"/>
      <c r="DF1911" s="182"/>
      <c r="DG1911" s="182"/>
      <c r="DH1911" s="182"/>
      <c r="DI1911" s="182"/>
      <c r="DJ1911" s="182"/>
      <c r="DK1911" s="182"/>
      <c r="DL1911" s="182"/>
      <c r="DM1911" s="182"/>
      <c r="DN1911" s="182"/>
      <c r="DO1911" s="182"/>
      <c r="DP1911" s="182"/>
      <c r="DQ1911" s="182"/>
      <c r="DR1911" s="182"/>
      <c r="DS1911" s="182"/>
      <c r="DT1911" s="182"/>
      <c r="DU1911" s="182"/>
      <c r="DV1911" s="182"/>
      <c r="DW1911" s="182"/>
      <c r="DX1911" s="182"/>
      <c r="DY1911" s="182"/>
      <c r="DZ1911" s="182"/>
      <c r="EA1911" s="182"/>
      <c r="EB1911" s="182"/>
      <c r="EC1911" s="182"/>
      <c r="ED1911" s="182"/>
      <c r="EE1911" s="182"/>
      <c r="EF1911" s="182"/>
      <c r="EG1911" s="182"/>
      <c r="EH1911" s="182"/>
      <c r="EI1911" s="182"/>
      <c r="EJ1911" s="182"/>
      <c r="EK1911" s="182"/>
      <c r="EL1911" s="182"/>
      <c r="EM1911" s="182"/>
      <c r="EN1911" s="182"/>
      <c r="EO1911" s="182"/>
      <c r="EP1911" s="182"/>
      <c r="EQ1911" s="182"/>
      <c r="ER1911" s="182"/>
      <c r="ES1911" s="182"/>
    </row>
    <row r="1912" spans="1:149" s="202" customFormat="1" ht="14.15" hidden="1">
      <c r="A1912" s="222">
        <v>45398</v>
      </c>
      <c r="B1912" s="201" t="s">
        <v>1482</v>
      </c>
      <c r="C1912" s="208" t="s">
        <v>27</v>
      </c>
      <c r="D1912" s="592">
        <v>-4953400</v>
      </c>
      <c r="E1912" s="619">
        <v>45383</v>
      </c>
      <c r="F1912" s="201" t="s">
        <v>130</v>
      </c>
      <c r="G1912" s="201" t="s">
        <v>130</v>
      </c>
      <c r="H1912" s="201" t="s">
        <v>1175</v>
      </c>
      <c r="I1912" s="201"/>
    </row>
    <row r="1913" spans="1:149" s="202" customFormat="1" ht="14.15" hidden="1">
      <c r="A1913" s="222">
        <v>45398</v>
      </c>
      <c r="B1913" s="201" t="s">
        <v>1482</v>
      </c>
      <c r="C1913" s="208" t="s">
        <v>27</v>
      </c>
      <c r="D1913" s="592">
        <v>-2855060</v>
      </c>
      <c r="E1913" s="619">
        <v>45383</v>
      </c>
      <c r="F1913" s="201" t="s">
        <v>110</v>
      </c>
      <c r="G1913" s="208" t="s">
        <v>450</v>
      </c>
      <c r="H1913" s="208" t="s">
        <v>147</v>
      </c>
      <c r="I1913" s="201"/>
    </row>
    <row r="1914" spans="1:149" s="202" customFormat="1" ht="14.15" hidden="1">
      <c r="A1914" s="222">
        <v>45398</v>
      </c>
      <c r="B1914" s="201" t="s">
        <v>1851</v>
      </c>
      <c r="C1914" s="208" t="s">
        <v>27</v>
      </c>
      <c r="D1914" s="592">
        <v>-762496</v>
      </c>
      <c r="E1914" s="619">
        <v>45383</v>
      </c>
      <c r="F1914" s="201" t="s">
        <v>109</v>
      </c>
      <c r="G1914" s="201" t="s">
        <v>918</v>
      </c>
      <c r="H1914" s="208" t="s">
        <v>175</v>
      </c>
      <c r="I1914" s="201"/>
    </row>
    <row r="1915" spans="1:149" s="202" customFormat="1" ht="14.15" hidden="1">
      <c r="A1915" s="222">
        <v>45398</v>
      </c>
      <c r="B1915" s="201" t="s">
        <v>1852</v>
      </c>
      <c r="C1915" s="208" t="s">
        <v>27</v>
      </c>
      <c r="D1915" s="592">
        <v>-100000</v>
      </c>
      <c r="E1915" s="619">
        <v>45383</v>
      </c>
      <c r="F1915" s="201" t="s">
        <v>130</v>
      </c>
      <c r="G1915" s="201" t="s">
        <v>257</v>
      </c>
      <c r="H1915" s="201" t="s">
        <v>663</v>
      </c>
      <c r="I1915" s="201"/>
    </row>
    <row r="1916" spans="1:149" s="202" customFormat="1" ht="14.15" hidden="1">
      <c r="A1916" s="222">
        <v>45399</v>
      </c>
      <c r="B1916" s="201" t="s">
        <v>1853</v>
      </c>
      <c r="C1916" s="208" t="s">
        <v>27</v>
      </c>
      <c r="D1916" s="592">
        <v>-883766</v>
      </c>
      <c r="E1916" s="619">
        <v>45383</v>
      </c>
      <c r="F1916" s="201" t="s">
        <v>109</v>
      </c>
      <c r="G1916" s="208" t="s">
        <v>120</v>
      </c>
      <c r="H1916" s="208" t="s">
        <v>175</v>
      </c>
      <c r="I1916" s="201"/>
    </row>
    <row r="1917" spans="1:149" s="202" customFormat="1" ht="14.15" hidden="1">
      <c r="A1917" s="222">
        <v>45399</v>
      </c>
      <c r="B1917" s="201" t="s">
        <v>1854</v>
      </c>
      <c r="C1917" s="208" t="s">
        <v>27</v>
      </c>
      <c r="D1917" s="592">
        <v>-250000</v>
      </c>
      <c r="E1917" s="619">
        <v>45383</v>
      </c>
      <c r="F1917" s="201" t="s">
        <v>109</v>
      </c>
      <c r="G1917" s="208" t="s">
        <v>120</v>
      </c>
      <c r="H1917" s="81" t="s">
        <v>138</v>
      </c>
      <c r="I1917" s="201"/>
    </row>
    <row r="1918" spans="1:149" s="202" customFormat="1" ht="14.15" hidden="1">
      <c r="A1918" s="222">
        <v>45392</v>
      </c>
      <c r="B1918" s="201" t="s">
        <v>1855</v>
      </c>
      <c r="C1918" s="208" t="s">
        <v>146</v>
      </c>
      <c r="D1918" s="592">
        <v>-46000</v>
      </c>
      <c r="E1918" s="619">
        <v>45383</v>
      </c>
      <c r="F1918" s="201" t="s">
        <v>109</v>
      </c>
      <c r="G1918" s="208" t="s">
        <v>120</v>
      </c>
      <c r="H1918" s="208" t="s">
        <v>175</v>
      </c>
      <c r="I1918" s="201" t="s">
        <v>1347</v>
      </c>
    </row>
    <row r="1919" spans="1:149" s="202" customFormat="1" ht="14.15" hidden="1">
      <c r="A1919" s="222">
        <v>45392</v>
      </c>
      <c r="B1919" s="201" t="s">
        <v>1856</v>
      </c>
      <c r="C1919" s="208" t="s">
        <v>146</v>
      </c>
      <c r="D1919" s="592">
        <v>-126000</v>
      </c>
      <c r="E1919" s="619">
        <v>45383</v>
      </c>
      <c r="F1919" s="201" t="s">
        <v>109</v>
      </c>
      <c r="G1919" s="208" t="s">
        <v>120</v>
      </c>
      <c r="H1919" s="208" t="s">
        <v>175</v>
      </c>
      <c r="I1919" s="201" t="s">
        <v>1347</v>
      </c>
    </row>
    <row r="1920" spans="1:149" s="202" customFormat="1" ht="14.15" hidden="1">
      <c r="A1920" s="222">
        <v>45392</v>
      </c>
      <c r="B1920" s="201" t="s">
        <v>1857</v>
      </c>
      <c r="C1920" s="208" t="s">
        <v>146</v>
      </c>
      <c r="D1920" s="592">
        <v>-30000</v>
      </c>
      <c r="E1920" s="619">
        <v>45383</v>
      </c>
      <c r="F1920" s="201" t="s">
        <v>109</v>
      </c>
      <c r="G1920" s="208" t="s">
        <v>120</v>
      </c>
      <c r="H1920" s="208" t="s">
        <v>147</v>
      </c>
      <c r="I1920" s="201" t="s">
        <v>1347</v>
      </c>
    </row>
    <row r="1921" spans="1:9" s="202" customFormat="1" ht="14.15" hidden="1">
      <c r="A1921" s="222">
        <v>45393</v>
      </c>
      <c r="B1921" s="201" t="s">
        <v>1858</v>
      </c>
      <c r="C1921" s="208" t="s">
        <v>146</v>
      </c>
      <c r="D1921" s="592">
        <v>-248000</v>
      </c>
      <c r="E1921" s="619">
        <v>45383</v>
      </c>
      <c r="F1921" s="201" t="s">
        <v>109</v>
      </c>
      <c r="G1921" s="208" t="s">
        <v>120</v>
      </c>
      <c r="H1921" s="208" t="s">
        <v>175</v>
      </c>
      <c r="I1921" s="201" t="s">
        <v>1347</v>
      </c>
    </row>
    <row r="1922" spans="1:9" s="202" customFormat="1" ht="14.15" hidden="1">
      <c r="A1922" s="222">
        <v>45393</v>
      </c>
      <c r="B1922" s="201" t="s">
        <v>1859</v>
      </c>
      <c r="C1922" s="208" t="s">
        <v>146</v>
      </c>
      <c r="D1922" s="592">
        <v>-30000</v>
      </c>
      <c r="E1922" s="619">
        <v>45383</v>
      </c>
      <c r="F1922" s="201" t="s">
        <v>109</v>
      </c>
      <c r="G1922" s="208" t="s">
        <v>120</v>
      </c>
      <c r="H1922" s="208" t="s">
        <v>147</v>
      </c>
      <c r="I1922" s="201" t="s">
        <v>1347</v>
      </c>
    </row>
    <row r="1923" spans="1:9" s="202" customFormat="1" ht="14.15" hidden="1">
      <c r="A1923" s="222">
        <v>45394</v>
      </c>
      <c r="B1923" s="201" t="s">
        <v>1860</v>
      </c>
      <c r="C1923" s="208" t="s">
        <v>146</v>
      </c>
      <c r="D1923" s="592">
        <v>-46000</v>
      </c>
      <c r="E1923" s="619">
        <v>45383</v>
      </c>
      <c r="F1923" s="201" t="s">
        <v>109</v>
      </c>
      <c r="G1923" s="208" t="s">
        <v>120</v>
      </c>
      <c r="H1923" s="201"/>
      <c r="I1923" s="201" t="s">
        <v>1347</v>
      </c>
    </row>
    <row r="1924" spans="1:9" s="202" customFormat="1" ht="14.15" hidden="1">
      <c r="A1924" s="222">
        <v>45394</v>
      </c>
      <c r="B1924" s="201" t="s">
        <v>1861</v>
      </c>
      <c r="C1924" s="208" t="s">
        <v>146</v>
      </c>
      <c r="D1924" s="592">
        <v>-40000</v>
      </c>
      <c r="E1924" s="619">
        <v>45383</v>
      </c>
      <c r="F1924" s="201" t="s">
        <v>109</v>
      </c>
      <c r="G1924" s="208" t="s">
        <v>120</v>
      </c>
      <c r="H1924" s="81" t="s">
        <v>138</v>
      </c>
      <c r="I1924" s="201" t="s">
        <v>1347</v>
      </c>
    </row>
    <row r="1925" spans="1:9" s="202" customFormat="1" ht="14.15" hidden="1">
      <c r="A1925" s="222">
        <v>45395</v>
      </c>
      <c r="B1925" s="201" t="s">
        <v>1862</v>
      </c>
      <c r="C1925" s="208" t="s">
        <v>146</v>
      </c>
      <c r="D1925" s="592">
        <v>-110000</v>
      </c>
      <c r="E1925" s="619">
        <v>45383</v>
      </c>
      <c r="F1925" s="201" t="s">
        <v>109</v>
      </c>
      <c r="G1925" s="208" t="s">
        <v>120</v>
      </c>
      <c r="H1925" s="201"/>
      <c r="I1925" s="201" t="s">
        <v>1347</v>
      </c>
    </row>
    <row r="1926" spans="1:9" s="202" customFormat="1" ht="14.15" hidden="1">
      <c r="A1926" s="222">
        <v>45395</v>
      </c>
      <c r="B1926" s="201" t="s">
        <v>1394</v>
      </c>
      <c r="C1926" s="208" t="s">
        <v>146</v>
      </c>
      <c r="D1926" s="592">
        <v>-30000</v>
      </c>
      <c r="E1926" s="619">
        <v>45383</v>
      </c>
      <c r="F1926" s="201" t="s">
        <v>109</v>
      </c>
      <c r="G1926" s="208" t="s">
        <v>120</v>
      </c>
      <c r="H1926" s="208" t="s">
        <v>147</v>
      </c>
      <c r="I1926" s="201" t="s">
        <v>1347</v>
      </c>
    </row>
    <row r="1927" spans="1:9" s="202" customFormat="1" ht="14.15" hidden="1">
      <c r="A1927" s="222">
        <v>45395</v>
      </c>
      <c r="B1927" s="201" t="s">
        <v>1863</v>
      </c>
      <c r="C1927" s="208" t="s">
        <v>146</v>
      </c>
      <c r="D1927" s="592">
        <v>-12900</v>
      </c>
      <c r="E1927" s="619">
        <v>45383</v>
      </c>
      <c r="F1927" s="201" t="s">
        <v>109</v>
      </c>
      <c r="G1927" s="208" t="s">
        <v>120</v>
      </c>
      <c r="H1927" s="81" t="s">
        <v>138</v>
      </c>
      <c r="I1927" s="201" t="s">
        <v>1347</v>
      </c>
    </row>
    <row r="1928" spans="1:9" s="202" customFormat="1" ht="14.15" hidden="1">
      <c r="A1928" s="222">
        <v>45395</v>
      </c>
      <c r="B1928" s="201" t="s">
        <v>1864</v>
      </c>
      <c r="C1928" s="208" t="s">
        <v>146</v>
      </c>
      <c r="D1928" s="592">
        <v>-10000</v>
      </c>
      <c r="E1928" s="619">
        <v>45383</v>
      </c>
      <c r="F1928" s="201" t="s">
        <v>109</v>
      </c>
      <c r="G1928" s="208" t="s">
        <v>120</v>
      </c>
      <c r="H1928" s="81" t="s">
        <v>138</v>
      </c>
      <c r="I1928" s="201" t="s">
        <v>1347</v>
      </c>
    </row>
    <row r="1929" spans="1:9" s="202" customFormat="1" ht="14.15" hidden="1">
      <c r="A1929" s="222">
        <v>45396</v>
      </c>
      <c r="B1929" s="201" t="s">
        <v>1865</v>
      </c>
      <c r="C1929" s="208" t="s">
        <v>146</v>
      </c>
      <c r="D1929" s="592">
        <v>-130000</v>
      </c>
      <c r="E1929" s="619">
        <v>45383</v>
      </c>
      <c r="F1929" s="201" t="s">
        <v>109</v>
      </c>
      <c r="G1929" s="208" t="s">
        <v>120</v>
      </c>
      <c r="H1929" s="201"/>
      <c r="I1929" s="201" t="s">
        <v>1347</v>
      </c>
    </row>
    <row r="1930" spans="1:9" s="202" customFormat="1" ht="14.15" hidden="1">
      <c r="A1930" s="222">
        <v>45397</v>
      </c>
      <c r="B1930" s="201" t="s">
        <v>1866</v>
      </c>
      <c r="C1930" s="208" t="s">
        <v>146</v>
      </c>
      <c r="D1930" s="592">
        <v>-12900</v>
      </c>
      <c r="E1930" s="619">
        <v>45383</v>
      </c>
      <c r="F1930" s="201" t="s">
        <v>109</v>
      </c>
      <c r="G1930" s="208" t="s">
        <v>120</v>
      </c>
      <c r="H1930" s="81" t="s">
        <v>138</v>
      </c>
      <c r="I1930" s="201" t="s">
        <v>1347</v>
      </c>
    </row>
    <row r="1931" spans="1:9" s="202" customFormat="1" ht="14.15" hidden="1">
      <c r="A1931" s="222">
        <v>45397</v>
      </c>
      <c r="B1931" s="201" t="s">
        <v>1859</v>
      </c>
      <c r="C1931" s="208" t="s">
        <v>146</v>
      </c>
      <c r="D1931" s="592">
        <v>-30000</v>
      </c>
      <c r="E1931" s="619">
        <v>45383</v>
      </c>
      <c r="F1931" s="201" t="s">
        <v>109</v>
      </c>
      <c r="G1931" s="208" t="s">
        <v>120</v>
      </c>
      <c r="H1931" s="208" t="s">
        <v>147</v>
      </c>
      <c r="I1931" s="201" t="s">
        <v>1347</v>
      </c>
    </row>
    <row r="1932" spans="1:9" s="202" customFormat="1" ht="14.15" hidden="1">
      <c r="A1932" s="222">
        <v>45397</v>
      </c>
      <c r="B1932" s="201" t="s">
        <v>1867</v>
      </c>
      <c r="C1932" s="208" t="s">
        <v>146</v>
      </c>
      <c r="D1932" s="592">
        <v>-30000</v>
      </c>
      <c r="E1932" s="619">
        <v>45383</v>
      </c>
      <c r="F1932" s="201" t="s">
        <v>109</v>
      </c>
      <c r="G1932" s="208" t="s">
        <v>120</v>
      </c>
      <c r="H1932" s="201"/>
      <c r="I1932" s="201" t="s">
        <v>1347</v>
      </c>
    </row>
    <row r="1933" spans="1:9" s="202" customFormat="1" ht="14.15" hidden="1">
      <c r="A1933" s="222">
        <v>45397</v>
      </c>
      <c r="B1933" s="201" t="s">
        <v>1868</v>
      </c>
      <c r="C1933" s="208" t="s">
        <v>146</v>
      </c>
      <c r="D1933" s="592">
        <v>-62500</v>
      </c>
      <c r="E1933" s="619">
        <v>45383</v>
      </c>
      <c r="F1933" s="201" t="s">
        <v>109</v>
      </c>
      <c r="G1933" s="208" t="s">
        <v>120</v>
      </c>
      <c r="H1933" s="201" t="s">
        <v>323</v>
      </c>
      <c r="I1933" s="201" t="s">
        <v>1347</v>
      </c>
    </row>
    <row r="1934" spans="1:9" s="202" customFormat="1" ht="14.15" hidden="1">
      <c r="A1934" s="222">
        <v>45397</v>
      </c>
      <c r="B1934" s="201" t="s">
        <v>1869</v>
      </c>
      <c r="C1934" s="208" t="s">
        <v>146</v>
      </c>
      <c r="D1934" s="592">
        <v>-50000</v>
      </c>
      <c r="E1934" s="619">
        <v>45383</v>
      </c>
      <c r="F1934" s="201" t="s">
        <v>109</v>
      </c>
      <c r="G1934" s="208" t="s">
        <v>120</v>
      </c>
      <c r="H1934" s="208" t="s">
        <v>175</v>
      </c>
      <c r="I1934" s="201" t="s">
        <v>1347</v>
      </c>
    </row>
    <row r="1935" spans="1:9" s="202" customFormat="1" ht="14.15" hidden="1">
      <c r="A1935" s="222">
        <v>45397</v>
      </c>
      <c r="B1935" s="201" t="s">
        <v>1857</v>
      </c>
      <c r="C1935" s="208" t="s">
        <v>146</v>
      </c>
      <c r="D1935" s="592">
        <v>-30000</v>
      </c>
      <c r="E1935" s="619">
        <v>45383</v>
      </c>
      <c r="F1935" s="201" t="s">
        <v>109</v>
      </c>
      <c r="G1935" s="208" t="s">
        <v>120</v>
      </c>
      <c r="H1935" s="208" t="s">
        <v>147</v>
      </c>
      <c r="I1935" s="201" t="s">
        <v>1347</v>
      </c>
    </row>
    <row r="1936" spans="1:9" s="202" customFormat="1" ht="14.15" hidden="1">
      <c r="A1936" s="222">
        <v>45398</v>
      </c>
      <c r="B1936" s="201" t="s">
        <v>1870</v>
      </c>
      <c r="C1936" s="208" t="s">
        <v>146</v>
      </c>
      <c r="D1936" s="592">
        <v>-154000</v>
      </c>
      <c r="E1936" s="619">
        <v>45383</v>
      </c>
      <c r="F1936" s="201" t="s">
        <v>109</v>
      </c>
      <c r="G1936" s="208" t="s">
        <v>120</v>
      </c>
      <c r="H1936" s="208" t="s">
        <v>175</v>
      </c>
      <c r="I1936" s="201" t="s">
        <v>1347</v>
      </c>
    </row>
    <row r="1937" spans="1:9" s="202" customFormat="1" ht="14.15" hidden="1">
      <c r="A1937" s="222">
        <v>45398</v>
      </c>
      <c r="B1937" s="201" t="s">
        <v>1871</v>
      </c>
      <c r="C1937" s="208" t="s">
        <v>146</v>
      </c>
      <c r="D1937" s="592">
        <v>-12000</v>
      </c>
      <c r="E1937" s="619">
        <v>45383</v>
      </c>
      <c r="F1937" s="201" t="s">
        <v>109</v>
      </c>
      <c r="G1937" s="208" t="s">
        <v>120</v>
      </c>
      <c r="H1937" s="208" t="s">
        <v>147</v>
      </c>
      <c r="I1937" s="201" t="s">
        <v>1347</v>
      </c>
    </row>
    <row r="1938" spans="1:9" s="202" customFormat="1" ht="14.15" hidden="1">
      <c r="A1938" s="222">
        <v>45398</v>
      </c>
      <c r="B1938" s="201" t="s">
        <v>1872</v>
      </c>
      <c r="C1938" s="208" t="s">
        <v>146</v>
      </c>
      <c r="D1938" s="592">
        <v>-30000</v>
      </c>
      <c r="E1938" s="619">
        <v>45383</v>
      </c>
      <c r="F1938" s="201" t="s">
        <v>109</v>
      </c>
      <c r="G1938" s="208" t="s">
        <v>120</v>
      </c>
      <c r="H1938" s="81" t="s">
        <v>138</v>
      </c>
      <c r="I1938" s="201" t="s">
        <v>1347</v>
      </c>
    </row>
    <row r="1939" spans="1:9" s="202" customFormat="1" ht="14.15" hidden="1">
      <c r="A1939" s="222">
        <v>45382</v>
      </c>
      <c r="B1939" s="201" t="s">
        <v>1865</v>
      </c>
      <c r="C1939" s="208" t="s">
        <v>146</v>
      </c>
      <c r="D1939" s="592">
        <v>-105000</v>
      </c>
      <c r="E1939" s="619">
        <v>45383</v>
      </c>
      <c r="F1939" s="201" t="s">
        <v>109</v>
      </c>
      <c r="G1939" s="208" t="s">
        <v>120</v>
      </c>
      <c r="H1939" s="201"/>
      <c r="I1939" s="201" t="s">
        <v>1347</v>
      </c>
    </row>
    <row r="1940" spans="1:9" s="202" customFormat="1" ht="14.15" hidden="1">
      <c r="A1940" s="222">
        <v>45382</v>
      </c>
      <c r="B1940" s="201" t="s">
        <v>1873</v>
      </c>
      <c r="C1940" s="208" t="s">
        <v>146</v>
      </c>
      <c r="D1940" s="592">
        <v>-12900</v>
      </c>
      <c r="E1940" s="619">
        <v>45383</v>
      </c>
      <c r="F1940" s="201" t="s">
        <v>109</v>
      </c>
      <c r="G1940" s="208" t="s">
        <v>120</v>
      </c>
      <c r="H1940" s="81" t="s">
        <v>138</v>
      </c>
      <c r="I1940" s="201" t="s">
        <v>1347</v>
      </c>
    </row>
    <row r="1941" spans="1:9" s="202" customFormat="1" ht="14.15" hidden="1">
      <c r="A1941" s="222">
        <v>45383</v>
      </c>
      <c r="B1941" s="201" t="s">
        <v>1874</v>
      </c>
      <c r="C1941" s="208" t="s">
        <v>146</v>
      </c>
      <c r="D1941" s="592">
        <v>-35000</v>
      </c>
      <c r="E1941" s="619">
        <v>45383</v>
      </c>
      <c r="F1941" s="201" t="s">
        <v>109</v>
      </c>
      <c r="G1941" s="208" t="s">
        <v>120</v>
      </c>
      <c r="H1941" s="81" t="s">
        <v>138</v>
      </c>
      <c r="I1941" s="201" t="s">
        <v>1347</v>
      </c>
    </row>
    <row r="1942" spans="1:9" s="202" customFormat="1" ht="14.15" hidden="1">
      <c r="A1942" s="222">
        <v>45383</v>
      </c>
      <c r="B1942" s="201" t="s">
        <v>1875</v>
      </c>
      <c r="C1942" s="208" t="s">
        <v>146</v>
      </c>
      <c r="D1942" s="592">
        <v>-5000</v>
      </c>
      <c r="E1942" s="619">
        <v>45383</v>
      </c>
      <c r="F1942" s="201" t="s">
        <v>109</v>
      </c>
      <c r="G1942" s="208" t="s">
        <v>120</v>
      </c>
      <c r="H1942" s="208" t="s">
        <v>175</v>
      </c>
      <c r="I1942" s="201" t="s">
        <v>1347</v>
      </c>
    </row>
    <row r="1943" spans="1:9" s="202" customFormat="1" ht="14.15" hidden="1">
      <c r="A1943" s="222">
        <v>45383</v>
      </c>
      <c r="B1943" s="201" t="s">
        <v>1876</v>
      </c>
      <c r="C1943" s="208" t="s">
        <v>146</v>
      </c>
      <c r="D1943" s="592">
        <v>-10000</v>
      </c>
      <c r="E1943" s="619">
        <v>45383</v>
      </c>
      <c r="F1943" s="201" t="s">
        <v>109</v>
      </c>
      <c r="G1943" s="208" t="s">
        <v>120</v>
      </c>
      <c r="H1943" s="208" t="s">
        <v>147</v>
      </c>
      <c r="I1943" s="201" t="s">
        <v>1347</v>
      </c>
    </row>
    <row r="1944" spans="1:9" s="202" customFormat="1" ht="14.15" hidden="1">
      <c r="A1944" s="222">
        <v>45384</v>
      </c>
      <c r="B1944" s="201" t="s">
        <v>1877</v>
      </c>
      <c r="C1944" s="208" t="s">
        <v>146</v>
      </c>
      <c r="D1944" s="592">
        <v>-245000</v>
      </c>
      <c r="E1944" s="619">
        <v>45383</v>
      </c>
      <c r="F1944" s="201" t="s">
        <v>109</v>
      </c>
      <c r="G1944" s="208" t="s">
        <v>120</v>
      </c>
      <c r="H1944" s="201"/>
      <c r="I1944" s="201" t="s">
        <v>1347</v>
      </c>
    </row>
    <row r="1945" spans="1:9" s="202" customFormat="1" ht="14.15" hidden="1">
      <c r="A1945" s="222">
        <v>45384</v>
      </c>
      <c r="B1945" s="201" t="s">
        <v>1878</v>
      </c>
      <c r="C1945" s="208" t="s">
        <v>146</v>
      </c>
      <c r="D1945" s="592">
        <v>-23000</v>
      </c>
      <c r="E1945" s="619">
        <v>45383</v>
      </c>
      <c r="F1945" s="201" t="s">
        <v>109</v>
      </c>
      <c r="G1945" s="208" t="s">
        <v>120</v>
      </c>
      <c r="H1945" s="208" t="s">
        <v>175</v>
      </c>
      <c r="I1945" s="201" t="s">
        <v>1347</v>
      </c>
    </row>
    <row r="1946" spans="1:9" s="202" customFormat="1" ht="14.15" hidden="1">
      <c r="A1946" s="222">
        <v>45384</v>
      </c>
      <c r="B1946" s="201" t="s">
        <v>1879</v>
      </c>
      <c r="C1946" s="208" t="s">
        <v>146</v>
      </c>
      <c r="D1946" s="592">
        <v>-28000</v>
      </c>
      <c r="E1946" s="619">
        <v>45383</v>
      </c>
      <c r="F1946" s="201" t="s">
        <v>109</v>
      </c>
      <c r="G1946" s="208" t="s">
        <v>120</v>
      </c>
      <c r="H1946" s="208" t="s">
        <v>147</v>
      </c>
      <c r="I1946" s="201" t="s">
        <v>1347</v>
      </c>
    </row>
    <row r="1947" spans="1:9" s="202" customFormat="1" ht="14.15" hidden="1">
      <c r="A1947" s="222">
        <v>45384</v>
      </c>
      <c r="B1947" s="201" t="s">
        <v>1880</v>
      </c>
      <c r="C1947" s="208" t="s">
        <v>146</v>
      </c>
      <c r="D1947" s="592">
        <v>-15500</v>
      </c>
      <c r="E1947" s="619">
        <v>45383</v>
      </c>
      <c r="F1947" s="201" t="s">
        <v>109</v>
      </c>
      <c r="G1947" s="208" t="s">
        <v>120</v>
      </c>
      <c r="H1947" s="208" t="s">
        <v>147</v>
      </c>
      <c r="I1947" s="201" t="s">
        <v>1347</v>
      </c>
    </row>
    <row r="1948" spans="1:9" s="202" customFormat="1" ht="14.15" hidden="1">
      <c r="A1948" s="222">
        <v>45386</v>
      </c>
      <c r="B1948" s="201" t="s">
        <v>1881</v>
      </c>
      <c r="C1948" s="208" t="s">
        <v>146</v>
      </c>
      <c r="D1948" s="592">
        <v>-287000</v>
      </c>
      <c r="E1948" s="619">
        <v>45383</v>
      </c>
      <c r="F1948" s="201" t="s">
        <v>109</v>
      </c>
      <c r="G1948" s="208" t="s">
        <v>120</v>
      </c>
      <c r="H1948" s="208" t="s">
        <v>175</v>
      </c>
      <c r="I1948" s="201" t="s">
        <v>1347</v>
      </c>
    </row>
    <row r="1949" spans="1:9" s="202" customFormat="1" ht="14.15" hidden="1">
      <c r="A1949" s="222">
        <v>45386</v>
      </c>
      <c r="B1949" s="201" t="s">
        <v>1882</v>
      </c>
      <c r="C1949" s="208" t="s">
        <v>146</v>
      </c>
      <c r="D1949" s="592">
        <v>-46000</v>
      </c>
      <c r="E1949" s="619">
        <v>45383</v>
      </c>
      <c r="F1949" s="201" t="s">
        <v>109</v>
      </c>
      <c r="G1949" s="208" t="s">
        <v>120</v>
      </c>
      <c r="H1949" s="201"/>
      <c r="I1949" s="201" t="s">
        <v>1347</v>
      </c>
    </row>
    <row r="1950" spans="1:9" s="202" customFormat="1" ht="14.15" hidden="1">
      <c r="A1950" s="222">
        <v>45386</v>
      </c>
      <c r="B1950" s="201" t="s">
        <v>1883</v>
      </c>
      <c r="C1950" s="208" t="s">
        <v>146</v>
      </c>
      <c r="D1950" s="592">
        <v>-5000</v>
      </c>
      <c r="E1950" s="619">
        <v>45383</v>
      </c>
      <c r="F1950" s="201" t="s">
        <v>109</v>
      </c>
      <c r="G1950" s="208" t="s">
        <v>120</v>
      </c>
      <c r="H1950" s="208" t="s">
        <v>175</v>
      </c>
      <c r="I1950" s="201" t="s">
        <v>1347</v>
      </c>
    </row>
    <row r="1951" spans="1:9" s="202" customFormat="1" ht="14.15" hidden="1">
      <c r="A1951" s="222">
        <v>45386</v>
      </c>
      <c r="B1951" s="201" t="s">
        <v>1884</v>
      </c>
      <c r="C1951" s="208" t="s">
        <v>146</v>
      </c>
      <c r="D1951" s="592">
        <v>-27000</v>
      </c>
      <c r="E1951" s="619">
        <v>45383</v>
      </c>
      <c r="F1951" s="201" t="s">
        <v>109</v>
      </c>
      <c r="G1951" s="208" t="s">
        <v>120</v>
      </c>
      <c r="H1951" s="201"/>
      <c r="I1951" s="201" t="s">
        <v>1347</v>
      </c>
    </row>
    <row r="1952" spans="1:9" s="202" customFormat="1" ht="14.15" hidden="1">
      <c r="A1952" s="222">
        <v>45386</v>
      </c>
      <c r="B1952" s="201" t="s">
        <v>1885</v>
      </c>
      <c r="C1952" s="208" t="s">
        <v>146</v>
      </c>
      <c r="D1952" s="592">
        <v>-5000</v>
      </c>
      <c r="E1952" s="619">
        <v>45383</v>
      </c>
      <c r="F1952" s="201" t="s">
        <v>109</v>
      </c>
      <c r="G1952" s="208" t="s">
        <v>120</v>
      </c>
      <c r="H1952" s="208" t="s">
        <v>175</v>
      </c>
      <c r="I1952" s="201" t="s">
        <v>1347</v>
      </c>
    </row>
    <row r="1953" spans="1:9" s="202" customFormat="1" ht="14.15" hidden="1">
      <c r="A1953" s="222">
        <v>45387</v>
      </c>
      <c r="B1953" s="201" t="s">
        <v>1886</v>
      </c>
      <c r="C1953" s="208" t="s">
        <v>146</v>
      </c>
      <c r="D1953" s="592">
        <v>-20000</v>
      </c>
      <c r="E1953" s="619">
        <v>45383</v>
      </c>
      <c r="F1953" s="201" t="s">
        <v>109</v>
      </c>
      <c r="G1953" s="208" t="s">
        <v>120</v>
      </c>
      <c r="H1953" s="208" t="s">
        <v>147</v>
      </c>
      <c r="I1953" s="201" t="s">
        <v>1347</v>
      </c>
    </row>
    <row r="1954" spans="1:9" s="202" customFormat="1" ht="14.15" hidden="1">
      <c r="A1954" s="222">
        <v>45387</v>
      </c>
      <c r="B1954" s="201" t="s">
        <v>1887</v>
      </c>
      <c r="C1954" s="208" t="s">
        <v>146</v>
      </c>
      <c r="D1954" s="592">
        <v>-60000</v>
      </c>
      <c r="E1954" s="619">
        <v>45383</v>
      </c>
      <c r="F1954" s="201" t="s">
        <v>109</v>
      </c>
      <c r="G1954" s="208" t="s">
        <v>120</v>
      </c>
      <c r="H1954" s="208" t="s">
        <v>175</v>
      </c>
      <c r="I1954" s="201" t="s">
        <v>1347</v>
      </c>
    </row>
    <row r="1955" spans="1:9" s="202" customFormat="1" ht="14.15" hidden="1">
      <c r="A1955" s="222">
        <v>45387</v>
      </c>
      <c r="B1955" s="201" t="s">
        <v>1888</v>
      </c>
      <c r="C1955" s="208" t="s">
        <v>146</v>
      </c>
      <c r="D1955" s="592">
        <v>-76000</v>
      </c>
      <c r="E1955" s="619">
        <v>45383</v>
      </c>
      <c r="F1955" s="201" t="s">
        <v>109</v>
      </c>
      <c r="G1955" s="208" t="s">
        <v>120</v>
      </c>
      <c r="H1955" s="208" t="s">
        <v>175</v>
      </c>
      <c r="I1955" s="201" t="s">
        <v>1347</v>
      </c>
    </row>
    <row r="1956" spans="1:9" s="202" customFormat="1" ht="14.15" hidden="1">
      <c r="A1956" s="222">
        <v>45387</v>
      </c>
      <c r="B1956" s="201" t="s">
        <v>1889</v>
      </c>
      <c r="C1956" s="208" t="s">
        <v>146</v>
      </c>
      <c r="D1956" s="592">
        <v>-36000</v>
      </c>
      <c r="E1956" s="619">
        <v>45383</v>
      </c>
      <c r="F1956" s="201" t="s">
        <v>109</v>
      </c>
      <c r="G1956" s="208" t="s">
        <v>120</v>
      </c>
      <c r="H1956" s="208" t="s">
        <v>147</v>
      </c>
      <c r="I1956" s="201" t="s">
        <v>1347</v>
      </c>
    </row>
    <row r="1957" spans="1:9" s="202" customFormat="1" ht="14.15" hidden="1">
      <c r="A1957" s="222">
        <v>45387</v>
      </c>
      <c r="B1957" s="201" t="s">
        <v>1890</v>
      </c>
      <c r="C1957" s="208" t="s">
        <v>146</v>
      </c>
      <c r="D1957" s="592">
        <v>-40000</v>
      </c>
      <c r="E1957" s="619">
        <v>45383</v>
      </c>
      <c r="F1957" s="201" t="s">
        <v>109</v>
      </c>
      <c r="G1957" s="208" t="s">
        <v>120</v>
      </c>
      <c r="H1957" s="81" t="s">
        <v>138</v>
      </c>
      <c r="I1957" s="201" t="s">
        <v>1347</v>
      </c>
    </row>
    <row r="1958" spans="1:9" s="202" customFormat="1" ht="14.15" hidden="1">
      <c r="A1958" s="222">
        <v>45388</v>
      </c>
      <c r="B1958" s="201" t="s">
        <v>1891</v>
      </c>
      <c r="C1958" s="208" t="s">
        <v>146</v>
      </c>
      <c r="D1958" s="592">
        <v>-24000</v>
      </c>
      <c r="E1958" s="619">
        <v>45383</v>
      </c>
      <c r="F1958" s="201" t="s">
        <v>109</v>
      </c>
      <c r="G1958" s="208" t="s">
        <v>120</v>
      </c>
      <c r="H1958" s="208" t="s">
        <v>147</v>
      </c>
      <c r="I1958" s="201" t="s">
        <v>1347</v>
      </c>
    </row>
    <row r="1959" spans="1:9" s="202" customFormat="1" ht="14.15" hidden="1">
      <c r="A1959" s="222">
        <v>45388</v>
      </c>
      <c r="B1959" s="201" t="s">
        <v>1892</v>
      </c>
      <c r="C1959" s="208" t="s">
        <v>146</v>
      </c>
      <c r="D1959" s="592">
        <v>-8000</v>
      </c>
      <c r="E1959" s="619">
        <v>45383</v>
      </c>
      <c r="F1959" s="201" t="s">
        <v>109</v>
      </c>
      <c r="G1959" s="208" t="s">
        <v>120</v>
      </c>
      <c r="H1959" s="208" t="s">
        <v>147</v>
      </c>
      <c r="I1959" s="201" t="s">
        <v>1347</v>
      </c>
    </row>
    <row r="1960" spans="1:9" s="202" customFormat="1" ht="14.15" hidden="1">
      <c r="A1960" s="222">
        <v>45388</v>
      </c>
      <c r="B1960" s="630" t="s">
        <v>1893</v>
      </c>
      <c r="C1960" s="208" t="s">
        <v>146</v>
      </c>
      <c r="D1960" s="592">
        <v>-110000</v>
      </c>
      <c r="E1960" s="619">
        <v>45383</v>
      </c>
      <c r="F1960" s="201" t="s">
        <v>109</v>
      </c>
      <c r="G1960" s="208" t="s">
        <v>120</v>
      </c>
      <c r="H1960" s="201"/>
      <c r="I1960" s="201" t="s">
        <v>1347</v>
      </c>
    </row>
    <row r="1961" spans="1:9" s="202" customFormat="1" ht="14.15" hidden="1">
      <c r="A1961" s="222">
        <v>45388</v>
      </c>
      <c r="B1961" s="630" t="s">
        <v>1894</v>
      </c>
      <c r="C1961" s="208" t="s">
        <v>146</v>
      </c>
      <c r="D1961" s="592">
        <v>-12900</v>
      </c>
      <c r="E1961" s="619">
        <v>45383</v>
      </c>
      <c r="F1961" s="201" t="s">
        <v>109</v>
      </c>
      <c r="G1961" s="208" t="s">
        <v>120</v>
      </c>
      <c r="H1961" s="81" t="s">
        <v>138</v>
      </c>
      <c r="I1961" s="201" t="s">
        <v>1347</v>
      </c>
    </row>
    <row r="1962" spans="1:9" s="202" customFormat="1" ht="14.15" hidden="1">
      <c r="A1962" s="222">
        <v>45388</v>
      </c>
      <c r="B1962" s="630" t="s">
        <v>1895</v>
      </c>
      <c r="C1962" s="208" t="s">
        <v>146</v>
      </c>
      <c r="D1962" s="592">
        <v>-50000</v>
      </c>
      <c r="E1962" s="619">
        <v>45383</v>
      </c>
      <c r="F1962" s="201" t="s">
        <v>109</v>
      </c>
      <c r="G1962" s="208" t="s">
        <v>120</v>
      </c>
      <c r="H1962" s="201"/>
      <c r="I1962" s="201" t="s">
        <v>1347</v>
      </c>
    </row>
    <row r="1963" spans="1:9" s="202" customFormat="1" ht="14.15" hidden="1">
      <c r="A1963" s="222">
        <v>45389</v>
      </c>
      <c r="B1963" s="630" t="s">
        <v>1896</v>
      </c>
      <c r="C1963" s="208" t="s">
        <v>146</v>
      </c>
      <c r="D1963" s="592">
        <v>-7000</v>
      </c>
      <c r="E1963" s="619">
        <v>45383</v>
      </c>
      <c r="F1963" s="201" t="s">
        <v>109</v>
      </c>
      <c r="G1963" s="208" t="s">
        <v>120</v>
      </c>
      <c r="H1963" s="81" t="s">
        <v>138</v>
      </c>
      <c r="I1963" s="201" t="s">
        <v>1347</v>
      </c>
    </row>
    <row r="1964" spans="1:9" s="202" customFormat="1" ht="14.15" hidden="1">
      <c r="A1964" s="222">
        <v>45389</v>
      </c>
      <c r="B1964" s="630" t="s">
        <v>1897</v>
      </c>
      <c r="C1964" s="208" t="s">
        <v>146</v>
      </c>
      <c r="D1964" s="592">
        <v>-123000</v>
      </c>
      <c r="E1964" s="619">
        <v>45383</v>
      </c>
      <c r="F1964" s="201" t="s">
        <v>109</v>
      </c>
      <c r="G1964" s="208" t="s">
        <v>120</v>
      </c>
      <c r="H1964" s="201"/>
      <c r="I1964" s="201" t="s">
        <v>1347</v>
      </c>
    </row>
    <row r="1965" spans="1:9" s="202" customFormat="1" ht="14.15" hidden="1">
      <c r="A1965" s="222">
        <v>45390</v>
      </c>
      <c r="B1965" s="630" t="s">
        <v>1898</v>
      </c>
      <c r="C1965" s="208" t="s">
        <v>146</v>
      </c>
      <c r="D1965" s="592">
        <v>-20000</v>
      </c>
      <c r="E1965" s="619">
        <v>45383</v>
      </c>
      <c r="F1965" s="201" t="s">
        <v>109</v>
      </c>
      <c r="G1965" s="208" t="s">
        <v>120</v>
      </c>
      <c r="H1965" s="81" t="s">
        <v>138</v>
      </c>
      <c r="I1965" s="201" t="s">
        <v>1347</v>
      </c>
    </row>
    <row r="1966" spans="1:9" s="202" customFormat="1" ht="14.15" hidden="1">
      <c r="A1966" s="222">
        <v>45399</v>
      </c>
      <c r="B1966" s="201" t="s">
        <v>1899</v>
      </c>
      <c r="C1966" s="208" t="s">
        <v>27</v>
      </c>
      <c r="D1966" s="592">
        <v>-728308</v>
      </c>
      <c r="E1966" s="619">
        <v>45383</v>
      </c>
      <c r="F1966" s="201" t="s">
        <v>130</v>
      </c>
      <c r="G1966" s="201" t="s">
        <v>130</v>
      </c>
      <c r="H1966" s="201" t="s">
        <v>323</v>
      </c>
      <c r="I1966" s="201"/>
    </row>
    <row r="1967" spans="1:9" s="202" customFormat="1" ht="14.15" hidden="1">
      <c r="A1967" s="222">
        <v>45399</v>
      </c>
      <c r="B1967" s="201" t="s">
        <v>1900</v>
      </c>
      <c r="C1967" s="208" t="s">
        <v>27</v>
      </c>
      <c r="D1967" s="592">
        <v>-8654643</v>
      </c>
      <c r="E1967" s="619">
        <v>45383</v>
      </c>
      <c r="F1967" s="201" t="s">
        <v>109</v>
      </c>
      <c r="G1967" s="208" t="s">
        <v>120</v>
      </c>
      <c r="H1967" s="201"/>
      <c r="I1967" s="201"/>
    </row>
    <row r="1968" spans="1:9" s="202" customFormat="1" ht="14.15" hidden="1">
      <c r="A1968" s="222">
        <v>45399</v>
      </c>
      <c r="B1968" s="201" t="s">
        <v>1901</v>
      </c>
      <c r="C1968" s="208" t="s">
        <v>27</v>
      </c>
      <c r="D1968" s="592">
        <v>-362133</v>
      </c>
      <c r="E1968" s="619">
        <v>45383</v>
      </c>
      <c r="F1968" s="201" t="s">
        <v>109</v>
      </c>
      <c r="G1968" s="208" t="s">
        <v>120</v>
      </c>
      <c r="H1968" s="208" t="s">
        <v>147</v>
      </c>
      <c r="I1968" s="201"/>
    </row>
    <row r="1969" spans="1:9" s="202" customFormat="1" ht="14.15" hidden="1">
      <c r="A1969" s="222">
        <v>45399</v>
      </c>
      <c r="B1969" s="201" t="s">
        <v>1902</v>
      </c>
      <c r="C1969" s="208" t="s">
        <v>27</v>
      </c>
      <c r="D1969" s="592">
        <v>-3500000</v>
      </c>
      <c r="E1969" s="619">
        <v>45383</v>
      </c>
      <c r="F1969" s="201" t="s">
        <v>109</v>
      </c>
      <c r="G1969" s="208" t="s">
        <v>120</v>
      </c>
      <c r="H1969" s="208" t="s">
        <v>147</v>
      </c>
      <c r="I1969" s="201"/>
    </row>
    <row r="1970" spans="1:9" s="202" customFormat="1" ht="14.15" hidden="1">
      <c r="A1970" s="222">
        <v>45401</v>
      </c>
      <c r="B1970" s="201" t="s">
        <v>1903</v>
      </c>
      <c r="C1970" s="208" t="s">
        <v>181</v>
      </c>
      <c r="D1970" s="592">
        <v>2345772</v>
      </c>
      <c r="E1970" s="619">
        <v>45383</v>
      </c>
      <c r="F1970" s="201" t="s">
        <v>108</v>
      </c>
      <c r="G1970" s="201"/>
      <c r="H1970" s="201"/>
      <c r="I1970" s="201"/>
    </row>
    <row r="1971" spans="1:9" s="202" customFormat="1" ht="14.15" hidden="1">
      <c r="A1971" s="222">
        <v>45399</v>
      </c>
      <c r="B1971" s="201" t="s">
        <v>1904</v>
      </c>
      <c r="C1971" s="208" t="s">
        <v>27</v>
      </c>
      <c r="D1971" s="592">
        <v>-1100000</v>
      </c>
      <c r="E1971" s="619">
        <v>45383</v>
      </c>
      <c r="F1971" s="201" t="s">
        <v>109</v>
      </c>
      <c r="G1971" s="208" t="s">
        <v>120</v>
      </c>
      <c r="H1971" s="201"/>
      <c r="I1971" s="201"/>
    </row>
    <row r="1972" spans="1:9" s="202" customFormat="1" ht="14.15" hidden="1">
      <c r="A1972" s="222">
        <v>45403</v>
      </c>
      <c r="B1972" s="201" t="s">
        <v>1443</v>
      </c>
      <c r="C1972" s="208" t="s">
        <v>643</v>
      </c>
      <c r="D1972" s="592">
        <v>-39378.21</v>
      </c>
      <c r="E1972" s="619">
        <v>45383</v>
      </c>
      <c r="F1972" s="201" t="s">
        <v>130</v>
      </c>
      <c r="G1972" s="201" t="s">
        <v>130</v>
      </c>
      <c r="H1972" s="208" t="s">
        <v>143</v>
      </c>
      <c r="I1972" s="201"/>
    </row>
    <row r="1973" spans="1:9" s="202" customFormat="1" ht="14.15" hidden="1">
      <c r="A1973" s="222">
        <v>45403</v>
      </c>
      <c r="B1973" s="201" t="s">
        <v>1443</v>
      </c>
      <c r="C1973" s="208" t="s">
        <v>643</v>
      </c>
      <c r="D1973" s="592">
        <v>-1087112.9099999999</v>
      </c>
      <c r="E1973" s="619">
        <v>45383</v>
      </c>
      <c r="F1973" s="201" t="s">
        <v>130</v>
      </c>
      <c r="G1973" s="201" t="s">
        <v>130</v>
      </c>
      <c r="H1973" s="208" t="s">
        <v>143</v>
      </c>
      <c r="I1973" s="201"/>
    </row>
    <row r="1974" spans="1:9" s="202" customFormat="1" ht="14.15" hidden="1">
      <c r="A1974" s="222">
        <v>45406</v>
      </c>
      <c r="B1974" t="s">
        <v>1905</v>
      </c>
      <c r="C1974" s="208" t="s">
        <v>643</v>
      </c>
      <c r="D1974" s="592">
        <v>-30800</v>
      </c>
      <c r="E1974" s="619">
        <v>45383</v>
      </c>
      <c r="F1974" s="201" t="s">
        <v>130</v>
      </c>
      <c r="G1974" s="201" t="s">
        <v>130</v>
      </c>
      <c r="H1974" s="208" t="s">
        <v>143</v>
      </c>
      <c r="I1974" s="201"/>
    </row>
    <row r="1975" spans="1:9" s="202" customFormat="1" ht="14.15" hidden="1">
      <c r="A1975" s="222">
        <v>45401</v>
      </c>
      <c r="B1975" s="627" t="s">
        <v>1906</v>
      </c>
      <c r="C1975" s="208" t="s">
        <v>146</v>
      </c>
      <c r="D1975" s="592">
        <v>-360000</v>
      </c>
      <c r="E1975" s="619">
        <v>45383</v>
      </c>
      <c r="F1975" s="201" t="s">
        <v>109</v>
      </c>
      <c r="G1975" s="208" t="s">
        <v>120</v>
      </c>
      <c r="H1975" s="201"/>
      <c r="I1975" s="201"/>
    </row>
    <row r="1976" spans="1:9" s="202" customFormat="1" ht="14.15" hidden="1">
      <c r="A1976" s="222">
        <v>45401</v>
      </c>
      <c r="B1976" s="627" t="s">
        <v>1907</v>
      </c>
      <c r="C1976" s="208" t="s">
        <v>146</v>
      </c>
      <c r="D1976" s="592">
        <v>-76800</v>
      </c>
      <c r="E1976" s="619">
        <v>45383</v>
      </c>
      <c r="F1976" s="201" t="s">
        <v>130</v>
      </c>
      <c r="G1976" s="201" t="s">
        <v>130</v>
      </c>
      <c r="H1976" s="81" t="s">
        <v>138</v>
      </c>
      <c r="I1976" s="201"/>
    </row>
    <row r="1977" spans="1:9" s="202" customFormat="1" ht="14.15" hidden="1">
      <c r="A1977" s="222">
        <v>45404</v>
      </c>
      <c r="B1977" s="627" t="s">
        <v>1908</v>
      </c>
      <c r="C1977" s="208" t="s">
        <v>146</v>
      </c>
      <c r="D1977" s="592">
        <v>-8500</v>
      </c>
      <c r="E1977" s="619">
        <v>45383</v>
      </c>
      <c r="F1977" s="201" t="s">
        <v>110</v>
      </c>
      <c r="G1977" s="208" t="s">
        <v>453</v>
      </c>
      <c r="H1977" s="81" t="s">
        <v>138</v>
      </c>
      <c r="I1977" s="201"/>
    </row>
    <row r="1978" spans="1:9" s="202" customFormat="1" ht="14.15" hidden="1">
      <c r="A1978" s="222">
        <v>45404</v>
      </c>
      <c r="B1978" s="627" t="s">
        <v>1909</v>
      </c>
      <c r="C1978" s="208" t="s">
        <v>146</v>
      </c>
      <c r="D1978" s="592">
        <v>-8500</v>
      </c>
      <c r="E1978" s="619">
        <v>45383</v>
      </c>
      <c r="F1978" s="201" t="s">
        <v>130</v>
      </c>
      <c r="G1978" s="201" t="s">
        <v>130</v>
      </c>
      <c r="H1978" s="201" t="s">
        <v>184</v>
      </c>
      <c r="I1978" s="201"/>
    </row>
    <row r="1979" spans="1:9" s="202" customFormat="1" ht="14.15" hidden="1">
      <c r="A1979" s="222">
        <v>45404</v>
      </c>
      <c r="B1979" s="627" t="s">
        <v>1479</v>
      </c>
      <c r="C1979" s="208" t="s">
        <v>146</v>
      </c>
      <c r="D1979" s="592">
        <v>-13500</v>
      </c>
      <c r="E1979" s="619">
        <v>45383</v>
      </c>
      <c r="F1979" s="201" t="s">
        <v>110</v>
      </c>
      <c r="G1979" s="208" t="s">
        <v>453</v>
      </c>
      <c r="H1979" s="81" t="s">
        <v>138</v>
      </c>
      <c r="I1979" s="201"/>
    </row>
    <row r="1980" spans="1:9" s="202" customFormat="1" ht="14.15" hidden="1">
      <c r="A1980" s="222">
        <v>45404</v>
      </c>
      <c r="B1980" s="627" t="s">
        <v>1910</v>
      </c>
      <c r="C1980" s="208" t="s">
        <v>146</v>
      </c>
      <c r="D1980" s="592">
        <v>-12900</v>
      </c>
      <c r="E1980" s="619">
        <v>45383</v>
      </c>
      <c r="F1980" s="201" t="s">
        <v>110</v>
      </c>
      <c r="G1980" s="208" t="s">
        <v>122</v>
      </c>
      <c r="H1980" s="81" t="s">
        <v>138</v>
      </c>
      <c r="I1980" s="201"/>
    </row>
    <row r="1981" spans="1:9" s="202" customFormat="1" ht="14.15" hidden="1">
      <c r="A1981" s="222">
        <v>45404</v>
      </c>
      <c r="B1981" s="627" t="s">
        <v>1911</v>
      </c>
      <c r="C1981" s="208" t="s">
        <v>146</v>
      </c>
      <c r="D1981" s="592">
        <v>-76200</v>
      </c>
      <c r="E1981" s="619">
        <v>45383</v>
      </c>
      <c r="F1981" s="201" t="s">
        <v>130</v>
      </c>
      <c r="G1981" s="614" t="s">
        <v>130</v>
      </c>
      <c r="H1981" s="201" t="s">
        <v>184</v>
      </c>
      <c r="I1981" s="201"/>
    </row>
    <row r="1982" spans="1:9" s="202" customFormat="1" ht="14.15" hidden="1">
      <c r="A1982" s="222">
        <v>45404</v>
      </c>
      <c r="B1982" s="627" t="s">
        <v>1912</v>
      </c>
      <c r="C1982" s="208" t="s">
        <v>146</v>
      </c>
      <c r="D1982" s="592">
        <v>-177000</v>
      </c>
      <c r="E1982" s="619">
        <v>45383</v>
      </c>
      <c r="F1982" s="201" t="s">
        <v>130</v>
      </c>
      <c r="G1982" s="614" t="s">
        <v>130</v>
      </c>
      <c r="H1982" s="81" t="s">
        <v>138</v>
      </c>
      <c r="I1982" s="201"/>
    </row>
    <row r="1983" spans="1:9" s="202" customFormat="1" ht="14.15" hidden="1">
      <c r="A1983" s="631">
        <v>45405</v>
      </c>
      <c r="B1983" s="627" t="s">
        <v>1913</v>
      </c>
      <c r="C1983" s="208" t="s">
        <v>146</v>
      </c>
      <c r="D1983" s="592">
        <v>-12400</v>
      </c>
      <c r="E1983" s="619">
        <v>45383</v>
      </c>
      <c r="F1983" s="201" t="s">
        <v>110</v>
      </c>
      <c r="G1983" s="208" t="s">
        <v>122</v>
      </c>
      <c r="H1983" s="81" t="s">
        <v>138</v>
      </c>
      <c r="I1983" s="201"/>
    </row>
    <row r="1984" spans="1:9" s="202" customFormat="1" ht="14.15" hidden="1">
      <c r="A1984" s="631">
        <v>45405</v>
      </c>
      <c r="B1984" s="627" t="s">
        <v>1914</v>
      </c>
      <c r="C1984" s="208" t="s">
        <v>146</v>
      </c>
      <c r="D1984" s="592">
        <v>-42700</v>
      </c>
      <c r="E1984" s="619">
        <v>45383</v>
      </c>
      <c r="F1984" s="201" t="s">
        <v>130</v>
      </c>
      <c r="G1984" s="201" t="s">
        <v>130</v>
      </c>
      <c r="H1984" s="201" t="s">
        <v>184</v>
      </c>
      <c r="I1984" s="201"/>
    </row>
    <row r="1985" spans="1:9" s="202" customFormat="1" ht="14.15" hidden="1">
      <c r="A1985" s="222">
        <v>45397</v>
      </c>
      <c r="B1985" s="627" t="s">
        <v>1915</v>
      </c>
      <c r="C1985" s="208" t="s">
        <v>146</v>
      </c>
      <c r="D1985" s="592">
        <v>-25500</v>
      </c>
      <c r="E1985" s="619">
        <v>45383</v>
      </c>
      <c r="F1985" s="201" t="s">
        <v>130</v>
      </c>
      <c r="G1985" s="201" t="s">
        <v>130</v>
      </c>
      <c r="H1985" s="201" t="s">
        <v>184</v>
      </c>
      <c r="I1985" s="201" t="s">
        <v>173</v>
      </c>
    </row>
    <row r="1986" spans="1:9" s="202" customFormat="1" ht="14.15" hidden="1">
      <c r="A1986" s="222">
        <v>45398</v>
      </c>
      <c r="B1986" s="627" t="s">
        <v>1916</v>
      </c>
      <c r="C1986" s="208" t="s">
        <v>146</v>
      </c>
      <c r="D1986" s="592">
        <v>-13800</v>
      </c>
      <c r="E1986" s="619">
        <v>45383</v>
      </c>
      <c r="F1986" s="201" t="s">
        <v>130</v>
      </c>
      <c r="G1986" s="201" t="s">
        <v>130</v>
      </c>
      <c r="H1986" s="201" t="s">
        <v>184</v>
      </c>
      <c r="I1986" s="201" t="s">
        <v>173</v>
      </c>
    </row>
    <row r="1987" spans="1:9" s="202" customFormat="1" ht="14.15" hidden="1">
      <c r="A1987" s="222">
        <v>45398</v>
      </c>
      <c r="B1987" s="627" t="s">
        <v>1917</v>
      </c>
      <c r="C1987" s="208" t="s">
        <v>146</v>
      </c>
      <c r="D1987" s="592">
        <v>-76000</v>
      </c>
      <c r="E1987" s="619">
        <v>45383</v>
      </c>
      <c r="F1987" s="201" t="s">
        <v>110</v>
      </c>
      <c r="G1987" s="208" t="s">
        <v>453</v>
      </c>
      <c r="H1987" s="208" t="s">
        <v>175</v>
      </c>
      <c r="I1987" s="201" t="s">
        <v>173</v>
      </c>
    </row>
    <row r="1988" spans="1:9" s="202" customFormat="1" ht="14.15" hidden="1">
      <c r="A1988" s="222">
        <v>45399</v>
      </c>
      <c r="B1988" s="627" t="s">
        <v>1918</v>
      </c>
      <c r="C1988" s="208" t="s">
        <v>146</v>
      </c>
      <c r="D1988" s="592">
        <v>-78000</v>
      </c>
      <c r="E1988" s="619">
        <v>45383</v>
      </c>
      <c r="F1988" s="201" t="s">
        <v>110</v>
      </c>
      <c r="G1988" s="208" t="s">
        <v>453</v>
      </c>
      <c r="H1988" s="208" t="s">
        <v>175</v>
      </c>
      <c r="I1988" s="201" t="s">
        <v>173</v>
      </c>
    </row>
    <row r="1989" spans="1:9" s="202" customFormat="1" ht="14.15" hidden="1">
      <c r="A1989" s="222">
        <v>45399</v>
      </c>
      <c r="B1989" s="627" t="s">
        <v>1919</v>
      </c>
      <c r="C1989" s="208" t="s">
        <v>146</v>
      </c>
      <c r="D1989" s="592">
        <v>-137000</v>
      </c>
      <c r="E1989" s="619">
        <v>45383</v>
      </c>
      <c r="F1989" s="201" t="s">
        <v>109</v>
      </c>
      <c r="G1989" s="201" t="s">
        <v>918</v>
      </c>
      <c r="H1989" s="208" t="s">
        <v>175</v>
      </c>
      <c r="I1989" s="201" t="s">
        <v>173</v>
      </c>
    </row>
    <row r="1990" spans="1:9" s="202" customFormat="1" ht="14.15" hidden="1">
      <c r="A1990" s="222">
        <v>45399</v>
      </c>
      <c r="B1990" s="627" t="s">
        <v>1920</v>
      </c>
      <c r="C1990" s="208" t="s">
        <v>146</v>
      </c>
      <c r="D1990" s="592">
        <v>-37700</v>
      </c>
      <c r="E1990" s="619">
        <v>45383</v>
      </c>
      <c r="F1990" s="201" t="s">
        <v>109</v>
      </c>
      <c r="G1990" s="201" t="s">
        <v>918</v>
      </c>
      <c r="H1990" s="208" t="s">
        <v>175</v>
      </c>
      <c r="I1990" s="201" t="s">
        <v>173</v>
      </c>
    </row>
    <row r="1991" spans="1:9" s="202" customFormat="1" ht="14.15" hidden="1">
      <c r="A1991" s="222">
        <v>45399</v>
      </c>
      <c r="B1991" s="627" t="s">
        <v>1921</v>
      </c>
      <c r="C1991" s="208" t="s">
        <v>146</v>
      </c>
      <c r="D1991" s="592">
        <v>-16700</v>
      </c>
      <c r="E1991" s="619">
        <v>45383</v>
      </c>
      <c r="F1991" s="201" t="s">
        <v>110</v>
      </c>
      <c r="G1991" s="208" t="s">
        <v>122</v>
      </c>
      <c r="H1991" s="208" t="s">
        <v>175</v>
      </c>
      <c r="I1991" s="201" t="s">
        <v>173</v>
      </c>
    </row>
    <row r="1992" spans="1:9" s="202" customFormat="1" ht="14.15" hidden="1">
      <c r="A1992" s="222">
        <v>45399</v>
      </c>
      <c r="B1992" s="627" t="s">
        <v>1922</v>
      </c>
      <c r="C1992" s="208" t="s">
        <v>146</v>
      </c>
      <c r="D1992" s="592">
        <v>-2400</v>
      </c>
      <c r="E1992" s="619">
        <v>45383</v>
      </c>
      <c r="F1992" s="201" t="s">
        <v>110</v>
      </c>
      <c r="G1992" s="208" t="s">
        <v>453</v>
      </c>
      <c r="H1992" s="208" t="s">
        <v>175</v>
      </c>
      <c r="I1992" s="201" t="s">
        <v>173</v>
      </c>
    </row>
    <row r="1993" spans="1:9" s="202" customFormat="1" ht="14.15" hidden="1">
      <c r="A1993" s="222">
        <v>45399</v>
      </c>
      <c r="B1993" s="627" t="s">
        <v>1923</v>
      </c>
      <c r="C1993" s="208" t="s">
        <v>146</v>
      </c>
      <c r="D1993" s="592">
        <v>-24690</v>
      </c>
      <c r="E1993" s="619">
        <v>45383</v>
      </c>
      <c r="F1993" s="201" t="s">
        <v>109</v>
      </c>
      <c r="G1993" s="201" t="s">
        <v>918</v>
      </c>
      <c r="H1993" s="208" t="s">
        <v>175</v>
      </c>
      <c r="I1993" s="201" t="s">
        <v>173</v>
      </c>
    </row>
    <row r="1994" spans="1:9" s="202" customFormat="1" ht="14.15" hidden="1">
      <c r="A1994" s="222">
        <v>45400</v>
      </c>
      <c r="B1994" s="627" t="s">
        <v>1924</v>
      </c>
      <c r="C1994" s="208" t="s">
        <v>146</v>
      </c>
      <c r="D1994" s="592">
        <v>-21600</v>
      </c>
      <c r="E1994" s="619">
        <v>45383</v>
      </c>
      <c r="F1994" s="201" t="s">
        <v>110</v>
      </c>
      <c r="G1994" s="208" t="s">
        <v>122</v>
      </c>
      <c r="H1994" s="208" t="s">
        <v>175</v>
      </c>
      <c r="I1994" s="201" t="s">
        <v>173</v>
      </c>
    </row>
    <row r="1995" spans="1:9" s="202" customFormat="1" ht="14.15" hidden="1">
      <c r="A1995" s="222">
        <v>45400</v>
      </c>
      <c r="B1995" s="627" t="s">
        <v>1925</v>
      </c>
      <c r="C1995" s="208" t="s">
        <v>146</v>
      </c>
      <c r="D1995" s="592">
        <v>-5952</v>
      </c>
      <c r="E1995" s="619">
        <v>45383</v>
      </c>
      <c r="F1995" s="201" t="s">
        <v>110</v>
      </c>
      <c r="G1995" s="208" t="s">
        <v>122</v>
      </c>
      <c r="H1995" s="208" t="s">
        <v>175</v>
      </c>
      <c r="I1995" s="201" t="s">
        <v>173</v>
      </c>
    </row>
    <row r="1996" spans="1:9" s="202" customFormat="1" ht="14.15" hidden="1">
      <c r="A1996" s="222">
        <v>45400</v>
      </c>
      <c r="B1996" s="627" t="s">
        <v>1926</v>
      </c>
      <c r="C1996" s="208" t="s">
        <v>146</v>
      </c>
      <c r="D1996" s="592">
        <v>-64000</v>
      </c>
      <c r="E1996" s="619">
        <v>45383</v>
      </c>
      <c r="F1996" s="201" t="s">
        <v>130</v>
      </c>
      <c r="G1996" s="201" t="s">
        <v>130</v>
      </c>
      <c r="H1996" s="201" t="s">
        <v>323</v>
      </c>
      <c r="I1996" s="201" t="s">
        <v>173</v>
      </c>
    </row>
    <row r="1997" spans="1:9" s="202" customFormat="1" ht="14.15" hidden="1">
      <c r="A1997" s="222">
        <v>45401</v>
      </c>
      <c r="B1997" s="627" t="s">
        <v>1927</v>
      </c>
      <c r="C1997" s="208" t="s">
        <v>146</v>
      </c>
      <c r="D1997" s="592">
        <v>-28000</v>
      </c>
      <c r="E1997" s="619">
        <v>45383</v>
      </c>
      <c r="F1997" s="201" t="s">
        <v>110</v>
      </c>
      <c r="G1997" s="208" t="s">
        <v>453</v>
      </c>
      <c r="H1997" s="208" t="s">
        <v>175</v>
      </c>
      <c r="I1997" s="201" t="s">
        <v>173</v>
      </c>
    </row>
    <row r="1998" spans="1:9" s="202" customFormat="1" ht="14.15" hidden="1">
      <c r="A1998" s="222">
        <v>45401</v>
      </c>
      <c r="B1998" s="627" t="s">
        <v>1928</v>
      </c>
      <c r="C1998" s="208" t="s">
        <v>146</v>
      </c>
      <c r="D1998" s="592">
        <v>-5600</v>
      </c>
      <c r="E1998" s="619">
        <v>45383</v>
      </c>
      <c r="F1998" s="201" t="s">
        <v>130</v>
      </c>
      <c r="G1998" s="201" t="s">
        <v>130</v>
      </c>
      <c r="H1998" s="201" t="s">
        <v>184</v>
      </c>
      <c r="I1998" s="201" t="s">
        <v>173</v>
      </c>
    </row>
    <row r="1999" spans="1:9" s="202" customFormat="1" ht="14.15" hidden="1">
      <c r="A1999" s="222">
        <v>45400</v>
      </c>
      <c r="B1999" s="627" t="s">
        <v>1929</v>
      </c>
      <c r="C1999" s="208" t="s">
        <v>146</v>
      </c>
      <c r="D1999" s="592">
        <v>-130322</v>
      </c>
      <c r="E1999" s="619">
        <v>45383</v>
      </c>
      <c r="F1999" s="201" t="s">
        <v>109</v>
      </c>
      <c r="G1999" s="201" t="s">
        <v>918</v>
      </c>
      <c r="H1999" s="208" t="s">
        <v>175</v>
      </c>
      <c r="I1999" s="201" t="s">
        <v>173</v>
      </c>
    </row>
    <row r="2000" spans="1:9" s="202" customFormat="1" ht="14.15" hidden="1">
      <c r="A2000" s="222">
        <v>45400</v>
      </c>
      <c r="B2000" s="627" t="s">
        <v>1930</v>
      </c>
      <c r="C2000" s="208" t="s">
        <v>146</v>
      </c>
      <c r="D2000" s="592">
        <v>-17100</v>
      </c>
      <c r="E2000" s="619">
        <v>45383</v>
      </c>
      <c r="F2000" s="201" t="s">
        <v>110</v>
      </c>
      <c r="G2000" s="208" t="s">
        <v>122</v>
      </c>
      <c r="H2000" s="208" t="s">
        <v>175</v>
      </c>
      <c r="I2000" s="201" t="s">
        <v>173</v>
      </c>
    </row>
    <row r="2001" spans="1:9" s="202" customFormat="1" ht="14.15" hidden="1">
      <c r="A2001" s="222">
        <v>45400</v>
      </c>
      <c r="B2001" s="627" t="s">
        <v>1931</v>
      </c>
      <c r="C2001" s="208" t="s">
        <v>146</v>
      </c>
      <c r="D2001" s="592">
        <v>-10000</v>
      </c>
      <c r="E2001" s="619">
        <v>45383</v>
      </c>
      <c r="F2001" s="201" t="s">
        <v>110</v>
      </c>
      <c r="G2001" s="208" t="s">
        <v>122</v>
      </c>
      <c r="H2001" s="208" t="s">
        <v>175</v>
      </c>
      <c r="I2001" s="201" t="s">
        <v>173</v>
      </c>
    </row>
    <row r="2002" spans="1:9" s="202" customFormat="1" ht="14.15" hidden="1">
      <c r="A2002" s="222">
        <v>45404</v>
      </c>
      <c r="B2002" s="627" t="s">
        <v>1932</v>
      </c>
      <c r="C2002" s="208" t="s">
        <v>146</v>
      </c>
      <c r="D2002" s="592">
        <v>-78624</v>
      </c>
      <c r="E2002" s="619">
        <v>45383</v>
      </c>
      <c r="F2002" s="201" t="s">
        <v>109</v>
      </c>
      <c r="G2002" s="208" t="s">
        <v>125</v>
      </c>
      <c r="H2002" s="208" t="s">
        <v>175</v>
      </c>
      <c r="I2002" s="201" t="s">
        <v>173</v>
      </c>
    </row>
    <row r="2003" spans="1:9" s="202" customFormat="1" ht="14.15" hidden="1">
      <c r="A2003" s="222">
        <v>45405</v>
      </c>
      <c r="B2003" s="627" t="s">
        <v>1933</v>
      </c>
      <c r="C2003" s="208" t="s">
        <v>146</v>
      </c>
      <c r="D2003" s="592">
        <v>-6500</v>
      </c>
      <c r="E2003" s="619">
        <v>45383</v>
      </c>
      <c r="F2003" s="201" t="s">
        <v>109</v>
      </c>
      <c r="G2003" s="201" t="s">
        <v>1261</v>
      </c>
      <c r="H2003" s="81" t="s">
        <v>138</v>
      </c>
      <c r="I2003" s="201"/>
    </row>
    <row r="2004" spans="1:9" s="202" customFormat="1" ht="14.15" hidden="1">
      <c r="A2004" s="222">
        <v>45405</v>
      </c>
      <c r="B2004" s="627" t="s">
        <v>1826</v>
      </c>
      <c r="C2004" s="208" t="s">
        <v>146</v>
      </c>
      <c r="D2004" s="592">
        <v>-9000</v>
      </c>
      <c r="E2004" s="619">
        <v>45383</v>
      </c>
      <c r="F2004" s="201" t="s">
        <v>130</v>
      </c>
      <c r="G2004" s="201" t="s">
        <v>130</v>
      </c>
      <c r="H2004" s="201" t="s">
        <v>184</v>
      </c>
      <c r="I2004" s="201"/>
    </row>
    <row r="2005" spans="1:9" s="202" customFormat="1" ht="14.15" hidden="1">
      <c r="A2005" s="222">
        <v>45405</v>
      </c>
      <c r="B2005" s="627" t="s">
        <v>1800</v>
      </c>
      <c r="C2005" s="208" t="s">
        <v>146</v>
      </c>
      <c r="D2005" s="592">
        <v>-12400</v>
      </c>
      <c r="E2005" s="619">
        <v>45383</v>
      </c>
      <c r="F2005" s="291" t="s">
        <v>110</v>
      </c>
      <c r="G2005" s="208" t="s">
        <v>450</v>
      </c>
      <c r="H2005" s="81" t="s">
        <v>138</v>
      </c>
      <c r="I2005" s="201"/>
    </row>
    <row r="2006" spans="1:9" s="202" customFormat="1" ht="14.15" hidden="1">
      <c r="A2006" s="222">
        <v>45405</v>
      </c>
      <c r="B2006" s="201" t="s">
        <v>1934</v>
      </c>
      <c r="C2006" s="208" t="s">
        <v>146</v>
      </c>
      <c r="D2006" s="592">
        <v>-249200</v>
      </c>
      <c r="E2006" s="619">
        <v>45383</v>
      </c>
      <c r="F2006" s="201" t="s">
        <v>130</v>
      </c>
      <c r="G2006" s="201" t="s">
        <v>257</v>
      </c>
      <c r="H2006" s="201" t="s">
        <v>1182</v>
      </c>
      <c r="I2006" s="201"/>
    </row>
    <row r="2007" spans="1:9" s="202" customFormat="1" ht="14.15" hidden="1">
      <c r="A2007" s="222">
        <v>45406</v>
      </c>
      <c r="B2007" s="201" t="s">
        <v>1914</v>
      </c>
      <c r="C2007" s="208" t="s">
        <v>146</v>
      </c>
      <c r="D2007" s="592">
        <v>-13600</v>
      </c>
      <c r="E2007" s="619">
        <v>45383</v>
      </c>
      <c r="F2007" s="201" t="s">
        <v>130</v>
      </c>
      <c r="G2007" s="201" t="s">
        <v>130</v>
      </c>
      <c r="H2007" s="201" t="s">
        <v>184</v>
      </c>
      <c r="I2007" s="201"/>
    </row>
    <row r="2008" spans="1:9" s="202" customFormat="1" ht="14.15" hidden="1">
      <c r="A2008" s="222">
        <v>45406</v>
      </c>
      <c r="B2008" s="201" t="s">
        <v>1935</v>
      </c>
      <c r="C2008" s="208" t="s">
        <v>146</v>
      </c>
      <c r="D2008" s="592">
        <v>-6000</v>
      </c>
      <c r="E2008" s="619">
        <v>45383</v>
      </c>
      <c r="F2008" s="201" t="s">
        <v>130</v>
      </c>
      <c r="G2008" s="201" t="s">
        <v>130</v>
      </c>
      <c r="H2008" s="81" t="s">
        <v>138</v>
      </c>
      <c r="I2008" s="201"/>
    </row>
    <row r="2009" spans="1:9" s="202" customFormat="1" ht="14.15" hidden="1">
      <c r="A2009" s="222">
        <v>45406</v>
      </c>
      <c r="B2009" s="201" t="s">
        <v>1936</v>
      </c>
      <c r="C2009" s="208" t="s">
        <v>146</v>
      </c>
      <c r="D2009" s="592">
        <v>-13000</v>
      </c>
      <c r="E2009" s="619">
        <v>45383</v>
      </c>
      <c r="F2009" s="201" t="s">
        <v>110</v>
      </c>
      <c r="G2009" s="208" t="s">
        <v>122</v>
      </c>
      <c r="H2009" s="81" t="s">
        <v>138</v>
      </c>
      <c r="I2009" s="201"/>
    </row>
    <row r="2010" spans="1:9" s="202" customFormat="1" ht="14.15" hidden="1">
      <c r="A2010" s="222">
        <v>45406</v>
      </c>
      <c r="B2010" s="201" t="s">
        <v>1909</v>
      </c>
      <c r="C2010" s="208" t="s">
        <v>146</v>
      </c>
      <c r="D2010" s="592">
        <v>-7800</v>
      </c>
      <c r="E2010" s="619">
        <v>45383</v>
      </c>
      <c r="F2010" s="201" t="s">
        <v>130</v>
      </c>
      <c r="G2010" s="201" t="s">
        <v>130</v>
      </c>
      <c r="H2010" s="201" t="s">
        <v>184</v>
      </c>
      <c r="I2010" s="201"/>
    </row>
    <row r="2011" spans="1:9" s="202" customFormat="1" ht="14.15" hidden="1">
      <c r="A2011" s="222">
        <v>45406</v>
      </c>
      <c r="B2011" s="201" t="s">
        <v>1937</v>
      </c>
      <c r="C2011" s="208" t="s">
        <v>146</v>
      </c>
      <c r="D2011" s="592">
        <v>-3600</v>
      </c>
      <c r="E2011" s="619">
        <v>45383</v>
      </c>
      <c r="F2011" s="201" t="s">
        <v>130</v>
      </c>
      <c r="G2011" s="201" t="s">
        <v>130</v>
      </c>
      <c r="H2011" s="201" t="s">
        <v>184</v>
      </c>
      <c r="I2011" s="201"/>
    </row>
    <row r="2012" spans="1:9" s="202" customFormat="1" ht="14.15" hidden="1">
      <c r="A2012" s="222">
        <v>45406</v>
      </c>
      <c r="B2012" s="201" t="s">
        <v>1938</v>
      </c>
      <c r="C2012" s="208" t="s">
        <v>146</v>
      </c>
      <c r="D2012" s="592">
        <v>-2200</v>
      </c>
      <c r="E2012" s="619">
        <v>45383</v>
      </c>
      <c r="F2012" s="201" t="s">
        <v>130</v>
      </c>
      <c r="G2012" s="201" t="s">
        <v>130</v>
      </c>
      <c r="H2012" s="201" t="s">
        <v>184</v>
      </c>
      <c r="I2012" s="201"/>
    </row>
    <row r="2013" spans="1:9" s="202" customFormat="1" ht="14.15" hidden="1">
      <c r="A2013" s="222">
        <v>45406</v>
      </c>
      <c r="B2013" s="201" t="s">
        <v>1939</v>
      </c>
      <c r="C2013" s="208" t="s">
        <v>146</v>
      </c>
      <c r="D2013" s="592">
        <v>-23900</v>
      </c>
      <c r="E2013" s="619">
        <v>45383</v>
      </c>
      <c r="F2013" s="201" t="s">
        <v>130</v>
      </c>
      <c r="G2013" s="201" t="s">
        <v>130</v>
      </c>
      <c r="H2013" s="201" t="s">
        <v>184</v>
      </c>
      <c r="I2013" s="201"/>
    </row>
    <row r="2014" spans="1:9" s="202" customFormat="1" ht="14.15" hidden="1">
      <c r="A2014" s="222">
        <v>45406</v>
      </c>
      <c r="B2014" s="201" t="s">
        <v>1940</v>
      </c>
      <c r="C2014" s="208" t="s">
        <v>146</v>
      </c>
      <c r="D2014" s="592">
        <v>40000</v>
      </c>
      <c r="E2014" s="619">
        <v>45383</v>
      </c>
      <c r="F2014" s="201" t="s">
        <v>130</v>
      </c>
      <c r="G2014" s="201" t="s">
        <v>257</v>
      </c>
      <c r="H2014" s="81" t="s">
        <v>138</v>
      </c>
      <c r="I2014" s="201"/>
    </row>
    <row r="2015" spans="1:9" s="202" customFormat="1" ht="14.15" hidden="1">
      <c r="A2015" s="222">
        <v>45401</v>
      </c>
      <c r="B2015" s="201" t="s">
        <v>1941</v>
      </c>
      <c r="C2015" s="208" t="s">
        <v>146</v>
      </c>
      <c r="D2015" s="592">
        <v>-125000</v>
      </c>
      <c r="E2015" s="619">
        <v>45383</v>
      </c>
      <c r="F2015" s="291" t="s">
        <v>110</v>
      </c>
      <c r="G2015" s="208" t="s">
        <v>450</v>
      </c>
      <c r="H2015" s="208" t="s">
        <v>147</v>
      </c>
      <c r="I2015" s="201"/>
    </row>
    <row r="2016" spans="1:9" s="202" customFormat="1" ht="14.15" hidden="1">
      <c r="A2016" s="222">
        <v>45401</v>
      </c>
      <c r="B2016" s="201" t="s">
        <v>1828</v>
      </c>
      <c r="C2016" s="208" t="s">
        <v>146</v>
      </c>
      <c r="D2016" s="592">
        <v>-25000</v>
      </c>
      <c r="E2016" s="619">
        <v>45383</v>
      </c>
      <c r="F2016" s="291" t="s">
        <v>110</v>
      </c>
      <c r="G2016" s="208" t="s">
        <v>450</v>
      </c>
      <c r="H2016" s="81" t="s">
        <v>138</v>
      </c>
      <c r="I2016" s="201"/>
    </row>
    <row r="2017" spans="1:9" s="202" customFormat="1" ht="14.15" hidden="1">
      <c r="A2017" s="222">
        <v>45400</v>
      </c>
      <c r="B2017" s="201" t="s">
        <v>1942</v>
      </c>
      <c r="C2017" s="208" t="s">
        <v>146</v>
      </c>
      <c r="D2017" s="592">
        <v>-450000</v>
      </c>
      <c r="E2017" s="619">
        <v>45383</v>
      </c>
      <c r="F2017" s="201" t="s">
        <v>109</v>
      </c>
      <c r="G2017" s="208" t="s">
        <v>120</v>
      </c>
      <c r="H2017" s="201"/>
      <c r="I2017" s="201"/>
    </row>
    <row r="2018" spans="1:9" s="202" customFormat="1" ht="14.15" hidden="1">
      <c r="A2018" s="222">
        <v>45400</v>
      </c>
      <c r="B2018" s="201" t="s">
        <v>1316</v>
      </c>
      <c r="C2018" s="208" t="s">
        <v>27</v>
      </c>
      <c r="D2018" s="592">
        <v>-2822177</v>
      </c>
      <c r="E2018" s="619">
        <v>45383</v>
      </c>
      <c r="F2018" s="84" t="s">
        <v>111</v>
      </c>
      <c r="G2018" s="201"/>
      <c r="H2018" s="201"/>
      <c r="I2018" s="201"/>
    </row>
    <row r="2019" spans="1:9" s="202" customFormat="1" ht="14.15" hidden="1">
      <c r="A2019" s="222">
        <v>45400</v>
      </c>
      <c r="B2019" s="201" t="s">
        <v>1943</v>
      </c>
      <c r="C2019" s="208" t="s">
        <v>27</v>
      </c>
      <c r="D2019" s="592">
        <v>-1125284.6399999999</v>
      </c>
      <c r="E2019" s="619">
        <v>45383</v>
      </c>
      <c r="F2019" s="201" t="s">
        <v>118</v>
      </c>
      <c r="G2019" s="201"/>
      <c r="H2019" s="291"/>
      <c r="I2019" s="291"/>
    </row>
    <row r="2020" spans="1:9" s="202" customFormat="1" ht="14.15" hidden="1">
      <c r="A2020" s="222">
        <v>45400</v>
      </c>
      <c r="B2020" s="201" t="s">
        <v>1944</v>
      </c>
      <c r="C2020" s="208" t="s">
        <v>27</v>
      </c>
      <c r="D2020" s="592">
        <v>-2216988.52</v>
      </c>
      <c r="E2020" s="619">
        <v>45383</v>
      </c>
      <c r="F2020" s="84" t="s">
        <v>111</v>
      </c>
      <c r="G2020" s="201" t="s">
        <v>130</v>
      </c>
      <c r="H2020" s="201"/>
      <c r="I2020" s="201"/>
    </row>
    <row r="2021" spans="1:9" s="202" customFormat="1" ht="14.15" hidden="1">
      <c r="A2021" s="222">
        <v>45400</v>
      </c>
      <c r="B2021" s="201" t="s">
        <v>1945</v>
      </c>
      <c r="C2021" s="208" t="s">
        <v>27</v>
      </c>
      <c r="D2021" s="592">
        <v>-18301140</v>
      </c>
      <c r="E2021" s="619">
        <v>45383</v>
      </c>
      <c r="F2021" s="201" t="s">
        <v>109</v>
      </c>
      <c r="G2021" s="208" t="s">
        <v>120</v>
      </c>
      <c r="H2021" s="201"/>
      <c r="I2021" s="201"/>
    </row>
    <row r="2022" spans="1:9" s="202" customFormat="1" ht="14.15" hidden="1">
      <c r="A2022" s="222">
        <v>45400</v>
      </c>
      <c r="B2022" s="201" t="s">
        <v>1946</v>
      </c>
      <c r="C2022" s="208" t="s">
        <v>27</v>
      </c>
      <c r="D2022" s="592">
        <v>-70000</v>
      </c>
      <c r="E2022" s="619">
        <v>45383</v>
      </c>
      <c r="F2022" s="201" t="s">
        <v>130</v>
      </c>
      <c r="G2022" s="201" t="s">
        <v>130</v>
      </c>
      <c r="H2022" s="201" t="s">
        <v>1245</v>
      </c>
      <c r="I2022" s="201"/>
    </row>
    <row r="2023" spans="1:9" s="202" customFormat="1" ht="14.15" hidden="1">
      <c r="A2023" s="222">
        <v>45400</v>
      </c>
      <c r="B2023" s="201" t="s">
        <v>1947</v>
      </c>
      <c r="C2023" s="208" t="s">
        <v>27</v>
      </c>
      <c r="D2023" s="592">
        <v>-13890000</v>
      </c>
      <c r="E2023" s="619">
        <v>45383</v>
      </c>
      <c r="F2023" s="201" t="s">
        <v>109</v>
      </c>
      <c r="G2023" s="208" t="s">
        <v>120</v>
      </c>
      <c r="H2023" s="208" t="s">
        <v>147</v>
      </c>
      <c r="I2023" s="201"/>
    </row>
    <row r="2024" spans="1:9" s="202" customFormat="1" ht="14.15" hidden="1">
      <c r="A2024" s="222">
        <v>45401</v>
      </c>
      <c r="B2024" s="630" t="s">
        <v>1844</v>
      </c>
      <c r="C2024" s="208" t="s">
        <v>27</v>
      </c>
      <c r="D2024" s="592">
        <v>-1240000</v>
      </c>
      <c r="E2024" s="619">
        <v>45383</v>
      </c>
      <c r="F2024" s="201" t="s">
        <v>109</v>
      </c>
      <c r="G2024" s="208" t="s">
        <v>120</v>
      </c>
      <c r="H2024" s="208" t="s">
        <v>175</v>
      </c>
      <c r="I2024" s="201"/>
    </row>
    <row r="2025" spans="1:9" s="202" customFormat="1" ht="14.15" hidden="1">
      <c r="A2025" s="222">
        <v>45404</v>
      </c>
      <c r="B2025" s="201" t="s">
        <v>1948</v>
      </c>
      <c r="C2025" s="208" t="s">
        <v>27</v>
      </c>
      <c r="D2025" s="592">
        <v>-2000000</v>
      </c>
      <c r="E2025" s="619">
        <v>45383</v>
      </c>
      <c r="F2025" s="201" t="s">
        <v>109</v>
      </c>
      <c r="G2025" s="208" t="s">
        <v>120</v>
      </c>
      <c r="H2025" s="208" t="s">
        <v>147</v>
      </c>
      <c r="I2025" s="201"/>
    </row>
    <row r="2026" spans="1:9" s="202" customFormat="1" ht="14.15" hidden="1">
      <c r="A2026" s="222">
        <v>45404</v>
      </c>
      <c r="B2026" s="201" t="s">
        <v>1949</v>
      </c>
      <c r="C2026" s="208" t="s">
        <v>27</v>
      </c>
      <c r="D2026" s="592">
        <v>-38604028</v>
      </c>
      <c r="E2026" s="619">
        <v>45383</v>
      </c>
      <c r="F2026" s="201" t="s">
        <v>109</v>
      </c>
      <c r="G2026" s="208" t="s">
        <v>120</v>
      </c>
      <c r="H2026" s="208" t="s">
        <v>147</v>
      </c>
      <c r="I2026" s="201"/>
    </row>
    <row r="2027" spans="1:9" s="202" customFormat="1" ht="14.15" hidden="1">
      <c r="A2027" s="222">
        <v>45404</v>
      </c>
      <c r="B2027" s="201" t="s">
        <v>1950</v>
      </c>
      <c r="C2027" s="208" t="s">
        <v>27</v>
      </c>
      <c r="D2027" s="592">
        <v>-183275</v>
      </c>
      <c r="E2027" s="619">
        <v>45383</v>
      </c>
      <c r="F2027" s="201" t="s">
        <v>109</v>
      </c>
      <c r="G2027" s="208" t="s">
        <v>120</v>
      </c>
      <c r="H2027" s="201"/>
      <c r="I2027" s="201"/>
    </row>
    <row r="2028" spans="1:9" s="202" customFormat="1" ht="14.15" hidden="1">
      <c r="A2028" s="222">
        <v>45404</v>
      </c>
      <c r="B2028" s="201" t="s">
        <v>1951</v>
      </c>
      <c r="C2028" s="208" t="s">
        <v>27</v>
      </c>
      <c r="D2028" s="592">
        <v>-4462500</v>
      </c>
      <c r="E2028" s="619">
        <v>45383</v>
      </c>
      <c r="F2028" s="201" t="s">
        <v>109</v>
      </c>
      <c r="G2028" s="208" t="s">
        <v>120</v>
      </c>
      <c r="H2028" s="201"/>
      <c r="I2028" s="201"/>
    </row>
    <row r="2029" spans="1:9" s="202" customFormat="1" ht="14.15" hidden="1">
      <c r="A2029" s="222">
        <v>45404</v>
      </c>
      <c r="B2029" s="201" t="s">
        <v>1952</v>
      </c>
      <c r="C2029" s="208" t="s">
        <v>27</v>
      </c>
      <c r="D2029" s="592">
        <v>-379856</v>
      </c>
      <c r="E2029" s="619">
        <v>45383</v>
      </c>
      <c r="F2029" s="201" t="s">
        <v>110</v>
      </c>
      <c r="G2029" s="208" t="s">
        <v>122</v>
      </c>
      <c r="H2029" s="208" t="s">
        <v>175</v>
      </c>
      <c r="I2029" s="201"/>
    </row>
    <row r="2030" spans="1:9" s="202" customFormat="1" ht="14.15" hidden="1">
      <c r="A2030" s="222">
        <v>45404</v>
      </c>
      <c r="B2030" s="201" t="s">
        <v>1953</v>
      </c>
      <c r="C2030" s="208" t="s">
        <v>27</v>
      </c>
      <c r="D2030" s="592">
        <v>-1770000</v>
      </c>
      <c r="E2030" s="619">
        <v>45383</v>
      </c>
      <c r="F2030" s="201" t="s">
        <v>109</v>
      </c>
      <c r="G2030" s="208" t="s">
        <v>120</v>
      </c>
      <c r="H2030" s="201"/>
      <c r="I2030" s="201"/>
    </row>
    <row r="2031" spans="1:9" s="202" customFormat="1" ht="14.15" hidden="1">
      <c r="A2031" s="222">
        <v>45405</v>
      </c>
      <c r="B2031" s="201" t="s">
        <v>1954</v>
      </c>
      <c r="C2031" s="208" t="s">
        <v>27</v>
      </c>
      <c r="D2031" s="592">
        <v>-427865</v>
      </c>
      <c r="E2031" s="619">
        <v>45383</v>
      </c>
      <c r="F2031" s="201" t="s">
        <v>109</v>
      </c>
      <c r="G2031" s="208" t="s">
        <v>120</v>
      </c>
      <c r="H2031" s="201"/>
      <c r="I2031" s="201"/>
    </row>
    <row r="2032" spans="1:9" s="202" customFormat="1" ht="14.15" hidden="1">
      <c r="A2032" s="222">
        <v>45405</v>
      </c>
      <c r="B2032" s="201" t="s">
        <v>1955</v>
      </c>
      <c r="C2032" s="208" t="s">
        <v>27</v>
      </c>
      <c r="D2032" s="592">
        <v>-752000</v>
      </c>
      <c r="E2032" s="619">
        <v>45383</v>
      </c>
      <c r="F2032" s="201" t="s">
        <v>130</v>
      </c>
      <c r="G2032" s="201" t="s">
        <v>130</v>
      </c>
      <c r="H2032" s="201" t="s">
        <v>323</v>
      </c>
      <c r="I2032" s="201"/>
    </row>
    <row r="2033" spans="1:149" s="202" customFormat="1" ht="14.15" hidden="1">
      <c r="A2033" s="222">
        <v>45400</v>
      </c>
      <c r="B2033" s="201" t="s">
        <v>1944</v>
      </c>
      <c r="C2033" s="208" t="s">
        <v>27</v>
      </c>
      <c r="D2033" s="592">
        <v>-1920384.48</v>
      </c>
      <c r="E2033" s="619">
        <v>45383</v>
      </c>
      <c r="F2033" s="201" t="s">
        <v>118</v>
      </c>
      <c r="G2033" s="201" t="s">
        <v>130</v>
      </c>
      <c r="H2033" s="291"/>
      <c r="I2033" s="201"/>
    </row>
    <row r="2034" spans="1:149" s="202" customFormat="1" ht="14.15" hidden="1">
      <c r="A2034" s="222">
        <v>45405</v>
      </c>
      <c r="B2034" s="201" t="s">
        <v>1956</v>
      </c>
      <c r="C2034" s="208" t="s">
        <v>27</v>
      </c>
      <c r="D2034" s="592">
        <v>-685400</v>
      </c>
      <c r="E2034" s="619">
        <v>45383</v>
      </c>
      <c r="F2034" s="201" t="s">
        <v>130</v>
      </c>
      <c r="G2034" s="201" t="s">
        <v>130</v>
      </c>
      <c r="H2034" s="201" t="s">
        <v>323</v>
      </c>
      <c r="I2034" s="201"/>
    </row>
    <row r="2035" spans="1:149" s="202" customFormat="1" ht="14.15" hidden="1">
      <c r="A2035" s="222">
        <v>45335</v>
      </c>
      <c r="B2035" s="201" t="s">
        <v>1957</v>
      </c>
      <c r="C2035" s="208" t="s">
        <v>27</v>
      </c>
      <c r="D2035" s="592">
        <v>-372023</v>
      </c>
      <c r="E2035" s="212">
        <v>45323</v>
      </c>
      <c r="F2035" s="201" t="s">
        <v>109</v>
      </c>
      <c r="G2035" s="208" t="s">
        <v>120</v>
      </c>
      <c r="H2035" s="208" t="s">
        <v>175</v>
      </c>
      <c r="I2035" s="201"/>
      <c r="U2035" s="182"/>
      <c r="V2035" s="182"/>
      <c r="W2035" s="182"/>
      <c r="X2035" s="182"/>
      <c r="Y2035" s="182"/>
      <c r="Z2035" s="182"/>
      <c r="AA2035" s="182"/>
      <c r="AB2035" s="182"/>
      <c r="AC2035" s="182"/>
      <c r="AD2035" s="182"/>
      <c r="AE2035" s="182"/>
      <c r="AF2035" s="182"/>
      <c r="AG2035" s="182"/>
      <c r="AH2035" s="182"/>
      <c r="AI2035" s="182"/>
      <c r="AJ2035" s="182"/>
      <c r="AK2035" s="182"/>
      <c r="AL2035" s="182"/>
      <c r="AM2035" s="182"/>
      <c r="AN2035" s="182"/>
      <c r="AO2035" s="182"/>
      <c r="AP2035" s="182"/>
      <c r="AQ2035" s="182"/>
      <c r="AR2035" s="182"/>
      <c r="AS2035" s="182"/>
      <c r="AT2035" s="182"/>
      <c r="AU2035" s="182"/>
      <c r="AV2035" s="182"/>
      <c r="AW2035" s="182"/>
      <c r="AX2035" s="182"/>
      <c r="AY2035" s="182"/>
      <c r="AZ2035" s="182"/>
      <c r="BA2035" s="182"/>
      <c r="BB2035" s="182"/>
      <c r="BC2035" s="182"/>
      <c r="BD2035" s="182"/>
      <c r="BE2035" s="182"/>
      <c r="BF2035" s="182"/>
      <c r="BG2035" s="182"/>
      <c r="BH2035" s="182"/>
      <c r="BI2035" s="182"/>
      <c r="BJ2035" s="182"/>
      <c r="BK2035" s="182"/>
      <c r="BL2035" s="182"/>
      <c r="BM2035" s="182"/>
      <c r="BN2035" s="182"/>
      <c r="BO2035" s="182"/>
      <c r="BP2035" s="182"/>
      <c r="BQ2035" s="182"/>
      <c r="BR2035" s="182"/>
      <c r="BS2035" s="182"/>
      <c r="BT2035" s="182"/>
      <c r="BU2035" s="182"/>
      <c r="BV2035" s="182"/>
      <c r="BW2035" s="182"/>
      <c r="BX2035" s="182"/>
      <c r="BY2035" s="182"/>
      <c r="BZ2035" s="182"/>
      <c r="CA2035" s="182"/>
      <c r="CB2035" s="182"/>
      <c r="CC2035" s="182"/>
      <c r="CD2035" s="182"/>
      <c r="CE2035" s="182"/>
      <c r="CF2035" s="182"/>
      <c r="CG2035" s="182"/>
      <c r="CH2035" s="182"/>
      <c r="CI2035" s="182"/>
      <c r="CJ2035" s="182"/>
      <c r="CK2035" s="182"/>
      <c r="CL2035" s="182"/>
      <c r="CM2035" s="182"/>
      <c r="CN2035" s="182"/>
      <c r="CO2035" s="182"/>
      <c r="CP2035" s="182"/>
      <c r="CQ2035" s="182"/>
      <c r="CR2035" s="182"/>
      <c r="CS2035" s="182"/>
      <c r="CT2035" s="182"/>
      <c r="CU2035" s="182"/>
      <c r="CV2035" s="182"/>
      <c r="CW2035" s="182"/>
      <c r="CX2035" s="182"/>
      <c r="CY2035" s="182"/>
      <c r="CZ2035" s="182"/>
      <c r="DA2035" s="182"/>
      <c r="DB2035" s="182"/>
      <c r="DC2035" s="182"/>
      <c r="DD2035" s="182"/>
      <c r="DE2035" s="182"/>
      <c r="DF2035" s="182"/>
      <c r="DG2035" s="182"/>
      <c r="DH2035" s="182"/>
      <c r="DI2035" s="182"/>
      <c r="DJ2035" s="182"/>
      <c r="DK2035" s="182"/>
      <c r="DL2035" s="182"/>
      <c r="DM2035" s="182"/>
      <c r="DN2035" s="182"/>
      <c r="DO2035" s="182"/>
      <c r="DP2035" s="182"/>
      <c r="DQ2035" s="182"/>
      <c r="DR2035" s="182"/>
      <c r="DS2035" s="182"/>
      <c r="DT2035" s="182"/>
      <c r="DU2035" s="182"/>
      <c r="DV2035" s="182"/>
      <c r="DW2035" s="182"/>
      <c r="DX2035" s="182"/>
      <c r="DY2035" s="182"/>
      <c r="DZ2035" s="182"/>
      <c r="EA2035" s="182"/>
      <c r="EB2035" s="182"/>
      <c r="EC2035" s="182"/>
      <c r="ED2035" s="182"/>
      <c r="EE2035" s="182"/>
      <c r="EF2035" s="182"/>
      <c r="EG2035" s="182"/>
      <c r="EH2035" s="182"/>
      <c r="EI2035" s="182"/>
      <c r="EJ2035" s="182"/>
      <c r="EK2035" s="182"/>
      <c r="EL2035" s="182"/>
      <c r="EM2035" s="182"/>
      <c r="EN2035" s="182"/>
      <c r="EO2035" s="182"/>
      <c r="EP2035" s="182"/>
      <c r="EQ2035" s="182"/>
      <c r="ER2035" s="182"/>
      <c r="ES2035" s="182"/>
    </row>
    <row r="2036" spans="1:149" s="202" customFormat="1" ht="14.15" hidden="1">
      <c r="A2036" s="222">
        <v>45405</v>
      </c>
      <c r="B2036" s="201" t="s">
        <v>1958</v>
      </c>
      <c r="C2036" s="208" t="s">
        <v>27</v>
      </c>
      <c r="D2036" s="592">
        <v>-377960</v>
      </c>
      <c r="E2036" s="619">
        <v>45383</v>
      </c>
      <c r="F2036" s="201" t="s">
        <v>109</v>
      </c>
      <c r="G2036" s="208" t="s">
        <v>125</v>
      </c>
      <c r="H2036" s="208" t="s">
        <v>175</v>
      </c>
      <c r="I2036" s="201"/>
    </row>
    <row r="2037" spans="1:149" s="202" customFormat="1" ht="14.15" hidden="1">
      <c r="A2037" s="222">
        <v>45405</v>
      </c>
      <c r="B2037" s="201" t="s">
        <v>1959</v>
      </c>
      <c r="C2037" s="208" t="s">
        <v>27</v>
      </c>
      <c r="D2037" s="592">
        <v>-300000</v>
      </c>
      <c r="E2037" s="619">
        <v>45383</v>
      </c>
      <c r="F2037" s="201" t="s">
        <v>130</v>
      </c>
      <c r="G2037" s="201" t="s">
        <v>130</v>
      </c>
      <c r="H2037" s="201" t="s">
        <v>1245</v>
      </c>
      <c r="I2037" s="201"/>
    </row>
    <row r="2038" spans="1:149" s="202" customFormat="1" ht="14.15" hidden="1">
      <c r="A2038" s="222">
        <v>45405</v>
      </c>
      <c r="B2038" s="201" t="s">
        <v>1960</v>
      </c>
      <c r="C2038" s="208" t="s">
        <v>27</v>
      </c>
      <c r="D2038" s="592">
        <v>-2288000</v>
      </c>
      <c r="E2038" s="619">
        <v>45383</v>
      </c>
      <c r="F2038" s="201" t="s">
        <v>130</v>
      </c>
      <c r="G2038" s="201" t="s">
        <v>257</v>
      </c>
      <c r="H2038" s="201" t="s">
        <v>663</v>
      </c>
      <c r="I2038" s="201"/>
    </row>
    <row r="2039" spans="1:149" s="202" customFormat="1" ht="14.15" hidden="1">
      <c r="A2039" s="222">
        <v>45405</v>
      </c>
      <c r="B2039" s="201" t="s">
        <v>1961</v>
      </c>
      <c r="C2039" s="208" t="s">
        <v>27</v>
      </c>
      <c r="D2039" s="592">
        <v>-560000</v>
      </c>
      <c r="E2039" s="619">
        <v>45383</v>
      </c>
      <c r="F2039" s="201" t="s">
        <v>109</v>
      </c>
      <c r="G2039" s="208" t="s">
        <v>120</v>
      </c>
      <c r="H2039" s="208" t="s">
        <v>175</v>
      </c>
      <c r="I2039" s="201"/>
    </row>
    <row r="2040" spans="1:149" s="202" customFormat="1" ht="14.15" hidden="1">
      <c r="A2040" s="222">
        <v>45405</v>
      </c>
      <c r="B2040" s="201" t="s">
        <v>1262</v>
      </c>
      <c r="C2040" s="208" t="s">
        <v>27</v>
      </c>
      <c r="D2040" s="592">
        <v>-43927669</v>
      </c>
      <c r="E2040" s="619">
        <v>45383</v>
      </c>
      <c r="F2040" s="201" t="s">
        <v>109</v>
      </c>
      <c r="G2040" s="208" t="s">
        <v>120</v>
      </c>
      <c r="H2040" s="201"/>
      <c r="I2040" s="201"/>
    </row>
    <row r="2041" spans="1:149" s="202" customFormat="1" ht="14.15" hidden="1">
      <c r="A2041" s="222">
        <v>45406</v>
      </c>
      <c r="B2041" s="201" t="s">
        <v>1962</v>
      </c>
      <c r="C2041" s="208" t="s">
        <v>181</v>
      </c>
      <c r="D2041" s="592">
        <v>-30000000</v>
      </c>
      <c r="E2041" s="619">
        <v>45383</v>
      </c>
      <c r="F2041" s="84" t="s">
        <v>111</v>
      </c>
      <c r="G2041" s="201"/>
      <c r="H2041" s="201"/>
      <c r="I2041" s="201"/>
    </row>
    <row r="2042" spans="1:149" s="202" customFormat="1" ht="14.15" hidden="1">
      <c r="A2042" s="222">
        <v>45405</v>
      </c>
      <c r="B2042" s="201" t="s">
        <v>1963</v>
      </c>
      <c r="C2042" s="208" t="s">
        <v>27</v>
      </c>
      <c r="D2042" s="592">
        <v>-243109</v>
      </c>
      <c r="E2042" s="619">
        <v>45383</v>
      </c>
      <c r="F2042" s="84" t="s">
        <v>111</v>
      </c>
      <c r="G2042" s="201" t="s">
        <v>130</v>
      </c>
      <c r="H2042" s="201"/>
      <c r="I2042" s="201"/>
    </row>
    <row r="2043" spans="1:149" s="202" customFormat="1" ht="14.15" hidden="1">
      <c r="A2043" s="222">
        <v>45405</v>
      </c>
      <c r="B2043" s="201" t="s">
        <v>1964</v>
      </c>
      <c r="C2043" s="208" t="s">
        <v>27</v>
      </c>
      <c r="D2043" s="592">
        <v>-808891</v>
      </c>
      <c r="E2043" s="619">
        <v>45383</v>
      </c>
      <c r="F2043" s="201" t="s">
        <v>118</v>
      </c>
      <c r="G2043" s="201" t="s">
        <v>130</v>
      </c>
      <c r="H2043" s="291"/>
      <c r="I2043" s="291"/>
    </row>
    <row r="2044" spans="1:149" s="202" customFormat="1" ht="14.15" hidden="1">
      <c r="A2044" s="222">
        <v>45405</v>
      </c>
      <c r="B2044" s="201" t="s">
        <v>1434</v>
      </c>
      <c r="C2044" s="208" t="s">
        <v>27</v>
      </c>
      <c r="D2044" s="592">
        <v>-577152.26</v>
      </c>
      <c r="E2044" s="619">
        <v>45383</v>
      </c>
      <c r="F2044" s="84" t="s">
        <v>111</v>
      </c>
      <c r="G2044" s="201" t="s">
        <v>130</v>
      </c>
      <c r="H2044" s="201"/>
      <c r="I2044" s="201"/>
    </row>
    <row r="2045" spans="1:149" s="202" customFormat="1" ht="14.15" hidden="1">
      <c r="A2045" s="222">
        <v>45405</v>
      </c>
      <c r="B2045" s="201" t="s">
        <v>1965</v>
      </c>
      <c r="C2045" s="208" t="s">
        <v>27</v>
      </c>
      <c r="D2045" s="592">
        <v>-1825000</v>
      </c>
      <c r="E2045" s="619">
        <v>45383</v>
      </c>
      <c r="F2045" s="201" t="s">
        <v>109</v>
      </c>
      <c r="G2045" s="208" t="s">
        <v>120</v>
      </c>
      <c r="H2045" s="201"/>
      <c r="I2045" s="201"/>
    </row>
    <row r="2046" spans="1:149" s="202" customFormat="1" ht="14.15" hidden="1">
      <c r="A2046" s="222">
        <v>45406</v>
      </c>
      <c r="B2046" s="201" t="s">
        <v>1966</v>
      </c>
      <c r="C2046" s="208" t="s">
        <v>27</v>
      </c>
      <c r="D2046" s="592">
        <v>-1218984</v>
      </c>
      <c r="E2046" s="619">
        <v>45383</v>
      </c>
      <c r="F2046" s="201" t="s">
        <v>109</v>
      </c>
      <c r="G2046" s="208" t="s">
        <v>125</v>
      </c>
      <c r="H2046" s="201" t="s">
        <v>585</v>
      </c>
      <c r="I2046" s="201"/>
    </row>
    <row r="2047" spans="1:149" s="202" customFormat="1" ht="14.15" hidden="1">
      <c r="A2047" s="222">
        <v>45407</v>
      </c>
      <c r="B2047" s="201" t="s">
        <v>1262</v>
      </c>
      <c r="C2047" s="208" t="s">
        <v>181</v>
      </c>
      <c r="D2047" s="592">
        <v>-75500000</v>
      </c>
      <c r="E2047" s="619">
        <v>45383</v>
      </c>
      <c r="F2047" s="201" t="s">
        <v>109</v>
      </c>
      <c r="G2047" s="208" t="s">
        <v>120</v>
      </c>
      <c r="H2047" s="201"/>
      <c r="I2047" s="201"/>
    </row>
    <row r="2048" spans="1:149" s="202" customFormat="1" ht="14.15" hidden="1">
      <c r="A2048" s="222">
        <v>45407</v>
      </c>
      <c r="B2048" s="201" t="s">
        <v>1967</v>
      </c>
      <c r="C2048" s="208" t="s">
        <v>27</v>
      </c>
      <c r="D2048" s="592">
        <v>-1505200</v>
      </c>
      <c r="E2048" s="619">
        <v>45383</v>
      </c>
      <c r="F2048" s="201" t="s">
        <v>109</v>
      </c>
      <c r="G2048" s="208" t="s">
        <v>120</v>
      </c>
      <c r="H2048" s="201"/>
      <c r="I2048" s="201"/>
    </row>
    <row r="2049" spans="1:9" s="202" customFormat="1" ht="14.15" hidden="1">
      <c r="A2049" s="222">
        <v>45407</v>
      </c>
      <c r="B2049" s="201" t="s">
        <v>1968</v>
      </c>
      <c r="C2049" s="208" t="s">
        <v>27</v>
      </c>
      <c r="D2049" s="592">
        <v>-1360000</v>
      </c>
      <c r="E2049" s="619">
        <v>45383</v>
      </c>
      <c r="F2049" s="291" t="s">
        <v>109</v>
      </c>
      <c r="G2049" s="208" t="s">
        <v>525</v>
      </c>
      <c r="H2049" s="208" t="s">
        <v>212</v>
      </c>
      <c r="I2049" s="201"/>
    </row>
    <row r="2050" spans="1:9" s="202" customFormat="1" ht="14.15" hidden="1">
      <c r="A2050" s="222">
        <v>45406</v>
      </c>
      <c r="B2050" s="201" t="s">
        <v>1969</v>
      </c>
      <c r="C2050" s="208" t="s">
        <v>181</v>
      </c>
      <c r="D2050" s="592">
        <v>-5400000</v>
      </c>
      <c r="E2050" s="619">
        <v>45383</v>
      </c>
      <c r="F2050" s="13" t="s">
        <v>118</v>
      </c>
      <c r="G2050" s="201"/>
      <c r="H2050" s="201"/>
      <c r="I2050" s="201"/>
    </row>
    <row r="2051" spans="1:9" s="202" customFormat="1" ht="14.15" hidden="1">
      <c r="A2051" s="222">
        <v>45407</v>
      </c>
      <c r="B2051" s="201" t="s">
        <v>1970</v>
      </c>
      <c r="C2051" s="208" t="s">
        <v>27</v>
      </c>
      <c r="D2051" s="592">
        <v>-225109</v>
      </c>
      <c r="E2051" s="619">
        <v>45383</v>
      </c>
      <c r="F2051" s="201" t="s">
        <v>109</v>
      </c>
      <c r="G2051" s="208" t="s">
        <v>125</v>
      </c>
      <c r="H2051" s="201" t="s">
        <v>310</v>
      </c>
      <c r="I2051" s="201"/>
    </row>
    <row r="2052" spans="1:9" s="202" customFormat="1" ht="14.15" hidden="1">
      <c r="A2052" s="222">
        <v>45407</v>
      </c>
      <c r="B2052" s="201" t="s">
        <v>1971</v>
      </c>
      <c r="C2052" s="208" t="s">
        <v>27</v>
      </c>
      <c r="D2052" s="592">
        <v>-512440</v>
      </c>
      <c r="E2052" s="619">
        <v>45383</v>
      </c>
      <c r="F2052" s="201" t="s">
        <v>109</v>
      </c>
      <c r="G2052" s="208" t="s">
        <v>125</v>
      </c>
      <c r="H2052" s="208" t="s">
        <v>175</v>
      </c>
      <c r="I2052" s="201"/>
    </row>
    <row r="2053" spans="1:9" s="202" customFormat="1" ht="14.15" hidden="1">
      <c r="A2053" s="222">
        <v>45407</v>
      </c>
      <c r="B2053" s="201" t="s">
        <v>1972</v>
      </c>
      <c r="C2053" s="208" t="s">
        <v>27</v>
      </c>
      <c r="D2053" s="592">
        <v>-1286390</v>
      </c>
      <c r="E2053" s="619">
        <v>45383</v>
      </c>
      <c r="F2053" s="208" t="s">
        <v>109</v>
      </c>
      <c r="G2053" s="208" t="s">
        <v>317</v>
      </c>
      <c r="H2053" s="201" t="s">
        <v>421</v>
      </c>
      <c r="I2053" s="201"/>
    </row>
    <row r="2054" spans="1:9" s="202" customFormat="1" ht="14.15" hidden="1">
      <c r="A2054" s="222">
        <v>45407</v>
      </c>
      <c r="B2054" s="201" t="s">
        <v>1973</v>
      </c>
      <c r="C2054" s="208" t="s">
        <v>27</v>
      </c>
      <c r="D2054" s="592">
        <v>-13499000</v>
      </c>
      <c r="E2054" s="619">
        <v>45383</v>
      </c>
      <c r="F2054" s="81" t="s">
        <v>1974</v>
      </c>
      <c r="G2054" s="81"/>
      <c r="H2054" s="201"/>
      <c r="I2054" s="201"/>
    </row>
    <row r="2055" spans="1:9" s="202" customFormat="1" ht="14.15" hidden="1">
      <c r="A2055" s="222">
        <v>45407</v>
      </c>
      <c r="B2055" s="201" t="s">
        <v>1975</v>
      </c>
      <c r="C2055" s="208" t="s">
        <v>27</v>
      </c>
      <c r="D2055" s="592">
        <v>-2510674</v>
      </c>
      <c r="E2055" s="619">
        <v>45383</v>
      </c>
      <c r="F2055" s="201" t="s">
        <v>207</v>
      </c>
      <c r="G2055" s="201"/>
      <c r="H2055" s="201"/>
      <c r="I2055" s="201"/>
    </row>
    <row r="2056" spans="1:9" s="202" customFormat="1" ht="14.15" hidden="1">
      <c r="A2056" s="222">
        <v>45405</v>
      </c>
      <c r="B2056" s="201" t="s">
        <v>1434</v>
      </c>
      <c r="C2056" s="208" t="s">
        <v>27</v>
      </c>
      <c r="D2056" s="592">
        <v>-855847.74</v>
      </c>
      <c r="E2056" s="619">
        <v>45383</v>
      </c>
      <c r="F2056" s="201" t="s">
        <v>118</v>
      </c>
      <c r="G2056" s="201" t="s">
        <v>130</v>
      </c>
      <c r="H2056" s="201"/>
      <c r="I2056" s="291"/>
    </row>
    <row r="2057" spans="1:9" s="202" customFormat="1" ht="14.15" hidden="1">
      <c r="A2057" s="222">
        <v>45408</v>
      </c>
      <c r="B2057" s="201" t="s">
        <v>1961</v>
      </c>
      <c r="C2057" s="208" t="s">
        <v>27</v>
      </c>
      <c r="D2057" s="592">
        <v>-1240000</v>
      </c>
      <c r="E2057" s="619">
        <v>45383</v>
      </c>
      <c r="F2057" s="201" t="s">
        <v>109</v>
      </c>
      <c r="G2057" s="208" t="s">
        <v>120</v>
      </c>
      <c r="H2057" s="201"/>
      <c r="I2057" s="201"/>
    </row>
    <row r="2058" spans="1:9" s="202" customFormat="1" ht="14.15" hidden="1">
      <c r="A2058" s="222">
        <v>45408</v>
      </c>
      <c r="B2058" s="201" t="s">
        <v>1976</v>
      </c>
      <c r="C2058" s="208" t="s">
        <v>27</v>
      </c>
      <c r="D2058" s="592">
        <v>-1024326</v>
      </c>
      <c r="E2058" s="619">
        <v>45383</v>
      </c>
      <c r="F2058" s="201" t="s">
        <v>110</v>
      </c>
      <c r="G2058" s="208" t="s">
        <v>450</v>
      </c>
      <c r="H2058" s="201" t="s">
        <v>310</v>
      </c>
      <c r="I2058" s="201"/>
    </row>
    <row r="2059" spans="1:9" s="202" customFormat="1" ht="14.15" hidden="1">
      <c r="A2059" s="222">
        <v>45408</v>
      </c>
      <c r="B2059" s="201" t="s">
        <v>1977</v>
      </c>
      <c r="C2059" s="208" t="s">
        <v>27</v>
      </c>
      <c r="D2059" s="592">
        <v>-237700</v>
      </c>
      <c r="E2059" s="619">
        <v>45383</v>
      </c>
      <c r="F2059" s="291" t="s">
        <v>109</v>
      </c>
      <c r="G2059" s="208" t="s">
        <v>525</v>
      </c>
      <c r="H2059" s="201" t="s">
        <v>310</v>
      </c>
      <c r="I2059" s="201"/>
    </row>
    <row r="2060" spans="1:9" s="202" customFormat="1" ht="14.15" hidden="1">
      <c r="A2060" s="222">
        <v>45408</v>
      </c>
      <c r="B2060" s="201" t="s">
        <v>1978</v>
      </c>
      <c r="C2060" s="208" t="s">
        <v>27</v>
      </c>
      <c r="D2060" s="592">
        <v>-698820</v>
      </c>
      <c r="E2060" s="619">
        <v>45383</v>
      </c>
      <c r="F2060" s="201" t="s">
        <v>130</v>
      </c>
      <c r="G2060" s="627" t="s">
        <v>130</v>
      </c>
      <c r="H2060" s="201" t="s">
        <v>184</v>
      </c>
      <c r="I2060" s="201"/>
    </row>
    <row r="2061" spans="1:9" s="202" customFormat="1" ht="14.15" hidden="1">
      <c r="A2061" s="222">
        <v>45408</v>
      </c>
      <c r="B2061" s="201" t="s">
        <v>1619</v>
      </c>
      <c r="C2061" s="208" t="s">
        <v>27</v>
      </c>
      <c r="D2061" s="592">
        <v>-104618</v>
      </c>
      <c r="E2061" s="619">
        <v>45383</v>
      </c>
      <c r="F2061" s="291" t="s">
        <v>109</v>
      </c>
      <c r="G2061" s="208" t="s">
        <v>525</v>
      </c>
      <c r="H2061" s="208" t="s">
        <v>147</v>
      </c>
      <c r="I2061" s="201"/>
    </row>
    <row r="2062" spans="1:9" s="202" customFormat="1" ht="14.15" hidden="1">
      <c r="A2062" s="222">
        <v>45408</v>
      </c>
      <c r="B2062" s="201" t="s">
        <v>1619</v>
      </c>
      <c r="C2062" s="208" t="s">
        <v>27</v>
      </c>
      <c r="D2062" s="592">
        <v>-110000</v>
      </c>
      <c r="E2062" s="619">
        <v>45383</v>
      </c>
      <c r="F2062" s="201" t="s">
        <v>130</v>
      </c>
      <c r="G2062" s="627" t="s">
        <v>130</v>
      </c>
      <c r="H2062" s="201" t="s">
        <v>323</v>
      </c>
      <c r="I2062" s="201"/>
    </row>
    <row r="2063" spans="1:9" s="202" customFormat="1" ht="14.15" hidden="1">
      <c r="A2063" s="222">
        <v>45408</v>
      </c>
      <c r="B2063" s="201" t="s">
        <v>1979</v>
      </c>
      <c r="C2063" s="208" t="s">
        <v>27</v>
      </c>
      <c r="D2063" s="592">
        <v>-178500</v>
      </c>
      <c r="E2063" s="619">
        <v>45383</v>
      </c>
      <c r="F2063" s="201" t="s">
        <v>130</v>
      </c>
      <c r="G2063" s="627" t="s">
        <v>257</v>
      </c>
      <c r="H2063" s="201" t="s">
        <v>663</v>
      </c>
      <c r="I2063" s="201"/>
    </row>
    <row r="2064" spans="1:9" s="202" customFormat="1" ht="14.15" hidden="1">
      <c r="A2064" s="222">
        <v>45407</v>
      </c>
      <c r="B2064" s="630" t="s">
        <v>1980</v>
      </c>
      <c r="C2064" s="208" t="s">
        <v>181</v>
      </c>
      <c r="D2064" s="592">
        <v>-2500000</v>
      </c>
      <c r="E2064" s="619">
        <v>45383</v>
      </c>
      <c r="F2064" s="84" t="s">
        <v>111</v>
      </c>
      <c r="G2064" s="627" t="s">
        <v>130</v>
      </c>
      <c r="H2064" s="201"/>
      <c r="I2064" s="201"/>
    </row>
    <row r="2065" spans="1:9" s="202" customFormat="1" ht="14.15" hidden="1">
      <c r="A2065" s="222">
        <v>45407</v>
      </c>
      <c r="B2065" s="630" t="s">
        <v>1981</v>
      </c>
      <c r="C2065" s="208" t="s">
        <v>643</v>
      </c>
      <c r="D2065" s="592">
        <v>4266072.62</v>
      </c>
      <c r="E2065" s="619">
        <v>45383</v>
      </c>
      <c r="F2065" s="201" t="s">
        <v>108</v>
      </c>
      <c r="G2065" s="627"/>
      <c r="H2065" s="201"/>
      <c r="I2065" s="201"/>
    </row>
    <row r="2066" spans="1:9" s="202" customFormat="1" ht="14.15" hidden="1">
      <c r="A2066" s="222">
        <v>45387</v>
      </c>
      <c r="B2066" s="630" t="s">
        <v>1982</v>
      </c>
      <c r="C2066" s="208" t="s">
        <v>146</v>
      </c>
      <c r="D2066" s="592">
        <v>-400000</v>
      </c>
      <c r="E2066" s="619">
        <v>45383</v>
      </c>
      <c r="F2066" s="201" t="s">
        <v>109</v>
      </c>
      <c r="G2066" s="201" t="s">
        <v>918</v>
      </c>
      <c r="H2066" s="208" t="s">
        <v>175</v>
      </c>
      <c r="I2066" s="201" t="s">
        <v>1983</v>
      </c>
    </row>
    <row r="2067" spans="1:9" s="202" customFormat="1" ht="14.15" hidden="1">
      <c r="A2067" s="222">
        <v>45387</v>
      </c>
      <c r="B2067" s="630" t="s">
        <v>1984</v>
      </c>
      <c r="C2067" s="208" t="s">
        <v>146</v>
      </c>
      <c r="D2067" s="592">
        <v>-13000</v>
      </c>
      <c r="E2067" s="619">
        <v>45383</v>
      </c>
      <c r="F2067" s="201" t="s">
        <v>109</v>
      </c>
      <c r="G2067" s="201" t="s">
        <v>918</v>
      </c>
      <c r="H2067" s="208" t="s">
        <v>175</v>
      </c>
      <c r="I2067" s="201" t="s">
        <v>1983</v>
      </c>
    </row>
    <row r="2068" spans="1:9" s="202" customFormat="1" ht="14.15" hidden="1">
      <c r="A2068" s="222">
        <v>45387</v>
      </c>
      <c r="B2068" s="630" t="s">
        <v>1985</v>
      </c>
      <c r="C2068" s="208" t="s">
        <v>146</v>
      </c>
      <c r="D2068" s="592">
        <v>-478266</v>
      </c>
      <c r="E2068" s="619">
        <v>45383</v>
      </c>
      <c r="F2068" s="201" t="s">
        <v>109</v>
      </c>
      <c r="G2068" s="201" t="s">
        <v>918</v>
      </c>
      <c r="H2068" s="208" t="s">
        <v>175</v>
      </c>
      <c r="I2068" s="201" t="s">
        <v>1983</v>
      </c>
    </row>
    <row r="2069" spans="1:9" s="202" customFormat="1" ht="14.15" hidden="1">
      <c r="A2069" s="222">
        <v>45387</v>
      </c>
      <c r="B2069" s="630" t="s">
        <v>1986</v>
      </c>
      <c r="C2069" s="208" t="s">
        <v>146</v>
      </c>
      <c r="D2069" s="592">
        <v>-46866</v>
      </c>
      <c r="E2069" s="619">
        <v>45383</v>
      </c>
      <c r="F2069" s="201" t="s">
        <v>109</v>
      </c>
      <c r="G2069" s="201" t="s">
        <v>918</v>
      </c>
      <c r="H2069" s="208" t="s">
        <v>175</v>
      </c>
      <c r="I2069" s="201" t="s">
        <v>1983</v>
      </c>
    </row>
    <row r="2070" spans="1:9" s="202" customFormat="1" ht="14.15" hidden="1">
      <c r="A2070" s="222">
        <v>45387</v>
      </c>
      <c r="B2070" s="630" t="s">
        <v>1987</v>
      </c>
      <c r="C2070" s="208" t="s">
        <v>146</v>
      </c>
      <c r="D2070" s="592">
        <v>-103000</v>
      </c>
      <c r="E2070" s="619">
        <v>45383</v>
      </c>
      <c r="F2070" s="201" t="s">
        <v>109</v>
      </c>
      <c r="G2070" s="201" t="s">
        <v>918</v>
      </c>
      <c r="H2070" s="208" t="s">
        <v>175</v>
      </c>
      <c r="I2070" s="201" t="s">
        <v>1983</v>
      </c>
    </row>
    <row r="2071" spans="1:9" s="202" customFormat="1" ht="14.15" hidden="1">
      <c r="A2071" s="222">
        <v>45388</v>
      </c>
      <c r="B2071" s="630" t="s">
        <v>1988</v>
      </c>
      <c r="C2071" s="208" t="s">
        <v>146</v>
      </c>
      <c r="D2071" s="592">
        <v>-64000</v>
      </c>
      <c r="E2071" s="619">
        <v>45383</v>
      </c>
      <c r="F2071" s="201" t="s">
        <v>109</v>
      </c>
      <c r="G2071" s="201" t="s">
        <v>918</v>
      </c>
      <c r="H2071" s="208" t="s">
        <v>175</v>
      </c>
      <c r="I2071" s="201" t="s">
        <v>1983</v>
      </c>
    </row>
    <row r="2072" spans="1:9" s="202" customFormat="1" ht="14.15" hidden="1">
      <c r="A2072" s="222">
        <v>45388</v>
      </c>
      <c r="B2072" s="630" t="s">
        <v>1989</v>
      </c>
      <c r="C2072" s="208" t="s">
        <v>146</v>
      </c>
      <c r="D2072" s="592">
        <v>-6000</v>
      </c>
      <c r="E2072" s="619">
        <v>45383</v>
      </c>
      <c r="F2072" s="201" t="s">
        <v>109</v>
      </c>
      <c r="G2072" s="201" t="s">
        <v>918</v>
      </c>
      <c r="H2072" s="208" t="s">
        <v>175</v>
      </c>
      <c r="I2072" s="201" t="s">
        <v>1983</v>
      </c>
    </row>
    <row r="2073" spans="1:9" s="202" customFormat="1" ht="14.15" hidden="1">
      <c r="A2073" s="222">
        <v>45390</v>
      </c>
      <c r="B2073" s="630" t="s">
        <v>1990</v>
      </c>
      <c r="C2073" s="208" t="s">
        <v>146</v>
      </c>
      <c r="D2073" s="592">
        <v>-64000</v>
      </c>
      <c r="E2073" s="619">
        <v>45383</v>
      </c>
      <c r="F2073" s="201" t="s">
        <v>109</v>
      </c>
      <c r="G2073" s="201" t="s">
        <v>918</v>
      </c>
      <c r="H2073" s="81" t="s">
        <v>138</v>
      </c>
      <c r="I2073" s="201" t="s">
        <v>1983</v>
      </c>
    </row>
    <row r="2074" spans="1:9" s="202" customFormat="1" ht="14.15" hidden="1">
      <c r="A2074" s="222">
        <v>45390</v>
      </c>
      <c r="B2074" s="630" t="s">
        <v>1991</v>
      </c>
      <c r="C2074" s="208" t="s">
        <v>146</v>
      </c>
      <c r="D2074" s="592">
        <v>-6000</v>
      </c>
      <c r="E2074" s="619">
        <v>45383</v>
      </c>
      <c r="F2074" s="201" t="s">
        <v>109</v>
      </c>
      <c r="G2074" s="201" t="s">
        <v>918</v>
      </c>
      <c r="H2074" s="81" t="s">
        <v>138</v>
      </c>
      <c r="I2074" s="201" t="s">
        <v>1983</v>
      </c>
    </row>
    <row r="2075" spans="1:9" s="202" customFormat="1" ht="14.15" hidden="1">
      <c r="A2075" s="222">
        <v>45390</v>
      </c>
      <c r="B2075" s="630" t="s">
        <v>1992</v>
      </c>
      <c r="C2075" s="208" t="s">
        <v>146</v>
      </c>
      <c r="D2075" s="592">
        <v>-96066</v>
      </c>
      <c r="E2075" s="619">
        <v>45383</v>
      </c>
      <c r="F2075" s="201" t="s">
        <v>109</v>
      </c>
      <c r="G2075" s="201" t="s">
        <v>918</v>
      </c>
      <c r="H2075" s="208" t="s">
        <v>175</v>
      </c>
      <c r="I2075" s="201" t="s">
        <v>1983</v>
      </c>
    </row>
    <row r="2076" spans="1:9" s="202" customFormat="1" ht="14.15" hidden="1">
      <c r="A2076" s="222">
        <v>45392</v>
      </c>
      <c r="B2076" s="630" t="s">
        <v>1993</v>
      </c>
      <c r="C2076" s="208" t="s">
        <v>146</v>
      </c>
      <c r="D2076" s="592">
        <v>-12500</v>
      </c>
      <c r="E2076" s="619">
        <v>45383</v>
      </c>
      <c r="F2076" s="201" t="s">
        <v>109</v>
      </c>
      <c r="G2076" s="201" t="s">
        <v>918</v>
      </c>
      <c r="H2076" s="81" t="s">
        <v>138</v>
      </c>
      <c r="I2076" s="201" t="s">
        <v>1983</v>
      </c>
    </row>
    <row r="2077" spans="1:9" s="202" customFormat="1" ht="14.15" hidden="1">
      <c r="A2077" s="222">
        <v>45393</v>
      </c>
      <c r="B2077" s="630" t="s">
        <v>1994</v>
      </c>
      <c r="C2077" s="208" t="s">
        <v>146</v>
      </c>
      <c r="D2077" s="592">
        <v>-17466</v>
      </c>
      <c r="E2077" s="619">
        <v>45383</v>
      </c>
      <c r="F2077" s="201" t="s">
        <v>109</v>
      </c>
      <c r="G2077" s="201" t="s">
        <v>918</v>
      </c>
      <c r="H2077" s="208" t="s">
        <v>175</v>
      </c>
      <c r="I2077" s="201" t="s">
        <v>1983</v>
      </c>
    </row>
    <row r="2078" spans="1:9" s="202" customFormat="1" ht="14.15" hidden="1">
      <c r="A2078" s="222">
        <v>45394</v>
      </c>
      <c r="B2078" s="630" t="s">
        <v>1995</v>
      </c>
      <c r="C2078" s="208" t="s">
        <v>146</v>
      </c>
      <c r="D2078" s="592">
        <v>-20366</v>
      </c>
      <c r="E2078" s="619">
        <v>45383</v>
      </c>
      <c r="F2078" s="201" t="s">
        <v>109</v>
      </c>
      <c r="G2078" s="201" t="s">
        <v>918</v>
      </c>
      <c r="H2078" s="208" t="s">
        <v>175</v>
      </c>
      <c r="I2078" s="201" t="s">
        <v>1983</v>
      </c>
    </row>
    <row r="2079" spans="1:9" s="202" customFormat="1" ht="14.15" hidden="1">
      <c r="A2079" s="222">
        <v>45394</v>
      </c>
      <c r="B2079" s="201" t="s">
        <v>1996</v>
      </c>
      <c r="C2079" s="208" t="s">
        <v>146</v>
      </c>
      <c r="D2079" s="592">
        <v>-16566</v>
      </c>
      <c r="E2079" s="619">
        <v>45383</v>
      </c>
      <c r="F2079" s="201" t="s">
        <v>109</v>
      </c>
      <c r="G2079" s="201" t="s">
        <v>918</v>
      </c>
      <c r="H2079" s="208" t="s">
        <v>175</v>
      </c>
      <c r="I2079" s="201" t="s">
        <v>1983</v>
      </c>
    </row>
    <row r="2080" spans="1:9" s="202" customFormat="1" ht="14.15" hidden="1">
      <c r="A2080" s="222">
        <v>45394</v>
      </c>
      <c r="B2080" s="201" t="s">
        <v>1997</v>
      </c>
      <c r="C2080" s="208" t="s">
        <v>146</v>
      </c>
      <c r="D2080" s="592">
        <v>-12500</v>
      </c>
      <c r="E2080" s="619">
        <v>45383</v>
      </c>
      <c r="F2080" s="201" t="s">
        <v>109</v>
      </c>
      <c r="G2080" s="201" t="s">
        <v>918</v>
      </c>
      <c r="H2080" s="81" t="s">
        <v>138</v>
      </c>
      <c r="I2080" s="201" t="s">
        <v>1983</v>
      </c>
    </row>
    <row r="2081" spans="1:9" s="202" customFormat="1" ht="14.15" hidden="1">
      <c r="A2081" s="222">
        <v>45395</v>
      </c>
      <c r="B2081" s="201" t="s">
        <v>1988</v>
      </c>
      <c r="C2081" s="208" t="s">
        <v>146</v>
      </c>
      <c r="D2081" s="592">
        <v>-64000</v>
      </c>
      <c r="E2081" s="619">
        <v>45383</v>
      </c>
      <c r="F2081" s="201" t="s">
        <v>109</v>
      </c>
      <c r="G2081" s="201" t="s">
        <v>918</v>
      </c>
      <c r="H2081" s="81" t="s">
        <v>138</v>
      </c>
      <c r="I2081" s="201" t="s">
        <v>1983</v>
      </c>
    </row>
    <row r="2082" spans="1:9" s="202" customFormat="1" ht="14.15" hidden="1">
      <c r="A2082" s="222">
        <v>45395</v>
      </c>
      <c r="B2082" s="201" t="s">
        <v>1989</v>
      </c>
      <c r="C2082" s="208" t="s">
        <v>146</v>
      </c>
      <c r="D2082" s="592">
        <v>-6000</v>
      </c>
      <c r="E2082" s="619">
        <v>45383</v>
      </c>
      <c r="F2082" s="201" t="s">
        <v>109</v>
      </c>
      <c r="G2082" s="201" t="s">
        <v>918</v>
      </c>
      <c r="H2082" s="81" t="s">
        <v>138</v>
      </c>
      <c r="I2082" s="201" t="s">
        <v>1983</v>
      </c>
    </row>
    <row r="2083" spans="1:9" s="202" customFormat="1" ht="14.15" hidden="1">
      <c r="A2083" s="222">
        <v>45395</v>
      </c>
      <c r="B2083" s="201" t="s">
        <v>1998</v>
      </c>
      <c r="C2083" s="208" t="s">
        <v>146</v>
      </c>
      <c r="D2083" s="592">
        <v>-17800</v>
      </c>
      <c r="E2083" s="619">
        <v>45383</v>
      </c>
      <c r="F2083" s="201" t="s">
        <v>109</v>
      </c>
      <c r="G2083" s="201" t="s">
        <v>918</v>
      </c>
      <c r="H2083" s="208" t="s">
        <v>175</v>
      </c>
      <c r="I2083" s="201" t="s">
        <v>1983</v>
      </c>
    </row>
    <row r="2084" spans="1:9" s="202" customFormat="1" ht="14.15" hidden="1">
      <c r="A2084" s="222">
        <v>45397</v>
      </c>
      <c r="B2084" s="201" t="s">
        <v>1990</v>
      </c>
      <c r="C2084" s="208" t="s">
        <v>146</v>
      </c>
      <c r="D2084" s="592">
        <v>-64000</v>
      </c>
      <c r="E2084" s="619">
        <v>45383</v>
      </c>
      <c r="F2084" s="201" t="s">
        <v>109</v>
      </c>
      <c r="G2084" s="201" t="s">
        <v>918</v>
      </c>
      <c r="H2084" s="81" t="s">
        <v>138</v>
      </c>
      <c r="I2084" s="201" t="s">
        <v>1983</v>
      </c>
    </row>
    <row r="2085" spans="1:9" s="202" customFormat="1" ht="14.15" hidden="1">
      <c r="A2085" s="222">
        <v>45397</v>
      </c>
      <c r="B2085" s="201" t="s">
        <v>1991</v>
      </c>
      <c r="C2085" s="208" t="s">
        <v>146</v>
      </c>
      <c r="D2085" s="592">
        <v>-6000</v>
      </c>
      <c r="E2085" s="619">
        <v>45383</v>
      </c>
      <c r="F2085" s="201" t="s">
        <v>109</v>
      </c>
      <c r="G2085" s="201" t="s">
        <v>918</v>
      </c>
      <c r="H2085" s="81" t="s">
        <v>138</v>
      </c>
      <c r="I2085" s="201" t="s">
        <v>1983</v>
      </c>
    </row>
    <row r="2086" spans="1:9" s="202" customFormat="1" ht="14.15" hidden="1">
      <c r="A2086" s="222">
        <v>45397</v>
      </c>
      <c r="B2086" s="201" t="s">
        <v>1999</v>
      </c>
      <c r="C2086" s="208" t="s">
        <v>146</v>
      </c>
      <c r="D2086" s="592">
        <v>-12500</v>
      </c>
      <c r="E2086" s="619">
        <v>45383</v>
      </c>
      <c r="F2086" s="201" t="s">
        <v>109</v>
      </c>
      <c r="G2086" s="201" t="s">
        <v>918</v>
      </c>
      <c r="H2086" s="81" t="s">
        <v>138</v>
      </c>
      <c r="I2086" s="201" t="s">
        <v>1983</v>
      </c>
    </row>
    <row r="2087" spans="1:9" s="202" customFormat="1" ht="14.15" hidden="1">
      <c r="A2087" s="222">
        <v>45398</v>
      </c>
      <c r="B2087" s="201" t="s">
        <v>2000</v>
      </c>
      <c r="C2087" s="208" t="s">
        <v>146</v>
      </c>
      <c r="D2087" s="592">
        <v>-22000</v>
      </c>
      <c r="E2087" s="619">
        <v>45383</v>
      </c>
      <c r="F2087" s="201" t="s">
        <v>109</v>
      </c>
      <c r="G2087" s="201" t="s">
        <v>918</v>
      </c>
      <c r="H2087" s="81" t="s">
        <v>138</v>
      </c>
      <c r="I2087" s="201" t="s">
        <v>1983</v>
      </c>
    </row>
    <row r="2088" spans="1:9" s="202" customFormat="1" ht="14.15" hidden="1">
      <c r="A2088" s="222">
        <v>45399</v>
      </c>
      <c r="B2088" s="201" t="s">
        <v>2001</v>
      </c>
      <c r="C2088" s="208" t="s">
        <v>146</v>
      </c>
      <c r="D2088" s="592">
        <v>-200600</v>
      </c>
      <c r="E2088" s="619">
        <v>45383</v>
      </c>
      <c r="F2088" s="201" t="s">
        <v>109</v>
      </c>
      <c r="G2088" s="201" t="s">
        <v>918</v>
      </c>
      <c r="H2088" s="81" t="s">
        <v>138</v>
      </c>
      <c r="I2088" s="201" t="s">
        <v>1983</v>
      </c>
    </row>
    <row r="2089" spans="1:9" s="202" customFormat="1" ht="14.15" hidden="1">
      <c r="A2089" s="222">
        <v>45400</v>
      </c>
      <c r="B2089" s="201" t="s">
        <v>2002</v>
      </c>
      <c r="C2089" s="208" t="s">
        <v>146</v>
      </c>
      <c r="D2089" s="592">
        <v>-12500</v>
      </c>
      <c r="E2089" s="619">
        <v>45383</v>
      </c>
      <c r="F2089" s="201" t="s">
        <v>109</v>
      </c>
      <c r="G2089" s="201" t="s">
        <v>918</v>
      </c>
      <c r="H2089" s="81" t="s">
        <v>138</v>
      </c>
      <c r="I2089" s="201" t="s">
        <v>1983</v>
      </c>
    </row>
    <row r="2090" spans="1:9" s="202" customFormat="1" ht="14.15" hidden="1">
      <c r="A2090" s="222">
        <v>45400</v>
      </c>
      <c r="B2090" s="201" t="s">
        <v>2003</v>
      </c>
      <c r="C2090" s="208" t="s">
        <v>146</v>
      </c>
      <c r="D2090" s="592">
        <v>-20000</v>
      </c>
      <c r="E2090" s="619">
        <v>45383</v>
      </c>
      <c r="F2090" s="201" t="s">
        <v>109</v>
      </c>
      <c r="G2090" s="201" t="s">
        <v>918</v>
      </c>
      <c r="H2090" s="81" t="s">
        <v>138</v>
      </c>
      <c r="I2090" s="201" t="s">
        <v>1983</v>
      </c>
    </row>
    <row r="2091" spans="1:9" s="202" customFormat="1" ht="14.15" hidden="1">
      <c r="A2091" s="222">
        <v>45400</v>
      </c>
      <c r="B2091" s="201" t="s">
        <v>2004</v>
      </c>
      <c r="C2091" s="208" t="s">
        <v>146</v>
      </c>
      <c r="D2091" s="592">
        <v>-12500</v>
      </c>
      <c r="E2091" s="619">
        <v>45383</v>
      </c>
      <c r="F2091" s="201" t="s">
        <v>109</v>
      </c>
      <c r="G2091" s="201" t="s">
        <v>918</v>
      </c>
      <c r="H2091" s="81" t="s">
        <v>138</v>
      </c>
      <c r="I2091" s="201" t="s">
        <v>1983</v>
      </c>
    </row>
    <row r="2092" spans="1:9" s="202" customFormat="1" ht="14.15" hidden="1">
      <c r="A2092" s="222">
        <v>45401</v>
      </c>
      <c r="B2092" s="201" t="s">
        <v>2005</v>
      </c>
      <c r="C2092" s="208" t="s">
        <v>146</v>
      </c>
      <c r="D2092" s="592">
        <v>-25592</v>
      </c>
      <c r="E2092" s="619">
        <v>45383</v>
      </c>
      <c r="F2092" s="201" t="s">
        <v>109</v>
      </c>
      <c r="G2092" s="201" t="s">
        <v>918</v>
      </c>
      <c r="H2092" s="81" t="s">
        <v>138</v>
      </c>
      <c r="I2092" s="201" t="s">
        <v>1983</v>
      </c>
    </row>
    <row r="2093" spans="1:9" s="202" customFormat="1" ht="14.15" hidden="1">
      <c r="A2093" s="222">
        <v>45402</v>
      </c>
      <c r="B2093" s="201" t="s">
        <v>2006</v>
      </c>
      <c r="C2093" s="208" t="s">
        <v>146</v>
      </c>
      <c r="D2093" s="592">
        <v>-48000</v>
      </c>
      <c r="E2093" s="619">
        <v>45383</v>
      </c>
      <c r="F2093" s="201" t="s">
        <v>109</v>
      </c>
      <c r="G2093" s="201" t="s">
        <v>918</v>
      </c>
      <c r="H2093" s="81" t="s">
        <v>138</v>
      </c>
      <c r="I2093" s="201" t="s">
        <v>1983</v>
      </c>
    </row>
    <row r="2094" spans="1:9" s="202" customFormat="1" ht="14.15" hidden="1">
      <c r="A2094" s="222">
        <v>45388</v>
      </c>
      <c r="B2094" s="201" t="s">
        <v>2007</v>
      </c>
      <c r="C2094" s="208" t="s">
        <v>146</v>
      </c>
      <c r="D2094" s="592">
        <v>-6000</v>
      </c>
      <c r="E2094" s="619">
        <v>45383</v>
      </c>
      <c r="F2094" s="201" t="s">
        <v>109</v>
      </c>
      <c r="G2094" s="201" t="s">
        <v>918</v>
      </c>
      <c r="H2094" s="81" t="s">
        <v>138</v>
      </c>
      <c r="I2094" s="201" t="s">
        <v>1983</v>
      </c>
    </row>
    <row r="2095" spans="1:9" s="202" customFormat="1" ht="14.15" hidden="1">
      <c r="A2095" s="222">
        <v>45407</v>
      </c>
      <c r="B2095" s="201" t="s">
        <v>2008</v>
      </c>
      <c r="C2095" s="208" t="s">
        <v>146</v>
      </c>
      <c r="D2095" s="592">
        <v>-13000</v>
      </c>
      <c r="E2095" s="619">
        <v>45383</v>
      </c>
      <c r="F2095" s="201" t="s">
        <v>207</v>
      </c>
      <c r="G2095" s="201" t="s">
        <v>2009</v>
      </c>
      <c r="H2095" s="81" t="s">
        <v>138</v>
      </c>
      <c r="I2095" s="201"/>
    </row>
    <row r="2096" spans="1:9" s="202" customFormat="1" ht="14.15" hidden="1">
      <c r="A2096" s="222">
        <v>45408</v>
      </c>
      <c r="B2096" s="201" t="s">
        <v>2010</v>
      </c>
      <c r="C2096" s="208" t="s">
        <v>146</v>
      </c>
      <c r="D2096" s="592">
        <v>-18000</v>
      </c>
      <c r="E2096" s="619">
        <v>45383</v>
      </c>
      <c r="F2096" s="201" t="s">
        <v>130</v>
      </c>
      <c r="G2096" s="201" t="s">
        <v>257</v>
      </c>
      <c r="H2096" s="81" t="s">
        <v>138</v>
      </c>
      <c r="I2096" s="201"/>
    </row>
    <row r="2097" spans="1:9" s="202" customFormat="1" ht="14.15" hidden="1">
      <c r="A2097" s="222">
        <v>45408</v>
      </c>
      <c r="B2097" s="201" t="s">
        <v>2011</v>
      </c>
      <c r="C2097" s="208" t="s">
        <v>146</v>
      </c>
      <c r="D2097" s="592">
        <v>-60000</v>
      </c>
      <c r="E2097" s="619">
        <v>45383</v>
      </c>
      <c r="F2097" s="201" t="s">
        <v>130</v>
      </c>
      <c r="G2097" s="201" t="s">
        <v>130</v>
      </c>
      <c r="H2097" s="201" t="s">
        <v>184</v>
      </c>
      <c r="I2097" s="201"/>
    </row>
    <row r="2098" spans="1:9" s="202" customFormat="1" ht="14.15" hidden="1">
      <c r="A2098" s="222">
        <v>45405</v>
      </c>
      <c r="B2098" s="201" t="s">
        <v>2012</v>
      </c>
      <c r="C2098" s="208" t="s">
        <v>146</v>
      </c>
      <c r="D2098" s="592">
        <v>-28664</v>
      </c>
      <c r="E2098" s="619">
        <v>45383</v>
      </c>
      <c r="F2098" s="201" t="s">
        <v>109</v>
      </c>
      <c r="G2098" s="208" t="s">
        <v>125</v>
      </c>
      <c r="H2098" s="208" t="s">
        <v>175</v>
      </c>
      <c r="I2098" s="201" t="s">
        <v>173</v>
      </c>
    </row>
    <row r="2099" spans="1:9" s="202" customFormat="1" ht="14.15" hidden="1">
      <c r="A2099" s="222">
        <v>45405</v>
      </c>
      <c r="B2099" s="201" t="s">
        <v>2013</v>
      </c>
      <c r="C2099" s="208" t="s">
        <v>146</v>
      </c>
      <c r="D2099" s="592">
        <v>-21000</v>
      </c>
      <c r="E2099" s="619">
        <v>45383</v>
      </c>
      <c r="F2099" s="201" t="s">
        <v>110</v>
      </c>
      <c r="G2099" s="208" t="s">
        <v>122</v>
      </c>
      <c r="H2099" s="208" t="s">
        <v>175</v>
      </c>
      <c r="I2099" s="201" t="s">
        <v>173</v>
      </c>
    </row>
    <row r="2100" spans="1:9" s="202" customFormat="1" ht="14.15" hidden="1">
      <c r="A2100" s="222">
        <v>45405</v>
      </c>
      <c r="B2100" s="201" t="s">
        <v>2014</v>
      </c>
      <c r="C2100" s="208" t="s">
        <v>146</v>
      </c>
      <c r="D2100" s="592">
        <v>-175000</v>
      </c>
      <c r="E2100" s="619">
        <v>45383</v>
      </c>
      <c r="F2100" s="201" t="s">
        <v>109</v>
      </c>
      <c r="G2100" s="208" t="s">
        <v>125</v>
      </c>
      <c r="H2100" s="208" t="s">
        <v>175</v>
      </c>
      <c r="I2100" s="201" t="s">
        <v>173</v>
      </c>
    </row>
    <row r="2101" spans="1:9" s="202" customFormat="1" ht="14.15" hidden="1">
      <c r="A2101" s="222">
        <v>45406</v>
      </c>
      <c r="B2101" s="201" t="s">
        <v>2015</v>
      </c>
      <c r="C2101" s="208" t="s">
        <v>146</v>
      </c>
      <c r="D2101" s="592">
        <v>-13800</v>
      </c>
      <c r="E2101" s="619">
        <v>45383</v>
      </c>
      <c r="F2101" s="201" t="s">
        <v>110</v>
      </c>
      <c r="G2101" s="208" t="s">
        <v>122</v>
      </c>
      <c r="H2101" s="208" t="s">
        <v>147</v>
      </c>
      <c r="I2101" s="201" t="s">
        <v>173</v>
      </c>
    </row>
    <row r="2102" spans="1:9" s="202" customFormat="1" ht="14.15" hidden="1">
      <c r="A2102" s="222">
        <v>45406</v>
      </c>
      <c r="B2102" s="201" t="s">
        <v>2016</v>
      </c>
      <c r="C2102" s="208" t="s">
        <v>146</v>
      </c>
      <c r="D2102" s="592">
        <v>-43500</v>
      </c>
      <c r="E2102" s="619">
        <v>45383</v>
      </c>
      <c r="F2102" s="201" t="s">
        <v>110</v>
      </c>
      <c r="G2102" s="208" t="s">
        <v>122</v>
      </c>
      <c r="H2102" s="208" t="s">
        <v>175</v>
      </c>
      <c r="I2102" s="201" t="s">
        <v>173</v>
      </c>
    </row>
    <row r="2103" spans="1:9" s="202" customFormat="1" ht="14.15" hidden="1">
      <c r="A2103" s="222">
        <v>45406</v>
      </c>
      <c r="B2103" s="201" t="s">
        <v>2017</v>
      </c>
      <c r="C2103" s="208" t="s">
        <v>146</v>
      </c>
      <c r="D2103" s="592">
        <v>-20514</v>
      </c>
      <c r="E2103" s="619">
        <v>45383</v>
      </c>
      <c r="F2103" s="201" t="s">
        <v>109</v>
      </c>
      <c r="G2103" s="201" t="s">
        <v>918</v>
      </c>
      <c r="H2103" s="208" t="s">
        <v>175</v>
      </c>
      <c r="I2103" s="201" t="s">
        <v>173</v>
      </c>
    </row>
    <row r="2104" spans="1:9" s="202" customFormat="1" ht="14.15" hidden="1">
      <c r="A2104" s="222">
        <v>45407</v>
      </c>
      <c r="B2104" s="201" t="s">
        <v>2018</v>
      </c>
      <c r="C2104" s="208" t="s">
        <v>146</v>
      </c>
      <c r="D2104" s="800">
        <v>-30110</v>
      </c>
      <c r="E2104" s="619">
        <v>45383</v>
      </c>
      <c r="F2104" s="201" t="s">
        <v>109</v>
      </c>
      <c r="G2104" s="201" t="s">
        <v>581</v>
      </c>
      <c r="H2104" s="208" t="s">
        <v>175</v>
      </c>
      <c r="I2104" s="201" t="s">
        <v>173</v>
      </c>
    </row>
    <row r="2105" spans="1:9" s="202" customFormat="1" ht="14.15" hidden="1">
      <c r="A2105" s="222">
        <v>45407</v>
      </c>
      <c r="B2105" s="201" t="s">
        <v>2019</v>
      </c>
      <c r="C2105" s="208" t="s">
        <v>146</v>
      </c>
      <c r="D2105" s="592">
        <v>-95540</v>
      </c>
      <c r="E2105" s="619">
        <v>45383</v>
      </c>
      <c r="F2105" s="201" t="s">
        <v>109</v>
      </c>
      <c r="G2105" s="208" t="s">
        <v>125</v>
      </c>
      <c r="H2105" s="208" t="s">
        <v>175</v>
      </c>
      <c r="I2105" s="201" t="s">
        <v>173</v>
      </c>
    </row>
    <row r="2106" spans="1:9" s="202" customFormat="1" ht="14.15" hidden="1">
      <c r="A2106" s="222">
        <v>45407</v>
      </c>
      <c r="B2106" s="201" t="s">
        <v>2020</v>
      </c>
      <c r="C2106" s="208" t="s">
        <v>146</v>
      </c>
      <c r="D2106" s="592">
        <v>-27352</v>
      </c>
      <c r="E2106" s="619">
        <v>45383</v>
      </c>
      <c r="F2106" s="291" t="s">
        <v>109</v>
      </c>
      <c r="G2106" s="208" t="s">
        <v>525</v>
      </c>
      <c r="H2106" s="208" t="s">
        <v>175</v>
      </c>
      <c r="I2106" s="201" t="s">
        <v>173</v>
      </c>
    </row>
    <row r="2107" spans="1:9" s="202" customFormat="1" ht="14.15" hidden="1">
      <c r="A2107" s="222">
        <v>45407</v>
      </c>
      <c r="B2107" s="201" t="s">
        <v>2021</v>
      </c>
      <c r="C2107" s="208" t="s">
        <v>146</v>
      </c>
      <c r="D2107" s="592">
        <v>-59949</v>
      </c>
      <c r="E2107" s="619">
        <v>45383</v>
      </c>
      <c r="F2107" s="291" t="s">
        <v>109</v>
      </c>
      <c r="G2107" s="208" t="s">
        <v>525</v>
      </c>
      <c r="H2107" s="208" t="s">
        <v>175</v>
      </c>
      <c r="I2107" s="201" t="s">
        <v>173</v>
      </c>
    </row>
    <row r="2108" spans="1:9" s="202" customFormat="1" ht="14.15" hidden="1">
      <c r="A2108" s="222">
        <v>45407</v>
      </c>
      <c r="B2108" s="201" t="s">
        <v>2022</v>
      </c>
      <c r="C2108" s="208" t="s">
        <v>146</v>
      </c>
      <c r="D2108" s="592">
        <v>-57000</v>
      </c>
      <c r="E2108" s="619">
        <v>45383</v>
      </c>
      <c r="F2108" s="291" t="s">
        <v>109</v>
      </c>
      <c r="G2108" s="208" t="s">
        <v>525</v>
      </c>
      <c r="H2108" s="208" t="s">
        <v>175</v>
      </c>
      <c r="I2108" s="201" t="s">
        <v>173</v>
      </c>
    </row>
    <row r="2109" spans="1:9" s="202" customFormat="1" ht="14.15" hidden="1">
      <c r="A2109" s="222">
        <v>45407</v>
      </c>
      <c r="B2109" s="201" t="s">
        <v>2023</v>
      </c>
      <c r="C2109" s="208" t="s">
        <v>146</v>
      </c>
      <c r="D2109" s="592">
        <v>-28000</v>
      </c>
      <c r="E2109" s="619">
        <v>45383</v>
      </c>
      <c r="F2109" s="291" t="s">
        <v>109</v>
      </c>
      <c r="G2109" s="208" t="s">
        <v>525</v>
      </c>
      <c r="H2109" s="208" t="s">
        <v>175</v>
      </c>
      <c r="I2109" s="201" t="s">
        <v>173</v>
      </c>
    </row>
    <row r="2110" spans="1:9" s="202" customFormat="1" ht="14.15" hidden="1">
      <c r="A2110" s="222">
        <v>45407</v>
      </c>
      <c r="B2110" s="201" t="s">
        <v>2024</v>
      </c>
      <c r="C2110" s="208" t="s">
        <v>146</v>
      </c>
      <c r="D2110" s="592">
        <v>-6508</v>
      </c>
      <c r="E2110" s="619">
        <v>45383</v>
      </c>
      <c r="F2110" s="291" t="s">
        <v>109</v>
      </c>
      <c r="G2110" s="208" t="s">
        <v>525</v>
      </c>
      <c r="H2110" s="208" t="s">
        <v>175</v>
      </c>
      <c r="I2110" s="201" t="s">
        <v>173</v>
      </c>
    </row>
    <row r="2111" spans="1:9" s="202" customFormat="1" ht="14.15" hidden="1">
      <c r="A2111" s="222">
        <v>45407</v>
      </c>
      <c r="B2111" s="201" t="s">
        <v>2025</v>
      </c>
      <c r="C2111" s="208" t="s">
        <v>146</v>
      </c>
      <c r="D2111" s="592">
        <v>-60000</v>
      </c>
      <c r="E2111" s="619">
        <v>45383</v>
      </c>
      <c r="F2111" s="291" t="s">
        <v>109</v>
      </c>
      <c r="G2111" s="208" t="s">
        <v>525</v>
      </c>
      <c r="H2111" s="208" t="s">
        <v>175</v>
      </c>
      <c r="I2111" s="201" t="s">
        <v>173</v>
      </c>
    </row>
    <row r="2112" spans="1:9" s="202" customFormat="1" ht="14.15" hidden="1">
      <c r="A2112" s="222">
        <v>45408</v>
      </c>
      <c r="B2112" s="201" t="s">
        <v>2026</v>
      </c>
      <c r="C2112" s="208" t="s">
        <v>146</v>
      </c>
      <c r="D2112" s="592">
        <v>-40000</v>
      </c>
      <c r="E2112" s="619">
        <v>45383</v>
      </c>
      <c r="F2112" s="201" t="s">
        <v>130</v>
      </c>
      <c r="G2112" s="201" t="s">
        <v>130</v>
      </c>
      <c r="H2112" s="201" t="s">
        <v>184</v>
      </c>
      <c r="I2112" s="201" t="s">
        <v>173</v>
      </c>
    </row>
    <row r="2113" spans="1:9" s="202" customFormat="1" ht="14.15" hidden="1">
      <c r="A2113" s="222">
        <v>45408</v>
      </c>
      <c r="B2113" s="201" t="s">
        <v>2027</v>
      </c>
      <c r="C2113" s="208" t="s">
        <v>146</v>
      </c>
      <c r="D2113" s="592">
        <v>-3500</v>
      </c>
      <c r="E2113" s="619">
        <v>45383</v>
      </c>
      <c r="F2113" s="291" t="s">
        <v>109</v>
      </c>
      <c r="G2113" s="208" t="s">
        <v>525</v>
      </c>
      <c r="H2113" s="208" t="s">
        <v>175</v>
      </c>
      <c r="I2113" s="201" t="s">
        <v>173</v>
      </c>
    </row>
    <row r="2114" spans="1:9" s="202" customFormat="1" ht="14.15" hidden="1">
      <c r="A2114" s="222">
        <v>45408</v>
      </c>
      <c r="B2114" s="201" t="s">
        <v>2028</v>
      </c>
      <c r="C2114" s="208" t="s">
        <v>146</v>
      </c>
      <c r="D2114" s="592">
        <v>-8800</v>
      </c>
      <c r="E2114" s="619">
        <v>45383</v>
      </c>
      <c r="F2114" s="291" t="s">
        <v>110</v>
      </c>
      <c r="G2114" s="208" t="s">
        <v>450</v>
      </c>
      <c r="H2114" s="81" t="s">
        <v>138</v>
      </c>
      <c r="I2114" s="201"/>
    </row>
    <row r="2115" spans="1:9" s="202" customFormat="1" ht="14.15" hidden="1">
      <c r="A2115" s="222">
        <v>45408</v>
      </c>
      <c r="B2115" s="201" t="s">
        <v>2029</v>
      </c>
      <c r="C2115" s="208" t="s">
        <v>27</v>
      </c>
      <c r="D2115" s="592">
        <v>-356200</v>
      </c>
      <c r="E2115" s="619">
        <v>45383</v>
      </c>
      <c r="F2115" s="291" t="s">
        <v>109</v>
      </c>
      <c r="G2115" s="208" t="s">
        <v>525</v>
      </c>
      <c r="H2115" s="201" t="s">
        <v>310</v>
      </c>
      <c r="I2115" s="201"/>
    </row>
    <row r="2116" spans="1:9" s="202" customFormat="1" ht="14.15" hidden="1">
      <c r="A2116" s="222">
        <v>45406</v>
      </c>
      <c r="B2116" s="630" t="s">
        <v>2030</v>
      </c>
      <c r="C2116" s="208" t="s">
        <v>27</v>
      </c>
      <c r="D2116" s="592">
        <v>-482300</v>
      </c>
      <c r="E2116" s="619">
        <v>45383</v>
      </c>
      <c r="F2116" s="201" t="s">
        <v>109</v>
      </c>
      <c r="G2116" s="208" t="s">
        <v>120</v>
      </c>
      <c r="H2116" s="201"/>
      <c r="I2116" s="201"/>
    </row>
    <row r="2117" spans="1:9" s="202" customFormat="1" ht="14.15" hidden="1">
      <c r="A2117" s="222">
        <v>45412</v>
      </c>
      <c r="B2117" s="201" t="s">
        <v>2031</v>
      </c>
      <c r="C2117" s="208" t="s">
        <v>181</v>
      </c>
      <c r="D2117" s="592">
        <v>518310</v>
      </c>
      <c r="E2117" s="619">
        <v>45383</v>
      </c>
      <c r="F2117" s="201" t="s">
        <v>108</v>
      </c>
      <c r="G2117" s="201"/>
      <c r="H2117" s="201"/>
      <c r="I2117" s="201"/>
    </row>
    <row r="2118" spans="1:9" s="202" customFormat="1" ht="14.15" hidden="1">
      <c r="A2118" s="222">
        <v>45411</v>
      </c>
      <c r="B2118" s="201" t="s">
        <v>1422</v>
      </c>
      <c r="C2118" s="208" t="s">
        <v>146</v>
      </c>
      <c r="D2118" s="592">
        <v>40000</v>
      </c>
      <c r="E2118" s="619">
        <v>45383</v>
      </c>
      <c r="F2118" s="201" t="s">
        <v>130</v>
      </c>
      <c r="G2118" s="201" t="s">
        <v>257</v>
      </c>
      <c r="H2118" s="633" t="s">
        <v>2032</v>
      </c>
      <c r="I2118" s="201"/>
    </row>
    <row r="2119" spans="1:9" s="202" customFormat="1" ht="14.15" hidden="1">
      <c r="A2119" s="222">
        <v>45411</v>
      </c>
      <c r="B2119" s="201" t="s">
        <v>1422</v>
      </c>
      <c r="C2119" s="208" t="s">
        <v>146</v>
      </c>
      <c r="D2119" s="592">
        <v>40000</v>
      </c>
      <c r="E2119" s="619">
        <v>45383</v>
      </c>
      <c r="F2119" s="201" t="s">
        <v>130</v>
      </c>
      <c r="G2119" s="201" t="s">
        <v>257</v>
      </c>
      <c r="H2119" s="633" t="s">
        <v>2032</v>
      </c>
      <c r="I2119" s="201"/>
    </row>
    <row r="2120" spans="1:9" s="202" customFormat="1" ht="14.15" hidden="1">
      <c r="A2120" s="222">
        <v>45411</v>
      </c>
      <c r="B2120" s="201" t="s">
        <v>2033</v>
      </c>
      <c r="C2120" s="208" t="s">
        <v>146</v>
      </c>
      <c r="D2120" s="592">
        <v>-47900</v>
      </c>
      <c r="E2120" s="619">
        <v>45383</v>
      </c>
      <c r="F2120" s="201" t="s">
        <v>130</v>
      </c>
      <c r="G2120" s="201" t="s">
        <v>130</v>
      </c>
      <c r="H2120" s="201" t="s">
        <v>184</v>
      </c>
      <c r="I2120" s="201"/>
    </row>
    <row r="2121" spans="1:9" s="202" customFormat="1" ht="14.15" hidden="1">
      <c r="A2121" s="222">
        <v>45411</v>
      </c>
      <c r="B2121" s="201" t="s">
        <v>2034</v>
      </c>
      <c r="C2121" s="208" t="s">
        <v>146</v>
      </c>
      <c r="D2121" s="592">
        <v>-22000</v>
      </c>
      <c r="E2121" s="619">
        <v>45383</v>
      </c>
      <c r="F2121" s="201" t="s">
        <v>109</v>
      </c>
      <c r="G2121" s="208" t="s">
        <v>120</v>
      </c>
      <c r="H2121" s="81" t="s">
        <v>138</v>
      </c>
      <c r="I2121" s="201"/>
    </row>
    <row r="2122" spans="1:9" s="202" customFormat="1" ht="14.15" hidden="1">
      <c r="A2122" s="222">
        <v>45411</v>
      </c>
      <c r="B2122" s="201" t="s">
        <v>2034</v>
      </c>
      <c r="C2122" s="208" t="s">
        <v>146</v>
      </c>
      <c r="D2122" s="592">
        <v>-59000</v>
      </c>
      <c r="E2122" s="619">
        <v>45383</v>
      </c>
      <c r="F2122" s="201" t="s">
        <v>109</v>
      </c>
      <c r="G2122" s="201" t="s">
        <v>918</v>
      </c>
      <c r="H2122" s="81" t="s">
        <v>138</v>
      </c>
      <c r="I2122" s="201"/>
    </row>
    <row r="2123" spans="1:9" s="202" customFormat="1" ht="14.15" hidden="1">
      <c r="A2123" s="222">
        <v>45411</v>
      </c>
      <c r="B2123" s="201" t="s">
        <v>2034</v>
      </c>
      <c r="C2123" s="208" t="s">
        <v>146</v>
      </c>
      <c r="D2123" s="592">
        <v>-40000</v>
      </c>
      <c r="E2123" s="619">
        <v>45383</v>
      </c>
      <c r="F2123" s="201" t="s">
        <v>109</v>
      </c>
      <c r="G2123" s="208" t="s">
        <v>125</v>
      </c>
      <c r="H2123" s="81" t="s">
        <v>138</v>
      </c>
      <c r="I2123" s="201"/>
    </row>
    <row r="2124" spans="1:9" s="202" customFormat="1" ht="14.15" hidden="1">
      <c r="A2124" s="222">
        <v>45411</v>
      </c>
      <c r="B2124" s="201" t="s">
        <v>2034</v>
      </c>
      <c r="C2124" s="208" t="s">
        <v>146</v>
      </c>
      <c r="D2124" s="592">
        <v>-342000</v>
      </c>
      <c r="E2124" s="619">
        <v>45383</v>
      </c>
      <c r="F2124" s="291" t="s">
        <v>109</v>
      </c>
      <c r="G2124" s="208" t="s">
        <v>525</v>
      </c>
      <c r="H2124" s="81" t="s">
        <v>138</v>
      </c>
      <c r="I2124" s="201"/>
    </row>
    <row r="2125" spans="1:9" s="202" customFormat="1" ht="14.15" hidden="1">
      <c r="A2125" s="222">
        <v>45411</v>
      </c>
      <c r="B2125" s="201" t="s">
        <v>2034</v>
      </c>
      <c r="C2125" s="208" t="s">
        <v>146</v>
      </c>
      <c r="D2125" s="592">
        <v>-22000</v>
      </c>
      <c r="E2125" s="619">
        <v>45383</v>
      </c>
      <c r="F2125" s="201" t="s">
        <v>110</v>
      </c>
      <c r="G2125" s="208" t="s">
        <v>122</v>
      </c>
      <c r="H2125" s="81" t="s">
        <v>138</v>
      </c>
      <c r="I2125" s="201"/>
    </row>
    <row r="2126" spans="1:9" s="202" customFormat="1" ht="14.15" hidden="1">
      <c r="A2126" s="222">
        <v>45408</v>
      </c>
      <c r="B2126" s="201" t="s">
        <v>2035</v>
      </c>
      <c r="C2126" s="208" t="s">
        <v>146</v>
      </c>
      <c r="D2126" s="592">
        <v>-179600</v>
      </c>
      <c r="E2126" s="619">
        <v>45383</v>
      </c>
      <c r="F2126" s="291" t="s">
        <v>109</v>
      </c>
      <c r="G2126" s="208" t="s">
        <v>525</v>
      </c>
      <c r="H2126" s="208" t="s">
        <v>175</v>
      </c>
      <c r="I2126" s="201" t="s">
        <v>173</v>
      </c>
    </row>
    <row r="2127" spans="1:9" s="202" customFormat="1" ht="14.15" hidden="1">
      <c r="A2127" s="222">
        <v>45408</v>
      </c>
      <c r="B2127" s="201" t="s">
        <v>2036</v>
      </c>
      <c r="C2127" s="208" t="s">
        <v>146</v>
      </c>
      <c r="D2127" s="592">
        <v>-16150</v>
      </c>
      <c r="E2127" s="619">
        <v>45383</v>
      </c>
      <c r="F2127" s="291" t="s">
        <v>109</v>
      </c>
      <c r="G2127" s="208" t="s">
        <v>525</v>
      </c>
      <c r="H2127" s="208" t="s">
        <v>175</v>
      </c>
      <c r="I2127" s="201" t="s">
        <v>173</v>
      </c>
    </row>
    <row r="2128" spans="1:9" s="202" customFormat="1" ht="14.15" hidden="1">
      <c r="A2128" s="222">
        <v>45408</v>
      </c>
      <c r="B2128" s="201" t="s">
        <v>2037</v>
      </c>
      <c r="C2128" s="208" t="s">
        <v>146</v>
      </c>
      <c r="D2128" s="592">
        <v>-55600</v>
      </c>
      <c r="E2128" s="619">
        <v>45383</v>
      </c>
      <c r="F2128" s="201" t="s">
        <v>109</v>
      </c>
      <c r="G2128" s="208" t="s">
        <v>120</v>
      </c>
      <c r="H2128" s="208" t="s">
        <v>175</v>
      </c>
      <c r="I2128" s="201" t="s">
        <v>173</v>
      </c>
    </row>
    <row r="2129" spans="1:9" s="202" customFormat="1" ht="14.15" hidden="1">
      <c r="A2129" s="222">
        <v>45408</v>
      </c>
      <c r="B2129" s="37" t="s">
        <v>2038</v>
      </c>
      <c r="C2129" s="208" t="s">
        <v>146</v>
      </c>
      <c r="D2129" s="592">
        <v>-24000</v>
      </c>
      <c r="E2129" s="619">
        <v>45383</v>
      </c>
      <c r="F2129" s="201" t="s">
        <v>109</v>
      </c>
      <c r="G2129" s="208" t="s">
        <v>125</v>
      </c>
      <c r="H2129" s="208" t="s">
        <v>175</v>
      </c>
      <c r="I2129" s="201" t="s">
        <v>173</v>
      </c>
    </row>
    <row r="2130" spans="1:9" s="202" customFormat="1" ht="14.15" hidden="1">
      <c r="A2130" s="222">
        <v>45408</v>
      </c>
      <c r="B2130" s="201" t="s">
        <v>2039</v>
      </c>
      <c r="C2130" s="208" t="s">
        <v>146</v>
      </c>
      <c r="D2130" s="592">
        <v>-32066</v>
      </c>
      <c r="E2130" s="619">
        <v>45383</v>
      </c>
      <c r="F2130" s="201" t="s">
        <v>109</v>
      </c>
      <c r="G2130" s="208" t="s">
        <v>125</v>
      </c>
      <c r="H2130" s="208" t="s">
        <v>175</v>
      </c>
      <c r="I2130" s="201" t="s">
        <v>173</v>
      </c>
    </row>
    <row r="2131" spans="1:9" s="202" customFormat="1" ht="14.15" hidden="1">
      <c r="A2131" s="222">
        <v>45411</v>
      </c>
      <c r="B2131" s="201" t="s">
        <v>2040</v>
      </c>
      <c r="C2131" s="208" t="s">
        <v>146</v>
      </c>
      <c r="D2131" s="592">
        <v>-140300</v>
      </c>
      <c r="E2131" s="619">
        <v>45383</v>
      </c>
      <c r="F2131" s="291" t="s">
        <v>109</v>
      </c>
      <c r="G2131" s="208" t="s">
        <v>525</v>
      </c>
      <c r="H2131" s="208" t="s">
        <v>175</v>
      </c>
      <c r="I2131" s="201" t="s">
        <v>173</v>
      </c>
    </row>
    <row r="2132" spans="1:9" s="202" customFormat="1" ht="14.15" hidden="1">
      <c r="A2132" s="222">
        <v>45411</v>
      </c>
      <c r="B2132" s="201" t="s">
        <v>2041</v>
      </c>
      <c r="C2132" s="208" t="s">
        <v>146</v>
      </c>
      <c r="D2132" s="592">
        <v>-82990</v>
      </c>
      <c r="E2132" s="619">
        <v>45383</v>
      </c>
      <c r="F2132" s="201" t="s">
        <v>109</v>
      </c>
      <c r="G2132" s="208" t="s">
        <v>125</v>
      </c>
      <c r="H2132" s="208" t="s">
        <v>175</v>
      </c>
      <c r="I2132" s="201" t="s">
        <v>173</v>
      </c>
    </row>
    <row r="2133" spans="1:9" s="202" customFormat="1" ht="14.15" hidden="1">
      <c r="A2133" s="222">
        <v>45412</v>
      </c>
      <c r="B2133" s="201" t="s">
        <v>2042</v>
      </c>
      <c r="C2133" s="208" t="s">
        <v>146</v>
      </c>
      <c r="D2133" s="592">
        <v>-24000</v>
      </c>
      <c r="E2133" s="619">
        <v>45383</v>
      </c>
      <c r="F2133" s="201" t="s">
        <v>130</v>
      </c>
      <c r="G2133" s="201" t="s">
        <v>130</v>
      </c>
      <c r="H2133" s="201" t="s">
        <v>184</v>
      </c>
      <c r="I2133" s="201"/>
    </row>
    <row r="2134" spans="1:9" s="202" customFormat="1" ht="14.15" hidden="1">
      <c r="A2134" s="222">
        <v>45412</v>
      </c>
      <c r="B2134" s="201" t="s">
        <v>2043</v>
      </c>
      <c r="C2134" s="208" t="s">
        <v>146</v>
      </c>
      <c r="D2134" s="592">
        <v>-30000</v>
      </c>
      <c r="E2134" s="619">
        <v>45383</v>
      </c>
      <c r="F2134" s="291" t="s">
        <v>110</v>
      </c>
      <c r="G2134" s="208" t="s">
        <v>450</v>
      </c>
      <c r="H2134" s="81" t="s">
        <v>138</v>
      </c>
      <c r="I2134" s="201"/>
    </row>
    <row r="2135" spans="1:9" s="202" customFormat="1" ht="14.15" hidden="1">
      <c r="A2135" s="222">
        <v>45412</v>
      </c>
      <c r="B2135" s="201" t="s">
        <v>2043</v>
      </c>
      <c r="C2135" s="208" t="s">
        <v>146</v>
      </c>
      <c r="D2135" s="592">
        <v>-12000</v>
      </c>
      <c r="E2135" s="619">
        <v>45383</v>
      </c>
      <c r="F2135" s="201" t="s">
        <v>130</v>
      </c>
      <c r="G2135" s="201" t="s">
        <v>257</v>
      </c>
      <c r="H2135" s="81" t="s">
        <v>138</v>
      </c>
      <c r="I2135" s="201"/>
    </row>
    <row r="2136" spans="1:9" s="202" customFormat="1" ht="14.15" hidden="1">
      <c r="A2136" s="222">
        <v>45412</v>
      </c>
      <c r="B2136" s="201" t="s">
        <v>2043</v>
      </c>
      <c r="C2136" s="208" t="s">
        <v>146</v>
      </c>
      <c r="D2136" s="592">
        <v>-18000</v>
      </c>
      <c r="E2136" s="619">
        <v>45383</v>
      </c>
      <c r="F2136" s="201" t="s">
        <v>110</v>
      </c>
      <c r="G2136" s="208" t="s">
        <v>122</v>
      </c>
      <c r="H2136" s="81" t="s">
        <v>138</v>
      </c>
      <c r="I2136" s="201"/>
    </row>
    <row r="2137" spans="1:9" s="202" customFormat="1" ht="14.15" hidden="1">
      <c r="A2137" s="222">
        <v>45412</v>
      </c>
      <c r="B2137" s="201" t="s">
        <v>2043</v>
      </c>
      <c r="C2137" s="208" t="s">
        <v>146</v>
      </c>
      <c r="D2137" s="592">
        <v>-36000</v>
      </c>
      <c r="E2137" s="619">
        <v>45383</v>
      </c>
      <c r="F2137" s="291" t="s">
        <v>109</v>
      </c>
      <c r="G2137" s="208" t="s">
        <v>525</v>
      </c>
      <c r="H2137" s="81" t="s">
        <v>138</v>
      </c>
      <c r="I2137" s="201"/>
    </row>
    <row r="2138" spans="1:9" s="202" customFormat="1" ht="14.15" hidden="1">
      <c r="A2138" s="222">
        <v>45412</v>
      </c>
      <c r="B2138" s="201" t="s">
        <v>2043</v>
      </c>
      <c r="C2138" s="208" t="s">
        <v>146</v>
      </c>
      <c r="D2138" s="592">
        <v>-6000</v>
      </c>
      <c r="E2138" s="619">
        <v>45383</v>
      </c>
      <c r="F2138" s="201" t="s">
        <v>109</v>
      </c>
      <c r="G2138" s="208" t="s">
        <v>120</v>
      </c>
      <c r="H2138" s="81" t="s">
        <v>138</v>
      </c>
      <c r="I2138" s="201"/>
    </row>
    <row r="2139" spans="1:9" s="202" customFormat="1" ht="14.15" hidden="1">
      <c r="A2139" s="222">
        <v>45412</v>
      </c>
      <c r="B2139" s="201" t="s">
        <v>2043</v>
      </c>
      <c r="C2139" s="208" t="s">
        <v>146</v>
      </c>
      <c r="D2139" s="592">
        <v>-45000</v>
      </c>
      <c r="E2139" s="619">
        <v>45383</v>
      </c>
      <c r="F2139" s="201" t="s">
        <v>109</v>
      </c>
      <c r="G2139" s="208" t="s">
        <v>125</v>
      </c>
      <c r="H2139" s="81" t="s">
        <v>138</v>
      </c>
      <c r="I2139" s="201"/>
    </row>
    <row r="2140" spans="1:9" s="202" customFormat="1" ht="14.15" hidden="1">
      <c r="A2140" s="222">
        <v>45412</v>
      </c>
      <c r="B2140" s="201" t="s">
        <v>1935</v>
      </c>
      <c r="C2140" s="208" t="s">
        <v>146</v>
      </c>
      <c r="D2140" s="592">
        <v>-6500</v>
      </c>
      <c r="E2140" s="619">
        <v>45383</v>
      </c>
      <c r="F2140" s="201" t="s">
        <v>130</v>
      </c>
      <c r="G2140" s="201" t="s">
        <v>257</v>
      </c>
      <c r="H2140" s="81" t="s">
        <v>138</v>
      </c>
      <c r="I2140" s="201"/>
    </row>
    <row r="2141" spans="1:9" s="202" customFormat="1" ht="14.15" hidden="1">
      <c r="A2141" s="222">
        <v>45412</v>
      </c>
      <c r="B2141" s="201" t="s">
        <v>2044</v>
      </c>
      <c r="C2141" s="208" t="s">
        <v>146</v>
      </c>
      <c r="D2141" s="592">
        <v>-1800</v>
      </c>
      <c r="E2141" s="619">
        <v>45383</v>
      </c>
      <c r="F2141" s="201" t="s">
        <v>130</v>
      </c>
      <c r="G2141" s="201" t="s">
        <v>130</v>
      </c>
      <c r="H2141" s="201" t="s">
        <v>184</v>
      </c>
      <c r="I2141" s="201"/>
    </row>
    <row r="2142" spans="1:9" s="202" customFormat="1" ht="14.15" hidden="1">
      <c r="A2142" s="222">
        <v>45408</v>
      </c>
      <c r="B2142" s="201" t="s">
        <v>2045</v>
      </c>
      <c r="C2142" s="208" t="s">
        <v>181</v>
      </c>
      <c r="D2142" s="592">
        <v>1183242</v>
      </c>
      <c r="E2142" s="619">
        <v>45383</v>
      </c>
      <c r="F2142" s="201" t="s">
        <v>108</v>
      </c>
      <c r="G2142" s="201"/>
      <c r="H2142" s="201"/>
      <c r="I2142" s="201"/>
    </row>
    <row r="2143" spans="1:9" s="202" customFormat="1" ht="14.15" hidden="1">
      <c r="A2143" s="222">
        <v>45411</v>
      </c>
      <c r="B2143" s="201" t="s">
        <v>1262</v>
      </c>
      <c r="C2143" s="208" t="s">
        <v>181</v>
      </c>
      <c r="D2143" s="592">
        <v>-27026840</v>
      </c>
      <c r="E2143" s="619">
        <v>45383</v>
      </c>
      <c r="F2143" s="201" t="s">
        <v>109</v>
      </c>
      <c r="G2143" s="208" t="s">
        <v>120</v>
      </c>
      <c r="H2143" s="201"/>
      <c r="I2143" s="201"/>
    </row>
    <row r="2144" spans="1:9" s="202" customFormat="1" ht="14.15" hidden="1">
      <c r="A2144" s="222">
        <v>45407</v>
      </c>
      <c r="B2144" s="201" t="s">
        <v>1972</v>
      </c>
      <c r="C2144" s="208" t="s">
        <v>27</v>
      </c>
      <c r="D2144" s="592">
        <v>-1826650</v>
      </c>
      <c r="E2144" s="619">
        <v>45383</v>
      </c>
      <c r="F2144" s="201" t="s">
        <v>110</v>
      </c>
      <c r="G2144" s="208" t="s">
        <v>453</v>
      </c>
      <c r="H2144" s="201" t="s">
        <v>421</v>
      </c>
      <c r="I2144" s="201"/>
    </row>
    <row r="2145" spans="1:149" s="202" customFormat="1" ht="14.15" hidden="1">
      <c r="A2145" s="222">
        <v>45411</v>
      </c>
      <c r="B2145" s="201" t="s">
        <v>1073</v>
      </c>
      <c r="C2145" s="208" t="s">
        <v>27</v>
      </c>
      <c r="D2145" s="592">
        <v>-1240000</v>
      </c>
      <c r="E2145" s="619">
        <v>45383</v>
      </c>
      <c r="F2145" s="201" t="s">
        <v>109</v>
      </c>
      <c r="G2145" s="208" t="s">
        <v>120</v>
      </c>
      <c r="H2145" s="201"/>
      <c r="I2145" s="201"/>
    </row>
    <row r="2146" spans="1:149" s="202" customFormat="1" ht="14.15" hidden="1">
      <c r="A2146" s="222">
        <v>45411</v>
      </c>
      <c r="B2146" s="201" t="s">
        <v>2046</v>
      </c>
      <c r="C2146" s="208" t="s">
        <v>27</v>
      </c>
      <c r="D2146" s="592">
        <v>-1290000</v>
      </c>
      <c r="E2146" s="619">
        <v>45383</v>
      </c>
      <c r="F2146" s="201" t="s">
        <v>109</v>
      </c>
      <c r="G2146" s="201" t="s">
        <v>1261</v>
      </c>
      <c r="H2146" s="201" t="s">
        <v>508</v>
      </c>
      <c r="I2146" s="201"/>
    </row>
    <row r="2147" spans="1:149" s="202" customFormat="1" ht="14.15" hidden="1">
      <c r="A2147" s="222">
        <v>45411</v>
      </c>
      <c r="B2147" s="201" t="s">
        <v>2047</v>
      </c>
      <c r="C2147" s="208" t="s">
        <v>27</v>
      </c>
      <c r="D2147" s="592">
        <v>-420000</v>
      </c>
      <c r="E2147" s="619">
        <v>45383</v>
      </c>
      <c r="F2147" s="201" t="s">
        <v>109</v>
      </c>
      <c r="G2147" s="208" t="s">
        <v>120</v>
      </c>
      <c r="H2147" s="201"/>
      <c r="I2147" s="201"/>
    </row>
    <row r="2148" spans="1:149" s="202" customFormat="1" ht="14.15" hidden="1">
      <c r="A2148" s="222">
        <v>45411</v>
      </c>
      <c r="B2148" s="201" t="s">
        <v>2048</v>
      </c>
      <c r="C2148" s="208" t="s">
        <v>27</v>
      </c>
      <c r="D2148" s="592">
        <v>-1050000</v>
      </c>
      <c r="E2148" s="619">
        <v>45383</v>
      </c>
      <c r="F2148" s="201" t="s">
        <v>109</v>
      </c>
      <c r="G2148" s="208" t="s">
        <v>120</v>
      </c>
      <c r="H2148" s="201"/>
      <c r="I2148" s="201"/>
    </row>
    <row r="2149" spans="1:149" s="202" customFormat="1" ht="14.15" hidden="1">
      <c r="A2149" s="222">
        <v>45412</v>
      </c>
      <c r="B2149" s="201" t="s">
        <v>2049</v>
      </c>
      <c r="C2149" s="208" t="s">
        <v>27</v>
      </c>
      <c r="D2149" s="592">
        <v>-1300000</v>
      </c>
      <c r="E2149" s="619">
        <v>45383</v>
      </c>
      <c r="F2149" s="201" t="s">
        <v>109</v>
      </c>
      <c r="G2149" s="208" t="s">
        <v>120</v>
      </c>
      <c r="H2149" s="201"/>
      <c r="I2149" s="201"/>
    </row>
    <row r="2150" spans="1:149" s="202" customFormat="1" ht="14.15" hidden="1">
      <c r="A2150" s="222">
        <v>45412</v>
      </c>
      <c r="B2150" s="201" t="s">
        <v>2050</v>
      </c>
      <c r="C2150" s="208" t="s">
        <v>27</v>
      </c>
      <c r="D2150" s="592">
        <v>-360000</v>
      </c>
      <c r="E2150" s="619">
        <v>45383</v>
      </c>
      <c r="F2150" s="201" t="s">
        <v>130</v>
      </c>
      <c r="G2150" s="201" t="s">
        <v>130</v>
      </c>
      <c r="H2150" s="201" t="s">
        <v>323</v>
      </c>
      <c r="I2150" s="201"/>
    </row>
    <row r="2151" spans="1:149" s="202" customFormat="1" ht="14.15" hidden="1">
      <c r="A2151" s="222">
        <v>45412</v>
      </c>
      <c r="B2151" s="201" t="s">
        <v>1056</v>
      </c>
      <c r="C2151" s="208" t="s">
        <v>27</v>
      </c>
      <c r="D2151" s="592">
        <v>-2815200</v>
      </c>
      <c r="E2151" s="619">
        <v>45383</v>
      </c>
      <c r="F2151" s="201" t="s">
        <v>109</v>
      </c>
      <c r="G2151" s="208" t="s">
        <v>120</v>
      </c>
      <c r="H2151" s="208" t="s">
        <v>147</v>
      </c>
      <c r="I2151" s="201"/>
    </row>
    <row r="2152" spans="1:149" s="202" customFormat="1" ht="14.15" hidden="1">
      <c r="A2152" s="222">
        <v>45412</v>
      </c>
      <c r="B2152" s="201" t="s">
        <v>1057</v>
      </c>
      <c r="C2152" s="208" t="s">
        <v>27</v>
      </c>
      <c r="D2152" s="592">
        <v>-6523881</v>
      </c>
      <c r="E2152" s="619">
        <v>45383</v>
      </c>
      <c r="F2152" s="201" t="s">
        <v>109</v>
      </c>
      <c r="G2152" s="208" t="s">
        <v>120</v>
      </c>
      <c r="H2152" s="208" t="s">
        <v>147</v>
      </c>
      <c r="I2152" s="201"/>
    </row>
    <row r="2153" spans="1:149" s="202" customFormat="1" ht="14.15" hidden="1">
      <c r="A2153" s="222">
        <v>45412</v>
      </c>
      <c r="B2153" s="201" t="s">
        <v>1058</v>
      </c>
      <c r="C2153" s="208" t="s">
        <v>27</v>
      </c>
      <c r="D2153" s="592">
        <v>-737220</v>
      </c>
      <c r="E2153" s="619">
        <v>45383</v>
      </c>
      <c r="F2153" s="201" t="s">
        <v>110</v>
      </c>
      <c r="G2153" s="208" t="s">
        <v>450</v>
      </c>
      <c r="H2153" s="208" t="s">
        <v>147</v>
      </c>
      <c r="I2153" s="201"/>
    </row>
    <row r="2154" spans="1:149" s="202" customFormat="1" ht="14.15" hidden="1">
      <c r="A2154" s="222">
        <v>45412</v>
      </c>
      <c r="B2154" s="201" t="s">
        <v>1058</v>
      </c>
      <c r="C2154" s="208" t="s">
        <v>27</v>
      </c>
      <c r="D2154" s="592">
        <v>-491480</v>
      </c>
      <c r="E2154" s="619">
        <v>45383</v>
      </c>
      <c r="F2154" s="201" t="s">
        <v>109</v>
      </c>
      <c r="G2154" s="208" t="s">
        <v>125</v>
      </c>
      <c r="H2154" s="208" t="s">
        <v>147</v>
      </c>
      <c r="I2154" s="201"/>
    </row>
    <row r="2155" spans="1:149" s="202" customFormat="1" ht="14.15" hidden="1">
      <c r="A2155" s="222">
        <v>45412</v>
      </c>
      <c r="B2155" s="201" t="s">
        <v>1059</v>
      </c>
      <c r="C2155" s="208" t="s">
        <v>27</v>
      </c>
      <c r="D2155" s="592">
        <v>-396864</v>
      </c>
      <c r="E2155" s="619">
        <v>45383</v>
      </c>
      <c r="F2155" s="201" t="s">
        <v>110</v>
      </c>
      <c r="G2155" s="208" t="s">
        <v>450</v>
      </c>
      <c r="H2155" s="208" t="s">
        <v>147</v>
      </c>
      <c r="I2155" s="201"/>
    </row>
    <row r="2156" spans="1:149" s="202" customFormat="1" ht="14.15" hidden="1">
      <c r="A2156" s="222">
        <v>45412</v>
      </c>
      <c r="B2156" s="201" t="s">
        <v>1059</v>
      </c>
      <c r="C2156" s="208" t="s">
        <v>27</v>
      </c>
      <c r="D2156" s="592">
        <v>-264576</v>
      </c>
      <c r="E2156" s="619">
        <v>45383</v>
      </c>
      <c r="F2156" s="201" t="s">
        <v>109</v>
      </c>
      <c r="G2156" s="208" t="s">
        <v>125</v>
      </c>
      <c r="H2156" s="208" t="s">
        <v>147</v>
      </c>
      <c r="I2156" s="201"/>
    </row>
    <row r="2157" spans="1:149" s="202" customFormat="1" ht="14.15" hidden="1">
      <c r="A2157" s="222">
        <v>45412</v>
      </c>
      <c r="B2157" s="202" t="s">
        <v>1060</v>
      </c>
      <c r="C2157" s="208" t="s">
        <v>27</v>
      </c>
      <c r="D2157" s="592">
        <v>-2554000</v>
      </c>
      <c r="E2157" s="619">
        <v>45383</v>
      </c>
      <c r="F2157" s="201" t="s">
        <v>130</v>
      </c>
      <c r="G2157" s="627" t="s">
        <v>130</v>
      </c>
      <c r="H2157" s="201" t="s">
        <v>1175</v>
      </c>
      <c r="I2157" s="201"/>
    </row>
    <row r="2158" spans="1:149" s="202" customFormat="1" ht="14.15" hidden="1">
      <c r="A2158" s="222">
        <v>45412</v>
      </c>
      <c r="B2158" s="201" t="s">
        <v>1061</v>
      </c>
      <c r="C2158" s="208" t="s">
        <v>27</v>
      </c>
      <c r="D2158" s="592">
        <v>-450804</v>
      </c>
      <c r="E2158" s="619">
        <v>45383</v>
      </c>
      <c r="F2158" s="201" t="s">
        <v>109</v>
      </c>
      <c r="G2158" s="201" t="s">
        <v>918</v>
      </c>
      <c r="H2158" s="208" t="s">
        <v>147</v>
      </c>
      <c r="I2158" s="201"/>
    </row>
    <row r="2159" spans="1:149" s="202" customFormat="1" ht="14.15" hidden="1">
      <c r="A2159" s="222">
        <v>45412</v>
      </c>
      <c r="B2159" s="201" t="s">
        <v>1061</v>
      </c>
      <c r="C2159" s="208" t="s">
        <v>27</v>
      </c>
      <c r="D2159" s="592">
        <v>-150268</v>
      </c>
      <c r="E2159" s="619">
        <v>45383</v>
      </c>
      <c r="F2159" s="291" t="s">
        <v>109</v>
      </c>
      <c r="G2159" s="208" t="s">
        <v>525</v>
      </c>
      <c r="H2159" s="208" t="s">
        <v>147</v>
      </c>
      <c r="I2159" s="201"/>
    </row>
    <row r="2160" spans="1:149" s="202" customFormat="1" ht="14.15" hidden="1">
      <c r="A2160" s="468">
        <v>45335</v>
      </c>
      <c r="B2160" s="208" t="s">
        <v>2051</v>
      </c>
      <c r="C2160" s="208" t="s">
        <v>146</v>
      </c>
      <c r="D2160" s="592">
        <v>-90000</v>
      </c>
      <c r="E2160" s="619">
        <v>45413</v>
      </c>
      <c r="F2160" s="208" t="s">
        <v>130</v>
      </c>
      <c r="G2160" s="208" t="s">
        <v>257</v>
      </c>
      <c r="H2160" s="81" t="s">
        <v>138</v>
      </c>
      <c r="I2160" s="208" t="s">
        <v>2052</v>
      </c>
      <c r="J2160" s="209"/>
      <c r="K2160" s="209"/>
      <c r="L2160" s="209"/>
      <c r="M2160" s="209"/>
      <c r="N2160" s="209"/>
      <c r="O2160" s="209"/>
      <c r="P2160" s="209"/>
      <c r="Q2160" s="209"/>
      <c r="R2160" s="209"/>
      <c r="S2160" s="209"/>
      <c r="T2160" s="209"/>
      <c r="U2160" s="165"/>
      <c r="V2160" s="165"/>
      <c r="W2160" s="165"/>
      <c r="X2160" s="165"/>
      <c r="Y2160" s="165"/>
      <c r="Z2160" s="165"/>
      <c r="AA2160" s="165"/>
      <c r="AB2160" s="165"/>
      <c r="AC2160" s="165"/>
      <c r="AD2160" s="165"/>
      <c r="AE2160" s="165"/>
      <c r="AF2160" s="165"/>
      <c r="AG2160" s="165"/>
      <c r="AH2160" s="165"/>
      <c r="AI2160" s="165"/>
      <c r="AJ2160" s="165"/>
      <c r="AK2160" s="165"/>
      <c r="AL2160" s="165"/>
      <c r="AM2160" s="165"/>
      <c r="AN2160" s="165"/>
      <c r="AO2160" s="165"/>
      <c r="AP2160" s="165"/>
      <c r="AQ2160" s="165"/>
      <c r="AR2160" s="165"/>
      <c r="AS2160" s="165"/>
      <c r="AT2160" s="165"/>
      <c r="AU2160" s="165"/>
      <c r="AV2160" s="165"/>
      <c r="AW2160" s="165"/>
      <c r="AX2160" s="165"/>
      <c r="AY2160" s="165"/>
      <c r="AZ2160" s="165"/>
      <c r="BA2160" s="165"/>
      <c r="BB2160" s="165"/>
      <c r="BC2160" s="165"/>
      <c r="BD2160" s="165"/>
      <c r="BE2160" s="165"/>
      <c r="BF2160" s="165"/>
      <c r="BG2160" s="165"/>
      <c r="BH2160" s="165"/>
      <c r="BI2160" s="165"/>
      <c r="BJ2160" s="165"/>
      <c r="BK2160" s="165"/>
      <c r="BL2160" s="165"/>
      <c r="BM2160" s="165"/>
      <c r="BN2160" s="165"/>
      <c r="BO2160" s="165"/>
      <c r="BP2160" s="165"/>
      <c r="BQ2160" s="165"/>
      <c r="BR2160" s="165"/>
      <c r="BS2160" s="165"/>
      <c r="BT2160" s="165"/>
      <c r="BU2160" s="165"/>
      <c r="BV2160" s="165"/>
      <c r="BW2160" s="165"/>
      <c r="BX2160" s="165"/>
      <c r="BY2160" s="165"/>
      <c r="BZ2160" s="165"/>
      <c r="CA2160" s="165"/>
      <c r="CB2160" s="165"/>
      <c r="CC2160" s="165"/>
      <c r="CD2160" s="165"/>
      <c r="CE2160" s="165"/>
      <c r="CF2160" s="165"/>
      <c r="CG2160" s="165"/>
      <c r="CH2160" s="165"/>
      <c r="CI2160" s="165"/>
      <c r="CJ2160" s="165"/>
      <c r="CK2160" s="165"/>
      <c r="CL2160" s="165"/>
      <c r="CM2160" s="165"/>
      <c r="CN2160" s="165"/>
      <c r="CO2160" s="165"/>
      <c r="CP2160" s="165"/>
      <c r="CQ2160" s="165"/>
      <c r="CR2160" s="165"/>
      <c r="CS2160" s="165"/>
      <c r="CT2160" s="165"/>
      <c r="CU2160" s="165"/>
      <c r="CV2160" s="165"/>
      <c r="CW2160" s="165"/>
      <c r="CX2160" s="165"/>
      <c r="CY2160" s="165"/>
      <c r="CZ2160" s="165"/>
      <c r="DA2160" s="165"/>
      <c r="DB2160" s="165"/>
      <c r="DC2160" s="165"/>
      <c r="DD2160" s="165"/>
      <c r="DE2160" s="165"/>
      <c r="DF2160" s="165"/>
      <c r="DG2160" s="165"/>
      <c r="DH2160" s="165"/>
      <c r="DI2160" s="165"/>
      <c r="DJ2160" s="165"/>
      <c r="DK2160" s="165"/>
      <c r="DL2160" s="165"/>
      <c r="DM2160" s="165"/>
      <c r="DN2160" s="165"/>
      <c r="DO2160" s="165"/>
      <c r="DP2160" s="165"/>
      <c r="DQ2160" s="165"/>
      <c r="DR2160" s="165"/>
      <c r="DS2160" s="165"/>
      <c r="DT2160" s="165"/>
      <c r="DU2160" s="165"/>
      <c r="DV2160" s="165"/>
      <c r="DW2160" s="165"/>
      <c r="DX2160" s="165"/>
      <c r="DY2160" s="165"/>
      <c r="DZ2160" s="165"/>
      <c r="EA2160" s="165"/>
      <c r="EB2160" s="165"/>
      <c r="EC2160" s="165"/>
      <c r="ED2160" s="165"/>
      <c r="EE2160" s="165"/>
      <c r="EF2160" s="165"/>
      <c r="EG2160" s="165"/>
      <c r="EH2160" s="165"/>
      <c r="EI2160" s="165"/>
      <c r="EJ2160" s="165"/>
      <c r="EK2160" s="165"/>
      <c r="EL2160" s="165"/>
      <c r="EM2160" s="165"/>
      <c r="EN2160" s="165"/>
      <c r="EO2160" s="165"/>
      <c r="EP2160" s="165"/>
      <c r="EQ2160" s="165"/>
      <c r="ER2160" s="165"/>
      <c r="ES2160" s="165"/>
    </row>
    <row r="2161" spans="1:9" s="202" customFormat="1" ht="14.15" hidden="1">
      <c r="A2161" s="440">
        <v>45413</v>
      </c>
      <c r="B2161" s="201" t="s">
        <v>1623</v>
      </c>
      <c r="C2161" s="208" t="s">
        <v>27</v>
      </c>
      <c r="D2161" s="592">
        <v>-3055816</v>
      </c>
      <c r="E2161" s="619">
        <v>45413</v>
      </c>
      <c r="F2161" s="201" t="s">
        <v>130</v>
      </c>
      <c r="G2161" s="201" t="s">
        <v>130</v>
      </c>
      <c r="H2161" s="201" t="s">
        <v>131</v>
      </c>
      <c r="I2161" s="201"/>
    </row>
    <row r="2162" spans="1:9" s="202" customFormat="1" ht="14.15" hidden="1">
      <c r="A2162" s="440">
        <v>45413</v>
      </c>
      <c r="B2162" s="201" t="s">
        <v>2053</v>
      </c>
      <c r="C2162" s="208" t="s">
        <v>27</v>
      </c>
      <c r="D2162" s="592">
        <v>-340000</v>
      </c>
      <c r="E2162" s="619">
        <v>45413</v>
      </c>
      <c r="F2162" s="291" t="s">
        <v>109</v>
      </c>
      <c r="G2162" s="208" t="s">
        <v>525</v>
      </c>
      <c r="H2162" s="208" t="s">
        <v>147</v>
      </c>
      <c r="I2162" s="201"/>
    </row>
    <row r="2163" spans="1:9" s="202" customFormat="1" ht="14.15" hidden="1">
      <c r="A2163" s="440">
        <v>45413</v>
      </c>
      <c r="B2163" s="201" t="s">
        <v>2054</v>
      </c>
      <c r="C2163" s="208" t="s">
        <v>27</v>
      </c>
      <c r="D2163" s="592">
        <v>-3387000</v>
      </c>
      <c r="E2163" s="619">
        <v>45413</v>
      </c>
      <c r="F2163" s="201" t="s">
        <v>109</v>
      </c>
      <c r="G2163" s="201" t="s">
        <v>918</v>
      </c>
      <c r="H2163" s="208" t="s">
        <v>147</v>
      </c>
      <c r="I2163" s="201"/>
    </row>
    <row r="2164" spans="1:9" s="202" customFormat="1" ht="14.15" hidden="1">
      <c r="A2164" s="440">
        <v>45413</v>
      </c>
      <c r="B2164" s="201" t="s">
        <v>2055</v>
      </c>
      <c r="C2164" s="208" t="s">
        <v>181</v>
      </c>
      <c r="D2164" s="592">
        <v>-12260027</v>
      </c>
      <c r="E2164" s="619">
        <v>45413</v>
      </c>
      <c r="F2164" s="201" t="s">
        <v>109</v>
      </c>
      <c r="G2164" s="208" t="s">
        <v>120</v>
      </c>
      <c r="H2164" s="201"/>
      <c r="I2164" s="201"/>
    </row>
    <row r="2165" spans="1:9" s="202" customFormat="1" ht="14.15" hidden="1">
      <c r="A2165" s="440">
        <v>45383</v>
      </c>
      <c r="B2165" s="201" t="s">
        <v>2056</v>
      </c>
      <c r="C2165" s="208" t="s">
        <v>27</v>
      </c>
      <c r="D2165" s="592">
        <v>-41161595</v>
      </c>
      <c r="E2165" s="619">
        <v>45413</v>
      </c>
      <c r="F2165" s="84" t="s">
        <v>111</v>
      </c>
      <c r="G2165" s="201"/>
      <c r="H2165" s="201"/>
      <c r="I2165" s="201"/>
    </row>
    <row r="2166" spans="1:9" s="202" customFormat="1" ht="14.15" hidden="1">
      <c r="A2166" s="222">
        <v>45414</v>
      </c>
      <c r="B2166" s="201" t="s">
        <v>2057</v>
      </c>
      <c r="C2166" s="208" t="s">
        <v>27</v>
      </c>
      <c r="D2166" s="592">
        <v>-1500000</v>
      </c>
      <c r="E2166" s="619">
        <v>45413</v>
      </c>
      <c r="F2166" s="201" t="s">
        <v>109</v>
      </c>
      <c r="G2166" s="208" t="s">
        <v>120</v>
      </c>
      <c r="H2166" s="201"/>
      <c r="I2166" s="201"/>
    </row>
    <row r="2167" spans="1:9" s="202" customFormat="1" ht="14.15" hidden="1">
      <c r="A2167" s="222">
        <v>45414</v>
      </c>
      <c r="B2167" s="201" t="s">
        <v>2058</v>
      </c>
      <c r="C2167" s="208" t="s">
        <v>27</v>
      </c>
      <c r="D2167" s="800">
        <v>-500000</v>
      </c>
      <c r="E2167" s="619">
        <v>45413</v>
      </c>
      <c r="F2167" s="201" t="s">
        <v>109</v>
      </c>
      <c r="G2167" s="201" t="s">
        <v>581</v>
      </c>
      <c r="H2167" s="201"/>
      <c r="I2167" s="201"/>
    </row>
    <row r="2168" spans="1:9" s="202" customFormat="1" ht="14.15" hidden="1">
      <c r="A2168" s="222">
        <v>45413</v>
      </c>
      <c r="B2168" s="201" t="s">
        <v>2059</v>
      </c>
      <c r="C2168" s="208" t="s">
        <v>643</v>
      </c>
      <c r="D2168" s="592">
        <v>-7979.28</v>
      </c>
      <c r="E2168" s="619">
        <v>45413</v>
      </c>
      <c r="F2168" s="201" t="s">
        <v>130</v>
      </c>
      <c r="G2168" s="201" t="s">
        <v>257</v>
      </c>
      <c r="H2168" s="201" t="s">
        <v>663</v>
      </c>
      <c r="I2168" s="201"/>
    </row>
    <row r="2169" spans="1:9" s="202" customFormat="1" ht="14.15" hidden="1">
      <c r="A2169" s="222">
        <v>45413</v>
      </c>
      <c r="B2169" s="201" t="s">
        <v>2060</v>
      </c>
      <c r="C2169" s="208" t="s">
        <v>643</v>
      </c>
      <c r="D2169" s="592">
        <v>-153319</v>
      </c>
      <c r="E2169" s="619">
        <v>45413</v>
      </c>
      <c r="F2169" s="201" t="s">
        <v>130</v>
      </c>
      <c r="G2169" s="201" t="s">
        <v>257</v>
      </c>
      <c r="H2169" s="201" t="s">
        <v>663</v>
      </c>
      <c r="I2169" s="201"/>
    </row>
    <row r="2170" spans="1:9" s="202" customFormat="1" ht="14.15" hidden="1">
      <c r="A2170" s="222">
        <v>45414</v>
      </c>
      <c r="B2170" s="201" t="s">
        <v>2059</v>
      </c>
      <c r="C2170" s="208" t="s">
        <v>643</v>
      </c>
      <c r="D2170" s="592">
        <v>-7954.1</v>
      </c>
      <c r="E2170" s="619">
        <v>45413</v>
      </c>
      <c r="F2170" s="201" t="s">
        <v>130</v>
      </c>
      <c r="G2170" s="201" t="s">
        <v>257</v>
      </c>
      <c r="H2170" s="201" t="s">
        <v>663</v>
      </c>
      <c r="I2170" s="201"/>
    </row>
    <row r="2171" spans="1:9" s="202" customFormat="1" ht="14.15" hidden="1">
      <c r="A2171" s="222">
        <v>45414</v>
      </c>
      <c r="B2171" s="201" t="s">
        <v>2059</v>
      </c>
      <c r="C2171" s="208" t="s">
        <v>643</v>
      </c>
      <c r="D2171" s="592">
        <v>-7954.1</v>
      </c>
      <c r="E2171" s="619">
        <v>45413</v>
      </c>
      <c r="F2171" s="201" t="s">
        <v>130</v>
      </c>
      <c r="G2171" s="201" t="s">
        <v>257</v>
      </c>
      <c r="H2171" s="201" t="s">
        <v>663</v>
      </c>
      <c r="I2171" s="201"/>
    </row>
    <row r="2172" spans="1:9" s="202" customFormat="1" ht="14.15" hidden="1" customHeight="1">
      <c r="A2172" s="222">
        <v>45415</v>
      </c>
      <c r="B2172" s="201" t="s">
        <v>1840</v>
      </c>
      <c r="C2172" s="208" t="s">
        <v>27</v>
      </c>
      <c r="D2172" s="592">
        <v>-35335034</v>
      </c>
      <c r="E2172" s="619">
        <v>45413</v>
      </c>
      <c r="F2172" s="201" t="s">
        <v>110</v>
      </c>
      <c r="G2172" s="201" t="s">
        <v>1489</v>
      </c>
      <c r="H2172" s="201" t="s">
        <v>1166</v>
      </c>
      <c r="I2172" s="201"/>
    </row>
    <row r="2173" spans="1:9" s="202" customFormat="1" ht="14.15" hidden="1">
      <c r="A2173" s="222">
        <v>45415</v>
      </c>
      <c r="B2173" s="201" t="s">
        <v>1975</v>
      </c>
      <c r="C2173" s="208" t="s">
        <v>27</v>
      </c>
      <c r="D2173" s="592">
        <v>-2496267</v>
      </c>
      <c r="E2173" s="619">
        <v>45413</v>
      </c>
      <c r="F2173" s="208" t="s">
        <v>207</v>
      </c>
      <c r="G2173" s="201"/>
      <c r="H2173" s="201"/>
      <c r="I2173" s="201"/>
    </row>
    <row r="2174" spans="1:9" s="202" customFormat="1" ht="14.15" hidden="1">
      <c r="A2174" s="222">
        <v>45415</v>
      </c>
      <c r="B2174" s="201" t="s">
        <v>2061</v>
      </c>
      <c r="C2174" s="208" t="s">
        <v>27</v>
      </c>
      <c r="D2174" s="592">
        <v>-476500</v>
      </c>
      <c r="E2174" s="619">
        <v>45413</v>
      </c>
      <c r="F2174" s="201" t="s">
        <v>130</v>
      </c>
      <c r="G2174" s="201" t="s">
        <v>130</v>
      </c>
      <c r="H2174" s="201" t="s">
        <v>323</v>
      </c>
      <c r="I2174" s="201"/>
    </row>
    <row r="2175" spans="1:9" s="202" customFormat="1" ht="14.15" hidden="1">
      <c r="A2175" s="222">
        <v>45415</v>
      </c>
      <c r="B2175" s="201" t="s">
        <v>2062</v>
      </c>
      <c r="C2175" s="208" t="s">
        <v>27</v>
      </c>
      <c r="D2175" s="592">
        <v>-268000</v>
      </c>
      <c r="E2175" s="619">
        <v>45413</v>
      </c>
      <c r="F2175" s="201" t="s">
        <v>109</v>
      </c>
      <c r="G2175" s="208" t="s">
        <v>383</v>
      </c>
      <c r="H2175" s="201" t="s">
        <v>663</v>
      </c>
      <c r="I2175" s="201"/>
    </row>
    <row r="2176" spans="1:9" s="202" customFormat="1" ht="14.15" hidden="1">
      <c r="A2176" s="222">
        <v>45415</v>
      </c>
      <c r="B2176" s="201" t="s">
        <v>2063</v>
      </c>
      <c r="C2176" s="208" t="s">
        <v>27</v>
      </c>
      <c r="D2176" s="592">
        <v>-890000</v>
      </c>
      <c r="E2176" s="619">
        <v>45413</v>
      </c>
      <c r="F2176" s="201" t="s">
        <v>130</v>
      </c>
      <c r="G2176" s="201" t="s">
        <v>257</v>
      </c>
      <c r="H2176" s="201" t="s">
        <v>663</v>
      </c>
      <c r="I2176" s="201"/>
    </row>
    <row r="2177" spans="1:149" s="202" customFormat="1" ht="14.15" hidden="1">
      <c r="A2177" s="222">
        <v>45415</v>
      </c>
      <c r="B2177" s="201" t="s">
        <v>2064</v>
      </c>
      <c r="C2177" s="208" t="s">
        <v>27</v>
      </c>
      <c r="D2177" s="592">
        <v>-299051</v>
      </c>
      <c r="E2177" s="619">
        <v>45413</v>
      </c>
      <c r="F2177" s="201" t="s">
        <v>109</v>
      </c>
      <c r="G2177" s="208" t="s">
        <v>120</v>
      </c>
      <c r="H2177" s="208" t="s">
        <v>147</v>
      </c>
      <c r="I2177" s="201"/>
    </row>
    <row r="2178" spans="1:149" s="202" customFormat="1" ht="14.15" hidden="1">
      <c r="A2178" s="222">
        <v>45415</v>
      </c>
      <c r="B2178" s="201" t="s">
        <v>2065</v>
      </c>
      <c r="C2178" s="208" t="s">
        <v>27</v>
      </c>
      <c r="D2178" s="592">
        <v>-1984500</v>
      </c>
      <c r="E2178" s="619">
        <v>45413</v>
      </c>
      <c r="F2178" s="201" t="s">
        <v>109</v>
      </c>
      <c r="G2178" s="208" t="s">
        <v>120</v>
      </c>
      <c r="H2178" s="201"/>
      <c r="I2178" s="201"/>
    </row>
    <row r="2179" spans="1:149" s="202" customFormat="1" ht="14.15" hidden="1">
      <c r="A2179" s="222">
        <v>45415</v>
      </c>
      <c r="B2179" s="201" t="s">
        <v>2066</v>
      </c>
      <c r="C2179" s="208" t="s">
        <v>27</v>
      </c>
      <c r="D2179" s="592">
        <v>-9446390</v>
      </c>
      <c r="E2179" s="619">
        <v>45413</v>
      </c>
      <c r="F2179" s="201" t="s">
        <v>130</v>
      </c>
      <c r="G2179" s="201" t="s">
        <v>130</v>
      </c>
      <c r="H2179" s="201" t="s">
        <v>852</v>
      </c>
      <c r="I2179" s="201"/>
    </row>
    <row r="2180" spans="1:149" s="202" customFormat="1" ht="14.15" hidden="1">
      <c r="A2180" s="222">
        <v>45415</v>
      </c>
      <c r="B2180" s="622" t="s">
        <v>2067</v>
      </c>
      <c r="C2180" s="208" t="s">
        <v>27</v>
      </c>
      <c r="D2180" s="592">
        <v>-28178898</v>
      </c>
      <c r="E2180" s="619">
        <v>45413</v>
      </c>
      <c r="F2180" s="84" t="s">
        <v>111</v>
      </c>
      <c r="G2180" s="201"/>
      <c r="H2180" s="201"/>
      <c r="I2180" s="201"/>
    </row>
    <row r="2181" spans="1:149" s="202" customFormat="1" ht="14.15" hidden="1">
      <c r="A2181" s="222">
        <v>45415</v>
      </c>
      <c r="B2181" s="201" t="s">
        <v>2068</v>
      </c>
      <c r="C2181" s="208" t="s">
        <v>181</v>
      </c>
      <c r="D2181" s="592">
        <v>-29604500</v>
      </c>
      <c r="E2181" s="619">
        <v>45413</v>
      </c>
      <c r="F2181" s="84" t="s">
        <v>111</v>
      </c>
      <c r="G2181" s="201"/>
      <c r="H2181" s="201"/>
      <c r="I2181" s="201"/>
    </row>
    <row r="2182" spans="1:149" s="202" customFormat="1" ht="14.15" hidden="1">
      <c r="A2182" s="222">
        <v>45415</v>
      </c>
      <c r="B2182" s="201" t="s">
        <v>2069</v>
      </c>
      <c r="C2182" s="208" t="s">
        <v>181</v>
      </c>
      <c r="D2182" s="592">
        <v>-130000</v>
      </c>
      <c r="E2182" s="619">
        <v>45413</v>
      </c>
      <c r="F2182" s="84" t="s">
        <v>111</v>
      </c>
      <c r="G2182" s="201"/>
      <c r="H2182" s="201"/>
      <c r="I2182" s="201"/>
    </row>
    <row r="2183" spans="1:149" s="202" customFormat="1" ht="14.15" hidden="1">
      <c r="A2183" s="468">
        <v>45335</v>
      </c>
      <c r="B2183" s="208" t="s">
        <v>2070</v>
      </c>
      <c r="C2183" s="208" t="s">
        <v>146</v>
      </c>
      <c r="D2183" s="592">
        <v>-45000</v>
      </c>
      <c r="E2183" s="212">
        <v>45413</v>
      </c>
      <c r="F2183" s="208" t="s">
        <v>130</v>
      </c>
      <c r="G2183" s="208" t="s">
        <v>257</v>
      </c>
      <c r="H2183" s="81" t="s">
        <v>138</v>
      </c>
      <c r="I2183" s="208" t="s">
        <v>2052</v>
      </c>
      <c r="J2183" s="209"/>
      <c r="K2183" s="209"/>
      <c r="L2183" s="209"/>
      <c r="M2183" s="209"/>
      <c r="N2183" s="209"/>
      <c r="O2183" s="209"/>
      <c r="P2183" s="209"/>
      <c r="Q2183" s="209"/>
      <c r="R2183" s="209"/>
      <c r="S2183" s="209"/>
      <c r="T2183" s="209"/>
      <c r="U2183" s="165"/>
      <c r="V2183" s="165"/>
      <c r="W2183" s="165"/>
      <c r="X2183" s="165"/>
      <c r="Y2183" s="165"/>
      <c r="Z2183" s="165"/>
      <c r="AA2183" s="165"/>
      <c r="AB2183" s="165"/>
      <c r="AC2183" s="165"/>
      <c r="AD2183" s="165"/>
      <c r="AE2183" s="165"/>
      <c r="AF2183" s="165"/>
      <c r="AG2183" s="165"/>
      <c r="AH2183" s="165"/>
      <c r="AI2183" s="165"/>
      <c r="AJ2183" s="165"/>
      <c r="AK2183" s="165"/>
      <c r="AL2183" s="165"/>
      <c r="AM2183" s="165"/>
      <c r="AN2183" s="165"/>
      <c r="AO2183" s="165"/>
      <c r="AP2183" s="165"/>
      <c r="AQ2183" s="165"/>
      <c r="AR2183" s="165"/>
      <c r="AS2183" s="165"/>
      <c r="AT2183" s="165"/>
      <c r="AU2183" s="165"/>
      <c r="AV2183" s="165"/>
      <c r="AW2183" s="165"/>
      <c r="AX2183" s="165"/>
      <c r="AY2183" s="165"/>
      <c r="AZ2183" s="165"/>
      <c r="BA2183" s="165"/>
      <c r="BB2183" s="165"/>
      <c r="BC2183" s="165"/>
      <c r="BD2183" s="165"/>
      <c r="BE2183" s="165"/>
      <c r="BF2183" s="165"/>
      <c r="BG2183" s="165"/>
      <c r="BH2183" s="165"/>
      <c r="BI2183" s="165"/>
      <c r="BJ2183" s="165"/>
      <c r="BK2183" s="165"/>
      <c r="BL2183" s="165"/>
      <c r="BM2183" s="165"/>
      <c r="BN2183" s="165"/>
      <c r="BO2183" s="165"/>
      <c r="BP2183" s="165"/>
      <c r="BQ2183" s="165"/>
      <c r="BR2183" s="165"/>
      <c r="BS2183" s="165"/>
      <c r="BT2183" s="165"/>
      <c r="BU2183" s="165"/>
      <c r="BV2183" s="165"/>
      <c r="BW2183" s="165"/>
      <c r="BX2183" s="165"/>
      <c r="BY2183" s="165"/>
      <c r="BZ2183" s="165"/>
      <c r="CA2183" s="165"/>
      <c r="CB2183" s="165"/>
      <c r="CC2183" s="165"/>
      <c r="CD2183" s="165"/>
      <c r="CE2183" s="165"/>
      <c r="CF2183" s="165"/>
      <c r="CG2183" s="165"/>
      <c r="CH2183" s="165"/>
      <c r="CI2183" s="165"/>
      <c r="CJ2183" s="165"/>
      <c r="CK2183" s="165"/>
      <c r="CL2183" s="165"/>
      <c r="CM2183" s="165"/>
      <c r="CN2183" s="165"/>
      <c r="CO2183" s="165"/>
      <c r="CP2183" s="165"/>
      <c r="CQ2183" s="165"/>
      <c r="CR2183" s="165"/>
      <c r="CS2183" s="165"/>
      <c r="CT2183" s="165"/>
      <c r="CU2183" s="165"/>
      <c r="CV2183" s="165"/>
      <c r="CW2183" s="165"/>
      <c r="CX2183" s="165"/>
      <c r="CY2183" s="165"/>
      <c r="CZ2183" s="165"/>
      <c r="DA2183" s="165"/>
      <c r="DB2183" s="165"/>
      <c r="DC2183" s="165"/>
      <c r="DD2183" s="165"/>
      <c r="DE2183" s="165"/>
      <c r="DF2183" s="165"/>
      <c r="DG2183" s="165"/>
      <c r="DH2183" s="165"/>
      <c r="DI2183" s="165"/>
      <c r="DJ2183" s="165"/>
      <c r="DK2183" s="165"/>
      <c r="DL2183" s="165"/>
      <c r="DM2183" s="165"/>
      <c r="DN2183" s="165"/>
      <c r="DO2183" s="165"/>
      <c r="DP2183" s="165"/>
      <c r="DQ2183" s="165"/>
      <c r="DR2183" s="165"/>
      <c r="DS2183" s="165"/>
      <c r="DT2183" s="165"/>
      <c r="DU2183" s="165"/>
      <c r="DV2183" s="165"/>
      <c r="DW2183" s="165"/>
      <c r="DX2183" s="165"/>
      <c r="DY2183" s="165"/>
      <c r="DZ2183" s="165"/>
      <c r="EA2183" s="165"/>
      <c r="EB2183" s="165"/>
      <c r="EC2183" s="165"/>
      <c r="ED2183" s="165"/>
      <c r="EE2183" s="165"/>
      <c r="EF2183" s="165"/>
      <c r="EG2183" s="165"/>
      <c r="EH2183" s="165"/>
      <c r="EI2183" s="165"/>
      <c r="EJ2183" s="165"/>
      <c r="EK2183" s="165"/>
      <c r="EL2183" s="165"/>
      <c r="EM2183" s="165"/>
      <c r="EN2183" s="165"/>
      <c r="EO2183" s="165"/>
      <c r="EP2183" s="165"/>
      <c r="EQ2183" s="165"/>
      <c r="ER2183" s="165"/>
      <c r="ES2183" s="165"/>
    </row>
    <row r="2184" spans="1:149" s="202" customFormat="1" ht="14.15" hidden="1">
      <c r="A2184" s="440">
        <v>45383</v>
      </c>
      <c r="B2184" s="201" t="s">
        <v>2071</v>
      </c>
      <c r="C2184" s="208" t="s">
        <v>146</v>
      </c>
      <c r="D2184" s="592">
        <v>-247432</v>
      </c>
      <c r="E2184" s="619">
        <v>45413</v>
      </c>
      <c r="F2184" s="201" t="s">
        <v>130</v>
      </c>
      <c r="G2184" s="201" t="s">
        <v>130</v>
      </c>
      <c r="H2184" s="201" t="s">
        <v>184</v>
      </c>
      <c r="I2184" s="201"/>
    </row>
    <row r="2185" spans="1:149" s="202" customFormat="1" ht="14.15" hidden="1">
      <c r="A2185" s="222">
        <v>45415</v>
      </c>
      <c r="B2185" s="201" t="s">
        <v>2072</v>
      </c>
      <c r="C2185" s="208" t="s">
        <v>181</v>
      </c>
      <c r="D2185" s="592">
        <v>1765834</v>
      </c>
      <c r="E2185" s="619">
        <v>45413</v>
      </c>
      <c r="F2185" s="201" t="s">
        <v>108</v>
      </c>
      <c r="G2185" s="627"/>
      <c r="H2185" s="201"/>
      <c r="I2185" s="201"/>
    </row>
    <row r="2186" spans="1:149" s="202" customFormat="1" ht="14.15" hidden="1">
      <c r="A2186" s="222">
        <v>45412</v>
      </c>
      <c r="B2186" s="201" t="s">
        <v>1061</v>
      </c>
      <c r="C2186" s="208" t="s">
        <v>27</v>
      </c>
      <c r="D2186" s="592">
        <v>-150268</v>
      </c>
      <c r="E2186" s="619">
        <v>45383</v>
      </c>
      <c r="F2186" s="201" t="s">
        <v>110</v>
      </c>
      <c r="G2186" s="208" t="s">
        <v>453</v>
      </c>
      <c r="H2186" s="208" t="s">
        <v>147</v>
      </c>
      <c r="I2186" s="201"/>
    </row>
    <row r="2187" spans="1:149" s="202" customFormat="1" ht="14.15" hidden="1">
      <c r="A2187" s="440">
        <v>45385</v>
      </c>
      <c r="B2187" s="208" t="s">
        <v>2073</v>
      </c>
      <c r="C2187" s="208" t="s">
        <v>146</v>
      </c>
      <c r="D2187" s="592">
        <v>-446250</v>
      </c>
      <c r="E2187" s="619">
        <v>45413</v>
      </c>
      <c r="F2187" s="601" t="s">
        <v>109</v>
      </c>
      <c r="G2187" s="208" t="s">
        <v>120</v>
      </c>
      <c r="H2187" s="208" t="s">
        <v>175</v>
      </c>
      <c r="I2187" s="208" t="s">
        <v>173</v>
      </c>
      <c r="J2187" s="209"/>
      <c r="K2187" s="209"/>
      <c r="L2187" s="209"/>
      <c r="M2187" s="209"/>
      <c r="N2187" s="209"/>
      <c r="O2187" s="209"/>
      <c r="P2187" s="209"/>
      <c r="Q2187" s="209"/>
      <c r="R2187" s="209"/>
      <c r="S2187" s="209"/>
      <c r="T2187" s="209"/>
      <c r="U2187" s="165"/>
      <c r="V2187" s="165"/>
      <c r="W2187" s="165"/>
      <c r="X2187" s="165"/>
      <c r="Y2187" s="165"/>
      <c r="Z2187" s="165"/>
      <c r="AA2187" s="165"/>
      <c r="AB2187" s="165"/>
      <c r="AC2187" s="165"/>
      <c r="AD2187" s="165"/>
      <c r="AE2187" s="165"/>
      <c r="AF2187" s="165"/>
      <c r="AG2187" s="165"/>
      <c r="AH2187" s="165"/>
      <c r="AI2187" s="165"/>
      <c r="AJ2187" s="165"/>
      <c r="AK2187" s="165"/>
      <c r="AL2187" s="165"/>
      <c r="AM2187" s="165"/>
      <c r="AN2187" s="165"/>
      <c r="AO2187" s="165"/>
      <c r="AP2187" s="165"/>
      <c r="AQ2187" s="165"/>
      <c r="AR2187" s="165"/>
      <c r="AS2187" s="165"/>
      <c r="AT2187" s="165"/>
      <c r="AU2187" s="165"/>
      <c r="AV2187" s="165"/>
      <c r="AW2187" s="165"/>
      <c r="AX2187" s="165"/>
      <c r="AY2187" s="165"/>
      <c r="AZ2187" s="165"/>
      <c r="BA2187" s="165"/>
      <c r="BB2187" s="165"/>
      <c r="BC2187" s="165"/>
      <c r="BD2187" s="165"/>
      <c r="BE2187" s="165"/>
      <c r="BF2187" s="165"/>
      <c r="BG2187" s="165"/>
      <c r="BH2187" s="165"/>
      <c r="BI2187" s="165"/>
      <c r="BJ2187" s="165"/>
      <c r="BK2187" s="165"/>
      <c r="BL2187" s="165"/>
      <c r="BM2187" s="165"/>
      <c r="BN2187" s="165"/>
      <c r="BO2187" s="165"/>
      <c r="BP2187" s="165"/>
      <c r="BQ2187" s="165"/>
      <c r="BR2187" s="165"/>
      <c r="BS2187" s="165"/>
      <c r="BT2187" s="165"/>
      <c r="BU2187" s="165"/>
      <c r="BV2187" s="165"/>
      <c r="BW2187" s="165"/>
      <c r="BX2187" s="165"/>
      <c r="BY2187" s="165"/>
      <c r="BZ2187" s="165"/>
      <c r="CA2187" s="165"/>
      <c r="CB2187" s="165"/>
      <c r="CC2187" s="165"/>
      <c r="CD2187" s="165"/>
      <c r="CE2187" s="165"/>
      <c r="CF2187" s="165"/>
      <c r="CG2187" s="165"/>
      <c r="CH2187" s="165"/>
      <c r="CI2187" s="165"/>
      <c r="CJ2187" s="165"/>
      <c r="CK2187" s="165"/>
      <c r="CL2187" s="165"/>
      <c r="CM2187" s="165"/>
      <c r="CN2187" s="165"/>
      <c r="CO2187" s="165"/>
      <c r="CP2187" s="165"/>
      <c r="CQ2187" s="165"/>
      <c r="CR2187" s="165"/>
      <c r="CS2187" s="165"/>
      <c r="CT2187" s="165"/>
      <c r="CU2187" s="165"/>
      <c r="CV2187" s="165"/>
      <c r="CW2187" s="165"/>
      <c r="CX2187" s="165"/>
      <c r="CY2187" s="165"/>
      <c r="CZ2187" s="165"/>
      <c r="DA2187" s="165"/>
      <c r="DB2187" s="165"/>
      <c r="DC2187" s="165"/>
      <c r="DD2187" s="165"/>
      <c r="DE2187" s="165"/>
      <c r="DF2187" s="165"/>
      <c r="DG2187" s="165"/>
      <c r="DH2187" s="165"/>
      <c r="DI2187" s="165"/>
      <c r="DJ2187" s="165"/>
      <c r="DK2187" s="165"/>
      <c r="DL2187" s="165"/>
      <c r="DM2187" s="165"/>
      <c r="DN2187" s="165"/>
      <c r="DO2187" s="165"/>
      <c r="DP2187" s="165"/>
      <c r="DQ2187" s="165"/>
      <c r="DR2187" s="165"/>
      <c r="DS2187" s="165"/>
      <c r="DT2187" s="165"/>
      <c r="DU2187" s="165"/>
      <c r="DV2187" s="165"/>
      <c r="DW2187" s="165"/>
      <c r="DX2187" s="165"/>
      <c r="DY2187" s="165"/>
      <c r="DZ2187" s="165"/>
      <c r="EA2187" s="165"/>
      <c r="EB2187" s="165"/>
      <c r="EC2187" s="165"/>
      <c r="ED2187" s="165"/>
      <c r="EE2187" s="165"/>
      <c r="EF2187" s="165"/>
      <c r="EG2187" s="165"/>
      <c r="EH2187" s="165"/>
      <c r="EI2187" s="165"/>
      <c r="EJ2187" s="165"/>
      <c r="EK2187" s="165"/>
      <c r="EL2187" s="165"/>
      <c r="EM2187" s="165"/>
      <c r="EN2187" s="165"/>
      <c r="EO2187" s="165"/>
      <c r="EP2187" s="165"/>
      <c r="EQ2187" s="165"/>
      <c r="ER2187" s="165"/>
      <c r="ES2187" s="165"/>
    </row>
    <row r="2188" spans="1:149" s="202" customFormat="1" ht="14.15" hidden="1">
      <c r="A2188" s="222">
        <v>45419</v>
      </c>
      <c r="B2188" s="201" t="s">
        <v>2074</v>
      </c>
      <c r="C2188" s="208" t="s">
        <v>133</v>
      </c>
      <c r="D2188" s="592">
        <v>-5500</v>
      </c>
      <c r="E2188" s="619">
        <v>45413</v>
      </c>
      <c r="F2188" s="201" t="s">
        <v>109</v>
      </c>
      <c r="G2188" s="208" t="s">
        <v>120</v>
      </c>
      <c r="H2188" s="201"/>
      <c r="I2188" s="201"/>
    </row>
    <row r="2189" spans="1:149" s="202" customFormat="1" ht="14.15" hidden="1">
      <c r="A2189" s="222">
        <v>45419</v>
      </c>
      <c r="B2189" s="201" t="s">
        <v>2075</v>
      </c>
      <c r="C2189" s="208" t="s">
        <v>133</v>
      </c>
      <c r="D2189" s="592">
        <v>-3300</v>
      </c>
      <c r="E2189" s="619">
        <v>45413</v>
      </c>
      <c r="F2189" s="201" t="s">
        <v>109</v>
      </c>
      <c r="G2189" s="208" t="s">
        <v>120</v>
      </c>
      <c r="H2189" s="201"/>
      <c r="I2189" s="201"/>
    </row>
    <row r="2190" spans="1:149" s="202" customFormat="1" ht="14.15" hidden="1">
      <c r="A2190" s="222">
        <v>45394</v>
      </c>
      <c r="B2190" s="201" t="s">
        <v>1058</v>
      </c>
      <c r="C2190" s="208" t="s">
        <v>27</v>
      </c>
      <c r="D2190" s="592">
        <v>-761639.14893617015</v>
      </c>
      <c r="E2190" s="619">
        <v>45383</v>
      </c>
      <c r="F2190" s="201" t="s">
        <v>110</v>
      </c>
      <c r="G2190" s="208" t="s">
        <v>450</v>
      </c>
      <c r="H2190" s="208" t="s">
        <v>147</v>
      </c>
      <c r="I2190" s="201"/>
    </row>
    <row r="2191" spans="1:149" s="202" customFormat="1" ht="14.15" hidden="1">
      <c r="A2191" s="222">
        <v>45394</v>
      </c>
      <c r="B2191" s="201" t="s">
        <v>1058</v>
      </c>
      <c r="C2191" s="208" t="s">
        <v>27</v>
      </c>
      <c r="D2191" s="592">
        <v>-491480</v>
      </c>
      <c r="E2191" s="619">
        <v>45383</v>
      </c>
      <c r="F2191" s="201" t="s">
        <v>109</v>
      </c>
      <c r="G2191" s="208" t="s">
        <v>125</v>
      </c>
      <c r="H2191" s="208" t="s">
        <v>147</v>
      </c>
      <c r="I2191" s="201"/>
    </row>
    <row r="2192" spans="1:149" s="202" customFormat="1" ht="14.15" hidden="1">
      <c r="A2192" s="222">
        <v>45394</v>
      </c>
      <c r="B2192" s="201" t="s">
        <v>1059</v>
      </c>
      <c r="C2192" s="208" t="s">
        <v>27</v>
      </c>
      <c r="D2192" s="592">
        <v>-419544</v>
      </c>
      <c r="E2192" s="619">
        <v>45383</v>
      </c>
      <c r="F2192" s="201" t="s">
        <v>110</v>
      </c>
      <c r="G2192" s="208" t="s">
        <v>450</v>
      </c>
      <c r="H2192" s="208" t="s">
        <v>147</v>
      </c>
      <c r="I2192" s="201"/>
    </row>
    <row r="2193" spans="1:9" s="202" customFormat="1" ht="14.15" hidden="1">
      <c r="A2193" s="222">
        <v>45394</v>
      </c>
      <c r="B2193" s="201" t="s">
        <v>1059</v>
      </c>
      <c r="C2193" s="208" t="s">
        <v>27</v>
      </c>
      <c r="D2193" s="592">
        <v>-279696</v>
      </c>
      <c r="E2193" s="619">
        <v>45383</v>
      </c>
      <c r="F2193" s="201" t="s">
        <v>109</v>
      </c>
      <c r="G2193" s="208" t="s">
        <v>125</v>
      </c>
      <c r="H2193" s="208" t="s">
        <v>147</v>
      </c>
      <c r="I2193" s="201"/>
    </row>
    <row r="2194" spans="1:9" s="202" customFormat="1" ht="14.15" hidden="1">
      <c r="A2194" s="222">
        <v>45394</v>
      </c>
      <c r="B2194" s="201" t="s">
        <v>1061</v>
      </c>
      <c r="C2194" s="208" t="s">
        <v>27</v>
      </c>
      <c r="D2194" s="592">
        <v>-454044</v>
      </c>
      <c r="E2194" s="619">
        <v>45383</v>
      </c>
      <c r="F2194" s="201" t="s">
        <v>109</v>
      </c>
      <c r="G2194" s="201" t="s">
        <v>918</v>
      </c>
      <c r="H2194" s="208" t="s">
        <v>147</v>
      </c>
      <c r="I2194" s="201"/>
    </row>
    <row r="2195" spans="1:9" s="202" customFormat="1" ht="14.15" hidden="1">
      <c r="A2195" s="222">
        <v>45394</v>
      </c>
      <c r="B2195" s="201" t="s">
        <v>1061</v>
      </c>
      <c r="C2195" s="208" t="s">
        <v>27</v>
      </c>
      <c r="D2195" s="592">
        <v>-151348.092</v>
      </c>
      <c r="E2195" s="619">
        <v>45383</v>
      </c>
      <c r="F2195" s="291" t="s">
        <v>109</v>
      </c>
      <c r="G2195" s="208" t="s">
        <v>525</v>
      </c>
      <c r="H2195" s="208" t="s">
        <v>147</v>
      </c>
      <c r="I2195" s="201"/>
    </row>
    <row r="2196" spans="1:9" s="202" customFormat="1" ht="14.15" hidden="1">
      <c r="A2196" s="222">
        <v>45394</v>
      </c>
      <c r="B2196" s="201" t="s">
        <v>1061</v>
      </c>
      <c r="C2196" s="208" t="s">
        <v>27</v>
      </c>
      <c r="D2196" s="592">
        <v>-151348.18400000001</v>
      </c>
      <c r="E2196" s="619">
        <v>45383</v>
      </c>
      <c r="F2196" s="201" t="s">
        <v>110</v>
      </c>
      <c r="G2196" s="208" t="s">
        <v>453</v>
      </c>
      <c r="H2196" s="208" t="s">
        <v>147</v>
      </c>
      <c r="I2196" s="201"/>
    </row>
    <row r="2197" spans="1:9" s="202" customFormat="1" ht="14.15" hidden="1">
      <c r="A2197" s="222">
        <v>45394</v>
      </c>
      <c r="B2197" s="201" t="s">
        <v>1062</v>
      </c>
      <c r="C2197" s="208" t="s">
        <v>27</v>
      </c>
      <c r="D2197" s="592">
        <v>-665727.19148936169</v>
      </c>
      <c r="E2197" s="619">
        <v>45383</v>
      </c>
      <c r="F2197" s="201" t="s">
        <v>110</v>
      </c>
      <c r="G2197" s="208" t="s">
        <v>122</v>
      </c>
      <c r="H2197" s="208" t="s">
        <v>147</v>
      </c>
      <c r="I2197" s="201"/>
    </row>
    <row r="2198" spans="1:9" s="202" customFormat="1" ht="14.15" hidden="1">
      <c r="A2198" s="222">
        <v>45394</v>
      </c>
      <c r="B2198" s="201" t="s">
        <v>1062</v>
      </c>
      <c r="C2198" s="208" t="s">
        <v>27</v>
      </c>
      <c r="D2198" s="592">
        <v>-415304.00000000006</v>
      </c>
      <c r="E2198" s="619">
        <v>45383</v>
      </c>
      <c r="F2198" s="201" t="s">
        <v>110</v>
      </c>
      <c r="G2198" s="208" t="s">
        <v>774</v>
      </c>
      <c r="H2198" s="208" t="s">
        <v>147</v>
      </c>
      <c r="I2198" s="201"/>
    </row>
    <row r="2199" spans="1:9" s="202" customFormat="1" ht="14.15" hidden="1">
      <c r="A2199" s="222">
        <v>45394</v>
      </c>
      <c r="B2199" s="201" t="s">
        <v>1093</v>
      </c>
      <c r="C2199" s="208" t="s">
        <v>27</v>
      </c>
      <c r="D2199" s="592">
        <v>-419544</v>
      </c>
      <c r="E2199" s="619">
        <v>45383</v>
      </c>
      <c r="F2199" s="201" t="s">
        <v>109</v>
      </c>
      <c r="G2199" s="201" t="s">
        <v>918</v>
      </c>
      <c r="H2199" s="208" t="s">
        <v>147</v>
      </c>
      <c r="I2199" s="201"/>
    </row>
    <row r="2200" spans="1:9" s="202" customFormat="1" ht="14.15" hidden="1">
      <c r="A2200" s="222">
        <v>45394</v>
      </c>
      <c r="B2200" s="201" t="s">
        <v>1093</v>
      </c>
      <c r="C2200" s="208" t="s">
        <v>27</v>
      </c>
      <c r="D2200" s="592">
        <v>-139848</v>
      </c>
      <c r="E2200" s="619">
        <v>45383</v>
      </c>
      <c r="F2200" s="291" t="s">
        <v>109</v>
      </c>
      <c r="G2200" s="208" t="s">
        <v>525</v>
      </c>
      <c r="H2200" s="208" t="s">
        <v>147</v>
      </c>
      <c r="I2200" s="201"/>
    </row>
    <row r="2201" spans="1:9" s="202" customFormat="1" ht="14.15" hidden="1">
      <c r="A2201" s="222">
        <v>45394</v>
      </c>
      <c r="B2201" s="201" t="s">
        <v>1093</v>
      </c>
      <c r="C2201" s="208" t="s">
        <v>27</v>
      </c>
      <c r="D2201" s="592">
        <v>-139848</v>
      </c>
      <c r="E2201" s="619">
        <v>45383</v>
      </c>
      <c r="F2201" s="201" t="s">
        <v>110</v>
      </c>
      <c r="G2201" s="208" t="s">
        <v>453</v>
      </c>
      <c r="H2201" s="208" t="s">
        <v>147</v>
      </c>
      <c r="I2201" s="201"/>
    </row>
    <row r="2202" spans="1:9" s="202" customFormat="1" ht="14.15" hidden="1">
      <c r="A2202" s="222">
        <v>45394</v>
      </c>
      <c r="B2202" s="201" t="s">
        <v>1094</v>
      </c>
      <c r="C2202" s="208" t="s">
        <v>27</v>
      </c>
      <c r="D2202" s="592">
        <v>-673600</v>
      </c>
      <c r="E2202" s="619">
        <v>45383</v>
      </c>
      <c r="F2202" s="201" t="s">
        <v>130</v>
      </c>
      <c r="G2202" s="201" t="s">
        <v>130</v>
      </c>
      <c r="H2202" s="201" t="s">
        <v>1175</v>
      </c>
      <c r="I2202" s="201"/>
    </row>
    <row r="2203" spans="1:9" s="202" customFormat="1" ht="14.15" hidden="1">
      <c r="A2203" s="222">
        <v>45394</v>
      </c>
      <c r="B2203" s="201" t="s">
        <v>1095</v>
      </c>
      <c r="C2203" s="208" t="s">
        <v>27</v>
      </c>
      <c r="D2203" s="592">
        <v>-293770.62</v>
      </c>
      <c r="E2203" s="619">
        <v>45383</v>
      </c>
      <c r="F2203" s="201" t="s">
        <v>110</v>
      </c>
      <c r="G2203" s="208" t="s">
        <v>450</v>
      </c>
      <c r="H2203" s="208" t="s">
        <v>147</v>
      </c>
      <c r="I2203" s="201"/>
    </row>
    <row r="2204" spans="1:9" s="202" customFormat="1" ht="14.15" hidden="1">
      <c r="A2204" s="222">
        <v>45394</v>
      </c>
      <c r="B2204" s="201" t="s">
        <v>1095</v>
      </c>
      <c r="C2204" s="208" t="s">
        <v>27</v>
      </c>
      <c r="D2204" s="592">
        <v>-293770.62</v>
      </c>
      <c r="E2204" s="619">
        <v>45383</v>
      </c>
      <c r="F2204" s="201" t="s">
        <v>109</v>
      </c>
      <c r="G2204" s="208" t="s">
        <v>125</v>
      </c>
      <c r="H2204" s="208" t="s">
        <v>147</v>
      </c>
      <c r="I2204" s="201"/>
    </row>
    <row r="2205" spans="1:9" s="202" customFormat="1" ht="14.15" hidden="1">
      <c r="A2205" s="222">
        <v>45394</v>
      </c>
      <c r="B2205" s="201" t="s">
        <v>1095</v>
      </c>
      <c r="C2205" s="208" t="s">
        <v>27</v>
      </c>
      <c r="D2205" s="592">
        <v>-293858.76</v>
      </c>
      <c r="E2205" s="619">
        <v>45383</v>
      </c>
      <c r="F2205" s="201" t="s">
        <v>109</v>
      </c>
      <c r="G2205" s="201" t="s">
        <v>918</v>
      </c>
      <c r="H2205" s="208" t="s">
        <v>147</v>
      </c>
      <c r="I2205" s="201"/>
    </row>
    <row r="2206" spans="1:9" s="202" customFormat="1" ht="14.15" hidden="1">
      <c r="A2206" s="222">
        <v>45394</v>
      </c>
      <c r="B2206" s="201" t="s">
        <v>1096</v>
      </c>
      <c r="C2206" s="208" t="s">
        <v>27</v>
      </c>
      <c r="D2206" s="592">
        <v>-756740</v>
      </c>
      <c r="E2206" s="619">
        <v>45383</v>
      </c>
      <c r="F2206" s="201" t="s">
        <v>130</v>
      </c>
      <c r="G2206" s="201" t="s">
        <v>130</v>
      </c>
      <c r="H2206" s="201" t="s">
        <v>1175</v>
      </c>
      <c r="I2206" s="201"/>
    </row>
    <row r="2207" spans="1:9" s="202" customFormat="1" ht="14.15" hidden="1">
      <c r="A2207" s="222">
        <v>45394</v>
      </c>
      <c r="B2207" s="201" t="s">
        <v>1097</v>
      </c>
      <c r="C2207" s="208" t="s">
        <v>27</v>
      </c>
      <c r="D2207" s="592">
        <v>-407400</v>
      </c>
      <c r="E2207" s="619">
        <v>45383</v>
      </c>
      <c r="F2207" s="201" t="s">
        <v>109</v>
      </c>
      <c r="G2207" s="201" t="s">
        <v>918</v>
      </c>
      <c r="H2207" s="208" t="s">
        <v>147</v>
      </c>
      <c r="I2207" s="201"/>
    </row>
    <row r="2208" spans="1:9" s="202" customFormat="1" ht="14.15" hidden="1">
      <c r="A2208" s="222">
        <v>45394</v>
      </c>
      <c r="B2208" s="201" t="s">
        <v>1097</v>
      </c>
      <c r="C2208" s="208" t="s">
        <v>27</v>
      </c>
      <c r="D2208" s="592">
        <v>-135800</v>
      </c>
      <c r="E2208" s="619">
        <v>45383</v>
      </c>
      <c r="F2208" s="291" t="s">
        <v>109</v>
      </c>
      <c r="G2208" s="208" t="s">
        <v>525</v>
      </c>
      <c r="H2208" s="208" t="s">
        <v>147</v>
      </c>
      <c r="I2208" s="201"/>
    </row>
    <row r="2209" spans="1:9" s="202" customFormat="1" ht="14.15" hidden="1">
      <c r="A2209" s="222">
        <v>45394</v>
      </c>
      <c r="B2209" s="201" t="s">
        <v>1097</v>
      </c>
      <c r="C2209" s="208" t="s">
        <v>27</v>
      </c>
      <c r="D2209" s="592">
        <v>-162519.14893617021</v>
      </c>
      <c r="E2209" s="619">
        <v>45383</v>
      </c>
      <c r="F2209" s="201" t="s">
        <v>110</v>
      </c>
      <c r="G2209" s="208" t="s">
        <v>453</v>
      </c>
      <c r="H2209" s="208" t="s">
        <v>147</v>
      </c>
      <c r="I2209" s="201"/>
    </row>
    <row r="2210" spans="1:9" s="202" customFormat="1" ht="14.15" hidden="1">
      <c r="A2210" s="222">
        <v>45394</v>
      </c>
      <c r="B2210" s="201" t="s">
        <v>1098</v>
      </c>
      <c r="C2210" s="208" t="s">
        <v>27</v>
      </c>
      <c r="D2210" s="592">
        <v>-325920</v>
      </c>
      <c r="E2210" s="619">
        <v>45383</v>
      </c>
      <c r="F2210" s="201" t="s">
        <v>110</v>
      </c>
      <c r="G2210" s="208" t="s">
        <v>450</v>
      </c>
      <c r="H2210" s="208" t="s">
        <v>147</v>
      </c>
      <c r="I2210" s="201"/>
    </row>
    <row r="2211" spans="1:9" s="202" customFormat="1" ht="14.15" hidden="1">
      <c r="A2211" s="222">
        <v>45394</v>
      </c>
      <c r="B2211" s="201" t="s">
        <v>1098</v>
      </c>
      <c r="C2211" s="208" t="s">
        <v>27</v>
      </c>
      <c r="D2211" s="592">
        <v>-217280</v>
      </c>
      <c r="E2211" s="619">
        <v>45383</v>
      </c>
      <c r="F2211" s="201" t="s">
        <v>109</v>
      </c>
      <c r="G2211" s="208" t="s">
        <v>125</v>
      </c>
      <c r="H2211" s="208" t="s">
        <v>147</v>
      </c>
      <c r="I2211" s="201"/>
    </row>
    <row r="2212" spans="1:9" s="202" customFormat="1" ht="14.15" hidden="1">
      <c r="A2212" s="222">
        <v>45394</v>
      </c>
      <c r="B2212" s="201" t="s">
        <v>1099</v>
      </c>
      <c r="C2212" s="208" t="s">
        <v>27</v>
      </c>
      <c r="D2212" s="592">
        <v>-407400</v>
      </c>
      <c r="E2212" s="619">
        <v>45383</v>
      </c>
      <c r="F2212" s="201" t="s">
        <v>110</v>
      </c>
      <c r="G2212" s="208" t="s">
        <v>450</v>
      </c>
      <c r="H2212" s="208" t="s">
        <v>147</v>
      </c>
      <c r="I2212" s="201"/>
    </row>
    <row r="2213" spans="1:9" s="202" customFormat="1" ht="14.15" hidden="1">
      <c r="A2213" s="222">
        <v>45394</v>
      </c>
      <c r="B2213" s="201" t="s">
        <v>1099</v>
      </c>
      <c r="C2213" s="208" t="s">
        <v>27</v>
      </c>
      <c r="D2213" s="592">
        <v>-271600</v>
      </c>
      <c r="E2213" s="619">
        <v>45383</v>
      </c>
      <c r="F2213" s="201" t="s">
        <v>109</v>
      </c>
      <c r="G2213" s="208" t="s">
        <v>125</v>
      </c>
      <c r="H2213" s="208" t="s">
        <v>147</v>
      </c>
      <c r="I2213" s="201"/>
    </row>
    <row r="2214" spans="1:9" s="202" customFormat="1" ht="14.15" hidden="1">
      <c r="A2214" s="222">
        <v>45394</v>
      </c>
      <c r="B2214" s="201" t="s">
        <v>1103</v>
      </c>
      <c r="C2214" s="208" t="s">
        <v>27</v>
      </c>
      <c r="D2214" s="592">
        <v>-698085.10638297873</v>
      </c>
      <c r="E2214" s="619">
        <v>45383</v>
      </c>
      <c r="F2214" s="201" t="s">
        <v>109</v>
      </c>
      <c r="G2214" s="208" t="s">
        <v>120</v>
      </c>
      <c r="H2214" s="208" t="s">
        <v>147</v>
      </c>
      <c r="I2214" s="201"/>
    </row>
    <row r="2215" spans="1:9" s="202" customFormat="1" ht="14.15" hidden="1">
      <c r="A2215" s="222">
        <v>45394</v>
      </c>
      <c r="B2215" s="201" t="s">
        <v>1104</v>
      </c>
      <c r="C2215" s="208" t="s">
        <v>27</v>
      </c>
      <c r="D2215" s="592">
        <v>-2024000</v>
      </c>
      <c r="E2215" s="619">
        <v>45383</v>
      </c>
      <c r="F2215" s="201" t="s">
        <v>130</v>
      </c>
      <c r="G2215" s="201" t="s">
        <v>130</v>
      </c>
      <c r="H2215" s="201" t="s">
        <v>1175</v>
      </c>
      <c r="I2215" s="201"/>
    </row>
    <row r="2216" spans="1:9" s="202" customFormat="1" ht="14.15" hidden="1">
      <c r="A2216" s="222">
        <v>45394</v>
      </c>
      <c r="B2216" s="201" t="s">
        <v>1083</v>
      </c>
      <c r="C2216" s="208" t="s">
        <v>27</v>
      </c>
      <c r="D2216" s="592">
        <v>-679000</v>
      </c>
      <c r="E2216" s="619">
        <v>45383</v>
      </c>
      <c r="F2216" s="201" t="s">
        <v>130</v>
      </c>
      <c r="G2216" s="201" t="s">
        <v>130</v>
      </c>
      <c r="H2216" s="201" t="s">
        <v>1175</v>
      </c>
      <c r="I2216" s="201"/>
    </row>
    <row r="2217" spans="1:9" s="202" customFormat="1" ht="14.15" hidden="1">
      <c r="A2217" s="222">
        <v>45394</v>
      </c>
      <c r="B2217" s="201" t="s">
        <v>1084</v>
      </c>
      <c r="C2217" s="208" t="s">
        <v>27</v>
      </c>
      <c r="D2217" s="592">
        <v>-650000</v>
      </c>
      <c r="E2217" s="619">
        <v>45383</v>
      </c>
      <c r="F2217" s="201" t="s">
        <v>130</v>
      </c>
      <c r="G2217" s="201" t="s">
        <v>257</v>
      </c>
      <c r="H2217" s="201" t="s">
        <v>1175</v>
      </c>
      <c r="I2217" s="201"/>
    </row>
    <row r="2218" spans="1:9" s="202" customFormat="1" ht="14.15" hidden="1">
      <c r="A2218" s="222">
        <v>45394</v>
      </c>
      <c r="B2218" s="201" t="s">
        <v>2076</v>
      </c>
      <c r="C2218" s="208" t="s">
        <v>27</v>
      </c>
      <c r="D2218" s="592">
        <v>-691723.40425531915</v>
      </c>
      <c r="E2218" s="619">
        <v>45383</v>
      </c>
      <c r="F2218" s="201" t="s">
        <v>109</v>
      </c>
      <c r="G2218" s="208" t="s">
        <v>120</v>
      </c>
      <c r="H2218" s="208" t="s">
        <v>147</v>
      </c>
      <c r="I2218" s="201"/>
    </row>
    <row r="2219" spans="1:9" s="202" customFormat="1" ht="14.15" hidden="1">
      <c r="A2219" s="222">
        <v>45394</v>
      </c>
      <c r="B2219" s="201" t="s">
        <v>1065</v>
      </c>
      <c r="C2219" s="208" t="s">
        <v>27</v>
      </c>
      <c r="D2219" s="592">
        <v>-633733.33333333337</v>
      </c>
      <c r="E2219" s="619">
        <v>45383</v>
      </c>
      <c r="F2219" s="201" t="s">
        <v>109</v>
      </c>
      <c r="G2219" s="208" t="s">
        <v>120</v>
      </c>
      <c r="H2219" s="208" t="s">
        <v>147</v>
      </c>
      <c r="I2219" s="201"/>
    </row>
    <row r="2220" spans="1:9" s="202" customFormat="1" ht="14.15" hidden="1">
      <c r="A2220" s="222">
        <v>45394</v>
      </c>
      <c r="B2220" s="201" t="s">
        <v>1066</v>
      </c>
      <c r="C2220" s="208" t="s">
        <v>27</v>
      </c>
      <c r="D2220" s="592">
        <v>-691723.40425531915</v>
      </c>
      <c r="E2220" s="619">
        <v>45383</v>
      </c>
      <c r="F2220" s="201" t="s">
        <v>109</v>
      </c>
      <c r="G2220" s="208" t="s">
        <v>120</v>
      </c>
      <c r="H2220" s="208" t="s">
        <v>147</v>
      </c>
      <c r="I2220" s="201"/>
    </row>
    <row r="2221" spans="1:9" s="202" customFormat="1" ht="14.15" hidden="1">
      <c r="A2221" s="222">
        <v>45394</v>
      </c>
      <c r="B2221" s="201" t="s">
        <v>2077</v>
      </c>
      <c r="C2221" s="208" t="s">
        <v>27</v>
      </c>
      <c r="D2221" s="592">
        <v>-407400</v>
      </c>
      <c r="E2221" s="619">
        <v>45383</v>
      </c>
      <c r="F2221" s="201" t="s">
        <v>109</v>
      </c>
      <c r="G2221" s="201" t="s">
        <v>918</v>
      </c>
      <c r="H2221" s="208" t="s">
        <v>147</v>
      </c>
      <c r="I2221" s="201"/>
    </row>
    <row r="2222" spans="1:9" s="202" customFormat="1" ht="14.15" hidden="1">
      <c r="A2222" s="222">
        <v>45394</v>
      </c>
      <c r="B2222" s="201" t="s">
        <v>1067</v>
      </c>
      <c r="C2222" s="208" t="s">
        <v>27</v>
      </c>
      <c r="D2222" s="592">
        <v>-135800</v>
      </c>
      <c r="E2222" s="619">
        <v>45383</v>
      </c>
      <c r="F2222" s="291" t="s">
        <v>109</v>
      </c>
      <c r="G2222" s="208" t="s">
        <v>525</v>
      </c>
      <c r="H2222" s="208" t="s">
        <v>147</v>
      </c>
      <c r="I2222" s="201"/>
    </row>
    <row r="2223" spans="1:9" s="202" customFormat="1" ht="14.15" hidden="1">
      <c r="A2223" s="222">
        <v>45394</v>
      </c>
      <c r="B2223" s="201" t="s">
        <v>1067</v>
      </c>
      <c r="C2223" s="208" t="s">
        <v>27</v>
      </c>
      <c r="D2223" s="592">
        <v>-135800</v>
      </c>
      <c r="E2223" s="619">
        <v>45383</v>
      </c>
      <c r="F2223" s="201" t="s">
        <v>110</v>
      </c>
      <c r="G2223" s="208" t="s">
        <v>453</v>
      </c>
      <c r="H2223" s="208" t="s">
        <v>147</v>
      </c>
      <c r="I2223" s="201"/>
    </row>
    <row r="2224" spans="1:9" s="202" customFormat="1" ht="14.15" hidden="1">
      <c r="A2224" s="222">
        <v>45394</v>
      </c>
      <c r="B2224" s="201" t="s">
        <v>1068</v>
      </c>
      <c r="C2224" s="208" t="s">
        <v>27</v>
      </c>
      <c r="D2224" s="592">
        <v>-481000</v>
      </c>
      <c r="E2224" s="619">
        <v>45383</v>
      </c>
      <c r="F2224" s="201" t="s">
        <v>110</v>
      </c>
      <c r="G2224" s="208" t="s">
        <v>122</v>
      </c>
      <c r="H2224" s="208" t="s">
        <v>147</v>
      </c>
      <c r="I2224" s="201"/>
    </row>
    <row r="2225" spans="1:9" s="202" customFormat="1" ht="14.15" hidden="1">
      <c r="A2225" s="222">
        <v>45394</v>
      </c>
      <c r="B2225" s="201" t="s">
        <v>1068</v>
      </c>
      <c r="C2225" s="208" t="s">
        <v>27</v>
      </c>
      <c r="D2225" s="592">
        <v>-271600</v>
      </c>
      <c r="E2225" s="619">
        <v>45383</v>
      </c>
      <c r="F2225" s="201" t="s">
        <v>110</v>
      </c>
      <c r="G2225" s="208" t="s">
        <v>774</v>
      </c>
      <c r="H2225" s="208" t="s">
        <v>147</v>
      </c>
      <c r="I2225" s="201"/>
    </row>
    <row r="2226" spans="1:9" s="202" customFormat="1" ht="14.15" hidden="1">
      <c r="A2226" s="222">
        <v>45394</v>
      </c>
      <c r="B2226" s="201" t="s">
        <v>1069</v>
      </c>
      <c r="C2226" s="208" t="s">
        <v>27</v>
      </c>
      <c r="D2226" s="592">
        <v>-453840.00000000006</v>
      </c>
      <c r="E2226" s="619">
        <v>45383</v>
      </c>
      <c r="F2226" s="201" t="s">
        <v>110</v>
      </c>
      <c r="G2226" s="208" t="s">
        <v>122</v>
      </c>
      <c r="H2226" s="208" t="s">
        <v>147</v>
      </c>
      <c r="I2226" s="201"/>
    </row>
    <row r="2227" spans="1:9" s="202" customFormat="1" ht="14.15" hidden="1">
      <c r="A2227" s="222">
        <v>45394</v>
      </c>
      <c r="B2227" s="201" t="s">
        <v>1069</v>
      </c>
      <c r="C2227" s="208" t="s">
        <v>27</v>
      </c>
      <c r="D2227" s="592">
        <v>-253493.3333333334</v>
      </c>
      <c r="E2227" s="619">
        <v>45383</v>
      </c>
      <c r="F2227" s="201" t="s">
        <v>110</v>
      </c>
      <c r="G2227" s="208" t="s">
        <v>774</v>
      </c>
      <c r="H2227" s="208" t="s">
        <v>147</v>
      </c>
      <c r="I2227" s="201"/>
    </row>
    <row r="2228" spans="1:9" s="202" customFormat="1" ht="14.15" hidden="1">
      <c r="A2228" s="222">
        <v>45394</v>
      </c>
      <c r="B2228" s="201" t="s">
        <v>1086</v>
      </c>
      <c r="C2228" s="208" t="s">
        <v>27</v>
      </c>
      <c r="D2228" s="592">
        <v>-481000</v>
      </c>
      <c r="E2228" s="619">
        <v>45383</v>
      </c>
      <c r="F2228" s="201" t="s">
        <v>110</v>
      </c>
      <c r="G2228" s="208" t="s">
        <v>122</v>
      </c>
      <c r="H2228" s="208" t="s">
        <v>147</v>
      </c>
      <c r="I2228" s="201"/>
    </row>
    <row r="2229" spans="1:9" s="202" customFormat="1" ht="14.15" hidden="1">
      <c r="A2229" s="222">
        <v>45394</v>
      </c>
      <c r="B2229" s="201" t="s">
        <v>1086</v>
      </c>
      <c r="C2229" s="208" t="s">
        <v>27</v>
      </c>
      <c r="D2229" s="592">
        <v>-271600</v>
      </c>
      <c r="E2229" s="619">
        <v>45383</v>
      </c>
      <c r="F2229" s="201" t="s">
        <v>110</v>
      </c>
      <c r="G2229" s="208" t="s">
        <v>774</v>
      </c>
      <c r="H2229" s="208" t="s">
        <v>147</v>
      </c>
      <c r="I2229" s="201"/>
    </row>
    <row r="2230" spans="1:9" s="202" customFormat="1" ht="14.15" hidden="1">
      <c r="A2230" s="222">
        <v>45394</v>
      </c>
      <c r="B2230" s="201" t="s">
        <v>2078</v>
      </c>
      <c r="C2230" s="208" t="s">
        <v>27</v>
      </c>
      <c r="D2230" s="592">
        <v>-691723.40425531915</v>
      </c>
      <c r="E2230" s="619">
        <v>45383</v>
      </c>
      <c r="F2230" s="201" t="s">
        <v>109</v>
      </c>
      <c r="G2230" s="208" t="s">
        <v>120</v>
      </c>
      <c r="H2230" s="208" t="s">
        <v>147</v>
      </c>
      <c r="I2230" s="201"/>
    </row>
    <row r="2231" spans="1:9" s="202" customFormat="1" ht="14.15" hidden="1">
      <c r="A2231" s="222">
        <v>45394</v>
      </c>
      <c r="B2231" s="201" t="s">
        <v>2079</v>
      </c>
      <c r="C2231" s="208" t="s">
        <v>27</v>
      </c>
      <c r="D2231" s="592">
        <v>-691723.40425531915</v>
      </c>
      <c r="E2231" s="619">
        <v>45383</v>
      </c>
      <c r="F2231" s="201" t="s">
        <v>109</v>
      </c>
      <c r="G2231" s="208" t="s">
        <v>120</v>
      </c>
      <c r="H2231" s="208" t="s">
        <v>147</v>
      </c>
      <c r="I2231" s="201"/>
    </row>
    <row r="2232" spans="1:9" s="202" customFormat="1" ht="14.15" hidden="1">
      <c r="A2232" s="222">
        <v>45394</v>
      </c>
      <c r="B2232" s="201" t="s">
        <v>2080</v>
      </c>
      <c r="C2232" s="208" t="s">
        <v>27</v>
      </c>
      <c r="D2232" s="592">
        <v>-380000</v>
      </c>
      <c r="E2232" s="619">
        <v>45383</v>
      </c>
      <c r="F2232" s="201" t="s">
        <v>130</v>
      </c>
      <c r="G2232" s="201" t="s">
        <v>130</v>
      </c>
      <c r="H2232" s="201" t="s">
        <v>1175</v>
      </c>
      <c r="I2232" s="201"/>
    </row>
    <row r="2233" spans="1:9" s="202" customFormat="1" ht="14.15" hidden="1">
      <c r="A2233" s="222">
        <v>45394</v>
      </c>
      <c r="B2233" s="201" t="s">
        <v>2081</v>
      </c>
      <c r="C2233" s="208" t="s">
        <v>27</v>
      </c>
      <c r="D2233" s="592">
        <v>-704446.80851063831</v>
      </c>
      <c r="E2233" s="619">
        <v>45383</v>
      </c>
      <c r="F2233" s="201" t="s">
        <v>109</v>
      </c>
      <c r="G2233" s="208" t="s">
        <v>120</v>
      </c>
      <c r="H2233" s="208" t="s">
        <v>147</v>
      </c>
      <c r="I2233" s="201"/>
    </row>
    <row r="2234" spans="1:9" s="202" customFormat="1" ht="14.15" hidden="1">
      <c r="A2234" s="222">
        <v>45394</v>
      </c>
      <c r="B2234" s="201" t="s">
        <v>2082</v>
      </c>
      <c r="C2234" s="208" t="s">
        <v>27</v>
      </c>
      <c r="D2234" s="592">
        <v>-1099361.7021276597</v>
      </c>
      <c r="E2234" s="619">
        <v>45383</v>
      </c>
      <c r="F2234" s="201" t="s">
        <v>109</v>
      </c>
      <c r="G2234" s="208" t="s">
        <v>120</v>
      </c>
      <c r="H2234" s="208" t="s">
        <v>147</v>
      </c>
      <c r="I2234" s="201"/>
    </row>
    <row r="2235" spans="1:9" s="202" customFormat="1" ht="14.15" hidden="1">
      <c r="A2235" s="222">
        <v>45394</v>
      </c>
      <c r="B2235" s="201" t="s">
        <v>2083</v>
      </c>
      <c r="C2235" s="208" t="s">
        <v>27</v>
      </c>
      <c r="D2235" s="592">
        <v>-691723.40425531915</v>
      </c>
      <c r="E2235" s="619">
        <v>45383</v>
      </c>
      <c r="F2235" s="201" t="s">
        <v>109</v>
      </c>
      <c r="G2235" s="208" t="s">
        <v>120</v>
      </c>
      <c r="H2235" s="208" t="s">
        <v>147</v>
      </c>
      <c r="I2235" s="201"/>
    </row>
    <row r="2236" spans="1:9" s="202" customFormat="1" ht="14.15" hidden="1">
      <c r="A2236" s="222">
        <v>45394</v>
      </c>
      <c r="B2236" s="201" t="s">
        <v>2084</v>
      </c>
      <c r="C2236" s="208" t="s">
        <v>27</v>
      </c>
      <c r="D2236" s="592">
        <v>-679000</v>
      </c>
      <c r="E2236" s="619">
        <v>45383</v>
      </c>
      <c r="F2236" s="201" t="s">
        <v>109</v>
      </c>
      <c r="G2236" s="208" t="s">
        <v>120</v>
      </c>
      <c r="H2236" s="208" t="s">
        <v>147</v>
      </c>
      <c r="I2236" s="201"/>
    </row>
    <row r="2237" spans="1:9" s="202" customFormat="1" ht="14.15" hidden="1">
      <c r="A2237" s="222">
        <v>45394</v>
      </c>
      <c r="B2237" s="201" t="s">
        <v>2085</v>
      </c>
      <c r="C2237" s="208" t="s">
        <v>27</v>
      </c>
      <c r="D2237" s="592">
        <v>-691723.40425531904</v>
      </c>
      <c r="E2237" s="619">
        <v>45383</v>
      </c>
      <c r="F2237" s="201" t="s">
        <v>109</v>
      </c>
      <c r="G2237" s="208" t="s">
        <v>120</v>
      </c>
      <c r="H2237" s="208" t="s">
        <v>147</v>
      </c>
      <c r="I2237" s="201"/>
    </row>
    <row r="2238" spans="1:9" s="202" customFormat="1" ht="14.15" hidden="1">
      <c r="A2238" s="222">
        <v>45394</v>
      </c>
      <c r="B2238" s="201" t="s">
        <v>2086</v>
      </c>
      <c r="C2238" s="208" t="s">
        <v>27</v>
      </c>
      <c r="D2238" s="592">
        <v>-679000</v>
      </c>
      <c r="E2238" s="619">
        <v>45383</v>
      </c>
      <c r="F2238" s="201" t="s">
        <v>109</v>
      </c>
      <c r="G2238" s="208" t="s">
        <v>120</v>
      </c>
      <c r="H2238" s="208" t="s">
        <v>147</v>
      </c>
      <c r="I2238" s="201"/>
    </row>
    <row r="2239" spans="1:9" s="202" customFormat="1" ht="14.15" hidden="1">
      <c r="A2239" s="222">
        <v>45394</v>
      </c>
      <c r="B2239" s="201" t="s">
        <v>2087</v>
      </c>
      <c r="C2239" s="208" t="s">
        <v>27</v>
      </c>
      <c r="D2239" s="592">
        <v>-691723.40425531915</v>
      </c>
      <c r="E2239" s="619">
        <v>45383</v>
      </c>
      <c r="F2239" s="201" t="s">
        <v>109</v>
      </c>
      <c r="G2239" s="208" t="s">
        <v>120</v>
      </c>
      <c r="H2239" s="208" t="s">
        <v>147</v>
      </c>
      <c r="I2239" s="201"/>
    </row>
    <row r="2240" spans="1:9" s="202" customFormat="1" ht="14.15" hidden="1">
      <c r="A2240" s="222">
        <v>45394</v>
      </c>
      <c r="B2240" s="201" t="s">
        <v>2088</v>
      </c>
      <c r="C2240" s="208" t="s">
        <v>27</v>
      </c>
      <c r="D2240" s="592">
        <v>-691723.40425531915</v>
      </c>
      <c r="E2240" s="619">
        <v>45383</v>
      </c>
      <c r="F2240" s="201" t="s">
        <v>109</v>
      </c>
      <c r="G2240" s="208" t="s">
        <v>120</v>
      </c>
      <c r="H2240" s="208" t="s">
        <v>147</v>
      </c>
      <c r="I2240" s="201"/>
    </row>
    <row r="2241" spans="1:9" s="202" customFormat="1" ht="14.15" hidden="1">
      <c r="A2241" s="222">
        <v>45394</v>
      </c>
      <c r="B2241" s="201" t="s">
        <v>2089</v>
      </c>
      <c r="C2241" s="208" t="s">
        <v>27</v>
      </c>
      <c r="D2241" s="592">
        <v>-362133.33333333337</v>
      </c>
      <c r="E2241" s="619">
        <v>45383</v>
      </c>
      <c r="F2241" s="201" t="s">
        <v>109</v>
      </c>
      <c r="G2241" s="208" t="s">
        <v>120</v>
      </c>
      <c r="H2241" s="208" t="s">
        <v>147</v>
      </c>
      <c r="I2241" s="201"/>
    </row>
    <row r="2242" spans="1:9" s="202" customFormat="1" ht="14.15" hidden="1">
      <c r="A2242" s="222">
        <v>45394</v>
      </c>
      <c r="B2242" s="201" t="s">
        <v>2090</v>
      </c>
      <c r="C2242" s="208" t="s">
        <v>27</v>
      </c>
      <c r="D2242" s="592">
        <v>-362133.33333333337</v>
      </c>
      <c r="E2242" s="619">
        <v>45383</v>
      </c>
      <c r="F2242" s="201" t="s">
        <v>109</v>
      </c>
      <c r="G2242" s="208" t="s">
        <v>120</v>
      </c>
      <c r="H2242" s="208" t="s">
        <v>147</v>
      </c>
      <c r="I2242" s="201"/>
    </row>
    <row r="2243" spans="1:9" s="202" customFormat="1" ht="14.15" hidden="1">
      <c r="A2243" s="222">
        <v>45394</v>
      </c>
      <c r="B2243" s="201" t="s">
        <v>2091</v>
      </c>
      <c r="C2243" s="208" t="s">
        <v>27</v>
      </c>
      <c r="D2243" s="592">
        <v>-362133.33333333337</v>
      </c>
      <c r="E2243" s="619">
        <v>45383</v>
      </c>
      <c r="F2243" s="201" t="s">
        <v>109</v>
      </c>
      <c r="G2243" s="208" t="s">
        <v>120</v>
      </c>
      <c r="H2243" s="208" t="s">
        <v>147</v>
      </c>
      <c r="I2243" s="201"/>
    </row>
    <row r="2244" spans="1:9" s="202" customFormat="1" ht="14.15" hidden="1">
      <c r="A2244" s="222">
        <v>45412</v>
      </c>
      <c r="B2244" s="201" t="s">
        <v>1062</v>
      </c>
      <c r="C2244" s="208" t="s">
        <v>27</v>
      </c>
      <c r="D2244" s="592">
        <v>-622956</v>
      </c>
      <c r="E2244" s="619">
        <v>45383</v>
      </c>
      <c r="F2244" s="201" t="s">
        <v>110</v>
      </c>
      <c r="G2244" s="208" t="s">
        <v>122</v>
      </c>
      <c r="H2244" s="208" t="s">
        <v>147</v>
      </c>
      <c r="I2244" s="201"/>
    </row>
    <row r="2245" spans="1:9" s="202" customFormat="1" ht="14.15" hidden="1">
      <c r="A2245" s="222">
        <v>45412</v>
      </c>
      <c r="B2245" s="201" t="s">
        <v>1062</v>
      </c>
      <c r="C2245" s="208" t="s">
        <v>27</v>
      </c>
      <c r="D2245" s="592">
        <v>-522231.97872340435</v>
      </c>
      <c r="E2245" s="619">
        <v>45383</v>
      </c>
      <c r="F2245" s="201" t="s">
        <v>110</v>
      </c>
      <c r="G2245" s="208" t="s">
        <v>774</v>
      </c>
      <c r="H2245" s="208" t="s">
        <v>147</v>
      </c>
      <c r="I2245" s="201"/>
    </row>
    <row r="2246" spans="1:9" s="202" customFormat="1" ht="14.15" hidden="1">
      <c r="A2246" s="222">
        <v>45412</v>
      </c>
      <c r="B2246" s="201" t="s">
        <v>1090</v>
      </c>
      <c r="C2246" s="208" t="s">
        <v>27</v>
      </c>
      <c r="D2246" s="592">
        <v>-7665962.25</v>
      </c>
      <c r="E2246" s="619">
        <v>45383</v>
      </c>
      <c r="F2246" s="201" t="s">
        <v>130</v>
      </c>
      <c r="G2246" s="201" t="s">
        <v>130</v>
      </c>
      <c r="H2246" s="201" t="s">
        <v>1175</v>
      </c>
      <c r="I2246" s="201"/>
    </row>
    <row r="2247" spans="1:9" s="202" customFormat="1" ht="14.15" hidden="1">
      <c r="A2247" s="222">
        <v>45412</v>
      </c>
      <c r="B2247" s="201" t="s">
        <v>1091</v>
      </c>
      <c r="C2247" s="208" t="s">
        <v>27</v>
      </c>
      <c r="D2247" s="592">
        <v>-7665962.25</v>
      </c>
      <c r="E2247" s="619">
        <v>45383</v>
      </c>
      <c r="F2247" s="201" t="s">
        <v>130</v>
      </c>
      <c r="G2247" s="201" t="s">
        <v>130</v>
      </c>
      <c r="H2247" s="201" t="s">
        <v>1175</v>
      </c>
      <c r="I2247" s="201"/>
    </row>
    <row r="2248" spans="1:9" s="202" customFormat="1" ht="14.15" hidden="1">
      <c r="A2248" s="222">
        <v>45412</v>
      </c>
      <c r="B2248" s="201" t="s">
        <v>2092</v>
      </c>
      <c r="C2248" s="208" t="s">
        <v>27</v>
      </c>
      <c r="D2248" s="592">
        <v>-7665962.25</v>
      </c>
      <c r="E2248" s="619">
        <v>45383</v>
      </c>
      <c r="F2248" s="201" t="s">
        <v>130</v>
      </c>
      <c r="G2248" s="201" t="s">
        <v>130</v>
      </c>
      <c r="H2248" s="201" t="s">
        <v>1175</v>
      </c>
      <c r="I2248" s="201"/>
    </row>
    <row r="2249" spans="1:9" s="202" customFormat="1" ht="14.15" hidden="1">
      <c r="A2249" s="222">
        <v>45412</v>
      </c>
      <c r="B2249" s="201" t="s">
        <v>1093</v>
      </c>
      <c r="C2249" s="208" t="s">
        <v>27</v>
      </c>
      <c r="D2249" s="592">
        <v>-419544</v>
      </c>
      <c r="E2249" s="619">
        <v>45383</v>
      </c>
      <c r="F2249" s="201" t="s">
        <v>109</v>
      </c>
      <c r="G2249" s="201" t="s">
        <v>918</v>
      </c>
      <c r="H2249" s="208" t="s">
        <v>147</v>
      </c>
      <c r="I2249" s="201"/>
    </row>
    <row r="2250" spans="1:9" s="202" customFormat="1" ht="14.15" hidden="1">
      <c r="A2250" s="222">
        <v>45412</v>
      </c>
      <c r="B2250" s="201" t="s">
        <v>1093</v>
      </c>
      <c r="C2250" s="208" t="s">
        <v>27</v>
      </c>
      <c r="D2250" s="592">
        <v>-139848</v>
      </c>
      <c r="E2250" s="619">
        <v>45383</v>
      </c>
      <c r="F2250" s="291" t="s">
        <v>109</v>
      </c>
      <c r="G2250" s="208" t="s">
        <v>525</v>
      </c>
      <c r="H2250" s="208" t="s">
        <v>147</v>
      </c>
      <c r="I2250" s="201"/>
    </row>
    <row r="2251" spans="1:9" s="202" customFormat="1" ht="14.15" hidden="1">
      <c r="A2251" s="222">
        <v>45412</v>
      </c>
      <c r="B2251" s="201" t="s">
        <v>1093</v>
      </c>
      <c r="C2251" s="208" t="s">
        <v>27</v>
      </c>
      <c r="D2251" s="592">
        <v>-139848</v>
      </c>
      <c r="E2251" s="619">
        <v>45383</v>
      </c>
      <c r="F2251" s="201" t="s">
        <v>110</v>
      </c>
      <c r="G2251" s="208" t="s">
        <v>453</v>
      </c>
      <c r="H2251" s="208" t="s">
        <v>147</v>
      </c>
      <c r="I2251" s="201"/>
    </row>
    <row r="2252" spans="1:9" s="202" customFormat="1" ht="14.15" hidden="1">
      <c r="A2252" s="222">
        <v>45412</v>
      </c>
      <c r="B2252" s="201" t="s">
        <v>1094</v>
      </c>
      <c r="C2252" s="208" t="s">
        <v>27</v>
      </c>
      <c r="D2252" s="592">
        <v>-679000</v>
      </c>
      <c r="E2252" s="619">
        <v>45383</v>
      </c>
      <c r="F2252" s="201" t="s">
        <v>130</v>
      </c>
      <c r="G2252" s="201" t="s">
        <v>130</v>
      </c>
      <c r="H2252" s="201" t="s">
        <v>1175</v>
      </c>
      <c r="I2252" s="201"/>
    </row>
    <row r="2253" spans="1:9" s="202" customFormat="1" ht="14.15" hidden="1">
      <c r="A2253" s="222">
        <v>45412</v>
      </c>
      <c r="B2253" s="201" t="s">
        <v>1095</v>
      </c>
      <c r="C2253" s="208" t="s">
        <v>27</v>
      </c>
      <c r="D2253" s="592">
        <v>-293770.62</v>
      </c>
      <c r="E2253" s="619">
        <v>45383</v>
      </c>
      <c r="F2253" s="201" t="s">
        <v>110</v>
      </c>
      <c r="G2253" s="208" t="s">
        <v>450</v>
      </c>
      <c r="H2253" s="208" t="s">
        <v>147</v>
      </c>
      <c r="I2253" s="201"/>
    </row>
    <row r="2254" spans="1:9" s="202" customFormat="1" ht="14.15" hidden="1">
      <c r="A2254" s="222">
        <v>45412</v>
      </c>
      <c r="B2254" s="201" t="s">
        <v>1095</v>
      </c>
      <c r="C2254" s="208" t="s">
        <v>27</v>
      </c>
      <c r="D2254" s="592">
        <v>-293770.62</v>
      </c>
      <c r="E2254" s="619">
        <v>45383</v>
      </c>
      <c r="F2254" s="201" t="s">
        <v>109</v>
      </c>
      <c r="G2254" s="208" t="s">
        <v>125</v>
      </c>
      <c r="H2254" s="208" t="s">
        <v>147</v>
      </c>
      <c r="I2254" s="201"/>
    </row>
    <row r="2255" spans="1:9" s="202" customFormat="1" ht="14.15" hidden="1">
      <c r="A2255" s="222">
        <v>45412</v>
      </c>
      <c r="B2255" s="201" t="s">
        <v>1095</v>
      </c>
      <c r="C2255" s="208" t="s">
        <v>27</v>
      </c>
      <c r="D2255" s="592">
        <v>-293858.76</v>
      </c>
      <c r="E2255" s="619">
        <v>45383</v>
      </c>
      <c r="F2255" s="201" t="s">
        <v>109</v>
      </c>
      <c r="G2255" s="201" t="s">
        <v>918</v>
      </c>
      <c r="H2255" s="208" t="s">
        <v>147</v>
      </c>
      <c r="I2255" s="201"/>
    </row>
    <row r="2256" spans="1:9" s="202" customFormat="1" ht="14.15" hidden="1">
      <c r="A2256" s="222">
        <v>45412</v>
      </c>
      <c r="B2256" s="201" t="s">
        <v>1096</v>
      </c>
      <c r="C2256" s="208" t="s">
        <v>27</v>
      </c>
      <c r="D2256" s="592">
        <v>-756740</v>
      </c>
      <c r="E2256" s="619">
        <v>45383</v>
      </c>
      <c r="F2256" s="201" t="s">
        <v>130</v>
      </c>
      <c r="G2256" s="201" t="s">
        <v>130</v>
      </c>
      <c r="H2256" s="201" t="s">
        <v>1175</v>
      </c>
      <c r="I2256" s="201"/>
    </row>
    <row r="2257" spans="1:9" s="202" customFormat="1" ht="14.15" hidden="1">
      <c r="A2257" s="222">
        <v>45412</v>
      </c>
      <c r="B2257" s="201" t="s">
        <v>1097</v>
      </c>
      <c r="C2257" s="208" t="s">
        <v>27</v>
      </c>
      <c r="D2257" s="592">
        <v>-400920</v>
      </c>
      <c r="E2257" s="619">
        <v>45383</v>
      </c>
      <c r="F2257" s="201" t="s">
        <v>109</v>
      </c>
      <c r="G2257" s="201" t="s">
        <v>918</v>
      </c>
      <c r="H2257" s="208" t="s">
        <v>147</v>
      </c>
      <c r="I2257" s="201"/>
    </row>
    <row r="2258" spans="1:9" s="202" customFormat="1" ht="14.15" hidden="1">
      <c r="A2258" s="222">
        <v>45412</v>
      </c>
      <c r="B2258" s="201" t="s">
        <v>1097</v>
      </c>
      <c r="C2258" s="208" t="s">
        <v>27</v>
      </c>
      <c r="D2258" s="592">
        <v>-133640</v>
      </c>
      <c r="E2258" s="619">
        <v>45383</v>
      </c>
      <c r="F2258" s="291" t="s">
        <v>109</v>
      </c>
      <c r="G2258" s="208" t="s">
        <v>525</v>
      </c>
      <c r="H2258" s="208" t="s">
        <v>147</v>
      </c>
      <c r="I2258" s="201"/>
    </row>
    <row r="2259" spans="1:9" s="202" customFormat="1" ht="14.15" hidden="1">
      <c r="A2259" s="222">
        <v>45412</v>
      </c>
      <c r="B2259" s="201" t="s">
        <v>1097</v>
      </c>
      <c r="C2259" s="208" t="s">
        <v>27</v>
      </c>
      <c r="D2259" s="592">
        <v>-178171.91489361704</v>
      </c>
      <c r="E2259" s="619">
        <v>45383</v>
      </c>
      <c r="F2259" s="201" t="s">
        <v>110</v>
      </c>
      <c r="G2259" s="208" t="s">
        <v>453</v>
      </c>
      <c r="H2259" s="208" t="s">
        <v>147</v>
      </c>
      <c r="I2259" s="201"/>
    </row>
    <row r="2260" spans="1:9" s="202" customFormat="1" ht="14.15" hidden="1">
      <c r="A2260" s="222">
        <v>45412</v>
      </c>
      <c r="B2260" s="201" t="s">
        <v>1098</v>
      </c>
      <c r="C2260" s="208" t="s">
        <v>27</v>
      </c>
      <c r="D2260" s="592">
        <v>-404160</v>
      </c>
      <c r="E2260" s="619">
        <v>45383</v>
      </c>
      <c r="F2260" s="201" t="s">
        <v>110</v>
      </c>
      <c r="G2260" s="208" t="s">
        <v>450</v>
      </c>
      <c r="H2260" s="208" t="s">
        <v>147</v>
      </c>
      <c r="I2260" s="201"/>
    </row>
    <row r="2261" spans="1:9" s="202" customFormat="1" ht="14.15" hidden="1">
      <c r="A2261" s="222">
        <v>45412</v>
      </c>
      <c r="B2261" s="201" t="s">
        <v>1098</v>
      </c>
      <c r="C2261" s="208" t="s">
        <v>27</v>
      </c>
      <c r="D2261" s="592">
        <v>-269440</v>
      </c>
      <c r="E2261" s="619">
        <v>45383</v>
      </c>
      <c r="F2261" s="201" t="s">
        <v>109</v>
      </c>
      <c r="G2261" s="208" t="s">
        <v>125</v>
      </c>
      <c r="H2261" s="208" t="s">
        <v>147</v>
      </c>
      <c r="I2261" s="201"/>
    </row>
    <row r="2262" spans="1:9" s="202" customFormat="1" ht="14.15" hidden="1">
      <c r="A2262" s="222">
        <v>45412</v>
      </c>
      <c r="B2262" s="201" t="s">
        <v>1099</v>
      </c>
      <c r="C2262" s="208" t="s">
        <v>27</v>
      </c>
      <c r="D2262" s="592">
        <v>-407400</v>
      </c>
      <c r="E2262" s="619">
        <v>45383</v>
      </c>
      <c r="F2262" s="201" t="s">
        <v>110</v>
      </c>
      <c r="G2262" s="208" t="s">
        <v>450</v>
      </c>
      <c r="H2262" s="208" t="s">
        <v>147</v>
      </c>
      <c r="I2262" s="201"/>
    </row>
    <row r="2263" spans="1:9" s="202" customFormat="1" ht="14.15" hidden="1">
      <c r="A2263" s="222">
        <v>45412</v>
      </c>
      <c r="B2263" s="201" t="s">
        <v>1099</v>
      </c>
      <c r="C2263" s="208" t="s">
        <v>27</v>
      </c>
      <c r="D2263" s="592">
        <v>-271600</v>
      </c>
      <c r="E2263" s="619">
        <v>45383</v>
      </c>
      <c r="F2263" s="201" t="s">
        <v>109</v>
      </c>
      <c r="G2263" s="208" t="s">
        <v>125</v>
      </c>
      <c r="H2263" s="208" t="s">
        <v>147</v>
      </c>
      <c r="I2263" s="201"/>
    </row>
    <row r="2264" spans="1:9" s="202" customFormat="1" ht="14.15" hidden="1">
      <c r="A2264" s="222">
        <v>45412</v>
      </c>
      <c r="B2264" s="201" t="s">
        <v>1100</v>
      </c>
      <c r="C2264" s="208" t="s">
        <v>27</v>
      </c>
      <c r="D2264" s="592">
        <v>-938306.16</v>
      </c>
      <c r="E2264" s="619">
        <v>45383</v>
      </c>
      <c r="F2264" s="291" t="s">
        <v>109</v>
      </c>
      <c r="G2264" s="208" t="s">
        <v>525</v>
      </c>
      <c r="H2264" s="208" t="s">
        <v>147</v>
      </c>
      <c r="I2264" s="201"/>
    </row>
    <row r="2265" spans="1:9" s="202" customFormat="1" ht="14.15" hidden="1">
      <c r="A2265" s="222">
        <v>45412</v>
      </c>
      <c r="B2265" s="201" t="s">
        <v>1100</v>
      </c>
      <c r="C2265" s="208" t="s">
        <v>27</v>
      </c>
      <c r="D2265" s="592">
        <v>-938306.16</v>
      </c>
      <c r="E2265" s="619">
        <v>45383</v>
      </c>
      <c r="F2265" s="201" t="s">
        <v>110</v>
      </c>
      <c r="G2265" s="208" t="s">
        <v>453</v>
      </c>
      <c r="H2265" s="208" t="s">
        <v>147</v>
      </c>
      <c r="I2265" s="201"/>
    </row>
    <row r="2266" spans="1:9" s="202" customFormat="1" ht="14.15" hidden="1">
      <c r="A2266" s="222">
        <v>45412</v>
      </c>
      <c r="B2266" s="201" t="s">
        <v>1100</v>
      </c>
      <c r="C2266" s="208" t="s">
        <v>27</v>
      </c>
      <c r="D2266" s="592">
        <v>-938587.68000000017</v>
      </c>
      <c r="E2266" s="619">
        <v>45383</v>
      </c>
      <c r="F2266" s="201" t="s">
        <v>110</v>
      </c>
      <c r="G2266" s="208" t="s">
        <v>122</v>
      </c>
      <c r="H2266" s="208" t="s">
        <v>147</v>
      </c>
      <c r="I2266" s="201"/>
    </row>
    <row r="2267" spans="1:9" s="202" customFormat="1" ht="14.15" hidden="1">
      <c r="A2267" s="222">
        <v>45412</v>
      </c>
      <c r="B2267" s="201" t="s">
        <v>1102</v>
      </c>
      <c r="C2267" s="208" t="s">
        <v>27</v>
      </c>
      <c r="D2267" s="592">
        <v>-2815200</v>
      </c>
      <c r="E2267" s="619">
        <v>45383</v>
      </c>
      <c r="F2267" s="201" t="s">
        <v>130</v>
      </c>
      <c r="G2267" s="201" t="s">
        <v>130</v>
      </c>
      <c r="H2267" s="201" t="s">
        <v>1175</v>
      </c>
      <c r="I2267" s="201"/>
    </row>
    <row r="2268" spans="1:9" s="202" customFormat="1" ht="14.15" hidden="1">
      <c r="A2268" s="222">
        <v>45412</v>
      </c>
      <c r="B2268" s="201" t="s">
        <v>1103</v>
      </c>
      <c r="C2268" s="208" t="s">
        <v>27</v>
      </c>
      <c r="D2268" s="592">
        <v>-953531.91489361692</v>
      </c>
      <c r="E2268" s="619">
        <v>45383</v>
      </c>
      <c r="F2268" s="201" t="s">
        <v>109</v>
      </c>
      <c r="G2268" s="208" t="s">
        <v>120</v>
      </c>
      <c r="H2268" s="208" t="s">
        <v>147</v>
      </c>
      <c r="I2268" s="201"/>
    </row>
    <row r="2269" spans="1:9" s="202" customFormat="1" ht="14.15" hidden="1">
      <c r="A2269" s="222">
        <v>45412</v>
      </c>
      <c r="B2269" s="201" t="s">
        <v>2093</v>
      </c>
      <c r="C2269" s="208" t="s">
        <v>27</v>
      </c>
      <c r="D2269" s="592">
        <v>-2024000</v>
      </c>
      <c r="E2269" s="619">
        <v>45383</v>
      </c>
      <c r="F2269" s="201" t="s">
        <v>130</v>
      </c>
      <c r="G2269" s="201" t="s">
        <v>130</v>
      </c>
      <c r="H2269" s="201" t="s">
        <v>1175</v>
      </c>
      <c r="I2269" s="201"/>
    </row>
    <row r="2270" spans="1:9" s="202" customFormat="1" ht="14.15" hidden="1">
      <c r="A2270" s="222">
        <v>45412</v>
      </c>
      <c r="B2270" s="201" t="s">
        <v>1063</v>
      </c>
      <c r="C2270" s="208" t="s">
        <v>27</v>
      </c>
      <c r="D2270" s="592">
        <v>-901830.80000000016</v>
      </c>
      <c r="E2270" s="619">
        <v>45383</v>
      </c>
      <c r="F2270" s="201" t="s">
        <v>110</v>
      </c>
      <c r="G2270" s="208" t="s">
        <v>453</v>
      </c>
      <c r="H2270" s="208" t="s">
        <v>147</v>
      </c>
      <c r="I2270" s="201"/>
    </row>
    <row r="2271" spans="1:9" s="202" customFormat="1" ht="14.15" hidden="1">
      <c r="A2271" s="222">
        <v>45412</v>
      </c>
      <c r="B2271" s="201" t="s">
        <v>1063</v>
      </c>
      <c r="C2271" s="208" t="s">
        <v>27</v>
      </c>
      <c r="D2271" s="592">
        <v>-820584.6</v>
      </c>
      <c r="E2271" s="619">
        <v>45383</v>
      </c>
      <c r="F2271" s="201" t="s">
        <v>110</v>
      </c>
      <c r="G2271" s="208" t="s">
        <v>122</v>
      </c>
      <c r="H2271" s="208" t="s">
        <v>147</v>
      </c>
      <c r="I2271" s="201"/>
    </row>
    <row r="2272" spans="1:9" s="202" customFormat="1" ht="14.15" hidden="1">
      <c r="A2272" s="222">
        <v>45412</v>
      </c>
      <c r="B2272" s="201" t="s">
        <v>1063</v>
      </c>
      <c r="C2272" s="208" t="s">
        <v>27</v>
      </c>
      <c r="D2272" s="592">
        <v>-820584.6</v>
      </c>
      <c r="E2272" s="619">
        <v>45383</v>
      </c>
      <c r="F2272" s="201" t="s">
        <v>110</v>
      </c>
      <c r="G2272" s="208" t="s">
        <v>774</v>
      </c>
      <c r="H2272" s="208" t="s">
        <v>147</v>
      </c>
      <c r="I2272" s="201"/>
    </row>
    <row r="2273" spans="1:9" s="202" customFormat="1" ht="14.15" hidden="1">
      <c r="A2273" s="222">
        <v>45412</v>
      </c>
      <c r="B2273" s="201" t="s">
        <v>1083</v>
      </c>
      <c r="C2273" s="208" t="s">
        <v>27</v>
      </c>
      <c r="D2273" s="592">
        <v>-679000</v>
      </c>
      <c r="E2273" s="619">
        <v>45383</v>
      </c>
      <c r="F2273" s="201" t="s">
        <v>130</v>
      </c>
      <c r="G2273" s="201" t="s">
        <v>130</v>
      </c>
      <c r="H2273" s="201" t="s">
        <v>1175</v>
      </c>
      <c r="I2273" s="201"/>
    </row>
    <row r="2274" spans="1:9" s="202" customFormat="1" ht="14.15" hidden="1">
      <c r="A2274" s="222">
        <v>45412</v>
      </c>
      <c r="B2274" s="201" t="s">
        <v>1084</v>
      </c>
      <c r="C2274" s="208" t="s">
        <v>27</v>
      </c>
      <c r="D2274" s="592">
        <v>-650000</v>
      </c>
      <c r="E2274" s="619">
        <v>45383</v>
      </c>
      <c r="F2274" s="201" t="s">
        <v>130</v>
      </c>
      <c r="G2274" s="201" t="s">
        <v>130</v>
      </c>
      <c r="H2274" s="201" t="s">
        <v>1175</v>
      </c>
      <c r="I2274" s="201"/>
    </row>
    <row r="2275" spans="1:9" s="202" customFormat="1" ht="14.15" hidden="1">
      <c r="A2275" s="222">
        <v>45412</v>
      </c>
      <c r="B2275" s="201" t="s">
        <v>1085</v>
      </c>
      <c r="C2275" s="208" t="s">
        <v>27</v>
      </c>
      <c r="D2275" s="592">
        <v>-5000000</v>
      </c>
      <c r="E2275" s="619">
        <v>45383</v>
      </c>
      <c r="F2275" s="201" t="s">
        <v>130</v>
      </c>
      <c r="G2275" s="201" t="s">
        <v>257</v>
      </c>
      <c r="H2275" s="201" t="s">
        <v>1175</v>
      </c>
      <c r="I2275" s="201"/>
    </row>
    <row r="2276" spans="1:9" s="202" customFormat="1" ht="14.15" hidden="1">
      <c r="A2276" s="222">
        <v>45412</v>
      </c>
      <c r="B2276" s="201" t="s">
        <v>1064</v>
      </c>
      <c r="C2276" s="208" t="s">
        <v>27</v>
      </c>
      <c r="D2276" s="592">
        <v>-921723.40425531915</v>
      </c>
      <c r="E2276" s="619">
        <v>45383</v>
      </c>
      <c r="F2276" s="201" t="s">
        <v>109</v>
      </c>
      <c r="G2276" s="208" t="s">
        <v>120</v>
      </c>
      <c r="H2276" s="208" t="s">
        <v>147</v>
      </c>
      <c r="I2276" s="201"/>
    </row>
    <row r="2277" spans="1:9" s="202" customFormat="1" ht="14.15" hidden="1">
      <c r="A2277" s="222">
        <v>45412</v>
      </c>
      <c r="B2277" s="201" t="s">
        <v>1065</v>
      </c>
      <c r="C2277" s="208" t="s">
        <v>27</v>
      </c>
      <c r="D2277" s="592">
        <v>-875723.40425531915</v>
      </c>
      <c r="E2277" s="619">
        <v>45383</v>
      </c>
      <c r="F2277" s="201" t="s">
        <v>109</v>
      </c>
      <c r="G2277" s="208" t="s">
        <v>120</v>
      </c>
      <c r="H2277" s="208" t="s">
        <v>147</v>
      </c>
      <c r="I2277" s="201"/>
    </row>
    <row r="2278" spans="1:9" s="202" customFormat="1" ht="14.15" hidden="1">
      <c r="A2278" s="222">
        <v>45412</v>
      </c>
      <c r="B2278" s="201" t="s">
        <v>1066</v>
      </c>
      <c r="C2278" s="208" t="s">
        <v>27</v>
      </c>
      <c r="D2278" s="592">
        <v>-882085.10638297873</v>
      </c>
      <c r="E2278" s="619">
        <v>45383</v>
      </c>
      <c r="F2278" s="201" t="s">
        <v>109</v>
      </c>
      <c r="G2278" s="208" t="s">
        <v>120</v>
      </c>
      <c r="H2278" s="208" t="s">
        <v>147</v>
      </c>
      <c r="I2278" s="201"/>
    </row>
    <row r="2279" spans="1:9" s="202" customFormat="1" ht="14.15" hidden="1">
      <c r="A2279" s="222">
        <v>45412</v>
      </c>
      <c r="B2279" s="201" t="s">
        <v>1067</v>
      </c>
      <c r="C2279" s="208" t="s">
        <v>27</v>
      </c>
      <c r="D2279" s="592">
        <v>-404160</v>
      </c>
      <c r="E2279" s="619">
        <v>45383</v>
      </c>
      <c r="F2279" s="201" t="s">
        <v>109</v>
      </c>
      <c r="G2279" s="201" t="s">
        <v>918</v>
      </c>
      <c r="H2279" s="208" t="s">
        <v>147</v>
      </c>
      <c r="I2279" s="201"/>
    </row>
    <row r="2280" spans="1:9" s="202" customFormat="1" ht="14.15" hidden="1">
      <c r="A2280" s="222">
        <v>45412</v>
      </c>
      <c r="B2280" s="201" t="s">
        <v>1067</v>
      </c>
      <c r="C2280" s="208" t="s">
        <v>27</v>
      </c>
      <c r="D2280" s="592">
        <v>-134720</v>
      </c>
      <c r="E2280" s="619">
        <v>45383</v>
      </c>
      <c r="F2280" s="291" t="s">
        <v>109</v>
      </c>
      <c r="G2280" s="208" t="s">
        <v>525</v>
      </c>
      <c r="H2280" s="208" t="s">
        <v>147</v>
      </c>
      <c r="I2280" s="201"/>
    </row>
    <row r="2281" spans="1:9" s="202" customFormat="1" ht="14.15" hidden="1">
      <c r="A2281" s="222">
        <v>45412</v>
      </c>
      <c r="B2281" s="201" t="s">
        <v>1067</v>
      </c>
      <c r="C2281" s="208" t="s">
        <v>27</v>
      </c>
      <c r="D2281" s="592">
        <v>-134720</v>
      </c>
      <c r="E2281" s="619">
        <v>45383</v>
      </c>
      <c r="F2281" s="201" t="s">
        <v>110</v>
      </c>
      <c r="G2281" s="208" t="s">
        <v>453</v>
      </c>
      <c r="H2281" s="208" t="s">
        <v>147</v>
      </c>
      <c r="I2281" s="201"/>
    </row>
    <row r="2282" spans="1:9" s="202" customFormat="1" ht="14.15" hidden="1">
      <c r="A2282" s="222">
        <v>45412</v>
      </c>
      <c r="B2282" s="201" t="s">
        <v>1068</v>
      </c>
      <c r="C2282" s="208" t="s">
        <v>27</v>
      </c>
      <c r="D2282" s="592">
        <v>-407400</v>
      </c>
      <c r="E2282" s="619">
        <v>45383</v>
      </c>
      <c r="F2282" s="201" t="s">
        <v>110</v>
      </c>
      <c r="G2282" s="208" t="s">
        <v>122</v>
      </c>
      <c r="H2282" s="208" t="s">
        <v>147</v>
      </c>
      <c r="I2282" s="201"/>
    </row>
    <row r="2283" spans="1:9" s="202" customFormat="1" ht="14.15" hidden="1">
      <c r="A2283" s="222">
        <v>45412</v>
      </c>
      <c r="B2283" s="201" t="s">
        <v>1068</v>
      </c>
      <c r="C2283" s="208" t="s">
        <v>27</v>
      </c>
      <c r="D2283" s="592">
        <v>-271600</v>
      </c>
      <c r="E2283" s="619">
        <v>45383</v>
      </c>
      <c r="F2283" s="201" t="s">
        <v>110</v>
      </c>
      <c r="G2283" s="208" t="s">
        <v>774</v>
      </c>
      <c r="H2283" s="208" t="s">
        <v>147</v>
      </c>
      <c r="I2283" s="201"/>
    </row>
    <row r="2284" spans="1:9" s="202" customFormat="1" ht="14.15" hidden="1">
      <c r="A2284" s="222">
        <v>45412</v>
      </c>
      <c r="B2284" s="201" t="s">
        <v>1069</v>
      </c>
      <c r="C2284" s="208" t="s">
        <v>27</v>
      </c>
      <c r="D2284" s="592">
        <v>-407400</v>
      </c>
      <c r="E2284" s="619">
        <v>45383</v>
      </c>
      <c r="F2284" s="201" t="s">
        <v>110</v>
      </c>
      <c r="G2284" s="208" t="s">
        <v>122</v>
      </c>
      <c r="H2284" s="208" t="s">
        <v>147</v>
      </c>
      <c r="I2284" s="201"/>
    </row>
    <row r="2285" spans="1:9" s="202" customFormat="1" ht="14.15" hidden="1">
      <c r="A2285" s="222">
        <v>45412</v>
      </c>
      <c r="B2285" s="201" t="s">
        <v>1069</v>
      </c>
      <c r="C2285" s="208" t="s">
        <v>27</v>
      </c>
      <c r="D2285" s="592">
        <v>-271600</v>
      </c>
      <c r="E2285" s="619">
        <v>45383</v>
      </c>
      <c r="F2285" s="201" t="s">
        <v>110</v>
      </c>
      <c r="G2285" s="208" t="s">
        <v>774</v>
      </c>
      <c r="H2285" s="208" t="s">
        <v>147</v>
      </c>
      <c r="I2285" s="201"/>
    </row>
    <row r="2286" spans="1:9" s="202" customFormat="1" ht="14.15" hidden="1">
      <c r="A2286" s="222">
        <v>45412</v>
      </c>
      <c r="B2286" s="201" t="s">
        <v>1086</v>
      </c>
      <c r="C2286" s="208" t="s">
        <v>27</v>
      </c>
      <c r="D2286" s="592">
        <v>-407400</v>
      </c>
      <c r="E2286" s="619">
        <v>45383</v>
      </c>
      <c r="F2286" s="201" t="s">
        <v>110</v>
      </c>
      <c r="G2286" s="208" t="s">
        <v>122</v>
      </c>
      <c r="H2286" s="208" t="s">
        <v>147</v>
      </c>
      <c r="I2286" s="201"/>
    </row>
    <row r="2287" spans="1:9" s="202" customFormat="1" ht="14.15" hidden="1">
      <c r="A2287" s="222">
        <v>45412</v>
      </c>
      <c r="B2287" s="201" t="s">
        <v>1086</v>
      </c>
      <c r="C2287" s="208" t="s">
        <v>27</v>
      </c>
      <c r="D2287" s="592">
        <v>-293865.95744680846</v>
      </c>
      <c r="E2287" s="619">
        <v>45383</v>
      </c>
      <c r="F2287" s="201" t="s">
        <v>110</v>
      </c>
      <c r="G2287" s="208" t="s">
        <v>774</v>
      </c>
      <c r="H2287" s="208" t="s">
        <v>147</v>
      </c>
      <c r="I2287" s="201"/>
    </row>
    <row r="2288" spans="1:9" s="202" customFormat="1" ht="14.15" hidden="1">
      <c r="A2288" s="222">
        <v>45412</v>
      </c>
      <c r="B2288" s="201" t="s">
        <v>2094</v>
      </c>
      <c r="C2288" s="208" t="s">
        <v>27</v>
      </c>
      <c r="D2288" s="592">
        <v>-2708995.54</v>
      </c>
      <c r="E2288" s="619">
        <v>45383</v>
      </c>
      <c r="F2288" s="201" t="s">
        <v>130</v>
      </c>
      <c r="G2288" s="627" t="s">
        <v>257</v>
      </c>
      <c r="H2288" s="201" t="s">
        <v>1145</v>
      </c>
      <c r="I2288" s="201"/>
    </row>
    <row r="2289" spans="1:9" s="202" customFormat="1" ht="14.15" hidden="1">
      <c r="A2289" s="222">
        <v>45412</v>
      </c>
      <c r="B2289" s="201" t="s">
        <v>1087</v>
      </c>
      <c r="C2289" s="208" t="s">
        <v>27</v>
      </c>
      <c r="D2289" s="592">
        <v>-2668000</v>
      </c>
      <c r="E2289" s="619">
        <v>45383</v>
      </c>
      <c r="F2289" s="201" t="s">
        <v>130</v>
      </c>
      <c r="G2289" s="627" t="s">
        <v>130</v>
      </c>
      <c r="H2289" s="201" t="s">
        <v>1175</v>
      </c>
      <c r="I2289" s="201"/>
    </row>
    <row r="2290" spans="1:9" s="202" customFormat="1" ht="14.15" hidden="1">
      <c r="A2290" s="222">
        <v>45412</v>
      </c>
      <c r="B2290" s="201" t="s">
        <v>2079</v>
      </c>
      <c r="C2290" s="208" t="s">
        <v>27</v>
      </c>
      <c r="D2290" s="592">
        <v>-778828.36879432632</v>
      </c>
      <c r="E2290" s="619">
        <v>45383</v>
      </c>
      <c r="F2290" s="201" t="s">
        <v>109</v>
      </c>
      <c r="G2290" s="208" t="s">
        <v>120</v>
      </c>
      <c r="H2290" s="208" t="s">
        <v>147</v>
      </c>
      <c r="I2290" s="201"/>
    </row>
    <row r="2291" spans="1:9" s="202" customFormat="1" ht="14.15" hidden="1">
      <c r="A2291" s="222">
        <v>45412</v>
      </c>
      <c r="B2291" s="201" t="s">
        <v>2080</v>
      </c>
      <c r="C2291" s="208" t="s">
        <v>27</v>
      </c>
      <c r="D2291" s="592">
        <v>-422500</v>
      </c>
      <c r="E2291" s="619">
        <v>45383</v>
      </c>
      <c r="F2291" s="201" t="s">
        <v>130</v>
      </c>
      <c r="G2291" s="627" t="s">
        <v>130</v>
      </c>
      <c r="H2291" s="201" t="s">
        <v>1175</v>
      </c>
      <c r="I2291" s="201"/>
    </row>
    <row r="2292" spans="1:9" s="202" customFormat="1" ht="14.15" hidden="1">
      <c r="A2292" s="222">
        <v>45412</v>
      </c>
      <c r="B2292" s="201" t="s">
        <v>2081</v>
      </c>
      <c r="C2292" s="208" t="s">
        <v>27</v>
      </c>
      <c r="D2292" s="592">
        <v>-921723.40425531915</v>
      </c>
      <c r="E2292" s="619">
        <v>45383</v>
      </c>
      <c r="F2292" s="201" t="s">
        <v>109</v>
      </c>
      <c r="G2292" s="208" t="s">
        <v>120</v>
      </c>
      <c r="H2292" s="208" t="s">
        <v>147</v>
      </c>
      <c r="I2292" s="201"/>
    </row>
    <row r="2293" spans="1:9" s="202" customFormat="1" ht="14.15" hidden="1">
      <c r="A2293" s="222">
        <v>45412</v>
      </c>
      <c r="B2293" s="201" t="s">
        <v>2082</v>
      </c>
      <c r="C2293" s="208" t="s">
        <v>27</v>
      </c>
      <c r="D2293" s="592">
        <v>-1288627.2340425532</v>
      </c>
      <c r="E2293" s="619">
        <v>45383</v>
      </c>
      <c r="F2293" s="201" t="s">
        <v>109</v>
      </c>
      <c r="G2293" s="208" t="s">
        <v>120</v>
      </c>
      <c r="H2293" s="208" t="s">
        <v>147</v>
      </c>
      <c r="I2293" s="201"/>
    </row>
    <row r="2294" spans="1:9" s="202" customFormat="1" ht="14.15" hidden="1">
      <c r="A2294" s="222">
        <v>45412</v>
      </c>
      <c r="B2294" s="201" t="s">
        <v>2095</v>
      </c>
      <c r="C2294" s="208" t="s">
        <v>27</v>
      </c>
      <c r="D2294" s="592">
        <f>-2002000*30%</f>
        <v>-600600</v>
      </c>
      <c r="E2294" s="619">
        <v>45383</v>
      </c>
      <c r="F2294" s="201" t="s">
        <v>110</v>
      </c>
      <c r="G2294" s="208" t="s">
        <v>450</v>
      </c>
      <c r="H2294" s="201" t="s">
        <v>147</v>
      </c>
      <c r="I2294" s="201"/>
    </row>
    <row r="2295" spans="1:9" s="202" customFormat="1" ht="14.15" hidden="1">
      <c r="A2295" s="222">
        <v>45412</v>
      </c>
      <c r="B2295" s="201" t="s">
        <v>2095</v>
      </c>
      <c r="C2295" s="208" t="s">
        <v>27</v>
      </c>
      <c r="D2295" s="592">
        <f>-2002000*30%</f>
        <v>-600600</v>
      </c>
      <c r="E2295" s="619">
        <v>45383</v>
      </c>
      <c r="F2295" s="201" t="s">
        <v>110</v>
      </c>
      <c r="G2295" s="208" t="s">
        <v>122</v>
      </c>
      <c r="H2295" s="201" t="s">
        <v>508</v>
      </c>
      <c r="I2295" s="201"/>
    </row>
    <row r="2296" spans="1:9" s="202" customFormat="1" ht="14.15" hidden="1">
      <c r="A2296" s="222">
        <v>45412</v>
      </c>
      <c r="B2296" s="201" t="s">
        <v>2095</v>
      </c>
      <c r="C2296" s="208" t="s">
        <v>27</v>
      </c>
      <c r="D2296" s="592">
        <f>-2002000*40%</f>
        <v>-800800</v>
      </c>
      <c r="E2296" s="619">
        <v>45383</v>
      </c>
      <c r="F2296" s="201" t="s">
        <v>109</v>
      </c>
      <c r="G2296" s="201" t="s">
        <v>918</v>
      </c>
      <c r="H2296" s="201" t="s">
        <v>508</v>
      </c>
      <c r="I2296" s="201"/>
    </row>
    <row r="2297" spans="1:9" s="202" customFormat="1" ht="14.15" hidden="1">
      <c r="A2297" s="222">
        <v>45412</v>
      </c>
      <c r="B2297" s="201" t="s">
        <v>2096</v>
      </c>
      <c r="C2297" s="208" t="s">
        <v>27</v>
      </c>
      <c r="D2297" s="592">
        <v>-520000</v>
      </c>
      <c r="E2297" s="619">
        <v>45383</v>
      </c>
      <c r="F2297" s="201" t="s">
        <v>130</v>
      </c>
      <c r="G2297" s="627" t="s">
        <v>130</v>
      </c>
      <c r="H2297" s="201" t="s">
        <v>1175</v>
      </c>
      <c r="I2297" s="201"/>
    </row>
    <row r="2298" spans="1:9" s="202" customFormat="1" ht="14.15" hidden="1">
      <c r="A2298" s="222">
        <v>45412</v>
      </c>
      <c r="B2298" s="201" t="s">
        <v>2096</v>
      </c>
      <c r="C2298" s="208" t="s">
        <v>27</v>
      </c>
      <c r="D2298" s="592">
        <v>-346666.66666666674</v>
      </c>
      <c r="E2298" s="619">
        <v>45383</v>
      </c>
      <c r="F2298" s="201" t="s">
        <v>109</v>
      </c>
      <c r="G2298" s="208" t="s">
        <v>120</v>
      </c>
      <c r="H2298" s="208" t="s">
        <v>147</v>
      </c>
      <c r="I2298" s="201"/>
    </row>
    <row r="2299" spans="1:9" s="202" customFormat="1" ht="14.15" hidden="1">
      <c r="A2299" s="222">
        <v>45412</v>
      </c>
      <c r="B2299" s="201" t="s">
        <v>2097</v>
      </c>
      <c r="C2299" s="208" t="s">
        <v>27</v>
      </c>
      <c r="D2299" s="592">
        <v>-638924</v>
      </c>
      <c r="E2299" s="619">
        <v>45383</v>
      </c>
      <c r="F2299" s="201" t="s">
        <v>110</v>
      </c>
      <c r="G2299" s="208" t="s">
        <v>450</v>
      </c>
      <c r="H2299" s="208" t="s">
        <v>147</v>
      </c>
      <c r="I2299" s="201"/>
    </row>
    <row r="2300" spans="1:9" s="202" customFormat="1" ht="14.15" hidden="1">
      <c r="A2300" s="222">
        <v>45412</v>
      </c>
      <c r="B2300" s="201" t="s">
        <v>2097</v>
      </c>
      <c r="C2300" s="208" t="s">
        <v>27</v>
      </c>
      <c r="D2300" s="592">
        <v>-425949.33333333337</v>
      </c>
      <c r="E2300" s="619">
        <v>45383</v>
      </c>
      <c r="F2300" s="201" t="s">
        <v>109</v>
      </c>
      <c r="G2300" s="208" t="s">
        <v>125</v>
      </c>
      <c r="H2300" s="208" t="s">
        <v>147</v>
      </c>
      <c r="I2300" s="201"/>
    </row>
    <row r="2301" spans="1:9" s="202" customFormat="1" ht="14.15" hidden="1">
      <c r="A2301" s="222">
        <v>45412</v>
      </c>
      <c r="B2301" s="201" t="s">
        <v>2084</v>
      </c>
      <c r="C2301" s="208" t="s">
        <v>27</v>
      </c>
      <c r="D2301" s="592">
        <v>-875723.40425531915</v>
      </c>
      <c r="E2301" s="619">
        <v>45383</v>
      </c>
      <c r="F2301" s="201" t="s">
        <v>109</v>
      </c>
      <c r="G2301" s="208" t="s">
        <v>120</v>
      </c>
      <c r="H2301" s="208" t="s">
        <v>147</v>
      </c>
      <c r="I2301" s="201"/>
    </row>
    <row r="2302" spans="1:9" s="202" customFormat="1" ht="14.15" hidden="1">
      <c r="A2302" s="222">
        <v>45412</v>
      </c>
      <c r="B2302" s="201" t="s">
        <v>2085</v>
      </c>
      <c r="C2302" s="208" t="s">
        <v>27</v>
      </c>
      <c r="D2302" s="592">
        <v>-875723.40425531915</v>
      </c>
      <c r="E2302" s="619">
        <v>45383</v>
      </c>
      <c r="F2302" s="201" t="s">
        <v>109</v>
      </c>
      <c r="G2302" s="208" t="s">
        <v>120</v>
      </c>
      <c r="H2302" s="208" t="s">
        <v>147</v>
      </c>
      <c r="I2302" s="201"/>
    </row>
    <row r="2303" spans="1:9" s="202" customFormat="1" ht="14.15" hidden="1">
      <c r="A2303" s="222">
        <v>45412</v>
      </c>
      <c r="B2303" s="201" t="s">
        <v>2086</v>
      </c>
      <c r="C2303" s="208" t="s">
        <v>27</v>
      </c>
      <c r="D2303" s="592">
        <v>-875723.40425531915</v>
      </c>
      <c r="E2303" s="619">
        <v>45383</v>
      </c>
      <c r="F2303" s="201" t="s">
        <v>109</v>
      </c>
      <c r="G2303" s="208" t="s">
        <v>120</v>
      </c>
      <c r="H2303" s="208" t="s">
        <v>147</v>
      </c>
      <c r="I2303" s="201"/>
    </row>
    <row r="2304" spans="1:9" s="202" customFormat="1" ht="14.15" hidden="1">
      <c r="A2304" s="222">
        <v>45412</v>
      </c>
      <c r="B2304" s="201" t="s">
        <v>2087</v>
      </c>
      <c r="C2304" s="208" t="s">
        <v>27</v>
      </c>
      <c r="D2304" s="592">
        <v>-875723.40425531915</v>
      </c>
      <c r="E2304" s="619">
        <v>45383</v>
      </c>
      <c r="F2304" s="201" t="s">
        <v>109</v>
      </c>
      <c r="G2304" s="208" t="s">
        <v>120</v>
      </c>
      <c r="H2304" s="208" t="s">
        <v>147</v>
      </c>
      <c r="I2304" s="201"/>
    </row>
    <row r="2305" spans="1:149" s="202" customFormat="1" ht="14.15" hidden="1">
      <c r="A2305" s="222">
        <v>45412</v>
      </c>
      <c r="B2305" s="201" t="s">
        <v>2088</v>
      </c>
      <c r="C2305" s="208" t="s">
        <v>27</v>
      </c>
      <c r="D2305" s="592">
        <v>-875723.40425531915</v>
      </c>
      <c r="E2305" s="619">
        <v>45383</v>
      </c>
      <c r="F2305" s="201" t="s">
        <v>109</v>
      </c>
      <c r="G2305" s="208" t="s">
        <v>120</v>
      </c>
      <c r="H2305" s="208" t="s">
        <v>147</v>
      </c>
      <c r="I2305" s="201"/>
    </row>
    <row r="2306" spans="1:149" s="202" customFormat="1" ht="14.15" hidden="1">
      <c r="A2306" s="222">
        <v>45412</v>
      </c>
      <c r="B2306" s="201" t="s">
        <v>2089</v>
      </c>
      <c r="C2306" s="208" t="s">
        <v>27</v>
      </c>
      <c r="D2306" s="592">
        <v>-829723.40425531915</v>
      </c>
      <c r="E2306" s="619">
        <v>45383</v>
      </c>
      <c r="F2306" s="201" t="s">
        <v>109</v>
      </c>
      <c r="G2306" s="208" t="s">
        <v>120</v>
      </c>
      <c r="H2306" s="208" t="s">
        <v>147</v>
      </c>
      <c r="I2306" s="201"/>
    </row>
    <row r="2307" spans="1:149" s="202" customFormat="1" ht="14.15" hidden="1">
      <c r="A2307" s="222">
        <v>45412</v>
      </c>
      <c r="B2307" s="201" t="s">
        <v>2090</v>
      </c>
      <c r="C2307" s="208" t="s">
        <v>27</v>
      </c>
      <c r="D2307" s="592">
        <v>-836085.10638297873</v>
      </c>
      <c r="E2307" s="619">
        <v>45383</v>
      </c>
      <c r="F2307" s="201" t="s">
        <v>109</v>
      </c>
      <c r="G2307" s="208" t="s">
        <v>120</v>
      </c>
      <c r="H2307" s="208" t="s">
        <v>147</v>
      </c>
      <c r="I2307" s="201"/>
    </row>
    <row r="2308" spans="1:149" s="202" customFormat="1" ht="14.15" hidden="1">
      <c r="A2308" s="222">
        <v>45412</v>
      </c>
      <c r="B2308" s="201" t="s">
        <v>2098</v>
      </c>
      <c r="C2308" s="208" t="s">
        <v>27</v>
      </c>
      <c r="D2308" s="592">
        <v>-822628.36879432632</v>
      </c>
      <c r="E2308" s="619">
        <v>45383</v>
      </c>
      <c r="F2308" s="201" t="s">
        <v>109</v>
      </c>
      <c r="G2308" s="208" t="s">
        <v>120</v>
      </c>
      <c r="H2308" s="208" t="s">
        <v>147</v>
      </c>
      <c r="I2308" s="201"/>
    </row>
    <row r="2309" spans="1:149" s="202" customFormat="1" ht="14.15" hidden="1">
      <c r="A2309" s="222">
        <v>45412</v>
      </c>
      <c r="B2309" s="201" t="s">
        <v>2099</v>
      </c>
      <c r="C2309" s="208" t="s">
        <v>27</v>
      </c>
      <c r="D2309" s="592">
        <v>-822628.36879432632</v>
      </c>
      <c r="E2309" s="619">
        <v>45383</v>
      </c>
      <c r="F2309" s="201" t="s">
        <v>109</v>
      </c>
      <c r="G2309" s="208" t="s">
        <v>120</v>
      </c>
      <c r="H2309" s="208" t="s">
        <v>147</v>
      </c>
      <c r="I2309" s="201"/>
    </row>
    <row r="2310" spans="1:149" s="202" customFormat="1" ht="14.15" hidden="1">
      <c r="A2310" s="222">
        <v>45412</v>
      </c>
      <c r="B2310" s="201" t="s">
        <v>2100</v>
      </c>
      <c r="C2310" s="208" t="s">
        <v>27</v>
      </c>
      <c r="D2310" s="592">
        <v>-822628.36879432632</v>
      </c>
      <c r="E2310" s="619">
        <v>45383</v>
      </c>
      <c r="F2310" s="201" t="s">
        <v>109</v>
      </c>
      <c r="G2310" s="208" t="s">
        <v>120</v>
      </c>
      <c r="H2310" s="208" t="s">
        <v>147</v>
      </c>
      <c r="I2310" s="201"/>
    </row>
    <row r="2311" spans="1:149" s="202" customFormat="1" ht="14.15" hidden="1">
      <c r="A2311" s="222">
        <v>45412</v>
      </c>
      <c r="B2311" s="201" t="s">
        <v>2101</v>
      </c>
      <c r="C2311" s="208" t="s">
        <v>27</v>
      </c>
      <c r="D2311" s="592">
        <v>-828990.07092198578</v>
      </c>
      <c r="E2311" s="619">
        <v>45383</v>
      </c>
      <c r="F2311" s="201" t="s">
        <v>109</v>
      </c>
      <c r="G2311" s="208" t="s">
        <v>120</v>
      </c>
      <c r="H2311" s="208" t="s">
        <v>147</v>
      </c>
      <c r="I2311" s="201"/>
    </row>
    <row r="2312" spans="1:149" s="202" customFormat="1" ht="14.15" hidden="1">
      <c r="A2312" s="222">
        <v>45412</v>
      </c>
      <c r="B2312" s="201" t="s">
        <v>2102</v>
      </c>
      <c r="C2312" s="208" t="s">
        <v>27</v>
      </c>
      <c r="D2312" s="592">
        <v>-828990.07092198578</v>
      </c>
      <c r="E2312" s="619">
        <v>45383</v>
      </c>
      <c r="F2312" s="201" t="s">
        <v>109</v>
      </c>
      <c r="G2312" s="208" t="s">
        <v>120</v>
      </c>
      <c r="H2312" s="208" t="s">
        <v>147</v>
      </c>
      <c r="I2312" s="201"/>
    </row>
    <row r="2313" spans="1:149" s="202" customFormat="1" ht="14.15" hidden="1">
      <c r="A2313" s="222">
        <v>45412</v>
      </c>
      <c r="B2313" s="201" t="s">
        <v>2103</v>
      </c>
      <c r="C2313" s="208" t="s">
        <v>27</v>
      </c>
      <c r="D2313" s="592">
        <v>-4620000</v>
      </c>
      <c r="E2313" s="619">
        <v>45383</v>
      </c>
      <c r="F2313" s="201" t="s">
        <v>109</v>
      </c>
      <c r="G2313" s="208" t="s">
        <v>120</v>
      </c>
      <c r="H2313" s="201"/>
      <c r="I2313" s="201"/>
    </row>
    <row r="2314" spans="1:149" s="202" customFormat="1" ht="14.15" hidden="1">
      <c r="A2314" s="222">
        <v>45412</v>
      </c>
      <c r="B2314" s="201" t="s">
        <v>2104</v>
      </c>
      <c r="C2314" s="208" t="s">
        <v>27</v>
      </c>
      <c r="D2314" s="592">
        <v>-6945000</v>
      </c>
      <c r="E2314" s="619">
        <v>45383</v>
      </c>
      <c r="F2314" s="201" t="s">
        <v>109</v>
      </c>
      <c r="G2314" s="208" t="s">
        <v>120</v>
      </c>
      <c r="H2314" s="201"/>
      <c r="I2314" s="201"/>
    </row>
    <row r="2315" spans="1:149" s="202" customFormat="1" ht="14.15" hidden="1">
      <c r="A2315" s="222">
        <v>45411</v>
      </c>
      <c r="B2315" s="201" t="s">
        <v>1339</v>
      </c>
      <c r="C2315" s="208" t="s">
        <v>27</v>
      </c>
      <c r="D2315" s="592">
        <v>-349109</v>
      </c>
      <c r="E2315" s="619">
        <v>45383</v>
      </c>
      <c r="F2315" s="201" t="s">
        <v>130</v>
      </c>
      <c r="G2315" s="201" t="s">
        <v>130</v>
      </c>
      <c r="H2315" s="201" t="s">
        <v>184</v>
      </c>
      <c r="I2315" s="201"/>
    </row>
    <row r="2316" spans="1:149" s="202" customFormat="1" ht="14.15" hidden="1">
      <c r="A2316" s="222">
        <v>45411</v>
      </c>
      <c r="B2316" s="201" t="s">
        <v>2105</v>
      </c>
      <c r="C2316" s="208" t="s">
        <v>27</v>
      </c>
      <c r="D2316" s="592">
        <v>-300000</v>
      </c>
      <c r="E2316" s="619">
        <v>45383</v>
      </c>
      <c r="F2316" s="201" t="s">
        <v>109</v>
      </c>
      <c r="G2316" s="208" t="s">
        <v>120</v>
      </c>
      <c r="H2316" s="81" t="s">
        <v>138</v>
      </c>
      <c r="I2316" s="201"/>
    </row>
    <row r="2317" spans="1:149" s="202" customFormat="1" ht="14.15" hidden="1">
      <c r="A2317" s="222">
        <v>45411</v>
      </c>
      <c r="B2317" s="201" t="s">
        <v>2106</v>
      </c>
      <c r="C2317" s="208" t="s">
        <v>27</v>
      </c>
      <c r="D2317" s="592">
        <v>-9085253</v>
      </c>
      <c r="E2317" s="619">
        <v>45383</v>
      </c>
      <c r="F2317" s="201" t="s">
        <v>109</v>
      </c>
      <c r="G2317" s="201" t="s">
        <v>1261</v>
      </c>
      <c r="H2317" s="208" t="s">
        <v>212</v>
      </c>
      <c r="I2317" s="201"/>
    </row>
    <row r="2318" spans="1:149" s="202" customFormat="1" ht="14.15" hidden="1">
      <c r="A2318" s="222">
        <v>45411</v>
      </c>
      <c r="B2318" s="201" t="s">
        <v>2107</v>
      </c>
      <c r="C2318" s="208" t="s">
        <v>27</v>
      </c>
      <c r="D2318" s="592">
        <v>-350000</v>
      </c>
      <c r="E2318" s="619">
        <v>45383</v>
      </c>
      <c r="F2318" s="201" t="s">
        <v>110</v>
      </c>
      <c r="G2318" s="208" t="s">
        <v>450</v>
      </c>
      <c r="H2318" s="201" t="s">
        <v>363</v>
      </c>
      <c r="I2318" s="201"/>
    </row>
    <row r="2319" spans="1:149" s="202" customFormat="1" ht="14.15" hidden="1">
      <c r="A2319" s="222">
        <v>45411</v>
      </c>
      <c r="B2319" s="201" t="s">
        <v>1852</v>
      </c>
      <c r="C2319" s="208" t="s">
        <v>27</v>
      </c>
      <c r="D2319" s="592">
        <v>-600000</v>
      </c>
      <c r="E2319" s="619">
        <v>45383</v>
      </c>
      <c r="F2319" s="201" t="s">
        <v>130</v>
      </c>
      <c r="G2319" s="201" t="s">
        <v>257</v>
      </c>
      <c r="H2319" s="201" t="s">
        <v>663</v>
      </c>
      <c r="I2319" s="201"/>
    </row>
    <row r="2320" spans="1:149" s="202" customFormat="1" ht="14.15" hidden="1">
      <c r="A2320" s="222">
        <v>45411</v>
      </c>
      <c r="B2320" s="201" t="s">
        <v>1614</v>
      </c>
      <c r="C2320" s="208" t="s">
        <v>27</v>
      </c>
      <c r="D2320" s="592">
        <v>-10000000</v>
      </c>
      <c r="E2320" s="619">
        <v>45383</v>
      </c>
      <c r="F2320" s="84" t="s">
        <v>111</v>
      </c>
      <c r="G2320" s="208"/>
      <c r="H2320" s="208"/>
      <c r="I2320" s="208"/>
      <c r="J2320" s="209"/>
      <c r="K2320" s="209"/>
      <c r="L2320" s="209"/>
      <c r="M2320" s="209"/>
      <c r="N2320" s="209"/>
      <c r="O2320" s="209"/>
      <c r="P2320" s="209"/>
      <c r="Q2320" s="209"/>
      <c r="R2320" s="209"/>
      <c r="S2320" s="209"/>
      <c r="T2320" s="209"/>
      <c r="U2320" s="165"/>
      <c r="V2320" s="165"/>
      <c r="W2320" s="165"/>
      <c r="X2320" s="165"/>
      <c r="Y2320" s="165"/>
      <c r="Z2320" s="165"/>
      <c r="AA2320" s="165"/>
      <c r="AB2320" s="165"/>
      <c r="AC2320" s="165"/>
      <c r="AD2320" s="165"/>
      <c r="AE2320" s="165"/>
      <c r="AF2320" s="165"/>
      <c r="AG2320" s="165"/>
      <c r="AH2320" s="165"/>
      <c r="AI2320" s="165"/>
      <c r="AJ2320" s="165"/>
      <c r="AK2320" s="165"/>
      <c r="AL2320" s="165"/>
      <c r="AM2320" s="165"/>
      <c r="AN2320" s="165"/>
      <c r="AO2320" s="165"/>
      <c r="AP2320" s="165"/>
      <c r="AQ2320" s="165"/>
      <c r="AR2320" s="165"/>
      <c r="AS2320" s="165"/>
      <c r="AT2320" s="165"/>
      <c r="AU2320" s="165"/>
      <c r="AV2320" s="165"/>
      <c r="AW2320" s="165"/>
      <c r="AX2320" s="165"/>
      <c r="AY2320" s="165"/>
      <c r="AZ2320" s="165"/>
      <c r="BA2320" s="165"/>
      <c r="BB2320" s="165"/>
      <c r="BC2320" s="165"/>
      <c r="BD2320" s="165"/>
      <c r="BE2320" s="165"/>
      <c r="BF2320" s="165"/>
      <c r="BG2320" s="165"/>
      <c r="BH2320" s="165"/>
      <c r="BI2320" s="165"/>
      <c r="BJ2320" s="165"/>
      <c r="BK2320" s="165"/>
      <c r="BL2320" s="165"/>
      <c r="BM2320" s="165"/>
      <c r="BN2320" s="165"/>
      <c r="BO2320" s="165"/>
      <c r="BP2320" s="165"/>
      <c r="BQ2320" s="165"/>
      <c r="BR2320" s="165"/>
      <c r="BS2320" s="165"/>
      <c r="BT2320" s="165"/>
      <c r="BU2320" s="165"/>
      <c r="BV2320" s="165"/>
      <c r="BW2320" s="165"/>
      <c r="BX2320" s="165"/>
      <c r="BY2320" s="165"/>
      <c r="BZ2320" s="165"/>
      <c r="CA2320" s="165"/>
      <c r="CB2320" s="165"/>
      <c r="CC2320" s="165"/>
      <c r="CD2320" s="165"/>
      <c r="CE2320" s="165"/>
      <c r="CF2320" s="165"/>
      <c r="CG2320" s="165"/>
      <c r="CH2320" s="165"/>
      <c r="CI2320" s="165"/>
      <c r="CJ2320" s="165"/>
      <c r="CK2320" s="165"/>
      <c r="CL2320" s="165"/>
      <c r="CM2320" s="165"/>
      <c r="CN2320" s="165"/>
      <c r="CO2320" s="165"/>
      <c r="CP2320" s="165"/>
      <c r="CQ2320" s="165"/>
      <c r="CR2320" s="165"/>
      <c r="CS2320" s="165"/>
      <c r="CT2320" s="165"/>
      <c r="CU2320" s="165"/>
      <c r="CV2320" s="165"/>
      <c r="CW2320" s="165"/>
      <c r="CX2320" s="165"/>
      <c r="CY2320" s="165"/>
      <c r="CZ2320" s="165"/>
      <c r="DA2320" s="165"/>
      <c r="DB2320" s="165"/>
      <c r="DC2320" s="165"/>
      <c r="DD2320" s="165"/>
      <c r="DE2320" s="165"/>
      <c r="DF2320" s="165"/>
      <c r="DG2320" s="165"/>
      <c r="DH2320" s="165"/>
      <c r="DI2320" s="165"/>
      <c r="DJ2320" s="165"/>
      <c r="DK2320" s="165"/>
      <c r="DL2320" s="165"/>
      <c r="DM2320" s="165"/>
      <c r="DN2320" s="165"/>
      <c r="DO2320" s="165"/>
      <c r="DP2320" s="165"/>
      <c r="DQ2320" s="165"/>
      <c r="DR2320" s="165"/>
      <c r="DS2320" s="165"/>
      <c r="DT2320" s="165"/>
      <c r="DU2320" s="165"/>
      <c r="DV2320" s="165"/>
      <c r="DW2320" s="165"/>
      <c r="DX2320" s="165"/>
      <c r="DY2320" s="165"/>
      <c r="DZ2320" s="165"/>
      <c r="EA2320" s="165"/>
      <c r="EB2320" s="165"/>
      <c r="EC2320" s="165"/>
      <c r="ED2320" s="165"/>
      <c r="EE2320" s="165"/>
      <c r="EF2320" s="165"/>
      <c r="EG2320" s="165"/>
      <c r="EH2320" s="165"/>
      <c r="EI2320" s="165"/>
      <c r="EJ2320" s="165"/>
      <c r="EK2320" s="165"/>
      <c r="EL2320" s="165"/>
      <c r="EM2320" s="165"/>
      <c r="EN2320" s="165"/>
      <c r="EO2320" s="165"/>
      <c r="EP2320" s="165"/>
      <c r="EQ2320" s="165"/>
      <c r="ER2320" s="165"/>
      <c r="ES2320" s="165"/>
    </row>
    <row r="2321" spans="1:149" s="202" customFormat="1" ht="14.15" hidden="1">
      <c r="A2321" s="222">
        <v>45393</v>
      </c>
      <c r="B2321" s="201" t="s">
        <v>1078</v>
      </c>
      <c r="C2321" s="208" t="s">
        <v>27</v>
      </c>
      <c r="D2321" s="592">
        <v>2216076</v>
      </c>
      <c r="E2321" s="619">
        <v>45383</v>
      </c>
      <c r="F2321" s="201" t="s">
        <v>108</v>
      </c>
      <c r="G2321" s="201"/>
      <c r="H2321" s="201"/>
      <c r="I2321" s="201"/>
      <c r="U2321" s="182"/>
      <c r="V2321" s="182"/>
      <c r="W2321" s="182"/>
      <c r="X2321" s="182"/>
      <c r="Y2321" s="182"/>
      <c r="Z2321" s="182"/>
      <c r="AA2321" s="182"/>
      <c r="AB2321" s="182"/>
      <c r="AC2321" s="182"/>
      <c r="AD2321" s="182"/>
      <c r="AE2321" s="182"/>
      <c r="AF2321" s="182"/>
      <c r="AG2321" s="182"/>
      <c r="AH2321" s="182"/>
      <c r="AI2321" s="182"/>
      <c r="AJ2321" s="182"/>
      <c r="AK2321" s="182"/>
      <c r="AL2321" s="182"/>
      <c r="AM2321" s="182"/>
      <c r="AN2321" s="182"/>
      <c r="AO2321" s="182"/>
      <c r="AP2321" s="182"/>
      <c r="AQ2321" s="182"/>
      <c r="AR2321" s="182"/>
      <c r="AS2321" s="182"/>
      <c r="AT2321" s="182"/>
      <c r="AU2321" s="182"/>
      <c r="AV2321" s="182"/>
      <c r="AW2321" s="182"/>
      <c r="AX2321" s="182"/>
      <c r="AY2321" s="182"/>
      <c r="AZ2321" s="182"/>
      <c r="BA2321" s="182"/>
      <c r="BB2321" s="182"/>
      <c r="BC2321" s="182"/>
      <c r="BD2321" s="182"/>
      <c r="BE2321" s="182"/>
      <c r="BF2321" s="182"/>
      <c r="BG2321" s="182"/>
      <c r="BH2321" s="182"/>
      <c r="BI2321" s="182"/>
      <c r="BJ2321" s="182"/>
      <c r="BK2321" s="182"/>
      <c r="BL2321" s="182"/>
      <c r="BM2321" s="182"/>
      <c r="BN2321" s="182"/>
      <c r="BO2321" s="182"/>
      <c r="BP2321" s="182"/>
      <c r="BQ2321" s="182"/>
      <c r="BR2321" s="182"/>
      <c r="BS2321" s="182"/>
      <c r="BT2321" s="182"/>
      <c r="BU2321" s="182"/>
      <c r="BV2321" s="182"/>
      <c r="BW2321" s="182"/>
      <c r="BX2321" s="182"/>
      <c r="BY2321" s="182"/>
      <c r="BZ2321" s="182"/>
      <c r="CA2321" s="182"/>
      <c r="CB2321" s="182"/>
      <c r="CC2321" s="182"/>
      <c r="CD2321" s="182"/>
      <c r="CE2321" s="182"/>
      <c r="CF2321" s="182"/>
      <c r="CG2321" s="182"/>
      <c r="CH2321" s="182"/>
      <c r="CI2321" s="182"/>
      <c r="CJ2321" s="182"/>
      <c r="CK2321" s="182"/>
      <c r="CL2321" s="182"/>
      <c r="CM2321" s="182"/>
      <c r="CN2321" s="182"/>
      <c r="CO2321" s="182"/>
      <c r="CP2321" s="182"/>
      <c r="CQ2321" s="182"/>
      <c r="CR2321" s="182"/>
      <c r="CS2321" s="182"/>
      <c r="CT2321" s="182"/>
      <c r="CU2321" s="182"/>
      <c r="CV2321" s="182"/>
      <c r="CW2321" s="182"/>
      <c r="CX2321" s="182"/>
      <c r="CY2321" s="182"/>
      <c r="CZ2321" s="182"/>
      <c r="DA2321" s="182"/>
      <c r="DB2321" s="182"/>
      <c r="DC2321" s="182"/>
      <c r="DD2321" s="182"/>
      <c r="DE2321" s="182"/>
      <c r="DF2321" s="182"/>
      <c r="DG2321" s="182"/>
      <c r="DH2321" s="182"/>
      <c r="DI2321" s="182"/>
      <c r="DJ2321" s="182"/>
      <c r="DK2321" s="182"/>
      <c r="DL2321" s="182"/>
      <c r="DM2321" s="182"/>
      <c r="DN2321" s="182"/>
      <c r="DO2321" s="182"/>
      <c r="DP2321" s="182"/>
      <c r="DQ2321" s="182"/>
      <c r="DR2321" s="182"/>
      <c r="DS2321" s="182"/>
      <c r="DT2321" s="182"/>
      <c r="DU2321" s="182"/>
      <c r="DV2321" s="182"/>
      <c r="DW2321" s="182"/>
      <c r="DX2321" s="182"/>
      <c r="DY2321" s="182"/>
      <c r="DZ2321" s="182"/>
      <c r="EA2321" s="182"/>
      <c r="EB2321" s="182"/>
      <c r="EC2321" s="182"/>
      <c r="ED2321" s="182"/>
      <c r="EE2321" s="182"/>
      <c r="EF2321" s="182"/>
      <c r="EG2321" s="182"/>
      <c r="EH2321" s="182"/>
      <c r="EI2321" s="182"/>
      <c r="EJ2321" s="182"/>
      <c r="EK2321" s="182"/>
      <c r="EL2321" s="182"/>
      <c r="EM2321" s="182"/>
      <c r="EN2321" s="182"/>
      <c r="EO2321" s="182"/>
      <c r="EP2321" s="182"/>
      <c r="EQ2321" s="182"/>
      <c r="ER2321" s="182"/>
      <c r="ES2321" s="182"/>
    </row>
    <row r="2322" spans="1:149" s="202" customFormat="1" ht="14.15" hidden="1">
      <c r="A2322" s="222">
        <v>45398</v>
      </c>
      <c r="B2322" s="201" t="s">
        <v>1294</v>
      </c>
      <c r="C2322" s="208" t="s">
        <v>27</v>
      </c>
      <c r="D2322" s="592">
        <v>3631581</v>
      </c>
      <c r="E2322" s="619">
        <v>45383</v>
      </c>
      <c r="F2322" s="201" t="s">
        <v>108</v>
      </c>
      <c r="G2322" s="201"/>
      <c r="H2322" s="201"/>
      <c r="I2322" s="201"/>
      <c r="U2322" s="182"/>
      <c r="V2322" s="182"/>
      <c r="W2322" s="182"/>
      <c r="X2322" s="182"/>
      <c r="Y2322" s="182"/>
      <c r="Z2322" s="182"/>
      <c r="AA2322" s="182"/>
      <c r="AB2322" s="182"/>
      <c r="AC2322" s="182"/>
      <c r="AD2322" s="182"/>
      <c r="AE2322" s="182"/>
      <c r="AF2322" s="182"/>
      <c r="AG2322" s="182"/>
      <c r="AH2322" s="182"/>
      <c r="AI2322" s="182"/>
      <c r="AJ2322" s="182"/>
      <c r="AK2322" s="182"/>
      <c r="AL2322" s="182"/>
      <c r="AM2322" s="182"/>
      <c r="AN2322" s="182"/>
      <c r="AO2322" s="182"/>
      <c r="AP2322" s="182"/>
      <c r="AQ2322" s="182"/>
      <c r="AR2322" s="182"/>
      <c r="AS2322" s="182"/>
      <c r="AT2322" s="182"/>
      <c r="AU2322" s="182"/>
      <c r="AV2322" s="182"/>
      <c r="AW2322" s="182"/>
      <c r="AX2322" s="182"/>
      <c r="AY2322" s="182"/>
      <c r="AZ2322" s="182"/>
      <c r="BA2322" s="182"/>
      <c r="BB2322" s="182"/>
      <c r="BC2322" s="182"/>
      <c r="BD2322" s="182"/>
      <c r="BE2322" s="182"/>
      <c r="BF2322" s="182"/>
      <c r="BG2322" s="182"/>
      <c r="BH2322" s="182"/>
      <c r="BI2322" s="182"/>
      <c r="BJ2322" s="182"/>
      <c r="BK2322" s="182"/>
      <c r="BL2322" s="182"/>
      <c r="BM2322" s="182"/>
      <c r="BN2322" s="182"/>
      <c r="BO2322" s="182"/>
      <c r="BP2322" s="182"/>
      <c r="BQ2322" s="182"/>
      <c r="BR2322" s="182"/>
      <c r="BS2322" s="182"/>
      <c r="BT2322" s="182"/>
      <c r="BU2322" s="182"/>
      <c r="BV2322" s="182"/>
      <c r="BW2322" s="182"/>
      <c r="BX2322" s="182"/>
      <c r="BY2322" s="182"/>
      <c r="BZ2322" s="182"/>
      <c r="CA2322" s="182"/>
      <c r="CB2322" s="182"/>
      <c r="CC2322" s="182"/>
      <c r="CD2322" s="182"/>
      <c r="CE2322" s="182"/>
      <c r="CF2322" s="182"/>
      <c r="CG2322" s="182"/>
      <c r="CH2322" s="182"/>
      <c r="CI2322" s="182"/>
      <c r="CJ2322" s="182"/>
      <c r="CK2322" s="182"/>
      <c r="CL2322" s="182"/>
      <c r="CM2322" s="182"/>
      <c r="CN2322" s="182"/>
      <c r="CO2322" s="182"/>
      <c r="CP2322" s="182"/>
      <c r="CQ2322" s="182"/>
      <c r="CR2322" s="182"/>
      <c r="CS2322" s="182"/>
      <c r="CT2322" s="182"/>
      <c r="CU2322" s="182"/>
      <c r="CV2322" s="182"/>
      <c r="CW2322" s="182"/>
      <c r="CX2322" s="182"/>
      <c r="CY2322" s="182"/>
      <c r="CZ2322" s="182"/>
      <c r="DA2322" s="182"/>
      <c r="DB2322" s="182"/>
      <c r="DC2322" s="182"/>
      <c r="DD2322" s="182"/>
      <c r="DE2322" s="182"/>
      <c r="DF2322" s="182"/>
      <c r="DG2322" s="182"/>
      <c r="DH2322" s="182"/>
      <c r="DI2322" s="182"/>
      <c r="DJ2322" s="182"/>
      <c r="DK2322" s="182"/>
      <c r="DL2322" s="182"/>
      <c r="DM2322" s="182"/>
      <c r="DN2322" s="182"/>
      <c r="DO2322" s="182"/>
      <c r="DP2322" s="182"/>
      <c r="DQ2322" s="182"/>
      <c r="DR2322" s="182"/>
      <c r="DS2322" s="182"/>
      <c r="DT2322" s="182"/>
      <c r="DU2322" s="182"/>
      <c r="DV2322" s="182"/>
      <c r="DW2322" s="182"/>
      <c r="DX2322" s="182"/>
      <c r="DY2322" s="182"/>
      <c r="DZ2322" s="182"/>
      <c r="EA2322" s="182"/>
      <c r="EB2322" s="182"/>
      <c r="EC2322" s="182"/>
      <c r="ED2322" s="182"/>
      <c r="EE2322" s="182"/>
      <c r="EF2322" s="182"/>
      <c r="EG2322" s="182"/>
      <c r="EH2322" s="182"/>
      <c r="EI2322" s="182"/>
      <c r="EJ2322" s="182"/>
      <c r="EK2322" s="182"/>
      <c r="EL2322" s="182"/>
      <c r="EM2322" s="182"/>
      <c r="EN2322" s="182"/>
      <c r="EO2322" s="182"/>
      <c r="EP2322" s="182"/>
      <c r="EQ2322" s="182"/>
      <c r="ER2322" s="182"/>
      <c r="ES2322" s="182"/>
    </row>
    <row r="2323" spans="1:149" s="202" customFormat="1" ht="14.15" hidden="1">
      <c r="A2323" s="222">
        <v>45401</v>
      </c>
      <c r="B2323" s="201" t="s">
        <v>2108</v>
      </c>
      <c r="C2323" s="208" t="s">
        <v>27</v>
      </c>
      <c r="D2323" s="592">
        <v>2900000</v>
      </c>
      <c r="E2323" s="619">
        <v>45383</v>
      </c>
      <c r="F2323" s="201" t="s">
        <v>257</v>
      </c>
      <c r="G2323" s="201"/>
      <c r="H2323" s="201"/>
      <c r="I2323" s="201"/>
    </row>
    <row r="2324" spans="1:149" s="202" customFormat="1" ht="14.15" hidden="1">
      <c r="A2324" s="222">
        <v>45405</v>
      </c>
      <c r="B2324" s="201" t="s">
        <v>2109</v>
      </c>
      <c r="C2324" s="208" t="s">
        <v>27</v>
      </c>
      <c r="D2324" s="592">
        <v>1192336</v>
      </c>
      <c r="E2324" s="619">
        <v>45383</v>
      </c>
      <c r="F2324" s="201" t="s">
        <v>108</v>
      </c>
      <c r="G2324" s="201"/>
      <c r="H2324" s="201"/>
      <c r="I2324" s="201"/>
    </row>
    <row r="2325" spans="1:149" s="202" customFormat="1" ht="14.15" hidden="1">
      <c r="A2325" s="222">
        <v>45393</v>
      </c>
      <c r="B2325" s="201" t="s">
        <v>1078</v>
      </c>
      <c r="C2325" s="208" t="s">
        <v>27</v>
      </c>
      <c r="D2325" s="592">
        <v>2065524</v>
      </c>
      <c r="E2325" s="619">
        <v>45383</v>
      </c>
      <c r="F2325" s="201" t="s">
        <v>108</v>
      </c>
      <c r="G2325" s="201"/>
      <c r="H2325" s="201"/>
      <c r="I2325" s="201"/>
      <c r="U2325" s="182"/>
      <c r="V2325" s="182"/>
      <c r="W2325" s="182"/>
      <c r="X2325" s="182"/>
      <c r="Y2325" s="182"/>
      <c r="Z2325" s="182"/>
      <c r="AA2325" s="182"/>
      <c r="AB2325" s="182"/>
      <c r="AC2325" s="182"/>
      <c r="AD2325" s="182"/>
      <c r="AE2325" s="182"/>
      <c r="AF2325" s="182"/>
      <c r="AG2325" s="182"/>
      <c r="AH2325" s="182"/>
      <c r="AI2325" s="182"/>
      <c r="AJ2325" s="182"/>
      <c r="AK2325" s="182"/>
      <c r="AL2325" s="182"/>
      <c r="AM2325" s="182"/>
      <c r="AN2325" s="182"/>
      <c r="AO2325" s="182"/>
      <c r="AP2325" s="182"/>
      <c r="AQ2325" s="182"/>
      <c r="AR2325" s="182"/>
      <c r="AS2325" s="182"/>
      <c r="AT2325" s="182"/>
      <c r="AU2325" s="182"/>
      <c r="AV2325" s="182"/>
      <c r="AW2325" s="182"/>
      <c r="AX2325" s="182"/>
      <c r="AY2325" s="182"/>
      <c r="AZ2325" s="182"/>
      <c r="BA2325" s="182"/>
      <c r="BB2325" s="182"/>
      <c r="BC2325" s="182"/>
      <c r="BD2325" s="182"/>
      <c r="BE2325" s="182"/>
      <c r="BF2325" s="182"/>
      <c r="BG2325" s="182"/>
      <c r="BH2325" s="182"/>
      <c r="BI2325" s="182"/>
      <c r="BJ2325" s="182"/>
      <c r="BK2325" s="182"/>
      <c r="BL2325" s="182"/>
      <c r="BM2325" s="182"/>
      <c r="BN2325" s="182"/>
      <c r="BO2325" s="182"/>
      <c r="BP2325" s="182"/>
      <c r="BQ2325" s="182"/>
      <c r="BR2325" s="182"/>
      <c r="BS2325" s="182"/>
      <c r="BT2325" s="182"/>
      <c r="BU2325" s="182"/>
      <c r="BV2325" s="182"/>
      <c r="BW2325" s="182"/>
      <c r="BX2325" s="182"/>
      <c r="BY2325" s="182"/>
      <c r="BZ2325" s="182"/>
      <c r="CA2325" s="182"/>
      <c r="CB2325" s="182"/>
      <c r="CC2325" s="182"/>
      <c r="CD2325" s="182"/>
      <c r="CE2325" s="182"/>
      <c r="CF2325" s="182"/>
      <c r="CG2325" s="182"/>
      <c r="CH2325" s="182"/>
      <c r="CI2325" s="182"/>
      <c r="CJ2325" s="182"/>
      <c r="CK2325" s="182"/>
      <c r="CL2325" s="182"/>
      <c r="CM2325" s="182"/>
      <c r="CN2325" s="182"/>
      <c r="CO2325" s="182"/>
      <c r="CP2325" s="182"/>
      <c r="CQ2325" s="182"/>
      <c r="CR2325" s="182"/>
      <c r="CS2325" s="182"/>
      <c r="CT2325" s="182"/>
      <c r="CU2325" s="182"/>
      <c r="CV2325" s="182"/>
      <c r="CW2325" s="182"/>
      <c r="CX2325" s="182"/>
      <c r="CY2325" s="182"/>
      <c r="CZ2325" s="182"/>
      <c r="DA2325" s="182"/>
      <c r="DB2325" s="182"/>
      <c r="DC2325" s="182"/>
      <c r="DD2325" s="182"/>
      <c r="DE2325" s="182"/>
      <c r="DF2325" s="182"/>
      <c r="DG2325" s="182"/>
      <c r="DH2325" s="182"/>
      <c r="DI2325" s="182"/>
      <c r="DJ2325" s="182"/>
      <c r="DK2325" s="182"/>
      <c r="DL2325" s="182"/>
      <c r="DM2325" s="182"/>
      <c r="DN2325" s="182"/>
      <c r="DO2325" s="182"/>
      <c r="DP2325" s="182"/>
      <c r="DQ2325" s="182"/>
      <c r="DR2325" s="182"/>
      <c r="DS2325" s="182"/>
      <c r="DT2325" s="182"/>
      <c r="DU2325" s="182"/>
      <c r="DV2325" s="182"/>
      <c r="DW2325" s="182"/>
      <c r="DX2325" s="182"/>
      <c r="DY2325" s="182"/>
      <c r="DZ2325" s="182"/>
      <c r="EA2325" s="182"/>
      <c r="EB2325" s="182"/>
      <c r="EC2325" s="182"/>
      <c r="ED2325" s="182"/>
      <c r="EE2325" s="182"/>
      <c r="EF2325" s="182"/>
      <c r="EG2325" s="182"/>
      <c r="EH2325" s="182"/>
      <c r="EI2325" s="182"/>
      <c r="EJ2325" s="182"/>
      <c r="EK2325" s="182"/>
      <c r="EL2325" s="182"/>
      <c r="EM2325" s="182"/>
      <c r="EN2325" s="182"/>
      <c r="EO2325" s="182"/>
      <c r="EP2325" s="182"/>
      <c r="EQ2325" s="182"/>
      <c r="ER2325" s="182"/>
      <c r="ES2325" s="182"/>
    </row>
    <row r="2326" spans="1:149" s="202" customFormat="1" ht="14.15" hidden="1">
      <c r="A2326" s="222">
        <v>45406</v>
      </c>
      <c r="B2326" s="201" t="s">
        <v>2110</v>
      </c>
      <c r="C2326" s="208" t="s">
        <v>27</v>
      </c>
      <c r="D2326" s="592">
        <v>8242290</v>
      </c>
      <c r="E2326" s="619">
        <v>45383</v>
      </c>
      <c r="F2326" s="201" t="s">
        <v>257</v>
      </c>
      <c r="G2326" s="201"/>
      <c r="H2326" s="201"/>
      <c r="I2326" s="201"/>
    </row>
    <row r="2327" spans="1:149" s="202" customFormat="1" ht="14.15" hidden="1">
      <c r="A2327" s="222">
        <v>45293</v>
      </c>
      <c r="B2327" s="201" t="s">
        <v>121</v>
      </c>
      <c r="C2327" s="208" t="s">
        <v>27</v>
      </c>
      <c r="D2327" s="592">
        <v>-48532919.259999998</v>
      </c>
      <c r="E2327" s="619">
        <v>45292</v>
      </c>
      <c r="F2327" s="201" t="s">
        <v>109</v>
      </c>
      <c r="G2327" s="208" t="s">
        <v>125</v>
      </c>
      <c r="H2327" s="201" t="s">
        <v>123</v>
      </c>
      <c r="I2327" s="634"/>
    </row>
    <row r="2328" spans="1:149" s="202" customFormat="1" ht="14.15" hidden="1">
      <c r="A2328" s="222">
        <v>45293</v>
      </c>
      <c r="B2328" s="201" t="s">
        <v>121</v>
      </c>
      <c r="C2328" s="208" t="s">
        <v>27</v>
      </c>
      <c r="D2328" s="592">
        <v>-3692722.12</v>
      </c>
      <c r="E2328" s="619">
        <v>45292</v>
      </c>
      <c r="F2328" s="291" t="s">
        <v>109</v>
      </c>
      <c r="G2328" s="208" t="s">
        <v>525</v>
      </c>
      <c r="H2328" s="201" t="s">
        <v>123</v>
      </c>
      <c r="I2328" s="201"/>
    </row>
    <row r="2329" spans="1:149" s="202" customFormat="1" ht="14.15" hidden="1">
      <c r="A2329" s="222">
        <v>45293</v>
      </c>
      <c r="B2329" s="201" t="s">
        <v>121</v>
      </c>
      <c r="C2329" s="208" t="s">
        <v>27</v>
      </c>
      <c r="D2329" s="592">
        <v>-3956487.98</v>
      </c>
      <c r="E2329" s="619">
        <v>45292</v>
      </c>
      <c r="F2329" s="201" t="s">
        <v>110</v>
      </c>
      <c r="G2329" s="81" t="s">
        <v>1621</v>
      </c>
      <c r="H2329" s="201" t="s">
        <v>123</v>
      </c>
      <c r="I2329" s="201"/>
    </row>
    <row r="2330" spans="1:149" s="202" customFormat="1" ht="14.15" hidden="1">
      <c r="A2330" s="222">
        <v>45293</v>
      </c>
      <c r="B2330" s="201" t="s">
        <v>121</v>
      </c>
      <c r="C2330" s="208" t="s">
        <v>27</v>
      </c>
      <c r="D2330" s="592">
        <v>-24266459.629999999</v>
      </c>
      <c r="E2330" s="619">
        <v>45292</v>
      </c>
      <c r="F2330" s="201" t="s">
        <v>110</v>
      </c>
      <c r="G2330" s="208" t="s">
        <v>774</v>
      </c>
      <c r="H2330" s="201" t="s">
        <v>123</v>
      </c>
      <c r="I2330" s="201"/>
    </row>
    <row r="2331" spans="1:149" ht="15" hidden="1" customHeight="1">
      <c r="A2331" s="468">
        <v>45421</v>
      </c>
      <c r="B2331" s="208" t="s">
        <v>2111</v>
      </c>
      <c r="C2331" s="208" t="s">
        <v>27</v>
      </c>
      <c r="D2331" s="592">
        <v>177219900</v>
      </c>
      <c r="E2331" s="619">
        <v>45413</v>
      </c>
      <c r="F2331" s="208" t="s">
        <v>109</v>
      </c>
      <c r="G2331" s="208" t="s">
        <v>317</v>
      </c>
      <c r="H2331" s="208"/>
      <c r="I2331" s="208"/>
      <c r="J2331" s="209"/>
      <c r="K2331" s="209"/>
      <c r="L2331" s="209"/>
      <c r="M2331" s="209"/>
      <c r="N2331" s="209"/>
      <c r="O2331" s="209"/>
      <c r="P2331" s="209"/>
      <c r="Q2331" s="209"/>
      <c r="R2331" s="209"/>
      <c r="S2331" s="209"/>
      <c r="T2331" s="209"/>
    </row>
    <row r="2332" spans="1:149" ht="15" hidden="1" customHeight="1">
      <c r="A2332" s="468">
        <v>45390</v>
      </c>
      <c r="B2332" s="208" t="s">
        <v>2112</v>
      </c>
      <c r="C2332" s="208" t="s">
        <v>2113</v>
      </c>
      <c r="D2332" s="592">
        <v>-86500</v>
      </c>
      <c r="E2332" s="212">
        <v>45413</v>
      </c>
      <c r="F2332" s="601" t="s">
        <v>109</v>
      </c>
      <c r="G2332" s="208" t="s">
        <v>125</v>
      </c>
      <c r="H2332" s="208" t="s">
        <v>175</v>
      </c>
      <c r="I2332" s="208" t="s">
        <v>173</v>
      </c>
      <c r="J2332" s="209"/>
      <c r="K2332" s="209"/>
      <c r="L2332" s="209"/>
      <c r="M2332" s="209"/>
      <c r="N2332" s="209"/>
      <c r="O2332" s="209"/>
      <c r="P2332" s="209"/>
      <c r="Q2332" s="209"/>
      <c r="R2332" s="209"/>
      <c r="S2332" s="209"/>
      <c r="T2332" s="209"/>
    </row>
    <row r="2333" spans="1:149" ht="15" hidden="1" customHeight="1">
      <c r="A2333" s="468">
        <v>45391</v>
      </c>
      <c r="B2333" s="208" t="s">
        <v>2114</v>
      </c>
      <c r="C2333" s="208" t="s">
        <v>2113</v>
      </c>
      <c r="D2333" s="592">
        <v>-7000</v>
      </c>
      <c r="E2333" s="212">
        <v>45413</v>
      </c>
      <c r="F2333" s="601" t="s">
        <v>109</v>
      </c>
      <c r="G2333" s="208" t="s">
        <v>125</v>
      </c>
      <c r="H2333" s="208" t="s">
        <v>175</v>
      </c>
      <c r="I2333" s="208" t="s">
        <v>173</v>
      </c>
      <c r="J2333" s="209"/>
      <c r="K2333" s="209"/>
      <c r="L2333" s="209"/>
      <c r="M2333" s="209"/>
      <c r="N2333" s="209"/>
      <c r="O2333" s="209"/>
      <c r="P2333" s="209"/>
      <c r="Q2333" s="209"/>
      <c r="R2333" s="209"/>
      <c r="S2333" s="209"/>
      <c r="T2333" s="209"/>
    </row>
    <row r="2334" spans="1:149" ht="15" hidden="1" customHeight="1">
      <c r="A2334" s="440">
        <v>45397</v>
      </c>
      <c r="B2334" s="208" t="s">
        <v>2115</v>
      </c>
      <c r="C2334" s="208" t="s">
        <v>146</v>
      </c>
      <c r="D2334" s="592">
        <v>-15000</v>
      </c>
      <c r="E2334" s="619">
        <v>45413</v>
      </c>
      <c r="F2334" s="601" t="s">
        <v>109</v>
      </c>
      <c r="G2334" s="208" t="s">
        <v>120</v>
      </c>
      <c r="H2334" s="81" t="s">
        <v>138</v>
      </c>
      <c r="I2334" s="208" t="s">
        <v>173</v>
      </c>
      <c r="J2334" s="209"/>
      <c r="K2334" s="209"/>
      <c r="L2334" s="209"/>
      <c r="M2334" s="209"/>
      <c r="N2334" s="209"/>
      <c r="O2334" s="209"/>
      <c r="P2334" s="209"/>
      <c r="Q2334" s="209"/>
      <c r="R2334" s="209"/>
      <c r="S2334" s="209"/>
      <c r="T2334" s="209"/>
    </row>
    <row r="2335" spans="1:149" ht="15" hidden="1" customHeight="1">
      <c r="A2335" s="440">
        <v>45397</v>
      </c>
      <c r="B2335" s="208" t="s">
        <v>2116</v>
      </c>
      <c r="C2335" s="208" t="s">
        <v>146</v>
      </c>
      <c r="D2335" s="592">
        <v>-7000</v>
      </c>
      <c r="E2335" s="619">
        <v>45413</v>
      </c>
      <c r="F2335" s="601" t="s">
        <v>109</v>
      </c>
      <c r="G2335" s="208" t="s">
        <v>120</v>
      </c>
      <c r="H2335" s="81" t="s">
        <v>138</v>
      </c>
      <c r="I2335" s="208" t="s">
        <v>173</v>
      </c>
      <c r="J2335" s="209"/>
      <c r="K2335" s="209"/>
      <c r="L2335" s="209"/>
      <c r="M2335" s="209"/>
      <c r="N2335" s="209"/>
      <c r="O2335" s="209"/>
      <c r="P2335" s="209"/>
      <c r="Q2335" s="209"/>
      <c r="R2335" s="209"/>
      <c r="S2335" s="209"/>
      <c r="T2335" s="209"/>
    </row>
    <row r="2336" spans="1:149" ht="15" hidden="1" customHeight="1">
      <c r="A2336" s="468">
        <v>45397</v>
      </c>
      <c r="B2336" s="208" t="s">
        <v>2117</v>
      </c>
      <c r="C2336" s="208" t="s">
        <v>2113</v>
      </c>
      <c r="D2336" s="592">
        <v>-18000</v>
      </c>
      <c r="E2336" s="212">
        <v>45413</v>
      </c>
      <c r="F2336" s="601" t="s">
        <v>109</v>
      </c>
      <c r="G2336" s="208" t="s">
        <v>383</v>
      </c>
      <c r="H2336" s="81" t="s">
        <v>138</v>
      </c>
      <c r="I2336" s="208"/>
      <c r="J2336" s="209"/>
      <c r="K2336" s="209"/>
      <c r="L2336" s="209"/>
      <c r="M2336" s="209"/>
      <c r="N2336" s="209"/>
      <c r="O2336" s="209"/>
      <c r="P2336" s="209"/>
      <c r="Q2336" s="209"/>
      <c r="R2336" s="209"/>
      <c r="S2336" s="209"/>
      <c r="T2336" s="209"/>
    </row>
    <row r="2337" spans="1:20" ht="15" hidden="1" customHeight="1">
      <c r="A2337" s="468">
        <v>45397</v>
      </c>
      <c r="B2337" s="208" t="s">
        <v>2118</v>
      </c>
      <c r="C2337" s="208" t="s">
        <v>2113</v>
      </c>
      <c r="D2337" s="800">
        <v>-84800</v>
      </c>
      <c r="E2337" s="212">
        <v>45413</v>
      </c>
      <c r="F2337" s="601" t="s">
        <v>109</v>
      </c>
      <c r="G2337" s="201" t="s">
        <v>581</v>
      </c>
      <c r="H2337" s="208"/>
      <c r="I2337" s="208"/>
      <c r="J2337" s="209"/>
      <c r="K2337" s="209"/>
      <c r="L2337" s="209"/>
      <c r="M2337" s="209"/>
      <c r="N2337" s="209"/>
      <c r="O2337" s="209"/>
      <c r="P2337" s="209"/>
      <c r="Q2337" s="209"/>
      <c r="R2337" s="209"/>
      <c r="S2337" s="209"/>
      <c r="T2337" s="209"/>
    </row>
    <row r="2338" spans="1:20" ht="15" hidden="1" customHeight="1">
      <c r="A2338" s="468">
        <v>45397</v>
      </c>
      <c r="B2338" s="208" t="s">
        <v>2119</v>
      </c>
      <c r="C2338" s="208" t="s">
        <v>2113</v>
      </c>
      <c r="D2338" s="592">
        <v>-28100</v>
      </c>
      <c r="E2338" s="212">
        <v>45413</v>
      </c>
      <c r="F2338" s="208" t="s">
        <v>130</v>
      </c>
      <c r="G2338" s="208" t="s">
        <v>130</v>
      </c>
      <c r="H2338" s="208" t="s">
        <v>184</v>
      </c>
      <c r="I2338" s="208"/>
      <c r="J2338" s="209"/>
      <c r="K2338" s="209"/>
      <c r="L2338" s="209"/>
      <c r="M2338" s="209"/>
      <c r="N2338" s="209"/>
      <c r="O2338" s="209"/>
      <c r="P2338" s="209"/>
      <c r="Q2338" s="209"/>
      <c r="R2338" s="209"/>
      <c r="S2338" s="209"/>
      <c r="T2338" s="209"/>
    </row>
    <row r="2339" spans="1:20" ht="15" hidden="1" customHeight="1">
      <c r="A2339" s="468">
        <v>45397</v>
      </c>
      <c r="B2339" s="208" t="s">
        <v>2120</v>
      </c>
      <c r="C2339" s="208" t="s">
        <v>2113</v>
      </c>
      <c r="D2339" s="800">
        <v>-12000</v>
      </c>
      <c r="E2339" s="212">
        <v>45413</v>
      </c>
      <c r="F2339" s="601" t="s">
        <v>109</v>
      </c>
      <c r="G2339" s="201" t="s">
        <v>581</v>
      </c>
      <c r="H2339" s="208"/>
      <c r="I2339" s="208"/>
      <c r="J2339" s="209"/>
      <c r="K2339" s="209"/>
      <c r="L2339" s="209"/>
      <c r="M2339" s="209"/>
      <c r="N2339" s="209"/>
      <c r="O2339" s="209"/>
      <c r="P2339" s="209"/>
      <c r="Q2339" s="209"/>
      <c r="R2339" s="209"/>
      <c r="S2339" s="209"/>
      <c r="T2339" s="209"/>
    </row>
    <row r="2340" spans="1:20" ht="15" hidden="1" customHeight="1">
      <c r="A2340" s="468">
        <v>45397</v>
      </c>
      <c r="B2340" s="208" t="s">
        <v>2121</v>
      </c>
      <c r="C2340" s="208" t="s">
        <v>2113</v>
      </c>
      <c r="D2340" s="592">
        <v>-6000</v>
      </c>
      <c r="E2340" s="212">
        <v>45413</v>
      </c>
      <c r="F2340" s="201" t="s">
        <v>110</v>
      </c>
      <c r="G2340" s="81" t="s">
        <v>1621</v>
      </c>
      <c r="H2340" s="81" t="s">
        <v>138</v>
      </c>
      <c r="I2340" s="208"/>
      <c r="J2340" s="209"/>
      <c r="K2340" s="209"/>
      <c r="L2340" s="209"/>
      <c r="M2340" s="209"/>
      <c r="N2340" s="209"/>
      <c r="O2340" s="209"/>
      <c r="P2340" s="209"/>
      <c r="Q2340" s="209"/>
      <c r="R2340" s="209"/>
      <c r="S2340" s="209"/>
      <c r="T2340" s="209"/>
    </row>
    <row r="2341" spans="1:20" ht="15" hidden="1" customHeight="1">
      <c r="A2341" s="468">
        <v>45397</v>
      </c>
      <c r="B2341" s="208" t="s">
        <v>2122</v>
      </c>
      <c r="C2341" s="208" t="s">
        <v>2113</v>
      </c>
      <c r="D2341" s="592">
        <v>-30000</v>
      </c>
      <c r="E2341" s="212">
        <v>45413</v>
      </c>
      <c r="F2341" s="601" t="s">
        <v>109</v>
      </c>
      <c r="G2341" s="208" t="s">
        <v>125</v>
      </c>
      <c r="H2341" s="81" t="s">
        <v>138</v>
      </c>
      <c r="I2341" s="208"/>
      <c r="J2341" s="209"/>
      <c r="K2341" s="209"/>
      <c r="L2341" s="209"/>
      <c r="M2341" s="209"/>
      <c r="N2341" s="209"/>
      <c r="O2341" s="209"/>
      <c r="P2341" s="209"/>
      <c r="Q2341" s="209"/>
      <c r="R2341" s="209"/>
      <c r="S2341" s="209"/>
      <c r="T2341" s="209"/>
    </row>
    <row r="2342" spans="1:20" ht="15" hidden="1" customHeight="1">
      <c r="A2342" s="440">
        <v>45398</v>
      </c>
      <c r="B2342" s="208" t="s">
        <v>2123</v>
      </c>
      <c r="C2342" s="208" t="s">
        <v>146</v>
      </c>
      <c r="D2342" s="592">
        <v>-15000</v>
      </c>
      <c r="E2342" s="619">
        <v>45413</v>
      </c>
      <c r="F2342" s="601" t="s">
        <v>109</v>
      </c>
      <c r="G2342" s="201" t="s">
        <v>918</v>
      </c>
      <c r="H2342" s="81" t="s">
        <v>138</v>
      </c>
      <c r="I2342" s="208" t="s">
        <v>173</v>
      </c>
      <c r="J2342" s="209"/>
      <c r="K2342" s="209"/>
      <c r="L2342" s="209"/>
      <c r="M2342" s="209"/>
      <c r="N2342" s="209"/>
      <c r="O2342" s="209"/>
      <c r="P2342" s="209"/>
      <c r="Q2342" s="209"/>
      <c r="R2342" s="209"/>
      <c r="S2342" s="209"/>
      <c r="T2342" s="209"/>
    </row>
    <row r="2343" spans="1:20" ht="15" hidden="1" customHeight="1">
      <c r="A2343" s="468">
        <v>45400</v>
      </c>
      <c r="B2343" s="208" t="s">
        <v>2124</v>
      </c>
      <c r="C2343" s="208" t="s">
        <v>146</v>
      </c>
      <c r="D2343" s="592">
        <v>-15000</v>
      </c>
      <c r="E2343" s="619">
        <v>45413</v>
      </c>
      <c r="F2343" s="601" t="s">
        <v>109</v>
      </c>
      <c r="G2343" s="208" t="s">
        <v>120</v>
      </c>
      <c r="H2343" s="208" t="s">
        <v>175</v>
      </c>
      <c r="I2343" s="208" t="s">
        <v>1687</v>
      </c>
      <c r="J2343" s="209"/>
      <c r="K2343" s="209"/>
      <c r="L2343" s="209"/>
      <c r="M2343" s="209"/>
      <c r="N2343" s="209"/>
      <c r="O2343" s="209"/>
      <c r="P2343" s="209"/>
      <c r="Q2343" s="209"/>
      <c r="R2343" s="209"/>
      <c r="S2343" s="209"/>
      <c r="T2343" s="209"/>
    </row>
    <row r="2344" spans="1:20" ht="15" hidden="1" customHeight="1">
      <c r="A2344" s="468">
        <v>45400</v>
      </c>
      <c r="B2344" s="208" t="s">
        <v>2125</v>
      </c>
      <c r="C2344" s="208" t="s">
        <v>146</v>
      </c>
      <c r="D2344" s="592">
        <v>-40000</v>
      </c>
      <c r="E2344" s="619">
        <v>45413</v>
      </c>
      <c r="F2344" s="601" t="s">
        <v>109</v>
      </c>
      <c r="G2344" s="208" t="s">
        <v>120</v>
      </c>
      <c r="H2344" s="208" t="s">
        <v>147</v>
      </c>
      <c r="I2344" s="208" t="s">
        <v>1687</v>
      </c>
      <c r="J2344" s="209"/>
      <c r="K2344" s="209"/>
      <c r="L2344" s="209"/>
      <c r="M2344" s="209"/>
      <c r="N2344" s="209"/>
      <c r="O2344" s="209"/>
      <c r="P2344" s="209"/>
      <c r="Q2344" s="209"/>
      <c r="R2344" s="209"/>
      <c r="S2344" s="209"/>
      <c r="T2344" s="209"/>
    </row>
    <row r="2345" spans="1:20" ht="15" hidden="1" customHeight="1">
      <c r="A2345" s="468">
        <v>45400</v>
      </c>
      <c r="B2345" s="208" t="s">
        <v>2126</v>
      </c>
      <c r="C2345" s="208" t="s">
        <v>146</v>
      </c>
      <c r="D2345" s="592">
        <v>-50000</v>
      </c>
      <c r="E2345" s="619">
        <v>45413</v>
      </c>
      <c r="F2345" s="601" t="s">
        <v>109</v>
      </c>
      <c r="G2345" s="208" t="s">
        <v>120</v>
      </c>
      <c r="H2345" s="208" t="s">
        <v>175</v>
      </c>
      <c r="I2345" s="208" t="s">
        <v>1687</v>
      </c>
      <c r="J2345" s="209"/>
      <c r="K2345" s="209"/>
      <c r="L2345" s="209"/>
      <c r="M2345" s="209"/>
      <c r="N2345" s="209"/>
      <c r="O2345" s="209"/>
      <c r="P2345" s="209"/>
      <c r="Q2345" s="209"/>
      <c r="R2345" s="209"/>
      <c r="S2345" s="209"/>
      <c r="T2345" s="209"/>
    </row>
    <row r="2346" spans="1:20" ht="15" hidden="1" customHeight="1">
      <c r="A2346" s="468">
        <v>45400</v>
      </c>
      <c r="B2346" s="208" t="s">
        <v>2127</v>
      </c>
      <c r="C2346" s="208" t="s">
        <v>146</v>
      </c>
      <c r="D2346" s="592">
        <v>-10000</v>
      </c>
      <c r="E2346" s="619">
        <v>45413</v>
      </c>
      <c r="F2346" s="601" t="s">
        <v>109</v>
      </c>
      <c r="G2346" s="208" t="s">
        <v>120</v>
      </c>
      <c r="H2346" s="208" t="s">
        <v>147</v>
      </c>
      <c r="I2346" s="208" t="s">
        <v>1687</v>
      </c>
      <c r="J2346" s="209"/>
      <c r="K2346" s="209"/>
      <c r="L2346" s="209"/>
      <c r="M2346" s="209"/>
      <c r="N2346" s="209"/>
      <c r="O2346" s="209"/>
      <c r="P2346" s="209"/>
      <c r="Q2346" s="209"/>
      <c r="R2346" s="209"/>
      <c r="S2346" s="209"/>
      <c r="T2346" s="209"/>
    </row>
    <row r="2347" spans="1:20" ht="15" hidden="1" customHeight="1">
      <c r="A2347" s="468">
        <v>45401</v>
      </c>
      <c r="B2347" s="208" t="s">
        <v>2128</v>
      </c>
      <c r="C2347" s="208" t="s">
        <v>146</v>
      </c>
      <c r="D2347" s="592">
        <v>-30000</v>
      </c>
      <c r="E2347" s="619">
        <v>45413</v>
      </c>
      <c r="F2347" s="601" t="s">
        <v>109</v>
      </c>
      <c r="G2347" s="208" t="s">
        <v>120</v>
      </c>
      <c r="H2347" s="208" t="s">
        <v>147</v>
      </c>
      <c r="I2347" s="208" t="s">
        <v>1687</v>
      </c>
      <c r="J2347" s="209"/>
      <c r="K2347" s="209"/>
      <c r="L2347" s="209"/>
      <c r="M2347" s="209"/>
      <c r="N2347" s="209"/>
      <c r="O2347" s="209"/>
      <c r="P2347" s="209"/>
      <c r="Q2347" s="209"/>
      <c r="R2347" s="209"/>
      <c r="S2347" s="209"/>
      <c r="T2347" s="209"/>
    </row>
    <row r="2348" spans="1:20" ht="15" hidden="1" customHeight="1">
      <c r="A2348" s="468">
        <v>45401</v>
      </c>
      <c r="B2348" s="208" t="s">
        <v>2129</v>
      </c>
      <c r="C2348" s="208" t="s">
        <v>146</v>
      </c>
      <c r="D2348" s="592">
        <v>-40000</v>
      </c>
      <c r="E2348" s="619">
        <v>45413</v>
      </c>
      <c r="F2348" s="601" t="s">
        <v>109</v>
      </c>
      <c r="G2348" s="208" t="s">
        <v>120</v>
      </c>
      <c r="H2348" s="81" t="s">
        <v>138</v>
      </c>
      <c r="I2348" s="208" t="s">
        <v>1687</v>
      </c>
      <c r="J2348" s="209"/>
      <c r="K2348" s="209"/>
      <c r="L2348" s="209"/>
      <c r="M2348" s="209"/>
      <c r="N2348" s="209"/>
      <c r="O2348" s="209"/>
      <c r="P2348" s="209"/>
      <c r="Q2348" s="209"/>
      <c r="R2348" s="209"/>
      <c r="S2348" s="209"/>
      <c r="T2348" s="209"/>
    </row>
    <row r="2349" spans="1:20" ht="15" hidden="1" customHeight="1">
      <c r="A2349" s="468">
        <v>45401</v>
      </c>
      <c r="B2349" s="208" t="s">
        <v>2130</v>
      </c>
      <c r="C2349" s="208" t="s">
        <v>146</v>
      </c>
      <c r="D2349" s="592">
        <v>-20000</v>
      </c>
      <c r="E2349" s="619">
        <v>45413</v>
      </c>
      <c r="F2349" s="601" t="s">
        <v>109</v>
      </c>
      <c r="G2349" s="208" t="s">
        <v>120</v>
      </c>
      <c r="H2349" s="208"/>
      <c r="I2349" s="208" t="s">
        <v>1687</v>
      </c>
      <c r="J2349" s="209"/>
      <c r="K2349" s="209"/>
      <c r="L2349" s="209"/>
      <c r="M2349" s="209"/>
      <c r="N2349" s="209"/>
      <c r="O2349" s="209"/>
      <c r="P2349" s="209"/>
      <c r="Q2349" s="209"/>
      <c r="R2349" s="209"/>
      <c r="S2349" s="209"/>
      <c r="T2349" s="209"/>
    </row>
    <row r="2350" spans="1:20" ht="15" hidden="1" customHeight="1">
      <c r="A2350" s="468">
        <v>45401</v>
      </c>
      <c r="B2350" s="208" t="s">
        <v>2131</v>
      </c>
      <c r="C2350" s="208" t="s">
        <v>146</v>
      </c>
      <c r="D2350" s="592">
        <v>-142000</v>
      </c>
      <c r="E2350" s="619">
        <v>45413</v>
      </c>
      <c r="F2350" s="601" t="s">
        <v>109</v>
      </c>
      <c r="G2350" s="208" t="s">
        <v>120</v>
      </c>
      <c r="H2350" s="208" t="s">
        <v>175</v>
      </c>
      <c r="I2350" s="208" t="s">
        <v>1687</v>
      </c>
      <c r="J2350" s="209"/>
      <c r="K2350" s="209"/>
      <c r="L2350" s="209"/>
      <c r="M2350" s="209"/>
      <c r="N2350" s="209"/>
      <c r="O2350" s="209"/>
      <c r="P2350" s="209"/>
      <c r="Q2350" s="209"/>
      <c r="R2350" s="209"/>
      <c r="S2350" s="209"/>
      <c r="T2350" s="209"/>
    </row>
    <row r="2351" spans="1:20" ht="15" hidden="1" customHeight="1">
      <c r="A2351" s="468">
        <v>45402</v>
      </c>
      <c r="B2351" s="208" t="s">
        <v>2132</v>
      </c>
      <c r="C2351" s="208" t="s">
        <v>146</v>
      </c>
      <c r="D2351" s="592">
        <v>-40000</v>
      </c>
      <c r="E2351" s="619">
        <v>45413</v>
      </c>
      <c r="F2351" s="601" t="s">
        <v>109</v>
      </c>
      <c r="G2351" s="208" t="s">
        <v>120</v>
      </c>
      <c r="H2351" s="81" t="s">
        <v>138</v>
      </c>
      <c r="I2351" s="208" t="s">
        <v>1687</v>
      </c>
      <c r="J2351" s="209"/>
      <c r="K2351" s="209"/>
      <c r="L2351" s="209"/>
      <c r="M2351" s="209"/>
      <c r="N2351" s="209"/>
      <c r="O2351" s="209"/>
      <c r="P2351" s="209"/>
      <c r="Q2351" s="209"/>
      <c r="R2351" s="209"/>
      <c r="S2351" s="209"/>
      <c r="T2351" s="209"/>
    </row>
    <row r="2352" spans="1:20" ht="15" hidden="1" customHeight="1">
      <c r="A2352" s="468">
        <v>45402</v>
      </c>
      <c r="B2352" s="208" t="s">
        <v>2133</v>
      </c>
      <c r="C2352" s="208" t="s">
        <v>146</v>
      </c>
      <c r="D2352" s="592">
        <v>-20000</v>
      </c>
      <c r="E2352" s="619">
        <v>45413</v>
      </c>
      <c r="F2352" s="601" t="s">
        <v>109</v>
      </c>
      <c r="G2352" s="208" t="s">
        <v>120</v>
      </c>
      <c r="H2352" s="81" t="s">
        <v>138</v>
      </c>
      <c r="I2352" s="208" t="s">
        <v>1687</v>
      </c>
      <c r="J2352" s="209"/>
      <c r="K2352" s="209"/>
      <c r="L2352" s="209"/>
      <c r="M2352" s="209"/>
      <c r="N2352" s="209"/>
      <c r="O2352" s="209"/>
      <c r="P2352" s="209"/>
      <c r="Q2352" s="209"/>
      <c r="R2352" s="209"/>
      <c r="S2352" s="209"/>
      <c r="T2352" s="209"/>
    </row>
    <row r="2353" spans="1:20" ht="15" hidden="1" customHeight="1">
      <c r="A2353" s="468">
        <v>45402</v>
      </c>
      <c r="B2353" s="208" t="s">
        <v>2134</v>
      </c>
      <c r="C2353" s="208" t="s">
        <v>146</v>
      </c>
      <c r="D2353" s="592">
        <v>-40000</v>
      </c>
      <c r="E2353" s="619">
        <v>45413</v>
      </c>
      <c r="F2353" s="601" t="s">
        <v>109</v>
      </c>
      <c r="G2353" s="208" t="s">
        <v>120</v>
      </c>
      <c r="H2353" s="81" t="s">
        <v>138</v>
      </c>
      <c r="I2353" s="208" t="s">
        <v>1687</v>
      </c>
      <c r="J2353" s="209"/>
      <c r="K2353" s="209"/>
      <c r="L2353" s="209"/>
      <c r="M2353" s="209"/>
      <c r="N2353" s="209"/>
      <c r="O2353" s="209"/>
      <c r="P2353" s="209"/>
      <c r="Q2353" s="209"/>
      <c r="R2353" s="209"/>
      <c r="S2353" s="209"/>
      <c r="T2353" s="209"/>
    </row>
    <row r="2354" spans="1:20" ht="15" hidden="1" customHeight="1">
      <c r="A2354" s="468">
        <v>45402</v>
      </c>
      <c r="B2354" s="208" t="s">
        <v>2135</v>
      </c>
      <c r="C2354" s="208" t="s">
        <v>146</v>
      </c>
      <c r="D2354" s="592">
        <v>-100000</v>
      </c>
      <c r="E2354" s="619">
        <v>45413</v>
      </c>
      <c r="F2354" s="601" t="s">
        <v>109</v>
      </c>
      <c r="G2354" s="208" t="s">
        <v>120</v>
      </c>
      <c r="H2354" s="208" t="s">
        <v>147</v>
      </c>
      <c r="I2354" s="208" t="s">
        <v>1687</v>
      </c>
      <c r="J2354" s="209"/>
      <c r="K2354" s="209"/>
      <c r="L2354" s="209"/>
      <c r="M2354" s="209"/>
      <c r="N2354" s="209"/>
      <c r="O2354" s="209"/>
      <c r="P2354" s="209"/>
      <c r="Q2354" s="209"/>
      <c r="R2354" s="209"/>
      <c r="S2354" s="209"/>
      <c r="T2354" s="209"/>
    </row>
    <row r="2355" spans="1:20" ht="15" hidden="1" customHeight="1">
      <c r="A2355" s="468">
        <v>45402</v>
      </c>
      <c r="B2355" s="208" t="s">
        <v>2136</v>
      </c>
      <c r="C2355" s="208" t="s">
        <v>146</v>
      </c>
      <c r="D2355" s="592">
        <v>-30000</v>
      </c>
      <c r="E2355" s="619">
        <v>45413</v>
      </c>
      <c r="F2355" s="601" t="s">
        <v>109</v>
      </c>
      <c r="G2355" s="208" t="s">
        <v>120</v>
      </c>
      <c r="H2355" s="208" t="s">
        <v>147</v>
      </c>
      <c r="I2355" s="208" t="s">
        <v>1687</v>
      </c>
      <c r="J2355" s="209"/>
      <c r="K2355" s="209"/>
      <c r="L2355" s="209"/>
      <c r="M2355" s="209"/>
      <c r="N2355" s="209"/>
      <c r="O2355" s="209"/>
      <c r="P2355" s="209"/>
      <c r="Q2355" s="209"/>
      <c r="R2355" s="209"/>
      <c r="S2355" s="209"/>
      <c r="T2355" s="209"/>
    </row>
    <row r="2356" spans="1:20" ht="15" hidden="1" customHeight="1">
      <c r="A2356" s="468">
        <v>45403</v>
      </c>
      <c r="B2356" s="208" t="s">
        <v>2137</v>
      </c>
      <c r="C2356" s="208" t="s">
        <v>146</v>
      </c>
      <c r="D2356" s="592">
        <v>-70000</v>
      </c>
      <c r="E2356" s="619">
        <v>45413</v>
      </c>
      <c r="F2356" s="601" t="s">
        <v>109</v>
      </c>
      <c r="G2356" s="208" t="s">
        <v>120</v>
      </c>
      <c r="H2356" s="81" t="s">
        <v>138</v>
      </c>
      <c r="I2356" s="208" t="s">
        <v>1687</v>
      </c>
      <c r="J2356" s="209"/>
      <c r="K2356" s="209"/>
      <c r="L2356" s="209"/>
      <c r="M2356" s="209"/>
      <c r="N2356" s="209"/>
      <c r="O2356" s="209"/>
      <c r="P2356" s="209"/>
      <c r="Q2356" s="209"/>
      <c r="R2356" s="209"/>
      <c r="S2356" s="209"/>
      <c r="T2356" s="209"/>
    </row>
    <row r="2357" spans="1:20" ht="15" hidden="1" customHeight="1">
      <c r="A2357" s="468">
        <v>45403</v>
      </c>
      <c r="B2357" s="208" t="s">
        <v>2138</v>
      </c>
      <c r="C2357" s="208" t="s">
        <v>146</v>
      </c>
      <c r="D2357" s="592">
        <v>-137000</v>
      </c>
      <c r="E2357" s="619">
        <v>45413</v>
      </c>
      <c r="F2357" s="601" t="s">
        <v>109</v>
      </c>
      <c r="G2357" s="208" t="s">
        <v>120</v>
      </c>
      <c r="H2357" s="81" t="s">
        <v>138</v>
      </c>
      <c r="I2357" s="208" t="s">
        <v>1687</v>
      </c>
      <c r="J2357" s="209"/>
      <c r="K2357" s="209"/>
      <c r="L2357" s="209"/>
      <c r="M2357" s="209"/>
      <c r="N2357" s="209"/>
      <c r="O2357" s="209"/>
      <c r="P2357" s="209"/>
      <c r="Q2357" s="209"/>
      <c r="R2357" s="209"/>
      <c r="S2357" s="209"/>
      <c r="T2357" s="209"/>
    </row>
    <row r="2358" spans="1:20" ht="15" hidden="1" customHeight="1">
      <c r="A2358" s="468">
        <v>45404</v>
      </c>
      <c r="B2358" s="208" t="s">
        <v>2139</v>
      </c>
      <c r="C2358" s="208" t="s">
        <v>146</v>
      </c>
      <c r="D2358" s="592">
        <v>-12900</v>
      </c>
      <c r="E2358" s="619">
        <v>45413</v>
      </c>
      <c r="F2358" s="601" t="s">
        <v>109</v>
      </c>
      <c r="G2358" s="208" t="s">
        <v>120</v>
      </c>
      <c r="H2358" s="81" t="s">
        <v>138</v>
      </c>
      <c r="I2358" s="208" t="s">
        <v>1687</v>
      </c>
      <c r="J2358" s="209"/>
      <c r="K2358" s="209"/>
      <c r="L2358" s="209"/>
      <c r="M2358" s="209"/>
      <c r="N2358" s="209"/>
      <c r="O2358" s="209"/>
      <c r="P2358" s="209"/>
      <c r="Q2358" s="209"/>
      <c r="R2358" s="209"/>
      <c r="S2358" s="209"/>
      <c r="T2358" s="209"/>
    </row>
    <row r="2359" spans="1:20" ht="15" hidden="1" customHeight="1">
      <c r="A2359" s="468">
        <v>45404</v>
      </c>
      <c r="B2359" s="208" t="s">
        <v>2140</v>
      </c>
      <c r="C2359" s="208" t="s">
        <v>146</v>
      </c>
      <c r="D2359" s="592">
        <v>-46000</v>
      </c>
      <c r="E2359" s="619">
        <v>45413</v>
      </c>
      <c r="F2359" s="601" t="s">
        <v>109</v>
      </c>
      <c r="G2359" s="208" t="s">
        <v>120</v>
      </c>
      <c r="H2359" s="208" t="s">
        <v>175</v>
      </c>
      <c r="I2359" s="208" t="s">
        <v>1687</v>
      </c>
      <c r="J2359" s="209"/>
      <c r="K2359" s="209"/>
      <c r="L2359" s="209"/>
      <c r="M2359" s="209"/>
      <c r="N2359" s="209"/>
      <c r="O2359" s="209"/>
      <c r="P2359" s="209"/>
      <c r="Q2359" s="209"/>
      <c r="R2359" s="209"/>
      <c r="S2359" s="209"/>
      <c r="T2359" s="209"/>
    </row>
    <row r="2360" spans="1:20" ht="15" hidden="1" customHeight="1">
      <c r="A2360" s="468">
        <v>45404</v>
      </c>
      <c r="B2360" s="208" t="s">
        <v>2141</v>
      </c>
      <c r="C2360" s="208" t="s">
        <v>146</v>
      </c>
      <c r="D2360" s="592">
        <v>-78000</v>
      </c>
      <c r="E2360" s="619">
        <v>45413</v>
      </c>
      <c r="F2360" s="601" t="s">
        <v>109</v>
      </c>
      <c r="G2360" s="208" t="s">
        <v>120</v>
      </c>
      <c r="H2360" s="208" t="s">
        <v>175</v>
      </c>
      <c r="I2360" s="208" t="s">
        <v>1687</v>
      </c>
      <c r="J2360" s="209"/>
      <c r="K2360" s="209"/>
      <c r="L2360" s="209"/>
      <c r="M2360" s="209"/>
      <c r="N2360" s="209"/>
      <c r="O2360" s="209"/>
      <c r="P2360" s="209"/>
      <c r="Q2360" s="209"/>
      <c r="R2360" s="209"/>
      <c r="S2360" s="209"/>
      <c r="T2360" s="209"/>
    </row>
    <row r="2361" spans="1:20" ht="15" hidden="1" customHeight="1">
      <c r="A2361" s="468">
        <v>45418</v>
      </c>
      <c r="B2361" s="208" t="s">
        <v>2142</v>
      </c>
      <c r="C2361" s="208" t="s">
        <v>133</v>
      </c>
      <c r="D2361" s="592">
        <v>-3200</v>
      </c>
      <c r="E2361" s="619">
        <v>45413</v>
      </c>
      <c r="F2361" s="201" t="s">
        <v>110</v>
      </c>
      <c r="G2361" s="208" t="s">
        <v>774</v>
      </c>
      <c r="H2361" s="81" t="s">
        <v>138</v>
      </c>
      <c r="I2361" s="208"/>
      <c r="J2361" s="209"/>
      <c r="K2361" s="209"/>
      <c r="L2361" s="209"/>
      <c r="M2361" s="209"/>
      <c r="N2361" s="209"/>
      <c r="O2361" s="209"/>
      <c r="P2361" s="209"/>
      <c r="Q2361" s="209"/>
      <c r="R2361" s="209"/>
      <c r="S2361" s="209"/>
      <c r="T2361" s="209"/>
    </row>
    <row r="2362" spans="1:20" ht="15" hidden="1" customHeight="1">
      <c r="A2362" s="440">
        <v>45406</v>
      </c>
      <c r="B2362" s="208" t="s">
        <v>2143</v>
      </c>
      <c r="C2362" s="208" t="s">
        <v>146</v>
      </c>
      <c r="D2362" s="592">
        <v>-15000</v>
      </c>
      <c r="E2362" s="619">
        <v>45413</v>
      </c>
      <c r="F2362" s="601" t="s">
        <v>109</v>
      </c>
      <c r="G2362" s="201" t="s">
        <v>918</v>
      </c>
      <c r="H2362" s="81" t="s">
        <v>138</v>
      </c>
      <c r="I2362" s="208" t="s">
        <v>173</v>
      </c>
      <c r="J2362" s="209"/>
      <c r="K2362" s="209"/>
      <c r="L2362" s="209"/>
      <c r="M2362" s="209"/>
      <c r="N2362" s="209"/>
      <c r="O2362" s="209"/>
      <c r="P2362" s="209"/>
      <c r="Q2362" s="209"/>
      <c r="R2362" s="209"/>
      <c r="S2362" s="209"/>
      <c r="T2362" s="209"/>
    </row>
    <row r="2363" spans="1:20" ht="15" hidden="1" customHeight="1">
      <c r="A2363" s="440">
        <v>45406</v>
      </c>
      <c r="B2363" s="208" t="s">
        <v>2144</v>
      </c>
      <c r="C2363" s="208" t="s">
        <v>146</v>
      </c>
      <c r="D2363" s="592">
        <v>-20000</v>
      </c>
      <c r="E2363" s="619">
        <v>45413</v>
      </c>
      <c r="F2363" s="291" t="s">
        <v>109</v>
      </c>
      <c r="G2363" s="208" t="s">
        <v>525</v>
      </c>
      <c r="H2363" s="81" t="s">
        <v>138</v>
      </c>
      <c r="I2363" s="208" t="s">
        <v>173</v>
      </c>
      <c r="J2363" s="209"/>
      <c r="K2363" s="209"/>
      <c r="L2363" s="209"/>
      <c r="M2363" s="209"/>
      <c r="N2363" s="209"/>
      <c r="O2363" s="209"/>
      <c r="P2363" s="209"/>
      <c r="Q2363" s="209"/>
      <c r="R2363" s="209"/>
      <c r="S2363" s="209"/>
      <c r="T2363" s="209"/>
    </row>
    <row r="2364" spans="1:20" ht="15" hidden="1" customHeight="1">
      <c r="A2364" s="468">
        <v>45406</v>
      </c>
      <c r="B2364" s="208" t="s">
        <v>2145</v>
      </c>
      <c r="C2364" s="208" t="s">
        <v>146</v>
      </c>
      <c r="D2364" s="592">
        <v>-607000</v>
      </c>
      <c r="E2364" s="619">
        <v>45413</v>
      </c>
      <c r="F2364" s="601" t="s">
        <v>109</v>
      </c>
      <c r="G2364" s="208" t="s">
        <v>120</v>
      </c>
      <c r="H2364" s="208" t="s">
        <v>175</v>
      </c>
      <c r="I2364" s="208" t="s">
        <v>1687</v>
      </c>
      <c r="J2364" s="209"/>
      <c r="K2364" s="209"/>
      <c r="L2364" s="209"/>
      <c r="M2364" s="209"/>
      <c r="N2364" s="209"/>
      <c r="O2364" s="209"/>
      <c r="P2364" s="209"/>
      <c r="Q2364" s="209"/>
      <c r="R2364" s="209"/>
      <c r="S2364" s="209"/>
      <c r="T2364" s="209"/>
    </row>
    <row r="2365" spans="1:20" ht="15" hidden="1" customHeight="1">
      <c r="A2365" s="468">
        <v>45406</v>
      </c>
      <c r="B2365" s="208" t="s">
        <v>2146</v>
      </c>
      <c r="C2365" s="208" t="s">
        <v>146</v>
      </c>
      <c r="D2365" s="592">
        <v>-20000</v>
      </c>
      <c r="E2365" s="619">
        <v>45413</v>
      </c>
      <c r="F2365" s="601" t="s">
        <v>109</v>
      </c>
      <c r="G2365" s="208" t="s">
        <v>120</v>
      </c>
      <c r="H2365" s="208"/>
      <c r="I2365" s="208" t="s">
        <v>1687</v>
      </c>
      <c r="J2365" s="209"/>
      <c r="K2365" s="209"/>
      <c r="L2365" s="209"/>
      <c r="M2365" s="209"/>
      <c r="N2365" s="209"/>
      <c r="O2365" s="209"/>
      <c r="P2365" s="209"/>
      <c r="Q2365" s="209"/>
      <c r="R2365" s="209"/>
      <c r="S2365" s="209"/>
      <c r="T2365" s="209"/>
    </row>
    <row r="2366" spans="1:20" ht="15" hidden="1" customHeight="1">
      <c r="A2366" s="468">
        <v>45406</v>
      </c>
      <c r="B2366" s="208" t="s">
        <v>2128</v>
      </c>
      <c r="C2366" s="208" t="s">
        <v>146</v>
      </c>
      <c r="D2366" s="592">
        <v>-30000</v>
      </c>
      <c r="E2366" s="619">
        <v>45413</v>
      </c>
      <c r="F2366" s="601" t="s">
        <v>109</v>
      </c>
      <c r="G2366" s="208" t="s">
        <v>120</v>
      </c>
      <c r="H2366" s="208" t="s">
        <v>147</v>
      </c>
      <c r="I2366" s="208" t="s">
        <v>1687</v>
      </c>
      <c r="J2366" s="209"/>
      <c r="K2366" s="209"/>
      <c r="L2366" s="209"/>
      <c r="M2366" s="209"/>
      <c r="N2366" s="209"/>
      <c r="O2366" s="209"/>
      <c r="P2366" s="209"/>
      <c r="Q2366" s="209"/>
      <c r="R2366" s="209"/>
      <c r="S2366" s="209"/>
      <c r="T2366" s="209"/>
    </row>
    <row r="2367" spans="1:20" ht="15" hidden="1" customHeight="1">
      <c r="A2367" s="468">
        <v>45406</v>
      </c>
      <c r="B2367" s="208" t="s">
        <v>2147</v>
      </c>
      <c r="C2367" s="208" t="s">
        <v>146</v>
      </c>
      <c r="D2367" s="592">
        <v>-7500</v>
      </c>
      <c r="E2367" s="619">
        <v>45413</v>
      </c>
      <c r="F2367" s="601" t="s">
        <v>109</v>
      </c>
      <c r="G2367" s="201" t="s">
        <v>918</v>
      </c>
      <c r="H2367" s="81" t="s">
        <v>138</v>
      </c>
      <c r="I2367" s="208"/>
      <c r="J2367" s="209"/>
      <c r="K2367" s="209"/>
      <c r="L2367" s="209"/>
      <c r="M2367" s="209"/>
      <c r="N2367" s="209"/>
      <c r="O2367" s="209"/>
      <c r="P2367" s="209"/>
      <c r="Q2367" s="209"/>
      <c r="R2367" s="209"/>
      <c r="S2367" s="209"/>
      <c r="T2367" s="209"/>
    </row>
    <row r="2368" spans="1:20" ht="15" hidden="1" customHeight="1">
      <c r="A2368" s="468">
        <v>45406</v>
      </c>
      <c r="B2368" s="208" t="s">
        <v>1748</v>
      </c>
      <c r="C2368" s="208" t="s">
        <v>146</v>
      </c>
      <c r="D2368" s="592">
        <v>-16000</v>
      </c>
      <c r="E2368" s="619">
        <v>45413</v>
      </c>
      <c r="F2368" s="601" t="s">
        <v>109</v>
      </c>
      <c r="G2368" s="201" t="s">
        <v>918</v>
      </c>
      <c r="H2368" s="81" t="s">
        <v>138</v>
      </c>
      <c r="I2368" s="208"/>
      <c r="J2368" s="209"/>
      <c r="K2368" s="209"/>
      <c r="L2368" s="209"/>
      <c r="M2368" s="209"/>
      <c r="N2368" s="209"/>
      <c r="O2368" s="209"/>
      <c r="P2368" s="209"/>
      <c r="Q2368" s="209"/>
      <c r="R2368" s="209"/>
      <c r="S2368" s="209"/>
      <c r="T2368" s="209"/>
    </row>
    <row r="2369" spans="1:20" ht="15" hidden="1" customHeight="1">
      <c r="A2369" s="468">
        <v>45406</v>
      </c>
      <c r="B2369" s="208" t="s">
        <v>1750</v>
      </c>
      <c r="C2369" s="208" t="s">
        <v>146</v>
      </c>
      <c r="D2369" s="592">
        <v>-6000</v>
      </c>
      <c r="E2369" s="619">
        <v>45413</v>
      </c>
      <c r="F2369" s="601" t="s">
        <v>109</v>
      </c>
      <c r="G2369" s="201" t="s">
        <v>918</v>
      </c>
      <c r="H2369" s="81" t="s">
        <v>138</v>
      </c>
      <c r="I2369" s="208"/>
      <c r="J2369" s="209"/>
      <c r="K2369" s="209"/>
      <c r="L2369" s="209"/>
      <c r="M2369" s="209"/>
      <c r="N2369" s="209"/>
      <c r="O2369" s="209"/>
      <c r="P2369" s="209"/>
      <c r="Q2369" s="209"/>
      <c r="R2369" s="209"/>
      <c r="S2369" s="209"/>
      <c r="T2369" s="209"/>
    </row>
    <row r="2370" spans="1:20" ht="15" hidden="1" customHeight="1">
      <c r="A2370" s="468">
        <v>45406</v>
      </c>
      <c r="B2370" s="208" t="s">
        <v>2148</v>
      </c>
      <c r="C2370" s="208" t="s">
        <v>146</v>
      </c>
      <c r="D2370" s="592">
        <v>-57000</v>
      </c>
      <c r="E2370" s="619">
        <v>45413</v>
      </c>
      <c r="F2370" s="601" t="s">
        <v>109</v>
      </c>
      <c r="G2370" s="201" t="s">
        <v>918</v>
      </c>
      <c r="H2370" s="208" t="s">
        <v>175</v>
      </c>
      <c r="I2370" s="208"/>
      <c r="J2370" s="209"/>
      <c r="K2370" s="209"/>
      <c r="L2370" s="209"/>
      <c r="M2370" s="209"/>
      <c r="N2370" s="209"/>
      <c r="O2370" s="209"/>
      <c r="P2370" s="209"/>
      <c r="Q2370" s="209"/>
      <c r="R2370" s="209"/>
      <c r="S2370" s="209"/>
      <c r="T2370" s="209"/>
    </row>
    <row r="2371" spans="1:20" ht="15" hidden="1" customHeight="1">
      <c r="A2371" s="468">
        <v>45406</v>
      </c>
      <c r="B2371" s="208" t="s">
        <v>2149</v>
      </c>
      <c r="C2371" s="208" t="s">
        <v>146</v>
      </c>
      <c r="D2371" s="592">
        <v>-10000</v>
      </c>
      <c r="E2371" s="619">
        <v>45413</v>
      </c>
      <c r="F2371" s="291" t="s">
        <v>109</v>
      </c>
      <c r="G2371" s="208" t="s">
        <v>525</v>
      </c>
      <c r="H2371" s="208" t="s">
        <v>147</v>
      </c>
      <c r="I2371" s="208"/>
      <c r="J2371" s="209"/>
      <c r="K2371" s="209"/>
      <c r="L2371" s="209"/>
      <c r="M2371" s="209"/>
      <c r="N2371" s="209"/>
      <c r="O2371" s="209"/>
      <c r="P2371" s="209"/>
      <c r="Q2371" s="209"/>
      <c r="R2371" s="209"/>
      <c r="S2371" s="209"/>
      <c r="T2371" s="209"/>
    </row>
    <row r="2372" spans="1:20" ht="15" hidden="1" customHeight="1">
      <c r="A2372" s="468">
        <v>45406</v>
      </c>
      <c r="B2372" s="208" t="s">
        <v>2150</v>
      </c>
      <c r="C2372" s="208" t="s">
        <v>146</v>
      </c>
      <c r="D2372" s="592">
        <v>-21000</v>
      </c>
      <c r="E2372" s="619">
        <v>45413</v>
      </c>
      <c r="F2372" s="291" t="s">
        <v>109</v>
      </c>
      <c r="G2372" s="208" t="s">
        <v>525</v>
      </c>
      <c r="H2372" s="208" t="s">
        <v>147</v>
      </c>
      <c r="I2372" s="208"/>
      <c r="J2372" s="209"/>
      <c r="K2372" s="209"/>
      <c r="L2372" s="209"/>
      <c r="M2372" s="209"/>
      <c r="N2372" s="209"/>
      <c r="O2372" s="209"/>
      <c r="P2372" s="209"/>
      <c r="Q2372" s="209"/>
      <c r="R2372" s="209"/>
      <c r="S2372" s="209"/>
      <c r="T2372" s="209"/>
    </row>
    <row r="2373" spans="1:20" ht="15" hidden="1" customHeight="1">
      <c r="A2373" s="468">
        <v>45406</v>
      </c>
      <c r="B2373" s="208" t="s">
        <v>2151</v>
      </c>
      <c r="C2373" s="208" t="s">
        <v>146</v>
      </c>
      <c r="D2373" s="592">
        <v>-6000</v>
      </c>
      <c r="E2373" s="619">
        <v>45413</v>
      </c>
      <c r="F2373" s="291" t="s">
        <v>109</v>
      </c>
      <c r="G2373" s="208" t="s">
        <v>525</v>
      </c>
      <c r="H2373" s="81" t="s">
        <v>138</v>
      </c>
      <c r="I2373" s="208"/>
      <c r="J2373" s="209"/>
      <c r="K2373" s="209"/>
      <c r="L2373" s="209"/>
      <c r="M2373" s="209"/>
      <c r="N2373" s="209"/>
      <c r="O2373" s="209"/>
      <c r="P2373" s="209"/>
      <c r="Q2373" s="209"/>
      <c r="R2373" s="209"/>
      <c r="S2373" s="209"/>
      <c r="T2373" s="209"/>
    </row>
    <row r="2374" spans="1:20" ht="15" hidden="1" customHeight="1">
      <c r="A2374" s="468">
        <v>45406</v>
      </c>
      <c r="B2374" s="208" t="s">
        <v>2152</v>
      </c>
      <c r="C2374" s="208" t="s">
        <v>146</v>
      </c>
      <c r="D2374" s="592">
        <v>-6000</v>
      </c>
      <c r="E2374" s="619">
        <v>45413</v>
      </c>
      <c r="F2374" s="291" t="s">
        <v>109</v>
      </c>
      <c r="G2374" s="208" t="s">
        <v>525</v>
      </c>
      <c r="H2374" s="81" t="s">
        <v>138</v>
      </c>
      <c r="I2374" s="208"/>
      <c r="J2374" s="209"/>
      <c r="K2374" s="209"/>
      <c r="L2374" s="209"/>
      <c r="M2374" s="209"/>
      <c r="N2374" s="209"/>
      <c r="O2374" s="209"/>
      <c r="P2374" s="209"/>
      <c r="Q2374" s="209"/>
      <c r="R2374" s="209"/>
      <c r="S2374" s="209"/>
      <c r="T2374" s="209"/>
    </row>
    <row r="2375" spans="1:20" ht="15" hidden="1" customHeight="1">
      <c r="A2375" s="468">
        <v>45406</v>
      </c>
      <c r="B2375" s="208" t="s">
        <v>2153</v>
      </c>
      <c r="C2375" s="208" t="s">
        <v>146</v>
      </c>
      <c r="D2375" s="592">
        <v>-7500</v>
      </c>
      <c r="E2375" s="619">
        <v>45413</v>
      </c>
      <c r="F2375" s="291" t="s">
        <v>109</v>
      </c>
      <c r="G2375" s="208" t="s">
        <v>525</v>
      </c>
      <c r="H2375" s="81" t="s">
        <v>138</v>
      </c>
      <c r="I2375" s="208"/>
      <c r="J2375" s="209"/>
      <c r="K2375" s="209"/>
      <c r="L2375" s="209"/>
      <c r="M2375" s="209"/>
      <c r="N2375" s="209"/>
      <c r="O2375" s="209"/>
      <c r="P2375" s="209"/>
      <c r="Q2375" s="209"/>
      <c r="R2375" s="209"/>
      <c r="S2375" s="209"/>
      <c r="T2375" s="209"/>
    </row>
    <row r="2376" spans="1:20" ht="15" hidden="1" customHeight="1">
      <c r="A2376" s="468">
        <v>45406</v>
      </c>
      <c r="B2376" s="208" t="s">
        <v>2154</v>
      </c>
      <c r="C2376" s="208" t="s">
        <v>146</v>
      </c>
      <c r="D2376" s="592">
        <v>-15000</v>
      </c>
      <c r="E2376" s="619">
        <v>45413</v>
      </c>
      <c r="F2376" s="291" t="s">
        <v>109</v>
      </c>
      <c r="G2376" s="208" t="s">
        <v>525</v>
      </c>
      <c r="H2376" s="81" t="s">
        <v>138</v>
      </c>
      <c r="I2376" s="208"/>
      <c r="J2376" s="209"/>
      <c r="K2376" s="209"/>
      <c r="L2376" s="209"/>
      <c r="M2376" s="209"/>
      <c r="N2376" s="209"/>
      <c r="O2376" s="209"/>
      <c r="P2376" s="209"/>
      <c r="Q2376" s="209"/>
      <c r="R2376" s="209"/>
      <c r="S2376" s="209"/>
      <c r="T2376" s="209"/>
    </row>
    <row r="2377" spans="1:20" ht="15" hidden="1" customHeight="1">
      <c r="A2377" s="468">
        <v>45406</v>
      </c>
      <c r="B2377" s="208" t="s">
        <v>2155</v>
      </c>
      <c r="C2377" s="208" t="s">
        <v>146</v>
      </c>
      <c r="D2377" s="592">
        <v>-15000</v>
      </c>
      <c r="E2377" s="619">
        <v>45413</v>
      </c>
      <c r="F2377" s="291" t="s">
        <v>109</v>
      </c>
      <c r="G2377" s="208" t="s">
        <v>525</v>
      </c>
      <c r="H2377" s="81" t="s">
        <v>138</v>
      </c>
      <c r="I2377" s="208"/>
      <c r="J2377" s="209"/>
      <c r="K2377" s="209"/>
      <c r="L2377" s="209"/>
      <c r="M2377" s="209"/>
      <c r="N2377" s="209"/>
      <c r="O2377" s="209"/>
      <c r="P2377" s="209"/>
      <c r="Q2377" s="209"/>
      <c r="R2377" s="209"/>
      <c r="S2377" s="209"/>
      <c r="T2377" s="209"/>
    </row>
    <row r="2378" spans="1:20" ht="15" hidden="1" customHeight="1">
      <c r="A2378" s="468">
        <v>45406</v>
      </c>
      <c r="B2378" s="208" t="s">
        <v>2149</v>
      </c>
      <c r="C2378" s="208" t="s">
        <v>146</v>
      </c>
      <c r="D2378" s="592">
        <v>-10000</v>
      </c>
      <c r="E2378" s="619">
        <v>45413</v>
      </c>
      <c r="F2378" s="291" t="s">
        <v>109</v>
      </c>
      <c r="G2378" s="208" t="s">
        <v>525</v>
      </c>
      <c r="H2378" s="208" t="s">
        <v>147</v>
      </c>
      <c r="I2378" s="208"/>
      <c r="J2378" s="209"/>
      <c r="K2378" s="209"/>
      <c r="L2378" s="209"/>
      <c r="M2378" s="209"/>
      <c r="N2378" s="209"/>
      <c r="O2378" s="209"/>
      <c r="P2378" s="209"/>
      <c r="Q2378" s="209"/>
      <c r="R2378" s="209"/>
      <c r="S2378" s="209"/>
      <c r="T2378" s="209"/>
    </row>
    <row r="2379" spans="1:20" ht="15" hidden="1" customHeight="1">
      <c r="A2379" s="468">
        <v>45406</v>
      </c>
      <c r="B2379" s="208" t="s">
        <v>2152</v>
      </c>
      <c r="C2379" s="208" t="s">
        <v>146</v>
      </c>
      <c r="D2379" s="592">
        <v>-6000</v>
      </c>
      <c r="E2379" s="619">
        <v>45413</v>
      </c>
      <c r="F2379" s="291" t="s">
        <v>109</v>
      </c>
      <c r="G2379" s="208" t="s">
        <v>525</v>
      </c>
      <c r="H2379" s="81" t="s">
        <v>138</v>
      </c>
      <c r="I2379" s="208"/>
      <c r="J2379" s="209"/>
      <c r="K2379" s="209"/>
      <c r="L2379" s="209"/>
      <c r="M2379" s="209"/>
      <c r="N2379" s="209"/>
      <c r="O2379" s="209"/>
      <c r="P2379" s="209"/>
      <c r="Q2379" s="209"/>
      <c r="R2379" s="209"/>
      <c r="S2379" s="209"/>
      <c r="T2379" s="209"/>
    </row>
    <row r="2380" spans="1:20" ht="15" hidden="1" customHeight="1">
      <c r="A2380" s="468">
        <v>45406</v>
      </c>
      <c r="B2380" s="208" t="s">
        <v>2156</v>
      </c>
      <c r="C2380" s="208" t="s">
        <v>146</v>
      </c>
      <c r="D2380" s="592">
        <v>-16000</v>
      </c>
      <c r="E2380" s="619">
        <v>45413</v>
      </c>
      <c r="F2380" s="291" t="s">
        <v>109</v>
      </c>
      <c r="G2380" s="208" t="s">
        <v>525</v>
      </c>
      <c r="H2380" s="81" t="s">
        <v>138</v>
      </c>
      <c r="I2380" s="208"/>
      <c r="J2380" s="209"/>
      <c r="K2380" s="209"/>
      <c r="L2380" s="209"/>
      <c r="M2380" s="209"/>
      <c r="N2380" s="209"/>
      <c r="O2380" s="209"/>
      <c r="P2380" s="209"/>
      <c r="Q2380" s="209"/>
      <c r="R2380" s="209"/>
      <c r="S2380" s="209"/>
      <c r="T2380" s="209"/>
    </row>
    <row r="2381" spans="1:20" ht="15" hidden="1" customHeight="1">
      <c r="A2381" s="468">
        <v>45406</v>
      </c>
      <c r="B2381" s="208" t="s">
        <v>2157</v>
      </c>
      <c r="C2381" s="208" t="s">
        <v>146</v>
      </c>
      <c r="D2381" s="592">
        <v>-8000</v>
      </c>
      <c r="E2381" s="619">
        <v>45413</v>
      </c>
      <c r="F2381" s="291" t="s">
        <v>109</v>
      </c>
      <c r="G2381" s="208" t="s">
        <v>525</v>
      </c>
      <c r="H2381" s="81" t="s">
        <v>138</v>
      </c>
      <c r="I2381" s="208"/>
      <c r="J2381" s="209"/>
      <c r="K2381" s="209"/>
      <c r="L2381" s="209"/>
      <c r="M2381" s="209"/>
      <c r="N2381" s="209"/>
      <c r="O2381" s="209"/>
      <c r="P2381" s="209"/>
      <c r="Q2381" s="209"/>
      <c r="R2381" s="209"/>
      <c r="S2381" s="209"/>
      <c r="T2381" s="209"/>
    </row>
    <row r="2382" spans="1:20" ht="15" hidden="1" customHeight="1">
      <c r="A2382" s="440">
        <v>45407</v>
      </c>
      <c r="B2382" s="208" t="s">
        <v>2158</v>
      </c>
      <c r="C2382" s="208" t="s">
        <v>146</v>
      </c>
      <c r="D2382" s="592">
        <v>-7000</v>
      </c>
      <c r="E2382" s="619">
        <v>45413</v>
      </c>
      <c r="F2382" s="601" t="s">
        <v>109</v>
      </c>
      <c r="G2382" s="201" t="s">
        <v>918</v>
      </c>
      <c r="H2382" s="81" t="s">
        <v>138</v>
      </c>
      <c r="I2382" s="208" t="s">
        <v>173</v>
      </c>
      <c r="J2382" s="209"/>
      <c r="K2382" s="209"/>
      <c r="L2382" s="209"/>
      <c r="M2382" s="209"/>
      <c r="N2382" s="209"/>
      <c r="O2382" s="209"/>
      <c r="P2382" s="209"/>
      <c r="Q2382" s="209"/>
      <c r="R2382" s="209"/>
      <c r="S2382" s="209"/>
      <c r="T2382" s="209"/>
    </row>
    <row r="2383" spans="1:20" ht="15" hidden="1" customHeight="1">
      <c r="A2383" s="440">
        <v>45407</v>
      </c>
      <c r="B2383" s="208" t="s">
        <v>2159</v>
      </c>
      <c r="C2383" s="208" t="s">
        <v>146</v>
      </c>
      <c r="D2383" s="592">
        <v>-12000</v>
      </c>
      <c r="E2383" s="619">
        <v>45413</v>
      </c>
      <c r="F2383" s="601" t="s">
        <v>109</v>
      </c>
      <c r="G2383" s="201" t="s">
        <v>918</v>
      </c>
      <c r="H2383" s="81" t="s">
        <v>138</v>
      </c>
      <c r="I2383" s="208" t="s">
        <v>173</v>
      </c>
      <c r="J2383" s="209"/>
      <c r="K2383" s="209"/>
      <c r="L2383" s="209"/>
      <c r="M2383" s="209"/>
      <c r="N2383" s="209"/>
      <c r="O2383" s="209"/>
      <c r="P2383" s="209"/>
      <c r="Q2383" s="209"/>
      <c r="R2383" s="209"/>
      <c r="S2383" s="209"/>
      <c r="T2383" s="209"/>
    </row>
    <row r="2384" spans="1:20" ht="15" hidden="1" customHeight="1">
      <c r="A2384" s="440">
        <v>45407</v>
      </c>
      <c r="B2384" s="208" t="s">
        <v>2160</v>
      </c>
      <c r="C2384" s="208" t="s">
        <v>146</v>
      </c>
      <c r="D2384" s="592">
        <v>-15000</v>
      </c>
      <c r="E2384" s="619">
        <v>45413</v>
      </c>
      <c r="F2384" s="601" t="s">
        <v>109</v>
      </c>
      <c r="G2384" s="208" t="s">
        <v>120</v>
      </c>
      <c r="H2384" s="81" t="s">
        <v>138</v>
      </c>
      <c r="I2384" s="208" t="s">
        <v>173</v>
      </c>
      <c r="J2384" s="209"/>
      <c r="K2384" s="209"/>
      <c r="L2384" s="209"/>
      <c r="M2384" s="209"/>
      <c r="N2384" s="209"/>
      <c r="O2384" s="209"/>
      <c r="P2384" s="209"/>
      <c r="Q2384" s="209"/>
      <c r="R2384" s="209"/>
      <c r="S2384" s="209"/>
      <c r="T2384" s="209"/>
    </row>
    <row r="2385" spans="1:20" ht="15" hidden="1" customHeight="1">
      <c r="A2385" s="468">
        <v>45407</v>
      </c>
      <c r="B2385" s="208" t="s">
        <v>2161</v>
      </c>
      <c r="C2385" s="208" t="s">
        <v>146</v>
      </c>
      <c r="D2385" s="592">
        <v>-24000</v>
      </c>
      <c r="E2385" s="619">
        <v>45413</v>
      </c>
      <c r="F2385" s="601" t="s">
        <v>109</v>
      </c>
      <c r="G2385" s="208" t="s">
        <v>120</v>
      </c>
      <c r="H2385" s="208" t="s">
        <v>147</v>
      </c>
      <c r="I2385" s="208" t="s">
        <v>1687</v>
      </c>
      <c r="J2385" s="209"/>
      <c r="K2385" s="209"/>
      <c r="L2385" s="209"/>
      <c r="M2385" s="209"/>
      <c r="N2385" s="209"/>
      <c r="O2385" s="209"/>
      <c r="P2385" s="209"/>
      <c r="Q2385" s="209"/>
      <c r="R2385" s="209"/>
      <c r="S2385" s="209"/>
      <c r="T2385" s="209"/>
    </row>
    <row r="2386" spans="1:20" ht="15" hidden="1" customHeight="1">
      <c r="A2386" s="468">
        <v>45407</v>
      </c>
      <c r="B2386" s="208" t="s">
        <v>2162</v>
      </c>
      <c r="C2386" s="208" t="s">
        <v>146</v>
      </c>
      <c r="D2386" s="592">
        <v>-20000</v>
      </c>
      <c r="E2386" s="619">
        <v>45413</v>
      </c>
      <c r="F2386" s="601" t="s">
        <v>109</v>
      </c>
      <c r="G2386" s="208" t="s">
        <v>120</v>
      </c>
      <c r="H2386" s="81" t="s">
        <v>138</v>
      </c>
      <c r="I2386" s="208" t="s">
        <v>1687</v>
      </c>
      <c r="J2386" s="209"/>
      <c r="K2386" s="209"/>
      <c r="L2386" s="209"/>
      <c r="M2386" s="209"/>
      <c r="N2386" s="209"/>
      <c r="O2386" s="209"/>
      <c r="P2386" s="209"/>
      <c r="Q2386" s="209"/>
      <c r="R2386" s="209"/>
      <c r="S2386" s="209"/>
      <c r="T2386" s="209"/>
    </row>
    <row r="2387" spans="1:20" ht="15" hidden="1" customHeight="1">
      <c r="A2387" s="440">
        <v>45408</v>
      </c>
      <c r="B2387" s="208" t="s">
        <v>2163</v>
      </c>
      <c r="C2387" s="208" t="s">
        <v>146</v>
      </c>
      <c r="D2387" s="592">
        <v>-7000</v>
      </c>
      <c r="E2387" s="619">
        <v>45413</v>
      </c>
      <c r="F2387" s="291" t="s">
        <v>109</v>
      </c>
      <c r="G2387" s="208" t="s">
        <v>525</v>
      </c>
      <c r="H2387" s="81" t="s">
        <v>138</v>
      </c>
      <c r="I2387" s="208" t="s">
        <v>173</v>
      </c>
      <c r="J2387" s="209"/>
      <c r="K2387" s="209"/>
      <c r="L2387" s="209"/>
      <c r="M2387" s="209"/>
      <c r="N2387" s="209"/>
      <c r="O2387" s="209"/>
      <c r="P2387" s="209"/>
      <c r="Q2387" s="209"/>
      <c r="R2387" s="209"/>
      <c r="S2387" s="209"/>
      <c r="T2387" s="209"/>
    </row>
    <row r="2388" spans="1:20" ht="15" hidden="1" customHeight="1">
      <c r="A2388" s="440">
        <v>45408</v>
      </c>
      <c r="B2388" s="208" t="s">
        <v>2164</v>
      </c>
      <c r="C2388" s="208" t="s">
        <v>146</v>
      </c>
      <c r="D2388" s="592">
        <v>-15000</v>
      </c>
      <c r="E2388" s="619">
        <v>45413</v>
      </c>
      <c r="F2388" s="291" t="s">
        <v>109</v>
      </c>
      <c r="G2388" s="208" t="s">
        <v>525</v>
      </c>
      <c r="H2388" s="81" t="s">
        <v>138</v>
      </c>
      <c r="I2388" s="208" t="s">
        <v>173</v>
      </c>
      <c r="J2388" s="209"/>
      <c r="K2388" s="209"/>
      <c r="L2388" s="209"/>
      <c r="M2388" s="209"/>
      <c r="N2388" s="209"/>
      <c r="O2388" s="209"/>
      <c r="P2388" s="209"/>
      <c r="Q2388" s="209"/>
      <c r="R2388" s="209"/>
      <c r="S2388" s="209"/>
      <c r="T2388" s="209"/>
    </row>
    <row r="2389" spans="1:20" ht="15" hidden="1" customHeight="1">
      <c r="A2389" s="468">
        <v>45408</v>
      </c>
      <c r="B2389" s="208" t="s">
        <v>2165</v>
      </c>
      <c r="C2389" s="208" t="s">
        <v>146</v>
      </c>
      <c r="D2389" s="592">
        <v>-18000</v>
      </c>
      <c r="E2389" s="619">
        <v>45413</v>
      </c>
      <c r="F2389" s="208" t="s">
        <v>130</v>
      </c>
      <c r="G2389" s="208" t="s">
        <v>257</v>
      </c>
      <c r="H2389" s="81" t="s">
        <v>138</v>
      </c>
      <c r="I2389" s="208"/>
      <c r="J2389" s="209"/>
      <c r="K2389" s="209"/>
      <c r="L2389" s="209"/>
      <c r="M2389" s="209"/>
      <c r="N2389" s="209"/>
      <c r="O2389" s="209"/>
      <c r="P2389" s="209"/>
      <c r="Q2389" s="209"/>
      <c r="R2389" s="209"/>
      <c r="S2389" s="209"/>
      <c r="T2389" s="209"/>
    </row>
    <row r="2390" spans="1:20" ht="15" hidden="1" customHeight="1">
      <c r="A2390" s="468">
        <v>45408</v>
      </c>
      <c r="B2390" s="208" t="s">
        <v>2166</v>
      </c>
      <c r="C2390" s="208" t="s">
        <v>146</v>
      </c>
      <c r="D2390" s="592">
        <v>-160000</v>
      </c>
      <c r="E2390" s="619">
        <v>45413</v>
      </c>
      <c r="F2390" s="208" t="s">
        <v>130</v>
      </c>
      <c r="G2390" s="208" t="s">
        <v>130</v>
      </c>
      <c r="H2390" s="208" t="s">
        <v>1156</v>
      </c>
      <c r="I2390" s="208"/>
      <c r="J2390" s="209"/>
      <c r="K2390" s="209"/>
      <c r="L2390" s="209"/>
      <c r="M2390" s="209"/>
      <c r="N2390" s="209"/>
      <c r="O2390" s="209"/>
      <c r="P2390" s="209"/>
      <c r="Q2390" s="209"/>
      <c r="R2390" s="209"/>
      <c r="S2390" s="209"/>
      <c r="T2390" s="209"/>
    </row>
    <row r="2391" spans="1:20" ht="15" hidden="1" customHeight="1">
      <c r="A2391" s="468">
        <v>45409</v>
      </c>
      <c r="B2391" s="208" t="s">
        <v>2167</v>
      </c>
      <c r="C2391" s="208" t="s">
        <v>146</v>
      </c>
      <c r="D2391" s="592">
        <v>-100000</v>
      </c>
      <c r="E2391" s="619">
        <v>45413</v>
      </c>
      <c r="F2391" s="601" t="s">
        <v>109</v>
      </c>
      <c r="G2391" s="208" t="s">
        <v>120</v>
      </c>
      <c r="H2391" s="208" t="s">
        <v>147</v>
      </c>
      <c r="I2391" s="208" t="s">
        <v>1687</v>
      </c>
      <c r="J2391" s="209"/>
      <c r="K2391" s="209"/>
      <c r="L2391" s="209"/>
      <c r="M2391" s="209"/>
      <c r="N2391" s="209"/>
      <c r="O2391" s="209"/>
      <c r="P2391" s="209"/>
      <c r="Q2391" s="209"/>
      <c r="R2391" s="209"/>
      <c r="S2391" s="209"/>
      <c r="T2391" s="209"/>
    </row>
    <row r="2392" spans="1:20" ht="15" hidden="1" customHeight="1">
      <c r="A2392" s="440">
        <v>45411</v>
      </c>
      <c r="B2392" s="208" t="s">
        <v>2168</v>
      </c>
      <c r="C2392" s="208" t="s">
        <v>146</v>
      </c>
      <c r="D2392" s="592">
        <v>-6200</v>
      </c>
      <c r="E2392" s="619">
        <v>45413</v>
      </c>
      <c r="F2392" s="291" t="s">
        <v>109</v>
      </c>
      <c r="G2392" s="208" t="s">
        <v>525</v>
      </c>
      <c r="H2392" s="81" t="s">
        <v>138</v>
      </c>
      <c r="I2392" s="208" t="s">
        <v>173</v>
      </c>
      <c r="J2392" s="209"/>
      <c r="K2392" s="209"/>
      <c r="L2392" s="209"/>
      <c r="M2392" s="209"/>
      <c r="N2392" s="209"/>
      <c r="O2392" s="209"/>
      <c r="P2392" s="209"/>
      <c r="Q2392" s="209"/>
      <c r="R2392" s="209"/>
      <c r="S2392" s="209"/>
      <c r="T2392" s="209"/>
    </row>
    <row r="2393" spans="1:20" ht="15" hidden="1" customHeight="1">
      <c r="A2393" s="440">
        <v>45411</v>
      </c>
      <c r="B2393" s="208" t="s">
        <v>2169</v>
      </c>
      <c r="C2393" s="208" t="s">
        <v>146</v>
      </c>
      <c r="D2393" s="592">
        <v>-15000</v>
      </c>
      <c r="E2393" s="619">
        <v>45413</v>
      </c>
      <c r="F2393" s="291" t="s">
        <v>109</v>
      </c>
      <c r="G2393" s="208" t="s">
        <v>525</v>
      </c>
      <c r="H2393" s="81" t="s">
        <v>138</v>
      </c>
      <c r="I2393" s="208" t="s">
        <v>173</v>
      </c>
      <c r="J2393" s="209"/>
      <c r="K2393" s="209"/>
      <c r="L2393" s="209"/>
      <c r="M2393" s="209"/>
      <c r="N2393" s="209"/>
      <c r="O2393" s="209"/>
      <c r="P2393" s="209"/>
      <c r="Q2393" s="209"/>
      <c r="R2393" s="209"/>
      <c r="S2393" s="209"/>
      <c r="T2393" s="209"/>
    </row>
    <row r="2394" spans="1:20" ht="15" hidden="1" customHeight="1">
      <c r="A2394" s="468">
        <v>45411</v>
      </c>
      <c r="B2394" s="208" t="s">
        <v>2170</v>
      </c>
      <c r="C2394" s="208" t="s">
        <v>146</v>
      </c>
      <c r="D2394" s="592">
        <v>-23000</v>
      </c>
      <c r="E2394" s="619">
        <v>45413</v>
      </c>
      <c r="F2394" s="601" t="s">
        <v>109</v>
      </c>
      <c r="G2394" s="208" t="s">
        <v>120</v>
      </c>
      <c r="H2394" s="208"/>
      <c r="I2394" s="208" t="s">
        <v>1687</v>
      </c>
      <c r="J2394" s="209"/>
      <c r="K2394" s="209"/>
      <c r="L2394" s="209"/>
      <c r="M2394" s="209"/>
      <c r="N2394" s="209"/>
      <c r="O2394" s="209"/>
      <c r="P2394" s="209"/>
      <c r="Q2394" s="209"/>
      <c r="R2394" s="209"/>
      <c r="S2394" s="209"/>
      <c r="T2394" s="209"/>
    </row>
    <row r="2395" spans="1:20" ht="15" hidden="1" customHeight="1">
      <c r="A2395" s="468">
        <v>45411</v>
      </c>
      <c r="B2395" s="208" t="s">
        <v>2171</v>
      </c>
      <c r="C2395" s="208" t="s">
        <v>146</v>
      </c>
      <c r="D2395" s="592">
        <v>-80000</v>
      </c>
      <c r="E2395" s="619">
        <v>45413</v>
      </c>
      <c r="F2395" s="601" t="s">
        <v>109</v>
      </c>
      <c r="G2395" s="208" t="s">
        <v>120</v>
      </c>
      <c r="H2395" s="81" t="s">
        <v>138</v>
      </c>
      <c r="I2395" s="208" t="s">
        <v>1687</v>
      </c>
      <c r="J2395" s="209"/>
      <c r="K2395" s="209"/>
      <c r="L2395" s="209"/>
      <c r="M2395" s="209"/>
      <c r="N2395" s="209"/>
      <c r="O2395" s="209"/>
      <c r="P2395" s="209"/>
      <c r="Q2395" s="209"/>
      <c r="R2395" s="209"/>
      <c r="S2395" s="209"/>
      <c r="T2395" s="209"/>
    </row>
    <row r="2396" spans="1:20" ht="15" hidden="1" customHeight="1">
      <c r="A2396" s="468">
        <v>45411</v>
      </c>
      <c r="B2396" s="208" t="s">
        <v>2139</v>
      </c>
      <c r="C2396" s="208" t="s">
        <v>146</v>
      </c>
      <c r="D2396" s="592">
        <v>-12900</v>
      </c>
      <c r="E2396" s="619">
        <v>45413</v>
      </c>
      <c r="F2396" s="601" t="s">
        <v>109</v>
      </c>
      <c r="G2396" s="208" t="s">
        <v>120</v>
      </c>
      <c r="H2396" s="81" t="s">
        <v>138</v>
      </c>
      <c r="I2396" s="208" t="s">
        <v>1687</v>
      </c>
      <c r="J2396" s="209"/>
      <c r="K2396" s="209"/>
      <c r="L2396" s="209"/>
      <c r="M2396" s="209"/>
      <c r="N2396" s="209"/>
      <c r="O2396" s="209"/>
      <c r="P2396" s="209"/>
      <c r="Q2396" s="209"/>
      <c r="R2396" s="209"/>
      <c r="S2396" s="209"/>
      <c r="T2396" s="209"/>
    </row>
    <row r="2397" spans="1:20" ht="15" hidden="1" customHeight="1">
      <c r="A2397" s="468">
        <v>45411</v>
      </c>
      <c r="B2397" s="208" t="s">
        <v>2172</v>
      </c>
      <c r="C2397" s="208" t="s">
        <v>2113</v>
      </c>
      <c r="D2397" s="592">
        <v>-8800</v>
      </c>
      <c r="E2397" s="212">
        <v>45413</v>
      </c>
      <c r="F2397" s="208" t="s">
        <v>110</v>
      </c>
      <c r="G2397" s="208" t="s">
        <v>122</v>
      </c>
      <c r="H2397" s="208" t="s">
        <v>175</v>
      </c>
      <c r="I2397" s="208" t="s">
        <v>173</v>
      </c>
      <c r="J2397" s="209"/>
      <c r="K2397" s="209"/>
      <c r="L2397" s="209"/>
      <c r="M2397" s="209"/>
      <c r="N2397" s="209"/>
      <c r="O2397" s="209"/>
      <c r="P2397" s="209"/>
      <c r="Q2397" s="209"/>
      <c r="R2397" s="209"/>
      <c r="S2397" s="209"/>
      <c r="T2397" s="209"/>
    </row>
    <row r="2398" spans="1:20" ht="15" hidden="1" customHeight="1">
      <c r="A2398" s="440">
        <v>45412</v>
      </c>
      <c r="B2398" s="208" t="s">
        <v>2173</v>
      </c>
      <c r="C2398" s="208" t="s">
        <v>146</v>
      </c>
      <c r="D2398" s="592">
        <v>-15000</v>
      </c>
      <c r="E2398" s="619">
        <v>45413</v>
      </c>
      <c r="F2398" s="601" t="s">
        <v>109</v>
      </c>
      <c r="G2398" s="208" t="s">
        <v>120</v>
      </c>
      <c r="H2398" s="81" t="s">
        <v>138</v>
      </c>
      <c r="I2398" s="208" t="s">
        <v>173</v>
      </c>
      <c r="J2398" s="209"/>
      <c r="K2398" s="209"/>
      <c r="L2398" s="209"/>
      <c r="M2398" s="209"/>
      <c r="N2398" s="209"/>
      <c r="O2398" s="209"/>
      <c r="P2398" s="209"/>
      <c r="Q2398" s="209"/>
      <c r="R2398" s="209"/>
      <c r="S2398" s="209"/>
      <c r="T2398" s="209"/>
    </row>
    <row r="2399" spans="1:20" ht="15" hidden="1" customHeight="1">
      <c r="A2399" s="468">
        <v>45412</v>
      </c>
      <c r="B2399" s="208" t="s">
        <v>1756</v>
      </c>
      <c r="C2399" s="208" t="s">
        <v>146</v>
      </c>
      <c r="D2399" s="592">
        <v>-18000</v>
      </c>
      <c r="E2399" s="619">
        <v>45413</v>
      </c>
      <c r="F2399" s="201" t="s">
        <v>110</v>
      </c>
      <c r="G2399" s="81" t="s">
        <v>1621</v>
      </c>
      <c r="H2399" s="81" t="s">
        <v>138</v>
      </c>
      <c r="I2399" s="208"/>
      <c r="J2399" s="209"/>
      <c r="K2399" s="209"/>
      <c r="L2399" s="209"/>
      <c r="M2399" s="209"/>
      <c r="N2399" s="209"/>
      <c r="O2399" s="209"/>
      <c r="P2399" s="209"/>
      <c r="Q2399" s="209"/>
      <c r="R2399" s="209"/>
      <c r="S2399" s="209"/>
      <c r="T2399" s="209"/>
    </row>
    <row r="2400" spans="1:20" ht="15" hidden="1" customHeight="1">
      <c r="A2400" s="468">
        <v>45412</v>
      </c>
      <c r="B2400" s="208" t="s">
        <v>1404</v>
      </c>
      <c r="C2400" s="208" t="s">
        <v>146</v>
      </c>
      <c r="D2400" s="592">
        <v>-12000</v>
      </c>
      <c r="E2400" s="619">
        <v>45413</v>
      </c>
      <c r="F2400" s="208" t="s">
        <v>130</v>
      </c>
      <c r="G2400" s="208" t="s">
        <v>257</v>
      </c>
      <c r="H2400" s="81" t="s">
        <v>138</v>
      </c>
      <c r="I2400" s="208"/>
      <c r="J2400" s="209"/>
      <c r="K2400" s="209"/>
      <c r="L2400" s="209"/>
      <c r="M2400" s="209"/>
      <c r="N2400" s="209"/>
      <c r="O2400" s="209"/>
      <c r="P2400" s="209"/>
      <c r="Q2400" s="209"/>
      <c r="R2400" s="209"/>
      <c r="S2400" s="209"/>
      <c r="T2400" s="209"/>
    </row>
    <row r="2401" spans="1:149" ht="15" hidden="1" customHeight="1">
      <c r="A2401" s="468">
        <v>45412</v>
      </c>
      <c r="B2401" s="208" t="s">
        <v>2174</v>
      </c>
      <c r="C2401" s="208" t="s">
        <v>2113</v>
      </c>
      <c r="D2401" s="592">
        <v>-34200</v>
      </c>
      <c r="E2401" s="212">
        <v>45413</v>
      </c>
      <c r="F2401" s="291" t="s">
        <v>109</v>
      </c>
      <c r="G2401" s="208" t="s">
        <v>525</v>
      </c>
      <c r="H2401" s="201" t="s">
        <v>310</v>
      </c>
      <c r="I2401" s="208" t="s">
        <v>173</v>
      </c>
      <c r="J2401" s="209"/>
      <c r="K2401" s="209"/>
      <c r="L2401" s="209"/>
      <c r="M2401" s="209"/>
      <c r="N2401" s="209"/>
      <c r="O2401" s="209"/>
      <c r="P2401" s="209"/>
      <c r="Q2401" s="209"/>
      <c r="R2401" s="209"/>
      <c r="S2401" s="209"/>
      <c r="T2401" s="209"/>
    </row>
    <row r="2402" spans="1:149" ht="15" hidden="1" customHeight="1">
      <c r="A2402" s="222">
        <v>45413</v>
      </c>
      <c r="B2402" s="201" t="s">
        <v>2175</v>
      </c>
      <c r="C2402" s="208" t="s">
        <v>146</v>
      </c>
      <c r="D2402" s="592">
        <v>-627040</v>
      </c>
      <c r="E2402" s="619">
        <v>45413</v>
      </c>
      <c r="F2402" s="201" t="s">
        <v>130</v>
      </c>
      <c r="G2402" s="627" t="s">
        <v>130</v>
      </c>
      <c r="H2402" s="201" t="s">
        <v>2176</v>
      </c>
      <c r="I2402" s="201" t="s">
        <v>173</v>
      </c>
      <c r="J2402" s="202"/>
      <c r="K2402" s="202"/>
      <c r="L2402" s="202"/>
      <c r="M2402" s="202"/>
      <c r="N2402" s="202"/>
      <c r="O2402" s="202"/>
      <c r="P2402" s="202"/>
      <c r="Q2402" s="202"/>
      <c r="R2402" s="202"/>
      <c r="S2402" s="202"/>
      <c r="T2402" s="202"/>
      <c r="U2402" s="202"/>
      <c r="V2402" s="202"/>
      <c r="W2402" s="202"/>
      <c r="X2402" s="202"/>
      <c r="Y2402" s="202"/>
      <c r="Z2402" s="202"/>
      <c r="AA2402" s="202"/>
      <c r="AB2402" s="202"/>
      <c r="AC2402" s="202"/>
      <c r="AD2402" s="202"/>
      <c r="AE2402" s="202"/>
      <c r="AF2402" s="202"/>
      <c r="AG2402" s="202"/>
      <c r="AH2402" s="202"/>
      <c r="AI2402" s="202"/>
      <c r="AJ2402" s="202"/>
      <c r="AK2402" s="202"/>
      <c r="AL2402" s="202"/>
      <c r="AM2402" s="202"/>
      <c r="AN2402" s="202"/>
      <c r="AO2402" s="202"/>
      <c r="AP2402" s="202"/>
      <c r="AQ2402" s="202"/>
      <c r="AR2402" s="202"/>
      <c r="AS2402" s="202"/>
      <c r="AT2402" s="202"/>
      <c r="AU2402" s="202"/>
      <c r="AV2402" s="202"/>
      <c r="AW2402" s="202"/>
      <c r="AX2402" s="202"/>
      <c r="AY2402" s="202"/>
      <c r="AZ2402" s="202"/>
      <c r="BA2402" s="202"/>
      <c r="BB2402" s="202"/>
      <c r="BC2402" s="202"/>
      <c r="BD2402" s="202"/>
      <c r="BE2402" s="202"/>
      <c r="BF2402" s="202"/>
      <c r="BG2402" s="202"/>
      <c r="BH2402" s="202"/>
      <c r="BI2402" s="202"/>
      <c r="BJ2402" s="202"/>
      <c r="BK2402" s="202"/>
      <c r="BL2402" s="202"/>
      <c r="BM2402" s="202"/>
      <c r="BN2402" s="202"/>
      <c r="BO2402" s="202"/>
      <c r="BP2402" s="202"/>
      <c r="BQ2402" s="202"/>
      <c r="BR2402" s="202"/>
      <c r="BS2402" s="202"/>
      <c r="BT2402" s="202"/>
      <c r="BU2402" s="202"/>
      <c r="BV2402" s="202"/>
      <c r="BW2402" s="202"/>
      <c r="BX2402" s="202"/>
      <c r="BY2402" s="202"/>
      <c r="BZ2402" s="202"/>
      <c r="CA2402" s="202"/>
      <c r="CB2402" s="202"/>
      <c r="CC2402" s="202"/>
      <c r="CD2402" s="202"/>
      <c r="CE2402" s="202"/>
      <c r="CF2402" s="202"/>
      <c r="CG2402" s="202"/>
      <c r="CH2402" s="202"/>
      <c r="CI2402" s="202"/>
      <c r="CJ2402" s="202"/>
      <c r="CK2402" s="202"/>
      <c r="CL2402" s="202"/>
      <c r="CM2402" s="202"/>
      <c r="CN2402" s="202"/>
      <c r="CO2402" s="202"/>
      <c r="CP2402" s="202"/>
      <c r="CQ2402" s="202"/>
      <c r="CR2402" s="202"/>
      <c r="CS2402" s="202"/>
      <c r="CT2402" s="202"/>
      <c r="CU2402" s="202"/>
      <c r="CV2402" s="202"/>
      <c r="CW2402" s="202"/>
      <c r="CX2402" s="202"/>
      <c r="CY2402" s="202"/>
      <c r="CZ2402" s="202"/>
      <c r="DA2402" s="202"/>
      <c r="DB2402" s="202"/>
      <c r="DC2402" s="202"/>
      <c r="DD2402" s="202"/>
      <c r="DE2402" s="202"/>
      <c r="DF2402" s="202"/>
      <c r="DG2402" s="202"/>
      <c r="DH2402" s="202"/>
      <c r="DI2402" s="202"/>
      <c r="DJ2402" s="202"/>
      <c r="DK2402" s="202"/>
      <c r="DL2402" s="202"/>
      <c r="DM2402" s="202"/>
      <c r="DN2402" s="202"/>
      <c r="DO2402" s="202"/>
      <c r="DP2402" s="202"/>
      <c r="DQ2402" s="202"/>
      <c r="DR2402" s="202"/>
      <c r="DS2402" s="202"/>
      <c r="DT2402" s="202"/>
      <c r="DU2402" s="202"/>
      <c r="DV2402" s="202"/>
      <c r="DW2402" s="202"/>
      <c r="DX2402" s="202"/>
      <c r="DY2402" s="202"/>
      <c r="DZ2402" s="202"/>
      <c r="EA2402" s="202"/>
      <c r="EB2402" s="202"/>
      <c r="EC2402" s="202"/>
      <c r="ED2402" s="202"/>
      <c r="EE2402" s="202"/>
      <c r="EF2402" s="202"/>
      <c r="EG2402" s="202"/>
      <c r="EH2402" s="202"/>
      <c r="EI2402" s="202"/>
      <c r="EJ2402" s="202"/>
      <c r="EK2402" s="202"/>
      <c r="EL2402" s="202"/>
      <c r="EM2402" s="202"/>
      <c r="EN2402" s="202"/>
      <c r="EO2402" s="202"/>
      <c r="EP2402" s="202"/>
      <c r="EQ2402" s="202"/>
      <c r="ER2402" s="202"/>
      <c r="ES2402" s="202"/>
    </row>
    <row r="2403" spans="1:149" ht="15" hidden="1" customHeight="1">
      <c r="A2403" s="468">
        <v>45413</v>
      </c>
      <c r="B2403" s="208" t="s">
        <v>2177</v>
      </c>
      <c r="C2403" s="208" t="s">
        <v>146</v>
      </c>
      <c r="D2403" s="592">
        <v>-20000</v>
      </c>
      <c r="E2403" s="619">
        <v>45413</v>
      </c>
      <c r="F2403" s="601" t="s">
        <v>109</v>
      </c>
      <c r="G2403" s="208" t="s">
        <v>120</v>
      </c>
      <c r="H2403" s="81" t="s">
        <v>138</v>
      </c>
      <c r="I2403" s="208" t="s">
        <v>1687</v>
      </c>
      <c r="J2403" s="209"/>
      <c r="K2403" s="209"/>
      <c r="L2403" s="209"/>
      <c r="M2403" s="209"/>
      <c r="N2403" s="209"/>
      <c r="O2403" s="209"/>
      <c r="P2403" s="209"/>
      <c r="Q2403" s="209"/>
      <c r="R2403" s="209"/>
      <c r="S2403" s="209"/>
      <c r="T2403" s="209"/>
    </row>
    <row r="2404" spans="1:149" ht="15" hidden="1" customHeight="1">
      <c r="A2404" s="468">
        <v>45413</v>
      </c>
      <c r="B2404" s="208" t="s">
        <v>2178</v>
      </c>
      <c r="C2404" s="208" t="s">
        <v>146</v>
      </c>
      <c r="D2404" s="592">
        <v>-20000</v>
      </c>
      <c r="E2404" s="619">
        <v>45413</v>
      </c>
      <c r="F2404" s="601" t="s">
        <v>109</v>
      </c>
      <c r="G2404" s="208" t="s">
        <v>120</v>
      </c>
      <c r="H2404" s="81" t="s">
        <v>138</v>
      </c>
      <c r="I2404" s="208" t="s">
        <v>1687</v>
      </c>
      <c r="J2404" s="209"/>
      <c r="K2404" s="209"/>
      <c r="L2404" s="209"/>
      <c r="M2404" s="209"/>
      <c r="N2404" s="209"/>
      <c r="O2404" s="209"/>
      <c r="P2404" s="209"/>
      <c r="Q2404" s="209"/>
      <c r="R2404" s="209"/>
      <c r="S2404" s="209"/>
      <c r="T2404" s="209"/>
    </row>
    <row r="2405" spans="1:149" ht="15" hidden="1" customHeight="1">
      <c r="A2405" s="468">
        <v>45413</v>
      </c>
      <c r="B2405" s="208" t="s">
        <v>2140</v>
      </c>
      <c r="C2405" s="208" t="s">
        <v>146</v>
      </c>
      <c r="D2405" s="592">
        <v>-47000</v>
      </c>
      <c r="E2405" s="619">
        <v>45413</v>
      </c>
      <c r="F2405" s="601" t="s">
        <v>109</v>
      </c>
      <c r="G2405" s="208" t="s">
        <v>120</v>
      </c>
      <c r="H2405" s="208" t="s">
        <v>175</v>
      </c>
      <c r="I2405" s="208" t="s">
        <v>1687</v>
      </c>
      <c r="J2405" s="209"/>
      <c r="K2405" s="209"/>
      <c r="L2405" s="209"/>
      <c r="M2405" s="209"/>
      <c r="N2405" s="209"/>
      <c r="O2405" s="209"/>
      <c r="P2405" s="209"/>
      <c r="Q2405" s="209"/>
      <c r="R2405" s="209"/>
      <c r="S2405" s="209"/>
      <c r="T2405" s="209"/>
    </row>
    <row r="2406" spans="1:149" ht="15" hidden="1" customHeight="1">
      <c r="A2406" s="468">
        <v>45413</v>
      </c>
      <c r="B2406" s="208" t="s">
        <v>2179</v>
      </c>
      <c r="C2406" s="208" t="s">
        <v>146</v>
      </c>
      <c r="D2406" s="592">
        <v>-20000</v>
      </c>
      <c r="E2406" s="619">
        <v>45413</v>
      </c>
      <c r="F2406" s="601" t="s">
        <v>109</v>
      </c>
      <c r="G2406" s="208" t="s">
        <v>120</v>
      </c>
      <c r="H2406" s="208" t="s">
        <v>147</v>
      </c>
      <c r="I2406" s="208" t="s">
        <v>1687</v>
      </c>
      <c r="J2406" s="209"/>
      <c r="K2406" s="209"/>
      <c r="L2406" s="209"/>
      <c r="M2406" s="209"/>
      <c r="N2406" s="209"/>
      <c r="O2406" s="209"/>
      <c r="P2406" s="209"/>
      <c r="Q2406" s="209"/>
      <c r="R2406" s="209"/>
      <c r="S2406" s="209"/>
      <c r="T2406" s="209"/>
    </row>
    <row r="2407" spans="1:149" ht="15" hidden="1" customHeight="1">
      <c r="A2407" s="222">
        <v>45414</v>
      </c>
      <c r="B2407" s="201" t="s">
        <v>2180</v>
      </c>
      <c r="C2407" s="208" t="s">
        <v>146</v>
      </c>
      <c r="D2407" s="592">
        <v>-23000</v>
      </c>
      <c r="E2407" s="619">
        <v>45413</v>
      </c>
      <c r="F2407" s="201" t="s">
        <v>109</v>
      </c>
      <c r="G2407" s="208" t="s">
        <v>120</v>
      </c>
      <c r="H2407" s="201"/>
      <c r="I2407" s="201"/>
      <c r="J2407" s="202"/>
      <c r="K2407" s="202"/>
      <c r="L2407" s="202"/>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c r="AH2407" s="202"/>
      <c r="AI2407" s="202"/>
      <c r="AJ2407" s="202"/>
      <c r="AK2407" s="202"/>
      <c r="AL2407" s="202"/>
      <c r="AM2407" s="202"/>
      <c r="AN2407" s="202"/>
      <c r="AO2407" s="202"/>
      <c r="AP2407" s="202"/>
      <c r="AQ2407" s="202"/>
      <c r="AR2407" s="202"/>
      <c r="AS2407" s="202"/>
      <c r="AT2407" s="202"/>
      <c r="AU2407" s="202"/>
      <c r="AV2407" s="202"/>
      <c r="AW2407" s="202"/>
      <c r="AX2407" s="202"/>
      <c r="AY2407" s="202"/>
      <c r="AZ2407" s="202"/>
      <c r="BA2407" s="202"/>
      <c r="BB2407" s="202"/>
      <c r="BC2407" s="202"/>
      <c r="BD2407" s="202"/>
      <c r="BE2407" s="202"/>
      <c r="BF2407" s="202"/>
      <c r="BG2407" s="202"/>
      <c r="BH2407" s="202"/>
      <c r="BI2407" s="202"/>
      <c r="BJ2407" s="202"/>
      <c r="BK2407" s="202"/>
      <c r="BL2407" s="202"/>
      <c r="BM2407" s="202"/>
      <c r="BN2407" s="202"/>
      <c r="BO2407" s="202"/>
      <c r="BP2407" s="202"/>
      <c r="BQ2407" s="202"/>
      <c r="BR2407" s="202"/>
      <c r="BS2407" s="202"/>
      <c r="BT2407" s="202"/>
      <c r="BU2407" s="202"/>
      <c r="BV2407" s="202"/>
      <c r="BW2407" s="202"/>
      <c r="BX2407" s="202"/>
      <c r="BY2407" s="202"/>
      <c r="BZ2407" s="202"/>
      <c r="CA2407" s="202"/>
      <c r="CB2407" s="202"/>
      <c r="CC2407" s="202"/>
      <c r="CD2407" s="202"/>
      <c r="CE2407" s="202"/>
      <c r="CF2407" s="202"/>
      <c r="CG2407" s="202"/>
      <c r="CH2407" s="202"/>
      <c r="CI2407" s="202"/>
      <c r="CJ2407" s="202"/>
      <c r="CK2407" s="202"/>
      <c r="CL2407" s="202"/>
      <c r="CM2407" s="202"/>
      <c r="CN2407" s="202"/>
      <c r="CO2407" s="202"/>
      <c r="CP2407" s="202"/>
      <c r="CQ2407" s="202"/>
      <c r="CR2407" s="202"/>
      <c r="CS2407" s="202"/>
      <c r="CT2407" s="202"/>
      <c r="CU2407" s="202"/>
      <c r="CV2407" s="202"/>
      <c r="CW2407" s="202"/>
      <c r="CX2407" s="202"/>
      <c r="CY2407" s="202"/>
      <c r="CZ2407" s="202"/>
      <c r="DA2407" s="202"/>
      <c r="DB2407" s="202"/>
      <c r="DC2407" s="202"/>
      <c r="DD2407" s="202"/>
      <c r="DE2407" s="202"/>
      <c r="DF2407" s="202"/>
      <c r="DG2407" s="202"/>
      <c r="DH2407" s="202"/>
      <c r="DI2407" s="202"/>
      <c r="DJ2407" s="202"/>
      <c r="DK2407" s="202"/>
      <c r="DL2407" s="202"/>
      <c r="DM2407" s="202"/>
      <c r="DN2407" s="202"/>
      <c r="DO2407" s="202"/>
      <c r="DP2407" s="202"/>
      <c r="DQ2407" s="202"/>
      <c r="DR2407" s="202"/>
      <c r="DS2407" s="202"/>
      <c r="DT2407" s="202"/>
      <c r="DU2407" s="202"/>
      <c r="DV2407" s="202"/>
      <c r="DW2407" s="202"/>
      <c r="DX2407" s="202"/>
      <c r="DY2407" s="202"/>
      <c r="DZ2407" s="202"/>
      <c r="EA2407" s="202"/>
      <c r="EB2407" s="202"/>
      <c r="EC2407" s="202"/>
      <c r="ED2407" s="202"/>
      <c r="EE2407" s="202"/>
      <c r="EF2407" s="202"/>
      <c r="EG2407" s="202"/>
      <c r="EH2407" s="202"/>
      <c r="EI2407" s="202"/>
      <c r="EJ2407" s="202"/>
      <c r="EK2407" s="202"/>
      <c r="EL2407" s="202"/>
      <c r="EM2407" s="202"/>
      <c r="EN2407" s="202"/>
      <c r="EO2407" s="202"/>
      <c r="EP2407" s="202"/>
      <c r="EQ2407" s="202"/>
      <c r="ER2407" s="202"/>
      <c r="ES2407" s="202"/>
    </row>
    <row r="2408" spans="1:149" ht="15" hidden="1" customHeight="1">
      <c r="A2408" s="440">
        <v>45414</v>
      </c>
      <c r="B2408" s="208" t="s">
        <v>2181</v>
      </c>
      <c r="C2408" s="208" t="s">
        <v>146</v>
      </c>
      <c r="D2408" s="592">
        <v>-142000</v>
      </c>
      <c r="E2408" s="619">
        <v>45413</v>
      </c>
      <c r="F2408" s="208" t="s">
        <v>110</v>
      </c>
      <c r="G2408" s="208" t="s">
        <v>122</v>
      </c>
      <c r="H2408" s="208" t="s">
        <v>175</v>
      </c>
      <c r="I2408" s="208" t="s">
        <v>173</v>
      </c>
      <c r="J2408" s="209"/>
      <c r="K2408" s="209"/>
      <c r="L2408" s="209"/>
      <c r="M2408" s="209"/>
      <c r="N2408" s="209"/>
      <c r="O2408" s="209"/>
      <c r="P2408" s="209"/>
      <c r="Q2408" s="209"/>
      <c r="R2408" s="209"/>
      <c r="S2408" s="209"/>
      <c r="T2408" s="209"/>
    </row>
    <row r="2409" spans="1:149" ht="15" hidden="1" customHeight="1">
      <c r="A2409" s="440">
        <v>45414</v>
      </c>
      <c r="B2409" s="208" t="s">
        <v>2182</v>
      </c>
      <c r="C2409" s="208" t="s">
        <v>146</v>
      </c>
      <c r="D2409" s="592">
        <v>-7000</v>
      </c>
      <c r="E2409" s="619">
        <v>45413</v>
      </c>
      <c r="F2409" s="601" t="s">
        <v>109</v>
      </c>
      <c r="G2409" s="201" t="s">
        <v>918</v>
      </c>
      <c r="H2409" s="81" t="s">
        <v>138</v>
      </c>
      <c r="I2409" s="208" t="s">
        <v>173</v>
      </c>
      <c r="J2409" s="209"/>
      <c r="K2409" s="209"/>
      <c r="L2409" s="209"/>
      <c r="M2409" s="209"/>
      <c r="N2409" s="209"/>
      <c r="O2409" s="209"/>
      <c r="P2409" s="209"/>
      <c r="Q2409" s="209"/>
      <c r="R2409" s="209"/>
      <c r="S2409" s="209"/>
      <c r="T2409" s="209"/>
    </row>
    <row r="2410" spans="1:149" ht="15" hidden="1" customHeight="1">
      <c r="A2410" s="468">
        <v>45414</v>
      </c>
      <c r="B2410" s="208" t="s">
        <v>2183</v>
      </c>
      <c r="C2410" s="208" t="s">
        <v>146</v>
      </c>
      <c r="D2410" s="592">
        <v>-22000</v>
      </c>
      <c r="E2410" s="619">
        <v>45413</v>
      </c>
      <c r="F2410" s="601" t="s">
        <v>109</v>
      </c>
      <c r="G2410" s="208" t="s">
        <v>120</v>
      </c>
      <c r="H2410" s="208" t="s">
        <v>175</v>
      </c>
      <c r="I2410" s="208" t="s">
        <v>1687</v>
      </c>
      <c r="J2410" s="209"/>
      <c r="K2410" s="209"/>
      <c r="L2410" s="209"/>
      <c r="M2410" s="209"/>
      <c r="N2410" s="209"/>
      <c r="O2410" s="209"/>
      <c r="P2410" s="209"/>
      <c r="Q2410" s="209"/>
      <c r="R2410" s="209"/>
      <c r="S2410" s="209"/>
      <c r="T2410" s="209"/>
    </row>
    <row r="2411" spans="1:149" ht="15" hidden="1" customHeight="1">
      <c r="A2411" s="468">
        <v>45414</v>
      </c>
      <c r="B2411" s="208" t="s">
        <v>2184</v>
      </c>
      <c r="C2411" s="208" t="s">
        <v>146</v>
      </c>
      <c r="D2411" s="592">
        <v>-20000</v>
      </c>
      <c r="E2411" s="619">
        <v>45413</v>
      </c>
      <c r="F2411" s="601" t="s">
        <v>109</v>
      </c>
      <c r="G2411" s="208" t="s">
        <v>120</v>
      </c>
      <c r="H2411" s="208"/>
      <c r="I2411" s="208" t="s">
        <v>1687</v>
      </c>
      <c r="J2411" s="209"/>
      <c r="K2411" s="209"/>
      <c r="L2411" s="209"/>
      <c r="M2411" s="209"/>
      <c r="N2411" s="209"/>
      <c r="O2411" s="209"/>
      <c r="P2411" s="209"/>
      <c r="Q2411" s="209"/>
      <c r="R2411" s="209"/>
      <c r="S2411" s="209"/>
      <c r="T2411" s="209"/>
    </row>
    <row r="2412" spans="1:149" ht="15" hidden="1" customHeight="1">
      <c r="A2412" s="468">
        <v>45414</v>
      </c>
      <c r="B2412" s="208" t="s">
        <v>2185</v>
      </c>
      <c r="C2412" s="208" t="s">
        <v>146</v>
      </c>
      <c r="D2412" s="592">
        <v>-10000</v>
      </c>
      <c r="E2412" s="619">
        <v>45413</v>
      </c>
      <c r="F2412" s="601" t="s">
        <v>109</v>
      </c>
      <c r="G2412" s="208" t="s">
        <v>120</v>
      </c>
      <c r="H2412" s="208"/>
      <c r="I2412" s="208" t="s">
        <v>1687</v>
      </c>
      <c r="J2412" s="209"/>
      <c r="K2412" s="209"/>
      <c r="L2412" s="209"/>
      <c r="M2412" s="209"/>
      <c r="N2412" s="209"/>
      <c r="O2412" s="209"/>
      <c r="P2412" s="209"/>
      <c r="Q2412" s="209"/>
      <c r="R2412" s="209"/>
      <c r="S2412" s="209"/>
      <c r="T2412" s="209"/>
    </row>
    <row r="2413" spans="1:149" ht="15" hidden="1" customHeight="1">
      <c r="A2413" s="468">
        <v>45414</v>
      </c>
      <c r="B2413" s="208" t="s">
        <v>2186</v>
      </c>
      <c r="C2413" s="208" t="s">
        <v>146</v>
      </c>
      <c r="D2413" s="592">
        <v>-45000</v>
      </c>
      <c r="E2413" s="619">
        <v>45413</v>
      </c>
      <c r="F2413" s="208" t="s">
        <v>130</v>
      </c>
      <c r="G2413" s="208" t="s">
        <v>257</v>
      </c>
      <c r="H2413" s="201" t="s">
        <v>1138</v>
      </c>
      <c r="I2413" s="208"/>
      <c r="J2413" s="209"/>
      <c r="K2413" s="209"/>
      <c r="L2413" s="209"/>
      <c r="M2413" s="209"/>
      <c r="N2413" s="209"/>
      <c r="O2413" s="209"/>
      <c r="P2413" s="209"/>
      <c r="Q2413" s="209"/>
      <c r="R2413" s="209"/>
      <c r="S2413" s="209"/>
      <c r="T2413" s="209"/>
    </row>
    <row r="2414" spans="1:149" ht="15" hidden="1" customHeight="1">
      <c r="A2414" s="468">
        <v>45414</v>
      </c>
      <c r="B2414" s="208" t="s">
        <v>2187</v>
      </c>
      <c r="C2414" s="208" t="s">
        <v>146</v>
      </c>
      <c r="D2414" s="592">
        <v>-18000</v>
      </c>
      <c r="E2414" s="619">
        <v>45413</v>
      </c>
      <c r="F2414" s="201" t="s">
        <v>110</v>
      </c>
      <c r="G2414" s="81" t="s">
        <v>1621</v>
      </c>
      <c r="H2414" s="81" t="s">
        <v>138</v>
      </c>
      <c r="I2414" s="208"/>
      <c r="J2414" s="209"/>
      <c r="K2414" s="209"/>
      <c r="L2414" s="209"/>
      <c r="M2414" s="209"/>
      <c r="N2414" s="209"/>
      <c r="O2414" s="209"/>
      <c r="P2414" s="209"/>
      <c r="Q2414" s="209"/>
      <c r="R2414" s="209"/>
      <c r="S2414" s="209"/>
      <c r="T2414" s="209"/>
    </row>
    <row r="2415" spans="1:149" ht="15" hidden="1" customHeight="1">
      <c r="A2415" s="440">
        <v>45415</v>
      </c>
      <c r="B2415" s="208" t="s">
        <v>2188</v>
      </c>
      <c r="C2415" s="208" t="s">
        <v>146</v>
      </c>
      <c r="D2415" s="592">
        <v>-110754</v>
      </c>
      <c r="E2415" s="619">
        <v>45413</v>
      </c>
      <c r="F2415" s="201" t="s">
        <v>110</v>
      </c>
      <c r="G2415" s="81" t="s">
        <v>1621</v>
      </c>
      <c r="H2415" s="208" t="s">
        <v>175</v>
      </c>
      <c r="I2415" s="208" t="s">
        <v>173</v>
      </c>
      <c r="J2415" s="209"/>
      <c r="K2415" s="209"/>
      <c r="L2415" s="209"/>
      <c r="M2415" s="209"/>
      <c r="N2415" s="209"/>
      <c r="O2415" s="209"/>
      <c r="P2415" s="209"/>
      <c r="Q2415" s="209"/>
      <c r="R2415" s="209"/>
      <c r="S2415" s="209"/>
      <c r="T2415" s="209"/>
    </row>
    <row r="2416" spans="1:149" ht="15" hidden="1" customHeight="1">
      <c r="A2416" s="440">
        <v>45415</v>
      </c>
      <c r="B2416" s="208" t="s">
        <v>2189</v>
      </c>
      <c r="C2416" s="208" t="s">
        <v>146</v>
      </c>
      <c r="D2416" s="592">
        <v>-17910</v>
      </c>
      <c r="E2416" s="619">
        <v>45413</v>
      </c>
      <c r="F2416" s="201" t="s">
        <v>110</v>
      </c>
      <c r="G2416" s="81" t="s">
        <v>1621</v>
      </c>
      <c r="H2416" s="208" t="s">
        <v>175</v>
      </c>
      <c r="I2416" s="208" t="s">
        <v>173</v>
      </c>
      <c r="J2416" s="209"/>
      <c r="K2416" s="209"/>
      <c r="L2416" s="209"/>
      <c r="M2416" s="209"/>
      <c r="N2416" s="209"/>
      <c r="O2416" s="209"/>
      <c r="P2416" s="209"/>
      <c r="Q2416" s="209"/>
      <c r="R2416" s="209"/>
      <c r="S2416" s="209"/>
      <c r="T2416" s="209"/>
    </row>
    <row r="2417" spans="1:20" ht="15" hidden="1" customHeight="1">
      <c r="A2417" s="440">
        <v>45415</v>
      </c>
      <c r="B2417" s="208" t="s">
        <v>2190</v>
      </c>
      <c r="C2417" s="208" t="s">
        <v>146</v>
      </c>
      <c r="D2417" s="592">
        <v>-120000</v>
      </c>
      <c r="E2417" s="619">
        <v>45413</v>
      </c>
      <c r="F2417" s="601" t="s">
        <v>109</v>
      </c>
      <c r="G2417" s="208" t="s">
        <v>120</v>
      </c>
      <c r="H2417" s="208" t="s">
        <v>175</v>
      </c>
      <c r="I2417" s="208" t="s">
        <v>173</v>
      </c>
      <c r="J2417" s="209"/>
      <c r="K2417" s="209"/>
      <c r="L2417" s="209"/>
      <c r="M2417" s="209"/>
      <c r="N2417" s="209"/>
      <c r="O2417" s="209"/>
      <c r="P2417" s="209"/>
      <c r="Q2417" s="209"/>
      <c r="R2417" s="209"/>
      <c r="S2417" s="209"/>
      <c r="T2417" s="209"/>
    </row>
    <row r="2418" spans="1:20" ht="15" hidden="1" customHeight="1">
      <c r="A2418" s="440">
        <v>45415</v>
      </c>
      <c r="B2418" s="208" t="s">
        <v>2191</v>
      </c>
      <c r="C2418" s="208" t="s">
        <v>146</v>
      </c>
      <c r="D2418" s="592">
        <v>-7500</v>
      </c>
      <c r="E2418" s="619">
        <v>45413</v>
      </c>
      <c r="F2418" s="201" t="s">
        <v>110</v>
      </c>
      <c r="G2418" s="81" t="s">
        <v>1621</v>
      </c>
      <c r="H2418" s="208" t="s">
        <v>175</v>
      </c>
      <c r="I2418" s="208" t="s">
        <v>173</v>
      </c>
      <c r="J2418" s="209"/>
      <c r="K2418" s="209"/>
      <c r="L2418" s="209"/>
      <c r="M2418" s="209"/>
      <c r="N2418" s="209"/>
      <c r="O2418" s="209"/>
      <c r="P2418" s="209"/>
      <c r="Q2418" s="209"/>
      <c r="R2418" s="209"/>
      <c r="S2418" s="209"/>
      <c r="T2418" s="209"/>
    </row>
    <row r="2419" spans="1:20" ht="15" hidden="1" customHeight="1">
      <c r="A2419" s="440">
        <v>45415</v>
      </c>
      <c r="B2419" s="208" t="s">
        <v>2192</v>
      </c>
      <c r="C2419" s="208" t="s">
        <v>146</v>
      </c>
      <c r="D2419" s="592">
        <v>-26400</v>
      </c>
      <c r="E2419" s="619">
        <v>45413</v>
      </c>
      <c r="F2419" s="201" t="s">
        <v>110</v>
      </c>
      <c r="G2419" s="81" t="s">
        <v>1621</v>
      </c>
      <c r="H2419" s="208" t="s">
        <v>175</v>
      </c>
      <c r="I2419" s="208" t="s">
        <v>173</v>
      </c>
      <c r="J2419" s="209"/>
      <c r="K2419" s="209"/>
      <c r="L2419" s="209"/>
      <c r="M2419" s="209"/>
      <c r="N2419" s="209"/>
      <c r="O2419" s="209"/>
      <c r="P2419" s="209"/>
      <c r="Q2419" s="209"/>
      <c r="R2419" s="209"/>
      <c r="S2419" s="209"/>
      <c r="T2419" s="209"/>
    </row>
    <row r="2420" spans="1:20" ht="15" hidden="1" customHeight="1">
      <c r="A2420" s="440">
        <v>45415</v>
      </c>
      <c r="B2420" s="208" t="s">
        <v>2193</v>
      </c>
      <c r="C2420" s="208" t="s">
        <v>146</v>
      </c>
      <c r="D2420" s="592">
        <v>-15000</v>
      </c>
      <c r="E2420" s="619">
        <v>45413</v>
      </c>
      <c r="F2420" s="201" t="s">
        <v>110</v>
      </c>
      <c r="G2420" s="81" t="s">
        <v>1621</v>
      </c>
      <c r="H2420" s="208" t="s">
        <v>175</v>
      </c>
      <c r="I2420" s="208" t="s">
        <v>173</v>
      </c>
      <c r="J2420" s="209"/>
      <c r="K2420" s="209"/>
      <c r="L2420" s="209"/>
      <c r="M2420" s="209"/>
      <c r="N2420" s="209"/>
      <c r="O2420" s="209"/>
      <c r="P2420" s="209"/>
      <c r="Q2420" s="209"/>
      <c r="R2420" s="209"/>
      <c r="S2420" s="209"/>
      <c r="T2420" s="209"/>
    </row>
    <row r="2421" spans="1:20" ht="15" hidden="1" customHeight="1">
      <c r="A2421" s="440">
        <v>45415</v>
      </c>
      <c r="B2421" s="208" t="s">
        <v>2194</v>
      </c>
      <c r="C2421" s="208" t="s">
        <v>146</v>
      </c>
      <c r="D2421" s="592">
        <v>-10000</v>
      </c>
      <c r="E2421" s="619">
        <v>45413</v>
      </c>
      <c r="F2421" s="601" t="s">
        <v>109</v>
      </c>
      <c r="G2421" s="208" t="s">
        <v>120</v>
      </c>
      <c r="H2421" s="81" t="s">
        <v>138</v>
      </c>
      <c r="I2421" s="208" t="s">
        <v>173</v>
      </c>
      <c r="J2421" s="209"/>
      <c r="K2421" s="209"/>
      <c r="L2421" s="209"/>
      <c r="M2421" s="209"/>
      <c r="N2421" s="209"/>
      <c r="O2421" s="209"/>
      <c r="P2421" s="209"/>
      <c r="Q2421" s="209"/>
      <c r="R2421" s="209"/>
      <c r="S2421" s="209"/>
      <c r="T2421" s="209"/>
    </row>
    <row r="2422" spans="1:20" ht="15" hidden="1" customHeight="1">
      <c r="A2422" s="468">
        <v>45415</v>
      </c>
      <c r="B2422" s="208" t="s">
        <v>2195</v>
      </c>
      <c r="C2422" s="208" t="s">
        <v>146</v>
      </c>
      <c r="D2422" s="592">
        <v>-130000</v>
      </c>
      <c r="E2422" s="619">
        <v>45413</v>
      </c>
      <c r="F2422" s="601" t="s">
        <v>109</v>
      </c>
      <c r="G2422" s="208" t="s">
        <v>120</v>
      </c>
      <c r="H2422" s="81" t="s">
        <v>138</v>
      </c>
      <c r="I2422" s="208" t="s">
        <v>1687</v>
      </c>
      <c r="J2422" s="209"/>
      <c r="K2422" s="209"/>
      <c r="L2422" s="209"/>
      <c r="M2422" s="209"/>
      <c r="N2422" s="209"/>
      <c r="O2422" s="209"/>
      <c r="P2422" s="209"/>
      <c r="Q2422" s="209"/>
      <c r="R2422" s="209"/>
      <c r="S2422" s="209"/>
      <c r="T2422" s="209"/>
    </row>
    <row r="2423" spans="1:20" ht="15" hidden="1" customHeight="1">
      <c r="A2423" s="468">
        <v>45415</v>
      </c>
      <c r="B2423" s="208" t="s">
        <v>2196</v>
      </c>
      <c r="C2423" s="208" t="s">
        <v>146</v>
      </c>
      <c r="D2423" s="592">
        <v>-40000</v>
      </c>
      <c r="E2423" s="619">
        <v>45413</v>
      </c>
      <c r="F2423" s="601" t="s">
        <v>109</v>
      </c>
      <c r="G2423" s="208" t="s">
        <v>120</v>
      </c>
      <c r="H2423" s="81" t="s">
        <v>138</v>
      </c>
      <c r="I2423" s="208" t="s">
        <v>1687</v>
      </c>
      <c r="J2423" s="209"/>
      <c r="K2423" s="209"/>
      <c r="L2423" s="209"/>
      <c r="M2423" s="209"/>
      <c r="N2423" s="209"/>
      <c r="O2423" s="209"/>
      <c r="P2423" s="209"/>
      <c r="Q2423" s="209"/>
      <c r="R2423" s="209"/>
      <c r="S2423" s="209"/>
      <c r="T2423" s="209"/>
    </row>
    <row r="2424" spans="1:20" ht="15" hidden="1" customHeight="1">
      <c r="A2424" s="468">
        <v>45415</v>
      </c>
      <c r="B2424" s="208" t="s">
        <v>2197</v>
      </c>
      <c r="C2424" s="208" t="s">
        <v>146</v>
      </c>
      <c r="D2424" s="592">
        <v>-100000</v>
      </c>
      <c r="E2424" s="619">
        <v>45413</v>
      </c>
      <c r="F2424" s="601" t="s">
        <v>109</v>
      </c>
      <c r="G2424" s="208" t="s">
        <v>120</v>
      </c>
      <c r="H2424" s="208" t="s">
        <v>147</v>
      </c>
      <c r="I2424" s="208" t="s">
        <v>1687</v>
      </c>
      <c r="J2424" s="209"/>
      <c r="K2424" s="209"/>
      <c r="L2424" s="209"/>
      <c r="M2424" s="209"/>
      <c r="N2424" s="209"/>
      <c r="O2424" s="209"/>
      <c r="P2424" s="209"/>
      <c r="Q2424" s="209"/>
      <c r="R2424" s="209"/>
      <c r="S2424" s="209"/>
      <c r="T2424" s="209"/>
    </row>
    <row r="2425" spans="1:20" ht="15" hidden="1" customHeight="1">
      <c r="A2425" s="468">
        <v>45415</v>
      </c>
      <c r="B2425" s="208" t="s">
        <v>2134</v>
      </c>
      <c r="C2425" s="208" t="s">
        <v>146</v>
      </c>
      <c r="D2425" s="592">
        <v>-40000</v>
      </c>
      <c r="E2425" s="619">
        <v>45413</v>
      </c>
      <c r="F2425" s="601" t="s">
        <v>109</v>
      </c>
      <c r="G2425" s="208" t="s">
        <v>120</v>
      </c>
      <c r="H2425" s="81" t="s">
        <v>138</v>
      </c>
      <c r="I2425" s="208" t="s">
        <v>1687</v>
      </c>
      <c r="J2425" s="209"/>
      <c r="K2425" s="209"/>
      <c r="L2425" s="209"/>
      <c r="M2425" s="209"/>
      <c r="N2425" s="209"/>
      <c r="O2425" s="209"/>
      <c r="P2425" s="209"/>
      <c r="Q2425" s="209"/>
      <c r="R2425" s="209"/>
      <c r="S2425" s="209"/>
      <c r="T2425" s="209"/>
    </row>
    <row r="2426" spans="1:20" ht="15" hidden="1" customHeight="1">
      <c r="A2426" s="468">
        <v>45415</v>
      </c>
      <c r="B2426" s="208" t="s">
        <v>2198</v>
      </c>
      <c r="C2426" s="208" t="s">
        <v>146</v>
      </c>
      <c r="D2426" s="592">
        <v>-35000</v>
      </c>
      <c r="E2426" s="619">
        <v>45413</v>
      </c>
      <c r="F2426" s="601" t="s">
        <v>109</v>
      </c>
      <c r="G2426" s="208" t="s">
        <v>120</v>
      </c>
      <c r="H2426" s="208" t="s">
        <v>147</v>
      </c>
      <c r="I2426" s="208" t="s">
        <v>1687</v>
      </c>
      <c r="J2426" s="209"/>
      <c r="K2426" s="209"/>
      <c r="L2426" s="209"/>
      <c r="M2426" s="209"/>
      <c r="N2426" s="209"/>
      <c r="O2426" s="209"/>
      <c r="P2426" s="209"/>
      <c r="Q2426" s="209"/>
      <c r="R2426" s="209"/>
      <c r="S2426" s="209"/>
      <c r="T2426" s="209"/>
    </row>
    <row r="2427" spans="1:20" ht="15" hidden="1" customHeight="1">
      <c r="A2427" s="468">
        <v>45415</v>
      </c>
      <c r="B2427" s="208" t="s">
        <v>2199</v>
      </c>
      <c r="C2427" s="208" t="s">
        <v>146</v>
      </c>
      <c r="D2427" s="592">
        <v>-7000</v>
      </c>
      <c r="E2427" s="619">
        <v>45413</v>
      </c>
      <c r="F2427" s="601" t="s">
        <v>109</v>
      </c>
      <c r="G2427" s="208" t="s">
        <v>120</v>
      </c>
      <c r="H2427" s="208"/>
      <c r="I2427" s="208"/>
      <c r="J2427" s="209"/>
      <c r="K2427" s="209"/>
      <c r="L2427" s="209"/>
      <c r="M2427" s="209"/>
      <c r="N2427" s="209"/>
      <c r="O2427" s="209"/>
      <c r="P2427" s="209"/>
      <c r="Q2427" s="209"/>
      <c r="R2427" s="209"/>
      <c r="S2427" s="209"/>
      <c r="T2427" s="209"/>
    </row>
    <row r="2428" spans="1:20" ht="15" hidden="1" customHeight="1">
      <c r="A2428" s="468">
        <v>45415</v>
      </c>
      <c r="B2428" s="208" t="s">
        <v>2200</v>
      </c>
      <c r="C2428" s="208" t="s">
        <v>146</v>
      </c>
      <c r="D2428" s="592">
        <v>-20000</v>
      </c>
      <c r="E2428" s="619">
        <v>45413</v>
      </c>
      <c r="F2428" s="601" t="s">
        <v>109</v>
      </c>
      <c r="G2428" s="208" t="s">
        <v>120</v>
      </c>
      <c r="H2428" s="208"/>
      <c r="I2428" s="208"/>
      <c r="J2428" s="209"/>
      <c r="K2428" s="209"/>
      <c r="L2428" s="209"/>
      <c r="M2428" s="209"/>
      <c r="N2428" s="209"/>
      <c r="O2428" s="209"/>
      <c r="P2428" s="209"/>
      <c r="Q2428" s="209"/>
      <c r="R2428" s="209"/>
      <c r="S2428" s="209"/>
      <c r="T2428" s="209"/>
    </row>
    <row r="2429" spans="1:20" ht="15" hidden="1" customHeight="1">
      <c r="A2429" s="468">
        <v>45415</v>
      </c>
      <c r="B2429" s="208" t="s">
        <v>2201</v>
      </c>
      <c r="C2429" s="208" t="s">
        <v>146</v>
      </c>
      <c r="D2429" s="592">
        <v>-15000</v>
      </c>
      <c r="E2429" s="619">
        <v>45413</v>
      </c>
      <c r="F2429" s="601" t="s">
        <v>109</v>
      </c>
      <c r="G2429" s="208" t="s">
        <v>120</v>
      </c>
      <c r="H2429" s="208"/>
      <c r="I2429" s="208"/>
      <c r="J2429" s="209"/>
      <c r="K2429" s="209"/>
      <c r="L2429" s="209"/>
      <c r="M2429" s="209"/>
      <c r="N2429" s="209"/>
      <c r="O2429" s="209"/>
      <c r="P2429" s="209"/>
      <c r="Q2429" s="209"/>
      <c r="R2429" s="209"/>
      <c r="S2429" s="209"/>
      <c r="T2429" s="209"/>
    </row>
    <row r="2430" spans="1:20" ht="15" hidden="1" customHeight="1">
      <c r="A2430" s="468">
        <v>45415</v>
      </c>
      <c r="B2430" s="208" t="s">
        <v>2202</v>
      </c>
      <c r="C2430" s="208" t="s">
        <v>146</v>
      </c>
      <c r="D2430" s="592">
        <v>-20000</v>
      </c>
      <c r="E2430" s="619">
        <v>45413</v>
      </c>
      <c r="F2430" s="601" t="s">
        <v>109</v>
      </c>
      <c r="G2430" s="208" t="s">
        <v>120</v>
      </c>
      <c r="H2430" s="208"/>
      <c r="I2430" s="208"/>
      <c r="J2430" s="209"/>
      <c r="K2430" s="209"/>
      <c r="L2430" s="209"/>
      <c r="M2430" s="209"/>
      <c r="N2430" s="209"/>
      <c r="O2430" s="209"/>
      <c r="P2430" s="209"/>
      <c r="Q2430" s="209"/>
      <c r="R2430" s="209"/>
      <c r="S2430" s="209"/>
      <c r="T2430" s="209"/>
    </row>
    <row r="2431" spans="1:20" ht="15" hidden="1" customHeight="1">
      <c r="A2431" s="468">
        <v>45415</v>
      </c>
      <c r="B2431" s="208" t="s">
        <v>2203</v>
      </c>
      <c r="C2431" s="208" t="s">
        <v>146</v>
      </c>
      <c r="D2431" s="592">
        <v>-7000</v>
      </c>
      <c r="E2431" s="619">
        <v>45413</v>
      </c>
      <c r="F2431" s="601" t="s">
        <v>109</v>
      </c>
      <c r="G2431" s="208" t="s">
        <v>120</v>
      </c>
      <c r="H2431" s="208"/>
      <c r="I2431" s="208"/>
      <c r="J2431" s="209"/>
      <c r="K2431" s="209"/>
      <c r="L2431" s="209"/>
      <c r="M2431" s="209"/>
      <c r="N2431" s="209"/>
      <c r="O2431" s="209"/>
      <c r="P2431" s="209"/>
      <c r="Q2431" s="209"/>
      <c r="R2431" s="209"/>
      <c r="S2431" s="209"/>
      <c r="T2431" s="209"/>
    </row>
    <row r="2432" spans="1:20" ht="15" hidden="1" customHeight="1">
      <c r="A2432" s="440">
        <v>45418</v>
      </c>
      <c r="B2432" s="208" t="s">
        <v>2204</v>
      </c>
      <c r="C2432" s="208" t="s">
        <v>146</v>
      </c>
      <c r="D2432" s="592">
        <v>-12000</v>
      </c>
      <c r="E2432" s="619">
        <v>45413</v>
      </c>
      <c r="F2432" s="208" t="s">
        <v>207</v>
      </c>
      <c r="G2432" s="208" t="s">
        <v>262</v>
      </c>
      <c r="H2432" s="81" t="s">
        <v>138</v>
      </c>
      <c r="I2432" s="208"/>
      <c r="J2432" s="209"/>
      <c r="K2432" s="209"/>
      <c r="L2432" s="209"/>
      <c r="M2432" s="209"/>
      <c r="N2432" s="209"/>
      <c r="O2432" s="209"/>
      <c r="P2432" s="209"/>
      <c r="Q2432" s="209"/>
      <c r="R2432" s="209"/>
      <c r="S2432" s="209"/>
      <c r="T2432" s="209"/>
    </row>
    <row r="2433" spans="1:20" ht="15" hidden="1" customHeight="1">
      <c r="A2433" s="468">
        <v>45418</v>
      </c>
      <c r="B2433" s="208" t="s">
        <v>2205</v>
      </c>
      <c r="C2433" s="208" t="s">
        <v>146</v>
      </c>
      <c r="D2433" s="592">
        <v>-231300</v>
      </c>
      <c r="E2433" s="619">
        <v>45413</v>
      </c>
      <c r="F2433" s="208" t="s">
        <v>1702</v>
      </c>
      <c r="G2433" s="208"/>
      <c r="H2433" s="208"/>
      <c r="I2433" s="208"/>
      <c r="J2433" s="209"/>
      <c r="K2433" s="209"/>
      <c r="L2433" s="209"/>
      <c r="M2433" s="209"/>
      <c r="N2433" s="209"/>
      <c r="O2433" s="209"/>
      <c r="P2433" s="209"/>
      <c r="Q2433" s="209"/>
      <c r="R2433" s="209"/>
      <c r="S2433" s="209"/>
      <c r="T2433" s="209"/>
    </row>
    <row r="2434" spans="1:20" ht="15" hidden="1" customHeight="1">
      <c r="A2434" s="468">
        <v>45418</v>
      </c>
      <c r="B2434" s="208" t="s">
        <v>2206</v>
      </c>
      <c r="C2434" s="208" t="s">
        <v>146</v>
      </c>
      <c r="D2434" s="592">
        <v>-40000</v>
      </c>
      <c r="E2434" s="619">
        <v>45413</v>
      </c>
      <c r="F2434" s="208" t="s">
        <v>130</v>
      </c>
      <c r="G2434" s="208" t="s">
        <v>257</v>
      </c>
      <c r="H2434" s="81" t="s">
        <v>138</v>
      </c>
      <c r="I2434" s="208"/>
      <c r="J2434" s="209"/>
      <c r="K2434" s="209"/>
      <c r="L2434" s="209"/>
      <c r="M2434" s="209"/>
      <c r="N2434" s="209"/>
      <c r="O2434" s="209"/>
      <c r="P2434" s="209"/>
      <c r="Q2434" s="209"/>
      <c r="R2434" s="209"/>
      <c r="S2434" s="209"/>
      <c r="T2434" s="209"/>
    </row>
    <row r="2435" spans="1:20" ht="15" hidden="1" customHeight="1">
      <c r="A2435" s="468">
        <v>45418</v>
      </c>
      <c r="B2435" s="208" t="s">
        <v>2207</v>
      </c>
      <c r="C2435" s="208" t="s">
        <v>146</v>
      </c>
      <c r="D2435" s="592">
        <v>-40000</v>
      </c>
      <c r="E2435" s="619">
        <v>45413</v>
      </c>
      <c r="F2435" s="201" t="s">
        <v>110</v>
      </c>
      <c r="G2435" s="81" t="s">
        <v>1621</v>
      </c>
      <c r="H2435" s="81" t="s">
        <v>138</v>
      </c>
      <c r="I2435" s="208"/>
      <c r="J2435" s="209"/>
      <c r="K2435" s="209"/>
      <c r="L2435" s="209"/>
      <c r="M2435" s="209"/>
      <c r="N2435" s="209"/>
      <c r="O2435" s="209"/>
      <c r="P2435" s="209"/>
      <c r="Q2435" s="209"/>
      <c r="R2435" s="209"/>
      <c r="S2435" s="209"/>
      <c r="T2435" s="209"/>
    </row>
    <row r="2436" spans="1:20" ht="15" hidden="1" customHeight="1">
      <c r="A2436" s="468">
        <v>45418</v>
      </c>
      <c r="B2436" s="208" t="s">
        <v>2208</v>
      </c>
      <c r="C2436" s="208" t="s">
        <v>146</v>
      </c>
      <c r="D2436" s="592">
        <v>-260000</v>
      </c>
      <c r="E2436" s="619">
        <v>45413</v>
      </c>
      <c r="F2436" s="601" t="s">
        <v>109</v>
      </c>
      <c r="G2436" s="201" t="s">
        <v>918</v>
      </c>
      <c r="H2436" s="81" t="s">
        <v>138</v>
      </c>
      <c r="I2436" s="208"/>
      <c r="J2436" s="209"/>
      <c r="K2436" s="209"/>
      <c r="L2436" s="209"/>
      <c r="M2436" s="209"/>
      <c r="N2436" s="209"/>
      <c r="O2436" s="209"/>
      <c r="P2436" s="209"/>
      <c r="Q2436" s="209"/>
      <c r="R2436" s="209"/>
      <c r="S2436" s="209"/>
      <c r="T2436" s="209"/>
    </row>
    <row r="2437" spans="1:20" ht="15" hidden="1" customHeight="1">
      <c r="A2437" s="468">
        <v>45418</v>
      </c>
      <c r="B2437" s="208" t="s">
        <v>2209</v>
      </c>
      <c r="C2437" s="208" t="s">
        <v>146</v>
      </c>
      <c r="D2437" s="592">
        <v>-20000</v>
      </c>
      <c r="E2437" s="619">
        <v>45413</v>
      </c>
      <c r="F2437" s="201" t="s">
        <v>110</v>
      </c>
      <c r="G2437" s="208" t="s">
        <v>774</v>
      </c>
      <c r="H2437" s="81" t="s">
        <v>138</v>
      </c>
      <c r="I2437" s="208"/>
      <c r="J2437" s="209"/>
      <c r="K2437" s="209"/>
      <c r="L2437" s="209"/>
      <c r="M2437" s="209"/>
      <c r="N2437" s="209"/>
      <c r="O2437" s="209"/>
      <c r="P2437" s="209"/>
      <c r="Q2437" s="209"/>
      <c r="R2437" s="209"/>
      <c r="S2437" s="209"/>
      <c r="T2437" s="209"/>
    </row>
    <row r="2438" spans="1:20" ht="15" hidden="1" customHeight="1">
      <c r="A2438" s="468">
        <v>45418</v>
      </c>
      <c r="B2438" s="208" t="s">
        <v>2199</v>
      </c>
      <c r="C2438" s="208" t="s">
        <v>146</v>
      </c>
      <c r="D2438" s="592">
        <v>-7500</v>
      </c>
      <c r="E2438" s="619">
        <v>45413</v>
      </c>
      <c r="F2438" s="601" t="s">
        <v>109</v>
      </c>
      <c r="G2438" s="208" t="s">
        <v>120</v>
      </c>
      <c r="H2438" s="208"/>
      <c r="I2438" s="208"/>
      <c r="J2438" s="209"/>
      <c r="K2438" s="209"/>
      <c r="L2438" s="209"/>
      <c r="M2438" s="209"/>
      <c r="N2438" s="209"/>
      <c r="O2438" s="209"/>
      <c r="P2438" s="209"/>
      <c r="Q2438" s="209"/>
      <c r="R2438" s="209"/>
      <c r="S2438" s="209"/>
      <c r="T2438" s="209"/>
    </row>
    <row r="2439" spans="1:20" ht="15" hidden="1" customHeight="1">
      <c r="A2439" s="468">
        <v>45418</v>
      </c>
      <c r="B2439" s="208" t="s">
        <v>2210</v>
      </c>
      <c r="C2439" s="208" t="s">
        <v>146</v>
      </c>
      <c r="D2439" s="592">
        <v>-18000</v>
      </c>
      <c r="E2439" s="619">
        <v>45413</v>
      </c>
      <c r="F2439" s="601" t="s">
        <v>109</v>
      </c>
      <c r="G2439" s="208" t="s">
        <v>120</v>
      </c>
      <c r="H2439" s="208"/>
      <c r="I2439" s="208"/>
      <c r="J2439" s="209"/>
      <c r="K2439" s="209"/>
      <c r="L2439" s="209"/>
      <c r="M2439" s="209"/>
      <c r="N2439" s="209"/>
      <c r="O2439" s="209"/>
      <c r="P2439" s="209"/>
      <c r="Q2439" s="209"/>
      <c r="R2439" s="209"/>
      <c r="S2439" s="209"/>
      <c r="T2439" s="209"/>
    </row>
    <row r="2440" spans="1:20" ht="15" hidden="1" customHeight="1">
      <c r="A2440" s="468">
        <v>45418</v>
      </c>
      <c r="B2440" s="208" t="s">
        <v>2201</v>
      </c>
      <c r="C2440" s="208" t="s">
        <v>146</v>
      </c>
      <c r="D2440" s="592">
        <v>-15000</v>
      </c>
      <c r="E2440" s="619">
        <v>45413</v>
      </c>
      <c r="F2440" s="601" t="s">
        <v>109</v>
      </c>
      <c r="G2440" s="208" t="s">
        <v>120</v>
      </c>
      <c r="H2440" s="208"/>
      <c r="I2440" s="208"/>
      <c r="J2440" s="209"/>
      <c r="K2440" s="209"/>
      <c r="L2440" s="209"/>
      <c r="M2440" s="209"/>
      <c r="N2440" s="209"/>
      <c r="O2440" s="209"/>
      <c r="P2440" s="209"/>
      <c r="Q2440" s="209"/>
      <c r="R2440" s="209"/>
      <c r="S2440" s="209"/>
      <c r="T2440" s="209"/>
    </row>
    <row r="2441" spans="1:20" ht="15" hidden="1" customHeight="1">
      <c r="A2441" s="468">
        <v>45418</v>
      </c>
      <c r="B2441" s="208" t="s">
        <v>2211</v>
      </c>
      <c r="C2441" s="208" t="s">
        <v>146</v>
      </c>
      <c r="D2441" s="592">
        <v>-20000</v>
      </c>
      <c r="E2441" s="619">
        <v>45413</v>
      </c>
      <c r="F2441" s="601" t="s">
        <v>109</v>
      </c>
      <c r="G2441" s="208" t="s">
        <v>120</v>
      </c>
      <c r="H2441" s="208"/>
      <c r="I2441" s="208"/>
      <c r="J2441" s="209"/>
      <c r="K2441" s="209"/>
      <c r="L2441" s="209"/>
      <c r="M2441" s="209"/>
      <c r="N2441" s="209"/>
      <c r="O2441" s="209"/>
      <c r="P2441" s="209"/>
      <c r="Q2441" s="209"/>
      <c r="R2441" s="209"/>
      <c r="S2441" s="209"/>
      <c r="T2441" s="209"/>
    </row>
    <row r="2442" spans="1:20" ht="15" hidden="1" customHeight="1">
      <c r="A2442" s="468">
        <v>45418</v>
      </c>
      <c r="B2442" s="208" t="s">
        <v>2212</v>
      </c>
      <c r="C2442" s="208" t="s">
        <v>146</v>
      </c>
      <c r="D2442" s="592">
        <v>-8000</v>
      </c>
      <c r="E2442" s="619">
        <v>45413</v>
      </c>
      <c r="F2442" s="601" t="s">
        <v>109</v>
      </c>
      <c r="G2442" s="208" t="s">
        <v>120</v>
      </c>
      <c r="H2442" s="208"/>
      <c r="I2442" s="208"/>
      <c r="J2442" s="209"/>
      <c r="K2442" s="209"/>
      <c r="L2442" s="209"/>
      <c r="M2442" s="209"/>
      <c r="N2442" s="209"/>
      <c r="O2442" s="209"/>
      <c r="P2442" s="209"/>
      <c r="Q2442" s="209"/>
      <c r="R2442" s="209"/>
      <c r="S2442" s="209"/>
      <c r="T2442" s="209"/>
    </row>
    <row r="2443" spans="1:20" ht="15" hidden="1" customHeight="1">
      <c r="A2443" s="468">
        <v>45418</v>
      </c>
      <c r="B2443" s="208" t="s">
        <v>2213</v>
      </c>
      <c r="C2443" s="208" t="s">
        <v>146</v>
      </c>
      <c r="D2443" s="592">
        <v>-10000</v>
      </c>
      <c r="E2443" s="619">
        <v>45413</v>
      </c>
      <c r="F2443" s="601" t="s">
        <v>109</v>
      </c>
      <c r="G2443" s="208" t="s">
        <v>120</v>
      </c>
      <c r="H2443" s="208"/>
      <c r="I2443" s="208"/>
      <c r="J2443" s="209"/>
      <c r="K2443" s="209"/>
      <c r="L2443" s="209"/>
      <c r="M2443" s="209"/>
      <c r="N2443" s="209"/>
      <c r="O2443" s="209"/>
      <c r="P2443" s="209"/>
      <c r="Q2443" s="209"/>
      <c r="R2443" s="209"/>
      <c r="S2443" s="209"/>
      <c r="T2443" s="209"/>
    </row>
    <row r="2444" spans="1:20" ht="15" hidden="1" customHeight="1">
      <c r="A2444" s="468">
        <v>45418</v>
      </c>
      <c r="B2444" s="208" t="s">
        <v>2214</v>
      </c>
      <c r="C2444" s="208" t="s">
        <v>146</v>
      </c>
      <c r="D2444" s="592">
        <v>-20000</v>
      </c>
      <c r="E2444" s="619">
        <v>45413</v>
      </c>
      <c r="F2444" s="601" t="s">
        <v>109</v>
      </c>
      <c r="G2444" s="208" t="s">
        <v>120</v>
      </c>
      <c r="H2444" s="208"/>
      <c r="I2444" s="208"/>
      <c r="J2444" s="209"/>
      <c r="K2444" s="209"/>
      <c r="L2444" s="209"/>
      <c r="M2444" s="209"/>
      <c r="N2444" s="209"/>
      <c r="O2444" s="209"/>
      <c r="P2444" s="209"/>
      <c r="Q2444" s="209"/>
      <c r="R2444" s="209"/>
      <c r="S2444" s="209"/>
      <c r="T2444" s="209"/>
    </row>
    <row r="2445" spans="1:20" ht="15" hidden="1" customHeight="1">
      <c r="A2445" s="468">
        <v>45418</v>
      </c>
      <c r="B2445" s="208" t="s">
        <v>2202</v>
      </c>
      <c r="C2445" s="208" t="s">
        <v>146</v>
      </c>
      <c r="D2445" s="592">
        <v>-20000</v>
      </c>
      <c r="E2445" s="619">
        <v>45413</v>
      </c>
      <c r="F2445" s="601" t="s">
        <v>109</v>
      </c>
      <c r="G2445" s="208" t="s">
        <v>120</v>
      </c>
      <c r="H2445" s="208"/>
      <c r="I2445" s="208"/>
      <c r="J2445" s="209"/>
      <c r="K2445" s="209"/>
      <c r="L2445" s="209"/>
      <c r="M2445" s="209"/>
      <c r="N2445" s="209"/>
      <c r="O2445" s="209"/>
      <c r="P2445" s="209"/>
      <c r="Q2445" s="209"/>
      <c r="R2445" s="209"/>
      <c r="S2445" s="209"/>
      <c r="T2445" s="209"/>
    </row>
    <row r="2446" spans="1:20" ht="15" hidden="1" customHeight="1">
      <c r="A2446" s="468">
        <v>45418</v>
      </c>
      <c r="B2446" s="208" t="s">
        <v>2215</v>
      </c>
      <c r="C2446" s="208" t="s">
        <v>146</v>
      </c>
      <c r="D2446" s="592">
        <v>-8000</v>
      </c>
      <c r="E2446" s="619">
        <v>45413</v>
      </c>
      <c r="F2446" s="601" t="s">
        <v>109</v>
      </c>
      <c r="G2446" s="208" t="s">
        <v>120</v>
      </c>
      <c r="H2446" s="208"/>
      <c r="I2446" s="208"/>
      <c r="J2446" s="209"/>
      <c r="K2446" s="209"/>
      <c r="L2446" s="209"/>
      <c r="M2446" s="209"/>
      <c r="N2446" s="209"/>
      <c r="O2446" s="209"/>
      <c r="P2446" s="209"/>
      <c r="Q2446" s="209"/>
      <c r="R2446" s="209"/>
      <c r="S2446" s="209"/>
      <c r="T2446" s="209"/>
    </row>
    <row r="2447" spans="1:20" ht="15" hidden="1" customHeight="1">
      <c r="A2447" s="468">
        <v>45418</v>
      </c>
      <c r="B2447" s="208" t="s">
        <v>2216</v>
      </c>
      <c r="C2447" s="208" t="s">
        <v>2113</v>
      </c>
      <c r="D2447" s="592">
        <v>-42000</v>
      </c>
      <c r="E2447" s="212">
        <v>45413</v>
      </c>
      <c r="F2447" s="601" t="s">
        <v>109</v>
      </c>
      <c r="G2447" s="208" t="s">
        <v>125</v>
      </c>
      <c r="H2447" s="208" t="s">
        <v>175</v>
      </c>
      <c r="I2447" s="208" t="s">
        <v>173</v>
      </c>
      <c r="J2447" s="209"/>
      <c r="K2447" s="209"/>
      <c r="L2447" s="209"/>
      <c r="M2447" s="209"/>
      <c r="N2447" s="209"/>
      <c r="O2447" s="209"/>
      <c r="P2447" s="209"/>
      <c r="Q2447" s="209"/>
      <c r="R2447" s="209"/>
      <c r="S2447" s="209"/>
      <c r="T2447" s="209"/>
    </row>
    <row r="2448" spans="1:20" ht="15" hidden="1" customHeight="1">
      <c r="A2448" s="468">
        <v>45418</v>
      </c>
      <c r="B2448" s="208" t="s">
        <v>2217</v>
      </c>
      <c r="C2448" s="208" t="s">
        <v>2113</v>
      </c>
      <c r="D2448" s="592">
        <v>-440000</v>
      </c>
      <c r="E2448" s="212">
        <v>45413</v>
      </c>
      <c r="F2448" s="601" t="s">
        <v>109</v>
      </c>
      <c r="G2448" s="208" t="s">
        <v>120</v>
      </c>
      <c r="H2448" s="208" t="s">
        <v>147</v>
      </c>
      <c r="I2448" s="208"/>
      <c r="J2448" s="209"/>
      <c r="K2448" s="209"/>
      <c r="L2448" s="209"/>
      <c r="M2448" s="209"/>
      <c r="N2448" s="209"/>
      <c r="O2448" s="209"/>
      <c r="P2448" s="209"/>
      <c r="Q2448" s="209"/>
      <c r="R2448" s="209"/>
      <c r="S2448" s="209"/>
      <c r="T2448" s="209"/>
    </row>
    <row r="2449" spans="1:149" ht="15" hidden="1" customHeight="1">
      <c r="A2449" s="222">
        <v>45419</v>
      </c>
      <c r="B2449" s="201" t="s">
        <v>2218</v>
      </c>
      <c r="C2449" s="208" t="s">
        <v>146</v>
      </c>
      <c r="D2449" s="592">
        <v>-541200</v>
      </c>
      <c r="E2449" s="619">
        <v>45413</v>
      </c>
      <c r="F2449" s="201" t="s">
        <v>109</v>
      </c>
      <c r="G2449" s="208" t="s">
        <v>120</v>
      </c>
      <c r="H2449" s="201"/>
      <c r="I2449" s="201"/>
      <c r="J2449" s="202"/>
      <c r="K2449" s="202"/>
      <c r="L2449" s="202"/>
      <c r="M2449" s="202"/>
      <c r="N2449" s="202"/>
      <c r="O2449" s="202"/>
      <c r="P2449" s="202"/>
      <c r="Q2449" s="202"/>
      <c r="R2449" s="202"/>
      <c r="S2449" s="202"/>
      <c r="T2449" s="202"/>
      <c r="U2449" s="202"/>
      <c r="V2449" s="202"/>
      <c r="W2449" s="202"/>
      <c r="X2449" s="202"/>
      <c r="Y2449" s="202"/>
      <c r="Z2449" s="202"/>
      <c r="AA2449" s="202"/>
      <c r="AB2449" s="202"/>
      <c r="AC2449" s="202"/>
      <c r="AD2449" s="202"/>
      <c r="AE2449" s="202"/>
      <c r="AF2449" s="202"/>
      <c r="AG2449" s="202"/>
      <c r="AH2449" s="202"/>
      <c r="AI2449" s="202"/>
      <c r="AJ2449" s="202"/>
      <c r="AK2449" s="202"/>
      <c r="AL2449" s="202"/>
      <c r="AM2449" s="202"/>
      <c r="AN2449" s="202"/>
      <c r="AO2449" s="202"/>
      <c r="AP2449" s="202"/>
      <c r="AQ2449" s="202"/>
      <c r="AR2449" s="202"/>
      <c r="AS2449" s="202"/>
      <c r="AT2449" s="202"/>
      <c r="AU2449" s="202"/>
      <c r="AV2449" s="202"/>
      <c r="AW2449" s="202"/>
      <c r="AX2449" s="202"/>
      <c r="AY2449" s="202"/>
      <c r="AZ2449" s="202"/>
      <c r="BA2449" s="202"/>
      <c r="BB2449" s="202"/>
      <c r="BC2449" s="202"/>
      <c r="BD2449" s="202"/>
      <c r="BE2449" s="202"/>
      <c r="BF2449" s="202"/>
      <c r="BG2449" s="202"/>
      <c r="BH2449" s="202"/>
      <c r="BI2449" s="202"/>
      <c r="BJ2449" s="202"/>
      <c r="BK2449" s="202"/>
      <c r="BL2449" s="202"/>
      <c r="BM2449" s="202"/>
      <c r="BN2449" s="202"/>
      <c r="BO2449" s="202"/>
      <c r="BP2449" s="202"/>
      <c r="BQ2449" s="202"/>
      <c r="BR2449" s="202"/>
      <c r="BS2449" s="202"/>
      <c r="BT2449" s="202"/>
      <c r="BU2449" s="202"/>
      <c r="BV2449" s="202"/>
      <c r="BW2449" s="202"/>
      <c r="BX2449" s="202"/>
      <c r="BY2449" s="202"/>
      <c r="BZ2449" s="202"/>
      <c r="CA2449" s="202"/>
      <c r="CB2449" s="202"/>
      <c r="CC2449" s="202"/>
      <c r="CD2449" s="202"/>
      <c r="CE2449" s="202"/>
      <c r="CF2449" s="202"/>
      <c r="CG2449" s="202"/>
      <c r="CH2449" s="202"/>
      <c r="CI2449" s="202"/>
      <c r="CJ2449" s="202"/>
      <c r="CK2449" s="202"/>
      <c r="CL2449" s="202"/>
      <c r="CM2449" s="202"/>
      <c r="CN2449" s="202"/>
      <c r="CO2449" s="202"/>
      <c r="CP2449" s="202"/>
      <c r="CQ2449" s="202"/>
      <c r="CR2449" s="202"/>
      <c r="CS2449" s="202"/>
      <c r="CT2449" s="202"/>
      <c r="CU2449" s="202"/>
      <c r="CV2449" s="202"/>
      <c r="CW2449" s="202"/>
      <c r="CX2449" s="202"/>
      <c r="CY2449" s="202"/>
      <c r="CZ2449" s="202"/>
      <c r="DA2449" s="202"/>
      <c r="DB2449" s="202"/>
      <c r="DC2449" s="202"/>
      <c r="DD2449" s="202"/>
      <c r="DE2449" s="202"/>
      <c r="DF2449" s="202"/>
      <c r="DG2449" s="202"/>
      <c r="DH2449" s="202"/>
      <c r="DI2449" s="202"/>
      <c r="DJ2449" s="202"/>
      <c r="DK2449" s="202"/>
      <c r="DL2449" s="202"/>
      <c r="DM2449" s="202"/>
      <c r="DN2449" s="202"/>
      <c r="DO2449" s="202"/>
      <c r="DP2449" s="202"/>
      <c r="DQ2449" s="202"/>
      <c r="DR2449" s="202"/>
      <c r="DS2449" s="202"/>
      <c r="DT2449" s="202"/>
      <c r="DU2449" s="202"/>
      <c r="DV2449" s="202"/>
      <c r="DW2449" s="202"/>
      <c r="DX2449" s="202"/>
      <c r="DY2449" s="202"/>
      <c r="DZ2449" s="202"/>
      <c r="EA2449" s="202"/>
      <c r="EB2449" s="202"/>
      <c r="EC2449" s="202"/>
      <c r="ED2449" s="202"/>
      <c r="EE2449" s="202"/>
      <c r="EF2449" s="202"/>
      <c r="EG2449" s="202"/>
      <c r="EH2449" s="202"/>
      <c r="EI2449" s="202"/>
      <c r="EJ2449" s="202"/>
      <c r="EK2449" s="202"/>
      <c r="EL2449" s="202"/>
      <c r="EM2449" s="202"/>
      <c r="EN2449" s="202"/>
      <c r="EO2449" s="202"/>
      <c r="EP2449" s="202"/>
      <c r="EQ2449" s="202"/>
      <c r="ER2449" s="202"/>
      <c r="ES2449" s="202"/>
    </row>
    <row r="2450" spans="1:149" ht="15" hidden="1" customHeight="1">
      <c r="A2450" s="468">
        <v>45419</v>
      </c>
      <c r="B2450" s="208" t="s">
        <v>2219</v>
      </c>
      <c r="C2450" s="208" t="s">
        <v>146</v>
      </c>
      <c r="D2450" s="800">
        <v>-2500000</v>
      </c>
      <c r="E2450" s="619">
        <v>45413</v>
      </c>
      <c r="F2450" s="601" t="s">
        <v>109</v>
      </c>
      <c r="G2450" s="201" t="s">
        <v>583</v>
      </c>
      <c r="H2450" s="208" t="s">
        <v>147</v>
      </c>
      <c r="I2450" s="208"/>
      <c r="J2450" s="209"/>
      <c r="K2450" s="209"/>
      <c r="L2450" s="209"/>
      <c r="M2450" s="209"/>
      <c r="N2450" s="209"/>
      <c r="O2450" s="209"/>
      <c r="P2450" s="209"/>
      <c r="Q2450" s="209"/>
      <c r="R2450" s="209"/>
      <c r="S2450" s="209"/>
      <c r="T2450" s="209"/>
    </row>
    <row r="2451" spans="1:149" ht="15" hidden="1" customHeight="1">
      <c r="A2451" s="468">
        <v>45419</v>
      </c>
      <c r="B2451" s="208" t="s">
        <v>2220</v>
      </c>
      <c r="C2451" s="208" t="s">
        <v>146</v>
      </c>
      <c r="D2451" s="592">
        <v>800000</v>
      </c>
      <c r="E2451" s="619">
        <v>45413</v>
      </c>
      <c r="F2451" s="208" t="s">
        <v>130</v>
      </c>
      <c r="G2451" s="208" t="s">
        <v>130</v>
      </c>
      <c r="H2451" s="208" t="s">
        <v>184</v>
      </c>
      <c r="I2451" s="208"/>
      <c r="J2451" s="209"/>
      <c r="K2451" s="209"/>
      <c r="L2451" s="209"/>
      <c r="M2451" s="209"/>
      <c r="N2451" s="209"/>
      <c r="O2451" s="209"/>
      <c r="P2451" s="209"/>
      <c r="Q2451" s="209"/>
      <c r="R2451" s="209"/>
      <c r="S2451" s="209"/>
      <c r="T2451" s="209"/>
    </row>
    <row r="2452" spans="1:149" ht="15" hidden="1" customHeight="1">
      <c r="A2452" s="468">
        <v>45419</v>
      </c>
      <c r="B2452" s="208" t="s">
        <v>2221</v>
      </c>
      <c r="C2452" s="208" t="s">
        <v>146</v>
      </c>
      <c r="D2452" s="592">
        <v>-88600</v>
      </c>
      <c r="E2452" s="619">
        <v>45413</v>
      </c>
      <c r="F2452" s="208" t="s">
        <v>130</v>
      </c>
      <c r="G2452" s="208" t="s">
        <v>130</v>
      </c>
      <c r="H2452" s="208" t="s">
        <v>184</v>
      </c>
      <c r="I2452" s="208"/>
      <c r="J2452" s="209"/>
      <c r="K2452" s="209"/>
      <c r="L2452" s="209"/>
      <c r="M2452" s="209"/>
      <c r="N2452" s="209"/>
      <c r="O2452" s="209"/>
      <c r="P2452" s="209"/>
      <c r="Q2452" s="209"/>
      <c r="R2452" s="209"/>
      <c r="S2452" s="209"/>
      <c r="T2452" s="209"/>
    </row>
    <row r="2453" spans="1:149" ht="15" hidden="1" customHeight="1">
      <c r="A2453" s="468">
        <v>45419</v>
      </c>
      <c r="B2453" s="208" t="s">
        <v>2222</v>
      </c>
      <c r="C2453" s="208" t="s">
        <v>146</v>
      </c>
      <c r="D2453" s="592">
        <v>-124500</v>
      </c>
      <c r="E2453" s="619">
        <v>45413</v>
      </c>
      <c r="F2453" s="601" t="s">
        <v>109</v>
      </c>
      <c r="G2453" s="208" t="s">
        <v>120</v>
      </c>
      <c r="H2453" s="81" t="s">
        <v>138</v>
      </c>
      <c r="I2453" s="208"/>
      <c r="J2453" s="209"/>
      <c r="K2453" s="209"/>
      <c r="L2453" s="209"/>
      <c r="M2453" s="209"/>
      <c r="N2453" s="209"/>
      <c r="O2453" s="209"/>
      <c r="P2453" s="209"/>
      <c r="Q2453" s="209"/>
      <c r="R2453" s="209"/>
      <c r="S2453" s="209"/>
      <c r="T2453" s="209"/>
    </row>
    <row r="2454" spans="1:149" ht="15" hidden="1" customHeight="1">
      <c r="A2454" s="468">
        <v>45419</v>
      </c>
      <c r="B2454" s="208" t="s">
        <v>2223</v>
      </c>
      <c r="C2454" s="208" t="s">
        <v>146</v>
      </c>
      <c r="D2454" s="592">
        <v>-37000</v>
      </c>
      <c r="E2454" s="619">
        <v>45413</v>
      </c>
      <c r="F2454" s="601" t="s">
        <v>109</v>
      </c>
      <c r="G2454" s="208" t="s">
        <v>125</v>
      </c>
      <c r="H2454" s="81" t="s">
        <v>138</v>
      </c>
      <c r="I2454" s="208"/>
      <c r="J2454" s="209"/>
      <c r="K2454" s="209"/>
      <c r="L2454" s="209"/>
      <c r="M2454" s="209"/>
      <c r="N2454" s="209"/>
      <c r="O2454" s="209"/>
      <c r="P2454" s="209"/>
      <c r="Q2454" s="209"/>
      <c r="R2454" s="209"/>
      <c r="S2454" s="209"/>
      <c r="T2454" s="209"/>
    </row>
    <row r="2455" spans="1:149" ht="15" hidden="1" customHeight="1">
      <c r="A2455" s="468">
        <v>45419</v>
      </c>
      <c r="B2455" s="208" t="s">
        <v>2224</v>
      </c>
      <c r="C2455" s="208" t="s">
        <v>146</v>
      </c>
      <c r="D2455" s="592">
        <v>-10000</v>
      </c>
      <c r="E2455" s="619">
        <v>45413</v>
      </c>
      <c r="F2455" s="208" t="s">
        <v>130</v>
      </c>
      <c r="G2455" s="208" t="s">
        <v>257</v>
      </c>
      <c r="H2455" s="81" t="s">
        <v>138</v>
      </c>
      <c r="I2455" s="208"/>
      <c r="J2455" s="209"/>
      <c r="K2455" s="209"/>
      <c r="L2455" s="209"/>
      <c r="M2455" s="209"/>
      <c r="N2455" s="209"/>
      <c r="O2455" s="209"/>
      <c r="P2455" s="209"/>
      <c r="Q2455" s="209"/>
      <c r="R2455" s="209"/>
      <c r="S2455" s="209"/>
      <c r="T2455" s="209"/>
    </row>
    <row r="2456" spans="1:149" ht="15" hidden="1" customHeight="1">
      <c r="A2456" s="468">
        <v>45419</v>
      </c>
      <c r="B2456" s="208" t="s">
        <v>2225</v>
      </c>
      <c r="C2456" s="208" t="s">
        <v>2113</v>
      </c>
      <c r="D2456" s="592">
        <v>-73966</v>
      </c>
      <c r="E2456" s="619">
        <v>45413</v>
      </c>
      <c r="F2456" s="208" t="s">
        <v>207</v>
      </c>
      <c r="G2456" s="81" t="s">
        <v>2226</v>
      </c>
      <c r="H2456" s="208" t="s">
        <v>175</v>
      </c>
      <c r="I2456" s="208" t="s">
        <v>173</v>
      </c>
      <c r="J2456" s="209"/>
      <c r="K2456" s="209"/>
      <c r="L2456" s="209"/>
      <c r="M2456" s="209"/>
      <c r="N2456" s="209"/>
      <c r="O2456" s="209"/>
      <c r="P2456" s="209"/>
      <c r="Q2456" s="209"/>
      <c r="R2456" s="209"/>
      <c r="S2456" s="209"/>
      <c r="T2456" s="209"/>
    </row>
    <row r="2457" spans="1:149" ht="15" hidden="1" customHeight="1">
      <c r="A2457" s="468">
        <v>45418</v>
      </c>
      <c r="B2457" s="208" t="s">
        <v>2227</v>
      </c>
      <c r="C2457" s="208" t="s">
        <v>27</v>
      </c>
      <c r="D2457" s="592">
        <v>-507103</v>
      </c>
      <c r="E2457" s="619">
        <v>45413</v>
      </c>
      <c r="F2457" s="208" t="s">
        <v>207</v>
      </c>
      <c r="G2457" t="s">
        <v>2228</v>
      </c>
      <c r="H2457" s="208" t="s">
        <v>175</v>
      </c>
      <c r="I2457" s="208"/>
      <c r="J2457" s="209"/>
      <c r="K2457" s="209"/>
      <c r="L2457" s="209"/>
      <c r="M2457" s="209"/>
      <c r="N2457" s="209"/>
      <c r="O2457" s="209"/>
      <c r="P2457" s="209"/>
      <c r="Q2457" s="209"/>
      <c r="R2457" s="209"/>
      <c r="S2457" s="209"/>
      <c r="T2457" s="209"/>
    </row>
    <row r="2458" spans="1:149" ht="15" hidden="1" customHeight="1">
      <c r="A2458" s="468">
        <v>45418</v>
      </c>
      <c r="B2458" s="208" t="s">
        <v>2229</v>
      </c>
      <c r="C2458" s="208" t="s">
        <v>27</v>
      </c>
      <c r="D2458" s="592">
        <v>-66255578</v>
      </c>
      <c r="E2458" s="619">
        <v>45413</v>
      </c>
      <c r="F2458" s="601" t="s">
        <v>109</v>
      </c>
      <c r="G2458" s="208" t="s">
        <v>120</v>
      </c>
      <c r="H2458" s="208"/>
      <c r="I2458" s="208"/>
      <c r="J2458" s="209"/>
      <c r="K2458" s="209"/>
      <c r="L2458" s="209"/>
      <c r="M2458" s="209"/>
      <c r="N2458" s="209"/>
      <c r="O2458" s="209"/>
      <c r="P2458" s="209"/>
      <c r="Q2458" s="209"/>
      <c r="R2458" s="209"/>
      <c r="S2458" s="209"/>
      <c r="T2458" s="209"/>
    </row>
    <row r="2459" spans="1:149" ht="15" hidden="1" customHeight="1">
      <c r="A2459" s="468">
        <v>45418</v>
      </c>
      <c r="B2459" s="208" t="s">
        <v>2230</v>
      </c>
      <c r="C2459" s="208" t="s">
        <v>27</v>
      </c>
      <c r="D2459" s="592">
        <v>-775000</v>
      </c>
      <c r="E2459" s="619">
        <v>45413</v>
      </c>
      <c r="F2459" s="601" t="s">
        <v>109</v>
      </c>
      <c r="G2459" s="208" t="s">
        <v>120</v>
      </c>
      <c r="H2459" s="208"/>
      <c r="I2459" s="208"/>
      <c r="J2459" s="209"/>
      <c r="K2459" s="209"/>
      <c r="L2459" s="209"/>
      <c r="M2459" s="209"/>
      <c r="N2459" s="209"/>
      <c r="O2459" s="209"/>
      <c r="P2459" s="209"/>
      <c r="Q2459" s="209"/>
      <c r="R2459" s="209"/>
      <c r="S2459" s="209"/>
      <c r="T2459" s="209"/>
    </row>
    <row r="2460" spans="1:149" ht="15" hidden="1" customHeight="1">
      <c r="A2460" s="468">
        <v>45418</v>
      </c>
      <c r="B2460" s="208" t="s">
        <v>2231</v>
      </c>
      <c r="C2460" s="208" t="s">
        <v>27</v>
      </c>
      <c r="D2460" s="800">
        <v>-375000</v>
      </c>
      <c r="E2460" s="619">
        <v>45413</v>
      </c>
      <c r="F2460" s="601" t="s">
        <v>109</v>
      </c>
      <c r="G2460" s="201" t="s">
        <v>581</v>
      </c>
      <c r="H2460" s="208"/>
      <c r="I2460" s="208"/>
      <c r="J2460" s="209"/>
      <c r="K2460" s="209"/>
      <c r="L2460" s="209"/>
      <c r="M2460" s="209"/>
      <c r="N2460" s="209"/>
      <c r="O2460" s="209"/>
      <c r="P2460" s="209"/>
      <c r="Q2460" s="209"/>
      <c r="R2460" s="209"/>
      <c r="S2460" s="209"/>
      <c r="T2460" s="209"/>
    </row>
    <row r="2461" spans="1:149" ht="15" hidden="1" customHeight="1">
      <c r="A2461" s="468">
        <v>45418</v>
      </c>
      <c r="B2461" s="208" t="s">
        <v>2232</v>
      </c>
      <c r="C2461" s="208" t="s">
        <v>27</v>
      </c>
      <c r="D2461" s="592">
        <v>-3890000</v>
      </c>
      <c r="E2461" s="619">
        <v>45413</v>
      </c>
      <c r="F2461" s="601" t="s">
        <v>109</v>
      </c>
      <c r="G2461" s="208" t="s">
        <v>120</v>
      </c>
      <c r="H2461" s="208"/>
      <c r="I2461" s="208"/>
      <c r="J2461" s="209"/>
      <c r="K2461" s="209"/>
      <c r="L2461" s="209"/>
      <c r="M2461" s="209"/>
      <c r="N2461" s="209"/>
      <c r="O2461" s="209"/>
      <c r="P2461" s="209"/>
      <c r="Q2461" s="209"/>
      <c r="R2461" s="209"/>
      <c r="S2461" s="209"/>
      <c r="T2461" s="209"/>
    </row>
    <row r="2462" spans="1:149" ht="15" hidden="1" customHeight="1">
      <c r="A2462" s="468">
        <v>45418</v>
      </c>
      <c r="B2462" s="208" t="s">
        <v>2233</v>
      </c>
      <c r="C2462" s="208" t="s">
        <v>27</v>
      </c>
      <c r="D2462" s="592">
        <v>-740000</v>
      </c>
      <c r="E2462" s="619">
        <v>45413</v>
      </c>
      <c r="F2462" s="601" t="s">
        <v>109</v>
      </c>
      <c r="G2462" s="208" t="s">
        <v>120</v>
      </c>
      <c r="H2462" s="208"/>
      <c r="I2462" s="208"/>
      <c r="J2462" s="209"/>
      <c r="K2462" s="209"/>
      <c r="L2462" s="209"/>
      <c r="M2462" s="209"/>
      <c r="N2462" s="209"/>
      <c r="O2462" s="209"/>
      <c r="P2462" s="209"/>
      <c r="Q2462" s="209"/>
      <c r="R2462" s="209"/>
      <c r="S2462" s="209"/>
      <c r="T2462" s="209"/>
    </row>
    <row r="2463" spans="1:149" ht="15" hidden="1" customHeight="1">
      <c r="A2463" s="468">
        <v>45418</v>
      </c>
      <c r="B2463" s="208" t="s">
        <v>2234</v>
      </c>
      <c r="C2463" s="208" t="s">
        <v>27</v>
      </c>
      <c r="D2463" s="592">
        <v>-193300</v>
      </c>
      <c r="E2463" s="619">
        <v>45413</v>
      </c>
      <c r="F2463" s="601" t="s">
        <v>109</v>
      </c>
      <c r="G2463" s="208" t="s">
        <v>120</v>
      </c>
      <c r="H2463" s="208"/>
      <c r="I2463" s="208"/>
      <c r="J2463" s="209"/>
      <c r="K2463" s="209"/>
      <c r="L2463" s="209"/>
      <c r="M2463" s="209"/>
      <c r="N2463" s="209"/>
      <c r="O2463" s="209"/>
      <c r="P2463" s="209"/>
      <c r="Q2463" s="209"/>
      <c r="R2463" s="209"/>
      <c r="S2463" s="209"/>
      <c r="T2463" s="209"/>
    </row>
    <row r="2464" spans="1:149" ht="15" hidden="1" customHeight="1">
      <c r="A2464" s="468">
        <v>45418</v>
      </c>
      <c r="B2464" s="208" t="s">
        <v>2235</v>
      </c>
      <c r="C2464" s="208" t="s">
        <v>27</v>
      </c>
      <c r="D2464" s="592">
        <v>-7524000</v>
      </c>
      <c r="E2464" s="619">
        <v>45413</v>
      </c>
      <c r="F2464" s="601" t="s">
        <v>109</v>
      </c>
      <c r="G2464" s="208" t="s">
        <v>120</v>
      </c>
      <c r="H2464" s="208"/>
      <c r="I2464" s="208"/>
      <c r="J2464" s="209"/>
      <c r="K2464" s="209"/>
      <c r="L2464" s="209"/>
      <c r="M2464" s="209"/>
      <c r="N2464" s="209"/>
      <c r="O2464" s="209"/>
      <c r="P2464" s="209"/>
      <c r="Q2464" s="209"/>
      <c r="R2464" s="209"/>
      <c r="S2464" s="209"/>
      <c r="T2464" s="209"/>
    </row>
    <row r="2465" spans="1:20" ht="15" hidden="1" customHeight="1">
      <c r="A2465" s="468">
        <v>45418</v>
      </c>
      <c r="B2465" s="208" t="s">
        <v>2236</v>
      </c>
      <c r="C2465" s="208" t="s">
        <v>27</v>
      </c>
      <c r="D2465" s="592">
        <v>-3006000</v>
      </c>
      <c r="E2465" s="619">
        <v>45413</v>
      </c>
      <c r="F2465" s="201" t="s">
        <v>110</v>
      </c>
      <c r="G2465" s="208" t="s">
        <v>122</v>
      </c>
      <c r="H2465" s="208" t="s">
        <v>631</v>
      </c>
      <c r="I2465" s="208"/>
      <c r="J2465" s="209"/>
      <c r="K2465" s="209"/>
      <c r="L2465" s="209"/>
      <c r="M2465" s="209"/>
      <c r="N2465" s="209"/>
      <c r="O2465" s="209"/>
      <c r="P2465" s="209"/>
      <c r="Q2465" s="209"/>
      <c r="R2465" s="209"/>
      <c r="S2465" s="209"/>
      <c r="T2465" s="209"/>
    </row>
    <row r="2466" spans="1:20" ht="15" hidden="1" customHeight="1">
      <c r="A2466" s="468">
        <v>45418</v>
      </c>
      <c r="B2466" s="208" t="s">
        <v>2237</v>
      </c>
      <c r="C2466" s="208" t="s">
        <v>27</v>
      </c>
      <c r="D2466" s="592">
        <v>-3006000</v>
      </c>
      <c r="E2466" s="619">
        <v>45413</v>
      </c>
      <c r="F2466" s="201" t="s">
        <v>110</v>
      </c>
      <c r="G2466" s="208" t="s">
        <v>450</v>
      </c>
      <c r="H2466" s="208" t="s">
        <v>631</v>
      </c>
      <c r="I2466" s="208"/>
      <c r="J2466" s="209"/>
      <c r="K2466" s="209"/>
      <c r="L2466" s="209"/>
      <c r="M2466" s="209"/>
      <c r="N2466" s="209"/>
      <c r="O2466" s="209"/>
      <c r="P2466" s="209"/>
      <c r="Q2466" s="209"/>
      <c r="R2466" s="209"/>
      <c r="S2466" s="209"/>
      <c r="T2466" s="209"/>
    </row>
    <row r="2467" spans="1:20" ht="15" hidden="1" customHeight="1">
      <c r="A2467" s="468">
        <v>45418</v>
      </c>
      <c r="B2467" s="208" t="s">
        <v>2238</v>
      </c>
      <c r="C2467" s="208" t="s">
        <v>27</v>
      </c>
      <c r="D2467" s="592">
        <v>-3006000</v>
      </c>
      <c r="E2467" s="619">
        <v>45413</v>
      </c>
      <c r="F2467" s="601" t="s">
        <v>109</v>
      </c>
      <c r="G2467" s="201" t="s">
        <v>918</v>
      </c>
      <c r="H2467" s="208" t="s">
        <v>631</v>
      </c>
      <c r="I2467" s="208"/>
      <c r="J2467" s="209"/>
      <c r="K2467" s="209"/>
      <c r="L2467" s="209"/>
      <c r="M2467" s="209"/>
      <c r="N2467" s="209"/>
      <c r="O2467" s="209"/>
      <c r="P2467" s="209"/>
      <c r="Q2467" s="209"/>
      <c r="R2467" s="209"/>
      <c r="S2467" s="209"/>
      <c r="T2467" s="209"/>
    </row>
    <row r="2468" spans="1:20" ht="15" hidden="1" customHeight="1">
      <c r="A2468" s="468">
        <v>45418</v>
      </c>
      <c r="B2468" s="208" t="s">
        <v>2239</v>
      </c>
      <c r="C2468" s="208" t="s">
        <v>27</v>
      </c>
      <c r="D2468" s="592">
        <v>-144658</v>
      </c>
      <c r="E2468" s="619">
        <v>45413</v>
      </c>
      <c r="F2468" s="201" t="s">
        <v>110</v>
      </c>
      <c r="G2468" s="201" t="s">
        <v>1489</v>
      </c>
      <c r="H2468" s="208" t="s">
        <v>212</v>
      </c>
      <c r="I2468" s="208"/>
      <c r="J2468" s="209"/>
      <c r="K2468" s="209"/>
      <c r="L2468" s="209"/>
      <c r="M2468" s="209"/>
      <c r="N2468" s="209"/>
      <c r="O2468" s="209"/>
      <c r="P2468" s="209"/>
      <c r="Q2468" s="209"/>
      <c r="R2468" s="209"/>
      <c r="S2468" s="209"/>
      <c r="T2468" s="209"/>
    </row>
    <row r="2469" spans="1:20" ht="15" hidden="1" customHeight="1">
      <c r="A2469" s="468">
        <v>45418</v>
      </c>
      <c r="B2469" s="208" t="s">
        <v>2240</v>
      </c>
      <c r="C2469" s="208" t="s">
        <v>27</v>
      </c>
      <c r="D2469" s="592">
        <v>-833000</v>
      </c>
      <c r="E2469" s="619">
        <v>45413</v>
      </c>
      <c r="F2469" s="291" t="s">
        <v>109</v>
      </c>
      <c r="G2469" s="208" t="s">
        <v>525</v>
      </c>
      <c r="H2469" s="208" t="s">
        <v>138</v>
      </c>
      <c r="I2469" s="208"/>
      <c r="J2469" s="209"/>
      <c r="K2469" s="209"/>
      <c r="L2469" s="209"/>
      <c r="M2469" s="209"/>
      <c r="N2469" s="209"/>
      <c r="O2469" s="209"/>
      <c r="P2469" s="209"/>
      <c r="Q2469" s="209"/>
      <c r="R2469" s="209"/>
      <c r="S2469" s="209"/>
      <c r="T2469" s="209"/>
    </row>
    <row r="2470" spans="1:20" ht="15" hidden="1" customHeight="1">
      <c r="A2470" s="468">
        <v>45419</v>
      </c>
      <c r="B2470" s="208" t="s">
        <v>2241</v>
      </c>
      <c r="C2470" s="208" t="s">
        <v>27</v>
      </c>
      <c r="D2470" s="592">
        <v>-300000</v>
      </c>
      <c r="E2470" s="619">
        <v>45413</v>
      </c>
      <c r="F2470" s="601" t="s">
        <v>109</v>
      </c>
      <c r="G2470" s="208" t="s">
        <v>10</v>
      </c>
      <c r="H2470" s="208"/>
      <c r="I2470" s="208"/>
      <c r="J2470" s="209"/>
      <c r="K2470" s="209"/>
      <c r="L2470" s="209"/>
      <c r="M2470" s="209"/>
      <c r="N2470" s="209"/>
      <c r="O2470" s="209"/>
      <c r="P2470" s="209"/>
      <c r="Q2470" s="209"/>
      <c r="R2470" s="209"/>
      <c r="S2470" s="209"/>
      <c r="T2470" s="209"/>
    </row>
    <row r="2471" spans="1:20" ht="15" hidden="1" customHeight="1">
      <c r="A2471" s="468">
        <v>45419</v>
      </c>
      <c r="B2471" s="208" t="s">
        <v>2242</v>
      </c>
      <c r="C2471" s="208" t="s">
        <v>27</v>
      </c>
      <c r="D2471" s="592">
        <v>-922875</v>
      </c>
      <c r="E2471" s="619">
        <v>45413</v>
      </c>
      <c r="F2471" s="208" t="s">
        <v>207</v>
      </c>
      <c r="G2471" t="s">
        <v>2243</v>
      </c>
      <c r="H2471" s="208"/>
      <c r="I2471" s="208"/>
      <c r="J2471" s="209"/>
      <c r="K2471" s="209"/>
      <c r="L2471" s="209"/>
      <c r="M2471" s="209"/>
      <c r="N2471" s="209"/>
      <c r="O2471" s="209"/>
      <c r="P2471" s="209"/>
      <c r="Q2471" s="209"/>
      <c r="R2471" s="209"/>
      <c r="S2471" s="209"/>
      <c r="T2471" s="209"/>
    </row>
    <row r="2472" spans="1:20" ht="15" hidden="1" customHeight="1">
      <c r="A2472" s="468">
        <v>45419</v>
      </c>
      <c r="B2472" s="208" t="s">
        <v>2244</v>
      </c>
      <c r="C2472" s="208" t="s">
        <v>27</v>
      </c>
      <c r="D2472" s="592">
        <v>-725000</v>
      </c>
      <c r="E2472" s="619">
        <v>45413</v>
      </c>
      <c r="F2472" s="291" t="s">
        <v>109</v>
      </c>
      <c r="G2472" s="208" t="s">
        <v>525</v>
      </c>
      <c r="H2472" s="208" t="s">
        <v>138</v>
      </c>
      <c r="I2472" s="208"/>
      <c r="J2472" s="209"/>
      <c r="K2472" s="209"/>
      <c r="L2472" s="209"/>
      <c r="M2472" s="209"/>
      <c r="N2472" s="209"/>
      <c r="O2472" s="209"/>
      <c r="P2472" s="209"/>
      <c r="Q2472" s="209"/>
      <c r="R2472" s="209"/>
      <c r="S2472" s="209"/>
      <c r="T2472" s="209"/>
    </row>
    <row r="2473" spans="1:20" ht="15" hidden="1" customHeight="1">
      <c r="A2473" s="468">
        <v>45419</v>
      </c>
      <c r="B2473" s="208" t="s">
        <v>2245</v>
      </c>
      <c r="C2473" s="208" t="s">
        <v>27</v>
      </c>
      <c r="D2473" s="592">
        <v>-1732534</v>
      </c>
      <c r="E2473" s="619">
        <v>45413</v>
      </c>
      <c r="F2473" s="208" t="s">
        <v>130</v>
      </c>
      <c r="G2473" s="208" t="s">
        <v>130</v>
      </c>
      <c r="H2473" s="208" t="s">
        <v>184</v>
      </c>
      <c r="I2473" s="208"/>
      <c r="J2473" s="209"/>
      <c r="K2473" s="209"/>
      <c r="L2473" s="209"/>
      <c r="M2473" s="209"/>
      <c r="N2473" s="209"/>
      <c r="O2473" s="209"/>
      <c r="P2473" s="209"/>
      <c r="Q2473" s="209"/>
      <c r="R2473" s="209"/>
      <c r="S2473" s="209"/>
      <c r="T2473" s="209"/>
    </row>
    <row r="2474" spans="1:20" ht="15" hidden="1" customHeight="1">
      <c r="A2474" s="468">
        <v>45420</v>
      </c>
      <c r="B2474" s="208" t="s">
        <v>2234</v>
      </c>
      <c r="C2474" s="208" t="s">
        <v>27</v>
      </c>
      <c r="D2474" s="592">
        <v>-408000</v>
      </c>
      <c r="E2474" s="619">
        <v>45413</v>
      </c>
      <c r="F2474" s="601" t="s">
        <v>109</v>
      </c>
      <c r="G2474" s="208" t="s">
        <v>120</v>
      </c>
      <c r="H2474" s="208"/>
      <c r="I2474" s="208"/>
      <c r="J2474" s="209"/>
      <c r="K2474" s="209"/>
      <c r="L2474" s="209"/>
      <c r="M2474" s="209"/>
      <c r="N2474" s="209"/>
      <c r="O2474" s="209"/>
      <c r="P2474" s="209"/>
      <c r="Q2474" s="209"/>
      <c r="R2474" s="209"/>
      <c r="S2474" s="209"/>
      <c r="T2474" s="209"/>
    </row>
    <row r="2475" spans="1:20" ht="15" hidden="1" customHeight="1">
      <c r="A2475" s="468">
        <v>45420</v>
      </c>
      <c r="B2475" s="208" t="s">
        <v>2246</v>
      </c>
      <c r="C2475" s="208" t="s">
        <v>27</v>
      </c>
      <c r="D2475" s="592">
        <v>-875000</v>
      </c>
      <c r="E2475" s="619">
        <v>45413</v>
      </c>
      <c r="F2475" s="201" t="s">
        <v>110</v>
      </c>
      <c r="G2475" s="81" t="s">
        <v>1621</v>
      </c>
      <c r="H2475" s="208" t="s">
        <v>212</v>
      </c>
      <c r="I2475" s="208"/>
      <c r="J2475" s="209"/>
      <c r="K2475" s="209"/>
      <c r="L2475" s="209"/>
      <c r="M2475" s="209"/>
      <c r="N2475" s="209"/>
      <c r="O2475" s="209"/>
      <c r="P2475" s="209"/>
      <c r="Q2475" s="209"/>
      <c r="R2475" s="209"/>
      <c r="S2475" s="209"/>
      <c r="T2475" s="209"/>
    </row>
    <row r="2476" spans="1:20" ht="15" hidden="1" customHeight="1">
      <c r="A2476" s="468">
        <v>45421</v>
      </c>
      <c r="B2476" s="208" t="s">
        <v>2247</v>
      </c>
      <c r="C2476" s="208" t="s">
        <v>27</v>
      </c>
      <c r="D2476" s="592">
        <v>-19549783</v>
      </c>
      <c r="E2476" s="619">
        <v>45413</v>
      </c>
      <c r="F2476" s="201" t="s">
        <v>110</v>
      </c>
      <c r="G2476" s="201" t="s">
        <v>1489</v>
      </c>
      <c r="H2476" s="208" t="s">
        <v>549</v>
      </c>
      <c r="I2476" s="208"/>
      <c r="J2476" s="209"/>
      <c r="K2476" s="209"/>
      <c r="L2476" s="209"/>
      <c r="M2476" s="209"/>
      <c r="N2476" s="209"/>
      <c r="O2476" s="209"/>
      <c r="P2476" s="209"/>
      <c r="Q2476" s="209"/>
      <c r="R2476" s="209"/>
      <c r="S2476" s="209"/>
      <c r="T2476" s="209"/>
    </row>
    <row r="2477" spans="1:20" ht="15" hidden="1" customHeight="1">
      <c r="A2477" s="468">
        <v>45421</v>
      </c>
      <c r="B2477" s="635" t="s">
        <v>2248</v>
      </c>
      <c r="C2477" s="208" t="s">
        <v>27</v>
      </c>
      <c r="D2477" s="592">
        <v>-919700</v>
      </c>
      <c r="E2477" s="619">
        <v>45413</v>
      </c>
      <c r="F2477" s="601" t="s">
        <v>109</v>
      </c>
      <c r="G2477" s="201" t="s">
        <v>918</v>
      </c>
      <c r="H2477" s="208" t="s">
        <v>508</v>
      </c>
      <c r="I2477" s="208"/>
      <c r="J2477" s="209"/>
      <c r="K2477" s="209"/>
      <c r="L2477" s="209"/>
      <c r="M2477" s="209"/>
      <c r="N2477" s="209"/>
      <c r="O2477" s="209"/>
      <c r="P2477" s="209"/>
      <c r="Q2477" s="209"/>
      <c r="R2477" s="209"/>
      <c r="S2477" s="209"/>
      <c r="T2477" s="209"/>
    </row>
    <row r="2478" spans="1:20" ht="15" hidden="1" customHeight="1">
      <c r="A2478" s="468">
        <v>45422</v>
      </c>
      <c r="B2478" s="208" t="s">
        <v>2249</v>
      </c>
      <c r="C2478" s="208" t="s">
        <v>27</v>
      </c>
      <c r="D2478" s="592">
        <v>-3603600</v>
      </c>
      <c r="E2478" s="619">
        <v>45413</v>
      </c>
      <c r="F2478" s="601" t="s">
        <v>109</v>
      </c>
      <c r="G2478" s="208" t="s">
        <v>120</v>
      </c>
      <c r="H2478" s="208"/>
      <c r="I2478" s="208"/>
      <c r="J2478" s="209"/>
      <c r="K2478" s="209"/>
      <c r="L2478" s="209"/>
      <c r="M2478" s="209"/>
      <c r="N2478" s="209"/>
      <c r="O2478" s="209"/>
      <c r="P2478" s="209"/>
      <c r="Q2478" s="209"/>
      <c r="R2478" s="209"/>
      <c r="S2478" s="209"/>
      <c r="T2478" s="209"/>
    </row>
    <row r="2479" spans="1:20" ht="15" hidden="1" customHeight="1">
      <c r="A2479" s="468">
        <v>45422</v>
      </c>
      <c r="B2479" s="208" t="s">
        <v>2250</v>
      </c>
      <c r="C2479" s="208" t="s">
        <v>133</v>
      </c>
      <c r="D2479" s="592">
        <v>-36400</v>
      </c>
      <c r="E2479" s="619">
        <v>45413</v>
      </c>
      <c r="F2479" s="601" t="s">
        <v>109</v>
      </c>
      <c r="G2479" s="208" t="s">
        <v>120</v>
      </c>
      <c r="H2479" s="208"/>
      <c r="I2479" s="208"/>
      <c r="J2479" s="209"/>
      <c r="K2479" s="209"/>
      <c r="L2479" s="209"/>
      <c r="M2479" s="209"/>
      <c r="N2479" s="209"/>
      <c r="O2479" s="209"/>
      <c r="P2479" s="209"/>
      <c r="Q2479" s="209"/>
      <c r="R2479" s="209"/>
      <c r="S2479" s="209"/>
      <c r="T2479" s="209"/>
    </row>
    <row r="2480" spans="1:20" ht="15" hidden="1" customHeight="1">
      <c r="A2480" s="468">
        <v>45422</v>
      </c>
      <c r="B2480" s="208" t="s">
        <v>2251</v>
      </c>
      <c r="C2480" s="208" t="s">
        <v>27</v>
      </c>
      <c r="D2480" s="592">
        <v>-1190000</v>
      </c>
      <c r="E2480" s="619">
        <v>45413</v>
      </c>
      <c r="F2480" s="208" t="s">
        <v>130</v>
      </c>
      <c r="G2480" s="208" t="s">
        <v>257</v>
      </c>
      <c r="H2480" s="208" t="s">
        <v>663</v>
      </c>
      <c r="I2480" s="208"/>
      <c r="J2480" s="209"/>
      <c r="K2480" s="209"/>
      <c r="L2480" s="209"/>
      <c r="M2480" s="209"/>
      <c r="N2480" s="209"/>
      <c r="O2480" s="209"/>
      <c r="P2480" s="209"/>
      <c r="Q2480" s="209"/>
      <c r="R2480" s="209"/>
      <c r="S2480" s="209"/>
      <c r="T2480" s="209"/>
    </row>
    <row r="2481" spans="1:149" ht="15" hidden="1" customHeight="1">
      <c r="A2481" s="468">
        <v>45422</v>
      </c>
      <c r="B2481" s="208" t="s">
        <v>2252</v>
      </c>
      <c r="C2481" s="208" t="s">
        <v>27</v>
      </c>
      <c r="D2481" s="592">
        <v>-560000</v>
      </c>
      <c r="E2481" s="619">
        <v>45413</v>
      </c>
      <c r="F2481" s="601" t="s">
        <v>109</v>
      </c>
      <c r="G2481" s="208" t="s">
        <v>120</v>
      </c>
      <c r="H2481" s="208"/>
      <c r="I2481" s="208"/>
      <c r="J2481" s="209"/>
      <c r="K2481" s="209"/>
      <c r="L2481" s="209"/>
      <c r="M2481" s="209"/>
      <c r="N2481" s="209"/>
      <c r="O2481" s="209"/>
      <c r="P2481" s="209"/>
      <c r="Q2481" s="209"/>
      <c r="R2481" s="209"/>
      <c r="S2481" s="209"/>
      <c r="T2481" s="209"/>
    </row>
    <row r="2482" spans="1:149" ht="15" hidden="1" customHeight="1">
      <c r="A2482" s="468">
        <v>45422</v>
      </c>
      <c r="B2482" s="208" t="s">
        <v>2253</v>
      </c>
      <c r="C2482" s="208" t="s">
        <v>27</v>
      </c>
      <c r="D2482" s="592">
        <v>-166083</v>
      </c>
      <c r="E2482" s="619">
        <v>45413</v>
      </c>
      <c r="F2482" s="208" t="s">
        <v>130</v>
      </c>
      <c r="G2482" s="208" t="s">
        <v>130</v>
      </c>
      <c r="H2482" s="208" t="s">
        <v>323</v>
      </c>
      <c r="I2482" s="208"/>
      <c r="J2482" s="209"/>
      <c r="K2482" s="209"/>
      <c r="L2482" s="209"/>
      <c r="M2482" s="209"/>
      <c r="N2482" s="209"/>
      <c r="O2482" s="209"/>
      <c r="P2482" s="209"/>
      <c r="Q2482" s="209"/>
      <c r="R2482" s="209"/>
      <c r="S2482" s="209"/>
      <c r="T2482" s="209"/>
    </row>
    <row r="2483" spans="1:149" ht="15" hidden="1" customHeight="1">
      <c r="A2483" s="468">
        <v>45422</v>
      </c>
      <c r="B2483" s="208" t="s">
        <v>2254</v>
      </c>
      <c r="C2483" s="208" t="s">
        <v>27</v>
      </c>
      <c r="D2483" s="592">
        <v>-1093500</v>
      </c>
      <c r="E2483" s="619">
        <v>45413</v>
      </c>
      <c r="F2483" s="208" t="s">
        <v>130</v>
      </c>
      <c r="G2483" s="208" t="s">
        <v>130</v>
      </c>
      <c r="H2483" s="208" t="s">
        <v>2176</v>
      </c>
      <c r="I2483" s="208"/>
      <c r="J2483" s="209"/>
      <c r="K2483" s="209"/>
      <c r="L2483" s="209"/>
      <c r="M2483" s="209"/>
      <c r="N2483" s="209"/>
      <c r="O2483" s="209"/>
      <c r="P2483" s="209"/>
      <c r="Q2483" s="209"/>
      <c r="R2483" s="209"/>
      <c r="S2483" s="209"/>
      <c r="T2483" s="209"/>
    </row>
    <row r="2484" spans="1:149" ht="15" hidden="1" customHeight="1">
      <c r="A2484" s="468">
        <v>45422</v>
      </c>
      <c r="B2484" s="208" t="s">
        <v>2255</v>
      </c>
      <c r="C2484" s="208" t="s">
        <v>27</v>
      </c>
      <c r="D2484" s="592">
        <v>-1561009</v>
      </c>
      <c r="E2484" s="619">
        <v>45413</v>
      </c>
      <c r="F2484" s="208" t="s">
        <v>130</v>
      </c>
      <c r="G2484" s="208" t="s">
        <v>130</v>
      </c>
      <c r="H2484" s="208" t="s">
        <v>323</v>
      </c>
      <c r="I2484" s="208"/>
      <c r="J2484" s="209"/>
      <c r="K2484" s="209"/>
      <c r="L2484" s="209"/>
      <c r="M2484" s="209"/>
      <c r="N2484" s="209"/>
      <c r="O2484" s="209"/>
      <c r="P2484" s="209"/>
      <c r="Q2484" s="209"/>
      <c r="R2484" s="209"/>
      <c r="S2484" s="209"/>
      <c r="T2484" s="209"/>
    </row>
    <row r="2485" spans="1:149" ht="15" hidden="1" customHeight="1">
      <c r="A2485" s="468">
        <v>45422</v>
      </c>
      <c r="B2485" s="208" t="s">
        <v>2256</v>
      </c>
      <c r="C2485" s="208" t="s">
        <v>27</v>
      </c>
      <c r="D2485" s="592">
        <v>-108670</v>
      </c>
      <c r="E2485" s="619">
        <v>45413</v>
      </c>
      <c r="F2485" s="208" t="s">
        <v>130</v>
      </c>
      <c r="G2485" s="208" t="s">
        <v>130</v>
      </c>
      <c r="H2485" s="208" t="s">
        <v>406</v>
      </c>
      <c r="I2485" s="208"/>
      <c r="J2485" s="209"/>
      <c r="K2485" s="209"/>
      <c r="L2485" s="209"/>
      <c r="M2485" s="209"/>
      <c r="N2485" s="209"/>
      <c r="O2485" s="209"/>
      <c r="P2485" s="209"/>
      <c r="Q2485" s="209"/>
      <c r="R2485" s="209"/>
      <c r="S2485" s="209"/>
      <c r="T2485" s="209"/>
    </row>
    <row r="2486" spans="1:149" ht="15" hidden="1" customHeight="1">
      <c r="A2486" s="468">
        <v>45418</v>
      </c>
      <c r="B2486" s="208" t="s">
        <v>2257</v>
      </c>
      <c r="C2486" s="208" t="s">
        <v>27</v>
      </c>
      <c r="D2486" s="592">
        <v>-2643099</v>
      </c>
      <c r="E2486" s="619">
        <v>45413</v>
      </c>
      <c r="F2486" s="208" t="s">
        <v>118</v>
      </c>
      <c r="G2486" s="208"/>
      <c r="H2486" s="208"/>
      <c r="I2486" s="208"/>
      <c r="J2486" s="209"/>
      <c r="K2486" s="209"/>
      <c r="L2486" s="209"/>
      <c r="M2486" s="209"/>
      <c r="N2486" s="209"/>
      <c r="O2486" s="209"/>
      <c r="P2486" s="209"/>
      <c r="Q2486" s="209"/>
      <c r="R2486" s="209"/>
      <c r="S2486" s="209"/>
      <c r="T2486" s="209"/>
    </row>
    <row r="2487" spans="1:149" ht="15" hidden="1" customHeight="1">
      <c r="A2487" s="468">
        <v>45420</v>
      </c>
      <c r="B2487" s="208" t="s">
        <v>2072</v>
      </c>
      <c r="C2487" s="208" t="s">
        <v>181</v>
      </c>
      <c r="D2487" s="592">
        <v>4308741</v>
      </c>
      <c r="E2487" s="636">
        <v>45413</v>
      </c>
      <c r="F2487" s="201" t="s">
        <v>108</v>
      </c>
      <c r="G2487" s="208"/>
      <c r="H2487" s="208"/>
      <c r="I2487" s="208"/>
      <c r="J2487" s="209"/>
      <c r="K2487" s="209"/>
      <c r="L2487" s="209"/>
      <c r="M2487" s="209"/>
      <c r="N2487" s="209"/>
      <c r="O2487" s="209"/>
      <c r="P2487" s="209"/>
      <c r="Q2487" s="209"/>
      <c r="R2487" s="209"/>
      <c r="S2487" s="209"/>
      <c r="T2487" s="209"/>
    </row>
    <row r="2488" spans="1:149" ht="15" hidden="1" customHeight="1">
      <c r="A2488" s="468">
        <v>45416</v>
      </c>
      <c r="B2488" s="201" t="s">
        <v>2059</v>
      </c>
      <c r="C2488" s="208" t="s">
        <v>643</v>
      </c>
      <c r="D2488" s="592">
        <v>-12514.57</v>
      </c>
      <c r="E2488" s="619">
        <v>45413</v>
      </c>
      <c r="F2488" s="201" t="s">
        <v>130</v>
      </c>
      <c r="G2488" s="208" t="s">
        <v>257</v>
      </c>
      <c r="H2488" s="208" t="s">
        <v>663</v>
      </c>
      <c r="I2488" s="208"/>
      <c r="J2488" s="209"/>
      <c r="K2488" s="209"/>
      <c r="L2488" s="209"/>
      <c r="M2488" s="209"/>
      <c r="N2488" s="209"/>
      <c r="O2488" s="209"/>
      <c r="P2488" s="209"/>
      <c r="Q2488" s="209"/>
      <c r="R2488" s="209"/>
      <c r="S2488" s="209"/>
      <c r="T2488" s="209"/>
    </row>
    <row r="2489" spans="1:149" ht="15" hidden="1" customHeight="1">
      <c r="A2489" s="468">
        <v>45418</v>
      </c>
      <c r="B2489" s="201" t="s">
        <v>2059</v>
      </c>
      <c r="C2489" s="208" t="s">
        <v>643</v>
      </c>
      <c r="D2489" s="592">
        <v>-19983.45</v>
      </c>
      <c r="E2489" s="619">
        <v>45413</v>
      </c>
      <c r="F2489" s="201" t="s">
        <v>130</v>
      </c>
      <c r="G2489" s="208" t="s">
        <v>257</v>
      </c>
      <c r="H2489" s="208" t="s">
        <v>663</v>
      </c>
      <c r="I2489" s="208"/>
      <c r="J2489" s="209"/>
      <c r="K2489" s="209"/>
      <c r="L2489" s="209"/>
      <c r="M2489" s="209"/>
      <c r="N2489" s="209"/>
      <c r="O2489" s="209"/>
      <c r="P2489" s="209"/>
      <c r="Q2489" s="209"/>
      <c r="R2489" s="209"/>
      <c r="S2489" s="209"/>
      <c r="T2489" s="209"/>
    </row>
    <row r="2490" spans="1:149" ht="15" hidden="1" customHeight="1">
      <c r="A2490" s="468">
        <v>45420</v>
      </c>
      <c r="B2490" s="208" t="s">
        <v>2258</v>
      </c>
      <c r="C2490" s="208" t="s">
        <v>643</v>
      </c>
      <c r="D2490" s="592">
        <v>-8330</v>
      </c>
      <c r="E2490" s="619">
        <v>45413</v>
      </c>
      <c r="F2490" s="201" t="s">
        <v>130</v>
      </c>
      <c r="G2490" s="208" t="s">
        <v>130</v>
      </c>
      <c r="H2490" s="208" t="s">
        <v>184</v>
      </c>
      <c r="I2490" s="208"/>
      <c r="J2490" s="209"/>
      <c r="K2490" s="209"/>
      <c r="L2490" s="209"/>
      <c r="M2490" s="209"/>
      <c r="N2490" s="209"/>
      <c r="O2490" s="209"/>
      <c r="P2490" s="209"/>
      <c r="Q2490" s="209"/>
      <c r="R2490" s="209"/>
      <c r="S2490" s="209"/>
      <c r="T2490" s="209"/>
    </row>
    <row r="2491" spans="1:149" ht="15" hidden="1" customHeight="1">
      <c r="A2491" s="468">
        <v>45421</v>
      </c>
      <c r="B2491" s="201" t="s">
        <v>2059</v>
      </c>
      <c r="C2491" s="208" t="s">
        <v>643</v>
      </c>
      <c r="D2491" s="592">
        <v>-30128.3</v>
      </c>
      <c r="E2491" s="619">
        <v>45413</v>
      </c>
      <c r="F2491" s="208" t="s">
        <v>130</v>
      </c>
      <c r="G2491" s="208" t="s">
        <v>130</v>
      </c>
      <c r="H2491" s="208" t="s">
        <v>143</v>
      </c>
      <c r="I2491" s="208"/>
      <c r="J2491" s="209"/>
      <c r="K2491" s="209"/>
      <c r="L2491" s="209"/>
      <c r="M2491" s="209"/>
      <c r="N2491" s="209"/>
      <c r="O2491" s="209"/>
      <c r="P2491" s="209"/>
      <c r="Q2491" s="209"/>
      <c r="R2491" s="209"/>
      <c r="S2491" s="209"/>
      <c r="T2491" s="209"/>
    </row>
    <row r="2492" spans="1:149" ht="15" hidden="1" customHeight="1">
      <c r="A2492" s="468">
        <v>45421</v>
      </c>
      <c r="B2492" s="208" t="s">
        <v>1789</v>
      </c>
      <c r="C2492" s="208" t="s">
        <v>643</v>
      </c>
      <c r="D2492" s="592">
        <v>-95520</v>
      </c>
      <c r="E2492" s="619">
        <v>45413</v>
      </c>
      <c r="F2492" s="208" t="s">
        <v>130</v>
      </c>
      <c r="G2492" s="208" t="s">
        <v>130</v>
      </c>
      <c r="H2492" s="208" t="s">
        <v>143</v>
      </c>
      <c r="I2492" s="208"/>
      <c r="J2492" s="209"/>
      <c r="K2492" s="209"/>
      <c r="L2492" s="209"/>
      <c r="M2492" s="209"/>
      <c r="N2492" s="209"/>
      <c r="O2492" s="209"/>
      <c r="P2492" s="209"/>
      <c r="Q2492" s="209"/>
      <c r="R2492" s="209"/>
      <c r="S2492" s="209"/>
      <c r="T2492" s="209"/>
    </row>
    <row r="2493" spans="1:149" ht="15" hidden="1" customHeight="1">
      <c r="A2493" s="468">
        <v>45419</v>
      </c>
      <c r="B2493" s="208" t="s">
        <v>2259</v>
      </c>
      <c r="C2493" s="208" t="s">
        <v>2113</v>
      </c>
      <c r="D2493" s="592">
        <v>-30000</v>
      </c>
      <c r="E2493" s="212">
        <v>45413</v>
      </c>
      <c r="F2493" s="208" t="s">
        <v>130</v>
      </c>
      <c r="G2493" s="223" t="s">
        <v>130</v>
      </c>
      <c r="H2493" s="208" t="s">
        <v>323</v>
      </c>
      <c r="I2493" s="208" t="s">
        <v>173</v>
      </c>
      <c r="J2493" s="209"/>
      <c r="K2493" s="209"/>
      <c r="L2493" s="209"/>
      <c r="M2493" s="209"/>
      <c r="N2493" s="209"/>
      <c r="O2493" s="209"/>
      <c r="P2493" s="209"/>
      <c r="Q2493" s="209"/>
      <c r="R2493" s="209"/>
      <c r="S2493" s="209"/>
      <c r="T2493" s="209"/>
    </row>
    <row r="2494" spans="1:149" ht="15" hidden="1" customHeight="1">
      <c r="A2494" s="468">
        <v>45419</v>
      </c>
      <c r="B2494" s="208" t="s">
        <v>2260</v>
      </c>
      <c r="C2494" s="208" t="s">
        <v>2113</v>
      </c>
      <c r="D2494" s="592">
        <v>-114900</v>
      </c>
      <c r="E2494" s="212">
        <v>45413</v>
      </c>
      <c r="F2494" s="201" t="s">
        <v>110</v>
      </c>
      <c r="G2494" s="81" t="s">
        <v>1621</v>
      </c>
      <c r="H2494" s="208" t="s">
        <v>175</v>
      </c>
      <c r="I2494" s="208" t="s">
        <v>173</v>
      </c>
      <c r="J2494" s="209"/>
      <c r="K2494" s="209"/>
      <c r="L2494" s="209"/>
      <c r="M2494" s="209"/>
      <c r="N2494" s="209"/>
      <c r="O2494" s="209"/>
      <c r="P2494" s="209"/>
      <c r="Q2494" s="209"/>
      <c r="R2494" s="209"/>
      <c r="S2494" s="209"/>
      <c r="T2494" s="209"/>
    </row>
    <row r="2495" spans="1:149" ht="15" hidden="1" customHeight="1">
      <c r="A2495" s="222">
        <v>45407</v>
      </c>
      <c r="B2495" s="630" t="s">
        <v>1980</v>
      </c>
      <c r="C2495" s="208" t="s">
        <v>181</v>
      </c>
      <c r="D2495" s="592">
        <v>-86393</v>
      </c>
      <c r="E2495" s="619">
        <v>45383</v>
      </c>
      <c r="F2495" s="201" t="s">
        <v>118</v>
      </c>
      <c r="G2495" s="627" t="s">
        <v>130</v>
      </c>
      <c r="H2495" s="208"/>
      <c r="I2495" s="208"/>
      <c r="J2495" s="209"/>
      <c r="K2495" s="209"/>
      <c r="L2495" s="209"/>
      <c r="M2495" s="209"/>
      <c r="N2495" s="209"/>
      <c r="O2495" s="209"/>
      <c r="P2495" s="209"/>
      <c r="Q2495" s="209"/>
      <c r="R2495" s="209"/>
      <c r="S2495" s="209"/>
      <c r="T2495" s="209"/>
    </row>
    <row r="2496" spans="1:149" ht="15" hidden="1" customHeight="1">
      <c r="A2496" s="222">
        <v>45412</v>
      </c>
      <c r="B2496" s="201" t="s">
        <v>2261</v>
      </c>
      <c r="C2496" s="208" t="s">
        <v>27</v>
      </c>
      <c r="D2496" s="592">
        <v>2281754</v>
      </c>
      <c r="E2496" s="619">
        <v>45383</v>
      </c>
      <c r="F2496" s="201" t="s">
        <v>130</v>
      </c>
      <c r="G2496" s="627" t="s">
        <v>130</v>
      </c>
      <c r="H2496" s="208" t="s">
        <v>1175</v>
      </c>
      <c r="I2496" s="201"/>
      <c r="J2496" s="202"/>
      <c r="K2496" s="202"/>
      <c r="L2496" s="202"/>
      <c r="M2496" s="202"/>
      <c r="N2496" s="202"/>
      <c r="O2496" s="202"/>
      <c r="P2496" s="202"/>
      <c r="Q2496" s="202"/>
      <c r="R2496" s="202"/>
      <c r="S2496" s="202"/>
      <c r="T2496" s="202"/>
      <c r="U2496" s="202"/>
      <c r="V2496" s="202"/>
      <c r="W2496" s="202"/>
      <c r="X2496" s="202"/>
      <c r="Y2496" s="202"/>
      <c r="Z2496" s="202"/>
      <c r="AA2496" s="202"/>
      <c r="AB2496" s="202"/>
      <c r="AC2496" s="202"/>
      <c r="AD2496" s="202"/>
      <c r="AE2496" s="202"/>
      <c r="AF2496" s="202"/>
      <c r="AG2496" s="202"/>
      <c r="AH2496" s="202"/>
      <c r="AI2496" s="202"/>
      <c r="AJ2496" s="202"/>
      <c r="AK2496" s="202"/>
      <c r="AL2496" s="202"/>
      <c r="AM2496" s="202"/>
      <c r="AN2496" s="202"/>
      <c r="AO2496" s="202"/>
      <c r="AP2496" s="202"/>
      <c r="AQ2496" s="202"/>
      <c r="AR2496" s="202"/>
      <c r="AS2496" s="202"/>
      <c r="AT2496" s="202"/>
      <c r="AU2496" s="202"/>
      <c r="AV2496" s="202"/>
      <c r="AW2496" s="202"/>
      <c r="AX2496" s="202"/>
      <c r="AY2496" s="202"/>
      <c r="AZ2496" s="202"/>
      <c r="BA2496" s="202"/>
      <c r="BB2496" s="202"/>
      <c r="BC2496" s="202"/>
      <c r="BD2496" s="202"/>
      <c r="BE2496" s="202"/>
      <c r="BF2496" s="202"/>
      <c r="BG2496" s="202"/>
      <c r="BH2496" s="202"/>
      <c r="BI2496" s="202"/>
      <c r="BJ2496" s="202"/>
      <c r="BK2496" s="202"/>
      <c r="BL2496" s="202"/>
      <c r="BM2496" s="202"/>
      <c r="BN2496" s="202"/>
      <c r="BO2496" s="202"/>
      <c r="BP2496" s="202"/>
      <c r="BQ2496" s="202"/>
      <c r="BR2496" s="202"/>
      <c r="BS2496" s="202"/>
      <c r="BT2496" s="202"/>
      <c r="BU2496" s="202"/>
      <c r="BV2496" s="202"/>
      <c r="BW2496" s="202"/>
      <c r="BX2496" s="202"/>
      <c r="BY2496" s="202"/>
      <c r="BZ2496" s="202"/>
      <c r="CA2496" s="202"/>
      <c r="CB2496" s="202"/>
      <c r="CC2496" s="202"/>
      <c r="CD2496" s="202"/>
      <c r="CE2496" s="202"/>
      <c r="CF2496" s="202"/>
      <c r="CG2496" s="202"/>
      <c r="CH2496" s="202"/>
      <c r="CI2496" s="202"/>
      <c r="CJ2496" s="202"/>
      <c r="CK2496" s="202"/>
      <c r="CL2496" s="202"/>
      <c r="CM2496" s="202"/>
      <c r="CN2496" s="202"/>
      <c r="CO2496" s="202"/>
      <c r="CP2496" s="202"/>
      <c r="CQ2496" s="202"/>
      <c r="CR2496" s="202"/>
      <c r="CS2496" s="202"/>
      <c r="CT2496" s="202"/>
      <c r="CU2496" s="202"/>
      <c r="CV2496" s="202"/>
      <c r="CW2496" s="202"/>
      <c r="CX2496" s="202"/>
      <c r="CY2496" s="202"/>
      <c r="CZ2496" s="202"/>
      <c r="DA2496" s="202"/>
      <c r="DB2496" s="202"/>
      <c r="DC2496" s="202"/>
      <c r="DD2496" s="202"/>
      <c r="DE2496" s="202"/>
      <c r="DF2496" s="202"/>
      <c r="DG2496" s="202"/>
      <c r="DH2496" s="202"/>
      <c r="DI2496" s="202"/>
      <c r="DJ2496" s="202"/>
      <c r="DK2496" s="202"/>
      <c r="DL2496" s="202"/>
      <c r="DM2496" s="202"/>
      <c r="DN2496" s="202"/>
      <c r="DO2496" s="202"/>
      <c r="DP2496" s="202"/>
      <c r="DQ2496" s="202"/>
      <c r="DR2496" s="202"/>
      <c r="DS2496" s="202"/>
      <c r="DT2496" s="202"/>
      <c r="DU2496" s="202"/>
      <c r="DV2496" s="202"/>
      <c r="DW2496" s="202"/>
      <c r="DX2496" s="202"/>
      <c r="DY2496" s="202"/>
      <c r="DZ2496" s="202"/>
      <c r="EA2496" s="202"/>
      <c r="EB2496" s="202"/>
      <c r="EC2496" s="202"/>
      <c r="ED2496" s="202"/>
      <c r="EE2496" s="202"/>
      <c r="EF2496" s="202"/>
      <c r="EG2496" s="202"/>
      <c r="EH2496" s="202"/>
      <c r="EI2496" s="202"/>
      <c r="EJ2496" s="202"/>
      <c r="EK2496" s="202"/>
      <c r="EL2496" s="202"/>
      <c r="EM2496" s="202"/>
      <c r="EN2496" s="202"/>
      <c r="EO2496" s="202"/>
      <c r="EP2496" s="202"/>
      <c r="EQ2496" s="202"/>
      <c r="ER2496" s="202"/>
      <c r="ES2496" s="202"/>
    </row>
    <row r="2497" spans="1:20" ht="15" hidden="1" customHeight="1">
      <c r="A2497" s="468">
        <v>45429</v>
      </c>
      <c r="B2497" s="208" t="s">
        <v>2262</v>
      </c>
      <c r="C2497" s="208" t="s">
        <v>181</v>
      </c>
      <c r="D2497" s="592">
        <v>459135</v>
      </c>
      <c r="E2497" s="636">
        <v>45413</v>
      </c>
      <c r="F2497" s="208" t="s">
        <v>108</v>
      </c>
      <c r="G2497" s="208"/>
      <c r="H2497" s="208"/>
      <c r="I2497" s="208"/>
      <c r="J2497" s="209"/>
      <c r="K2497" s="209"/>
      <c r="L2497" s="209"/>
      <c r="M2497" s="209"/>
      <c r="N2497" s="209"/>
      <c r="O2497" s="209"/>
      <c r="P2497" s="209"/>
      <c r="Q2497" s="209"/>
      <c r="R2497" s="209"/>
      <c r="S2497" s="209"/>
      <c r="T2497" s="209"/>
    </row>
    <row r="2498" spans="1:20" ht="15" hidden="1" customHeight="1">
      <c r="A2498" s="468">
        <v>45429</v>
      </c>
      <c r="B2498" s="208" t="s">
        <v>2263</v>
      </c>
      <c r="C2498" s="208" t="s">
        <v>27</v>
      </c>
      <c r="D2498" s="592">
        <v>-28953022</v>
      </c>
      <c r="E2498" s="619">
        <v>45413</v>
      </c>
      <c r="F2498" s="601" t="s">
        <v>109</v>
      </c>
      <c r="G2498" s="208" t="s">
        <v>120</v>
      </c>
      <c r="H2498" s="208" t="s">
        <v>147</v>
      </c>
      <c r="I2498" s="208"/>
      <c r="J2498" s="209"/>
      <c r="K2498" s="209"/>
      <c r="L2498" s="209"/>
      <c r="M2498" s="209"/>
      <c r="N2498" s="209"/>
      <c r="O2498" s="209"/>
      <c r="P2498" s="209"/>
      <c r="Q2498" s="209"/>
      <c r="R2498" s="209"/>
      <c r="S2498" s="209"/>
      <c r="T2498" s="209"/>
    </row>
    <row r="2499" spans="1:20" ht="15" hidden="1" customHeight="1">
      <c r="A2499" s="468">
        <v>45429</v>
      </c>
      <c r="B2499" s="208" t="s">
        <v>2264</v>
      </c>
      <c r="C2499" s="208" t="s">
        <v>27</v>
      </c>
      <c r="D2499" s="592">
        <v>-4174000</v>
      </c>
      <c r="E2499" s="619">
        <v>45413</v>
      </c>
      <c r="F2499" s="208" t="s">
        <v>109</v>
      </c>
      <c r="G2499" s="208" t="s">
        <v>120</v>
      </c>
      <c r="H2499" s="208"/>
      <c r="I2499" s="208"/>
      <c r="J2499" s="209"/>
      <c r="K2499" s="209"/>
      <c r="L2499" s="209"/>
      <c r="M2499" s="209"/>
      <c r="N2499" s="209"/>
      <c r="O2499" s="209"/>
      <c r="P2499" s="209"/>
      <c r="Q2499" s="209"/>
      <c r="R2499" s="209"/>
      <c r="S2499" s="209"/>
      <c r="T2499" s="209"/>
    </row>
    <row r="2500" spans="1:20" ht="15" hidden="1" customHeight="1">
      <c r="A2500" s="468">
        <v>45424</v>
      </c>
      <c r="B2500" s="208" t="s">
        <v>2059</v>
      </c>
      <c r="C2500" s="208" t="s">
        <v>643</v>
      </c>
      <c r="D2500" s="592">
        <v>-29993.919999999998</v>
      </c>
      <c r="E2500" s="212">
        <v>45413</v>
      </c>
      <c r="F2500" s="208" t="s">
        <v>130</v>
      </c>
      <c r="G2500" s="208" t="s">
        <v>130</v>
      </c>
      <c r="H2500" s="208" t="s">
        <v>143</v>
      </c>
      <c r="I2500" s="208"/>
      <c r="J2500" s="209"/>
      <c r="K2500" s="209"/>
      <c r="L2500" s="209"/>
      <c r="M2500" s="209"/>
      <c r="N2500" s="209"/>
      <c r="O2500" s="209"/>
      <c r="P2500" s="209"/>
      <c r="Q2500" s="209"/>
      <c r="R2500" s="209"/>
      <c r="S2500" s="209"/>
      <c r="T2500" s="209"/>
    </row>
    <row r="2501" spans="1:20" ht="15" hidden="1" customHeight="1">
      <c r="A2501" s="468">
        <v>45426</v>
      </c>
      <c r="B2501" s="208" t="s">
        <v>2265</v>
      </c>
      <c r="C2501" s="208" t="s">
        <v>133</v>
      </c>
      <c r="D2501" s="592">
        <v>-104000</v>
      </c>
      <c r="E2501" s="212">
        <v>45413</v>
      </c>
      <c r="F2501" s="208" t="s">
        <v>130</v>
      </c>
      <c r="G2501" s="208" t="s">
        <v>257</v>
      </c>
      <c r="H2501" s="208" t="s">
        <v>663</v>
      </c>
      <c r="I2501" s="208"/>
      <c r="J2501" s="209"/>
      <c r="K2501" s="209"/>
      <c r="L2501" s="209"/>
      <c r="M2501" s="209"/>
      <c r="N2501" s="209"/>
      <c r="O2501" s="209"/>
      <c r="P2501" s="209"/>
      <c r="Q2501" s="209"/>
      <c r="R2501" s="209"/>
      <c r="S2501" s="209"/>
      <c r="T2501" s="209"/>
    </row>
    <row r="2502" spans="1:20" ht="15" hidden="1" customHeight="1">
      <c r="A2502" s="468">
        <v>45426</v>
      </c>
      <c r="B2502" s="208" t="s">
        <v>1946</v>
      </c>
      <c r="C2502" s="208" t="s">
        <v>27</v>
      </c>
      <c r="D2502" s="592">
        <v>-180000</v>
      </c>
      <c r="E2502" s="212">
        <v>45413</v>
      </c>
      <c r="F2502" s="208" t="s">
        <v>130</v>
      </c>
      <c r="G2502" s="208" t="s">
        <v>130</v>
      </c>
      <c r="H2502" s="208" t="s">
        <v>143</v>
      </c>
      <c r="I2502" s="208"/>
      <c r="J2502" s="209"/>
      <c r="K2502" s="209"/>
      <c r="L2502" s="209"/>
      <c r="M2502" s="209"/>
      <c r="N2502" s="209"/>
      <c r="O2502" s="209"/>
      <c r="P2502" s="209"/>
      <c r="Q2502" s="209"/>
      <c r="R2502" s="209"/>
      <c r="S2502" s="209"/>
      <c r="T2502" s="209"/>
    </row>
    <row r="2503" spans="1:20" ht="15" hidden="1" customHeight="1">
      <c r="A2503" s="468">
        <v>45425</v>
      </c>
      <c r="B2503" s="208" t="s">
        <v>2266</v>
      </c>
      <c r="C2503" s="208" t="s">
        <v>643</v>
      </c>
      <c r="D2503" s="592">
        <v>-156639.26</v>
      </c>
      <c r="E2503" s="212">
        <v>45413</v>
      </c>
      <c r="F2503" s="208" t="s">
        <v>130</v>
      </c>
      <c r="G2503" s="208" t="s">
        <v>130</v>
      </c>
      <c r="H2503" s="208" t="s">
        <v>143</v>
      </c>
      <c r="I2503" s="208"/>
      <c r="J2503" s="209"/>
      <c r="K2503" s="209"/>
      <c r="L2503" s="209"/>
      <c r="M2503" s="209"/>
      <c r="N2503" s="209"/>
      <c r="O2503" s="209"/>
      <c r="P2503" s="209"/>
      <c r="Q2503" s="209"/>
      <c r="R2503" s="209"/>
      <c r="S2503" s="209"/>
      <c r="T2503" s="209"/>
    </row>
    <row r="2504" spans="1:20" ht="15" hidden="1" customHeight="1">
      <c r="A2504" s="468">
        <v>45427</v>
      </c>
      <c r="B2504" s="208" t="s">
        <v>2267</v>
      </c>
      <c r="C2504" s="208" t="s">
        <v>643</v>
      </c>
      <c r="D2504" s="592">
        <v>-123500</v>
      </c>
      <c r="E2504" s="212">
        <v>45413</v>
      </c>
      <c r="F2504" s="208" t="s">
        <v>130</v>
      </c>
      <c r="G2504" s="208" t="s">
        <v>130</v>
      </c>
      <c r="H2504" s="208" t="s">
        <v>143</v>
      </c>
      <c r="I2504" s="208"/>
      <c r="J2504" s="209"/>
      <c r="K2504" s="209"/>
      <c r="L2504" s="209"/>
      <c r="M2504" s="209"/>
      <c r="N2504" s="209"/>
      <c r="O2504" s="209"/>
      <c r="P2504" s="209"/>
      <c r="Q2504" s="209"/>
      <c r="R2504" s="209"/>
      <c r="S2504" s="209"/>
      <c r="T2504" s="209"/>
    </row>
    <row r="2505" spans="1:20" ht="15" hidden="1" customHeight="1">
      <c r="A2505" s="468">
        <v>45426</v>
      </c>
      <c r="B2505" s="208" t="s">
        <v>2268</v>
      </c>
      <c r="C2505" s="208" t="s">
        <v>27</v>
      </c>
      <c r="D2505" s="592">
        <v>-386000</v>
      </c>
      <c r="E2505" s="212">
        <v>45413</v>
      </c>
      <c r="F2505" s="208" t="s">
        <v>130</v>
      </c>
      <c r="G2505" s="208" t="s">
        <v>130</v>
      </c>
      <c r="H2505" s="208" t="s">
        <v>852</v>
      </c>
      <c r="I2505" s="208"/>
      <c r="J2505" s="209"/>
      <c r="K2505" s="209"/>
      <c r="L2505" s="209"/>
      <c r="M2505" s="209"/>
      <c r="N2505" s="209"/>
      <c r="O2505" s="209"/>
      <c r="P2505" s="209"/>
      <c r="Q2505" s="209"/>
      <c r="R2505" s="209"/>
      <c r="S2505" s="209"/>
      <c r="T2505" s="209"/>
    </row>
    <row r="2506" spans="1:20" ht="15" hidden="1" customHeight="1">
      <c r="A2506" s="468">
        <v>45426</v>
      </c>
      <c r="B2506" s="208" t="s">
        <v>2269</v>
      </c>
      <c r="C2506" s="208" t="s">
        <v>133</v>
      </c>
      <c r="D2506" s="592">
        <v>-14000</v>
      </c>
      <c r="E2506" s="212">
        <v>45413</v>
      </c>
      <c r="F2506" s="208" t="s">
        <v>130</v>
      </c>
      <c r="G2506" s="208" t="s">
        <v>130</v>
      </c>
      <c r="H2506" s="208" t="s">
        <v>852</v>
      </c>
      <c r="I2506" s="208"/>
      <c r="J2506" s="209"/>
      <c r="K2506" s="209"/>
      <c r="L2506" s="209"/>
      <c r="M2506" s="209"/>
      <c r="N2506" s="209"/>
      <c r="O2506" s="209"/>
      <c r="P2506" s="209"/>
      <c r="Q2506" s="209"/>
      <c r="R2506" s="209"/>
      <c r="S2506" s="209"/>
      <c r="T2506" s="209"/>
    </row>
    <row r="2507" spans="1:20" ht="15" hidden="1" customHeight="1">
      <c r="A2507" s="468">
        <v>45426</v>
      </c>
      <c r="B2507" s="208" t="s">
        <v>2270</v>
      </c>
      <c r="C2507" s="208" t="s">
        <v>27</v>
      </c>
      <c r="D2507" s="592">
        <v>-640000</v>
      </c>
      <c r="E2507" s="212">
        <v>45413</v>
      </c>
      <c r="F2507" s="601" t="s">
        <v>109</v>
      </c>
      <c r="G2507" s="208" t="s">
        <v>120</v>
      </c>
      <c r="H2507" s="208" t="s">
        <v>147</v>
      </c>
      <c r="I2507" s="208"/>
      <c r="J2507" s="209"/>
      <c r="K2507" s="209"/>
      <c r="L2507" s="209"/>
      <c r="M2507" s="209"/>
      <c r="N2507" s="209"/>
      <c r="O2507" s="209"/>
      <c r="P2507" s="209"/>
      <c r="Q2507" s="209"/>
      <c r="R2507" s="209"/>
      <c r="S2507" s="209"/>
      <c r="T2507" s="209"/>
    </row>
    <row r="2508" spans="1:20" ht="15" hidden="1" customHeight="1">
      <c r="A2508" s="468">
        <v>45426</v>
      </c>
      <c r="B2508" s="208" t="s">
        <v>2271</v>
      </c>
      <c r="C2508" s="208" t="s">
        <v>27</v>
      </c>
      <c r="D2508" s="592">
        <v>-425600</v>
      </c>
      <c r="E2508" s="212">
        <v>45413</v>
      </c>
      <c r="F2508" s="208" t="s">
        <v>130</v>
      </c>
      <c r="G2508" s="208" t="s">
        <v>257</v>
      </c>
      <c r="H2508" s="208" t="s">
        <v>2272</v>
      </c>
      <c r="I2508" s="208"/>
      <c r="J2508" s="209"/>
      <c r="K2508" s="209"/>
      <c r="L2508" s="209"/>
      <c r="M2508" s="209"/>
      <c r="N2508" s="209"/>
      <c r="O2508" s="209"/>
      <c r="P2508" s="209"/>
      <c r="Q2508" s="209"/>
      <c r="R2508" s="209"/>
      <c r="S2508" s="209"/>
      <c r="T2508" s="209"/>
    </row>
    <row r="2509" spans="1:20" ht="15" hidden="1" customHeight="1">
      <c r="A2509" s="468">
        <v>45429</v>
      </c>
      <c r="B2509" s="208" t="s">
        <v>2059</v>
      </c>
      <c r="C2509" s="208" t="s">
        <v>643</v>
      </c>
      <c r="D2509" s="592">
        <v>-50044.76</v>
      </c>
      <c r="E2509" s="212">
        <v>45413</v>
      </c>
      <c r="F2509" s="208" t="s">
        <v>130</v>
      </c>
      <c r="G2509" s="208" t="s">
        <v>257</v>
      </c>
      <c r="H2509" s="208" t="s">
        <v>663</v>
      </c>
      <c r="I2509" s="208"/>
      <c r="J2509" s="209"/>
      <c r="K2509" s="209"/>
      <c r="L2509" s="209"/>
      <c r="M2509" s="209"/>
      <c r="N2509" s="209"/>
      <c r="O2509" s="209"/>
      <c r="P2509" s="209"/>
      <c r="Q2509" s="209"/>
      <c r="R2509" s="209"/>
      <c r="S2509" s="209"/>
      <c r="T2509" s="209"/>
    </row>
    <row r="2510" spans="1:20" ht="15" hidden="1" customHeight="1">
      <c r="A2510" s="468">
        <v>45426</v>
      </c>
      <c r="B2510" s="208" t="s">
        <v>2273</v>
      </c>
      <c r="C2510" s="208" t="s">
        <v>27</v>
      </c>
      <c r="D2510" s="592">
        <v>-950000</v>
      </c>
      <c r="E2510" s="212">
        <v>45413</v>
      </c>
      <c r="F2510" s="208" t="s">
        <v>130</v>
      </c>
      <c r="G2510" s="208" t="s">
        <v>257</v>
      </c>
      <c r="H2510" s="208" t="s">
        <v>663</v>
      </c>
      <c r="I2510" s="208"/>
      <c r="J2510" s="209"/>
      <c r="K2510" s="209"/>
      <c r="L2510" s="209"/>
      <c r="M2510" s="209"/>
      <c r="N2510" s="209"/>
      <c r="O2510" s="209"/>
      <c r="P2510" s="209"/>
      <c r="Q2510" s="209"/>
      <c r="R2510" s="209"/>
      <c r="S2510" s="209"/>
      <c r="T2510" s="209"/>
    </row>
    <row r="2511" spans="1:20" ht="15" hidden="1" customHeight="1">
      <c r="A2511" s="468">
        <v>45429</v>
      </c>
      <c r="B2511" s="208" t="s">
        <v>2274</v>
      </c>
      <c r="C2511" s="208" t="s">
        <v>643</v>
      </c>
      <c r="D2511" s="592">
        <v>4282790</v>
      </c>
      <c r="E2511" s="212">
        <v>45413</v>
      </c>
      <c r="F2511" s="208" t="s">
        <v>108</v>
      </c>
      <c r="G2511" s="208"/>
      <c r="H2511" s="208"/>
      <c r="I2511" s="208"/>
      <c r="J2511" s="209"/>
      <c r="K2511" s="209"/>
      <c r="L2511" s="209"/>
      <c r="M2511" s="209"/>
      <c r="N2511" s="209"/>
      <c r="O2511" s="209"/>
      <c r="P2511" s="209"/>
      <c r="Q2511" s="209"/>
      <c r="R2511" s="209"/>
      <c r="S2511" s="209"/>
      <c r="T2511" s="209"/>
    </row>
    <row r="2512" spans="1:20" ht="15" hidden="1" customHeight="1">
      <c r="A2512" s="468">
        <v>45426</v>
      </c>
      <c r="B2512" s="208" t="s">
        <v>2275</v>
      </c>
      <c r="C2512" s="208" t="s">
        <v>27</v>
      </c>
      <c r="D2512" s="592">
        <v>-14181000</v>
      </c>
      <c r="E2512" s="212">
        <v>45413</v>
      </c>
      <c r="F2512" s="208" t="s">
        <v>1702</v>
      </c>
      <c r="G2512" s="208"/>
      <c r="H2512" s="208"/>
      <c r="I2512" s="208"/>
      <c r="J2512" s="209"/>
      <c r="K2512" s="209"/>
      <c r="L2512" s="209"/>
      <c r="M2512" s="209"/>
      <c r="N2512" s="209"/>
      <c r="O2512" s="209"/>
      <c r="P2512" s="209"/>
      <c r="Q2512" s="209"/>
      <c r="R2512" s="209"/>
      <c r="S2512" s="209"/>
      <c r="T2512" s="209"/>
    </row>
    <row r="2513" spans="1:20" ht="15" hidden="1" customHeight="1">
      <c r="A2513" s="468">
        <v>45426</v>
      </c>
      <c r="B2513" s="208" t="s">
        <v>1703</v>
      </c>
      <c r="C2513" s="208" t="s">
        <v>27</v>
      </c>
      <c r="D2513" s="592">
        <v>-425000</v>
      </c>
      <c r="E2513" s="212">
        <v>45413</v>
      </c>
      <c r="F2513" s="208" t="s">
        <v>1702</v>
      </c>
      <c r="G2513" s="208"/>
      <c r="H2513" s="208"/>
      <c r="I2513" s="208"/>
      <c r="J2513" s="209"/>
      <c r="K2513" s="209"/>
      <c r="L2513" s="209"/>
      <c r="M2513" s="209"/>
      <c r="N2513" s="209"/>
      <c r="O2513" s="209"/>
      <c r="P2513" s="209"/>
      <c r="Q2513" s="209"/>
      <c r="R2513" s="209"/>
      <c r="S2513" s="209"/>
      <c r="T2513" s="209"/>
    </row>
    <row r="2514" spans="1:20" ht="15" hidden="1" customHeight="1">
      <c r="A2514" s="468">
        <v>45426</v>
      </c>
      <c r="B2514" s="208" t="s">
        <v>2276</v>
      </c>
      <c r="C2514" s="208" t="s">
        <v>27</v>
      </c>
      <c r="D2514" s="592">
        <v>-2713000</v>
      </c>
      <c r="E2514" s="212">
        <v>45413</v>
      </c>
      <c r="F2514" s="208" t="s">
        <v>1702</v>
      </c>
      <c r="G2514" s="208"/>
      <c r="H2514" s="208"/>
      <c r="I2514" s="208"/>
      <c r="J2514" s="209"/>
      <c r="K2514" s="209"/>
      <c r="L2514" s="209"/>
      <c r="M2514" s="209"/>
      <c r="N2514" s="209"/>
      <c r="O2514" s="209"/>
      <c r="P2514" s="209"/>
      <c r="Q2514" s="209"/>
      <c r="R2514" s="209"/>
      <c r="S2514" s="209"/>
      <c r="T2514" s="209"/>
    </row>
    <row r="2515" spans="1:20" ht="15" hidden="1" customHeight="1">
      <c r="A2515" s="468">
        <v>45426</v>
      </c>
      <c r="B2515" s="208" t="s">
        <v>2277</v>
      </c>
      <c r="C2515" s="208" t="s">
        <v>27</v>
      </c>
      <c r="D2515" s="592">
        <v>-125800</v>
      </c>
      <c r="E2515" s="212">
        <v>45413</v>
      </c>
      <c r="F2515" s="208" t="s">
        <v>130</v>
      </c>
      <c r="G2515" s="208" t="s">
        <v>130</v>
      </c>
      <c r="H2515" s="208" t="s">
        <v>1242</v>
      </c>
      <c r="I2515" s="208"/>
      <c r="J2515" s="209"/>
      <c r="K2515" s="209"/>
      <c r="L2515" s="209"/>
      <c r="M2515" s="209"/>
      <c r="N2515" s="209"/>
      <c r="O2515" s="209"/>
      <c r="P2515" s="209"/>
      <c r="Q2515" s="209"/>
      <c r="R2515" s="209"/>
      <c r="S2515" s="209"/>
      <c r="T2515" s="209"/>
    </row>
    <row r="2516" spans="1:20" ht="15" hidden="1" customHeight="1">
      <c r="A2516" s="468">
        <v>45426</v>
      </c>
      <c r="B2516" s="208" t="s">
        <v>2278</v>
      </c>
      <c r="C2516" s="208" t="s">
        <v>27</v>
      </c>
      <c r="D2516" s="592">
        <v>-2288000</v>
      </c>
      <c r="E2516" s="212">
        <v>45413</v>
      </c>
      <c r="F2516" s="208" t="s">
        <v>130</v>
      </c>
      <c r="G2516" s="208" t="s">
        <v>257</v>
      </c>
      <c r="H2516" s="208" t="s">
        <v>663</v>
      </c>
      <c r="I2516" s="208"/>
      <c r="J2516" s="209"/>
      <c r="K2516" s="209"/>
      <c r="L2516" s="209"/>
      <c r="M2516" s="209"/>
      <c r="N2516" s="209"/>
      <c r="O2516" s="209"/>
      <c r="P2516" s="209"/>
      <c r="Q2516" s="209"/>
      <c r="R2516" s="209"/>
      <c r="S2516" s="209"/>
      <c r="T2516" s="209"/>
    </row>
    <row r="2517" spans="1:20" ht="15" hidden="1" customHeight="1">
      <c r="A2517" s="468">
        <v>45426</v>
      </c>
      <c r="B2517" s="208" t="s">
        <v>2279</v>
      </c>
      <c r="C2517" s="208" t="s">
        <v>133</v>
      </c>
      <c r="D2517" s="592">
        <v>-12000</v>
      </c>
      <c r="E2517" s="212">
        <v>45413</v>
      </c>
      <c r="F2517" s="208" t="s">
        <v>130</v>
      </c>
      <c r="G2517" s="208" t="s">
        <v>257</v>
      </c>
      <c r="H2517" s="208" t="s">
        <v>663</v>
      </c>
      <c r="I2517" s="208"/>
      <c r="J2517" s="209"/>
      <c r="K2517" s="209"/>
      <c r="L2517" s="209"/>
      <c r="M2517" s="209"/>
      <c r="N2517" s="209"/>
      <c r="O2517" s="209"/>
      <c r="P2517" s="209"/>
      <c r="Q2517" s="209"/>
      <c r="R2517" s="209"/>
      <c r="S2517" s="209"/>
      <c r="T2517" s="209"/>
    </row>
    <row r="2518" spans="1:20" ht="15" hidden="1" customHeight="1">
      <c r="A2518" s="468">
        <v>45426</v>
      </c>
      <c r="B2518" s="208" t="s">
        <v>2280</v>
      </c>
      <c r="C2518" s="208" t="s">
        <v>133</v>
      </c>
      <c r="D2518" s="592">
        <v>-80000</v>
      </c>
      <c r="E2518" s="212">
        <v>45413</v>
      </c>
      <c r="F2518" s="208" t="s">
        <v>130</v>
      </c>
      <c r="G2518" s="208" t="s">
        <v>257</v>
      </c>
      <c r="H2518" s="208" t="s">
        <v>663</v>
      </c>
      <c r="I2518" s="208"/>
      <c r="J2518" s="209"/>
      <c r="K2518" s="209"/>
      <c r="L2518" s="209"/>
      <c r="M2518" s="209"/>
      <c r="N2518" s="209"/>
      <c r="O2518" s="209"/>
      <c r="P2518" s="209"/>
      <c r="Q2518" s="209"/>
      <c r="R2518" s="209"/>
      <c r="S2518" s="209"/>
      <c r="T2518" s="209"/>
    </row>
    <row r="2519" spans="1:20" ht="15" hidden="1" customHeight="1">
      <c r="A2519" s="468">
        <v>45426</v>
      </c>
      <c r="B2519" s="208" t="s">
        <v>2281</v>
      </c>
      <c r="C2519" s="208" t="s">
        <v>27</v>
      </c>
      <c r="D2519" s="592">
        <v>-8316000</v>
      </c>
      <c r="E2519" s="212">
        <v>45413</v>
      </c>
      <c r="F2519" s="601" t="s">
        <v>109</v>
      </c>
      <c r="G2519" s="208" t="s">
        <v>120</v>
      </c>
      <c r="H2519" s="208"/>
      <c r="I2519" s="208"/>
      <c r="J2519" s="209"/>
      <c r="K2519" s="209"/>
      <c r="L2519" s="209"/>
      <c r="M2519" s="209"/>
      <c r="N2519" s="209"/>
      <c r="O2519" s="209"/>
      <c r="P2519" s="209"/>
      <c r="Q2519" s="209"/>
      <c r="R2519" s="209"/>
      <c r="S2519" s="209"/>
      <c r="T2519" s="209"/>
    </row>
    <row r="2520" spans="1:20" ht="15" hidden="1" customHeight="1">
      <c r="A2520" s="468">
        <v>45426</v>
      </c>
      <c r="B2520" s="208" t="s">
        <v>2282</v>
      </c>
      <c r="C2520" s="208" t="s">
        <v>133</v>
      </c>
      <c r="D2520" s="592">
        <v>-84000</v>
      </c>
      <c r="E2520" s="212">
        <v>45413</v>
      </c>
      <c r="F2520" s="601" t="s">
        <v>109</v>
      </c>
      <c r="G2520" s="208" t="s">
        <v>120</v>
      </c>
      <c r="H2520" s="208"/>
      <c r="I2520" s="208"/>
      <c r="J2520" s="209"/>
      <c r="K2520" s="209"/>
      <c r="L2520" s="209"/>
      <c r="M2520" s="209"/>
      <c r="N2520" s="209"/>
      <c r="O2520" s="209"/>
      <c r="P2520" s="209"/>
      <c r="Q2520" s="209"/>
      <c r="R2520" s="209"/>
      <c r="S2520" s="209"/>
      <c r="T2520" s="209"/>
    </row>
    <row r="2521" spans="1:20" ht="15" hidden="1" customHeight="1">
      <c r="A2521" s="468">
        <v>45427</v>
      </c>
      <c r="B2521" s="208" t="s">
        <v>2283</v>
      </c>
      <c r="C2521" s="208" t="s">
        <v>27</v>
      </c>
      <c r="D2521" s="592">
        <v>-215000</v>
      </c>
      <c r="E2521" s="212">
        <v>45413</v>
      </c>
      <c r="F2521" s="201" t="s">
        <v>110</v>
      </c>
      <c r="G2521" s="81" t="s">
        <v>1621</v>
      </c>
      <c r="H2521" s="208" t="s">
        <v>310</v>
      </c>
      <c r="I2521" s="208"/>
      <c r="J2521" s="209"/>
      <c r="K2521" s="209"/>
      <c r="L2521" s="209"/>
      <c r="M2521" s="209"/>
      <c r="N2521" s="209"/>
      <c r="O2521" s="209"/>
      <c r="P2521" s="209"/>
      <c r="Q2521" s="209"/>
      <c r="R2521" s="209"/>
      <c r="S2521" s="209"/>
      <c r="T2521" s="209"/>
    </row>
    <row r="2522" spans="1:20" ht="15" hidden="1" customHeight="1">
      <c r="A2522" s="468">
        <v>45427</v>
      </c>
      <c r="B2522" s="208" t="s">
        <v>2284</v>
      </c>
      <c r="C2522" s="208" t="s">
        <v>27</v>
      </c>
      <c r="D2522" s="592">
        <v>-58590</v>
      </c>
      <c r="E2522" s="212">
        <v>45413</v>
      </c>
      <c r="F2522" s="208" t="s">
        <v>130</v>
      </c>
      <c r="G2522" s="208" t="s">
        <v>130</v>
      </c>
      <c r="H2522" s="208" t="s">
        <v>1242</v>
      </c>
      <c r="I2522" s="208"/>
      <c r="J2522" s="209"/>
      <c r="K2522" s="209"/>
      <c r="L2522" s="209"/>
      <c r="M2522" s="209"/>
      <c r="N2522" s="209"/>
      <c r="O2522" s="209"/>
      <c r="P2522" s="209"/>
      <c r="Q2522" s="209"/>
      <c r="R2522" s="209"/>
      <c r="S2522" s="209"/>
      <c r="T2522" s="209"/>
    </row>
    <row r="2523" spans="1:20" ht="15" hidden="1" customHeight="1">
      <c r="A2523" s="468">
        <v>45427</v>
      </c>
      <c r="B2523" s="208" t="s">
        <v>2285</v>
      </c>
      <c r="C2523" s="208" t="s">
        <v>27</v>
      </c>
      <c r="D2523" s="592">
        <v>-119310</v>
      </c>
      <c r="E2523" s="212">
        <v>45413</v>
      </c>
      <c r="F2523" s="208" t="s">
        <v>130</v>
      </c>
      <c r="G2523" s="208" t="s">
        <v>130</v>
      </c>
      <c r="H2523" s="208" t="s">
        <v>1242</v>
      </c>
      <c r="I2523" s="208"/>
      <c r="J2523" s="209"/>
      <c r="K2523" s="209"/>
      <c r="L2523" s="209"/>
      <c r="M2523" s="209"/>
      <c r="N2523" s="209"/>
      <c r="O2523" s="209"/>
      <c r="P2523" s="209"/>
      <c r="Q2523" s="209"/>
      <c r="R2523" s="209"/>
      <c r="S2523" s="209"/>
      <c r="T2523" s="209"/>
    </row>
    <row r="2524" spans="1:20" ht="15" hidden="1" customHeight="1">
      <c r="A2524" s="468">
        <v>45427</v>
      </c>
      <c r="B2524" s="208" t="s">
        <v>2286</v>
      </c>
      <c r="C2524" s="208" t="s">
        <v>27</v>
      </c>
      <c r="D2524" s="592">
        <v>-399920</v>
      </c>
      <c r="E2524" s="212">
        <v>45413</v>
      </c>
      <c r="F2524" s="208" t="s">
        <v>130</v>
      </c>
      <c r="G2524" s="208" t="s">
        <v>130</v>
      </c>
      <c r="H2524" s="208" t="s">
        <v>2287</v>
      </c>
      <c r="I2524" s="208"/>
      <c r="J2524" s="209"/>
      <c r="K2524" s="209"/>
      <c r="L2524" s="209"/>
      <c r="M2524" s="209"/>
      <c r="N2524" s="209"/>
      <c r="O2524" s="209"/>
      <c r="P2524" s="209"/>
      <c r="Q2524" s="209"/>
      <c r="R2524" s="209"/>
      <c r="S2524" s="209"/>
      <c r="T2524" s="209"/>
    </row>
    <row r="2525" spans="1:20" ht="15" hidden="1" customHeight="1">
      <c r="A2525" s="468">
        <v>45427</v>
      </c>
      <c r="B2525" s="208" t="s">
        <v>2288</v>
      </c>
      <c r="C2525" s="208" t="s">
        <v>27</v>
      </c>
      <c r="D2525" s="592">
        <v>-70656250</v>
      </c>
      <c r="E2525" s="212">
        <v>45413</v>
      </c>
      <c r="F2525" s="601" t="s">
        <v>109</v>
      </c>
      <c r="G2525" s="208" t="s">
        <v>120</v>
      </c>
      <c r="H2525" s="208"/>
      <c r="I2525" s="208"/>
      <c r="J2525" s="209"/>
      <c r="K2525" s="209"/>
      <c r="L2525" s="209"/>
      <c r="M2525" s="209"/>
      <c r="N2525" s="209"/>
      <c r="O2525" s="209"/>
      <c r="P2525" s="209"/>
      <c r="Q2525" s="209"/>
      <c r="R2525" s="209"/>
      <c r="S2525" s="209"/>
      <c r="T2525" s="209"/>
    </row>
    <row r="2526" spans="1:20" ht="15" hidden="1" customHeight="1">
      <c r="A2526" s="468">
        <v>45427</v>
      </c>
      <c r="B2526" s="208" t="s">
        <v>2289</v>
      </c>
      <c r="C2526" s="208" t="s">
        <v>27</v>
      </c>
      <c r="D2526" s="592">
        <v>-1603724</v>
      </c>
      <c r="E2526" s="212">
        <v>45413</v>
      </c>
      <c r="F2526" s="601" t="s">
        <v>109</v>
      </c>
      <c r="G2526" s="208" t="s">
        <v>125</v>
      </c>
      <c r="H2526" s="208" t="s">
        <v>175</v>
      </c>
      <c r="I2526" s="208"/>
      <c r="J2526" s="209"/>
      <c r="K2526" s="209"/>
      <c r="L2526" s="209"/>
      <c r="M2526" s="209"/>
      <c r="N2526" s="209"/>
      <c r="O2526" s="209"/>
      <c r="P2526" s="209"/>
      <c r="Q2526" s="209"/>
      <c r="R2526" s="209"/>
      <c r="S2526" s="209"/>
      <c r="T2526" s="209"/>
    </row>
    <row r="2527" spans="1:20" ht="15" hidden="1" customHeight="1">
      <c r="A2527" s="468">
        <v>45427</v>
      </c>
      <c r="B2527" s="208" t="s">
        <v>2290</v>
      </c>
      <c r="C2527" s="208" t="s">
        <v>27</v>
      </c>
      <c r="D2527" s="592">
        <v>-2768620</v>
      </c>
      <c r="E2527" s="212">
        <v>45413</v>
      </c>
      <c r="F2527" s="601" t="s">
        <v>109</v>
      </c>
      <c r="G2527" s="208" t="s">
        <v>120</v>
      </c>
      <c r="H2527" s="208"/>
      <c r="I2527" s="208"/>
      <c r="J2527" s="209"/>
      <c r="K2527" s="209"/>
      <c r="L2527" s="209"/>
      <c r="M2527" s="209"/>
      <c r="N2527" s="209"/>
      <c r="O2527" s="209"/>
      <c r="P2527" s="209"/>
      <c r="Q2527" s="209"/>
      <c r="R2527" s="209"/>
      <c r="S2527" s="209"/>
      <c r="T2527" s="209"/>
    </row>
    <row r="2528" spans="1:20" ht="15" hidden="1" customHeight="1">
      <c r="A2528" s="468">
        <v>45427</v>
      </c>
      <c r="B2528" s="208" t="s">
        <v>2291</v>
      </c>
      <c r="C2528" s="208" t="s">
        <v>27</v>
      </c>
      <c r="D2528" s="592">
        <v>-120001</v>
      </c>
      <c r="E2528" s="212">
        <v>45413</v>
      </c>
      <c r="F2528" s="208" t="s">
        <v>130</v>
      </c>
      <c r="G2528" s="208" t="s">
        <v>130</v>
      </c>
      <c r="H2528" s="208" t="s">
        <v>406</v>
      </c>
      <c r="I2528" s="208"/>
      <c r="J2528" s="209"/>
      <c r="K2528" s="209"/>
      <c r="L2528" s="209"/>
      <c r="M2528" s="209"/>
      <c r="N2528" s="209"/>
      <c r="O2528" s="209"/>
      <c r="P2528" s="209"/>
      <c r="Q2528" s="209"/>
      <c r="R2528" s="209"/>
      <c r="S2528" s="209"/>
      <c r="T2528" s="209"/>
    </row>
    <row r="2529" spans="1:20" ht="15" hidden="1" customHeight="1">
      <c r="A2529" s="468">
        <v>45428</v>
      </c>
      <c r="B2529" s="208" t="s">
        <v>2292</v>
      </c>
      <c r="C2529" s="208" t="s">
        <v>27</v>
      </c>
      <c r="D2529" s="592">
        <v>-1393800</v>
      </c>
      <c r="E2529" s="212">
        <v>45413</v>
      </c>
      <c r="F2529" s="208" t="s">
        <v>130</v>
      </c>
      <c r="G2529" s="208" t="s">
        <v>130</v>
      </c>
      <c r="H2529" s="208" t="s">
        <v>184</v>
      </c>
      <c r="I2529" s="208"/>
      <c r="J2529" s="209"/>
      <c r="K2529" s="209"/>
      <c r="L2529" s="209"/>
      <c r="M2529" s="209"/>
      <c r="N2529" s="209"/>
      <c r="O2529" s="209"/>
      <c r="P2529" s="209"/>
      <c r="Q2529" s="209"/>
      <c r="R2529" s="209"/>
      <c r="S2529" s="209"/>
      <c r="T2529" s="209"/>
    </row>
    <row r="2530" spans="1:20" ht="15" hidden="1" customHeight="1">
      <c r="A2530" s="468">
        <v>45428</v>
      </c>
      <c r="B2530" s="208" t="s">
        <v>2293</v>
      </c>
      <c r="C2530" s="208" t="s">
        <v>27</v>
      </c>
      <c r="D2530" s="592">
        <v>-934800</v>
      </c>
      <c r="E2530" s="212">
        <v>45413</v>
      </c>
      <c r="F2530" s="601" t="s">
        <v>109</v>
      </c>
      <c r="G2530" s="201" t="s">
        <v>1261</v>
      </c>
      <c r="H2530" s="208" t="s">
        <v>416</v>
      </c>
      <c r="I2530" s="208"/>
      <c r="J2530" s="209"/>
      <c r="K2530" s="209"/>
      <c r="L2530" s="209"/>
      <c r="M2530" s="209"/>
      <c r="N2530" s="209"/>
      <c r="O2530" s="209"/>
      <c r="P2530" s="209"/>
      <c r="Q2530" s="209"/>
      <c r="R2530" s="209"/>
      <c r="S2530" s="209"/>
      <c r="T2530" s="209"/>
    </row>
    <row r="2531" spans="1:20" ht="15" hidden="1" customHeight="1">
      <c r="A2531" s="468">
        <v>45428</v>
      </c>
      <c r="B2531" s="208" t="s">
        <v>2294</v>
      </c>
      <c r="C2531" s="208" t="s">
        <v>27</v>
      </c>
      <c r="D2531" s="592">
        <v>-1192800</v>
      </c>
      <c r="E2531" s="212">
        <v>45413</v>
      </c>
      <c r="F2531" s="208" t="s">
        <v>130</v>
      </c>
      <c r="G2531" s="208" t="s">
        <v>257</v>
      </c>
      <c r="H2531" s="208" t="s">
        <v>663</v>
      </c>
      <c r="I2531" s="208"/>
      <c r="J2531" s="209"/>
      <c r="K2531" s="209"/>
      <c r="L2531" s="209"/>
      <c r="M2531" s="209"/>
      <c r="N2531" s="209"/>
      <c r="O2531" s="209"/>
      <c r="P2531" s="209"/>
      <c r="Q2531" s="209"/>
      <c r="R2531" s="209"/>
      <c r="S2531" s="209"/>
      <c r="T2531" s="209"/>
    </row>
    <row r="2532" spans="1:20" ht="15" hidden="1" customHeight="1">
      <c r="A2532" s="468">
        <v>45419</v>
      </c>
      <c r="B2532" s="208" t="s">
        <v>2295</v>
      </c>
      <c r="C2532" s="208" t="s">
        <v>2113</v>
      </c>
      <c r="D2532" s="592">
        <v>-3900</v>
      </c>
      <c r="E2532" s="212">
        <v>45413</v>
      </c>
      <c r="F2532" s="208" t="s">
        <v>130</v>
      </c>
      <c r="G2532" s="208" t="s">
        <v>257</v>
      </c>
      <c r="H2532" s="208" t="s">
        <v>663</v>
      </c>
      <c r="I2532" s="208" t="s">
        <v>173</v>
      </c>
      <c r="J2532" s="209"/>
      <c r="K2532" s="209"/>
      <c r="L2532" s="209"/>
      <c r="M2532" s="209"/>
      <c r="N2532" s="209"/>
      <c r="O2532" s="209"/>
      <c r="P2532" s="209"/>
      <c r="Q2532" s="209"/>
      <c r="R2532" s="209"/>
      <c r="S2532" s="209"/>
      <c r="T2532" s="209"/>
    </row>
    <row r="2533" spans="1:20" ht="15" hidden="1" customHeight="1">
      <c r="A2533" s="468">
        <v>45419</v>
      </c>
      <c r="B2533" s="208" t="s">
        <v>2296</v>
      </c>
      <c r="C2533" s="208" t="s">
        <v>2113</v>
      </c>
      <c r="D2533" s="592">
        <v>-38288</v>
      </c>
      <c r="E2533" s="212">
        <v>45413</v>
      </c>
      <c r="F2533" s="601" t="s">
        <v>109</v>
      </c>
      <c r="G2533" s="208" t="s">
        <v>120</v>
      </c>
      <c r="H2533" s="208"/>
      <c r="I2533" s="208" t="s">
        <v>173</v>
      </c>
      <c r="J2533" s="209"/>
      <c r="K2533" s="209"/>
      <c r="L2533" s="209"/>
      <c r="M2533" s="209"/>
      <c r="N2533" s="209"/>
      <c r="O2533" s="209"/>
      <c r="P2533" s="209"/>
      <c r="Q2533" s="209"/>
      <c r="R2533" s="209"/>
      <c r="S2533" s="209"/>
      <c r="T2533" s="209"/>
    </row>
    <row r="2534" spans="1:20" ht="15" hidden="1" customHeight="1">
      <c r="A2534" s="468">
        <v>45419</v>
      </c>
      <c r="B2534" s="208" t="s">
        <v>2297</v>
      </c>
      <c r="C2534" s="208" t="s">
        <v>2113</v>
      </c>
      <c r="D2534" s="592">
        <v>-35000</v>
      </c>
      <c r="E2534" s="619">
        <v>45413</v>
      </c>
      <c r="F2534" s="208" t="s">
        <v>207</v>
      </c>
      <c r="G2534" s="81" t="s">
        <v>2226</v>
      </c>
      <c r="H2534" s="208" t="s">
        <v>138</v>
      </c>
      <c r="I2534" s="208" t="s">
        <v>173</v>
      </c>
      <c r="J2534" s="209"/>
      <c r="K2534" s="209"/>
      <c r="L2534" s="209"/>
      <c r="M2534" s="209"/>
      <c r="N2534" s="209"/>
      <c r="O2534" s="209"/>
      <c r="P2534" s="209"/>
      <c r="Q2534" s="209"/>
      <c r="R2534" s="209"/>
      <c r="S2534" s="209"/>
      <c r="T2534" s="209"/>
    </row>
    <row r="2535" spans="1:20" ht="15" hidden="1" customHeight="1">
      <c r="A2535" s="468">
        <v>45419</v>
      </c>
      <c r="B2535" s="208" t="s">
        <v>2298</v>
      </c>
      <c r="C2535" s="208" t="s">
        <v>146</v>
      </c>
      <c r="D2535" s="592">
        <v>-12000</v>
      </c>
      <c r="E2535" s="212">
        <v>45413</v>
      </c>
      <c r="F2535" s="208" t="s">
        <v>130</v>
      </c>
      <c r="G2535" s="637" t="s">
        <v>257</v>
      </c>
      <c r="H2535" s="208" t="s">
        <v>138</v>
      </c>
      <c r="I2535" s="208"/>
      <c r="J2535" s="209"/>
      <c r="K2535" s="209"/>
      <c r="L2535" s="209"/>
      <c r="M2535" s="209"/>
      <c r="N2535" s="209"/>
      <c r="O2535" s="209"/>
      <c r="P2535" s="209"/>
      <c r="Q2535" s="209"/>
      <c r="R2535" s="209"/>
      <c r="S2535" s="209"/>
      <c r="T2535" s="209"/>
    </row>
    <row r="2536" spans="1:20" ht="15" hidden="1" customHeight="1">
      <c r="A2536" s="468">
        <v>45420</v>
      </c>
      <c r="B2536" s="208" t="s">
        <v>2299</v>
      </c>
      <c r="C2536" s="208" t="s">
        <v>146</v>
      </c>
      <c r="D2536" s="592">
        <v>-61000</v>
      </c>
      <c r="E2536" s="619">
        <v>45413</v>
      </c>
      <c r="F2536" s="208" t="s">
        <v>207</v>
      </c>
      <c r="G2536" s="206" t="s">
        <v>1741</v>
      </c>
      <c r="H2536" s="208" t="s">
        <v>138</v>
      </c>
      <c r="I2536" s="208"/>
      <c r="J2536" s="209"/>
      <c r="K2536" s="209"/>
      <c r="L2536" s="209"/>
      <c r="M2536" s="209"/>
      <c r="N2536" s="209"/>
      <c r="O2536" s="209"/>
      <c r="P2536" s="209"/>
      <c r="Q2536" s="209"/>
      <c r="R2536" s="209"/>
      <c r="S2536" s="209"/>
      <c r="T2536" s="209"/>
    </row>
    <row r="2537" spans="1:20" ht="15" hidden="1" customHeight="1">
      <c r="A2537" s="468">
        <v>45420</v>
      </c>
      <c r="B2537" s="208" t="s">
        <v>2300</v>
      </c>
      <c r="C2537" s="208" t="s">
        <v>146</v>
      </c>
      <c r="D2537" s="592">
        <v>-24000</v>
      </c>
      <c r="E2537" s="619">
        <v>45413</v>
      </c>
      <c r="F2537" s="208" t="s">
        <v>110</v>
      </c>
      <c r="G2537" s="208" t="s">
        <v>122</v>
      </c>
      <c r="H2537" s="208" t="s">
        <v>138</v>
      </c>
      <c r="I2537" s="208"/>
      <c r="J2537" s="209"/>
      <c r="K2537" s="209"/>
      <c r="L2537" s="209"/>
      <c r="M2537" s="209"/>
      <c r="N2537" s="209"/>
      <c r="O2537" s="209"/>
      <c r="P2537" s="209"/>
      <c r="Q2537" s="209"/>
      <c r="R2537" s="209"/>
      <c r="S2537" s="209"/>
      <c r="T2537" s="209"/>
    </row>
    <row r="2538" spans="1:20" ht="15" hidden="1" customHeight="1">
      <c r="A2538" s="468">
        <v>45420</v>
      </c>
      <c r="B2538" s="208" t="s">
        <v>2301</v>
      </c>
      <c r="C2538" s="208" t="s">
        <v>146</v>
      </c>
      <c r="D2538" s="592">
        <v>-13000</v>
      </c>
      <c r="E2538" s="619">
        <v>45413</v>
      </c>
      <c r="F2538" s="208" t="s">
        <v>110</v>
      </c>
      <c r="G2538" s="208" t="s">
        <v>453</v>
      </c>
      <c r="H2538" s="208" t="s">
        <v>138</v>
      </c>
      <c r="I2538" s="208"/>
      <c r="J2538" s="209"/>
      <c r="K2538" s="209"/>
      <c r="L2538" s="209"/>
      <c r="M2538" s="209"/>
      <c r="N2538" s="209"/>
      <c r="O2538" s="209"/>
      <c r="P2538" s="209"/>
      <c r="Q2538" s="209"/>
      <c r="R2538" s="209"/>
      <c r="S2538" s="209"/>
      <c r="T2538" s="209"/>
    </row>
    <row r="2539" spans="1:20" ht="15" hidden="1" customHeight="1">
      <c r="A2539" s="468">
        <v>45420</v>
      </c>
      <c r="B2539" s="208" t="s">
        <v>2302</v>
      </c>
      <c r="C2539" s="208" t="s">
        <v>146</v>
      </c>
      <c r="D2539" s="592">
        <v>-16200</v>
      </c>
      <c r="E2539" s="619">
        <v>45413</v>
      </c>
      <c r="F2539" s="208" t="s">
        <v>130</v>
      </c>
      <c r="G2539" s="591" t="s">
        <v>130</v>
      </c>
      <c r="H2539" s="208" t="s">
        <v>184</v>
      </c>
      <c r="I2539" s="208"/>
      <c r="J2539" s="209"/>
      <c r="K2539" s="209"/>
      <c r="L2539" s="209"/>
      <c r="M2539" s="209"/>
      <c r="N2539" s="209"/>
      <c r="O2539" s="209"/>
      <c r="P2539" s="209"/>
      <c r="Q2539" s="209"/>
      <c r="R2539" s="209"/>
      <c r="S2539" s="209"/>
      <c r="T2539" s="209"/>
    </row>
    <row r="2540" spans="1:20" ht="15" hidden="1" customHeight="1">
      <c r="A2540" s="468">
        <v>45420</v>
      </c>
      <c r="B2540" s="208" t="s">
        <v>1908</v>
      </c>
      <c r="C2540" s="208" t="s">
        <v>146</v>
      </c>
      <c r="D2540" s="592">
        <v>-7000</v>
      </c>
      <c r="E2540" s="619">
        <v>45413</v>
      </c>
      <c r="F2540" s="208" t="s">
        <v>110</v>
      </c>
      <c r="G2540" s="208" t="s">
        <v>453</v>
      </c>
      <c r="H2540" s="208" t="s">
        <v>138</v>
      </c>
      <c r="I2540" s="208"/>
      <c r="J2540" s="209"/>
      <c r="K2540" s="209"/>
      <c r="L2540" s="209"/>
      <c r="M2540" s="209"/>
      <c r="N2540" s="209"/>
      <c r="O2540" s="209"/>
      <c r="P2540" s="209"/>
      <c r="Q2540" s="209"/>
      <c r="R2540" s="209"/>
      <c r="S2540" s="209"/>
      <c r="T2540" s="209"/>
    </row>
    <row r="2541" spans="1:20" ht="15" hidden="1" customHeight="1">
      <c r="A2541" s="468">
        <v>45420</v>
      </c>
      <c r="B2541" s="208" t="s">
        <v>2303</v>
      </c>
      <c r="C2541" s="208" t="s">
        <v>146</v>
      </c>
      <c r="D2541" s="592">
        <v>-12200</v>
      </c>
      <c r="E2541" s="619">
        <v>45413</v>
      </c>
      <c r="F2541" s="291" t="s">
        <v>110</v>
      </c>
      <c r="G2541" s="208" t="s">
        <v>450</v>
      </c>
      <c r="H2541" s="208" t="s">
        <v>138</v>
      </c>
      <c r="I2541" s="208"/>
      <c r="J2541" s="209"/>
      <c r="K2541" s="209"/>
      <c r="L2541" s="209"/>
      <c r="M2541" s="209"/>
      <c r="N2541" s="209"/>
      <c r="O2541" s="209"/>
      <c r="P2541" s="209"/>
      <c r="Q2541" s="209"/>
      <c r="R2541" s="209"/>
      <c r="S2541" s="209"/>
      <c r="T2541" s="209"/>
    </row>
    <row r="2542" spans="1:20" ht="15" hidden="1" customHeight="1">
      <c r="A2542" s="468">
        <v>45420</v>
      </c>
      <c r="B2542" s="208" t="s">
        <v>2304</v>
      </c>
      <c r="C2542" s="208" t="s">
        <v>146</v>
      </c>
      <c r="D2542" s="592">
        <v>-12000</v>
      </c>
      <c r="E2542" s="619">
        <v>45413</v>
      </c>
      <c r="F2542" t="s">
        <v>207</v>
      </c>
      <c r="G2542" s="201" t="s">
        <v>2009</v>
      </c>
      <c r="H2542" s="208" t="s">
        <v>138</v>
      </c>
      <c r="I2542" s="208"/>
      <c r="J2542" s="209"/>
      <c r="K2542" s="209"/>
      <c r="L2542" s="209"/>
      <c r="M2542" s="209"/>
      <c r="N2542" s="209"/>
      <c r="O2542" s="209"/>
      <c r="P2542" s="209"/>
      <c r="Q2542" s="209"/>
      <c r="R2542" s="209"/>
      <c r="S2542" s="209"/>
      <c r="T2542" s="209"/>
    </row>
    <row r="2543" spans="1:20" ht="15" hidden="1" customHeight="1">
      <c r="A2543" s="468">
        <v>45420</v>
      </c>
      <c r="B2543" s="208" t="s">
        <v>2305</v>
      </c>
      <c r="C2543" s="208" t="s">
        <v>146</v>
      </c>
      <c r="D2543" s="592">
        <v>-24000</v>
      </c>
      <c r="E2543" s="619">
        <v>45413</v>
      </c>
      <c r="F2543" s="201" t="s">
        <v>110</v>
      </c>
      <c r="G2543" s="81" t="s">
        <v>1621</v>
      </c>
      <c r="H2543" s="208" t="s">
        <v>138</v>
      </c>
      <c r="I2543" s="208"/>
      <c r="J2543" s="209"/>
      <c r="K2543" s="209"/>
      <c r="L2543" s="209"/>
      <c r="M2543" s="209"/>
      <c r="N2543" s="209"/>
      <c r="O2543" s="209"/>
      <c r="P2543" s="209"/>
      <c r="Q2543" s="209"/>
      <c r="R2543" s="209"/>
      <c r="S2543" s="209"/>
      <c r="T2543" s="209"/>
    </row>
    <row r="2544" spans="1:20" ht="15" hidden="1" customHeight="1">
      <c r="A2544" s="468">
        <v>45420</v>
      </c>
      <c r="B2544" s="208" t="s">
        <v>2306</v>
      </c>
      <c r="C2544" s="208" t="s">
        <v>146</v>
      </c>
      <c r="D2544" s="592">
        <v>-84000</v>
      </c>
      <c r="E2544" s="619">
        <v>45413</v>
      </c>
      <c r="F2544" s="601" t="s">
        <v>109</v>
      </c>
      <c r="G2544" s="208" t="s">
        <v>125</v>
      </c>
      <c r="H2544" s="208" t="s">
        <v>138</v>
      </c>
      <c r="I2544" s="208"/>
      <c r="J2544" s="209"/>
      <c r="K2544" s="209"/>
      <c r="L2544" s="209"/>
      <c r="M2544" s="209"/>
      <c r="N2544" s="209"/>
      <c r="O2544" s="209"/>
      <c r="P2544" s="209"/>
      <c r="Q2544" s="209"/>
      <c r="R2544" s="209"/>
      <c r="S2544" s="209"/>
      <c r="T2544" s="209"/>
    </row>
    <row r="2545" spans="1:20" ht="15" hidden="1" customHeight="1">
      <c r="A2545" s="468">
        <v>45420</v>
      </c>
      <c r="B2545" s="208" t="s">
        <v>2307</v>
      </c>
      <c r="C2545" s="208" t="s">
        <v>146</v>
      </c>
      <c r="D2545" s="592">
        <v>-34000</v>
      </c>
      <c r="E2545" s="619">
        <v>45413</v>
      </c>
      <c r="F2545" s="601" t="s">
        <v>109</v>
      </c>
      <c r="G2545" s="208" t="s">
        <v>120</v>
      </c>
      <c r="H2545" s="208" t="s">
        <v>138</v>
      </c>
      <c r="I2545" s="208"/>
      <c r="J2545" s="209"/>
      <c r="K2545" s="209"/>
      <c r="L2545" s="209"/>
      <c r="M2545" s="209"/>
      <c r="N2545" s="209"/>
      <c r="O2545" s="209"/>
      <c r="P2545" s="209"/>
      <c r="Q2545" s="209"/>
      <c r="R2545" s="209"/>
      <c r="S2545" s="209"/>
      <c r="T2545" s="209"/>
    </row>
    <row r="2546" spans="1:20" ht="15" hidden="1" customHeight="1">
      <c r="A2546" s="468">
        <v>45420</v>
      </c>
      <c r="B2546" s="208" t="s">
        <v>2308</v>
      </c>
      <c r="C2546" s="208" t="s">
        <v>146</v>
      </c>
      <c r="D2546" s="592">
        <v>-6000</v>
      </c>
      <c r="E2546" s="619">
        <v>45413</v>
      </c>
      <c r="F2546" s="291" t="s">
        <v>110</v>
      </c>
      <c r="G2546" s="208" t="s">
        <v>450</v>
      </c>
      <c r="H2546" s="208" t="s">
        <v>138</v>
      </c>
      <c r="I2546" s="208"/>
      <c r="J2546" s="209"/>
      <c r="K2546" s="209"/>
      <c r="L2546" s="209"/>
      <c r="M2546" s="209"/>
      <c r="N2546" s="209"/>
      <c r="O2546" s="209"/>
      <c r="P2546" s="209"/>
      <c r="Q2546" s="209"/>
      <c r="R2546" s="209"/>
      <c r="S2546" s="209"/>
      <c r="T2546" s="209"/>
    </row>
    <row r="2547" spans="1:20" ht="15" hidden="1" customHeight="1">
      <c r="A2547" s="468">
        <v>45420</v>
      </c>
      <c r="B2547" s="208" t="s">
        <v>2309</v>
      </c>
      <c r="C2547" s="208" t="s">
        <v>146</v>
      </c>
      <c r="D2547" s="592">
        <v>-143000</v>
      </c>
      <c r="E2547" s="619">
        <v>45413</v>
      </c>
      <c r="F2547" s="208" t="s">
        <v>207</v>
      </c>
      <c r="G2547" s="81" t="s">
        <v>2226</v>
      </c>
      <c r="H2547" s="208" t="s">
        <v>138</v>
      </c>
      <c r="I2547" s="208"/>
      <c r="J2547" s="209"/>
      <c r="K2547" s="209"/>
      <c r="L2547" s="209"/>
      <c r="M2547" s="209"/>
      <c r="N2547" s="209"/>
      <c r="O2547" s="209"/>
      <c r="P2547" s="209"/>
      <c r="Q2547" s="209"/>
      <c r="R2547" s="209"/>
      <c r="S2547" s="209"/>
      <c r="T2547" s="209"/>
    </row>
    <row r="2548" spans="1:20" ht="15" hidden="1" customHeight="1">
      <c r="A2548" s="468">
        <v>45420</v>
      </c>
      <c r="B2548" s="208" t="s">
        <v>1828</v>
      </c>
      <c r="C2548" s="208" t="s">
        <v>146</v>
      </c>
      <c r="D2548" s="592">
        <v>-50000</v>
      </c>
      <c r="E2548" s="619">
        <v>45413</v>
      </c>
      <c r="F2548" s="291" t="s">
        <v>110</v>
      </c>
      <c r="G2548" s="208" t="s">
        <v>450</v>
      </c>
      <c r="H2548" s="208" t="s">
        <v>138</v>
      </c>
      <c r="I2548" s="208"/>
      <c r="J2548" s="209"/>
      <c r="K2548" s="209"/>
      <c r="L2548" s="209"/>
      <c r="M2548" s="209"/>
      <c r="N2548" s="209"/>
      <c r="O2548" s="209"/>
      <c r="P2548" s="209"/>
      <c r="Q2548" s="209"/>
      <c r="R2548" s="209"/>
      <c r="S2548" s="209"/>
      <c r="T2548" s="209"/>
    </row>
    <row r="2549" spans="1:20" ht="15" hidden="1" customHeight="1">
      <c r="A2549" s="468">
        <v>45420</v>
      </c>
      <c r="B2549" s="208" t="s">
        <v>2310</v>
      </c>
      <c r="C2549" s="208" t="s">
        <v>146</v>
      </c>
      <c r="D2549" s="592">
        <v>-57000</v>
      </c>
      <c r="E2549" s="619">
        <v>45413</v>
      </c>
      <c r="F2549" s="601" t="s">
        <v>109</v>
      </c>
      <c r="G2549" s="208" t="s">
        <v>125</v>
      </c>
      <c r="H2549" s="208" t="s">
        <v>138</v>
      </c>
      <c r="I2549" s="208"/>
      <c r="J2549" s="209"/>
      <c r="K2549" s="209"/>
      <c r="L2549" s="209"/>
      <c r="M2549" s="209"/>
      <c r="N2549" s="209"/>
      <c r="O2549" s="209"/>
      <c r="P2549" s="209"/>
      <c r="Q2549" s="209"/>
      <c r="R2549" s="209"/>
      <c r="S2549" s="209"/>
      <c r="T2549" s="209"/>
    </row>
    <row r="2550" spans="1:20" ht="15" hidden="1" customHeight="1">
      <c r="A2550" s="468">
        <v>45428</v>
      </c>
      <c r="B2550" s="208" t="s">
        <v>2311</v>
      </c>
      <c r="C2550" s="208" t="s">
        <v>27</v>
      </c>
      <c r="D2550" s="592">
        <v>-691600</v>
      </c>
      <c r="E2550" s="212">
        <v>45413</v>
      </c>
      <c r="F2550" s="601" t="s">
        <v>109</v>
      </c>
      <c r="G2550" s="208" t="s">
        <v>120</v>
      </c>
      <c r="H2550" s="208"/>
      <c r="I2550" s="208" t="s">
        <v>173</v>
      </c>
      <c r="J2550" s="209"/>
      <c r="K2550" s="209"/>
      <c r="L2550" s="209"/>
      <c r="M2550" s="209"/>
      <c r="N2550" s="209"/>
      <c r="O2550" s="209"/>
      <c r="P2550" s="209"/>
      <c r="Q2550" s="209"/>
      <c r="R2550" s="209"/>
      <c r="S2550" s="209"/>
      <c r="T2550" s="209"/>
    </row>
    <row r="2551" spans="1:20" ht="15" hidden="1" customHeight="1">
      <c r="A2551" s="468">
        <v>45428</v>
      </c>
      <c r="B2551" s="208" t="s">
        <v>2312</v>
      </c>
      <c r="C2551" s="208" t="s">
        <v>27</v>
      </c>
      <c r="D2551" s="592">
        <v>-236656</v>
      </c>
      <c r="E2551" s="212">
        <v>45413</v>
      </c>
      <c r="F2551" s="208" t="s">
        <v>207</v>
      </c>
      <c r="G2551" s="208"/>
      <c r="H2551" s="208"/>
      <c r="I2551" s="208"/>
      <c r="J2551" s="209"/>
      <c r="K2551" s="209"/>
      <c r="L2551" s="209"/>
      <c r="M2551" s="209"/>
      <c r="N2551" s="209"/>
      <c r="O2551" s="209"/>
      <c r="P2551" s="209"/>
      <c r="Q2551" s="209"/>
      <c r="R2551" s="209"/>
      <c r="S2551" s="209"/>
      <c r="T2551" s="209"/>
    </row>
    <row r="2552" spans="1:20" ht="15" hidden="1" customHeight="1">
      <c r="A2552" s="468">
        <v>45428</v>
      </c>
      <c r="B2552" s="208" t="s">
        <v>2313</v>
      </c>
      <c r="C2552" s="208" t="s">
        <v>27</v>
      </c>
      <c r="D2552" s="800">
        <v>-20900</v>
      </c>
      <c r="E2552" s="212">
        <v>45413</v>
      </c>
      <c r="F2552" s="601" t="s">
        <v>109</v>
      </c>
      <c r="G2552" s="201" t="s">
        <v>581</v>
      </c>
      <c r="H2552" s="208"/>
      <c r="I2552" s="208"/>
      <c r="J2552" s="209"/>
      <c r="K2552" s="209"/>
      <c r="L2552" s="209"/>
      <c r="M2552" s="209"/>
      <c r="N2552" s="209"/>
      <c r="O2552" s="209"/>
      <c r="P2552" s="209"/>
      <c r="Q2552" s="209"/>
      <c r="R2552" s="209"/>
      <c r="S2552" s="209"/>
      <c r="T2552" s="209"/>
    </row>
    <row r="2553" spans="1:20" ht="15" hidden="1" customHeight="1">
      <c r="A2553" s="468">
        <v>45428</v>
      </c>
      <c r="B2553" s="208" t="s">
        <v>2314</v>
      </c>
      <c r="C2553" s="208" t="s">
        <v>27</v>
      </c>
      <c r="D2553" s="592">
        <v>-249200</v>
      </c>
      <c r="E2553" s="212">
        <v>45413</v>
      </c>
      <c r="F2553" s="601" t="s">
        <v>109</v>
      </c>
      <c r="G2553" s="208" t="s">
        <v>125</v>
      </c>
      <c r="H2553" s="208" t="s">
        <v>175</v>
      </c>
      <c r="I2553" s="208"/>
      <c r="J2553" s="209"/>
      <c r="K2553" s="209"/>
      <c r="L2553" s="209"/>
      <c r="M2553" s="209"/>
      <c r="N2553" s="209"/>
      <c r="O2553" s="209"/>
      <c r="P2553" s="209"/>
      <c r="Q2553" s="209"/>
      <c r="R2553" s="209"/>
      <c r="S2553" s="209"/>
      <c r="T2553" s="209"/>
    </row>
    <row r="2554" spans="1:20" ht="15" hidden="1" customHeight="1">
      <c r="A2554" s="468">
        <v>45428</v>
      </c>
      <c r="B2554" s="208" t="s">
        <v>2315</v>
      </c>
      <c r="C2554" s="208" t="s">
        <v>27</v>
      </c>
      <c r="D2554" s="592">
        <v>-320000</v>
      </c>
      <c r="E2554" s="212">
        <v>45413</v>
      </c>
      <c r="F2554" s="601" t="s">
        <v>109</v>
      </c>
      <c r="G2554" s="208" t="s">
        <v>125</v>
      </c>
      <c r="H2554" s="208" t="s">
        <v>310</v>
      </c>
      <c r="I2554" s="208"/>
      <c r="J2554" s="209"/>
      <c r="K2554" s="209"/>
      <c r="L2554" s="209"/>
      <c r="M2554" s="209"/>
      <c r="N2554" s="209"/>
      <c r="O2554" s="209"/>
      <c r="P2554" s="209"/>
      <c r="Q2554" s="209"/>
      <c r="R2554" s="209"/>
      <c r="S2554" s="209"/>
      <c r="T2554" s="209"/>
    </row>
    <row r="2555" spans="1:20" ht="15" hidden="1" customHeight="1">
      <c r="A2555" s="468">
        <v>45428</v>
      </c>
      <c r="B2555" s="208" t="s">
        <v>2316</v>
      </c>
      <c r="C2555" s="208" t="s">
        <v>27</v>
      </c>
      <c r="D2555" s="592">
        <v>-120000</v>
      </c>
      <c r="E2555" s="212">
        <v>45413</v>
      </c>
      <c r="F2555" s="208" t="s">
        <v>130</v>
      </c>
      <c r="G2555" s="208" t="s">
        <v>257</v>
      </c>
      <c r="H2555" s="208" t="s">
        <v>663</v>
      </c>
      <c r="I2555" s="208"/>
      <c r="J2555" s="209"/>
      <c r="K2555" s="209"/>
      <c r="L2555" s="209"/>
      <c r="M2555" s="209"/>
      <c r="N2555" s="209"/>
      <c r="O2555" s="209"/>
      <c r="P2555" s="209"/>
      <c r="Q2555" s="209"/>
      <c r="R2555" s="209"/>
      <c r="S2555" s="209"/>
      <c r="T2555" s="209"/>
    </row>
    <row r="2556" spans="1:20" ht="15" hidden="1" customHeight="1">
      <c r="A2556" s="468">
        <v>45420</v>
      </c>
      <c r="B2556" s="208" t="s">
        <v>2317</v>
      </c>
      <c r="C2556" s="208" t="s">
        <v>146</v>
      </c>
      <c r="D2556" s="592">
        <v>-50000</v>
      </c>
      <c r="E2556" s="619">
        <v>45413</v>
      </c>
      <c r="F2556" s="601" t="s">
        <v>109</v>
      </c>
      <c r="G2556" s="208" t="s">
        <v>120</v>
      </c>
      <c r="H2556" s="208" t="s">
        <v>138</v>
      </c>
      <c r="I2556" s="208"/>
      <c r="J2556" s="209"/>
      <c r="K2556" s="209"/>
      <c r="L2556" s="209"/>
      <c r="M2556" s="209"/>
      <c r="N2556" s="209"/>
      <c r="O2556" s="209"/>
      <c r="P2556" s="209"/>
      <c r="Q2556" s="209"/>
      <c r="R2556" s="209"/>
      <c r="S2556" s="209"/>
      <c r="T2556" s="209"/>
    </row>
    <row r="2557" spans="1:20" ht="15" hidden="1" customHeight="1">
      <c r="A2557" s="468">
        <v>45420</v>
      </c>
      <c r="B2557" s="208" t="s">
        <v>2318</v>
      </c>
      <c r="C2557" s="208" t="s">
        <v>2113</v>
      </c>
      <c r="D2557" s="592">
        <v>-12000</v>
      </c>
      <c r="E2557" s="619">
        <v>45413</v>
      </c>
      <c r="F2557" s="208" t="s">
        <v>207</v>
      </c>
      <c r="G2557" s="81" t="s">
        <v>2226</v>
      </c>
      <c r="H2557" s="208" t="s">
        <v>175</v>
      </c>
      <c r="I2557" s="208" t="s">
        <v>173</v>
      </c>
      <c r="J2557" s="209"/>
      <c r="K2557" s="209"/>
      <c r="L2557" s="209"/>
      <c r="M2557" s="209"/>
      <c r="N2557" s="209"/>
      <c r="O2557" s="209"/>
      <c r="P2557" s="209"/>
      <c r="Q2557" s="209"/>
      <c r="R2557" s="209"/>
      <c r="S2557" s="209"/>
      <c r="T2557" s="209"/>
    </row>
    <row r="2558" spans="1:20" ht="15" hidden="1" customHeight="1">
      <c r="A2558" s="468">
        <v>45420</v>
      </c>
      <c r="B2558" s="208" t="s">
        <v>2319</v>
      </c>
      <c r="C2558" s="208" t="s">
        <v>2113</v>
      </c>
      <c r="D2558" s="592">
        <v>-54200</v>
      </c>
      <c r="E2558" s="619">
        <v>45413</v>
      </c>
      <c r="F2558" s="208" t="s">
        <v>207</v>
      </c>
      <c r="G2558" s="81" t="s">
        <v>2226</v>
      </c>
      <c r="H2558" s="208" t="s">
        <v>175</v>
      </c>
      <c r="I2558" s="208" t="s">
        <v>173</v>
      </c>
      <c r="J2558" s="209"/>
      <c r="K2558" s="209"/>
      <c r="L2558" s="209"/>
      <c r="M2558" s="209"/>
      <c r="N2558" s="209"/>
      <c r="O2558" s="209"/>
      <c r="P2558" s="209"/>
      <c r="Q2558" s="209"/>
      <c r="R2558" s="209"/>
      <c r="S2558" s="209"/>
      <c r="T2558" s="209"/>
    </row>
    <row r="2559" spans="1:20" ht="15" hidden="1" customHeight="1">
      <c r="A2559" s="468">
        <v>45420</v>
      </c>
      <c r="B2559" s="208" t="s">
        <v>2320</v>
      </c>
      <c r="C2559" s="208" t="s">
        <v>2113</v>
      </c>
      <c r="D2559" s="592">
        <v>-32000</v>
      </c>
      <c r="E2559" s="212">
        <v>45413</v>
      </c>
      <c r="F2559" s="201" t="s">
        <v>110</v>
      </c>
      <c r="G2559" s="81" t="s">
        <v>1621</v>
      </c>
      <c r="H2559" s="208" t="s">
        <v>175</v>
      </c>
      <c r="I2559" s="208" t="s">
        <v>173</v>
      </c>
      <c r="J2559" s="209"/>
      <c r="K2559" s="209"/>
      <c r="L2559" s="209"/>
      <c r="M2559" s="209"/>
      <c r="N2559" s="209"/>
      <c r="O2559" s="209"/>
      <c r="P2559" s="209"/>
      <c r="Q2559" s="209"/>
      <c r="R2559" s="209"/>
      <c r="S2559" s="209"/>
      <c r="T2559" s="209"/>
    </row>
    <row r="2560" spans="1:20" ht="15" hidden="1" customHeight="1">
      <c r="A2560" s="468">
        <v>45420</v>
      </c>
      <c r="B2560" s="208" t="s">
        <v>2321</v>
      </c>
      <c r="C2560" s="208" t="s">
        <v>2113</v>
      </c>
      <c r="D2560" s="592">
        <v>-33000</v>
      </c>
      <c r="E2560" s="212">
        <v>45413</v>
      </c>
      <c r="F2560" s="208" t="s">
        <v>130</v>
      </c>
      <c r="G2560" s="208" t="s">
        <v>257</v>
      </c>
      <c r="H2560" s="208" t="s">
        <v>663</v>
      </c>
      <c r="I2560" s="208" t="s">
        <v>173</v>
      </c>
      <c r="J2560" s="209"/>
      <c r="K2560" s="209"/>
      <c r="L2560" s="209"/>
      <c r="M2560" s="209"/>
      <c r="N2560" s="209"/>
      <c r="O2560" s="209"/>
      <c r="P2560" s="209"/>
      <c r="Q2560" s="209"/>
      <c r="R2560" s="209"/>
      <c r="S2560" s="209"/>
      <c r="T2560" s="209"/>
    </row>
    <row r="2561" spans="1:20" ht="15" hidden="1" customHeight="1">
      <c r="A2561" s="468">
        <v>45420</v>
      </c>
      <c r="B2561" s="208" t="s">
        <v>2322</v>
      </c>
      <c r="C2561" s="208" t="s">
        <v>2113</v>
      </c>
      <c r="D2561" s="592">
        <v>-7892</v>
      </c>
      <c r="E2561" s="212">
        <v>45413</v>
      </c>
      <c r="F2561" s="201" t="s">
        <v>110</v>
      </c>
      <c r="G2561" s="81" t="s">
        <v>1621</v>
      </c>
      <c r="H2561" s="208" t="s">
        <v>175</v>
      </c>
      <c r="I2561" s="208" t="s">
        <v>173</v>
      </c>
      <c r="J2561" s="209"/>
      <c r="K2561" s="209"/>
      <c r="L2561" s="209"/>
      <c r="M2561" s="209"/>
      <c r="N2561" s="209"/>
      <c r="O2561" s="209"/>
      <c r="P2561" s="209"/>
      <c r="Q2561" s="209"/>
      <c r="R2561" s="209"/>
      <c r="S2561" s="209"/>
      <c r="T2561" s="209"/>
    </row>
    <row r="2562" spans="1:20" ht="15" hidden="1" customHeight="1">
      <c r="A2562" s="468">
        <v>45421</v>
      </c>
      <c r="B2562" s="208" t="s">
        <v>1773</v>
      </c>
      <c r="C2562" s="208" t="s">
        <v>2113</v>
      </c>
      <c r="D2562" s="592">
        <v>-24000</v>
      </c>
      <c r="E2562" s="212">
        <v>45413</v>
      </c>
      <c r="F2562" s="601" t="s">
        <v>109</v>
      </c>
      <c r="G2562" s="208" t="s">
        <v>125</v>
      </c>
      <c r="H2562" s="208" t="s">
        <v>175</v>
      </c>
      <c r="I2562" s="208" t="s">
        <v>173</v>
      </c>
      <c r="J2562" s="209"/>
      <c r="K2562" s="209"/>
      <c r="L2562" s="209"/>
      <c r="M2562" s="209"/>
      <c r="N2562" s="209"/>
      <c r="O2562" s="209"/>
      <c r="P2562" s="209"/>
      <c r="Q2562" s="209"/>
      <c r="R2562" s="209"/>
      <c r="S2562" s="209"/>
      <c r="T2562" s="209"/>
    </row>
    <row r="2563" spans="1:20" ht="15" hidden="1" customHeight="1">
      <c r="A2563" s="468">
        <v>45421</v>
      </c>
      <c r="B2563" s="208" t="s">
        <v>2323</v>
      </c>
      <c r="C2563" s="208" t="s">
        <v>2113</v>
      </c>
      <c r="D2563" s="592">
        <v>-22430</v>
      </c>
      <c r="E2563" s="212">
        <v>45413</v>
      </c>
      <c r="F2563" s="601" t="s">
        <v>109</v>
      </c>
      <c r="G2563" s="208" t="s">
        <v>125</v>
      </c>
      <c r="H2563" s="208" t="s">
        <v>175</v>
      </c>
      <c r="I2563" s="208" t="s">
        <v>173</v>
      </c>
      <c r="J2563" s="209"/>
      <c r="K2563" s="209"/>
      <c r="L2563" s="209"/>
      <c r="M2563" s="209"/>
      <c r="N2563" s="209"/>
      <c r="O2563" s="209"/>
      <c r="P2563" s="209"/>
      <c r="Q2563" s="209"/>
      <c r="R2563" s="209"/>
      <c r="S2563" s="209"/>
      <c r="T2563" s="209"/>
    </row>
    <row r="2564" spans="1:20" ht="15" hidden="1" customHeight="1">
      <c r="A2564" s="468">
        <v>45421</v>
      </c>
      <c r="B2564" s="208" t="s">
        <v>2324</v>
      </c>
      <c r="C2564" s="208" t="s">
        <v>2113</v>
      </c>
      <c r="D2564" s="592">
        <v>-18000</v>
      </c>
      <c r="E2564" s="212">
        <v>45413</v>
      </c>
      <c r="F2564" s="601" t="s">
        <v>109</v>
      </c>
      <c r="G2564" s="201" t="s">
        <v>918</v>
      </c>
      <c r="H2564" s="208" t="s">
        <v>175</v>
      </c>
      <c r="I2564" s="208"/>
      <c r="J2564" s="209"/>
      <c r="K2564" s="209"/>
      <c r="L2564" s="209"/>
      <c r="M2564" s="209"/>
      <c r="N2564" s="209"/>
      <c r="O2564" s="209"/>
      <c r="P2564" s="209"/>
      <c r="Q2564" s="209"/>
      <c r="R2564" s="209"/>
      <c r="S2564" s="209"/>
      <c r="T2564" s="209"/>
    </row>
    <row r="2565" spans="1:20" ht="15" hidden="1" customHeight="1">
      <c r="A2565" s="468">
        <v>45421</v>
      </c>
      <c r="B2565" s="208" t="s">
        <v>2325</v>
      </c>
      <c r="C2565" s="208" t="s">
        <v>2113</v>
      </c>
      <c r="D2565" s="592">
        <v>-4600</v>
      </c>
      <c r="E2565" s="212">
        <v>45413</v>
      </c>
      <c r="F2565" s="601" t="s">
        <v>109</v>
      </c>
      <c r="G2565" s="201" t="s">
        <v>918</v>
      </c>
      <c r="H2565" s="208" t="s">
        <v>175</v>
      </c>
      <c r="I2565" s="208"/>
      <c r="J2565" s="209"/>
      <c r="K2565" s="209"/>
      <c r="L2565" s="209"/>
      <c r="M2565" s="209"/>
      <c r="N2565" s="209"/>
      <c r="O2565" s="209"/>
      <c r="P2565" s="209"/>
      <c r="Q2565" s="209"/>
      <c r="R2565" s="209"/>
      <c r="S2565" s="209"/>
      <c r="T2565" s="209"/>
    </row>
    <row r="2566" spans="1:20" ht="15" hidden="1" customHeight="1">
      <c r="A2566" s="468">
        <v>45421</v>
      </c>
      <c r="B2566" s="208" t="s">
        <v>2326</v>
      </c>
      <c r="C2566" s="208" t="s">
        <v>2113</v>
      </c>
      <c r="D2566" s="592">
        <v>-12000</v>
      </c>
      <c r="E2566" s="212">
        <v>45413</v>
      </c>
      <c r="F2566" s="208" t="s">
        <v>130</v>
      </c>
      <c r="G2566" s="208" t="s">
        <v>257</v>
      </c>
      <c r="H2566" s="208" t="s">
        <v>138</v>
      </c>
      <c r="I2566" s="208"/>
      <c r="J2566" s="209"/>
      <c r="K2566" s="209"/>
      <c r="L2566" s="209"/>
      <c r="M2566" s="209"/>
      <c r="N2566" s="209"/>
      <c r="O2566" s="209"/>
      <c r="P2566" s="209"/>
      <c r="Q2566" s="209"/>
      <c r="R2566" s="209"/>
      <c r="S2566" s="209"/>
      <c r="T2566" s="209"/>
    </row>
    <row r="2567" spans="1:20" ht="15" hidden="1" customHeight="1">
      <c r="A2567" s="468">
        <v>45422</v>
      </c>
      <c r="B2567" s="208" t="s">
        <v>2327</v>
      </c>
      <c r="C2567" s="208" t="s">
        <v>146</v>
      </c>
      <c r="D2567" s="592">
        <v>-3000</v>
      </c>
      <c r="E2567" s="619">
        <v>45413</v>
      </c>
      <c r="F2567" s="208" t="s">
        <v>130</v>
      </c>
      <c r="G2567" s="208" t="s">
        <v>130</v>
      </c>
      <c r="H2567" s="208" t="s">
        <v>184</v>
      </c>
      <c r="I2567" s="208"/>
      <c r="J2567" s="209"/>
      <c r="K2567" s="209"/>
      <c r="L2567" s="209"/>
      <c r="M2567" s="209"/>
      <c r="N2567" s="209"/>
      <c r="O2567" s="209"/>
      <c r="P2567" s="209"/>
      <c r="Q2567" s="209"/>
      <c r="R2567" s="209"/>
      <c r="S2567" s="209"/>
      <c r="T2567" s="209"/>
    </row>
    <row r="2568" spans="1:20" ht="15" hidden="1" customHeight="1">
      <c r="A2568" s="468">
        <v>45422</v>
      </c>
      <c r="B2568" s="208" t="s">
        <v>2328</v>
      </c>
      <c r="C2568" s="208" t="s">
        <v>146</v>
      </c>
      <c r="D2568" s="592">
        <v>-1159200</v>
      </c>
      <c r="E2568" s="619">
        <v>45413</v>
      </c>
      <c r="F2568" s="208" t="s">
        <v>110</v>
      </c>
      <c r="G2568" s="201" t="s">
        <v>1489</v>
      </c>
      <c r="H2568" s="208" t="s">
        <v>138</v>
      </c>
      <c r="I2568" s="208"/>
      <c r="J2568" s="209"/>
      <c r="K2568" s="209"/>
      <c r="L2568" s="209"/>
      <c r="M2568" s="209"/>
      <c r="N2568" s="209"/>
      <c r="O2568" s="209"/>
      <c r="P2568" s="209"/>
      <c r="Q2568" s="209"/>
      <c r="R2568" s="209"/>
      <c r="S2568" s="209"/>
      <c r="T2568" s="209"/>
    </row>
    <row r="2569" spans="1:20" ht="15" hidden="1" customHeight="1">
      <c r="A2569" s="468">
        <v>45422</v>
      </c>
      <c r="B2569" s="208" t="s">
        <v>2329</v>
      </c>
      <c r="C2569" s="208" t="s">
        <v>2113</v>
      </c>
      <c r="D2569" s="592">
        <v>-16000</v>
      </c>
      <c r="E2569" s="212">
        <v>45413</v>
      </c>
      <c r="F2569" s="601" t="s">
        <v>109</v>
      </c>
      <c r="G2569" s="201" t="s">
        <v>918</v>
      </c>
      <c r="H2569" s="208" t="s">
        <v>175</v>
      </c>
      <c r="I2569" s="208" t="s">
        <v>2330</v>
      </c>
      <c r="J2569" s="209"/>
      <c r="K2569" s="209"/>
      <c r="L2569" s="209"/>
      <c r="M2569" s="209"/>
      <c r="N2569" s="209"/>
      <c r="O2569" s="209"/>
      <c r="P2569" s="209"/>
      <c r="Q2569" s="209"/>
      <c r="R2569" s="209"/>
      <c r="S2569" s="209"/>
      <c r="T2569" s="209"/>
    </row>
    <row r="2570" spans="1:20" ht="15" hidden="1" customHeight="1">
      <c r="A2570" s="468">
        <v>45422</v>
      </c>
      <c r="B2570" s="208" t="s">
        <v>2331</v>
      </c>
      <c r="C2570" s="208" t="s">
        <v>2113</v>
      </c>
      <c r="D2570" s="592">
        <v>-16000</v>
      </c>
      <c r="E2570" s="212">
        <v>45413</v>
      </c>
      <c r="F2570" s="601" t="s">
        <v>109</v>
      </c>
      <c r="G2570" s="201" t="s">
        <v>918</v>
      </c>
      <c r="H2570" s="208" t="s">
        <v>138</v>
      </c>
      <c r="I2570" s="208" t="s">
        <v>2330</v>
      </c>
      <c r="J2570" s="209"/>
      <c r="K2570" s="209"/>
      <c r="L2570" s="209"/>
      <c r="M2570" s="209"/>
      <c r="N2570" s="209"/>
      <c r="O2570" s="209"/>
      <c r="P2570" s="209"/>
      <c r="Q2570" s="209"/>
      <c r="R2570" s="209"/>
      <c r="S2570" s="209"/>
      <c r="T2570" s="209"/>
    </row>
    <row r="2571" spans="1:20" ht="15" hidden="1" customHeight="1">
      <c r="A2571" s="468">
        <v>45422</v>
      </c>
      <c r="B2571" s="208" t="s">
        <v>2332</v>
      </c>
      <c r="C2571" s="208" t="s">
        <v>2113</v>
      </c>
      <c r="D2571" s="592">
        <v>-35000</v>
      </c>
      <c r="E2571" s="212">
        <v>45413</v>
      </c>
      <c r="F2571" s="291" t="s">
        <v>109</v>
      </c>
      <c r="G2571" s="208" t="s">
        <v>525</v>
      </c>
      <c r="H2571" s="208" t="s">
        <v>138</v>
      </c>
      <c r="I2571" s="208" t="s">
        <v>2330</v>
      </c>
      <c r="J2571" s="209"/>
      <c r="K2571" s="209"/>
      <c r="L2571" s="209"/>
      <c r="M2571" s="209"/>
      <c r="N2571" s="209"/>
      <c r="O2571" s="209"/>
      <c r="P2571" s="209"/>
      <c r="Q2571" s="209"/>
      <c r="R2571" s="209"/>
      <c r="S2571" s="209"/>
      <c r="T2571" s="209"/>
    </row>
    <row r="2572" spans="1:20" ht="15" hidden="1" customHeight="1">
      <c r="A2572" s="468">
        <v>45422</v>
      </c>
      <c r="B2572" s="208" t="s">
        <v>2333</v>
      </c>
      <c r="C2572" s="208" t="s">
        <v>2113</v>
      </c>
      <c r="D2572" s="592">
        <v>-35000</v>
      </c>
      <c r="E2572" s="212">
        <v>45413</v>
      </c>
      <c r="F2572" s="291" t="s">
        <v>109</v>
      </c>
      <c r="G2572" s="208" t="s">
        <v>525</v>
      </c>
      <c r="H2572" s="208" t="s">
        <v>138</v>
      </c>
      <c r="I2572" s="208" t="s">
        <v>2330</v>
      </c>
      <c r="J2572" s="209"/>
      <c r="K2572" s="209"/>
      <c r="L2572" s="209"/>
      <c r="M2572" s="209"/>
      <c r="N2572" s="209"/>
      <c r="O2572" s="209"/>
      <c r="P2572" s="209"/>
      <c r="Q2572" s="209"/>
      <c r="R2572" s="209"/>
      <c r="S2572" s="209"/>
      <c r="T2572" s="209"/>
    </row>
    <row r="2573" spans="1:20" ht="15" hidden="1" customHeight="1">
      <c r="A2573" s="468">
        <v>45422</v>
      </c>
      <c r="B2573" s="208" t="s">
        <v>2334</v>
      </c>
      <c r="C2573" s="208" t="s">
        <v>2113</v>
      </c>
      <c r="D2573" s="592">
        <v>-18000</v>
      </c>
      <c r="E2573" s="212">
        <v>45413</v>
      </c>
      <c r="F2573" s="601" t="s">
        <v>109</v>
      </c>
      <c r="G2573" s="201" t="s">
        <v>918</v>
      </c>
      <c r="H2573" s="208" t="s">
        <v>138</v>
      </c>
      <c r="I2573" s="208" t="s">
        <v>2330</v>
      </c>
      <c r="J2573" s="209"/>
      <c r="K2573" s="209"/>
      <c r="L2573" s="209"/>
      <c r="M2573" s="209"/>
      <c r="N2573" s="209"/>
      <c r="O2573" s="209"/>
      <c r="P2573" s="209"/>
      <c r="Q2573" s="209"/>
      <c r="R2573" s="209"/>
      <c r="S2573" s="209"/>
      <c r="T2573" s="209"/>
    </row>
    <row r="2574" spans="1:20" ht="15" hidden="1" customHeight="1">
      <c r="A2574" s="468">
        <v>45422</v>
      </c>
      <c r="B2574" s="208" t="s">
        <v>2335</v>
      </c>
      <c r="C2574" s="208" t="s">
        <v>2113</v>
      </c>
      <c r="D2574" s="592">
        <v>-6000</v>
      </c>
      <c r="E2574" s="212">
        <v>45413</v>
      </c>
      <c r="F2574" s="601" t="s">
        <v>109</v>
      </c>
      <c r="G2574" s="201" t="s">
        <v>918</v>
      </c>
      <c r="H2574" s="208" t="s">
        <v>138</v>
      </c>
      <c r="I2574" s="208" t="s">
        <v>2330</v>
      </c>
      <c r="J2574" s="209"/>
      <c r="K2574" s="209"/>
      <c r="L2574" s="209"/>
      <c r="M2574" s="209"/>
      <c r="N2574" s="209"/>
      <c r="O2574" s="209"/>
      <c r="P2574" s="209"/>
      <c r="Q2574" s="209"/>
      <c r="R2574" s="209"/>
      <c r="S2574" s="209"/>
      <c r="T2574" s="209"/>
    </row>
    <row r="2575" spans="1:20" ht="15" hidden="1" customHeight="1">
      <c r="A2575" s="468">
        <v>45422</v>
      </c>
      <c r="B2575" s="208" t="s">
        <v>2331</v>
      </c>
      <c r="C2575" s="208" t="s">
        <v>2113</v>
      </c>
      <c r="D2575" s="592">
        <v>-16000</v>
      </c>
      <c r="E2575" s="212">
        <v>45413</v>
      </c>
      <c r="F2575" s="601" t="s">
        <v>109</v>
      </c>
      <c r="G2575" s="201" t="s">
        <v>918</v>
      </c>
      <c r="H2575" s="208" t="s">
        <v>138</v>
      </c>
      <c r="I2575" s="208" t="s">
        <v>2330</v>
      </c>
      <c r="J2575" s="209"/>
      <c r="K2575" s="209"/>
      <c r="L2575" s="209"/>
      <c r="M2575" s="209"/>
      <c r="N2575" s="209"/>
      <c r="O2575" s="209"/>
      <c r="P2575" s="209"/>
      <c r="Q2575" s="209"/>
      <c r="R2575" s="209"/>
      <c r="S2575" s="209"/>
      <c r="T2575" s="209"/>
    </row>
    <row r="2576" spans="1:20" ht="15" hidden="1" customHeight="1">
      <c r="A2576" s="468">
        <v>45422</v>
      </c>
      <c r="B2576" s="208" t="s">
        <v>2336</v>
      </c>
      <c r="C2576" s="208" t="s">
        <v>2113</v>
      </c>
      <c r="D2576" s="592">
        <v>-4400</v>
      </c>
      <c r="E2576" s="212">
        <v>45413</v>
      </c>
      <c r="F2576" s="601" t="s">
        <v>109</v>
      </c>
      <c r="G2576" s="201" t="s">
        <v>918</v>
      </c>
      <c r="H2576" s="208" t="s">
        <v>147</v>
      </c>
      <c r="I2576" s="208"/>
      <c r="J2576" s="209"/>
      <c r="K2576" s="209"/>
      <c r="L2576" s="209"/>
      <c r="M2576" s="209"/>
      <c r="N2576" s="209"/>
      <c r="O2576" s="209"/>
      <c r="P2576" s="209"/>
      <c r="Q2576" s="209"/>
      <c r="R2576" s="209"/>
      <c r="S2576" s="209"/>
      <c r="T2576" s="209"/>
    </row>
    <row r="2577" spans="1:20" ht="15" hidden="1" customHeight="1">
      <c r="A2577" s="468">
        <v>45422</v>
      </c>
      <c r="B2577" s="208" t="s">
        <v>2337</v>
      </c>
      <c r="C2577" s="208" t="s">
        <v>2113</v>
      </c>
      <c r="D2577" s="592">
        <v>-5500</v>
      </c>
      <c r="E2577" s="212">
        <v>45413</v>
      </c>
      <c r="F2577" s="201" t="s">
        <v>110</v>
      </c>
      <c r="G2577" s="81" t="s">
        <v>1621</v>
      </c>
      <c r="H2577" s="208" t="s">
        <v>175</v>
      </c>
      <c r="I2577" s="208"/>
      <c r="J2577" s="209"/>
      <c r="K2577" s="209"/>
      <c r="L2577" s="209"/>
      <c r="M2577" s="209"/>
      <c r="N2577" s="209"/>
      <c r="O2577" s="209"/>
      <c r="P2577" s="209"/>
      <c r="Q2577" s="209"/>
      <c r="R2577" s="209"/>
      <c r="S2577" s="209"/>
      <c r="T2577" s="209"/>
    </row>
    <row r="2578" spans="1:20" ht="15" hidden="1" customHeight="1">
      <c r="A2578" s="468">
        <v>45422</v>
      </c>
      <c r="B2578" s="208" t="s">
        <v>2338</v>
      </c>
      <c r="C2578" s="208" t="s">
        <v>2113</v>
      </c>
      <c r="D2578" s="592">
        <v>-24000</v>
      </c>
      <c r="E2578" s="619">
        <v>45413</v>
      </c>
      <c r="F2578" s="208" t="s">
        <v>207</v>
      </c>
      <c r="G2578" s="81" t="s">
        <v>2226</v>
      </c>
      <c r="H2578" s="208" t="s">
        <v>175</v>
      </c>
      <c r="I2578" s="208"/>
      <c r="J2578" s="209"/>
      <c r="K2578" s="209"/>
      <c r="L2578" s="209"/>
      <c r="M2578" s="209"/>
      <c r="N2578" s="209"/>
      <c r="O2578" s="209"/>
      <c r="P2578" s="209"/>
      <c r="Q2578" s="209"/>
      <c r="R2578" s="209"/>
      <c r="S2578" s="209"/>
      <c r="T2578" s="209"/>
    </row>
    <row r="2579" spans="1:20" ht="15" hidden="1" customHeight="1">
      <c r="A2579" s="468">
        <v>45422</v>
      </c>
      <c r="B2579" s="208" t="s">
        <v>2339</v>
      </c>
      <c r="C2579" s="208" t="s">
        <v>2113</v>
      </c>
      <c r="D2579" s="592">
        <v>-28800</v>
      </c>
      <c r="E2579" s="212">
        <v>45413</v>
      </c>
      <c r="F2579" s="201" t="s">
        <v>110</v>
      </c>
      <c r="G2579" s="81" t="s">
        <v>1621</v>
      </c>
      <c r="H2579" s="208" t="s">
        <v>175</v>
      </c>
      <c r="I2579" s="208"/>
      <c r="J2579" s="209"/>
      <c r="K2579" s="209"/>
      <c r="L2579" s="209"/>
      <c r="M2579" s="209"/>
      <c r="N2579" s="209"/>
      <c r="O2579" s="209"/>
      <c r="P2579" s="209"/>
      <c r="Q2579" s="209"/>
      <c r="R2579" s="209"/>
      <c r="S2579" s="209"/>
      <c r="T2579" s="209"/>
    </row>
    <row r="2580" spans="1:20" ht="15" hidden="1" customHeight="1">
      <c r="A2580" s="468">
        <v>45422</v>
      </c>
      <c r="B2580" s="208" t="s">
        <v>2340</v>
      </c>
      <c r="C2580" s="208" t="s">
        <v>2113</v>
      </c>
      <c r="D2580" s="592">
        <v>-3599</v>
      </c>
      <c r="E2580" s="212">
        <v>45413</v>
      </c>
      <c r="F2580" s="208" t="s">
        <v>130</v>
      </c>
      <c r="G2580" s="208" t="s">
        <v>130</v>
      </c>
      <c r="H2580" s="208" t="s">
        <v>184</v>
      </c>
      <c r="I2580" s="208"/>
      <c r="J2580" s="209"/>
      <c r="K2580" s="209"/>
      <c r="L2580" s="209"/>
      <c r="M2580" s="209"/>
      <c r="N2580" s="209"/>
      <c r="O2580" s="209"/>
      <c r="P2580" s="209"/>
      <c r="Q2580" s="209"/>
      <c r="R2580" s="209"/>
      <c r="S2580" s="209"/>
      <c r="T2580" s="209"/>
    </row>
    <row r="2581" spans="1:20" ht="15" hidden="1" customHeight="1">
      <c r="A2581" s="468">
        <v>45422</v>
      </c>
      <c r="B2581" s="208" t="s">
        <v>2341</v>
      </c>
      <c r="C2581" s="208" t="s">
        <v>2113</v>
      </c>
      <c r="D2581" s="592">
        <v>-4000</v>
      </c>
      <c r="E2581" s="212">
        <v>45413</v>
      </c>
      <c r="F2581" s="201" t="s">
        <v>110</v>
      </c>
      <c r="G2581" s="81" t="s">
        <v>1621</v>
      </c>
      <c r="H2581" s="208" t="s">
        <v>175</v>
      </c>
      <c r="I2581" s="208"/>
      <c r="J2581" s="209"/>
      <c r="K2581" s="209"/>
      <c r="L2581" s="209"/>
      <c r="M2581" s="209"/>
      <c r="N2581" s="209"/>
      <c r="O2581" s="209"/>
      <c r="P2581" s="209"/>
      <c r="Q2581" s="209"/>
      <c r="R2581" s="209"/>
      <c r="S2581" s="209"/>
      <c r="T2581" s="209"/>
    </row>
    <row r="2582" spans="1:20" ht="15" hidden="1" customHeight="1">
      <c r="A2582" s="468">
        <v>45422</v>
      </c>
      <c r="B2582" s="208" t="s">
        <v>2342</v>
      </c>
      <c r="C2582" s="208" t="s">
        <v>2113</v>
      </c>
      <c r="D2582" s="592">
        <v>-69390</v>
      </c>
      <c r="E2582" s="212">
        <v>45413</v>
      </c>
      <c r="F2582" s="201" t="s">
        <v>110</v>
      </c>
      <c r="G2582" s="81" t="s">
        <v>1621</v>
      </c>
      <c r="H2582" s="208" t="s">
        <v>1166</v>
      </c>
      <c r="I2582" s="208"/>
      <c r="J2582" s="209"/>
      <c r="K2582" s="209"/>
      <c r="L2582" s="209"/>
      <c r="M2582" s="209"/>
      <c r="N2582" s="209"/>
      <c r="O2582" s="209"/>
      <c r="P2582" s="209"/>
      <c r="Q2582" s="209"/>
      <c r="R2582" s="209"/>
      <c r="S2582" s="209"/>
      <c r="T2582" s="209"/>
    </row>
    <row r="2583" spans="1:20" ht="15" hidden="1" customHeight="1">
      <c r="A2583" s="468">
        <v>45422</v>
      </c>
      <c r="B2583" s="208" t="s">
        <v>2343</v>
      </c>
      <c r="C2583" s="208" t="s">
        <v>2113</v>
      </c>
      <c r="D2583" s="592">
        <v>-83400</v>
      </c>
      <c r="E2583" s="212">
        <v>45413</v>
      </c>
      <c r="F2583" s="201" t="s">
        <v>110</v>
      </c>
      <c r="G2583" s="81" t="s">
        <v>1621</v>
      </c>
      <c r="H2583" s="208" t="s">
        <v>175</v>
      </c>
      <c r="I2583" s="208"/>
      <c r="J2583" s="209"/>
      <c r="K2583" s="209"/>
      <c r="L2583" s="209"/>
      <c r="M2583" s="209"/>
      <c r="N2583" s="209"/>
      <c r="O2583" s="209"/>
      <c r="P2583" s="209"/>
      <c r="Q2583" s="209"/>
      <c r="R2583" s="209"/>
      <c r="S2583" s="209"/>
      <c r="T2583" s="209"/>
    </row>
    <row r="2584" spans="1:20" ht="15" hidden="1" customHeight="1">
      <c r="A2584" s="468">
        <v>45422</v>
      </c>
      <c r="B2584" s="208" t="s">
        <v>2344</v>
      </c>
      <c r="C2584" s="208" t="s">
        <v>2113</v>
      </c>
      <c r="D2584" s="592">
        <v>-15000</v>
      </c>
      <c r="E2584" s="212">
        <v>45413</v>
      </c>
      <c r="F2584" s="601" t="s">
        <v>109</v>
      </c>
      <c r="G2584" s="208" t="s">
        <v>120</v>
      </c>
      <c r="H2584" s="208"/>
      <c r="I2584" s="208"/>
      <c r="J2584" s="209"/>
      <c r="K2584" s="209"/>
      <c r="L2584" s="209"/>
      <c r="M2584" s="209"/>
      <c r="N2584" s="209"/>
      <c r="O2584" s="209"/>
      <c r="P2584" s="209"/>
      <c r="Q2584" s="209"/>
      <c r="R2584" s="209"/>
      <c r="S2584" s="209"/>
      <c r="T2584" s="209"/>
    </row>
    <row r="2585" spans="1:20" ht="15" hidden="1" customHeight="1">
      <c r="A2585" s="468">
        <v>45422</v>
      </c>
      <c r="B2585" s="208" t="s">
        <v>2345</v>
      </c>
      <c r="C2585" s="208" t="s">
        <v>146</v>
      </c>
      <c r="D2585" s="592">
        <v>-14200</v>
      </c>
      <c r="E2585" s="212">
        <v>45413</v>
      </c>
      <c r="F2585" s="601" t="s">
        <v>109</v>
      </c>
      <c r="G2585" s="201" t="s">
        <v>918</v>
      </c>
      <c r="H2585" s="208" t="s">
        <v>138</v>
      </c>
      <c r="I2585" s="208" t="s">
        <v>2052</v>
      </c>
      <c r="J2585" s="209"/>
      <c r="K2585" s="209"/>
      <c r="L2585" s="209"/>
      <c r="M2585" s="209"/>
      <c r="N2585" s="209"/>
      <c r="O2585" s="209"/>
      <c r="P2585" s="209"/>
      <c r="Q2585" s="209"/>
      <c r="R2585" s="209"/>
      <c r="S2585" s="209"/>
      <c r="T2585" s="209"/>
    </row>
    <row r="2586" spans="1:20" ht="15" hidden="1" customHeight="1">
      <c r="A2586" s="468">
        <v>45422</v>
      </c>
      <c r="B2586" s="208" t="s">
        <v>2346</v>
      </c>
      <c r="C2586" s="208" t="s">
        <v>146</v>
      </c>
      <c r="D2586" s="592">
        <v>-6000</v>
      </c>
      <c r="E2586" s="212">
        <v>45413</v>
      </c>
      <c r="F2586" s="601" t="s">
        <v>109</v>
      </c>
      <c r="G2586" s="201" t="s">
        <v>918</v>
      </c>
      <c r="H2586" s="208" t="s">
        <v>138</v>
      </c>
      <c r="I2586" s="208" t="s">
        <v>2052</v>
      </c>
      <c r="J2586" s="209"/>
      <c r="K2586" s="209"/>
      <c r="L2586" s="209"/>
      <c r="M2586" s="209"/>
      <c r="N2586" s="209"/>
      <c r="O2586" s="209"/>
      <c r="P2586" s="209"/>
      <c r="Q2586" s="209"/>
      <c r="R2586" s="209"/>
      <c r="S2586" s="209"/>
      <c r="T2586" s="209"/>
    </row>
    <row r="2587" spans="1:20" ht="15" hidden="1" customHeight="1">
      <c r="A2587" s="468">
        <v>45422</v>
      </c>
      <c r="B2587" s="208" t="s">
        <v>2347</v>
      </c>
      <c r="C2587" s="208" t="s">
        <v>146</v>
      </c>
      <c r="D2587" s="592">
        <v>-6000</v>
      </c>
      <c r="E2587" s="212">
        <v>45413</v>
      </c>
      <c r="F2587" s="601" t="s">
        <v>110</v>
      </c>
      <c r="G2587" s="201" t="s">
        <v>1204</v>
      </c>
      <c r="H2587" s="208" t="s">
        <v>138</v>
      </c>
      <c r="I2587" s="208" t="s">
        <v>2052</v>
      </c>
      <c r="J2587" s="209"/>
      <c r="K2587" s="209"/>
      <c r="L2587" s="209"/>
      <c r="M2587" s="209"/>
      <c r="N2587" s="209"/>
      <c r="O2587" s="209"/>
      <c r="P2587" s="209"/>
      <c r="Q2587" s="209"/>
      <c r="R2587" s="209"/>
      <c r="S2587" s="209"/>
      <c r="T2587" s="209"/>
    </row>
    <row r="2588" spans="1:20" ht="15" hidden="1" customHeight="1">
      <c r="A2588" s="468">
        <v>45422</v>
      </c>
      <c r="B2588" s="208" t="s">
        <v>2348</v>
      </c>
      <c r="C2588" s="208" t="s">
        <v>146</v>
      </c>
      <c r="D2588" s="592">
        <v>-6000</v>
      </c>
      <c r="E2588" s="212">
        <v>45413</v>
      </c>
      <c r="F2588" s="601" t="s">
        <v>109</v>
      </c>
      <c r="G2588" s="201" t="s">
        <v>918</v>
      </c>
      <c r="H2588" s="208" t="s">
        <v>138</v>
      </c>
      <c r="I2588" s="208" t="s">
        <v>2052</v>
      </c>
      <c r="J2588" s="209"/>
      <c r="K2588" s="209"/>
      <c r="L2588" s="209"/>
      <c r="M2588" s="209"/>
      <c r="N2588" s="209"/>
      <c r="O2588" s="209"/>
      <c r="P2588" s="209"/>
      <c r="Q2588" s="209"/>
      <c r="R2588" s="209"/>
      <c r="S2588" s="209"/>
      <c r="T2588" s="209"/>
    </row>
    <row r="2589" spans="1:20" ht="15" hidden="1" customHeight="1">
      <c r="A2589" s="468">
        <v>45423</v>
      </c>
      <c r="B2589" s="208" t="s">
        <v>2349</v>
      </c>
      <c r="C2589" s="208" t="s">
        <v>2113</v>
      </c>
      <c r="D2589" s="592">
        <v>-8000</v>
      </c>
      <c r="E2589" s="212">
        <v>45413</v>
      </c>
      <c r="F2589" s="601" t="s">
        <v>109</v>
      </c>
      <c r="G2589" s="201" t="s">
        <v>918</v>
      </c>
      <c r="H2589" s="208" t="s">
        <v>147</v>
      </c>
      <c r="I2589" s="208" t="s">
        <v>2330</v>
      </c>
      <c r="J2589" s="209"/>
      <c r="K2589" s="209"/>
      <c r="L2589" s="209"/>
      <c r="M2589" s="209"/>
      <c r="N2589" s="209"/>
      <c r="O2589" s="209"/>
      <c r="P2589" s="209"/>
      <c r="Q2589" s="209"/>
      <c r="R2589" s="209"/>
      <c r="S2589" s="209"/>
      <c r="T2589" s="209"/>
    </row>
    <row r="2590" spans="1:20" ht="15" hidden="1" customHeight="1">
      <c r="A2590" s="468">
        <v>45423</v>
      </c>
      <c r="B2590" s="208" t="s">
        <v>2350</v>
      </c>
      <c r="C2590" s="208" t="s">
        <v>2113</v>
      </c>
      <c r="D2590" s="592">
        <v>-8000</v>
      </c>
      <c r="E2590" s="212">
        <v>45413</v>
      </c>
      <c r="F2590" s="601" t="s">
        <v>109</v>
      </c>
      <c r="G2590" s="201" t="s">
        <v>918</v>
      </c>
      <c r="H2590" s="208" t="s">
        <v>147</v>
      </c>
      <c r="I2590" s="208" t="s">
        <v>2330</v>
      </c>
      <c r="J2590" s="209"/>
      <c r="K2590" s="209"/>
      <c r="L2590" s="209"/>
      <c r="M2590" s="209"/>
      <c r="N2590" s="209"/>
      <c r="O2590" s="209"/>
      <c r="P2590" s="209"/>
      <c r="Q2590" s="209"/>
      <c r="R2590" s="209"/>
      <c r="S2590" s="209"/>
      <c r="T2590" s="209"/>
    </row>
    <row r="2591" spans="1:20" ht="15" hidden="1" customHeight="1">
      <c r="A2591" s="468">
        <v>45423</v>
      </c>
      <c r="B2591" s="208" t="s">
        <v>2351</v>
      </c>
      <c r="C2591" s="208" t="s">
        <v>2113</v>
      </c>
      <c r="D2591" s="592">
        <v>-30000</v>
      </c>
      <c r="E2591" s="212">
        <v>45413</v>
      </c>
      <c r="F2591" s="601" t="s">
        <v>109</v>
      </c>
      <c r="G2591" s="201" t="s">
        <v>918</v>
      </c>
      <c r="H2591" s="208" t="s">
        <v>147</v>
      </c>
      <c r="I2591" s="208" t="s">
        <v>2330</v>
      </c>
      <c r="J2591" s="209"/>
      <c r="K2591" s="209"/>
      <c r="L2591" s="209"/>
      <c r="M2591" s="209"/>
      <c r="N2591" s="209"/>
      <c r="O2591" s="209"/>
      <c r="P2591" s="209"/>
      <c r="Q2591" s="209"/>
      <c r="R2591" s="209"/>
      <c r="S2591" s="209"/>
      <c r="T2591" s="209"/>
    </row>
    <row r="2592" spans="1:20" ht="15" hidden="1" customHeight="1">
      <c r="A2592" s="468">
        <v>45423</v>
      </c>
      <c r="B2592" s="208" t="s">
        <v>2352</v>
      </c>
      <c r="C2592" s="208" t="s">
        <v>2113</v>
      </c>
      <c r="D2592" s="592">
        <v>-6000</v>
      </c>
      <c r="E2592" s="212">
        <v>45413</v>
      </c>
      <c r="F2592" s="601" t="s">
        <v>109</v>
      </c>
      <c r="G2592" s="201" t="s">
        <v>918</v>
      </c>
      <c r="H2592" s="208" t="s">
        <v>138</v>
      </c>
      <c r="I2592" s="208" t="s">
        <v>2330</v>
      </c>
      <c r="J2592" s="209"/>
      <c r="K2592" s="209"/>
      <c r="L2592" s="209"/>
      <c r="M2592" s="209"/>
      <c r="N2592" s="209"/>
      <c r="O2592" s="209"/>
      <c r="P2592" s="209"/>
      <c r="Q2592" s="209"/>
      <c r="R2592" s="209"/>
      <c r="S2592" s="209"/>
      <c r="T2592" s="209"/>
    </row>
    <row r="2593" spans="1:20" ht="15" hidden="1" customHeight="1">
      <c r="A2593" s="468">
        <v>45423</v>
      </c>
      <c r="B2593" s="208" t="s">
        <v>2353</v>
      </c>
      <c r="C2593" s="208" t="s">
        <v>2113</v>
      </c>
      <c r="D2593" s="592">
        <v>-16000</v>
      </c>
      <c r="E2593" s="212">
        <v>45413</v>
      </c>
      <c r="F2593" s="601" t="s">
        <v>109</v>
      </c>
      <c r="G2593" s="201" t="s">
        <v>918</v>
      </c>
      <c r="H2593" s="208" t="s">
        <v>147</v>
      </c>
      <c r="I2593" s="208" t="s">
        <v>2330</v>
      </c>
      <c r="J2593" s="209"/>
      <c r="K2593" s="209"/>
      <c r="L2593" s="209"/>
      <c r="M2593" s="209"/>
      <c r="N2593" s="209"/>
      <c r="O2593" s="209"/>
      <c r="P2593" s="209"/>
      <c r="Q2593" s="209"/>
      <c r="R2593" s="209"/>
      <c r="S2593" s="209"/>
      <c r="T2593" s="209"/>
    </row>
    <row r="2594" spans="1:20" ht="15" hidden="1" customHeight="1">
      <c r="A2594" s="468">
        <v>45423</v>
      </c>
      <c r="B2594" s="208" t="s">
        <v>2354</v>
      </c>
      <c r="C2594" s="208" t="s">
        <v>2113</v>
      </c>
      <c r="D2594" s="592">
        <v>-12000</v>
      </c>
      <c r="E2594" s="212">
        <v>45413</v>
      </c>
      <c r="F2594" s="601" t="s">
        <v>109</v>
      </c>
      <c r="G2594" s="201" t="s">
        <v>918</v>
      </c>
      <c r="H2594" s="208" t="s">
        <v>147</v>
      </c>
      <c r="I2594" s="208" t="s">
        <v>2330</v>
      </c>
      <c r="J2594" s="209"/>
      <c r="K2594" s="209"/>
      <c r="L2594" s="209"/>
      <c r="M2594" s="209"/>
      <c r="N2594" s="209"/>
      <c r="O2594" s="209"/>
      <c r="P2594" s="209"/>
      <c r="Q2594" s="209"/>
      <c r="R2594" s="209"/>
      <c r="S2594" s="209"/>
      <c r="T2594" s="209"/>
    </row>
    <row r="2595" spans="1:20" ht="15" hidden="1" customHeight="1">
      <c r="A2595" s="468">
        <v>45423</v>
      </c>
      <c r="B2595" s="208" t="s">
        <v>2355</v>
      </c>
      <c r="C2595" s="208" t="s">
        <v>146</v>
      </c>
      <c r="D2595" s="592">
        <v>-6000</v>
      </c>
      <c r="E2595" s="212">
        <v>45413</v>
      </c>
      <c r="F2595" s="601" t="s">
        <v>109</v>
      </c>
      <c r="G2595" s="201" t="s">
        <v>918</v>
      </c>
      <c r="H2595" s="208" t="s">
        <v>138</v>
      </c>
      <c r="I2595" s="208" t="s">
        <v>2052</v>
      </c>
      <c r="J2595" s="209"/>
      <c r="K2595" s="209"/>
      <c r="L2595" s="209"/>
      <c r="M2595" s="209"/>
      <c r="N2595" s="209"/>
      <c r="O2595" s="209"/>
      <c r="P2595" s="209"/>
      <c r="Q2595" s="209"/>
      <c r="R2595" s="209"/>
      <c r="S2595" s="209"/>
      <c r="T2595" s="209"/>
    </row>
    <row r="2596" spans="1:20" ht="15" hidden="1" customHeight="1">
      <c r="A2596" s="468">
        <v>45423</v>
      </c>
      <c r="B2596" s="208" t="s">
        <v>2356</v>
      </c>
      <c r="C2596" s="208" t="s">
        <v>146</v>
      </c>
      <c r="D2596" s="592">
        <v>-6000</v>
      </c>
      <c r="E2596" s="212">
        <v>45413</v>
      </c>
      <c r="F2596" s="601" t="s">
        <v>109</v>
      </c>
      <c r="G2596" s="201" t="s">
        <v>918</v>
      </c>
      <c r="H2596" s="208" t="s">
        <v>138</v>
      </c>
      <c r="I2596" s="208" t="s">
        <v>2052</v>
      </c>
      <c r="J2596" s="209"/>
      <c r="K2596" s="209"/>
      <c r="L2596" s="209"/>
      <c r="M2596" s="209"/>
      <c r="N2596" s="209"/>
      <c r="O2596" s="209"/>
      <c r="P2596" s="209"/>
      <c r="Q2596" s="209"/>
      <c r="R2596" s="209"/>
      <c r="S2596" s="209"/>
      <c r="T2596" s="209"/>
    </row>
    <row r="2597" spans="1:20" ht="15" hidden="1" customHeight="1">
      <c r="A2597" s="468">
        <v>45423</v>
      </c>
      <c r="B2597" s="208" t="s">
        <v>2357</v>
      </c>
      <c r="C2597" s="208" t="s">
        <v>146</v>
      </c>
      <c r="D2597" s="592">
        <v>-196599</v>
      </c>
      <c r="E2597" s="212">
        <v>45413</v>
      </c>
      <c r="F2597" s="601" t="s">
        <v>109</v>
      </c>
      <c r="G2597" s="201" t="s">
        <v>918</v>
      </c>
      <c r="H2597" s="208" t="s">
        <v>175</v>
      </c>
      <c r="I2597" s="208" t="s">
        <v>2052</v>
      </c>
      <c r="J2597" s="209"/>
      <c r="K2597" s="209"/>
      <c r="L2597" s="209"/>
      <c r="M2597" s="209"/>
      <c r="N2597" s="209"/>
      <c r="O2597" s="209"/>
      <c r="P2597" s="209"/>
      <c r="Q2597" s="209"/>
      <c r="R2597" s="209"/>
      <c r="S2597" s="209"/>
      <c r="T2597" s="209"/>
    </row>
    <row r="2598" spans="1:20" ht="15" hidden="1" customHeight="1">
      <c r="A2598" s="468">
        <v>45423</v>
      </c>
      <c r="B2598" s="208" t="s">
        <v>2355</v>
      </c>
      <c r="C2598" s="208" t="s">
        <v>146</v>
      </c>
      <c r="D2598" s="592">
        <v>-6000</v>
      </c>
      <c r="E2598" s="212">
        <v>45413</v>
      </c>
      <c r="F2598" s="601" t="s">
        <v>109</v>
      </c>
      <c r="G2598" s="201" t="s">
        <v>918</v>
      </c>
      <c r="H2598" s="208" t="s">
        <v>138</v>
      </c>
      <c r="I2598" s="208" t="s">
        <v>2052</v>
      </c>
      <c r="J2598" s="209"/>
      <c r="K2598" s="209"/>
      <c r="L2598" s="209"/>
      <c r="M2598" s="209"/>
      <c r="N2598" s="209"/>
      <c r="O2598" s="209"/>
      <c r="P2598" s="209"/>
      <c r="Q2598" s="209"/>
      <c r="R2598" s="209"/>
      <c r="S2598" s="209"/>
      <c r="T2598" s="209"/>
    </row>
    <row r="2599" spans="1:20" ht="15" hidden="1" customHeight="1">
      <c r="A2599" s="468">
        <v>45423</v>
      </c>
      <c r="B2599" s="208" t="s">
        <v>2355</v>
      </c>
      <c r="C2599" s="208" t="s">
        <v>146</v>
      </c>
      <c r="D2599" s="592">
        <v>-6000</v>
      </c>
      <c r="E2599" s="212">
        <v>45413</v>
      </c>
      <c r="F2599" s="601" t="s">
        <v>109</v>
      </c>
      <c r="G2599" s="201" t="s">
        <v>918</v>
      </c>
      <c r="H2599" s="208" t="s">
        <v>138</v>
      </c>
      <c r="I2599" s="208" t="s">
        <v>2052</v>
      </c>
      <c r="J2599" s="209"/>
      <c r="K2599" s="209"/>
      <c r="L2599" s="209"/>
      <c r="M2599" s="209"/>
      <c r="N2599" s="209"/>
      <c r="O2599" s="209"/>
      <c r="P2599" s="209"/>
      <c r="Q2599" s="209"/>
      <c r="R2599" s="209"/>
      <c r="S2599" s="209"/>
      <c r="T2599" s="209"/>
    </row>
    <row r="2600" spans="1:20" ht="15" hidden="1" customHeight="1">
      <c r="A2600" s="468">
        <v>45423</v>
      </c>
      <c r="B2600" s="208" t="s">
        <v>2358</v>
      </c>
      <c r="C2600" s="208" t="s">
        <v>146</v>
      </c>
      <c r="D2600" s="592">
        <v>-6000</v>
      </c>
      <c r="E2600" s="212">
        <v>45413</v>
      </c>
      <c r="F2600" s="601" t="s">
        <v>109</v>
      </c>
      <c r="G2600" s="201" t="s">
        <v>918</v>
      </c>
      <c r="H2600" s="208" t="s">
        <v>138</v>
      </c>
      <c r="I2600" s="208" t="s">
        <v>2052</v>
      </c>
      <c r="J2600" s="209"/>
      <c r="K2600" s="209"/>
      <c r="L2600" s="209"/>
      <c r="M2600" s="209"/>
      <c r="N2600" s="209"/>
      <c r="O2600" s="209"/>
      <c r="P2600" s="209"/>
      <c r="Q2600" s="209"/>
      <c r="R2600" s="209"/>
      <c r="S2600" s="209"/>
      <c r="T2600" s="209"/>
    </row>
    <row r="2601" spans="1:20" ht="15" hidden="1" customHeight="1">
      <c r="A2601" s="468">
        <v>45425</v>
      </c>
      <c r="B2601" s="208" t="s">
        <v>2355</v>
      </c>
      <c r="C2601" s="208" t="s">
        <v>146</v>
      </c>
      <c r="D2601" s="592">
        <v>-6000</v>
      </c>
      <c r="E2601" s="212">
        <v>45413</v>
      </c>
      <c r="F2601" s="601" t="s">
        <v>109</v>
      </c>
      <c r="G2601" s="201" t="s">
        <v>918</v>
      </c>
      <c r="H2601" s="208" t="s">
        <v>138</v>
      </c>
      <c r="I2601" s="208" t="s">
        <v>2052</v>
      </c>
      <c r="J2601" s="209"/>
      <c r="K2601" s="209"/>
      <c r="L2601" s="209"/>
      <c r="M2601" s="209"/>
      <c r="N2601" s="209"/>
      <c r="O2601" s="209"/>
      <c r="P2601" s="209"/>
      <c r="Q2601" s="209"/>
      <c r="R2601" s="209"/>
      <c r="S2601" s="209"/>
      <c r="T2601" s="209"/>
    </row>
    <row r="2602" spans="1:20" ht="15" hidden="1" customHeight="1">
      <c r="A2602" s="468">
        <v>45429</v>
      </c>
      <c r="B2602" s="208" t="s">
        <v>2359</v>
      </c>
      <c r="C2602" s="208" t="s">
        <v>133</v>
      </c>
      <c r="D2602" s="592">
        <v>-9500</v>
      </c>
      <c r="E2602" s="212">
        <v>45413</v>
      </c>
      <c r="F2602" s="601" t="s">
        <v>109</v>
      </c>
      <c r="G2602" s="208" t="s">
        <v>120</v>
      </c>
      <c r="H2602" s="208"/>
      <c r="I2602" s="208"/>
      <c r="J2602" s="209"/>
      <c r="K2602" s="209"/>
      <c r="L2602" s="209"/>
      <c r="M2602" s="209"/>
      <c r="N2602" s="209"/>
      <c r="O2602" s="209"/>
      <c r="P2602" s="209"/>
      <c r="Q2602" s="209"/>
      <c r="R2602" s="209"/>
      <c r="S2602" s="209"/>
      <c r="T2602" s="209"/>
    </row>
    <row r="2603" spans="1:20" ht="15" hidden="1" customHeight="1">
      <c r="A2603" s="468">
        <v>45429</v>
      </c>
      <c r="B2603" s="208" t="s">
        <v>2359</v>
      </c>
      <c r="C2603" s="208" t="s">
        <v>133</v>
      </c>
      <c r="D2603" s="592">
        <v>-5700</v>
      </c>
      <c r="E2603" s="212">
        <v>45413</v>
      </c>
      <c r="F2603" s="601" t="s">
        <v>109</v>
      </c>
      <c r="G2603" s="208" t="s">
        <v>120</v>
      </c>
      <c r="H2603" s="208"/>
      <c r="I2603" s="208"/>
      <c r="J2603" s="209"/>
      <c r="K2603" s="209"/>
      <c r="L2603" s="209"/>
      <c r="M2603" s="209"/>
      <c r="N2603" s="209"/>
      <c r="O2603" s="209"/>
      <c r="P2603" s="209"/>
      <c r="Q2603" s="209"/>
      <c r="R2603" s="209"/>
      <c r="S2603" s="209"/>
      <c r="T2603" s="209"/>
    </row>
    <row r="2604" spans="1:20" ht="15" hidden="1" customHeight="1">
      <c r="A2604" s="468">
        <v>45425</v>
      </c>
      <c r="B2604" s="208" t="s">
        <v>2360</v>
      </c>
      <c r="C2604" s="208" t="s">
        <v>146</v>
      </c>
      <c r="D2604" s="592">
        <v>-15500</v>
      </c>
      <c r="E2604" s="212">
        <v>45413</v>
      </c>
      <c r="F2604" s="601" t="s">
        <v>109</v>
      </c>
      <c r="G2604" s="201" t="s">
        <v>918</v>
      </c>
      <c r="H2604" s="208" t="s">
        <v>175</v>
      </c>
      <c r="I2604" s="208" t="s">
        <v>2052</v>
      </c>
      <c r="J2604" s="209"/>
      <c r="K2604" s="209"/>
      <c r="L2604" s="209"/>
      <c r="M2604" s="209"/>
      <c r="N2604" s="209"/>
      <c r="O2604" s="209"/>
      <c r="P2604" s="209"/>
      <c r="Q2604" s="209"/>
      <c r="R2604" s="209"/>
      <c r="S2604" s="209"/>
      <c r="T2604" s="209"/>
    </row>
    <row r="2605" spans="1:20" ht="15" hidden="1" customHeight="1">
      <c r="A2605" s="468">
        <v>45426</v>
      </c>
      <c r="B2605" s="208" t="s">
        <v>1404</v>
      </c>
      <c r="C2605" s="208" t="s">
        <v>2113</v>
      </c>
      <c r="D2605" s="592">
        <v>-27000</v>
      </c>
      <c r="E2605" s="212">
        <v>45413</v>
      </c>
      <c r="F2605" s="208" t="s">
        <v>130</v>
      </c>
      <c r="G2605" s="591" t="s">
        <v>257</v>
      </c>
      <c r="H2605" s="208" t="s">
        <v>138</v>
      </c>
      <c r="I2605" s="208"/>
      <c r="J2605" s="209"/>
      <c r="K2605" s="209"/>
      <c r="L2605" s="209"/>
      <c r="M2605" s="209"/>
      <c r="N2605" s="209"/>
      <c r="O2605" s="209"/>
      <c r="P2605" s="209"/>
      <c r="Q2605" s="209"/>
      <c r="R2605" s="209"/>
      <c r="S2605" s="209"/>
      <c r="T2605" s="209"/>
    </row>
    <row r="2606" spans="1:20" ht="15" hidden="1" customHeight="1">
      <c r="A2606" s="468">
        <v>45426</v>
      </c>
      <c r="B2606" s="208" t="s">
        <v>2361</v>
      </c>
      <c r="C2606" s="208" t="s">
        <v>2113</v>
      </c>
      <c r="D2606" s="592">
        <v>-6000</v>
      </c>
      <c r="E2606" s="212">
        <v>45413</v>
      </c>
      <c r="F2606" s="208" t="s">
        <v>130</v>
      </c>
      <c r="G2606" s="591" t="s">
        <v>257</v>
      </c>
      <c r="H2606" s="208" t="s">
        <v>138</v>
      </c>
      <c r="I2606" s="208"/>
      <c r="J2606" s="209"/>
      <c r="K2606" s="209"/>
      <c r="L2606" s="209"/>
      <c r="M2606" s="209"/>
      <c r="N2606" s="209"/>
      <c r="O2606" s="209"/>
      <c r="P2606" s="209"/>
      <c r="Q2606" s="209"/>
      <c r="R2606" s="209"/>
      <c r="S2606" s="209"/>
      <c r="T2606" s="209"/>
    </row>
    <row r="2607" spans="1:20" ht="15" hidden="1" customHeight="1">
      <c r="A2607" s="468">
        <v>45426</v>
      </c>
      <c r="B2607" s="208" t="s">
        <v>2362</v>
      </c>
      <c r="C2607" s="208" t="s">
        <v>2113</v>
      </c>
      <c r="D2607" s="592">
        <v>-32500</v>
      </c>
      <c r="E2607" s="212">
        <v>45413</v>
      </c>
      <c r="F2607" s="208" t="s">
        <v>109</v>
      </c>
      <c r="G2607" s="208" t="s">
        <v>120</v>
      </c>
      <c r="H2607" s="208"/>
      <c r="I2607" s="208"/>
      <c r="J2607" s="209"/>
      <c r="K2607" s="209"/>
      <c r="L2607" s="209"/>
      <c r="M2607" s="209"/>
      <c r="N2607" s="209"/>
      <c r="O2607" s="209"/>
      <c r="P2607" s="209"/>
      <c r="Q2607" s="209"/>
      <c r="R2607" s="209"/>
      <c r="S2607" s="209"/>
      <c r="T2607" s="209"/>
    </row>
    <row r="2608" spans="1:20" ht="15" hidden="1" customHeight="1">
      <c r="A2608" s="468">
        <v>45426</v>
      </c>
      <c r="B2608" s="208" t="s">
        <v>2363</v>
      </c>
      <c r="C2608" s="208" t="s">
        <v>2113</v>
      </c>
      <c r="D2608" s="592">
        <v>-40000</v>
      </c>
      <c r="E2608" s="212">
        <v>45413</v>
      </c>
      <c r="F2608" s="208" t="s">
        <v>130</v>
      </c>
      <c r="G2608" s="591" t="s">
        <v>130</v>
      </c>
      <c r="H2608" s="208" t="s">
        <v>184</v>
      </c>
      <c r="I2608" s="208"/>
      <c r="J2608" s="209"/>
      <c r="K2608" s="209"/>
      <c r="L2608" s="209"/>
      <c r="M2608" s="209"/>
      <c r="N2608" s="209"/>
      <c r="O2608" s="209"/>
      <c r="P2608" s="209"/>
      <c r="Q2608" s="209"/>
      <c r="R2608" s="209"/>
      <c r="S2608" s="209"/>
      <c r="T2608" s="209"/>
    </row>
    <row r="2609" spans="1:20" ht="15" hidden="1" customHeight="1">
      <c r="A2609" s="468">
        <v>45426</v>
      </c>
      <c r="B2609" s="208" t="s">
        <v>2364</v>
      </c>
      <c r="C2609" s="208" t="s">
        <v>2113</v>
      </c>
      <c r="D2609" s="592">
        <v>-190</v>
      </c>
      <c r="E2609" s="212">
        <v>45413</v>
      </c>
      <c r="F2609" s="208" t="s">
        <v>130</v>
      </c>
      <c r="G2609" s="591" t="s">
        <v>130</v>
      </c>
      <c r="H2609" s="208" t="s">
        <v>184</v>
      </c>
      <c r="I2609" s="208"/>
      <c r="J2609" s="209"/>
      <c r="K2609" s="209"/>
      <c r="L2609" s="209"/>
      <c r="M2609" s="209"/>
      <c r="N2609" s="209"/>
      <c r="O2609" s="209"/>
      <c r="P2609" s="209"/>
      <c r="Q2609" s="209"/>
      <c r="R2609" s="209"/>
      <c r="S2609" s="209"/>
      <c r="T2609" s="209"/>
    </row>
    <row r="2610" spans="1:20" ht="15" hidden="1" customHeight="1">
      <c r="A2610" s="468">
        <v>45426</v>
      </c>
      <c r="B2610" s="208" t="s">
        <v>2365</v>
      </c>
      <c r="C2610" s="208" t="s">
        <v>2113</v>
      </c>
      <c r="D2610" s="592">
        <v>-170000</v>
      </c>
      <c r="E2610" s="212">
        <v>45413</v>
      </c>
      <c r="F2610" s="601" t="s">
        <v>109</v>
      </c>
      <c r="G2610" s="208" t="s">
        <v>120</v>
      </c>
      <c r="H2610" s="208"/>
      <c r="I2610" s="208"/>
      <c r="J2610" s="209"/>
      <c r="K2610" s="209"/>
      <c r="L2610" s="209"/>
      <c r="M2610" s="209"/>
      <c r="N2610" s="209"/>
      <c r="O2610" s="209"/>
      <c r="P2610" s="209"/>
      <c r="Q2610" s="209"/>
      <c r="R2610" s="209"/>
      <c r="S2610" s="209"/>
      <c r="T2610" s="209"/>
    </row>
    <row r="2611" spans="1:20" ht="15" hidden="1" customHeight="1">
      <c r="A2611" s="468">
        <v>45426</v>
      </c>
      <c r="B2611" s="208" t="s">
        <v>2366</v>
      </c>
      <c r="C2611" s="208" t="s">
        <v>2113</v>
      </c>
      <c r="D2611" s="592">
        <v>-30000</v>
      </c>
      <c r="E2611" s="619">
        <v>45413</v>
      </c>
      <c r="F2611" s="208" t="s">
        <v>207</v>
      </c>
      <c r="G2611" s="81" t="s">
        <v>2226</v>
      </c>
      <c r="H2611" s="208" t="s">
        <v>175</v>
      </c>
      <c r="I2611" s="208"/>
      <c r="J2611" s="209"/>
      <c r="K2611" s="209"/>
      <c r="L2611" s="209"/>
      <c r="M2611" s="209"/>
      <c r="N2611" s="209"/>
      <c r="O2611" s="209"/>
      <c r="P2611" s="209"/>
      <c r="Q2611" s="209"/>
      <c r="R2611" s="209"/>
      <c r="S2611" s="209"/>
      <c r="T2611" s="209"/>
    </row>
    <row r="2612" spans="1:20" ht="15" hidden="1" customHeight="1">
      <c r="A2612" s="468">
        <v>45426</v>
      </c>
      <c r="B2612" s="208" t="s">
        <v>2367</v>
      </c>
      <c r="C2612" s="208" t="s">
        <v>2113</v>
      </c>
      <c r="D2612" s="592">
        <v>-462600</v>
      </c>
      <c r="E2612" s="212">
        <v>45413</v>
      </c>
      <c r="F2612" s="208" t="s">
        <v>130</v>
      </c>
      <c r="G2612" s="637" t="s">
        <v>130</v>
      </c>
      <c r="H2612" s="208" t="s">
        <v>184</v>
      </c>
      <c r="I2612" s="208"/>
      <c r="J2612" s="209"/>
      <c r="K2612" s="209"/>
      <c r="L2612" s="209"/>
      <c r="M2612" s="209"/>
      <c r="N2612" s="209"/>
      <c r="O2612" s="209"/>
      <c r="P2612" s="209"/>
      <c r="Q2612" s="209"/>
      <c r="R2612" s="209"/>
      <c r="S2612" s="209"/>
      <c r="T2612" s="209"/>
    </row>
    <row r="2613" spans="1:20" ht="15" hidden="1" customHeight="1">
      <c r="A2613" s="468">
        <v>45426</v>
      </c>
      <c r="B2613" s="208" t="s">
        <v>2368</v>
      </c>
      <c r="C2613" s="208" t="s">
        <v>2113</v>
      </c>
      <c r="D2613" s="592">
        <v>-19400</v>
      </c>
      <c r="E2613" s="212">
        <v>45413</v>
      </c>
      <c r="F2613" s="208" t="s">
        <v>130</v>
      </c>
      <c r="G2613" s="639" t="s">
        <v>257</v>
      </c>
      <c r="H2613" s="208" t="s">
        <v>138</v>
      </c>
      <c r="I2613" s="208"/>
      <c r="J2613" s="209"/>
      <c r="K2613" s="209"/>
      <c r="L2613" s="209"/>
      <c r="M2613" s="209"/>
      <c r="N2613" s="209"/>
      <c r="O2613" s="209"/>
      <c r="P2613" s="209"/>
      <c r="Q2613" s="209"/>
      <c r="R2613" s="209"/>
      <c r="S2613" s="209"/>
      <c r="T2613" s="209"/>
    </row>
    <row r="2614" spans="1:20" ht="15" hidden="1" customHeight="1">
      <c r="A2614" s="468">
        <v>45426</v>
      </c>
      <c r="B2614" s="208" t="s">
        <v>2369</v>
      </c>
      <c r="C2614" s="208" t="s">
        <v>2113</v>
      </c>
      <c r="D2614" s="592">
        <v>-186800</v>
      </c>
      <c r="E2614" s="212">
        <v>45413</v>
      </c>
      <c r="F2614" s="208" t="s">
        <v>130</v>
      </c>
      <c r="G2614" s="208" t="s">
        <v>130</v>
      </c>
      <c r="H2614" s="208" t="s">
        <v>184</v>
      </c>
      <c r="I2614" s="208"/>
      <c r="J2614" s="209"/>
      <c r="K2614" s="209"/>
      <c r="L2614" s="209"/>
      <c r="M2614" s="209"/>
      <c r="N2614" s="209"/>
      <c r="O2614" s="209"/>
      <c r="P2614" s="209"/>
      <c r="Q2614" s="209"/>
      <c r="R2614" s="209"/>
      <c r="S2614" s="209"/>
      <c r="T2614" s="209"/>
    </row>
    <row r="2615" spans="1:20" ht="15" hidden="1" customHeight="1">
      <c r="A2615" s="468">
        <v>45426</v>
      </c>
      <c r="B2615" s="208" t="s">
        <v>2370</v>
      </c>
      <c r="C2615" s="208" t="s">
        <v>2113</v>
      </c>
      <c r="D2615" s="592">
        <v>-13000</v>
      </c>
      <c r="E2615" s="212">
        <v>45413</v>
      </c>
      <c r="F2615" s="208" t="s">
        <v>130</v>
      </c>
      <c r="G2615" s="208" t="s">
        <v>257</v>
      </c>
      <c r="H2615" s="208" t="s">
        <v>138</v>
      </c>
      <c r="I2615" s="208"/>
      <c r="J2615" s="209"/>
      <c r="K2615" s="209"/>
      <c r="L2615" s="209"/>
      <c r="M2615" s="209"/>
      <c r="N2615" s="209"/>
      <c r="O2615" s="209"/>
      <c r="P2615" s="209"/>
      <c r="Q2615" s="209"/>
      <c r="R2615" s="209"/>
      <c r="S2615" s="209"/>
      <c r="T2615" s="209"/>
    </row>
    <row r="2616" spans="1:20" ht="15" hidden="1" customHeight="1">
      <c r="A2616" s="468">
        <v>45426</v>
      </c>
      <c r="B2616" s="208" t="s">
        <v>2371</v>
      </c>
      <c r="C2616" s="208" t="s">
        <v>2113</v>
      </c>
      <c r="D2616" s="592">
        <v>220600</v>
      </c>
      <c r="E2616" s="212">
        <v>45413</v>
      </c>
      <c r="F2616" s="208" t="s">
        <v>130</v>
      </c>
      <c r="G2616" s="639" t="s">
        <v>130</v>
      </c>
      <c r="H2616" s="208" t="s">
        <v>184</v>
      </c>
      <c r="I2616" s="208"/>
      <c r="J2616" s="209"/>
      <c r="K2616" s="209"/>
      <c r="L2616" s="209"/>
      <c r="M2616" s="209"/>
      <c r="N2616" s="209"/>
      <c r="O2616" s="209"/>
      <c r="P2616" s="209"/>
      <c r="Q2616" s="209"/>
      <c r="R2616" s="209"/>
      <c r="S2616" s="209"/>
      <c r="T2616" s="209"/>
    </row>
    <row r="2617" spans="1:20" ht="15" hidden="1" customHeight="1">
      <c r="A2617" s="468">
        <v>45426</v>
      </c>
      <c r="B2617" s="208" t="s">
        <v>2372</v>
      </c>
      <c r="C2617" s="208" t="s">
        <v>2113</v>
      </c>
      <c r="D2617" s="592">
        <v>-85800</v>
      </c>
      <c r="E2617" s="212">
        <v>45413</v>
      </c>
      <c r="F2617" s="601" t="s">
        <v>109</v>
      </c>
      <c r="G2617" s="208" t="s">
        <v>120</v>
      </c>
      <c r="H2617" s="208"/>
      <c r="I2617" s="208"/>
      <c r="J2617" s="209"/>
      <c r="K2617" s="209"/>
      <c r="L2617" s="209"/>
      <c r="M2617" s="209"/>
      <c r="N2617" s="209"/>
      <c r="O2617" s="209"/>
      <c r="P2617" s="209"/>
      <c r="Q2617" s="209"/>
      <c r="R2617" s="209"/>
      <c r="S2617" s="209"/>
      <c r="T2617" s="209"/>
    </row>
    <row r="2618" spans="1:20" ht="15" hidden="1" customHeight="1">
      <c r="A2618" s="468">
        <v>45426</v>
      </c>
      <c r="B2618" s="208" t="s">
        <v>2373</v>
      </c>
      <c r="C2618" s="208" t="s">
        <v>146</v>
      </c>
      <c r="D2618" s="592">
        <v>-6000</v>
      </c>
      <c r="E2618" s="212">
        <v>45413</v>
      </c>
      <c r="F2618" s="291" t="s">
        <v>109</v>
      </c>
      <c r="G2618" s="208" t="s">
        <v>525</v>
      </c>
      <c r="H2618" s="208" t="s">
        <v>138</v>
      </c>
      <c r="I2618" s="208" t="s">
        <v>2052</v>
      </c>
      <c r="J2618" s="209"/>
      <c r="K2618" s="209"/>
      <c r="L2618" s="209"/>
      <c r="M2618" s="209"/>
      <c r="N2618" s="209"/>
      <c r="O2618" s="209"/>
      <c r="P2618" s="209"/>
      <c r="Q2618" s="209"/>
      <c r="R2618" s="209"/>
      <c r="S2618" s="209"/>
      <c r="T2618" s="209"/>
    </row>
    <row r="2619" spans="1:20" ht="15" hidden="1" customHeight="1">
      <c r="A2619" s="468">
        <v>45426</v>
      </c>
      <c r="B2619" s="208" t="s">
        <v>2374</v>
      </c>
      <c r="C2619" s="208" t="s">
        <v>146</v>
      </c>
      <c r="D2619" s="592">
        <v>-6000</v>
      </c>
      <c r="E2619" s="212">
        <v>45413</v>
      </c>
      <c r="F2619" s="291" t="s">
        <v>109</v>
      </c>
      <c r="G2619" s="208" t="s">
        <v>525</v>
      </c>
      <c r="H2619" s="208" t="s">
        <v>138</v>
      </c>
      <c r="I2619" s="208" t="s">
        <v>2052</v>
      </c>
      <c r="J2619" s="209"/>
      <c r="K2619" s="209"/>
      <c r="L2619" s="209"/>
      <c r="M2619" s="209"/>
      <c r="N2619" s="209"/>
      <c r="O2619" s="209"/>
      <c r="P2619" s="209"/>
      <c r="Q2619" s="209"/>
      <c r="R2619" s="209"/>
      <c r="S2619" s="209"/>
      <c r="T2619" s="209"/>
    </row>
    <row r="2620" spans="1:20" ht="15" hidden="1" customHeight="1">
      <c r="A2620" s="468">
        <v>45426</v>
      </c>
      <c r="B2620" s="208" t="s">
        <v>2375</v>
      </c>
      <c r="C2620" s="208" t="s">
        <v>146</v>
      </c>
      <c r="D2620" s="592">
        <v>-14200</v>
      </c>
      <c r="E2620" s="212">
        <v>45413</v>
      </c>
      <c r="F2620" s="601" t="s">
        <v>109</v>
      </c>
      <c r="G2620" s="208" t="s">
        <v>383</v>
      </c>
      <c r="H2620" s="208" t="s">
        <v>138</v>
      </c>
      <c r="I2620" s="208" t="s">
        <v>2052</v>
      </c>
      <c r="J2620" s="209"/>
      <c r="K2620" s="209"/>
      <c r="L2620" s="209"/>
      <c r="M2620" s="209"/>
      <c r="N2620" s="209"/>
      <c r="O2620" s="209"/>
      <c r="P2620" s="209"/>
      <c r="Q2620" s="209"/>
      <c r="R2620" s="209"/>
      <c r="S2620" s="209"/>
      <c r="T2620" s="209"/>
    </row>
    <row r="2621" spans="1:20" ht="15" hidden="1" customHeight="1">
      <c r="A2621" s="468">
        <v>45427</v>
      </c>
      <c r="B2621" s="208" t="s">
        <v>2376</v>
      </c>
      <c r="C2621" s="208" t="s">
        <v>2113</v>
      </c>
      <c r="D2621" s="592">
        <v>-61750</v>
      </c>
      <c r="E2621" s="212">
        <v>45413</v>
      </c>
      <c r="F2621" s="601" t="s">
        <v>109</v>
      </c>
      <c r="G2621" s="208" t="s">
        <v>120</v>
      </c>
      <c r="H2621" s="208"/>
      <c r="I2621" s="208"/>
      <c r="J2621" s="209"/>
      <c r="K2621" s="209"/>
      <c r="L2621" s="209"/>
      <c r="M2621" s="209"/>
      <c r="N2621" s="209"/>
      <c r="O2621" s="209"/>
      <c r="P2621" s="209"/>
      <c r="Q2621" s="209"/>
      <c r="R2621" s="209"/>
      <c r="S2621" s="209"/>
      <c r="T2621" s="209"/>
    </row>
    <row r="2622" spans="1:20" ht="15" hidden="1" customHeight="1">
      <c r="A2622" s="468">
        <v>45427</v>
      </c>
      <c r="B2622" s="208" t="s">
        <v>2377</v>
      </c>
      <c r="C2622" s="208" t="s">
        <v>2113</v>
      </c>
      <c r="D2622" s="592">
        <v>-19200</v>
      </c>
      <c r="E2622" s="212">
        <v>45413</v>
      </c>
      <c r="F2622" s="201" t="s">
        <v>110</v>
      </c>
      <c r="G2622" s="81" t="s">
        <v>1621</v>
      </c>
      <c r="H2622" s="208" t="s">
        <v>175</v>
      </c>
      <c r="I2622" s="208"/>
      <c r="J2622" s="209"/>
      <c r="K2622" s="209"/>
      <c r="L2622" s="209"/>
      <c r="M2622" s="209"/>
      <c r="N2622" s="209"/>
      <c r="O2622" s="209"/>
      <c r="P2622" s="209"/>
      <c r="Q2622" s="209"/>
      <c r="R2622" s="209"/>
      <c r="S2622" s="209"/>
      <c r="T2622" s="209"/>
    </row>
    <row r="2623" spans="1:20" ht="15" hidden="1" customHeight="1">
      <c r="A2623" s="468">
        <v>45426</v>
      </c>
      <c r="B2623" s="208" t="s">
        <v>1294</v>
      </c>
      <c r="C2623" s="208" t="s">
        <v>27</v>
      </c>
      <c r="D2623" s="592">
        <v>3572731</v>
      </c>
      <c r="E2623" s="212">
        <v>45413</v>
      </c>
      <c r="F2623" s="208" t="s">
        <v>108</v>
      </c>
      <c r="G2623" s="208"/>
      <c r="H2623" s="208"/>
      <c r="I2623" s="208"/>
      <c r="J2623" s="209"/>
      <c r="K2623" s="209"/>
      <c r="L2623" s="209"/>
      <c r="M2623" s="209"/>
      <c r="N2623" s="209"/>
      <c r="O2623" s="209"/>
      <c r="P2623" s="209"/>
      <c r="Q2623" s="209"/>
      <c r="R2623" s="209"/>
      <c r="S2623" s="209"/>
      <c r="T2623" s="209"/>
    </row>
    <row r="2624" spans="1:20" ht="15" hidden="1" customHeight="1">
      <c r="A2624" s="468">
        <v>45426</v>
      </c>
      <c r="B2624" s="208" t="s">
        <v>2378</v>
      </c>
      <c r="C2624" s="208" t="s">
        <v>27</v>
      </c>
      <c r="D2624" s="592">
        <v>13228108</v>
      </c>
      <c r="E2624" s="212">
        <v>45413</v>
      </c>
      <c r="F2624" s="208" t="s">
        <v>109</v>
      </c>
      <c r="G2624" s="208" t="s">
        <v>120</v>
      </c>
      <c r="H2624" s="208"/>
      <c r="I2624" s="208"/>
      <c r="J2624" s="209"/>
      <c r="K2624" s="209"/>
      <c r="L2624" s="209"/>
      <c r="M2624" s="209"/>
      <c r="N2624" s="209"/>
      <c r="O2624" s="209"/>
      <c r="P2624" s="209"/>
      <c r="Q2624" s="209"/>
      <c r="R2624" s="209"/>
      <c r="S2624" s="209"/>
      <c r="T2624" s="209"/>
    </row>
    <row r="2625" spans="1:20" ht="15" hidden="1" customHeight="1">
      <c r="A2625" s="468">
        <v>45429</v>
      </c>
      <c r="B2625" s="208" t="s">
        <v>2379</v>
      </c>
      <c r="C2625" s="208" t="s">
        <v>181</v>
      </c>
      <c r="D2625" s="592">
        <v>-600000</v>
      </c>
      <c r="E2625" s="640">
        <v>45413</v>
      </c>
      <c r="F2625" s="208" t="s">
        <v>130</v>
      </c>
      <c r="G2625" s="208" t="s">
        <v>130</v>
      </c>
      <c r="H2625" s="208" t="s">
        <v>184</v>
      </c>
      <c r="I2625" s="208"/>
      <c r="J2625" s="209"/>
      <c r="K2625" s="209"/>
      <c r="L2625" s="209"/>
      <c r="M2625" s="209"/>
      <c r="N2625" s="209"/>
      <c r="O2625" s="209"/>
      <c r="P2625" s="209"/>
      <c r="Q2625" s="209"/>
      <c r="R2625" s="209"/>
      <c r="S2625" s="209"/>
      <c r="T2625" s="209"/>
    </row>
    <row r="2626" spans="1:20" ht="15" hidden="1" customHeight="1">
      <c r="A2626" s="468">
        <v>45429</v>
      </c>
      <c r="B2626" s="208" t="s">
        <v>1834</v>
      </c>
      <c r="C2626" s="208" t="s">
        <v>181</v>
      </c>
      <c r="D2626" s="592">
        <v>4215046</v>
      </c>
      <c r="E2626" s="636">
        <v>45413</v>
      </c>
      <c r="F2626" s="208" t="s">
        <v>108</v>
      </c>
      <c r="G2626" s="208"/>
      <c r="H2626" s="208"/>
      <c r="I2626" s="208"/>
      <c r="J2626" s="209"/>
      <c r="K2626" s="209"/>
      <c r="L2626" s="209"/>
      <c r="M2626" s="209"/>
      <c r="N2626" s="209"/>
      <c r="O2626" s="209"/>
      <c r="P2626" s="209"/>
      <c r="Q2626" s="209"/>
      <c r="R2626" s="209"/>
      <c r="S2626" s="209"/>
      <c r="T2626" s="209"/>
    </row>
    <row r="2627" spans="1:20" ht="15" hidden="1" customHeight="1">
      <c r="A2627" s="468">
        <v>45427</v>
      </c>
      <c r="B2627" s="208" t="s">
        <v>1078</v>
      </c>
      <c r="C2627" s="208" t="s">
        <v>27</v>
      </c>
      <c r="D2627" s="592">
        <v>1921993</v>
      </c>
      <c r="E2627" s="212">
        <v>45413</v>
      </c>
      <c r="F2627" s="208" t="s">
        <v>108</v>
      </c>
      <c r="G2627" s="208"/>
      <c r="H2627" s="208"/>
      <c r="I2627" s="208"/>
      <c r="J2627" s="209"/>
      <c r="K2627" s="209"/>
      <c r="L2627" s="209"/>
      <c r="M2627" s="209"/>
      <c r="N2627" s="209"/>
      <c r="O2627" s="209"/>
      <c r="P2627" s="209"/>
      <c r="Q2627" s="209"/>
      <c r="R2627" s="209"/>
      <c r="S2627" s="209"/>
      <c r="T2627" s="209"/>
    </row>
    <row r="2628" spans="1:20" ht="15" hidden="1" customHeight="1">
      <c r="A2628" s="468">
        <v>45429</v>
      </c>
      <c r="B2628" s="208" t="s">
        <v>2380</v>
      </c>
      <c r="C2628" s="208" t="s">
        <v>643</v>
      </c>
      <c r="D2628" s="592">
        <v>-119617.33</v>
      </c>
      <c r="E2628" s="212">
        <v>45413</v>
      </c>
      <c r="F2628" s="208" t="s">
        <v>130</v>
      </c>
      <c r="G2628" s="208" t="s">
        <v>130</v>
      </c>
      <c r="H2628" s="208" t="s">
        <v>143</v>
      </c>
      <c r="I2628" s="208"/>
      <c r="J2628" s="209"/>
      <c r="K2628" s="209"/>
      <c r="L2628" s="209"/>
      <c r="M2628" s="209"/>
      <c r="N2628" s="209"/>
      <c r="O2628" s="209"/>
      <c r="P2628" s="209"/>
      <c r="Q2628" s="209"/>
      <c r="R2628" s="209"/>
      <c r="S2628" s="209"/>
      <c r="T2628" s="209"/>
    </row>
    <row r="2629" spans="1:20" ht="15" hidden="1" customHeight="1">
      <c r="A2629" s="468">
        <v>45426</v>
      </c>
      <c r="B2629" s="208" t="s">
        <v>2381</v>
      </c>
      <c r="C2629" s="208" t="s">
        <v>27</v>
      </c>
      <c r="D2629" s="592">
        <v>-1228700</v>
      </c>
      <c r="E2629" s="212">
        <v>45413</v>
      </c>
      <c r="F2629" s="601" t="s">
        <v>109</v>
      </c>
      <c r="G2629" s="208" t="s">
        <v>120</v>
      </c>
      <c r="H2629" s="208"/>
      <c r="I2629" s="208"/>
      <c r="J2629" s="209"/>
      <c r="K2629" s="209"/>
      <c r="L2629" s="209"/>
      <c r="M2629" s="209"/>
      <c r="N2629" s="209"/>
      <c r="O2629" s="209"/>
      <c r="P2629" s="209"/>
      <c r="Q2629" s="209"/>
      <c r="R2629" s="209"/>
      <c r="S2629" s="209"/>
      <c r="T2629" s="209"/>
    </row>
    <row r="2630" spans="1:20" ht="15" hidden="1" customHeight="1">
      <c r="A2630" s="468">
        <v>45426</v>
      </c>
      <c r="B2630" s="208" t="s">
        <v>2382</v>
      </c>
      <c r="C2630" s="208" t="s">
        <v>27</v>
      </c>
      <c r="D2630" s="592">
        <v>-279696</v>
      </c>
      <c r="E2630" s="212">
        <v>45413</v>
      </c>
      <c r="F2630" s="201" t="s">
        <v>110</v>
      </c>
      <c r="G2630" s="81" t="s">
        <v>1621</v>
      </c>
      <c r="H2630" s="208" t="s">
        <v>147</v>
      </c>
      <c r="I2630" s="208"/>
      <c r="J2630" s="209"/>
      <c r="K2630" s="209"/>
      <c r="L2630" s="209"/>
      <c r="M2630" s="209"/>
      <c r="N2630" s="209"/>
      <c r="O2630" s="209"/>
      <c r="P2630" s="209"/>
      <c r="Q2630" s="209"/>
      <c r="R2630" s="209"/>
      <c r="S2630" s="209"/>
      <c r="T2630" s="209"/>
    </row>
    <row r="2631" spans="1:20" ht="15" hidden="1" customHeight="1">
      <c r="A2631" s="468">
        <v>45426</v>
      </c>
      <c r="B2631" s="208" t="s">
        <v>2382</v>
      </c>
      <c r="C2631" s="208" t="s">
        <v>27</v>
      </c>
      <c r="D2631" s="592">
        <v>-419544</v>
      </c>
      <c r="E2631" s="212">
        <v>45413</v>
      </c>
      <c r="F2631" s="201" t="s">
        <v>110</v>
      </c>
      <c r="G2631" s="208" t="s">
        <v>122</v>
      </c>
      <c r="H2631" s="208" t="s">
        <v>147</v>
      </c>
      <c r="I2631" s="208"/>
      <c r="J2631" s="209"/>
      <c r="K2631" s="209"/>
      <c r="L2631" s="209"/>
      <c r="M2631" s="209"/>
      <c r="N2631" s="209"/>
      <c r="O2631" s="209"/>
      <c r="P2631" s="209"/>
      <c r="Q2631" s="209"/>
      <c r="R2631" s="209"/>
      <c r="S2631" s="209"/>
      <c r="T2631" s="209"/>
    </row>
    <row r="2632" spans="1:20" ht="15" hidden="1" customHeight="1">
      <c r="A2632" s="468">
        <v>45426</v>
      </c>
      <c r="B2632" s="208" t="s">
        <v>2383</v>
      </c>
      <c r="C2632" s="208" t="s">
        <v>27</v>
      </c>
      <c r="D2632" s="592">
        <v>-180102.89361702127</v>
      </c>
      <c r="E2632" s="212">
        <v>45413</v>
      </c>
      <c r="F2632" s="641" t="s">
        <v>207</v>
      </c>
      <c r="G2632" s="642" t="s">
        <v>2384</v>
      </c>
      <c r="H2632" s="208"/>
      <c r="I2632" s="208"/>
      <c r="J2632" s="209"/>
      <c r="K2632" s="209"/>
      <c r="L2632" s="209"/>
      <c r="M2632" s="209"/>
      <c r="N2632" s="209"/>
      <c r="O2632" s="209"/>
      <c r="P2632" s="209"/>
      <c r="Q2632" s="209"/>
      <c r="R2632" s="209"/>
      <c r="S2632" s="209"/>
      <c r="T2632" s="209"/>
    </row>
    <row r="2633" spans="1:20" ht="15" hidden="1" customHeight="1">
      <c r="A2633" s="468">
        <v>45426</v>
      </c>
      <c r="B2633" s="208" t="s">
        <v>2383</v>
      </c>
      <c r="C2633" s="208" t="s">
        <v>27</v>
      </c>
      <c r="D2633" s="592">
        <v>-605392</v>
      </c>
      <c r="E2633" s="212">
        <v>45413</v>
      </c>
      <c r="F2633" s="601" t="s">
        <v>109</v>
      </c>
      <c r="G2633" s="201" t="s">
        <v>1261</v>
      </c>
      <c r="H2633" s="208" t="s">
        <v>147</v>
      </c>
      <c r="I2633" s="208"/>
      <c r="J2633" s="209"/>
      <c r="K2633" s="209"/>
      <c r="L2633" s="209"/>
      <c r="M2633" s="209"/>
      <c r="N2633" s="209"/>
      <c r="O2633" s="209"/>
      <c r="P2633" s="209"/>
      <c r="Q2633" s="209"/>
      <c r="R2633" s="209"/>
      <c r="S2633" s="209"/>
      <c r="T2633" s="209"/>
    </row>
    <row r="2634" spans="1:20" ht="15" hidden="1" customHeight="1">
      <c r="A2634" s="468">
        <v>45426</v>
      </c>
      <c r="B2634" s="208" t="s">
        <v>2385</v>
      </c>
      <c r="C2634" s="208" t="s">
        <v>27</v>
      </c>
      <c r="D2634" s="592">
        <v>-259565</v>
      </c>
      <c r="E2634" s="212">
        <v>45413</v>
      </c>
      <c r="F2634" s="201" t="s">
        <v>110</v>
      </c>
      <c r="G2634" s="81" t="s">
        <v>1621</v>
      </c>
      <c r="H2634" s="208" t="s">
        <v>147</v>
      </c>
      <c r="I2634" s="208"/>
      <c r="J2634" s="209"/>
      <c r="K2634" s="209"/>
      <c r="L2634" s="209"/>
      <c r="M2634" s="209"/>
      <c r="N2634" s="209"/>
      <c r="O2634" s="209"/>
      <c r="P2634" s="209"/>
      <c r="Q2634" s="209"/>
      <c r="R2634" s="209"/>
      <c r="S2634" s="209"/>
      <c r="T2634" s="209"/>
    </row>
    <row r="2635" spans="1:20" ht="15" hidden="1" customHeight="1">
      <c r="A2635" s="468">
        <v>45426</v>
      </c>
      <c r="B2635" s="208" t="s">
        <v>2385</v>
      </c>
      <c r="C2635" s="208" t="s">
        <v>27</v>
      </c>
      <c r="D2635" s="592">
        <v>-259565</v>
      </c>
      <c r="E2635" s="212">
        <v>45413</v>
      </c>
      <c r="F2635" s="201" t="s">
        <v>110</v>
      </c>
      <c r="G2635" s="208" t="s">
        <v>122</v>
      </c>
      <c r="H2635" s="208" t="s">
        <v>147</v>
      </c>
      <c r="I2635" s="208"/>
      <c r="J2635" s="209"/>
      <c r="K2635" s="209"/>
      <c r="L2635" s="209"/>
      <c r="M2635" s="209"/>
      <c r="N2635" s="209"/>
      <c r="O2635" s="209"/>
      <c r="P2635" s="209"/>
      <c r="Q2635" s="209"/>
      <c r="R2635" s="209"/>
      <c r="S2635" s="209"/>
      <c r="T2635" s="209"/>
    </row>
    <row r="2636" spans="1:20" ht="15" hidden="1" customHeight="1">
      <c r="A2636" s="468">
        <v>45426</v>
      </c>
      <c r="B2636" s="208" t="s">
        <v>2385</v>
      </c>
      <c r="C2636" s="208" t="s">
        <v>27</v>
      </c>
      <c r="D2636" s="592">
        <v>-281131.17021276592</v>
      </c>
      <c r="E2636" s="212">
        <v>45413</v>
      </c>
      <c r="F2636" s="641" t="s">
        <v>207</v>
      </c>
      <c r="G2636" s="642" t="s">
        <v>2384</v>
      </c>
      <c r="H2636" s="208"/>
      <c r="I2636" s="208"/>
      <c r="J2636" s="209"/>
      <c r="K2636" s="209"/>
      <c r="L2636" s="209"/>
      <c r="M2636" s="209"/>
      <c r="N2636" s="209"/>
      <c r="O2636" s="209"/>
      <c r="P2636" s="209"/>
      <c r="Q2636" s="209"/>
      <c r="R2636" s="209"/>
      <c r="S2636" s="209"/>
      <c r="T2636" s="209"/>
    </row>
    <row r="2637" spans="1:20" ht="15" hidden="1" customHeight="1">
      <c r="A2637" s="468">
        <v>45426</v>
      </c>
      <c r="B2637" s="208" t="s">
        <v>2385</v>
      </c>
      <c r="C2637" s="208" t="s">
        <v>27</v>
      </c>
      <c r="D2637" s="592">
        <v>-259565</v>
      </c>
      <c r="E2637" s="212">
        <v>45413</v>
      </c>
      <c r="F2637" s="601" t="s">
        <v>109</v>
      </c>
      <c r="G2637" s="201" t="s">
        <v>1261</v>
      </c>
      <c r="H2637" s="208" t="s">
        <v>147</v>
      </c>
      <c r="I2637" s="208"/>
      <c r="J2637" s="209"/>
      <c r="K2637" s="209"/>
      <c r="L2637" s="209"/>
      <c r="M2637" s="209"/>
      <c r="N2637" s="209"/>
      <c r="O2637" s="209"/>
      <c r="P2637" s="209"/>
      <c r="Q2637" s="209"/>
      <c r="R2637" s="209"/>
      <c r="S2637" s="209"/>
      <c r="T2637" s="209"/>
    </row>
    <row r="2638" spans="1:20" ht="15" hidden="1" customHeight="1">
      <c r="A2638" s="468">
        <v>45426</v>
      </c>
      <c r="B2638" s="208" t="s">
        <v>2386</v>
      </c>
      <c r="C2638" s="208" t="s">
        <v>27</v>
      </c>
      <c r="D2638" s="592">
        <v>-163996.08510638296</v>
      </c>
      <c r="E2638" s="212">
        <v>45413</v>
      </c>
      <c r="F2638" s="641" t="s">
        <v>207</v>
      </c>
      <c r="G2638" s="642" t="s">
        <v>2384</v>
      </c>
      <c r="H2638" s="208"/>
      <c r="I2638" s="208"/>
      <c r="J2638" s="209"/>
      <c r="K2638" s="209"/>
      <c r="L2638" s="209"/>
      <c r="M2638" s="209"/>
      <c r="N2638" s="209"/>
      <c r="O2638" s="209"/>
      <c r="P2638" s="209"/>
      <c r="Q2638" s="209"/>
      <c r="R2638" s="209"/>
      <c r="S2638" s="209"/>
      <c r="T2638" s="209"/>
    </row>
    <row r="2639" spans="1:20" ht="15" hidden="1" customHeight="1">
      <c r="A2639" s="468">
        <v>45426</v>
      </c>
      <c r="B2639" s="208" t="s">
        <v>2386</v>
      </c>
      <c r="C2639" s="208" t="s">
        <v>27</v>
      </c>
      <c r="D2639" s="592">
        <v>-550752</v>
      </c>
      <c r="E2639" s="212">
        <v>45413</v>
      </c>
      <c r="F2639" s="601" t="s">
        <v>109</v>
      </c>
      <c r="G2639" s="201" t="s">
        <v>1261</v>
      </c>
      <c r="H2639" s="208" t="s">
        <v>147</v>
      </c>
      <c r="I2639" s="208"/>
      <c r="J2639" s="209"/>
      <c r="K2639" s="209"/>
      <c r="L2639" s="209"/>
      <c r="M2639" s="209"/>
      <c r="N2639" s="209"/>
      <c r="O2639" s="209"/>
      <c r="P2639" s="209"/>
      <c r="Q2639" s="209"/>
      <c r="R2639" s="209"/>
      <c r="S2639" s="209"/>
      <c r="T2639" s="209"/>
    </row>
    <row r="2640" spans="1:20" ht="15" hidden="1" customHeight="1">
      <c r="A2640" s="468">
        <v>45426</v>
      </c>
      <c r="B2640" s="208" t="s">
        <v>2387</v>
      </c>
      <c r="C2640" s="208" t="s">
        <v>27</v>
      </c>
      <c r="D2640" s="592">
        <v>-135800</v>
      </c>
      <c r="E2640" s="212">
        <v>45413</v>
      </c>
      <c r="F2640" s="641" t="s">
        <v>207</v>
      </c>
      <c r="G2640" s="643" t="s">
        <v>2384</v>
      </c>
      <c r="H2640" s="208"/>
      <c r="I2640" s="208"/>
      <c r="J2640" s="209"/>
      <c r="K2640" s="209"/>
      <c r="L2640" s="209"/>
      <c r="M2640" s="209"/>
      <c r="N2640" s="209"/>
      <c r="O2640" s="209"/>
      <c r="P2640" s="209"/>
      <c r="Q2640" s="209"/>
      <c r="R2640" s="209"/>
      <c r="S2640" s="209"/>
      <c r="T2640" s="209"/>
    </row>
    <row r="2641" spans="1:20" ht="15" hidden="1" customHeight="1">
      <c r="A2641" s="468">
        <v>45426</v>
      </c>
      <c r="B2641" s="208" t="s">
        <v>2387</v>
      </c>
      <c r="C2641" s="208" t="s">
        <v>27</v>
      </c>
      <c r="D2641" s="592">
        <v>-543200</v>
      </c>
      <c r="E2641" s="212">
        <v>45413</v>
      </c>
      <c r="F2641" s="601" t="s">
        <v>109</v>
      </c>
      <c r="G2641" s="201" t="s">
        <v>1261</v>
      </c>
      <c r="H2641" s="208" t="s">
        <v>147</v>
      </c>
      <c r="I2641" s="208"/>
      <c r="J2641" s="209"/>
      <c r="K2641" s="209"/>
      <c r="L2641" s="209"/>
      <c r="M2641" s="209"/>
      <c r="N2641" s="209"/>
      <c r="O2641" s="209"/>
      <c r="P2641" s="209"/>
      <c r="Q2641" s="209"/>
      <c r="R2641" s="209"/>
      <c r="S2641" s="209"/>
      <c r="T2641" s="209"/>
    </row>
    <row r="2642" spans="1:20" ht="15" hidden="1" customHeight="1">
      <c r="A2642" s="468">
        <v>45426</v>
      </c>
      <c r="B2642" s="208" t="s">
        <v>2388</v>
      </c>
      <c r="C2642" s="208" t="s">
        <v>27</v>
      </c>
      <c r="D2642" s="592">
        <v>-800400</v>
      </c>
      <c r="E2642" s="212">
        <v>45413</v>
      </c>
      <c r="F2642" s="641" t="s">
        <v>130</v>
      </c>
      <c r="G2642" s="643" t="s">
        <v>130</v>
      </c>
      <c r="H2642" s="208" t="s">
        <v>1175</v>
      </c>
      <c r="I2642" s="208"/>
      <c r="J2642" s="209"/>
      <c r="K2642" s="209"/>
      <c r="L2642" s="209"/>
      <c r="M2642" s="209"/>
      <c r="N2642" s="209"/>
      <c r="O2642" s="209"/>
      <c r="P2642" s="209"/>
      <c r="Q2642" s="209"/>
      <c r="R2642" s="209"/>
      <c r="S2642" s="209"/>
      <c r="T2642" s="209"/>
    </row>
    <row r="2643" spans="1:20" ht="15" hidden="1" customHeight="1">
      <c r="A2643" s="468">
        <v>45426</v>
      </c>
      <c r="B2643" s="208" t="s">
        <v>2389</v>
      </c>
      <c r="C2643" s="208" t="s">
        <v>27</v>
      </c>
      <c r="D2643" s="592">
        <v>-792683.6170212765</v>
      </c>
      <c r="E2643" s="212">
        <v>45413</v>
      </c>
      <c r="F2643" s="641" t="s">
        <v>130</v>
      </c>
      <c r="G2643" s="643" t="s">
        <v>130</v>
      </c>
      <c r="H2643" s="208" t="s">
        <v>1175</v>
      </c>
      <c r="I2643" s="208"/>
      <c r="J2643" s="209"/>
      <c r="K2643" s="209"/>
      <c r="L2643" s="209"/>
      <c r="M2643" s="209"/>
      <c r="N2643" s="209"/>
      <c r="O2643" s="209"/>
      <c r="P2643" s="209"/>
      <c r="Q2643" s="209"/>
      <c r="R2643" s="209"/>
      <c r="S2643" s="209"/>
      <c r="T2643" s="209"/>
    </row>
    <row r="2644" spans="1:20" ht="15" hidden="1" customHeight="1">
      <c r="A2644" s="468">
        <v>45426</v>
      </c>
      <c r="B2644" s="208" t="s">
        <v>2390</v>
      </c>
      <c r="C2644" s="208" t="s">
        <v>27</v>
      </c>
      <c r="D2644" s="592">
        <v>-135800</v>
      </c>
      <c r="E2644" s="212">
        <v>45413</v>
      </c>
      <c r="F2644" s="641" t="s">
        <v>207</v>
      </c>
      <c r="G2644" s="644" t="s">
        <v>2384</v>
      </c>
      <c r="H2644" s="208"/>
      <c r="I2644" s="208"/>
      <c r="J2644" s="209"/>
      <c r="K2644" s="209"/>
      <c r="L2644" s="209"/>
      <c r="M2644" s="209"/>
      <c r="N2644" s="209"/>
      <c r="O2644" s="209"/>
      <c r="P2644" s="209"/>
      <c r="Q2644" s="209"/>
      <c r="R2644" s="209"/>
      <c r="S2644" s="209"/>
      <c r="T2644" s="209"/>
    </row>
    <row r="2645" spans="1:20" ht="15" hidden="1" customHeight="1">
      <c r="A2645" s="468">
        <v>45426</v>
      </c>
      <c r="B2645" s="208" t="s">
        <v>2390</v>
      </c>
      <c r="C2645" s="208" t="s">
        <v>27</v>
      </c>
      <c r="D2645" s="592">
        <v>-568646.80851063831</v>
      </c>
      <c r="E2645" s="212">
        <v>45413</v>
      </c>
      <c r="F2645" s="601" t="s">
        <v>109</v>
      </c>
      <c r="G2645" s="201" t="s">
        <v>1261</v>
      </c>
      <c r="H2645" s="208" t="s">
        <v>147</v>
      </c>
      <c r="I2645" s="208"/>
      <c r="J2645" s="209"/>
      <c r="K2645" s="209"/>
      <c r="L2645" s="209"/>
      <c r="M2645" s="209"/>
      <c r="N2645" s="209"/>
      <c r="O2645" s="209"/>
      <c r="P2645" s="209"/>
      <c r="Q2645" s="209"/>
      <c r="R2645" s="209"/>
      <c r="S2645" s="209"/>
      <c r="T2645" s="209"/>
    </row>
    <row r="2646" spans="1:20" ht="15" hidden="1" customHeight="1">
      <c r="A2646" s="468">
        <v>45426</v>
      </c>
      <c r="B2646" s="208" t="s">
        <v>2391</v>
      </c>
      <c r="C2646" s="208" t="s">
        <v>27</v>
      </c>
      <c r="D2646" s="592">
        <v>-271600</v>
      </c>
      <c r="E2646" s="212">
        <v>45413</v>
      </c>
      <c r="F2646" s="201" t="s">
        <v>110</v>
      </c>
      <c r="G2646" s="81" t="s">
        <v>1621</v>
      </c>
      <c r="H2646" s="208" t="s">
        <v>147</v>
      </c>
      <c r="I2646" s="208"/>
      <c r="J2646" s="209"/>
      <c r="K2646" s="209"/>
      <c r="L2646" s="209"/>
      <c r="M2646" s="209"/>
      <c r="N2646" s="209"/>
      <c r="O2646" s="209"/>
      <c r="P2646" s="209"/>
      <c r="Q2646" s="209"/>
      <c r="R2646" s="209"/>
      <c r="S2646" s="209"/>
      <c r="T2646" s="209"/>
    </row>
    <row r="2647" spans="1:20" ht="15" hidden="1" customHeight="1">
      <c r="A2647" s="468">
        <v>45426</v>
      </c>
      <c r="B2647" s="208" t="s">
        <v>2391</v>
      </c>
      <c r="C2647" s="208" t="s">
        <v>27</v>
      </c>
      <c r="D2647" s="592">
        <v>-407400</v>
      </c>
      <c r="E2647" s="212">
        <v>45413</v>
      </c>
      <c r="F2647" s="201" t="s">
        <v>110</v>
      </c>
      <c r="G2647" s="208" t="s">
        <v>122</v>
      </c>
      <c r="H2647" s="208" t="s">
        <v>147</v>
      </c>
      <c r="I2647" s="208"/>
      <c r="J2647" s="209"/>
      <c r="K2647" s="209"/>
      <c r="L2647" s="209"/>
      <c r="M2647" s="209"/>
      <c r="N2647" s="209"/>
      <c r="O2647" s="209"/>
      <c r="P2647" s="209"/>
      <c r="Q2647" s="209"/>
      <c r="R2647" s="209"/>
      <c r="S2647" s="209"/>
      <c r="T2647" s="209"/>
    </row>
    <row r="2648" spans="1:20" ht="15" hidden="1" customHeight="1">
      <c r="A2648" s="468">
        <v>45426</v>
      </c>
      <c r="B2648" s="208" t="s">
        <v>2392</v>
      </c>
      <c r="C2648" s="208" t="s">
        <v>27</v>
      </c>
      <c r="D2648" s="592">
        <v>-271600</v>
      </c>
      <c r="E2648" s="212">
        <v>45413</v>
      </c>
      <c r="F2648" s="201" t="s">
        <v>110</v>
      </c>
      <c r="G2648" s="81" t="s">
        <v>1621</v>
      </c>
      <c r="H2648" s="208" t="s">
        <v>147</v>
      </c>
      <c r="I2648" s="208"/>
      <c r="J2648" s="209"/>
      <c r="K2648" s="209"/>
      <c r="L2648" s="209"/>
      <c r="M2648" s="209"/>
      <c r="N2648" s="209"/>
      <c r="O2648" s="209"/>
      <c r="P2648" s="209"/>
      <c r="Q2648" s="209"/>
      <c r="R2648" s="209"/>
      <c r="S2648" s="209"/>
      <c r="T2648" s="209"/>
    </row>
    <row r="2649" spans="1:20" ht="15" hidden="1" customHeight="1">
      <c r="A2649" s="468">
        <v>45426</v>
      </c>
      <c r="B2649" s="208" t="s">
        <v>2392</v>
      </c>
      <c r="C2649" s="208" t="s">
        <v>27</v>
      </c>
      <c r="D2649" s="592">
        <v>-407400</v>
      </c>
      <c r="E2649" s="212">
        <v>45413</v>
      </c>
      <c r="F2649" s="201" t="s">
        <v>110</v>
      </c>
      <c r="G2649" s="208" t="s">
        <v>122</v>
      </c>
      <c r="H2649" s="208" t="s">
        <v>147</v>
      </c>
      <c r="I2649" s="208"/>
      <c r="J2649" s="209"/>
      <c r="K2649" s="209"/>
      <c r="L2649" s="209"/>
      <c r="M2649" s="209"/>
      <c r="N2649" s="209"/>
      <c r="O2649" s="209"/>
      <c r="P2649" s="209"/>
      <c r="Q2649" s="209"/>
      <c r="R2649" s="209"/>
      <c r="S2649" s="209"/>
      <c r="T2649" s="209"/>
    </row>
    <row r="2650" spans="1:20" ht="15" hidden="1" customHeight="1">
      <c r="A2650" s="468">
        <v>45426</v>
      </c>
      <c r="B2650" s="208" t="s">
        <v>2393</v>
      </c>
      <c r="C2650" s="208" t="s">
        <v>27</v>
      </c>
      <c r="D2650" s="592">
        <v>-2024000</v>
      </c>
      <c r="E2650" s="212">
        <v>45413</v>
      </c>
      <c r="F2650" s="641" t="s">
        <v>130</v>
      </c>
      <c r="G2650" s="643" t="s">
        <v>130</v>
      </c>
      <c r="H2650" s="208" t="s">
        <v>1175</v>
      </c>
      <c r="I2650" s="208"/>
      <c r="J2650" s="209"/>
      <c r="K2650" s="209"/>
      <c r="L2650" s="209"/>
      <c r="M2650" s="209"/>
      <c r="N2650" s="209"/>
      <c r="O2650" s="209"/>
      <c r="P2650" s="209"/>
      <c r="Q2650" s="209"/>
      <c r="R2650" s="209"/>
      <c r="S2650" s="209"/>
      <c r="T2650" s="209"/>
    </row>
    <row r="2651" spans="1:20" ht="15" hidden="1" customHeight="1">
      <c r="A2651" s="468">
        <v>45426</v>
      </c>
      <c r="B2651" s="208" t="s">
        <v>2394</v>
      </c>
      <c r="C2651" s="208" t="s">
        <v>27</v>
      </c>
      <c r="D2651" s="592">
        <v>-679000</v>
      </c>
      <c r="E2651" s="212">
        <v>45413</v>
      </c>
      <c r="F2651" s="641" t="s">
        <v>130</v>
      </c>
      <c r="G2651" s="643" t="s">
        <v>130</v>
      </c>
      <c r="H2651" s="208" t="s">
        <v>1175</v>
      </c>
      <c r="I2651" s="208"/>
      <c r="J2651" s="209"/>
      <c r="K2651" s="209"/>
      <c r="L2651" s="209"/>
      <c r="M2651" s="209"/>
      <c r="N2651" s="209"/>
      <c r="O2651" s="209"/>
      <c r="P2651" s="209"/>
      <c r="Q2651" s="209"/>
      <c r="R2651" s="209"/>
      <c r="S2651" s="209"/>
      <c r="T2651" s="209"/>
    </row>
    <row r="2652" spans="1:20" ht="15" hidden="1" customHeight="1">
      <c r="A2652" s="468">
        <v>45426</v>
      </c>
      <c r="B2652" s="208" t="s">
        <v>2395</v>
      </c>
      <c r="C2652" s="208" t="s">
        <v>27</v>
      </c>
      <c r="D2652" s="592">
        <v>-650000</v>
      </c>
      <c r="E2652" s="212">
        <v>45413</v>
      </c>
      <c r="F2652" s="641" t="s">
        <v>130</v>
      </c>
      <c r="G2652" s="643" t="s">
        <v>130</v>
      </c>
      <c r="H2652" s="208" t="s">
        <v>1175</v>
      </c>
      <c r="I2652" s="208"/>
      <c r="J2652" s="209"/>
      <c r="K2652" s="209"/>
      <c r="L2652" s="209"/>
      <c r="M2652" s="209"/>
      <c r="N2652" s="209"/>
      <c r="O2652" s="209"/>
      <c r="P2652" s="209"/>
      <c r="Q2652" s="209"/>
      <c r="R2652" s="209"/>
      <c r="S2652" s="209"/>
      <c r="T2652" s="209"/>
    </row>
    <row r="2653" spans="1:20" ht="15" hidden="1" customHeight="1">
      <c r="A2653" s="468">
        <v>45426</v>
      </c>
      <c r="B2653" s="208" t="s">
        <v>2396</v>
      </c>
      <c r="C2653" s="208" t="s">
        <v>27</v>
      </c>
      <c r="D2653" s="592">
        <v>-679000</v>
      </c>
      <c r="E2653" s="212">
        <v>45413</v>
      </c>
      <c r="F2653" s="601" t="s">
        <v>109</v>
      </c>
      <c r="G2653" s="208" t="s">
        <v>120</v>
      </c>
      <c r="H2653" s="208"/>
      <c r="I2653" s="208"/>
      <c r="J2653" s="209"/>
      <c r="K2653" s="209"/>
      <c r="L2653" s="209"/>
      <c r="M2653" s="209"/>
      <c r="N2653" s="209"/>
      <c r="O2653" s="209"/>
      <c r="P2653" s="209"/>
      <c r="Q2653" s="209"/>
      <c r="R2653" s="209"/>
      <c r="S2653" s="209"/>
      <c r="T2653" s="209"/>
    </row>
    <row r="2654" spans="1:20" ht="15" hidden="1" customHeight="1">
      <c r="A2654" s="468">
        <v>45426</v>
      </c>
      <c r="B2654" s="208" t="s">
        <v>2397</v>
      </c>
      <c r="C2654" s="208" t="s">
        <v>27</v>
      </c>
      <c r="D2654" s="592">
        <v>-679000</v>
      </c>
      <c r="E2654" s="212">
        <v>45413</v>
      </c>
      <c r="F2654" s="601" t="s">
        <v>109</v>
      </c>
      <c r="G2654" s="208" t="s">
        <v>120</v>
      </c>
      <c r="H2654" s="208"/>
      <c r="I2654" s="208"/>
      <c r="J2654" s="209"/>
      <c r="K2654" s="209"/>
      <c r="L2654" s="209"/>
      <c r="M2654" s="209"/>
      <c r="N2654" s="209"/>
      <c r="O2654" s="209"/>
      <c r="P2654" s="209"/>
      <c r="Q2654" s="209"/>
      <c r="R2654" s="209"/>
      <c r="S2654" s="209"/>
      <c r="T2654" s="209"/>
    </row>
    <row r="2655" spans="1:20" ht="15" hidden="1" customHeight="1">
      <c r="A2655" s="468">
        <v>45426</v>
      </c>
      <c r="B2655" s="208" t="s">
        <v>2398</v>
      </c>
      <c r="C2655" s="208" t="s">
        <v>27</v>
      </c>
      <c r="D2655" s="592">
        <v>-679000</v>
      </c>
      <c r="E2655" s="212">
        <v>45413</v>
      </c>
      <c r="F2655" s="601" t="s">
        <v>109</v>
      </c>
      <c r="G2655" s="208" t="s">
        <v>120</v>
      </c>
      <c r="H2655" s="208"/>
      <c r="I2655" s="208"/>
      <c r="J2655" s="209"/>
      <c r="K2655" s="209"/>
      <c r="L2655" s="209"/>
      <c r="M2655" s="209"/>
      <c r="N2655" s="209"/>
      <c r="O2655" s="209"/>
      <c r="P2655" s="209"/>
      <c r="Q2655" s="209"/>
      <c r="R2655" s="209"/>
      <c r="S2655" s="209"/>
      <c r="T2655" s="209"/>
    </row>
    <row r="2656" spans="1:20" ht="15" hidden="1" customHeight="1">
      <c r="A2656" s="468">
        <v>45426</v>
      </c>
      <c r="B2656" s="208" t="s">
        <v>2399</v>
      </c>
      <c r="C2656" s="208" t="s">
        <v>27</v>
      </c>
      <c r="D2656" s="592">
        <v>-297046.80851063825</v>
      </c>
      <c r="E2656" s="212">
        <v>45413</v>
      </c>
      <c r="F2656" s="201" t="s">
        <v>110</v>
      </c>
      <c r="G2656" s="208" t="s">
        <v>774</v>
      </c>
      <c r="H2656" s="208" t="s">
        <v>147</v>
      </c>
      <c r="I2656" s="208"/>
      <c r="J2656" s="209"/>
      <c r="K2656" s="209"/>
      <c r="L2656" s="209"/>
      <c r="M2656" s="209"/>
      <c r="N2656" s="209"/>
      <c r="O2656" s="209"/>
      <c r="P2656" s="209"/>
      <c r="Q2656" s="209"/>
      <c r="R2656" s="209"/>
      <c r="S2656" s="209"/>
      <c r="T2656" s="209"/>
    </row>
    <row r="2657" spans="1:20" ht="15" hidden="1" customHeight="1">
      <c r="A2657" s="468">
        <v>45426</v>
      </c>
      <c r="B2657" s="208" t="s">
        <v>2399</v>
      </c>
      <c r="C2657" s="208" t="s">
        <v>27</v>
      </c>
      <c r="D2657" s="592">
        <v>-407400</v>
      </c>
      <c r="E2657" s="212">
        <v>45413</v>
      </c>
      <c r="F2657" s="601" t="s">
        <v>109</v>
      </c>
      <c r="G2657" s="208" t="s">
        <v>125</v>
      </c>
      <c r="H2657" s="208" t="s">
        <v>147</v>
      </c>
      <c r="I2657" s="208"/>
      <c r="J2657" s="209"/>
      <c r="K2657" s="209"/>
      <c r="L2657" s="209"/>
      <c r="M2657" s="209"/>
      <c r="N2657" s="209"/>
      <c r="O2657" s="209"/>
      <c r="P2657" s="209"/>
      <c r="Q2657" s="209"/>
      <c r="R2657" s="209"/>
      <c r="S2657" s="209"/>
      <c r="T2657" s="209"/>
    </row>
    <row r="2658" spans="1:20" ht="15" hidden="1" customHeight="1">
      <c r="A2658" s="468">
        <v>45426</v>
      </c>
      <c r="B2658" s="208" t="s">
        <v>2400</v>
      </c>
      <c r="C2658" s="208" t="s">
        <v>27</v>
      </c>
      <c r="D2658" s="592">
        <v>-253493.3333333334</v>
      </c>
      <c r="E2658" s="212">
        <v>45413</v>
      </c>
      <c r="F2658" s="201" t="s">
        <v>110</v>
      </c>
      <c r="G2658" s="208" t="s">
        <v>774</v>
      </c>
      <c r="H2658" s="208" t="s">
        <v>147</v>
      </c>
      <c r="I2658" s="208"/>
      <c r="J2658" s="209"/>
      <c r="K2658" s="209"/>
      <c r="L2658" s="209"/>
      <c r="M2658" s="209"/>
      <c r="N2658" s="209"/>
      <c r="O2658" s="209"/>
      <c r="P2658" s="209"/>
      <c r="Q2658" s="209"/>
      <c r="R2658" s="209"/>
      <c r="S2658" s="209"/>
      <c r="T2658" s="209"/>
    </row>
    <row r="2659" spans="1:20" ht="15" hidden="1" customHeight="1">
      <c r="A2659" s="468">
        <v>45426</v>
      </c>
      <c r="B2659" s="208" t="s">
        <v>2400</v>
      </c>
      <c r="C2659" s="208" t="s">
        <v>27</v>
      </c>
      <c r="D2659" s="592">
        <v>-380240.00000000006</v>
      </c>
      <c r="E2659" s="212">
        <v>45413</v>
      </c>
      <c r="F2659" s="601" t="s">
        <v>109</v>
      </c>
      <c r="G2659" s="208" t="s">
        <v>125</v>
      </c>
      <c r="H2659" s="208" t="s">
        <v>147</v>
      </c>
      <c r="I2659" s="208"/>
      <c r="J2659" s="209"/>
      <c r="K2659" s="209"/>
      <c r="L2659" s="209"/>
      <c r="M2659" s="209"/>
      <c r="N2659" s="209"/>
      <c r="O2659" s="209"/>
      <c r="P2659" s="209"/>
      <c r="Q2659" s="209"/>
      <c r="R2659" s="209"/>
      <c r="S2659" s="209"/>
      <c r="T2659" s="209"/>
    </row>
    <row r="2660" spans="1:20" ht="15" hidden="1" customHeight="1">
      <c r="A2660" s="468">
        <v>45426</v>
      </c>
      <c r="B2660" s="208" t="s">
        <v>2401</v>
      </c>
      <c r="C2660" s="208" t="s">
        <v>27</v>
      </c>
      <c r="D2660" s="592">
        <v>-271600</v>
      </c>
      <c r="E2660" s="212">
        <v>45413</v>
      </c>
      <c r="F2660" s="201" t="s">
        <v>110</v>
      </c>
      <c r="G2660" s="208" t="s">
        <v>774</v>
      </c>
      <c r="H2660" s="208" t="s">
        <v>147</v>
      </c>
      <c r="I2660" s="208"/>
      <c r="J2660" s="209"/>
      <c r="K2660" s="209"/>
      <c r="L2660" s="209"/>
      <c r="M2660" s="209"/>
      <c r="N2660" s="209"/>
      <c r="O2660" s="209"/>
      <c r="P2660" s="209"/>
      <c r="Q2660" s="209"/>
      <c r="R2660" s="209"/>
      <c r="S2660" s="209"/>
      <c r="T2660" s="209"/>
    </row>
    <row r="2661" spans="1:20" ht="15" hidden="1" customHeight="1">
      <c r="A2661" s="468">
        <v>45426</v>
      </c>
      <c r="B2661" s="208" t="s">
        <v>2401</v>
      </c>
      <c r="C2661" s="208" t="s">
        <v>27</v>
      </c>
      <c r="D2661" s="592">
        <v>-407400</v>
      </c>
      <c r="E2661" s="212">
        <v>45413</v>
      </c>
      <c r="F2661" s="601" t="s">
        <v>109</v>
      </c>
      <c r="G2661" s="208" t="s">
        <v>125</v>
      </c>
      <c r="H2661" s="208" t="s">
        <v>147</v>
      </c>
      <c r="I2661" s="208"/>
      <c r="J2661" s="209"/>
      <c r="K2661" s="209"/>
      <c r="L2661" s="209"/>
      <c r="M2661" s="209"/>
      <c r="N2661" s="209"/>
      <c r="O2661" s="209"/>
      <c r="P2661" s="209"/>
      <c r="Q2661" s="209"/>
      <c r="R2661" s="209"/>
      <c r="S2661" s="209"/>
      <c r="T2661" s="209"/>
    </row>
    <row r="2662" spans="1:20" ht="15" hidden="1" customHeight="1">
      <c r="A2662" s="468">
        <v>45426</v>
      </c>
      <c r="B2662" s="208" t="s">
        <v>2402</v>
      </c>
      <c r="C2662" s="208" t="s">
        <v>27</v>
      </c>
      <c r="D2662" s="592">
        <v>-271600</v>
      </c>
      <c r="E2662" s="212">
        <v>45413</v>
      </c>
      <c r="F2662" s="201" t="s">
        <v>110</v>
      </c>
      <c r="G2662" s="208" t="s">
        <v>774</v>
      </c>
      <c r="H2662" s="208" t="s">
        <v>147</v>
      </c>
      <c r="I2662" s="208"/>
      <c r="J2662" s="209"/>
      <c r="K2662" s="209"/>
      <c r="L2662" s="209"/>
      <c r="M2662" s="209"/>
      <c r="N2662" s="209"/>
      <c r="O2662" s="209"/>
      <c r="P2662" s="209"/>
      <c r="Q2662" s="209"/>
      <c r="R2662" s="209"/>
      <c r="S2662" s="209"/>
      <c r="T2662" s="209"/>
    </row>
    <row r="2663" spans="1:20" ht="15" hidden="1" customHeight="1">
      <c r="A2663" s="468">
        <v>45426</v>
      </c>
      <c r="B2663" s="208" t="s">
        <v>2402</v>
      </c>
      <c r="C2663" s="208" t="s">
        <v>27</v>
      </c>
      <c r="D2663" s="592">
        <v>-407400</v>
      </c>
      <c r="E2663" s="212">
        <v>45413</v>
      </c>
      <c r="F2663" s="601" t="s">
        <v>109</v>
      </c>
      <c r="G2663" s="208" t="s">
        <v>125</v>
      </c>
      <c r="H2663" s="208" t="s">
        <v>147</v>
      </c>
      <c r="I2663" s="208"/>
      <c r="J2663" s="209"/>
      <c r="K2663" s="209"/>
      <c r="L2663" s="209"/>
      <c r="M2663" s="209"/>
      <c r="N2663" s="209"/>
      <c r="O2663" s="209"/>
      <c r="P2663" s="209"/>
      <c r="Q2663" s="209"/>
      <c r="R2663" s="209"/>
      <c r="S2663" s="209"/>
      <c r="T2663" s="209"/>
    </row>
    <row r="2664" spans="1:20" ht="15" hidden="1" customHeight="1">
      <c r="A2664" s="468">
        <v>45426</v>
      </c>
      <c r="B2664" s="208" t="s">
        <v>2403</v>
      </c>
      <c r="C2664" s="208" t="s">
        <v>27</v>
      </c>
      <c r="D2664" s="592">
        <v>-679000</v>
      </c>
      <c r="E2664" s="212">
        <v>45413</v>
      </c>
      <c r="F2664" s="601" t="s">
        <v>109</v>
      </c>
      <c r="G2664" s="208" t="s">
        <v>120</v>
      </c>
      <c r="H2664" s="208"/>
      <c r="I2664" s="208"/>
      <c r="J2664" s="209"/>
      <c r="K2664" s="209"/>
      <c r="L2664" s="209"/>
      <c r="M2664" s="209"/>
      <c r="N2664" s="209"/>
      <c r="O2664" s="209"/>
      <c r="P2664" s="209"/>
      <c r="Q2664" s="209"/>
      <c r="R2664" s="209"/>
      <c r="S2664" s="209"/>
      <c r="T2664" s="209"/>
    </row>
    <row r="2665" spans="1:20" ht="15" hidden="1" customHeight="1">
      <c r="A2665" s="468">
        <v>45426</v>
      </c>
      <c r="B2665" s="208" t="s">
        <v>2404</v>
      </c>
      <c r="C2665" s="208" t="s">
        <v>27</v>
      </c>
      <c r="D2665" s="592">
        <v>-487500</v>
      </c>
      <c r="E2665" s="212">
        <v>45413</v>
      </c>
      <c r="F2665" s="641" t="s">
        <v>130</v>
      </c>
      <c r="G2665" s="643" t="s">
        <v>130</v>
      </c>
      <c r="H2665" s="208" t="s">
        <v>1175</v>
      </c>
      <c r="I2665" s="208"/>
      <c r="J2665" s="209"/>
      <c r="K2665" s="209"/>
      <c r="L2665" s="209"/>
      <c r="M2665" s="209"/>
      <c r="N2665" s="209"/>
      <c r="O2665" s="209"/>
      <c r="P2665" s="209"/>
      <c r="Q2665" s="209"/>
      <c r="R2665" s="209"/>
      <c r="S2665" s="209"/>
      <c r="T2665" s="209"/>
    </row>
    <row r="2666" spans="1:20" ht="15" hidden="1" customHeight="1">
      <c r="A2666" s="468">
        <v>45426</v>
      </c>
      <c r="B2666" s="208" t="s">
        <v>2405</v>
      </c>
      <c r="C2666" s="208" t="s">
        <v>27</v>
      </c>
      <c r="D2666" s="592">
        <v>-679000</v>
      </c>
      <c r="E2666" s="212">
        <v>45413</v>
      </c>
      <c r="F2666" s="601" t="s">
        <v>109</v>
      </c>
      <c r="G2666" s="208" t="s">
        <v>120</v>
      </c>
      <c r="H2666" s="208"/>
      <c r="I2666" s="208"/>
      <c r="J2666" s="209"/>
      <c r="K2666" s="209"/>
      <c r="L2666" s="209"/>
      <c r="M2666" s="209"/>
      <c r="N2666" s="209"/>
      <c r="O2666" s="209"/>
      <c r="P2666" s="209"/>
      <c r="Q2666" s="209"/>
      <c r="R2666" s="209"/>
      <c r="S2666" s="209"/>
      <c r="T2666" s="209"/>
    </row>
    <row r="2667" spans="1:20" ht="15" hidden="1" customHeight="1">
      <c r="A2667" s="468">
        <v>45426</v>
      </c>
      <c r="B2667" s="208" t="s">
        <v>2406</v>
      </c>
      <c r="C2667" s="208" t="s">
        <v>27</v>
      </c>
      <c r="D2667" s="592">
        <v>-1038260</v>
      </c>
      <c r="E2667" s="212">
        <v>45413</v>
      </c>
      <c r="F2667" s="601" t="s">
        <v>109</v>
      </c>
      <c r="G2667" s="208" t="s">
        <v>120</v>
      </c>
      <c r="H2667" s="208"/>
      <c r="I2667" s="208"/>
      <c r="J2667" s="209"/>
      <c r="K2667" s="209"/>
      <c r="L2667" s="209"/>
      <c r="M2667" s="209"/>
      <c r="N2667" s="209"/>
      <c r="O2667" s="209"/>
      <c r="P2667" s="209"/>
      <c r="Q2667" s="209"/>
      <c r="R2667" s="209"/>
      <c r="S2667" s="209"/>
      <c r="T2667" s="209"/>
    </row>
    <row r="2668" spans="1:20" ht="15" hidden="1" customHeight="1">
      <c r="A2668" s="468">
        <v>45426</v>
      </c>
      <c r="B2668" s="208" t="s">
        <v>2407</v>
      </c>
      <c r="C2668" s="208" t="s">
        <v>27</v>
      </c>
      <c r="D2668" s="592">
        <v>-300000</v>
      </c>
      <c r="E2668" s="212">
        <v>45413</v>
      </c>
      <c r="F2668" s="641" t="s">
        <v>130</v>
      </c>
      <c r="G2668" s="643" t="s">
        <v>130</v>
      </c>
      <c r="H2668" s="208" t="s">
        <v>1175</v>
      </c>
      <c r="I2668" s="208"/>
      <c r="J2668" s="209"/>
      <c r="K2668" s="209"/>
      <c r="L2668" s="209"/>
      <c r="M2668" s="209"/>
      <c r="N2668" s="209"/>
      <c r="O2668" s="209"/>
      <c r="P2668" s="209"/>
      <c r="Q2668" s="209"/>
      <c r="R2668" s="209"/>
      <c r="S2668" s="209"/>
      <c r="T2668" s="209"/>
    </row>
    <row r="2669" spans="1:20" ht="15" hidden="1" customHeight="1">
      <c r="A2669" s="468">
        <v>45426</v>
      </c>
      <c r="B2669" s="208" t="s">
        <v>2407</v>
      </c>
      <c r="C2669" s="208" t="s">
        <v>27</v>
      </c>
      <c r="D2669" s="592">
        <v>-200000.00000000003</v>
      </c>
      <c r="E2669" s="212">
        <v>45413</v>
      </c>
      <c r="F2669" s="601" t="s">
        <v>109</v>
      </c>
      <c r="G2669" s="208" t="s">
        <v>120</v>
      </c>
      <c r="H2669" s="208"/>
      <c r="I2669" s="208"/>
      <c r="J2669" s="209"/>
      <c r="K2669" s="209"/>
      <c r="L2669" s="209"/>
      <c r="M2669" s="209"/>
      <c r="N2669" s="209"/>
      <c r="O2669" s="209"/>
      <c r="P2669" s="209"/>
      <c r="Q2669" s="209"/>
      <c r="R2669" s="209"/>
      <c r="S2669" s="209"/>
      <c r="T2669" s="209"/>
    </row>
    <row r="2670" spans="1:20" ht="15" hidden="1" customHeight="1">
      <c r="A2670" s="468">
        <v>45426</v>
      </c>
      <c r="B2670" s="208" t="s">
        <v>2408</v>
      </c>
      <c r="C2670" s="208" t="s">
        <v>27</v>
      </c>
      <c r="D2670" s="592">
        <v>-491480</v>
      </c>
      <c r="E2670" s="212">
        <v>45413</v>
      </c>
      <c r="F2670" s="201" t="s">
        <v>110</v>
      </c>
      <c r="G2670" s="81" t="s">
        <v>1621</v>
      </c>
      <c r="H2670" s="208" t="s">
        <v>147</v>
      </c>
      <c r="I2670" s="208"/>
      <c r="J2670" s="209"/>
      <c r="K2670" s="209"/>
      <c r="L2670" s="209"/>
      <c r="M2670" s="209"/>
      <c r="N2670" s="209"/>
      <c r="O2670" s="209"/>
      <c r="P2670" s="209"/>
      <c r="Q2670" s="209"/>
      <c r="R2670" s="209"/>
      <c r="S2670" s="209"/>
      <c r="T2670" s="209"/>
    </row>
    <row r="2671" spans="1:20" ht="15" hidden="1" customHeight="1">
      <c r="A2671" s="468">
        <v>45426</v>
      </c>
      <c r="B2671" s="208" t="s">
        <v>2408</v>
      </c>
      <c r="C2671" s="208" t="s">
        <v>27</v>
      </c>
      <c r="D2671" s="592">
        <v>-737220</v>
      </c>
      <c r="E2671" s="212">
        <v>45413</v>
      </c>
      <c r="F2671" s="201" t="s">
        <v>110</v>
      </c>
      <c r="G2671" s="208" t="s">
        <v>122</v>
      </c>
      <c r="H2671" s="208" t="s">
        <v>147</v>
      </c>
      <c r="I2671" s="208"/>
      <c r="J2671" s="209"/>
      <c r="K2671" s="209"/>
      <c r="L2671" s="209"/>
      <c r="M2671" s="209"/>
      <c r="N2671" s="209"/>
      <c r="O2671" s="209"/>
      <c r="P2671" s="209"/>
      <c r="Q2671" s="209"/>
      <c r="R2671" s="209"/>
      <c r="S2671" s="209"/>
      <c r="T2671" s="209"/>
    </row>
    <row r="2672" spans="1:20" ht="15" hidden="1" customHeight="1">
      <c r="A2672" s="468">
        <v>45426</v>
      </c>
      <c r="B2672" s="208" t="s">
        <v>2409</v>
      </c>
      <c r="C2672" s="208" t="s">
        <v>27</v>
      </c>
      <c r="D2672" s="592">
        <v>-679000</v>
      </c>
      <c r="E2672" s="212">
        <v>45413</v>
      </c>
      <c r="F2672" s="601" t="s">
        <v>109</v>
      </c>
      <c r="G2672" s="208" t="s">
        <v>120</v>
      </c>
      <c r="H2672" s="208"/>
      <c r="I2672" s="208"/>
      <c r="J2672" s="209"/>
      <c r="K2672" s="209"/>
      <c r="L2672" s="209"/>
      <c r="M2672" s="209"/>
      <c r="N2672" s="209"/>
      <c r="O2672" s="209"/>
      <c r="P2672" s="209"/>
      <c r="Q2672" s="209"/>
      <c r="R2672" s="209"/>
      <c r="S2672" s="209"/>
      <c r="T2672" s="209"/>
    </row>
    <row r="2673" spans="1:20" ht="15" hidden="1" customHeight="1">
      <c r="A2673" s="468">
        <v>45426</v>
      </c>
      <c r="B2673" s="208" t="s">
        <v>2410</v>
      </c>
      <c r="C2673" s="208" t="s">
        <v>27</v>
      </c>
      <c r="D2673" s="592">
        <v>-679000</v>
      </c>
      <c r="E2673" s="212">
        <v>45413</v>
      </c>
      <c r="F2673" s="601" t="s">
        <v>109</v>
      </c>
      <c r="G2673" s="208" t="s">
        <v>120</v>
      </c>
      <c r="H2673" s="208"/>
      <c r="I2673" s="208"/>
      <c r="J2673" s="209"/>
      <c r="K2673" s="209"/>
      <c r="L2673" s="209"/>
      <c r="M2673" s="209"/>
      <c r="N2673" s="209"/>
      <c r="O2673" s="209"/>
      <c r="P2673" s="209"/>
      <c r="Q2673" s="209"/>
      <c r="R2673" s="209"/>
      <c r="S2673" s="209"/>
      <c r="T2673" s="209"/>
    </row>
    <row r="2674" spans="1:20" ht="15" hidden="1" customHeight="1">
      <c r="A2674" s="468">
        <v>45426</v>
      </c>
      <c r="B2674" s="208" t="s">
        <v>2411</v>
      </c>
      <c r="C2674" s="208" t="s">
        <v>27</v>
      </c>
      <c r="D2674" s="592">
        <v>-679000</v>
      </c>
      <c r="E2674" s="212">
        <v>45413</v>
      </c>
      <c r="F2674" s="601" t="s">
        <v>109</v>
      </c>
      <c r="G2674" s="208" t="s">
        <v>120</v>
      </c>
      <c r="H2674" s="208"/>
      <c r="I2674" s="208"/>
      <c r="J2674" s="209"/>
      <c r="K2674" s="209"/>
      <c r="L2674" s="209"/>
      <c r="M2674" s="209"/>
      <c r="N2674" s="209"/>
      <c r="O2674" s="209"/>
      <c r="P2674" s="209"/>
      <c r="Q2674" s="209"/>
      <c r="R2674" s="209"/>
      <c r="S2674" s="209"/>
      <c r="T2674" s="209"/>
    </row>
    <row r="2675" spans="1:20" ht="15" hidden="1" customHeight="1">
      <c r="A2675" s="468">
        <v>45426</v>
      </c>
      <c r="B2675" s="208" t="s">
        <v>2412</v>
      </c>
      <c r="C2675" s="208" t="s">
        <v>27</v>
      </c>
      <c r="D2675" s="592">
        <v>-679000</v>
      </c>
      <c r="E2675" s="212">
        <v>45413</v>
      </c>
      <c r="F2675" s="601" t="s">
        <v>109</v>
      </c>
      <c r="G2675" s="208" t="s">
        <v>120</v>
      </c>
      <c r="H2675" s="208"/>
      <c r="I2675" s="208"/>
      <c r="J2675" s="209"/>
      <c r="K2675" s="209"/>
      <c r="L2675" s="209"/>
      <c r="M2675" s="209"/>
      <c r="N2675" s="209"/>
      <c r="O2675" s="209"/>
      <c r="P2675" s="209"/>
      <c r="Q2675" s="209"/>
      <c r="R2675" s="209"/>
      <c r="S2675" s="209"/>
      <c r="T2675" s="209"/>
    </row>
    <row r="2676" spans="1:20" ht="15" hidden="1" customHeight="1">
      <c r="A2676" s="468">
        <v>45426</v>
      </c>
      <c r="B2676" s="208" t="s">
        <v>2413</v>
      </c>
      <c r="C2676" s="208" t="s">
        <v>27</v>
      </c>
      <c r="D2676" s="592">
        <v>-679000</v>
      </c>
      <c r="E2676" s="212">
        <v>45413</v>
      </c>
      <c r="F2676" s="601" t="s">
        <v>109</v>
      </c>
      <c r="G2676" s="208" t="s">
        <v>120</v>
      </c>
      <c r="H2676" s="208"/>
      <c r="I2676" s="208"/>
      <c r="J2676" s="209"/>
      <c r="K2676" s="209"/>
      <c r="L2676" s="209"/>
      <c r="M2676" s="209"/>
      <c r="N2676" s="209"/>
      <c r="O2676" s="209"/>
      <c r="P2676" s="209"/>
      <c r="Q2676" s="209"/>
      <c r="R2676" s="209"/>
      <c r="S2676" s="209"/>
      <c r="T2676" s="209"/>
    </row>
    <row r="2677" spans="1:20" ht="15" hidden="1" customHeight="1">
      <c r="A2677" s="468">
        <v>45426</v>
      </c>
      <c r="B2677" s="208" t="s">
        <v>2414</v>
      </c>
      <c r="C2677" s="208" t="s">
        <v>27</v>
      </c>
      <c r="D2677" s="592">
        <v>-679000</v>
      </c>
      <c r="E2677" s="212">
        <v>45413</v>
      </c>
      <c r="F2677" s="601" t="s">
        <v>109</v>
      </c>
      <c r="G2677" s="208" t="s">
        <v>120</v>
      </c>
      <c r="H2677" s="208"/>
      <c r="I2677" s="208"/>
      <c r="J2677" s="209"/>
      <c r="K2677" s="209"/>
      <c r="L2677" s="209"/>
      <c r="M2677" s="209"/>
      <c r="N2677" s="209"/>
      <c r="O2677" s="209"/>
      <c r="P2677" s="209"/>
      <c r="Q2677" s="209"/>
      <c r="R2677" s="209"/>
      <c r="S2677" s="209"/>
      <c r="T2677" s="209"/>
    </row>
    <row r="2678" spans="1:20" ht="15" hidden="1" customHeight="1">
      <c r="A2678" s="468">
        <v>45426</v>
      </c>
      <c r="B2678" s="208" t="s">
        <v>2415</v>
      </c>
      <c r="C2678" s="208" t="s">
        <v>27</v>
      </c>
      <c r="D2678" s="592">
        <v>-679000</v>
      </c>
      <c r="E2678" s="212">
        <v>45413</v>
      </c>
      <c r="F2678" s="601" t="s">
        <v>109</v>
      </c>
      <c r="G2678" s="208" t="s">
        <v>120</v>
      </c>
      <c r="H2678" s="208"/>
      <c r="I2678" s="208"/>
      <c r="J2678" s="209"/>
      <c r="K2678" s="209"/>
      <c r="L2678" s="209"/>
      <c r="M2678" s="209"/>
      <c r="N2678" s="209"/>
      <c r="O2678" s="209"/>
      <c r="P2678" s="209"/>
      <c r="Q2678" s="209"/>
      <c r="R2678" s="209"/>
      <c r="S2678" s="209"/>
      <c r="T2678" s="209"/>
    </row>
    <row r="2679" spans="1:20" ht="15" hidden="1" customHeight="1">
      <c r="A2679" s="468">
        <v>45426</v>
      </c>
      <c r="B2679" s="208" t="s">
        <v>2416</v>
      </c>
      <c r="C2679" s="208" t="s">
        <v>27</v>
      </c>
      <c r="D2679" s="592">
        <v>-679000</v>
      </c>
      <c r="E2679" s="212">
        <v>45413</v>
      </c>
      <c r="F2679" s="601" t="s">
        <v>109</v>
      </c>
      <c r="G2679" s="208" t="s">
        <v>120</v>
      </c>
      <c r="H2679" s="208"/>
      <c r="I2679" s="208"/>
      <c r="J2679" s="209"/>
      <c r="K2679" s="209"/>
      <c r="L2679" s="209"/>
      <c r="M2679" s="209"/>
      <c r="N2679" s="209"/>
      <c r="O2679" s="209"/>
      <c r="P2679" s="209"/>
      <c r="Q2679" s="209"/>
      <c r="R2679" s="209"/>
      <c r="S2679" s="209"/>
      <c r="T2679" s="209"/>
    </row>
    <row r="2680" spans="1:20" ht="15" hidden="1" customHeight="1">
      <c r="A2680" s="468">
        <v>45426</v>
      </c>
      <c r="B2680" s="208" t="s">
        <v>2417</v>
      </c>
      <c r="C2680" s="208" t="s">
        <v>27</v>
      </c>
      <c r="D2680" s="592">
        <v>-679000</v>
      </c>
      <c r="E2680" s="212">
        <v>45413</v>
      </c>
      <c r="F2680" s="601" t="s">
        <v>109</v>
      </c>
      <c r="G2680" s="208" t="s">
        <v>120</v>
      </c>
      <c r="H2680" s="208"/>
      <c r="I2680" s="208"/>
      <c r="J2680" s="209"/>
      <c r="K2680" s="209"/>
      <c r="L2680" s="209"/>
      <c r="M2680" s="209"/>
      <c r="N2680" s="209"/>
      <c r="O2680" s="209"/>
      <c r="P2680" s="209"/>
      <c r="Q2680" s="209"/>
      <c r="R2680" s="209"/>
      <c r="S2680" s="209"/>
      <c r="T2680" s="209"/>
    </row>
    <row r="2681" spans="1:20" ht="15" hidden="1" customHeight="1">
      <c r="A2681" s="468">
        <v>45426</v>
      </c>
      <c r="B2681" s="208" t="s">
        <v>2418</v>
      </c>
      <c r="C2681" s="208" t="s">
        <v>27</v>
      </c>
      <c r="D2681" s="592">
        <v>-679000</v>
      </c>
      <c r="E2681" s="212">
        <v>45413</v>
      </c>
      <c r="F2681" s="601" t="s">
        <v>109</v>
      </c>
      <c r="G2681" s="208" t="s">
        <v>120</v>
      </c>
      <c r="H2681" s="208"/>
      <c r="I2681" s="208"/>
      <c r="J2681" s="209"/>
      <c r="K2681" s="209"/>
      <c r="L2681" s="209"/>
      <c r="M2681" s="209"/>
      <c r="N2681" s="209"/>
      <c r="O2681" s="209"/>
      <c r="P2681" s="209"/>
      <c r="Q2681" s="209"/>
      <c r="R2681" s="209"/>
      <c r="S2681" s="209"/>
      <c r="T2681" s="209"/>
    </row>
    <row r="2682" spans="1:20" ht="15" hidden="1" customHeight="1">
      <c r="A2682" s="468">
        <v>45426</v>
      </c>
      <c r="B2682" s="208" t="s">
        <v>2419</v>
      </c>
      <c r="C2682" s="208" t="s">
        <v>27</v>
      </c>
      <c r="D2682" s="592">
        <v>-679000</v>
      </c>
      <c r="E2682" s="212">
        <v>45413</v>
      </c>
      <c r="F2682" s="601" t="s">
        <v>109</v>
      </c>
      <c r="G2682" s="208" t="s">
        <v>120</v>
      </c>
      <c r="H2682" s="208"/>
      <c r="I2682" s="208"/>
      <c r="J2682" s="209"/>
      <c r="K2682" s="209"/>
      <c r="L2682" s="209"/>
      <c r="M2682" s="209"/>
      <c r="N2682" s="209"/>
      <c r="O2682" s="209"/>
      <c r="P2682" s="209"/>
      <c r="Q2682" s="209"/>
      <c r="R2682" s="209"/>
      <c r="S2682" s="209"/>
      <c r="T2682" s="209"/>
    </row>
    <row r="2683" spans="1:20" s="451" customFormat="1" ht="15" hidden="1" customHeight="1">
      <c r="A2683" s="468">
        <v>45426</v>
      </c>
      <c r="B2683" s="208" t="s">
        <v>2420</v>
      </c>
      <c r="C2683" s="208" t="s">
        <v>27</v>
      </c>
      <c r="D2683" s="592">
        <v>-633733.33333333337</v>
      </c>
      <c r="E2683" s="212">
        <v>45413</v>
      </c>
      <c r="F2683" s="601" t="s">
        <v>109</v>
      </c>
      <c r="G2683" s="645" t="s">
        <v>130</v>
      </c>
      <c r="H2683" s="208" t="s">
        <v>2421</v>
      </c>
      <c r="I2683" s="208"/>
      <c r="J2683" s="209"/>
      <c r="K2683" s="209"/>
      <c r="L2683" s="209"/>
      <c r="M2683" s="209"/>
      <c r="N2683" s="209"/>
      <c r="O2683" s="209"/>
      <c r="P2683" s="209"/>
      <c r="Q2683" s="209"/>
      <c r="R2683" s="209"/>
      <c r="S2683" s="209"/>
      <c r="T2683" s="209"/>
    </row>
    <row r="2684" spans="1:20" ht="15" hidden="1" customHeight="1">
      <c r="A2684" s="468">
        <v>45432</v>
      </c>
      <c r="B2684" s="208" t="s">
        <v>2422</v>
      </c>
      <c r="C2684" s="208" t="s">
        <v>27</v>
      </c>
      <c r="D2684" s="592">
        <v>-6553800</v>
      </c>
      <c r="E2684" s="212">
        <v>45413</v>
      </c>
      <c r="F2684" s="641" t="s">
        <v>130</v>
      </c>
      <c r="G2684" s="643" t="s">
        <v>130</v>
      </c>
      <c r="H2684" s="208" t="s">
        <v>1175</v>
      </c>
      <c r="I2684" s="208"/>
      <c r="J2684" s="209"/>
      <c r="K2684" s="209"/>
      <c r="L2684" s="209"/>
      <c r="M2684" s="209"/>
      <c r="N2684" s="209"/>
      <c r="O2684" s="209"/>
      <c r="P2684" s="209"/>
      <c r="Q2684" s="209"/>
      <c r="R2684" s="209"/>
      <c r="S2684" s="209"/>
      <c r="T2684" s="209"/>
    </row>
    <row r="2685" spans="1:20" ht="15" hidden="1" customHeight="1">
      <c r="A2685" s="468">
        <v>45432</v>
      </c>
      <c r="B2685" s="208" t="s">
        <v>2048</v>
      </c>
      <c r="C2685" s="208" t="s">
        <v>27</v>
      </c>
      <c r="D2685" s="592">
        <v>-600000</v>
      </c>
      <c r="E2685" s="212">
        <v>45413</v>
      </c>
      <c r="F2685" s="208" t="s">
        <v>109</v>
      </c>
      <c r="G2685" s="208" t="s">
        <v>120</v>
      </c>
      <c r="H2685" s="208"/>
      <c r="I2685" s="208"/>
      <c r="J2685" s="209"/>
      <c r="K2685" s="209"/>
      <c r="L2685" s="209"/>
      <c r="M2685" s="209"/>
      <c r="N2685" s="209"/>
      <c r="O2685" s="209"/>
      <c r="P2685" s="209"/>
      <c r="Q2685" s="209"/>
      <c r="R2685" s="209"/>
      <c r="S2685" s="209"/>
      <c r="T2685" s="209"/>
    </row>
    <row r="2686" spans="1:20" ht="15" hidden="1" customHeight="1">
      <c r="A2686" s="468">
        <v>45432</v>
      </c>
      <c r="B2686" s="208" t="s">
        <v>2423</v>
      </c>
      <c r="C2686" s="208" t="s">
        <v>27</v>
      </c>
      <c r="D2686" s="592">
        <v>-875000</v>
      </c>
      <c r="E2686" s="212">
        <v>45413</v>
      </c>
      <c r="F2686" s="201" t="s">
        <v>110</v>
      </c>
      <c r="G2686" s="81" t="s">
        <v>1621</v>
      </c>
      <c r="H2686" s="208" t="s">
        <v>212</v>
      </c>
      <c r="I2686" s="208"/>
      <c r="J2686" s="209"/>
      <c r="K2686" s="209"/>
      <c r="L2686" s="209"/>
      <c r="M2686" s="209"/>
      <c r="N2686" s="209"/>
      <c r="O2686" s="209"/>
      <c r="P2686" s="209"/>
      <c r="Q2686" s="209"/>
      <c r="R2686" s="209"/>
      <c r="S2686" s="209"/>
      <c r="T2686" s="209"/>
    </row>
    <row r="2687" spans="1:20" ht="15" hidden="1" customHeight="1">
      <c r="A2687" s="468">
        <v>45432</v>
      </c>
      <c r="B2687" s="208" t="s">
        <v>2424</v>
      </c>
      <c r="C2687" s="208" t="s">
        <v>27</v>
      </c>
      <c r="D2687" s="592">
        <v>-780200</v>
      </c>
      <c r="E2687" s="212">
        <v>45413</v>
      </c>
      <c r="F2687" s="208" t="s">
        <v>109</v>
      </c>
      <c r="G2687" s="201" t="s">
        <v>1261</v>
      </c>
      <c r="H2687" s="208" t="s">
        <v>508</v>
      </c>
      <c r="I2687" s="208"/>
      <c r="J2687" s="209"/>
      <c r="K2687" s="209"/>
      <c r="L2687" s="209"/>
      <c r="M2687" s="209"/>
      <c r="N2687" s="209"/>
      <c r="O2687" s="209"/>
      <c r="P2687" s="209"/>
      <c r="Q2687" s="209"/>
      <c r="R2687" s="209"/>
      <c r="S2687" s="209"/>
      <c r="T2687" s="209"/>
    </row>
    <row r="2688" spans="1:20" ht="15" hidden="1" customHeight="1">
      <c r="A2688" s="468">
        <v>45432</v>
      </c>
      <c r="B2688" s="208" t="s">
        <v>2425</v>
      </c>
      <c r="C2688" s="208" t="s">
        <v>27</v>
      </c>
      <c r="D2688" s="592">
        <v>-3735000</v>
      </c>
      <c r="E2688" s="212">
        <v>45413</v>
      </c>
      <c r="F2688" s="208" t="s">
        <v>109</v>
      </c>
      <c r="G2688" s="208" t="s">
        <v>120</v>
      </c>
      <c r="H2688" s="208" t="s">
        <v>508</v>
      </c>
      <c r="I2688" s="208"/>
      <c r="J2688" s="209"/>
      <c r="K2688" s="209"/>
      <c r="L2688" s="209"/>
      <c r="M2688" s="209"/>
      <c r="N2688" s="209"/>
      <c r="O2688" s="209"/>
      <c r="P2688" s="209"/>
      <c r="Q2688" s="209"/>
      <c r="R2688" s="209"/>
      <c r="S2688" s="209"/>
      <c r="T2688" s="209"/>
    </row>
    <row r="2689" spans="1:20" ht="15" hidden="1" customHeight="1">
      <c r="A2689" s="468">
        <v>45432</v>
      </c>
      <c r="B2689" s="208" t="s">
        <v>2426</v>
      </c>
      <c r="C2689" s="208" t="s">
        <v>27</v>
      </c>
      <c r="D2689" s="592">
        <v>-780200</v>
      </c>
      <c r="E2689" s="212">
        <v>45413</v>
      </c>
      <c r="F2689" s="208" t="s">
        <v>109</v>
      </c>
      <c r="G2689" s="208" t="s">
        <v>125</v>
      </c>
      <c r="H2689" s="208" t="s">
        <v>508</v>
      </c>
      <c r="I2689" s="208"/>
      <c r="J2689" s="209"/>
      <c r="K2689" s="209"/>
      <c r="L2689" s="209"/>
      <c r="M2689" s="209"/>
      <c r="N2689" s="209"/>
      <c r="O2689" s="209"/>
      <c r="P2689" s="209"/>
      <c r="Q2689" s="209"/>
      <c r="R2689" s="209"/>
      <c r="S2689" s="209"/>
      <c r="T2689" s="209"/>
    </row>
    <row r="2690" spans="1:20" ht="15" hidden="1" customHeight="1">
      <c r="A2690" s="468">
        <v>45432</v>
      </c>
      <c r="B2690" s="208" t="s">
        <v>2427</v>
      </c>
      <c r="C2690" s="208" t="s">
        <v>27</v>
      </c>
      <c r="D2690" s="592">
        <v>-522200</v>
      </c>
      <c r="E2690" s="212">
        <v>45413</v>
      </c>
      <c r="F2690" s="201" t="s">
        <v>110</v>
      </c>
      <c r="G2690" s="81" t="s">
        <v>1621</v>
      </c>
      <c r="H2690" s="208" t="s">
        <v>508</v>
      </c>
      <c r="I2690" s="208"/>
      <c r="J2690" s="209"/>
      <c r="K2690" s="209"/>
      <c r="L2690" s="209"/>
      <c r="M2690" s="209"/>
      <c r="N2690" s="209"/>
      <c r="O2690" s="209"/>
      <c r="P2690" s="209"/>
      <c r="Q2690" s="209"/>
      <c r="R2690" s="209"/>
      <c r="S2690" s="209"/>
      <c r="T2690" s="209"/>
    </row>
    <row r="2691" spans="1:20" ht="15" hidden="1" customHeight="1">
      <c r="A2691" s="468">
        <v>45432</v>
      </c>
      <c r="B2691" s="208" t="s">
        <v>206</v>
      </c>
      <c r="C2691" s="208" t="s">
        <v>27</v>
      </c>
      <c r="D2691" s="592">
        <v>-24627</v>
      </c>
      <c r="E2691" s="212">
        <v>45413</v>
      </c>
      <c r="F2691" s="208" t="s">
        <v>130</v>
      </c>
      <c r="G2691" s="208" t="s">
        <v>130</v>
      </c>
      <c r="H2691" s="208" t="s">
        <v>143</v>
      </c>
      <c r="I2691" s="208"/>
      <c r="J2691" s="209"/>
      <c r="K2691" s="209"/>
      <c r="L2691" s="209"/>
      <c r="M2691" s="209"/>
      <c r="N2691" s="209"/>
      <c r="O2691" s="209"/>
      <c r="P2691" s="209"/>
      <c r="Q2691" s="209"/>
      <c r="R2691" s="209"/>
      <c r="S2691" s="209"/>
      <c r="T2691" s="209"/>
    </row>
    <row r="2692" spans="1:20" ht="15" hidden="1" customHeight="1">
      <c r="A2692" s="468">
        <v>45432</v>
      </c>
      <c r="B2692" s="208" t="s">
        <v>1944</v>
      </c>
      <c r="C2692" s="208" t="s">
        <v>27</v>
      </c>
      <c r="D2692" s="592">
        <v>-4261341</v>
      </c>
      <c r="E2692" s="212">
        <v>45413</v>
      </c>
      <c r="F2692" s="84" t="s">
        <v>111</v>
      </c>
      <c r="G2692" s="208" t="s">
        <v>130</v>
      </c>
      <c r="H2692" s="208"/>
      <c r="I2692" s="208"/>
      <c r="J2692" s="209"/>
      <c r="K2692" s="209"/>
      <c r="L2692" s="209"/>
      <c r="M2692" s="209"/>
      <c r="N2692" s="209"/>
      <c r="O2692" s="209"/>
      <c r="P2692" s="209"/>
      <c r="Q2692" s="209"/>
      <c r="R2692" s="209"/>
      <c r="S2692" s="209"/>
      <c r="T2692" s="209"/>
    </row>
    <row r="2693" spans="1:20" ht="15" hidden="1" customHeight="1">
      <c r="A2693" s="468">
        <v>45432</v>
      </c>
      <c r="B2693" s="208" t="s">
        <v>2428</v>
      </c>
      <c r="C2693" s="208" t="s">
        <v>27</v>
      </c>
      <c r="D2693" s="592">
        <v>-3950703.82</v>
      </c>
      <c r="E2693" s="212">
        <v>45413</v>
      </c>
      <c r="F2693" s="84" t="s">
        <v>111</v>
      </c>
      <c r="G2693" s="208" t="s">
        <v>130</v>
      </c>
      <c r="H2693" s="208"/>
      <c r="I2693" s="208"/>
      <c r="J2693" s="209"/>
      <c r="K2693" s="209"/>
      <c r="L2693" s="209"/>
      <c r="M2693" s="209"/>
      <c r="N2693" s="209"/>
      <c r="O2693" s="209"/>
      <c r="P2693" s="209"/>
      <c r="Q2693" s="209"/>
      <c r="R2693" s="209"/>
      <c r="S2693" s="209"/>
      <c r="T2693" s="209"/>
    </row>
    <row r="2694" spans="1:20" ht="15" hidden="1" customHeight="1">
      <c r="A2694" s="468">
        <v>45432</v>
      </c>
      <c r="B2694" s="208" t="s">
        <v>2429</v>
      </c>
      <c r="C2694" s="208" t="s">
        <v>27</v>
      </c>
      <c r="D2694" s="592">
        <v>-559336</v>
      </c>
      <c r="E2694" s="212">
        <v>45413</v>
      </c>
      <c r="F2694" s="601" t="s">
        <v>109</v>
      </c>
      <c r="G2694" s="208" t="s">
        <v>125</v>
      </c>
      <c r="H2694" s="208" t="s">
        <v>310</v>
      </c>
      <c r="I2694" s="208"/>
      <c r="J2694" s="209"/>
      <c r="K2694" s="209"/>
      <c r="L2694" s="209"/>
      <c r="M2694" s="209"/>
      <c r="N2694" s="209"/>
      <c r="O2694" s="209"/>
      <c r="P2694" s="209"/>
      <c r="Q2694" s="209"/>
      <c r="R2694" s="209"/>
      <c r="S2694" s="209"/>
      <c r="T2694" s="209"/>
    </row>
    <row r="2695" spans="1:20" ht="15" hidden="1" customHeight="1">
      <c r="A2695" s="468">
        <v>45432</v>
      </c>
      <c r="B2695" s="208" t="s">
        <v>2430</v>
      </c>
      <c r="C2695" s="208" t="s">
        <v>27</v>
      </c>
      <c r="D2695" s="592">
        <v>-402328</v>
      </c>
      <c r="E2695" s="212">
        <v>45413</v>
      </c>
      <c r="F2695" s="208" t="s">
        <v>109</v>
      </c>
      <c r="G2695" s="208" t="s">
        <v>120</v>
      </c>
      <c r="H2695" s="208"/>
      <c r="I2695" s="208"/>
      <c r="J2695" s="209"/>
      <c r="K2695" s="209"/>
      <c r="L2695" s="209"/>
      <c r="M2695" s="209"/>
      <c r="N2695" s="209"/>
      <c r="O2695" s="209"/>
      <c r="P2695" s="209"/>
      <c r="Q2695" s="209"/>
      <c r="R2695" s="209"/>
      <c r="S2695" s="209"/>
      <c r="T2695" s="209"/>
    </row>
    <row r="2696" spans="1:20" ht="15" hidden="1" customHeight="1">
      <c r="A2696" s="468">
        <v>45432</v>
      </c>
      <c r="B2696" s="208" t="s">
        <v>2431</v>
      </c>
      <c r="C2696" s="208" t="s">
        <v>27</v>
      </c>
      <c r="D2696" s="800">
        <v>-1180000</v>
      </c>
      <c r="E2696" s="212">
        <v>45413</v>
      </c>
      <c r="F2696" s="208" t="s">
        <v>109</v>
      </c>
      <c r="G2696" s="201" t="s">
        <v>581</v>
      </c>
      <c r="H2696" s="208"/>
      <c r="I2696" s="208"/>
      <c r="J2696" s="209"/>
      <c r="K2696" s="209"/>
      <c r="L2696" s="209"/>
      <c r="M2696" s="209"/>
      <c r="N2696" s="209"/>
      <c r="O2696" s="209"/>
      <c r="P2696" s="209"/>
      <c r="Q2696" s="209"/>
      <c r="R2696" s="209"/>
      <c r="S2696" s="209"/>
      <c r="T2696" s="209"/>
    </row>
    <row r="2697" spans="1:20" ht="15" hidden="1" customHeight="1">
      <c r="A2697" s="468">
        <v>45432</v>
      </c>
      <c r="B2697" s="208" t="s">
        <v>1625</v>
      </c>
      <c r="C2697" s="208" t="s">
        <v>27</v>
      </c>
      <c r="D2697" s="592">
        <v>-354000</v>
      </c>
      <c r="E2697" s="212">
        <v>45413</v>
      </c>
      <c r="F2697" s="208" t="s">
        <v>109</v>
      </c>
      <c r="G2697" s="208" t="s">
        <v>120</v>
      </c>
      <c r="H2697" s="208"/>
      <c r="I2697" s="208"/>
      <c r="J2697" s="209"/>
      <c r="K2697" s="209"/>
      <c r="L2697" s="209"/>
      <c r="M2697" s="209"/>
      <c r="N2697" s="209"/>
      <c r="O2697" s="209"/>
      <c r="P2697" s="209"/>
      <c r="Q2697" s="209"/>
      <c r="R2697" s="209"/>
      <c r="S2697" s="209"/>
      <c r="T2697" s="209"/>
    </row>
    <row r="2698" spans="1:20" ht="15" hidden="1" customHeight="1">
      <c r="A2698" s="468">
        <v>45433</v>
      </c>
      <c r="B2698" s="208" t="s">
        <v>2432</v>
      </c>
      <c r="C2698" s="208" t="s">
        <v>27</v>
      </c>
      <c r="D2698" s="592">
        <v>-6800</v>
      </c>
      <c r="E2698" s="212">
        <v>45413</v>
      </c>
      <c r="F2698" s="208" t="s">
        <v>130</v>
      </c>
      <c r="G2698" s="208" t="s">
        <v>257</v>
      </c>
      <c r="H2698" s="208" t="s">
        <v>663</v>
      </c>
      <c r="I2698" s="208"/>
      <c r="J2698" s="209"/>
      <c r="K2698" s="209"/>
      <c r="L2698" s="209"/>
      <c r="M2698" s="209"/>
      <c r="N2698" s="209"/>
      <c r="O2698" s="209"/>
      <c r="P2698" s="209"/>
      <c r="Q2698" s="209"/>
      <c r="R2698" s="209"/>
      <c r="S2698" s="209"/>
      <c r="T2698" s="209"/>
    </row>
    <row r="2699" spans="1:20" ht="15" hidden="1" customHeight="1">
      <c r="A2699" s="468">
        <v>45433</v>
      </c>
      <c r="B2699" s="208" t="s">
        <v>2433</v>
      </c>
      <c r="C2699" s="208" t="s">
        <v>27</v>
      </c>
      <c r="D2699" s="592">
        <v>-4939200</v>
      </c>
      <c r="E2699" s="212">
        <v>45413</v>
      </c>
      <c r="F2699" s="208" t="s">
        <v>130</v>
      </c>
      <c r="G2699" s="208" t="s">
        <v>257</v>
      </c>
      <c r="H2699" s="208" t="s">
        <v>663</v>
      </c>
      <c r="I2699" s="208"/>
      <c r="J2699" s="209"/>
      <c r="K2699" s="209"/>
      <c r="L2699" s="209"/>
      <c r="M2699" s="209"/>
      <c r="N2699" s="209"/>
      <c r="O2699" s="209"/>
      <c r="P2699" s="209"/>
      <c r="Q2699" s="209"/>
      <c r="R2699" s="209"/>
      <c r="S2699" s="209"/>
      <c r="T2699" s="209"/>
    </row>
    <row r="2700" spans="1:20" ht="15" hidden="1" customHeight="1">
      <c r="A2700" s="468">
        <v>45433</v>
      </c>
      <c r="B2700" s="208" t="s">
        <v>2434</v>
      </c>
      <c r="C2700" s="208" t="s">
        <v>27</v>
      </c>
      <c r="D2700" s="592">
        <v>-210700</v>
      </c>
      <c r="E2700" s="212">
        <v>45413</v>
      </c>
      <c r="F2700" s="601" t="s">
        <v>109</v>
      </c>
      <c r="G2700" s="208" t="s">
        <v>125</v>
      </c>
      <c r="H2700" s="208" t="s">
        <v>175</v>
      </c>
      <c r="I2700" s="208"/>
      <c r="J2700" s="209"/>
      <c r="K2700" s="209"/>
      <c r="L2700" s="209"/>
      <c r="M2700" s="209"/>
      <c r="N2700" s="209"/>
      <c r="O2700" s="209"/>
      <c r="P2700" s="209"/>
      <c r="Q2700" s="209"/>
      <c r="R2700" s="209"/>
      <c r="S2700" s="209"/>
      <c r="T2700" s="209"/>
    </row>
    <row r="2701" spans="1:20" ht="15" hidden="1" customHeight="1">
      <c r="A2701" s="468">
        <v>45433</v>
      </c>
      <c r="B2701" s="208" t="s">
        <v>2422</v>
      </c>
      <c r="C2701" s="208" t="s">
        <v>27</v>
      </c>
      <c r="D2701" s="592">
        <f>-2051300-239900</f>
        <v>-2291200</v>
      </c>
      <c r="E2701" s="212">
        <v>45413</v>
      </c>
      <c r="F2701" s="641" t="s">
        <v>130</v>
      </c>
      <c r="G2701" s="643" t="s">
        <v>130</v>
      </c>
      <c r="H2701" s="208" t="s">
        <v>1175</v>
      </c>
      <c r="I2701" s="208"/>
      <c r="J2701" s="209"/>
      <c r="K2701" s="209"/>
      <c r="L2701" s="209"/>
      <c r="M2701" s="209"/>
      <c r="N2701" s="209"/>
      <c r="O2701" s="209"/>
      <c r="P2701" s="209"/>
      <c r="Q2701" s="209"/>
      <c r="R2701" s="209"/>
      <c r="S2701" s="209"/>
      <c r="T2701" s="209"/>
    </row>
    <row r="2702" spans="1:20" ht="15" hidden="1" customHeight="1">
      <c r="A2702" s="468">
        <v>45433</v>
      </c>
      <c r="B2702" s="208" t="s">
        <v>2435</v>
      </c>
      <c r="C2702" s="208" t="s">
        <v>27</v>
      </c>
      <c r="D2702" s="592">
        <v>-400000</v>
      </c>
      <c r="E2702" s="212">
        <v>45413</v>
      </c>
      <c r="F2702" s="208" t="s">
        <v>109</v>
      </c>
      <c r="G2702" s="208" t="s">
        <v>120</v>
      </c>
      <c r="H2702" s="208"/>
      <c r="I2702" s="208"/>
      <c r="J2702" s="209"/>
      <c r="K2702" s="209"/>
      <c r="L2702" s="209"/>
      <c r="M2702" s="209"/>
      <c r="N2702" s="209"/>
      <c r="O2702" s="209"/>
      <c r="P2702" s="209"/>
      <c r="Q2702" s="209"/>
      <c r="R2702" s="209"/>
      <c r="S2702" s="209"/>
      <c r="T2702" s="209"/>
    </row>
    <row r="2703" spans="1:20" ht="15" hidden="1" customHeight="1">
      <c r="A2703" s="468">
        <v>45434</v>
      </c>
      <c r="B2703" s="208" t="s">
        <v>2436</v>
      </c>
      <c r="C2703" s="208" t="s">
        <v>27</v>
      </c>
      <c r="D2703" s="592">
        <v>-376000</v>
      </c>
      <c r="E2703" s="212">
        <v>45413</v>
      </c>
      <c r="F2703" s="208" t="s">
        <v>109</v>
      </c>
      <c r="G2703" s="208" t="s">
        <v>120</v>
      </c>
      <c r="H2703" s="208"/>
      <c r="I2703" s="208"/>
      <c r="J2703" s="209"/>
      <c r="K2703" s="209"/>
      <c r="L2703" s="209"/>
      <c r="M2703" s="209"/>
      <c r="N2703" s="209"/>
      <c r="O2703" s="209"/>
      <c r="P2703" s="209"/>
      <c r="Q2703" s="209"/>
      <c r="R2703" s="209"/>
      <c r="S2703" s="209"/>
      <c r="T2703" s="209"/>
    </row>
    <row r="2704" spans="1:20" ht="15" hidden="1" customHeight="1">
      <c r="A2704" s="468">
        <v>45433</v>
      </c>
      <c r="B2704" s="208" t="s">
        <v>2437</v>
      </c>
      <c r="C2704" s="208" t="s">
        <v>27</v>
      </c>
      <c r="D2704" s="592">
        <v>-1236100</v>
      </c>
      <c r="E2704" s="212">
        <v>45413</v>
      </c>
      <c r="F2704" s="208" t="s">
        <v>109</v>
      </c>
      <c r="G2704" s="201" t="s">
        <v>1261</v>
      </c>
      <c r="H2704" s="208" t="s">
        <v>147</v>
      </c>
      <c r="I2704" s="208"/>
      <c r="J2704" s="209"/>
      <c r="K2704" s="209"/>
      <c r="L2704" s="209"/>
      <c r="M2704" s="209"/>
      <c r="N2704" s="209"/>
      <c r="O2704" s="209"/>
      <c r="P2704" s="209"/>
      <c r="Q2704" s="209"/>
      <c r="R2704" s="209"/>
      <c r="S2704" s="209"/>
      <c r="T2704" s="209"/>
    </row>
    <row r="2705" spans="1:20" ht="15" hidden="1" customHeight="1">
      <c r="A2705" s="468">
        <v>45433</v>
      </c>
      <c r="B2705" s="208" t="s">
        <v>2438</v>
      </c>
      <c r="C2705" s="208" t="s">
        <v>27</v>
      </c>
      <c r="D2705" s="592">
        <v>-7584000</v>
      </c>
      <c r="E2705" s="212">
        <v>45413</v>
      </c>
      <c r="F2705" s="208" t="s">
        <v>109</v>
      </c>
      <c r="G2705" s="208" t="s">
        <v>120</v>
      </c>
      <c r="H2705" s="208"/>
      <c r="I2705" s="208"/>
      <c r="J2705" s="209"/>
      <c r="K2705" s="209"/>
      <c r="L2705" s="209"/>
      <c r="M2705" s="209"/>
      <c r="N2705" s="209"/>
      <c r="O2705" s="209"/>
      <c r="P2705" s="209"/>
      <c r="Q2705" s="209"/>
      <c r="R2705" s="209"/>
      <c r="S2705" s="209"/>
      <c r="T2705" s="209"/>
    </row>
    <row r="2706" spans="1:20" ht="15" hidden="1" customHeight="1">
      <c r="A2706" s="468">
        <v>45433</v>
      </c>
      <c r="B2706" s="208" t="s">
        <v>2426</v>
      </c>
      <c r="C2706" s="208" t="s">
        <v>27</v>
      </c>
      <c r="D2706" s="592">
        <v>-1894400</v>
      </c>
      <c r="E2706" s="212">
        <v>45413</v>
      </c>
      <c r="F2706" s="208" t="s">
        <v>109</v>
      </c>
      <c r="G2706" s="208" t="s">
        <v>125</v>
      </c>
      <c r="H2706" s="208" t="s">
        <v>147</v>
      </c>
      <c r="I2706" s="208"/>
      <c r="J2706" s="209"/>
      <c r="K2706" s="209"/>
      <c r="L2706" s="209"/>
      <c r="M2706" s="209"/>
      <c r="N2706" s="209"/>
      <c r="O2706" s="209"/>
      <c r="P2706" s="209"/>
      <c r="Q2706" s="209"/>
      <c r="R2706" s="209"/>
      <c r="S2706" s="209"/>
      <c r="T2706" s="209"/>
    </row>
    <row r="2707" spans="1:20" ht="15" hidden="1" customHeight="1">
      <c r="A2707" s="468">
        <v>45433</v>
      </c>
      <c r="B2707" s="208" t="s">
        <v>2439</v>
      </c>
      <c r="C2707" s="208" t="s">
        <v>27</v>
      </c>
      <c r="D2707" s="592">
        <v>-1945200</v>
      </c>
      <c r="E2707" s="212">
        <v>45413</v>
      </c>
      <c r="F2707" s="201" t="s">
        <v>110</v>
      </c>
      <c r="G2707" s="81" t="s">
        <v>1621</v>
      </c>
      <c r="H2707" s="208" t="s">
        <v>147</v>
      </c>
      <c r="I2707" s="208"/>
      <c r="J2707" s="209"/>
      <c r="K2707" s="209"/>
      <c r="L2707" s="209"/>
      <c r="M2707" s="209"/>
      <c r="N2707" s="209"/>
      <c r="O2707" s="209"/>
      <c r="P2707" s="209"/>
      <c r="Q2707" s="209"/>
      <c r="R2707" s="209"/>
      <c r="S2707" s="209"/>
      <c r="T2707" s="209"/>
    </row>
    <row r="2708" spans="1:20" ht="15" hidden="1" customHeight="1">
      <c r="A2708" s="468">
        <v>45434</v>
      </c>
      <c r="B2708" s="208" t="s">
        <v>2440</v>
      </c>
      <c r="C2708" s="208" t="s">
        <v>27</v>
      </c>
      <c r="D2708" s="592">
        <v>-268100</v>
      </c>
      <c r="E2708" s="212">
        <v>45413</v>
      </c>
      <c r="F2708" s="208" t="s">
        <v>130</v>
      </c>
      <c r="G2708" s="208" t="s">
        <v>130</v>
      </c>
      <c r="H2708" s="208" t="s">
        <v>2176</v>
      </c>
      <c r="I2708" s="208"/>
      <c r="J2708" s="209"/>
      <c r="K2708" s="209"/>
      <c r="L2708" s="209"/>
      <c r="M2708" s="209"/>
      <c r="N2708" s="209"/>
      <c r="O2708" s="209"/>
      <c r="P2708" s="209"/>
      <c r="Q2708" s="209"/>
      <c r="R2708" s="209"/>
      <c r="S2708" s="209"/>
      <c r="T2708" s="209"/>
    </row>
    <row r="2709" spans="1:20" ht="15" hidden="1" customHeight="1">
      <c r="A2709" s="468">
        <v>45434</v>
      </c>
      <c r="B2709" s="208" t="s">
        <v>2441</v>
      </c>
      <c r="C2709" s="208" t="s">
        <v>27</v>
      </c>
      <c r="D2709" s="592">
        <v>-213500</v>
      </c>
      <c r="E2709" s="212">
        <v>45413</v>
      </c>
      <c r="F2709" s="601" t="s">
        <v>109</v>
      </c>
      <c r="G2709" s="208" t="s">
        <v>125</v>
      </c>
      <c r="H2709" s="208" t="s">
        <v>310</v>
      </c>
      <c r="I2709" s="208"/>
      <c r="J2709" s="209"/>
      <c r="K2709" s="209"/>
      <c r="L2709" s="209"/>
      <c r="M2709" s="209"/>
      <c r="N2709" s="209"/>
      <c r="O2709" s="209"/>
      <c r="P2709" s="209"/>
      <c r="Q2709" s="209"/>
      <c r="R2709" s="209"/>
      <c r="S2709" s="209"/>
      <c r="T2709" s="209"/>
    </row>
    <row r="2710" spans="1:20" ht="15" hidden="1" customHeight="1">
      <c r="A2710" s="468">
        <v>45434</v>
      </c>
      <c r="B2710" s="208" t="s">
        <v>2442</v>
      </c>
      <c r="C2710" s="208" t="s">
        <v>27</v>
      </c>
      <c r="D2710" s="592">
        <v>-470680</v>
      </c>
      <c r="E2710" s="212">
        <v>45413</v>
      </c>
      <c r="F2710" s="208" t="s">
        <v>130</v>
      </c>
      <c r="G2710" s="208" t="s">
        <v>257</v>
      </c>
      <c r="H2710" s="208" t="s">
        <v>1138</v>
      </c>
      <c r="I2710" s="208"/>
      <c r="J2710" s="209"/>
      <c r="K2710" s="209"/>
      <c r="L2710" s="209"/>
      <c r="M2710" s="209"/>
      <c r="N2710" s="209"/>
      <c r="O2710" s="209"/>
      <c r="P2710" s="209"/>
      <c r="Q2710" s="209"/>
      <c r="R2710" s="209"/>
      <c r="S2710" s="209"/>
      <c r="T2710" s="209"/>
    </row>
    <row r="2711" spans="1:20" ht="15" hidden="1" customHeight="1">
      <c r="A2711" s="468">
        <v>45434</v>
      </c>
      <c r="B2711" s="208" t="s">
        <v>2443</v>
      </c>
      <c r="C2711" s="208" t="s">
        <v>27</v>
      </c>
      <c r="D2711" s="800">
        <v>-898170</v>
      </c>
      <c r="E2711" s="212">
        <v>45413</v>
      </c>
      <c r="F2711" s="208" t="s">
        <v>109</v>
      </c>
      <c r="G2711" s="201" t="s">
        <v>581</v>
      </c>
      <c r="H2711" s="208"/>
      <c r="I2711" s="208"/>
      <c r="J2711" s="209"/>
      <c r="K2711" s="209"/>
      <c r="L2711" s="209"/>
      <c r="M2711" s="209"/>
      <c r="N2711" s="209"/>
      <c r="O2711" s="209"/>
      <c r="P2711" s="209"/>
      <c r="Q2711" s="209"/>
      <c r="R2711" s="209"/>
      <c r="S2711" s="209"/>
      <c r="T2711" s="209"/>
    </row>
    <row r="2712" spans="1:20" ht="15" hidden="1" customHeight="1">
      <c r="A2712" s="468">
        <v>45434</v>
      </c>
      <c r="B2712" s="208" t="s">
        <v>2055</v>
      </c>
      <c r="C2712" s="208" t="s">
        <v>27</v>
      </c>
      <c r="D2712" s="592">
        <v>-1925624</v>
      </c>
      <c r="E2712" s="212">
        <v>45413</v>
      </c>
      <c r="F2712" s="208" t="s">
        <v>109</v>
      </c>
      <c r="G2712" s="208" t="s">
        <v>120</v>
      </c>
      <c r="H2712" s="208"/>
      <c r="I2712" s="208"/>
      <c r="J2712" s="209"/>
      <c r="K2712" s="209"/>
      <c r="L2712" s="209"/>
      <c r="M2712" s="209"/>
      <c r="N2712" s="209"/>
      <c r="O2712" s="209"/>
      <c r="P2712" s="209"/>
      <c r="Q2712" s="209"/>
      <c r="R2712" s="209"/>
      <c r="S2712" s="209"/>
      <c r="T2712" s="209"/>
    </row>
    <row r="2713" spans="1:20" ht="15" hidden="1" customHeight="1">
      <c r="A2713" s="468">
        <v>45434</v>
      </c>
      <c r="B2713" s="208" t="s">
        <v>1668</v>
      </c>
      <c r="C2713" s="208" t="s">
        <v>27</v>
      </c>
      <c r="D2713" s="592">
        <v>-468494</v>
      </c>
      <c r="E2713" s="212">
        <v>45413</v>
      </c>
      <c r="F2713" s="208" t="s">
        <v>130</v>
      </c>
      <c r="G2713" s="208" t="s">
        <v>130</v>
      </c>
      <c r="H2713" s="208" t="s">
        <v>2444</v>
      </c>
      <c r="I2713" s="208"/>
      <c r="J2713" s="209"/>
      <c r="K2713" s="209"/>
      <c r="L2713" s="209"/>
      <c r="M2713" s="209"/>
      <c r="N2713" s="209"/>
      <c r="O2713" s="209"/>
      <c r="P2713" s="209"/>
      <c r="Q2713" s="209"/>
      <c r="R2713" s="209"/>
      <c r="S2713" s="209"/>
      <c r="T2713" s="209"/>
    </row>
    <row r="2714" spans="1:20" ht="15" hidden="1" customHeight="1">
      <c r="A2714" s="468">
        <v>45434</v>
      </c>
      <c r="B2714" s="208" t="s">
        <v>2445</v>
      </c>
      <c r="C2714" s="208" t="s">
        <v>27</v>
      </c>
      <c r="D2714" s="592">
        <v>-1250000</v>
      </c>
      <c r="E2714" s="212">
        <v>45413</v>
      </c>
      <c r="F2714" s="208" t="s">
        <v>109</v>
      </c>
      <c r="G2714" s="208" t="s">
        <v>120</v>
      </c>
      <c r="H2714" s="208"/>
      <c r="I2714" s="208"/>
      <c r="J2714" s="209"/>
      <c r="K2714" s="209"/>
      <c r="L2714" s="209"/>
      <c r="M2714" s="209"/>
      <c r="N2714" s="209"/>
      <c r="O2714" s="209"/>
      <c r="P2714" s="209"/>
      <c r="Q2714" s="209"/>
      <c r="R2714" s="209"/>
      <c r="S2714" s="209"/>
      <c r="T2714" s="209"/>
    </row>
    <row r="2715" spans="1:20" ht="15" hidden="1" customHeight="1">
      <c r="A2715" s="468">
        <v>45434</v>
      </c>
      <c r="B2715" s="208" t="s">
        <v>2446</v>
      </c>
      <c r="C2715" s="208" t="s">
        <v>27</v>
      </c>
      <c r="D2715" s="592">
        <v>-7900</v>
      </c>
      <c r="E2715" s="212">
        <v>45413</v>
      </c>
      <c r="F2715" s="208" t="s">
        <v>109</v>
      </c>
      <c r="G2715" s="208" t="s">
        <v>120</v>
      </c>
      <c r="H2715" s="208"/>
      <c r="I2715" s="208"/>
      <c r="J2715" s="209"/>
      <c r="K2715" s="209"/>
      <c r="L2715" s="209"/>
      <c r="M2715" s="209"/>
      <c r="N2715" s="209"/>
      <c r="O2715" s="209"/>
      <c r="P2715" s="209"/>
      <c r="Q2715" s="209"/>
      <c r="R2715" s="209"/>
      <c r="S2715" s="209"/>
      <c r="T2715" s="209"/>
    </row>
    <row r="2716" spans="1:20" ht="15" hidden="1" customHeight="1">
      <c r="A2716" s="468">
        <v>45434</v>
      </c>
      <c r="B2716" s="208" t="s">
        <v>2447</v>
      </c>
      <c r="C2716" s="208" t="s">
        <v>27</v>
      </c>
      <c r="D2716" s="592">
        <v>-21660000</v>
      </c>
      <c r="E2716" s="212">
        <v>45413</v>
      </c>
      <c r="F2716" s="601" t="s">
        <v>109</v>
      </c>
      <c r="G2716" s="208" t="s">
        <v>125</v>
      </c>
      <c r="H2716" s="208" t="s">
        <v>549</v>
      </c>
      <c r="I2716" s="208"/>
      <c r="J2716" s="209"/>
      <c r="K2716" s="209"/>
      <c r="L2716" s="209"/>
      <c r="M2716" s="209"/>
      <c r="N2716" s="209"/>
      <c r="O2716" s="209"/>
      <c r="P2716" s="209"/>
      <c r="Q2716" s="209"/>
      <c r="R2716" s="209"/>
      <c r="S2716" s="209"/>
      <c r="T2716" s="209"/>
    </row>
    <row r="2717" spans="1:20" ht="15" hidden="1" customHeight="1">
      <c r="A2717" s="468">
        <v>45435</v>
      </c>
      <c r="B2717" s="208" t="s">
        <v>2448</v>
      </c>
      <c r="C2717" s="208" t="s">
        <v>27</v>
      </c>
      <c r="D2717" s="592">
        <v>-6013308</v>
      </c>
      <c r="E2717" s="212">
        <v>45413</v>
      </c>
      <c r="F2717" s="201" t="s">
        <v>110</v>
      </c>
      <c r="G2717" s="208" t="s">
        <v>774</v>
      </c>
      <c r="H2717" s="208" t="s">
        <v>549</v>
      </c>
      <c r="I2717" s="208"/>
      <c r="J2717" s="209"/>
      <c r="K2717" s="209"/>
      <c r="L2717" s="209"/>
      <c r="M2717" s="209"/>
      <c r="N2717" s="209"/>
      <c r="O2717" s="209"/>
      <c r="P2717" s="209"/>
      <c r="Q2717" s="209"/>
      <c r="R2717" s="209"/>
      <c r="S2717" s="209"/>
      <c r="T2717" s="209"/>
    </row>
    <row r="2718" spans="1:20" ht="15" hidden="1" customHeight="1">
      <c r="A2718" s="468">
        <v>45435</v>
      </c>
      <c r="B2718" s="208" t="s">
        <v>2449</v>
      </c>
      <c r="C2718" s="208" t="s">
        <v>27</v>
      </c>
      <c r="D2718" s="592">
        <v>-666346</v>
      </c>
      <c r="E2718" s="212">
        <v>45413</v>
      </c>
      <c r="F2718" s="208" t="s">
        <v>109</v>
      </c>
      <c r="G2718" s="208" t="s">
        <v>120</v>
      </c>
      <c r="H2718" s="208"/>
      <c r="I2718" s="208"/>
      <c r="J2718" s="209"/>
      <c r="K2718" s="209"/>
      <c r="L2718" s="209"/>
      <c r="M2718" s="209"/>
      <c r="N2718" s="209"/>
      <c r="O2718" s="209"/>
      <c r="P2718" s="209"/>
      <c r="Q2718" s="209"/>
      <c r="R2718" s="209"/>
      <c r="S2718" s="209"/>
      <c r="T2718" s="209"/>
    </row>
    <row r="2719" spans="1:20" ht="15" hidden="1" customHeight="1">
      <c r="A2719" s="468">
        <v>45427</v>
      </c>
      <c r="B2719" s="208" t="s">
        <v>2450</v>
      </c>
      <c r="C2719" s="208" t="s">
        <v>2113</v>
      </c>
      <c r="D2719" s="592">
        <v>-55000</v>
      </c>
      <c r="E2719" s="212">
        <v>45413</v>
      </c>
      <c r="F2719" s="201" t="s">
        <v>110</v>
      </c>
      <c r="G2719" s="81" t="s">
        <v>1621</v>
      </c>
      <c r="H2719" s="208" t="s">
        <v>175</v>
      </c>
      <c r="I2719" s="208"/>
      <c r="J2719" s="209"/>
      <c r="K2719" s="209"/>
      <c r="L2719" s="209"/>
      <c r="M2719" s="209"/>
      <c r="N2719" s="209"/>
      <c r="O2719" s="209"/>
      <c r="P2719" s="209"/>
      <c r="Q2719" s="209"/>
      <c r="R2719" s="209"/>
      <c r="S2719" s="209"/>
      <c r="T2719" s="209"/>
    </row>
    <row r="2720" spans="1:20" ht="15" hidden="1" customHeight="1">
      <c r="A2720" s="468">
        <v>45427</v>
      </c>
      <c r="B2720" s="208" t="s">
        <v>2451</v>
      </c>
      <c r="C2720" s="208" t="s">
        <v>2113</v>
      </c>
      <c r="D2720" s="592">
        <v>-161840</v>
      </c>
      <c r="E2720" s="212">
        <v>45413</v>
      </c>
      <c r="F2720" s="601" t="s">
        <v>109</v>
      </c>
      <c r="G2720" s="208" t="s">
        <v>383</v>
      </c>
      <c r="H2720" s="208" t="s">
        <v>310</v>
      </c>
      <c r="I2720" s="208"/>
      <c r="J2720" s="209"/>
      <c r="K2720" s="209"/>
      <c r="L2720" s="209"/>
      <c r="M2720" s="209"/>
      <c r="N2720" s="209"/>
      <c r="O2720" s="209"/>
      <c r="P2720" s="209"/>
      <c r="Q2720" s="209"/>
      <c r="R2720" s="209"/>
      <c r="S2720" s="209"/>
      <c r="T2720" s="209"/>
    </row>
    <row r="2721" spans="1:20" ht="15" hidden="1" customHeight="1">
      <c r="A2721" s="468">
        <v>45427</v>
      </c>
      <c r="B2721" s="208" t="s">
        <v>2452</v>
      </c>
      <c r="C2721" s="208" t="s">
        <v>2113</v>
      </c>
      <c r="D2721" s="592">
        <v>-3950</v>
      </c>
      <c r="E2721" s="212">
        <v>45413</v>
      </c>
      <c r="F2721" s="201" t="s">
        <v>110</v>
      </c>
      <c r="G2721" s="81" t="s">
        <v>1621</v>
      </c>
      <c r="H2721" s="208" t="s">
        <v>175</v>
      </c>
      <c r="I2721" s="208"/>
      <c r="J2721" s="209"/>
      <c r="K2721" s="209"/>
      <c r="L2721" s="209"/>
      <c r="M2721" s="209"/>
      <c r="N2721" s="209"/>
      <c r="O2721" s="209"/>
      <c r="P2721" s="209"/>
      <c r="Q2721" s="209"/>
      <c r="R2721" s="209"/>
      <c r="S2721" s="209"/>
      <c r="T2721" s="209"/>
    </row>
    <row r="2722" spans="1:20" ht="15" hidden="1" customHeight="1">
      <c r="A2722" s="468">
        <v>45427</v>
      </c>
      <c r="B2722" s="208" t="s">
        <v>2453</v>
      </c>
      <c r="C2722" s="208" t="s">
        <v>2113</v>
      </c>
      <c r="D2722" s="592">
        <v>-19500</v>
      </c>
      <c r="E2722" s="212">
        <v>45413</v>
      </c>
      <c r="F2722" s="201" t="s">
        <v>110</v>
      </c>
      <c r="G2722" s="81" t="s">
        <v>1621</v>
      </c>
      <c r="H2722" s="208" t="s">
        <v>175</v>
      </c>
      <c r="I2722" s="208"/>
      <c r="J2722" s="209"/>
      <c r="K2722" s="209"/>
      <c r="L2722" s="209"/>
      <c r="M2722" s="209"/>
      <c r="N2722" s="209"/>
      <c r="O2722" s="209"/>
      <c r="P2722" s="209"/>
      <c r="Q2722" s="209"/>
      <c r="R2722" s="209"/>
      <c r="S2722" s="209"/>
      <c r="T2722" s="209"/>
    </row>
    <row r="2723" spans="1:20" ht="15" hidden="1" customHeight="1">
      <c r="A2723" s="468">
        <v>45427</v>
      </c>
      <c r="B2723" s="208" t="s">
        <v>2454</v>
      </c>
      <c r="C2723" s="208" t="s">
        <v>2113</v>
      </c>
      <c r="D2723" s="592">
        <v>-36000</v>
      </c>
      <c r="E2723" s="212">
        <v>45413</v>
      </c>
      <c r="F2723" s="201" t="s">
        <v>110</v>
      </c>
      <c r="G2723" s="81" t="s">
        <v>1621</v>
      </c>
      <c r="H2723" s="208" t="s">
        <v>175</v>
      </c>
      <c r="I2723" s="208"/>
      <c r="J2723" s="209"/>
      <c r="K2723" s="209"/>
      <c r="L2723" s="209"/>
      <c r="M2723" s="209"/>
      <c r="N2723" s="209"/>
      <c r="O2723" s="209"/>
      <c r="P2723" s="209"/>
      <c r="Q2723" s="209"/>
      <c r="R2723" s="209"/>
      <c r="S2723" s="209"/>
      <c r="T2723" s="209"/>
    </row>
    <row r="2724" spans="1:20" ht="15" hidden="1" customHeight="1">
      <c r="A2724" s="468">
        <v>45427</v>
      </c>
      <c r="B2724" s="208" t="s">
        <v>2455</v>
      </c>
      <c r="C2724" s="208" t="s">
        <v>2113</v>
      </c>
      <c r="D2724" s="592">
        <v>-39500</v>
      </c>
      <c r="E2724" s="212">
        <v>45413</v>
      </c>
      <c r="F2724" s="601" t="s">
        <v>109</v>
      </c>
      <c r="G2724" s="208" t="s">
        <v>125</v>
      </c>
      <c r="H2724" s="208" t="s">
        <v>175</v>
      </c>
      <c r="I2724" s="208"/>
      <c r="J2724" s="209"/>
      <c r="K2724" s="209"/>
      <c r="L2724" s="209"/>
      <c r="M2724" s="209"/>
      <c r="N2724" s="209"/>
      <c r="O2724" s="209"/>
      <c r="P2724" s="209"/>
      <c r="Q2724" s="209"/>
      <c r="R2724" s="209"/>
      <c r="S2724" s="209"/>
      <c r="T2724" s="209"/>
    </row>
    <row r="2725" spans="1:20" ht="15" hidden="1" customHeight="1">
      <c r="A2725" s="468">
        <v>45427</v>
      </c>
      <c r="B2725" s="208" t="s">
        <v>2456</v>
      </c>
      <c r="C2725" s="208" t="s">
        <v>2113</v>
      </c>
      <c r="D2725" s="592">
        <v>-38000</v>
      </c>
      <c r="E2725" s="212">
        <v>45413</v>
      </c>
      <c r="F2725" s="201" t="s">
        <v>110</v>
      </c>
      <c r="G2725" s="81" t="s">
        <v>1621</v>
      </c>
      <c r="H2725" s="208" t="s">
        <v>175</v>
      </c>
      <c r="I2725" s="208"/>
      <c r="J2725" s="209"/>
      <c r="K2725" s="209"/>
      <c r="L2725" s="209"/>
      <c r="M2725" s="209"/>
      <c r="N2725" s="209"/>
      <c r="O2725" s="209"/>
      <c r="P2725" s="209"/>
      <c r="Q2725" s="209"/>
      <c r="R2725" s="209"/>
      <c r="S2725" s="209"/>
      <c r="T2725" s="209"/>
    </row>
    <row r="2726" spans="1:20" ht="15" hidden="1" customHeight="1">
      <c r="A2726" s="468">
        <v>45427</v>
      </c>
      <c r="B2726" s="208" t="s">
        <v>2457</v>
      </c>
      <c r="C2726" s="208" t="s">
        <v>2113</v>
      </c>
      <c r="D2726" s="592">
        <v>-5400</v>
      </c>
      <c r="E2726" s="212">
        <v>45413</v>
      </c>
      <c r="F2726" s="201" t="s">
        <v>110</v>
      </c>
      <c r="G2726" s="81" t="s">
        <v>1621</v>
      </c>
      <c r="H2726" s="208" t="s">
        <v>310</v>
      </c>
      <c r="I2726" s="208"/>
      <c r="J2726" s="209"/>
      <c r="K2726" s="209"/>
      <c r="L2726" s="209"/>
      <c r="M2726" s="209"/>
      <c r="N2726" s="209"/>
      <c r="O2726" s="209"/>
      <c r="P2726" s="209"/>
      <c r="Q2726" s="209"/>
      <c r="R2726" s="209"/>
      <c r="S2726" s="209"/>
      <c r="T2726" s="209"/>
    </row>
    <row r="2727" spans="1:20" ht="15" hidden="1" customHeight="1">
      <c r="A2727" s="468">
        <v>45427</v>
      </c>
      <c r="B2727" s="208" t="s">
        <v>2458</v>
      </c>
      <c r="C2727" s="208" t="s">
        <v>1106</v>
      </c>
      <c r="D2727" s="592">
        <v>-9800</v>
      </c>
      <c r="E2727" s="212">
        <v>45413</v>
      </c>
      <c r="F2727" s="601" t="s">
        <v>109</v>
      </c>
      <c r="G2727" s="208" t="s">
        <v>125</v>
      </c>
      <c r="H2727" s="208" t="s">
        <v>175</v>
      </c>
      <c r="I2727" s="208" t="s">
        <v>2459</v>
      </c>
      <c r="J2727" s="646"/>
      <c r="K2727" s="209"/>
      <c r="L2727" s="209"/>
      <c r="M2727" s="209"/>
      <c r="N2727" s="209"/>
      <c r="O2727" s="209"/>
      <c r="P2727" s="209"/>
      <c r="Q2727" s="209"/>
      <c r="R2727" s="209"/>
      <c r="S2727" s="209"/>
      <c r="T2727" s="209"/>
    </row>
    <row r="2728" spans="1:20" ht="15" hidden="1" customHeight="1">
      <c r="A2728" s="468">
        <v>45427</v>
      </c>
      <c r="B2728" s="208" t="s">
        <v>2460</v>
      </c>
      <c r="C2728" s="208" t="s">
        <v>146</v>
      </c>
      <c r="D2728" s="592">
        <v>-6000</v>
      </c>
      <c r="E2728" s="212">
        <v>45413</v>
      </c>
      <c r="F2728" s="601" t="s">
        <v>109</v>
      </c>
      <c r="G2728" s="208" t="s">
        <v>383</v>
      </c>
      <c r="H2728" s="208" t="s">
        <v>138</v>
      </c>
      <c r="I2728" s="208" t="s">
        <v>2052</v>
      </c>
      <c r="J2728" s="209"/>
      <c r="K2728" s="209"/>
      <c r="L2728" s="209"/>
      <c r="M2728" s="209"/>
      <c r="N2728" s="209"/>
      <c r="O2728" s="209"/>
      <c r="P2728" s="209"/>
      <c r="Q2728" s="209"/>
      <c r="R2728" s="209"/>
      <c r="S2728" s="209"/>
      <c r="T2728" s="209"/>
    </row>
    <row r="2729" spans="1:20" ht="15" hidden="1" customHeight="1">
      <c r="A2729" s="647">
        <v>45427</v>
      </c>
      <c r="B2729" s="208" t="s">
        <v>2461</v>
      </c>
      <c r="C2729" s="208" t="s">
        <v>146</v>
      </c>
      <c r="D2729" s="592">
        <v>-16000</v>
      </c>
      <c r="E2729" s="212">
        <v>45413</v>
      </c>
      <c r="F2729" s="601" t="s">
        <v>109</v>
      </c>
      <c r="G2729" s="208" t="s">
        <v>383</v>
      </c>
      <c r="H2729" s="208" t="s">
        <v>138</v>
      </c>
      <c r="I2729" s="208" t="s">
        <v>2052</v>
      </c>
      <c r="J2729" s="209"/>
      <c r="K2729" s="209"/>
      <c r="L2729" s="209"/>
      <c r="M2729" s="209"/>
      <c r="N2729" s="209"/>
      <c r="O2729" s="209"/>
      <c r="P2729" s="209"/>
      <c r="Q2729" s="209"/>
      <c r="R2729" s="209"/>
      <c r="S2729" s="209"/>
      <c r="T2729" s="209"/>
    </row>
    <row r="2730" spans="1:20" ht="15" hidden="1" customHeight="1">
      <c r="A2730" s="647">
        <v>45427</v>
      </c>
      <c r="B2730" s="208" t="s">
        <v>2462</v>
      </c>
      <c r="C2730" s="208" t="s">
        <v>146</v>
      </c>
      <c r="D2730" s="592">
        <v>-7000</v>
      </c>
      <c r="E2730" s="212">
        <v>45413</v>
      </c>
      <c r="F2730" s="601" t="s">
        <v>109</v>
      </c>
      <c r="G2730" s="208" t="s">
        <v>383</v>
      </c>
      <c r="H2730" s="208" t="s">
        <v>138</v>
      </c>
      <c r="I2730" s="208" t="s">
        <v>2052</v>
      </c>
      <c r="J2730" s="209"/>
      <c r="K2730" s="209"/>
      <c r="L2730" s="209"/>
      <c r="M2730" s="209"/>
      <c r="N2730" s="209"/>
      <c r="O2730" s="209"/>
      <c r="P2730" s="209"/>
      <c r="Q2730" s="209"/>
      <c r="R2730" s="209"/>
      <c r="S2730" s="209"/>
      <c r="T2730" s="209"/>
    </row>
    <row r="2731" spans="1:20" ht="15" hidden="1" customHeight="1">
      <c r="A2731" s="647">
        <v>45428</v>
      </c>
      <c r="B2731" s="208" t="s">
        <v>2463</v>
      </c>
      <c r="C2731" s="208" t="s">
        <v>2113</v>
      </c>
      <c r="D2731" s="592">
        <v>-40233</v>
      </c>
      <c r="E2731" s="212">
        <v>45413</v>
      </c>
      <c r="F2731" s="601" t="s">
        <v>109</v>
      </c>
      <c r="G2731" s="208" t="s">
        <v>125</v>
      </c>
      <c r="H2731" s="208" t="s">
        <v>175</v>
      </c>
      <c r="I2731" s="208"/>
      <c r="J2731" s="209"/>
      <c r="K2731" s="209"/>
      <c r="L2731" s="209"/>
      <c r="M2731" s="209"/>
      <c r="N2731" s="209"/>
      <c r="O2731" s="209"/>
      <c r="P2731" s="209"/>
      <c r="Q2731" s="209"/>
      <c r="R2731" s="209"/>
      <c r="S2731" s="209"/>
      <c r="T2731" s="209"/>
    </row>
    <row r="2732" spans="1:20" ht="15" hidden="1" customHeight="1">
      <c r="A2732" s="647">
        <v>45428</v>
      </c>
      <c r="B2732" s="208" t="s">
        <v>2464</v>
      </c>
      <c r="C2732" s="208" t="s">
        <v>2113</v>
      </c>
      <c r="D2732" s="592">
        <v>-195000</v>
      </c>
      <c r="E2732" s="212">
        <v>45413</v>
      </c>
      <c r="F2732" s="601" t="s">
        <v>109</v>
      </c>
      <c r="G2732" s="208" t="s">
        <v>125</v>
      </c>
      <c r="H2732" s="208" t="s">
        <v>175</v>
      </c>
      <c r="I2732" s="208"/>
      <c r="J2732" s="209"/>
      <c r="K2732" s="209"/>
      <c r="L2732" s="209"/>
      <c r="M2732" s="209"/>
      <c r="N2732" s="209"/>
      <c r="O2732" s="209"/>
      <c r="P2732" s="209"/>
      <c r="Q2732" s="209"/>
      <c r="R2732" s="209"/>
      <c r="S2732" s="209"/>
      <c r="T2732" s="209"/>
    </row>
    <row r="2733" spans="1:20" ht="15" hidden="1" customHeight="1">
      <c r="A2733" s="647">
        <v>45428</v>
      </c>
      <c r="B2733" s="208" t="s">
        <v>2465</v>
      </c>
      <c r="C2733" s="208" t="s">
        <v>2113</v>
      </c>
      <c r="D2733" s="592">
        <v>-22500</v>
      </c>
      <c r="E2733" s="212">
        <v>45413</v>
      </c>
      <c r="F2733" s="601" t="s">
        <v>109</v>
      </c>
      <c r="G2733" s="208" t="s">
        <v>120</v>
      </c>
      <c r="H2733" s="208"/>
      <c r="I2733" s="208"/>
      <c r="J2733" s="209"/>
      <c r="K2733" s="209"/>
      <c r="L2733" s="209"/>
      <c r="M2733" s="209"/>
      <c r="N2733" s="209"/>
      <c r="O2733" s="209"/>
      <c r="P2733" s="209"/>
      <c r="Q2733" s="209"/>
      <c r="R2733" s="209"/>
      <c r="S2733" s="209"/>
      <c r="T2733" s="209"/>
    </row>
    <row r="2734" spans="1:20" ht="15" hidden="1" customHeight="1">
      <c r="A2734" s="647">
        <v>45428</v>
      </c>
      <c r="B2734" s="208" t="s">
        <v>2466</v>
      </c>
      <c r="C2734" s="208" t="s">
        <v>2113</v>
      </c>
      <c r="D2734" s="592">
        <v>-6200</v>
      </c>
      <c r="E2734" s="212">
        <v>45413</v>
      </c>
      <c r="F2734" s="201" t="s">
        <v>110</v>
      </c>
      <c r="G2734" s="81" t="s">
        <v>1621</v>
      </c>
      <c r="H2734" s="208" t="s">
        <v>138</v>
      </c>
      <c r="I2734" s="208"/>
      <c r="J2734" s="209"/>
      <c r="K2734" s="209"/>
      <c r="L2734" s="209"/>
      <c r="M2734" s="209"/>
      <c r="N2734" s="209"/>
      <c r="O2734" s="209"/>
      <c r="P2734" s="209"/>
      <c r="Q2734" s="209"/>
      <c r="R2734" s="209"/>
      <c r="S2734" s="209"/>
      <c r="T2734" s="209"/>
    </row>
    <row r="2735" spans="1:20" ht="15" hidden="1" customHeight="1">
      <c r="A2735" s="647">
        <v>45428</v>
      </c>
      <c r="B2735" s="208" t="s">
        <v>2467</v>
      </c>
      <c r="C2735" s="208" t="s">
        <v>2113</v>
      </c>
      <c r="D2735" s="592">
        <v>-6200</v>
      </c>
      <c r="E2735" s="212">
        <v>45413</v>
      </c>
      <c r="F2735" s="601" t="s">
        <v>109</v>
      </c>
      <c r="G2735" s="208" t="s">
        <v>120</v>
      </c>
      <c r="H2735" s="208"/>
      <c r="I2735" s="208"/>
      <c r="J2735" s="209"/>
      <c r="K2735" s="209"/>
      <c r="L2735" s="209"/>
      <c r="M2735" s="209"/>
      <c r="N2735" s="209"/>
      <c r="O2735" s="209"/>
      <c r="P2735" s="209"/>
      <c r="Q2735" s="209"/>
      <c r="R2735" s="209"/>
      <c r="S2735" s="209"/>
      <c r="T2735" s="209"/>
    </row>
    <row r="2736" spans="1:20" ht="15" hidden="1" customHeight="1">
      <c r="A2736" s="647">
        <v>45428</v>
      </c>
      <c r="B2736" s="208" t="s">
        <v>2468</v>
      </c>
      <c r="C2736" s="208" t="s">
        <v>2113</v>
      </c>
      <c r="D2736" s="592">
        <v>-62400</v>
      </c>
      <c r="E2736" s="212">
        <v>45413</v>
      </c>
      <c r="F2736" s="201" t="s">
        <v>110</v>
      </c>
      <c r="G2736" s="81" t="s">
        <v>1621</v>
      </c>
      <c r="H2736" s="208" t="s">
        <v>175</v>
      </c>
      <c r="I2736" s="208"/>
      <c r="J2736" s="209"/>
      <c r="K2736" s="209"/>
      <c r="L2736" s="209"/>
      <c r="M2736" s="209"/>
      <c r="N2736" s="209"/>
      <c r="O2736" s="209"/>
      <c r="P2736" s="209"/>
      <c r="Q2736" s="209"/>
      <c r="R2736" s="209"/>
      <c r="S2736" s="209"/>
      <c r="T2736" s="209"/>
    </row>
    <row r="2737" spans="1:20" ht="15" hidden="1" customHeight="1">
      <c r="A2737" s="647">
        <v>45428</v>
      </c>
      <c r="B2737" s="208" t="s">
        <v>2469</v>
      </c>
      <c r="C2737" s="208" t="s">
        <v>2113</v>
      </c>
      <c r="D2737" s="592">
        <v>-18000</v>
      </c>
      <c r="E2737" s="212">
        <v>45413</v>
      </c>
      <c r="F2737" s="201" t="s">
        <v>110</v>
      </c>
      <c r="G2737" s="81" t="s">
        <v>1621</v>
      </c>
      <c r="H2737" s="208" t="s">
        <v>138</v>
      </c>
      <c r="I2737" s="208"/>
      <c r="J2737" s="209"/>
      <c r="K2737" s="209"/>
      <c r="L2737" s="209"/>
      <c r="M2737" s="209"/>
      <c r="N2737" s="209"/>
      <c r="O2737" s="209"/>
      <c r="P2737" s="209"/>
      <c r="Q2737" s="209"/>
      <c r="R2737" s="209"/>
      <c r="S2737" s="209"/>
      <c r="T2737" s="209"/>
    </row>
    <row r="2738" spans="1:20" ht="15" hidden="1" customHeight="1">
      <c r="A2738" s="647">
        <v>45428</v>
      </c>
      <c r="B2738" s="208" t="s">
        <v>2310</v>
      </c>
      <c r="C2738" s="208" t="s">
        <v>2113</v>
      </c>
      <c r="D2738" s="592">
        <v>-18000</v>
      </c>
      <c r="E2738" s="212">
        <v>45413</v>
      </c>
      <c r="F2738" s="601" t="s">
        <v>109</v>
      </c>
      <c r="G2738" s="208" t="s">
        <v>125</v>
      </c>
      <c r="H2738" s="208" t="s">
        <v>138</v>
      </c>
      <c r="I2738" s="208"/>
      <c r="J2738" s="209"/>
      <c r="K2738" s="209"/>
      <c r="L2738" s="209"/>
      <c r="M2738" s="209"/>
      <c r="N2738" s="209"/>
      <c r="O2738" s="209"/>
      <c r="P2738" s="209"/>
      <c r="Q2738" s="209"/>
      <c r="R2738" s="209"/>
      <c r="S2738" s="209"/>
      <c r="T2738" s="209"/>
    </row>
    <row r="2739" spans="1:20" ht="15" hidden="1" customHeight="1">
      <c r="A2739" s="468">
        <v>45429</v>
      </c>
      <c r="B2739" s="208" t="s">
        <v>2470</v>
      </c>
      <c r="C2739" s="208" t="s">
        <v>2113</v>
      </c>
      <c r="D2739" s="592">
        <v>-7000</v>
      </c>
      <c r="E2739" s="212">
        <v>45413</v>
      </c>
      <c r="F2739" s="201" t="s">
        <v>110</v>
      </c>
      <c r="G2739" s="81" t="s">
        <v>1621</v>
      </c>
      <c r="H2739" s="208" t="s">
        <v>175</v>
      </c>
      <c r="I2739" s="208"/>
      <c r="J2739" s="209"/>
      <c r="K2739" s="209"/>
      <c r="L2739" s="209"/>
      <c r="M2739" s="209"/>
      <c r="N2739" s="209"/>
      <c r="O2739" s="209"/>
      <c r="P2739" s="209"/>
      <c r="Q2739" s="209"/>
      <c r="R2739" s="209"/>
      <c r="S2739" s="209"/>
      <c r="T2739" s="209"/>
    </row>
    <row r="2740" spans="1:20" ht="15" hidden="1" customHeight="1">
      <c r="A2740" s="468">
        <v>45429</v>
      </c>
      <c r="B2740" s="208" t="s">
        <v>2471</v>
      </c>
      <c r="C2740" s="208" t="s">
        <v>2113</v>
      </c>
      <c r="D2740" s="592">
        <v>-177000</v>
      </c>
      <c r="E2740" s="212">
        <v>45413</v>
      </c>
      <c r="F2740" s="601" t="s">
        <v>109</v>
      </c>
      <c r="G2740" s="208" t="s">
        <v>125</v>
      </c>
      <c r="H2740" s="208" t="s">
        <v>138</v>
      </c>
      <c r="I2740" s="208"/>
      <c r="J2740" s="209"/>
      <c r="K2740" s="209"/>
      <c r="L2740" s="209"/>
      <c r="M2740" s="209"/>
      <c r="N2740" s="209"/>
      <c r="O2740" s="209"/>
      <c r="P2740" s="209"/>
      <c r="Q2740" s="209"/>
      <c r="R2740" s="209"/>
      <c r="S2740" s="209"/>
      <c r="T2740" s="209"/>
    </row>
    <row r="2741" spans="1:20" ht="15" hidden="1" customHeight="1">
      <c r="A2741" s="468">
        <v>45429</v>
      </c>
      <c r="B2741" s="208" t="s">
        <v>2472</v>
      </c>
      <c r="C2741" s="208" t="s">
        <v>2113</v>
      </c>
      <c r="D2741" s="592">
        <v>-32700</v>
      </c>
      <c r="E2741" s="212">
        <v>45413</v>
      </c>
      <c r="F2741" s="208" t="s">
        <v>130</v>
      </c>
      <c r="G2741" s="208" t="s">
        <v>257</v>
      </c>
      <c r="H2741" s="208" t="s">
        <v>138</v>
      </c>
      <c r="I2741" s="208"/>
      <c r="J2741" s="209"/>
      <c r="K2741" s="209"/>
      <c r="L2741" s="209"/>
      <c r="M2741" s="209"/>
      <c r="N2741" s="209"/>
      <c r="O2741" s="209"/>
      <c r="P2741" s="209"/>
      <c r="Q2741" s="209"/>
      <c r="R2741" s="209"/>
      <c r="S2741" s="209"/>
      <c r="T2741" s="209"/>
    </row>
    <row r="2742" spans="1:20" ht="15" hidden="1" customHeight="1">
      <c r="A2742" s="468">
        <v>45429</v>
      </c>
      <c r="B2742" s="208" t="s">
        <v>2473</v>
      </c>
      <c r="C2742" s="208" t="s">
        <v>2113</v>
      </c>
      <c r="D2742" s="592">
        <v>-50000</v>
      </c>
      <c r="E2742" s="212">
        <v>45413</v>
      </c>
      <c r="F2742" s="601" t="s">
        <v>109</v>
      </c>
      <c r="G2742" s="208" t="s">
        <v>120</v>
      </c>
      <c r="H2742" s="208" t="s">
        <v>147</v>
      </c>
      <c r="I2742" s="208"/>
      <c r="J2742" s="209"/>
      <c r="K2742" s="209"/>
      <c r="L2742" s="209"/>
      <c r="M2742" s="209"/>
      <c r="N2742" s="209"/>
      <c r="O2742" s="209"/>
      <c r="P2742" s="209"/>
      <c r="Q2742" s="209"/>
      <c r="R2742" s="209"/>
      <c r="S2742" s="209"/>
      <c r="T2742" s="209"/>
    </row>
    <row r="2743" spans="1:20" ht="15" hidden="1" customHeight="1">
      <c r="A2743" s="468">
        <v>45429</v>
      </c>
      <c r="B2743" s="208" t="s">
        <v>2474</v>
      </c>
      <c r="C2743" s="208" t="s">
        <v>1106</v>
      </c>
      <c r="D2743" s="592">
        <v>-48000</v>
      </c>
      <c r="E2743" s="212">
        <v>45413</v>
      </c>
      <c r="F2743" s="601" t="s">
        <v>109</v>
      </c>
      <c r="G2743" s="208" t="s">
        <v>120</v>
      </c>
      <c r="H2743" s="208" t="s">
        <v>175</v>
      </c>
      <c r="I2743" s="208" t="s">
        <v>2459</v>
      </c>
      <c r="J2743" s="646"/>
      <c r="K2743" s="209"/>
      <c r="L2743" s="209"/>
      <c r="M2743" s="209"/>
      <c r="N2743" s="209"/>
      <c r="O2743" s="209"/>
      <c r="P2743" s="209"/>
      <c r="Q2743" s="209"/>
      <c r="R2743" s="209"/>
      <c r="S2743" s="209"/>
      <c r="T2743" s="209"/>
    </row>
    <row r="2744" spans="1:20" ht="15" hidden="1" customHeight="1">
      <c r="A2744" s="468">
        <v>45429</v>
      </c>
      <c r="B2744" s="208" t="s">
        <v>2475</v>
      </c>
      <c r="C2744" s="208" t="s">
        <v>1106</v>
      </c>
      <c r="D2744" s="592">
        <v>-103400</v>
      </c>
      <c r="E2744" s="212">
        <v>45413</v>
      </c>
      <c r="F2744" s="601" t="s">
        <v>109</v>
      </c>
      <c r="G2744" s="208" t="s">
        <v>120</v>
      </c>
      <c r="H2744" s="208" t="s">
        <v>175</v>
      </c>
      <c r="I2744" s="208" t="s">
        <v>2459</v>
      </c>
      <c r="J2744" s="648"/>
      <c r="K2744" s="209"/>
      <c r="L2744" s="209"/>
      <c r="M2744" s="209"/>
      <c r="N2744" s="209"/>
      <c r="O2744" s="209"/>
      <c r="P2744" s="209"/>
      <c r="Q2744" s="209"/>
      <c r="R2744" s="209"/>
      <c r="S2744" s="209"/>
      <c r="T2744" s="209"/>
    </row>
    <row r="2745" spans="1:20" ht="15" hidden="1" customHeight="1">
      <c r="A2745" s="468">
        <v>45429</v>
      </c>
      <c r="B2745" s="208" t="s">
        <v>2476</v>
      </c>
      <c r="C2745" s="208" t="s">
        <v>1106</v>
      </c>
      <c r="D2745" s="592">
        <v>-10000</v>
      </c>
      <c r="E2745" s="212">
        <v>45413</v>
      </c>
      <c r="F2745" s="601" t="s">
        <v>109</v>
      </c>
      <c r="G2745" s="208" t="s">
        <v>120</v>
      </c>
      <c r="H2745" s="208" t="s">
        <v>138</v>
      </c>
      <c r="I2745" s="208" t="s">
        <v>2459</v>
      </c>
      <c r="J2745" s="648"/>
      <c r="K2745" s="209"/>
      <c r="L2745" s="209"/>
      <c r="M2745" s="209"/>
      <c r="N2745" s="209"/>
      <c r="O2745" s="209"/>
      <c r="P2745" s="209"/>
      <c r="Q2745" s="209"/>
      <c r="R2745" s="209"/>
      <c r="S2745" s="209"/>
      <c r="T2745" s="209"/>
    </row>
    <row r="2746" spans="1:20" ht="15" hidden="1" customHeight="1">
      <c r="A2746" s="468">
        <v>45429</v>
      </c>
      <c r="B2746" s="208" t="s">
        <v>2477</v>
      </c>
      <c r="C2746" s="208" t="s">
        <v>1106</v>
      </c>
      <c r="D2746" s="592">
        <v>-58000</v>
      </c>
      <c r="E2746" s="212">
        <v>45413</v>
      </c>
      <c r="F2746" s="208" t="s">
        <v>110</v>
      </c>
      <c r="G2746" s="208" t="s">
        <v>122</v>
      </c>
      <c r="H2746" s="208" t="s">
        <v>175</v>
      </c>
      <c r="I2746" s="208" t="s">
        <v>2459</v>
      </c>
      <c r="J2746" s="646"/>
      <c r="K2746" s="209"/>
      <c r="L2746" s="209"/>
      <c r="M2746" s="209"/>
      <c r="N2746" s="209"/>
      <c r="O2746" s="209"/>
      <c r="P2746" s="209"/>
      <c r="Q2746" s="209"/>
      <c r="R2746" s="209"/>
      <c r="S2746" s="209"/>
      <c r="T2746" s="209"/>
    </row>
    <row r="2747" spans="1:20" ht="15" hidden="1" customHeight="1">
      <c r="A2747" s="468">
        <v>45429</v>
      </c>
      <c r="B2747" s="208" t="s">
        <v>2478</v>
      </c>
      <c r="C2747" s="208" t="s">
        <v>1106</v>
      </c>
      <c r="D2747" s="592">
        <v>-45000</v>
      </c>
      <c r="E2747" s="212">
        <v>45413</v>
      </c>
      <c r="F2747" s="601" t="s">
        <v>109</v>
      </c>
      <c r="G2747" s="208" t="s">
        <v>125</v>
      </c>
      <c r="H2747" s="208" t="s">
        <v>138</v>
      </c>
      <c r="I2747" s="208" t="s">
        <v>2459</v>
      </c>
      <c r="J2747" s="648"/>
      <c r="K2747" s="209"/>
      <c r="L2747" s="209"/>
      <c r="M2747" s="209"/>
      <c r="N2747" s="209"/>
      <c r="O2747" s="209"/>
      <c r="P2747" s="209"/>
      <c r="Q2747" s="209"/>
      <c r="R2747" s="209"/>
      <c r="S2747" s="209"/>
      <c r="T2747" s="209"/>
    </row>
    <row r="2748" spans="1:20" ht="15" hidden="1" customHeight="1">
      <c r="A2748" s="468">
        <v>45429</v>
      </c>
      <c r="B2748" s="208" t="s">
        <v>2479</v>
      </c>
      <c r="C2748" s="208" t="s">
        <v>1106</v>
      </c>
      <c r="D2748" s="592">
        <v>-15000</v>
      </c>
      <c r="E2748" s="212">
        <v>45413</v>
      </c>
      <c r="F2748" s="601" t="s">
        <v>109</v>
      </c>
      <c r="G2748" s="208" t="s">
        <v>120</v>
      </c>
      <c r="H2748" s="208" t="s">
        <v>138</v>
      </c>
      <c r="I2748" s="208" t="s">
        <v>2459</v>
      </c>
      <c r="J2748" s="646"/>
      <c r="K2748" s="209"/>
      <c r="L2748" s="209"/>
      <c r="M2748" s="209"/>
      <c r="N2748" s="209"/>
      <c r="O2748" s="209"/>
      <c r="P2748" s="209"/>
      <c r="Q2748" s="209"/>
      <c r="R2748" s="209"/>
      <c r="S2748" s="209"/>
      <c r="T2748" s="209"/>
    </row>
    <row r="2749" spans="1:20" ht="15" hidden="1" customHeight="1">
      <c r="A2749" s="468">
        <v>45429</v>
      </c>
      <c r="B2749" s="208" t="s">
        <v>2480</v>
      </c>
      <c r="C2749" s="208" t="s">
        <v>1106</v>
      </c>
      <c r="D2749" s="592">
        <v>-15000</v>
      </c>
      <c r="E2749" s="212">
        <v>45413</v>
      </c>
      <c r="F2749" s="201" t="s">
        <v>110</v>
      </c>
      <c r="G2749" s="81" t="s">
        <v>1621</v>
      </c>
      <c r="H2749" s="208" t="s">
        <v>138</v>
      </c>
      <c r="I2749" s="208" t="s">
        <v>2459</v>
      </c>
      <c r="J2749" s="648"/>
      <c r="K2749" s="209"/>
      <c r="L2749" s="209"/>
      <c r="M2749" s="209"/>
      <c r="N2749" s="209"/>
      <c r="O2749" s="209"/>
      <c r="P2749" s="209"/>
      <c r="Q2749" s="209"/>
      <c r="R2749" s="209"/>
      <c r="S2749" s="209"/>
      <c r="T2749" s="209"/>
    </row>
    <row r="2750" spans="1:20" ht="15" hidden="1" customHeight="1">
      <c r="A2750" s="468">
        <v>45429</v>
      </c>
      <c r="B2750" s="208" t="s">
        <v>2481</v>
      </c>
      <c r="C2750" s="208" t="s">
        <v>1106</v>
      </c>
      <c r="D2750" s="592">
        <v>-7000</v>
      </c>
      <c r="E2750" s="212">
        <v>45413</v>
      </c>
      <c r="F2750" s="601" t="s">
        <v>109</v>
      </c>
      <c r="G2750" s="208" t="s">
        <v>125</v>
      </c>
      <c r="H2750" s="208" t="s">
        <v>138</v>
      </c>
      <c r="I2750" s="208" t="s">
        <v>2459</v>
      </c>
      <c r="J2750" s="648"/>
      <c r="K2750" s="209"/>
      <c r="L2750" s="209"/>
      <c r="M2750" s="209"/>
      <c r="N2750" s="209"/>
      <c r="O2750" s="209"/>
      <c r="P2750" s="209"/>
      <c r="Q2750" s="209"/>
      <c r="R2750" s="209"/>
      <c r="S2750" s="209"/>
      <c r="T2750" s="209"/>
    </row>
    <row r="2751" spans="1:20" ht="15" hidden="1" customHeight="1">
      <c r="A2751" s="468">
        <v>45429</v>
      </c>
      <c r="B2751" s="208" t="s">
        <v>2482</v>
      </c>
      <c r="C2751" s="208" t="s">
        <v>1106</v>
      </c>
      <c r="D2751" s="592">
        <v>-3600</v>
      </c>
      <c r="E2751" s="212">
        <v>45413</v>
      </c>
      <c r="F2751" s="601" t="s">
        <v>109</v>
      </c>
      <c r="G2751" s="208" t="s">
        <v>125</v>
      </c>
      <c r="H2751" s="208" t="s">
        <v>175</v>
      </c>
      <c r="I2751" s="208" t="s">
        <v>2459</v>
      </c>
      <c r="J2751" s="648"/>
      <c r="K2751" s="209"/>
      <c r="L2751" s="209"/>
      <c r="M2751" s="209"/>
      <c r="N2751" s="209"/>
      <c r="O2751" s="209"/>
      <c r="P2751" s="209"/>
      <c r="Q2751" s="209"/>
      <c r="R2751" s="209"/>
      <c r="S2751" s="209"/>
      <c r="T2751" s="209"/>
    </row>
    <row r="2752" spans="1:20" ht="15" hidden="1" customHeight="1">
      <c r="A2752" s="468">
        <v>45429</v>
      </c>
      <c r="B2752" s="208" t="s">
        <v>2483</v>
      </c>
      <c r="C2752" s="208" t="s">
        <v>1106</v>
      </c>
      <c r="D2752" s="592">
        <v>-19500</v>
      </c>
      <c r="E2752" s="212">
        <v>45413</v>
      </c>
      <c r="F2752" s="601" t="s">
        <v>109</v>
      </c>
      <c r="G2752" s="208" t="s">
        <v>125</v>
      </c>
      <c r="H2752" s="208" t="s">
        <v>175</v>
      </c>
      <c r="I2752" s="208" t="s">
        <v>2459</v>
      </c>
      <c r="J2752" s="648"/>
      <c r="K2752" s="209"/>
      <c r="L2752" s="209"/>
      <c r="M2752" s="209"/>
      <c r="N2752" s="209"/>
      <c r="O2752" s="209"/>
      <c r="P2752" s="209"/>
      <c r="Q2752" s="209"/>
      <c r="R2752" s="209"/>
      <c r="S2752" s="209"/>
      <c r="T2752" s="209"/>
    </row>
    <row r="2753" spans="1:20" ht="15" hidden="1" customHeight="1">
      <c r="A2753" s="468">
        <v>45430</v>
      </c>
      <c r="B2753" s="208" t="s">
        <v>2484</v>
      </c>
      <c r="C2753" s="208" t="s">
        <v>2113</v>
      </c>
      <c r="D2753" s="592">
        <v>-50000</v>
      </c>
      <c r="E2753" s="212">
        <v>45413</v>
      </c>
      <c r="F2753" s="208" t="s">
        <v>130</v>
      </c>
      <c r="G2753" s="208" t="s">
        <v>257</v>
      </c>
      <c r="H2753" s="208" t="s">
        <v>138</v>
      </c>
      <c r="I2753" s="208"/>
      <c r="J2753" s="209"/>
      <c r="K2753" s="209"/>
      <c r="L2753" s="209"/>
      <c r="M2753" s="209"/>
      <c r="N2753" s="209"/>
      <c r="O2753" s="209"/>
      <c r="P2753" s="209"/>
      <c r="Q2753" s="209"/>
      <c r="R2753" s="209"/>
      <c r="S2753" s="209"/>
      <c r="T2753" s="209"/>
    </row>
    <row r="2754" spans="1:20" ht="15" hidden="1" customHeight="1">
      <c r="A2754" s="468">
        <v>45430</v>
      </c>
      <c r="B2754" s="208" t="s">
        <v>1422</v>
      </c>
      <c r="C2754" s="208" t="s">
        <v>2113</v>
      </c>
      <c r="D2754" s="592">
        <v>30000</v>
      </c>
      <c r="E2754" s="212">
        <v>45413</v>
      </c>
      <c r="F2754" s="208" t="s">
        <v>130</v>
      </c>
      <c r="G2754" s="208" t="s">
        <v>257</v>
      </c>
      <c r="H2754" s="208" t="s">
        <v>2032</v>
      </c>
      <c r="I2754" s="208"/>
      <c r="J2754" s="209"/>
      <c r="K2754" s="209"/>
      <c r="L2754" s="209"/>
      <c r="M2754" s="209"/>
      <c r="N2754" s="209"/>
      <c r="O2754" s="209"/>
      <c r="P2754" s="209"/>
      <c r="Q2754" s="209"/>
      <c r="R2754" s="209"/>
      <c r="S2754" s="209"/>
      <c r="T2754" s="209"/>
    </row>
    <row r="2755" spans="1:20" ht="15" hidden="1" customHeight="1">
      <c r="A2755" s="468">
        <v>45431</v>
      </c>
      <c r="B2755" s="208" t="s">
        <v>2485</v>
      </c>
      <c r="C2755" s="208" t="s">
        <v>2113</v>
      </c>
      <c r="D2755" s="592">
        <v>-12000</v>
      </c>
      <c r="E2755" s="212">
        <v>45413</v>
      </c>
      <c r="F2755" s="208" t="s">
        <v>130</v>
      </c>
      <c r="G2755" s="208" t="s">
        <v>257</v>
      </c>
      <c r="H2755" s="208" t="s">
        <v>138</v>
      </c>
      <c r="I2755" s="208"/>
      <c r="J2755" s="209"/>
      <c r="K2755" s="209"/>
      <c r="L2755" s="209"/>
      <c r="M2755" s="209"/>
      <c r="N2755" s="209"/>
      <c r="O2755" s="209"/>
      <c r="P2755" s="209"/>
      <c r="Q2755" s="209"/>
      <c r="R2755" s="209"/>
      <c r="S2755" s="209"/>
      <c r="T2755" s="209"/>
    </row>
    <row r="2756" spans="1:20" ht="15" hidden="1" customHeight="1">
      <c r="A2756" s="468">
        <v>45432</v>
      </c>
      <c r="B2756" s="208" t="s">
        <v>2486</v>
      </c>
      <c r="C2756" s="208" t="s">
        <v>2113</v>
      </c>
      <c r="D2756" s="592">
        <v>-21000</v>
      </c>
      <c r="E2756" s="212">
        <v>45413</v>
      </c>
      <c r="F2756" s="208" t="s">
        <v>130</v>
      </c>
      <c r="G2756" s="208" t="s">
        <v>257</v>
      </c>
      <c r="H2756" s="208" t="s">
        <v>138</v>
      </c>
      <c r="I2756" s="208"/>
      <c r="J2756" s="209"/>
      <c r="K2756" s="209"/>
      <c r="L2756" s="209"/>
      <c r="M2756" s="209"/>
      <c r="N2756" s="209"/>
      <c r="O2756" s="209"/>
      <c r="P2756" s="209"/>
      <c r="Q2756" s="209"/>
      <c r="R2756" s="209"/>
      <c r="S2756" s="209"/>
      <c r="T2756" s="209"/>
    </row>
    <row r="2757" spans="1:20" ht="15" hidden="1" customHeight="1">
      <c r="A2757" s="468">
        <v>45432</v>
      </c>
      <c r="B2757" s="208" t="s">
        <v>2487</v>
      </c>
      <c r="C2757" s="208" t="s">
        <v>133</v>
      </c>
      <c r="D2757" s="592">
        <v>-2400</v>
      </c>
      <c r="E2757" s="212">
        <v>45413</v>
      </c>
      <c r="F2757" s="208" t="s">
        <v>130</v>
      </c>
      <c r="G2757" s="208" t="s">
        <v>130</v>
      </c>
      <c r="H2757" s="208" t="s">
        <v>138</v>
      </c>
      <c r="I2757" s="208"/>
      <c r="J2757" s="209"/>
      <c r="K2757" s="209"/>
      <c r="L2757" s="209"/>
      <c r="M2757" s="209"/>
      <c r="N2757" s="209"/>
      <c r="O2757" s="209"/>
      <c r="P2757" s="209"/>
      <c r="Q2757" s="209"/>
      <c r="R2757" s="209"/>
      <c r="S2757" s="209"/>
      <c r="T2757" s="209"/>
    </row>
    <row r="2758" spans="1:20" s="451" customFormat="1" ht="15" hidden="1" customHeight="1">
      <c r="A2758" s="468">
        <v>45432</v>
      </c>
      <c r="B2758" s="208" t="s">
        <v>2488</v>
      </c>
      <c r="C2758" s="208" t="s">
        <v>133</v>
      </c>
      <c r="D2758" s="592">
        <v>-1440</v>
      </c>
      <c r="E2758" s="212">
        <v>45413</v>
      </c>
      <c r="F2758" s="208" t="s">
        <v>130</v>
      </c>
      <c r="G2758" s="208" t="s">
        <v>130</v>
      </c>
      <c r="H2758" s="208" t="s">
        <v>138</v>
      </c>
      <c r="I2758" s="208"/>
      <c r="J2758" s="209"/>
      <c r="K2758" s="209"/>
      <c r="L2758" s="209"/>
      <c r="M2758" s="209"/>
      <c r="N2758" s="209"/>
      <c r="O2758" s="209"/>
      <c r="P2758" s="209"/>
      <c r="Q2758" s="209"/>
      <c r="R2758" s="209"/>
      <c r="S2758" s="209"/>
      <c r="T2758" s="209"/>
    </row>
    <row r="2759" spans="1:20" ht="15" hidden="1" customHeight="1">
      <c r="A2759" s="468">
        <v>45432</v>
      </c>
      <c r="B2759" s="208" t="s">
        <v>2489</v>
      </c>
      <c r="C2759" s="208" t="s">
        <v>2113</v>
      </c>
      <c r="D2759" s="592">
        <v>-2900</v>
      </c>
      <c r="E2759" s="212">
        <v>45413</v>
      </c>
      <c r="F2759" s="208" t="s">
        <v>130</v>
      </c>
      <c r="G2759" s="208" t="s">
        <v>257</v>
      </c>
      <c r="H2759" s="208" t="s">
        <v>138</v>
      </c>
      <c r="I2759" s="208"/>
      <c r="J2759" s="591"/>
      <c r="K2759" s="209"/>
      <c r="L2759" s="209"/>
      <c r="M2759" s="209"/>
      <c r="N2759" s="209"/>
      <c r="O2759" s="209"/>
      <c r="P2759" s="209"/>
      <c r="Q2759" s="209"/>
      <c r="R2759" s="209"/>
      <c r="S2759" s="209"/>
      <c r="T2759" s="209"/>
    </row>
    <row r="2760" spans="1:20" ht="15" hidden="1" customHeight="1">
      <c r="A2760" s="468">
        <v>45432</v>
      </c>
      <c r="B2760" s="208" t="s">
        <v>2490</v>
      </c>
      <c r="C2760" s="208" t="s">
        <v>2113</v>
      </c>
      <c r="D2760" s="592">
        <v>-24900</v>
      </c>
      <c r="E2760" s="212">
        <v>45413</v>
      </c>
      <c r="F2760" s="208" t="s">
        <v>130</v>
      </c>
      <c r="G2760" s="208" t="s">
        <v>257</v>
      </c>
      <c r="H2760" s="208" t="s">
        <v>138</v>
      </c>
      <c r="I2760" s="208"/>
      <c r="J2760" s="591"/>
      <c r="K2760" s="209"/>
      <c r="L2760" s="209"/>
      <c r="M2760" s="209"/>
      <c r="N2760" s="209"/>
      <c r="O2760" s="209"/>
      <c r="P2760" s="209"/>
      <c r="Q2760" s="209"/>
      <c r="R2760" s="209"/>
      <c r="S2760" s="209"/>
      <c r="T2760" s="209"/>
    </row>
    <row r="2761" spans="1:20" ht="15" hidden="1" customHeight="1">
      <c r="A2761" s="468">
        <v>45432</v>
      </c>
      <c r="B2761" s="208" t="s">
        <v>2491</v>
      </c>
      <c r="C2761" s="208" t="s">
        <v>2113</v>
      </c>
      <c r="D2761" s="592">
        <v>-2900</v>
      </c>
      <c r="E2761" s="212">
        <v>45413</v>
      </c>
      <c r="F2761" s="208" t="s">
        <v>130</v>
      </c>
      <c r="G2761" s="208" t="s">
        <v>257</v>
      </c>
      <c r="H2761" s="208" t="s">
        <v>138</v>
      </c>
      <c r="I2761" s="208"/>
      <c r="J2761" s="591"/>
      <c r="K2761" s="209"/>
      <c r="L2761" s="209"/>
      <c r="M2761" s="209"/>
      <c r="N2761" s="209"/>
      <c r="O2761" s="209"/>
      <c r="P2761" s="209"/>
      <c r="Q2761" s="209"/>
      <c r="R2761" s="209"/>
      <c r="S2761" s="209"/>
      <c r="T2761" s="209"/>
    </row>
    <row r="2762" spans="1:20" ht="15" hidden="1" customHeight="1">
      <c r="A2762" s="468">
        <v>45432</v>
      </c>
      <c r="B2762" s="208" t="s">
        <v>2492</v>
      </c>
      <c r="C2762" s="208" t="s">
        <v>2113</v>
      </c>
      <c r="D2762" s="592">
        <v>-2900</v>
      </c>
      <c r="E2762" s="212">
        <v>45413</v>
      </c>
      <c r="F2762" s="208" t="s">
        <v>130</v>
      </c>
      <c r="G2762" s="208" t="s">
        <v>257</v>
      </c>
      <c r="H2762" s="208" t="s">
        <v>138</v>
      </c>
      <c r="I2762" s="208"/>
      <c r="J2762" s="591"/>
      <c r="K2762" s="209"/>
      <c r="L2762" s="209"/>
      <c r="M2762" s="209"/>
      <c r="N2762" s="209"/>
      <c r="O2762" s="209"/>
      <c r="P2762" s="209"/>
      <c r="Q2762" s="209"/>
      <c r="R2762" s="209"/>
      <c r="S2762" s="209"/>
      <c r="T2762" s="209"/>
    </row>
    <row r="2763" spans="1:20" ht="15" hidden="1" customHeight="1">
      <c r="A2763" s="468">
        <v>45432</v>
      </c>
      <c r="B2763" s="208" t="s">
        <v>2493</v>
      </c>
      <c r="C2763" s="208" t="s">
        <v>2113</v>
      </c>
      <c r="D2763" s="592">
        <v>-2900</v>
      </c>
      <c r="E2763" s="212">
        <v>45413</v>
      </c>
      <c r="F2763" s="208" t="s">
        <v>130</v>
      </c>
      <c r="G2763" s="208" t="s">
        <v>257</v>
      </c>
      <c r="H2763" s="208" t="s">
        <v>138</v>
      </c>
      <c r="I2763" s="208"/>
      <c r="J2763" s="591"/>
      <c r="K2763" s="209"/>
      <c r="L2763" s="209"/>
      <c r="M2763" s="209"/>
      <c r="N2763" s="209"/>
      <c r="O2763" s="209"/>
      <c r="P2763" s="209"/>
      <c r="Q2763" s="209"/>
      <c r="R2763" s="209"/>
      <c r="S2763" s="209"/>
      <c r="T2763" s="209"/>
    </row>
    <row r="2764" spans="1:20" ht="15" hidden="1" customHeight="1">
      <c r="A2764" s="468">
        <v>45432</v>
      </c>
      <c r="B2764" s="208" t="s">
        <v>2494</v>
      </c>
      <c r="C2764" s="208" t="s">
        <v>2113</v>
      </c>
      <c r="D2764" s="592">
        <v>-8200</v>
      </c>
      <c r="E2764" s="212">
        <v>45413</v>
      </c>
      <c r="F2764" s="208" t="s">
        <v>130</v>
      </c>
      <c r="G2764" s="208" t="s">
        <v>130</v>
      </c>
      <c r="H2764" s="208" t="s">
        <v>2444</v>
      </c>
      <c r="I2764" s="208"/>
      <c r="J2764" s="591"/>
      <c r="K2764" s="209"/>
      <c r="L2764" s="209"/>
      <c r="M2764" s="209"/>
      <c r="N2764" s="209"/>
      <c r="O2764" s="209"/>
      <c r="P2764" s="209"/>
      <c r="Q2764" s="209"/>
      <c r="R2764" s="209"/>
      <c r="S2764" s="209"/>
      <c r="T2764" s="209"/>
    </row>
    <row r="2765" spans="1:20" ht="15" hidden="1" customHeight="1">
      <c r="A2765" s="468">
        <v>45432</v>
      </c>
      <c r="B2765" s="208" t="s">
        <v>2495</v>
      </c>
      <c r="C2765" s="208" t="s">
        <v>2113</v>
      </c>
      <c r="D2765" s="592">
        <v>-58000</v>
      </c>
      <c r="E2765" s="212">
        <v>45413</v>
      </c>
      <c r="F2765" s="208" t="s">
        <v>130</v>
      </c>
      <c r="G2765" s="208" t="s">
        <v>130</v>
      </c>
      <c r="H2765" s="208" t="s">
        <v>2444</v>
      </c>
      <c r="I2765" s="208"/>
      <c r="J2765" s="591"/>
      <c r="K2765" s="209"/>
      <c r="L2765" s="209"/>
      <c r="M2765" s="209"/>
      <c r="N2765" s="209"/>
      <c r="O2765" s="209"/>
      <c r="P2765" s="209"/>
      <c r="Q2765" s="209"/>
      <c r="R2765" s="209"/>
      <c r="S2765" s="209"/>
      <c r="T2765" s="209"/>
    </row>
    <row r="2766" spans="1:20" ht="15" hidden="1" customHeight="1">
      <c r="A2766" s="468">
        <v>45432</v>
      </c>
      <c r="B2766" s="208" t="s">
        <v>2496</v>
      </c>
      <c r="C2766" s="208" t="s">
        <v>2113</v>
      </c>
      <c r="D2766" s="592">
        <v>-12400</v>
      </c>
      <c r="E2766" s="212">
        <v>45413</v>
      </c>
      <c r="F2766" s="208" t="s">
        <v>130</v>
      </c>
      <c r="G2766" s="208" t="s">
        <v>257</v>
      </c>
      <c r="H2766" s="208" t="s">
        <v>138</v>
      </c>
      <c r="I2766" s="208"/>
      <c r="J2766" s="591"/>
      <c r="K2766" s="209"/>
      <c r="L2766" s="209"/>
      <c r="M2766" s="209"/>
      <c r="N2766" s="209"/>
      <c r="O2766" s="209"/>
      <c r="P2766" s="209"/>
      <c r="Q2766" s="209"/>
      <c r="R2766" s="209"/>
      <c r="S2766" s="209"/>
      <c r="T2766" s="209"/>
    </row>
    <row r="2767" spans="1:20" ht="15" hidden="1" customHeight="1">
      <c r="A2767" s="468">
        <v>45432</v>
      </c>
      <c r="B2767" s="208" t="s">
        <v>2497</v>
      </c>
      <c r="C2767" s="208" t="s">
        <v>2113</v>
      </c>
      <c r="D2767" s="592">
        <v>-89160</v>
      </c>
      <c r="E2767" s="212">
        <v>45413</v>
      </c>
      <c r="F2767" s="201" t="s">
        <v>110</v>
      </c>
      <c r="G2767" s="81" t="s">
        <v>1621</v>
      </c>
      <c r="H2767" s="208" t="s">
        <v>138</v>
      </c>
      <c r="I2767" s="208"/>
      <c r="J2767" s="591"/>
      <c r="K2767" s="209"/>
      <c r="L2767" s="209"/>
      <c r="M2767" s="209"/>
      <c r="N2767" s="209"/>
      <c r="O2767" s="209"/>
      <c r="P2767" s="209"/>
      <c r="Q2767" s="209"/>
      <c r="R2767" s="209"/>
      <c r="S2767" s="209"/>
      <c r="T2767" s="209"/>
    </row>
    <row r="2768" spans="1:20" ht="15" hidden="1" customHeight="1">
      <c r="A2768" s="468">
        <v>45432</v>
      </c>
      <c r="B2768" s="208" t="s">
        <v>2497</v>
      </c>
      <c r="C2768" s="208" t="s">
        <v>2113</v>
      </c>
      <c r="D2768" s="592">
        <v>-30000</v>
      </c>
      <c r="E2768" s="212">
        <v>45413</v>
      </c>
      <c r="F2768" s="208" t="s">
        <v>130</v>
      </c>
      <c r="G2768" s="208" t="s">
        <v>130</v>
      </c>
      <c r="H2768" s="208" t="s">
        <v>138</v>
      </c>
      <c r="I2768" s="208"/>
      <c r="J2768" s="591"/>
      <c r="K2768" s="209"/>
      <c r="L2768" s="209"/>
      <c r="M2768" s="209"/>
      <c r="N2768" s="209"/>
      <c r="O2768" s="209"/>
      <c r="P2768" s="209"/>
      <c r="Q2768" s="209"/>
      <c r="R2768" s="209"/>
      <c r="S2768" s="209"/>
      <c r="T2768" s="209"/>
    </row>
    <row r="2769" spans="1:20" ht="15" hidden="1" customHeight="1">
      <c r="A2769" s="468">
        <v>45432</v>
      </c>
      <c r="B2769" s="208" t="s">
        <v>2497</v>
      </c>
      <c r="C2769" s="208" t="s">
        <v>2113</v>
      </c>
      <c r="D2769" s="592">
        <v>-81000</v>
      </c>
      <c r="E2769" s="212">
        <v>45413</v>
      </c>
      <c r="F2769" s="601" t="s">
        <v>109</v>
      </c>
      <c r="G2769" s="208" t="s">
        <v>125</v>
      </c>
      <c r="H2769" s="208" t="s">
        <v>138</v>
      </c>
      <c r="I2769" s="208"/>
      <c r="J2769" s="591"/>
      <c r="K2769" s="209"/>
      <c r="L2769" s="209"/>
      <c r="M2769" s="209"/>
      <c r="N2769" s="209"/>
      <c r="O2769" s="209"/>
      <c r="P2769" s="209"/>
      <c r="Q2769" s="209"/>
      <c r="R2769" s="209"/>
      <c r="S2769" s="209"/>
      <c r="T2769" s="209"/>
    </row>
    <row r="2770" spans="1:20" ht="15" hidden="1" customHeight="1">
      <c r="A2770" s="468">
        <v>45432</v>
      </c>
      <c r="B2770" s="208" t="s">
        <v>2497</v>
      </c>
      <c r="C2770" s="208" t="s">
        <v>2113</v>
      </c>
      <c r="D2770" s="592">
        <v>-6000</v>
      </c>
      <c r="E2770" s="212">
        <v>45413</v>
      </c>
      <c r="F2770" s="601" t="s">
        <v>109</v>
      </c>
      <c r="G2770" s="208" t="s">
        <v>120</v>
      </c>
      <c r="H2770" s="208" t="s">
        <v>138</v>
      </c>
      <c r="I2770" s="208"/>
      <c r="J2770" s="591"/>
      <c r="K2770" s="209"/>
      <c r="L2770" s="209"/>
      <c r="M2770" s="209"/>
      <c r="N2770" s="209"/>
      <c r="O2770" s="209"/>
      <c r="P2770" s="209"/>
      <c r="Q2770" s="209"/>
      <c r="R2770" s="209"/>
      <c r="S2770" s="209"/>
      <c r="T2770" s="209"/>
    </row>
    <row r="2771" spans="1:20" ht="15" hidden="1" customHeight="1">
      <c r="A2771" s="468">
        <v>45432</v>
      </c>
      <c r="B2771" s="208" t="s">
        <v>2497</v>
      </c>
      <c r="C2771" s="208" t="s">
        <v>2113</v>
      </c>
      <c r="D2771" s="592">
        <v>-30000</v>
      </c>
      <c r="E2771" s="212">
        <v>45413</v>
      </c>
      <c r="F2771" s="208" t="s">
        <v>207</v>
      </c>
      <c r="G2771" s="81" t="s">
        <v>2226</v>
      </c>
      <c r="H2771" s="208" t="s">
        <v>138</v>
      </c>
      <c r="I2771" s="208"/>
      <c r="J2771" s="591"/>
      <c r="K2771" s="209"/>
      <c r="L2771" s="209"/>
      <c r="M2771" s="209"/>
      <c r="N2771" s="209"/>
      <c r="O2771" s="209"/>
      <c r="P2771" s="209"/>
      <c r="Q2771" s="209"/>
      <c r="R2771" s="209"/>
      <c r="S2771" s="209"/>
      <c r="T2771" s="209"/>
    </row>
    <row r="2772" spans="1:20" ht="15" hidden="1" customHeight="1">
      <c r="A2772" s="468">
        <v>45432</v>
      </c>
      <c r="B2772" s="208" t="s">
        <v>2498</v>
      </c>
      <c r="C2772" s="208" t="s">
        <v>1106</v>
      </c>
      <c r="D2772" s="592">
        <v>-15000</v>
      </c>
      <c r="E2772" s="212">
        <v>45413</v>
      </c>
      <c r="F2772" s="601" t="s">
        <v>109</v>
      </c>
      <c r="G2772" s="208" t="s">
        <v>125</v>
      </c>
      <c r="H2772" s="208" t="s">
        <v>138</v>
      </c>
      <c r="I2772" s="208" t="s">
        <v>2459</v>
      </c>
      <c r="J2772" s="590"/>
      <c r="K2772" s="209"/>
      <c r="L2772" s="209"/>
      <c r="M2772" s="209"/>
      <c r="N2772" s="209"/>
      <c r="O2772" s="209"/>
      <c r="P2772" s="209"/>
      <c r="Q2772" s="209"/>
      <c r="R2772" s="209"/>
      <c r="S2772" s="209"/>
      <c r="T2772" s="209"/>
    </row>
    <row r="2773" spans="1:20" ht="15" hidden="1" customHeight="1">
      <c r="A2773" s="468">
        <v>45432</v>
      </c>
      <c r="B2773" s="208" t="s">
        <v>2499</v>
      </c>
      <c r="C2773" s="208" t="s">
        <v>1106</v>
      </c>
      <c r="D2773" s="592">
        <v>-25000</v>
      </c>
      <c r="E2773" s="212">
        <v>45413</v>
      </c>
      <c r="F2773" s="201" t="s">
        <v>110</v>
      </c>
      <c r="G2773" s="81" t="s">
        <v>1621</v>
      </c>
      <c r="H2773" s="208" t="s">
        <v>175</v>
      </c>
      <c r="I2773" s="208" t="s">
        <v>2459</v>
      </c>
      <c r="J2773" s="649"/>
      <c r="K2773" s="209"/>
      <c r="L2773" s="209"/>
      <c r="M2773" s="209"/>
      <c r="N2773" s="209"/>
      <c r="O2773" s="209"/>
      <c r="P2773" s="209"/>
      <c r="Q2773" s="209"/>
      <c r="R2773" s="209"/>
      <c r="S2773" s="209"/>
      <c r="T2773" s="209"/>
    </row>
    <row r="2774" spans="1:20" ht="15" hidden="1" customHeight="1">
      <c r="A2774" s="468">
        <v>45432</v>
      </c>
      <c r="B2774" s="208" t="s">
        <v>2500</v>
      </c>
      <c r="C2774" s="208" t="s">
        <v>1106</v>
      </c>
      <c r="D2774" s="592">
        <v>-28000</v>
      </c>
      <c r="E2774" s="212">
        <v>45413</v>
      </c>
      <c r="F2774" s="201" t="s">
        <v>110</v>
      </c>
      <c r="G2774" s="81" t="s">
        <v>1621</v>
      </c>
      <c r="H2774" s="208" t="s">
        <v>175</v>
      </c>
      <c r="I2774" s="208" t="s">
        <v>2459</v>
      </c>
      <c r="J2774" s="590"/>
      <c r="K2774" s="209"/>
      <c r="L2774" s="209"/>
      <c r="M2774" s="209"/>
      <c r="N2774" s="209"/>
      <c r="O2774" s="209"/>
      <c r="P2774" s="209"/>
      <c r="Q2774" s="209"/>
      <c r="R2774" s="209"/>
      <c r="S2774" s="209"/>
      <c r="T2774" s="209"/>
    </row>
    <row r="2775" spans="1:20" ht="15" hidden="1" customHeight="1">
      <c r="A2775" s="468">
        <v>45432</v>
      </c>
      <c r="B2775" s="208" t="s">
        <v>2501</v>
      </c>
      <c r="C2775" s="208" t="s">
        <v>1106</v>
      </c>
      <c r="D2775" s="592">
        <v>-5500</v>
      </c>
      <c r="E2775" s="212">
        <v>45413</v>
      </c>
      <c r="F2775" s="601" t="s">
        <v>109</v>
      </c>
      <c r="G2775" s="208" t="s">
        <v>125</v>
      </c>
      <c r="H2775" s="208" t="s">
        <v>175</v>
      </c>
      <c r="I2775" s="208" t="s">
        <v>2459</v>
      </c>
      <c r="J2775" s="590"/>
      <c r="K2775" s="209"/>
      <c r="L2775" s="209"/>
      <c r="M2775" s="209"/>
      <c r="N2775" s="209"/>
      <c r="O2775" s="209"/>
      <c r="P2775" s="209"/>
      <c r="Q2775" s="209"/>
      <c r="R2775" s="209"/>
      <c r="S2775" s="209"/>
      <c r="T2775" s="209"/>
    </row>
    <row r="2776" spans="1:20" ht="15" hidden="1" customHeight="1">
      <c r="A2776" s="468">
        <v>45432</v>
      </c>
      <c r="B2776" s="208" t="s">
        <v>2502</v>
      </c>
      <c r="C2776" s="208" t="s">
        <v>1106</v>
      </c>
      <c r="D2776" s="592">
        <v>-22000</v>
      </c>
      <c r="E2776" s="212">
        <v>45413</v>
      </c>
      <c r="F2776" s="201" t="s">
        <v>110</v>
      </c>
      <c r="G2776" s="81" t="s">
        <v>1621</v>
      </c>
      <c r="H2776" s="208" t="s">
        <v>138</v>
      </c>
      <c r="I2776" s="208" t="s">
        <v>2459</v>
      </c>
      <c r="J2776" s="590"/>
      <c r="K2776" s="209"/>
      <c r="L2776" s="209"/>
      <c r="M2776" s="209"/>
      <c r="N2776" s="209"/>
      <c r="O2776" s="209"/>
      <c r="P2776" s="209"/>
      <c r="Q2776" s="209"/>
      <c r="R2776" s="209"/>
      <c r="S2776" s="209"/>
      <c r="T2776" s="209"/>
    </row>
    <row r="2777" spans="1:20" ht="15" hidden="1" customHeight="1">
      <c r="A2777" s="468">
        <v>45433</v>
      </c>
      <c r="B2777" s="208" t="s">
        <v>2503</v>
      </c>
      <c r="C2777" s="208" t="s">
        <v>2113</v>
      </c>
      <c r="D2777" s="592">
        <v>-24900</v>
      </c>
      <c r="E2777" s="212">
        <v>45413</v>
      </c>
      <c r="F2777" s="208" t="s">
        <v>130</v>
      </c>
      <c r="G2777" s="208" t="s">
        <v>257</v>
      </c>
      <c r="H2777" s="208" t="s">
        <v>138</v>
      </c>
      <c r="I2777" s="208"/>
      <c r="J2777" s="591"/>
      <c r="K2777" s="209"/>
      <c r="L2777" s="209"/>
      <c r="M2777" s="209"/>
      <c r="N2777" s="209"/>
      <c r="O2777" s="209"/>
      <c r="P2777" s="209"/>
      <c r="Q2777" s="209"/>
      <c r="R2777" s="209"/>
      <c r="S2777" s="209"/>
      <c r="T2777" s="209"/>
    </row>
    <row r="2778" spans="1:20" ht="15" hidden="1" customHeight="1">
      <c r="A2778" s="468">
        <v>45433</v>
      </c>
      <c r="B2778" s="208" t="s">
        <v>2504</v>
      </c>
      <c r="C2778" s="208" t="s">
        <v>2113</v>
      </c>
      <c r="D2778" s="592">
        <v>-9078</v>
      </c>
      <c r="E2778" s="212">
        <v>45413</v>
      </c>
      <c r="F2778" s="208" t="s">
        <v>130</v>
      </c>
      <c r="G2778" s="208" t="s">
        <v>257</v>
      </c>
      <c r="H2778" s="208" t="s">
        <v>138</v>
      </c>
      <c r="I2778" s="208"/>
      <c r="J2778" s="591"/>
      <c r="K2778" s="209"/>
      <c r="L2778" s="209"/>
      <c r="M2778" s="209"/>
      <c r="N2778" s="209"/>
      <c r="O2778" s="209"/>
      <c r="P2778" s="209"/>
      <c r="Q2778" s="209"/>
      <c r="R2778" s="209"/>
      <c r="S2778" s="209"/>
      <c r="T2778" s="209"/>
    </row>
    <row r="2779" spans="1:20" ht="15" hidden="1" customHeight="1">
      <c r="A2779" s="468">
        <v>45433</v>
      </c>
      <c r="B2779" s="208" t="s">
        <v>2490</v>
      </c>
      <c r="C2779" s="208" t="s">
        <v>2113</v>
      </c>
      <c r="D2779" s="592">
        <v>-24000</v>
      </c>
      <c r="E2779" s="212">
        <v>45413</v>
      </c>
      <c r="F2779" s="208" t="s">
        <v>130</v>
      </c>
      <c r="G2779" s="208" t="s">
        <v>257</v>
      </c>
      <c r="H2779" s="208" t="s">
        <v>138</v>
      </c>
      <c r="I2779" s="208"/>
      <c r="J2779" s="591"/>
      <c r="K2779" s="209"/>
      <c r="L2779" s="209"/>
      <c r="M2779" s="209"/>
      <c r="N2779" s="209"/>
      <c r="O2779" s="209"/>
      <c r="P2779" s="209"/>
      <c r="Q2779" s="209"/>
      <c r="R2779" s="209"/>
      <c r="S2779" s="209"/>
      <c r="T2779" s="209"/>
    </row>
    <row r="2780" spans="1:20" ht="15" hidden="1" customHeight="1">
      <c r="A2780" s="468">
        <v>45433</v>
      </c>
      <c r="B2780" s="208" t="s">
        <v>2505</v>
      </c>
      <c r="C2780" s="208" t="s">
        <v>2113</v>
      </c>
      <c r="D2780" s="592">
        <v>-2900</v>
      </c>
      <c r="E2780" s="212">
        <v>45413</v>
      </c>
      <c r="F2780" s="208" t="s">
        <v>130</v>
      </c>
      <c r="G2780" s="208" t="s">
        <v>257</v>
      </c>
      <c r="H2780" s="208" t="s">
        <v>138</v>
      </c>
      <c r="I2780" s="208"/>
      <c r="J2780" s="591"/>
      <c r="K2780" s="209"/>
      <c r="L2780" s="209"/>
      <c r="M2780" s="209"/>
      <c r="N2780" s="209"/>
      <c r="O2780" s="209"/>
      <c r="P2780" s="209"/>
      <c r="Q2780" s="209"/>
      <c r="R2780" s="209"/>
      <c r="S2780" s="209"/>
      <c r="T2780" s="209"/>
    </row>
    <row r="2781" spans="1:20" ht="15" hidden="1" customHeight="1">
      <c r="A2781" s="468">
        <v>45433</v>
      </c>
      <c r="B2781" s="208" t="s">
        <v>2506</v>
      </c>
      <c r="C2781" s="208" t="s">
        <v>2113</v>
      </c>
      <c r="D2781" s="592">
        <v>-2900</v>
      </c>
      <c r="E2781" s="212">
        <v>45413</v>
      </c>
      <c r="F2781" s="208" t="s">
        <v>130</v>
      </c>
      <c r="G2781" s="208" t="s">
        <v>257</v>
      </c>
      <c r="H2781" s="208" t="s">
        <v>138</v>
      </c>
      <c r="I2781" s="208"/>
      <c r="J2781" s="591"/>
      <c r="K2781" s="209"/>
      <c r="L2781" s="209"/>
      <c r="M2781" s="209"/>
      <c r="N2781" s="209"/>
      <c r="O2781" s="209"/>
      <c r="P2781" s="209"/>
      <c r="Q2781" s="209"/>
      <c r="R2781" s="209"/>
      <c r="S2781" s="209"/>
      <c r="T2781" s="209"/>
    </row>
    <row r="2782" spans="1:20" ht="15" hidden="1" customHeight="1">
      <c r="A2782" s="468">
        <v>45433</v>
      </c>
      <c r="B2782" s="208" t="s">
        <v>2507</v>
      </c>
      <c r="C2782" s="208" t="s">
        <v>2113</v>
      </c>
      <c r="D2782" s="592">
        <v>-2900</v>
      </c>
      <c r="E2782" s="212">
        <v>45413</v>
      </c>
      <c r="F2782" s="208" t="s">
        <v>130</v>
      </c>
      <c r="G2782" s="208" t="s">
        <v>257</v>
      </c>
      <c r="H2782" s="208" t="s">
        <v>138</v>
      </c>
      <c r="I2782" s="208"/>
      <c r="J2782" s="209"/>
      <c r="K2782" s="209"/>
      <c r="L2782" s="209"/>
      <c r="M2782" s="209"/>
      <c r="N2782" s="209"/>
      <c r="O2782" s="209"/>
      <c r="P2782" s="209"/>
      <c r="Q2782" s="209"/>
      <c r="R2782" s="209"/>
      <c r="S2782" s="209"/>
      <c r="T2782" s="209"/>
    </row>
    <row r="2783" spans="1:20" ht="15" hidden="1" customHeight="1">
      <c r="A2783" s="468">
        <v>45433</v>
      </c>
      <c r="B2783" s="208" t="s">
        <v>2508</v>
      </c>
      <c r="C2783" s="208" t="s">
        <v>2113</v>
      </c>
      <c r="D2783" s="592">
        <v>-2900</v>
      </c>
      <c r="E2783" s="212">
        <v>45413</v>
      </c>
      <c r="F2783" s="208" t="s">
        <v>130</v>
      </c>
      <c r="G2783" s="208" t="s">
        <v>257</v>
      </c>
      <c r="H2783" s="208" t="s">
        <v>138</v>
      </c>
      <c r="I2783" s="208"/>
      <c r="J2783" s="209"/>
      <c r="K2783" s="209"/>
      <c r="L2783" s="209"/>
      <c r="M2783" s="209"/>
      <c r="N2783" s="209"/>
      <c r="O2783" s="209"/>
      <c r="P2783" s="209"/>
      <c r="Q2783" s="209"/>
      <c r="R2783" s="209"/>
      <c r="S2783" s="209"/>
      <c r="T2783" s="209"/>
    </row>
    <row r="2784" spans="1:20" ht="15" hidden="1" customHeight="1">
      <c r="A2784" s="468">
        <v>45433</v>
      </c>
      <c r="B2784" s="208" t="s">
        <v>2509</v>
      </c>
      <c r="C2784" s="208" t="s">
        <v>2113</v>
      </c>
      <c r="D2784" s="592">
        <v>-2900</v>
      </c>
      <c r="E2784" s="212">
        <v>45413</v>
      </c>
      <c r="F2784" s="208" t="s">
        <v>130</v>
      </c>
      <c r="G2784" s="208" t="s">
        <v>257</v>
      </c>
      <c r="H2784" s="208" t="s">
        <v>138</v>
      </c>
      <c r="I2784" s="208"/>
      <c r="J2784" s="209"/>
      <c r="K2784" s="209"/>
      <c r="L2784" s="209"/>
      <c r="M2784" s="209"/>
      <c r="N2784" s="209"/>
      <c r="O2784" s="209"/>
      <c r="P2784" s="209"/>
      <c r="Q2784" s="209"/>
      <c r="R2784" s="209"/>
      <c r="S2784" s="209"/>
      <c r="T2784" s="209"/>
    </row>
    <row r="2785" spans="1:20" ht="15" hidden="1" customHeight="1">
      <c r="A2785" s="468">
        <v>45433</v>
      </c>
      <c r="B2785" s="208" t="s">
        <v>2510</v>
      </c>
      <c r="C2785" s="208" t="s">
        <v>2113</v>
      </c>
      <c r="D2785" s="592">
        <v>-2900</v>
      </c>
      <c r="E2785" s="212">
        <v>45413</v>
      </c>
      <c r="F2785" s="208" t="s">
        <v>130</v>
      </c>
      <c r="G2785" s="208" t="s">
        <v>257</v>
      </c>
      <c r="H2785" s="208" t="s">
        <v>138</v>
      </c>
      <c r="I2785" s="208"/>
      <c r="J2785" s="209"/>
      <c r="K2785" s="209"/>
      <c r="L2785" s="209"/>
      <c r="M2785" s="209"/>
      <c r="N2785" s="209"/>
      <c r="O2785" s="209"/>
      <c r="P2785" s="209"/>
      <c r="Q2785" s="209"/>
      <c r="R2785" s="209"/>
      <c r="S2785" s="209"/>
      <c r="T2785" s="209"/>
    </row>
    <row r="2786" spans="1:20" ht="15" hidden="1" customHeight="1">
      <c r="A2786" s="468">
        <v>45433</v>
      </c>
      <c r="B2786" s="208" t="s">
        <v>2511</v>
      </c>
      <c r="C2786" s="208" t="s">
        <v>2113</v>
      </c>
      <c r="D2786" s="592">
        <v>-15000</v>
      </c>
      <c r="E2786" s="212">
        <v>45413</v>
      </c>
      <c r="F2786" s="601" t="s">
        <v>109</v>
      </c>
      <c r="G2786" s="208" t="s">
        <v>125</v>
      </c>
      <c r="H2786" s="208" t="s">
        <v>138</v>
      </c>
      <c r="I2786" s="208"/>
      <c r="J2786" s="209"/>
      <c r="K2786" s="209"/>
      <c r="L2786" s="209"/>
      <c r="M2786" s="209"/>
      <c r="N2786" s="209"/>
      <c r="O2786" s="209"/>
      <c r="P2786" s="209"/>
      <c r="Q2786" s="209"/>
      <c r="R2786" s="209"/>
      <c r="S2786" s="209"/>
      <c r="T2786" s="209"/>
    </row>
    <row r="2787" spans="1:20" ht="15" hidden="1" customHeight="1">
      <c r="A2787" s="468">
        <v>45433</v>
      </c>
      <c r="B2787" s="208" t="s">
        <v>2511</v>
      </c>
      <c r="C2787" s="208" t="s">
        <v>2113</v>
      </c>
      <c r="D2787" s="592">
        <v>-46000</v>
      </c>
      <c r="E2787" s="212">
        <v>45413</v>
      </c>
      <c r="F2787" s="208" t="s">
        <v>207</v>
      </c>
      <c r="G2787" s="81" t="s">
        <v>2226</v>
      </c>
      <c r="H2787" s="208" t="s">
        <v>138</v>
      </c>
      <c r="I2787" s="208"/>
      <c r="J2787" s="209"/>
      <c r="K2787" s="209"/>
      <c r="L2787" s="209"/>
      <c r="M2787" s="209"/>
      <c r="N2787" s="209"/>
      <c r="O2787" s="209"/>
      <c r="P2787" s="209"/>
      <c r="Q2787" s="209"/>
      <c r="R2787" s="209"/>
      <c r="S2787" s="209"/>
      <c r="T2787" s="209"/>
    </row>
    <row r="2788" spans="1:20" ht="15" hidden="1" customHeight="1">
      <c r="A2788" s="468">
        <v>45433</v>
      </c>
      <c r="B2788" s="208" t="s">
        <v>2511</v>
      </c>
      <c r="C2788" s="208" t="s">
        <v>2113</v>
      </c>
      <c r="D2788" s="592">
        <v>-6000</v>
      </c>
      <c r="E2788" s="212">
        <v>45413</v>
      </c>
      <c r="F2788" s="291" t="s">
        <v>109</v>
      </c>
      <c r="G2788" s="208" t="s">
        <v>525</v>
      </c>
      <c r="H2788" s="208" t="s">
        <v>138</v>
      </c>
      <c r="I2788" s="208"/>
      <c r="J2788" s="209"/>
      <c r="K2788" s="209"/>
      <c r="L2788" s="209"/>
      <c r="M2788" s="209"/>
      <c r="N2788" s="209"/>
      <c r="O2788" s="209"/>
      <c r="P2788" s="209"/>
      <c r="Q2788" s="209"/>
      <c r="R2788" s="209"/>
      <c r="S2788" s="209"/>
      <c r="T2788" s="209"/>
    </row>
    <row r="2789" spans="1:20" ht="15" hidden="1" customHeight="1">
      <c r="A2789" s="468">
        <v>45433</v>
      </c>
      <c r="B2789" s="208" t="s">
        <v>2511</v>
      </c>
      <c r="C2789" s="208" t="s">
        <v>2113</v>
      </c>
      <c r="D2789" s="592">
        <v>-25000</v>
      </c>
      <c r="E2789" s="212">
        <v>45413</v>
      </c>
      <c r="F2789" s="601" t="s">
        <v>109</v>
      </c>
      <c r="G2789" s="208" t="s">
        <v>120</v>
      </c>
      <c r="H2789" s="208" t="s">
        <v>138</v>
      </c>
      <c r="I2789" s="208"/>
      <c r="J2789" s="209"/>
      <c r="K2789" s="209"/>
      <c r="L2789" s="209"/>
      <c r="M2789" s="209"/>
      <c r="N2789" s="209"/>
      <c r="O2789" s="209"/>
      <c r="P2789" s="209"/>
      <c r="Q2789" s="209"/>
      <c r="R2789" s="209"/>
      <c r="S2789" s="209"/>
      <c r="T2789" s="209"/>
    </row>
    <row r="2790" spans="1:20" ht="15" hidden="1" customHeight="1">
      <c r="A2790" s="468">
        <v>45433</v>
      </c>
      <c r="B2790" s="208" t="s">
        <v>2511</v>
      </c>
      <c r="C2790" s="208" t="s">
        <v>2113</v>
      </c>
      <c r="D2790" s="592">
        <v>-73000</v>
      </c>
      <c r="E2790" s="212">
        <v>45413</v>
      </c>
      <c r="F2790" s="201" t="s">
        <v>110</v>
      </c>
      <c r="G2790" s="81" t="s">
        <v>1621</v>
      </c>
      <c r="H2790" s="208" t="s">
        <v>138</v>
      </c>
      <c r="I2790" s="208"/>
      <c r="J2790" s="209"/>
      <c r="K2790" s="209"/>
      <c r="L2790" s="209"/>
      <c r="M2790" s="209"/>
      <c r="N2790" s="209"/>
      <c r="O2790" s="209"/>
      <c r="P2790" s="209"/>
      <c r="Q2790" s="209"/>
      <c r="R2790" s="209"/>
      <c r="S2790" s="209"/>
      <c r="T2790" s="209"/>
    </row>
    <row r="2791" spans="1:20" ht="15" hidden="1" customHeight="1">
      <c r="A2791" s="468">
        <v>45433</v>
      </c>
      <c r="B2791" s="208" t="s">
        <v>2511</v>
      </c>
      <c r="C2791" s="208" t="s">
        <v>2113</v>
      </c>
      <c r="D2791" s="592">
        <v>-6000</v>
      </c>
      <c r="E2791" s="212">
        <v>45413</v>
      </c>
      <c r="F2791" s="208" t="s">
        <v>130</v>
      </c>
      <c r="G2791" s="650" t="s">
        <v>130</v>
      </c>
      <c r="H2791" s="208" t="s">
        <v>138</v>
      </c>
      <c r="I2791" s="208"/>
      <c r="J2791" s="209"/>
      <c r="K2791" s="209"/>
      <c r="L2791" s="209"/>
      <c r="M2791" s="209"/>
      <c r="N2791" s="209"/>
      <c r="O2791" s="209"/>
      <c r="P2791" s="209"/>
      <c r="Q2791" s="209"/>
      <c r="R2791" s="209"/>
      <c r="S2791" s="209"/>
      <c r="T2791" s="209"/>
    </row>
    <row r="2792" spans="1:20" ht="15" hidden="1" customHeight="1">
      <c r="A2792" s="468">
        <v>45433</v>
      </c>
      <c r="B2792" s="208" t="s">
        <v>2500</v>
      </c>
      <c r="C2792" s="208" t="s">
        <v>1106</v>
      </c>
      <c r="D2792" s="592">
        <v>-14000</v>
      </c>
      <c r="E2792" s="212">
        <v>45413</v>
      </c>
      <c r="F2792" s="601" t="s">
        <v>109</v>
      </c>
      <c r="G2792" s="201" t="s">
        <v>1261</v>
      </c>
      <c r="H2792" s="208" t="s">
        <v>147</v>
      </c>
      <c r="I2792" s="208" t="s">
        <v>2459</v>
      </c>
      <c r="J2792" s="646"/>
      <c r="K2792" s="209"/>
      <c r="L2792" s="209"/>
      <c r="M2792" s="209"/>
      <c r="N2792" s="209"/>
      <c r="O2792" s="209"/>
      <c r="P2792" s="209"/>
      <c r="Q2792" s="209"/>
      <c r="R2792" s="209"/>
      <c r="S2792" s="209"/>
      <c r="T2792" s="209"/>
    </row>
    <row r="2793" spans="1:20" ht="15" hidden="1" customHeight="1">
      <c r="A2793" s="468">
        <v>45433</v>
      </c>
      <c r="B2793" s="208" t="s">
        <v>2512</v>
      </c>
      <c r="C2793" s="208" t="s">
        <v>1106</v>
      </c>
      <c r="D2793" s="592">
        <v>-800</v>
      </c>
      <c r="E2793" s="212">
        <v>45413</v>
      </c>
      <c r="F2793" s="201" t="s">
        <v>110</v>
      </c>
      <c r="G2793" s="81" t="s">
        <v>1621</v>
      </c>
      <c r="H2793" s="208" t="s">
        <v>175</v>
      </c>
      <c r="I2793" s="208" t="s">
        <v>2459</v>
      </c>
      <c r="J2793" s="648"/>
      <c r="K2793" s="209"/>
      <c r="L2793" s="209"/>
      <c r="M2793" s="209"/>
      <c r="N2793" s="209"/>
      <c r="O2793" s="209"/>
      <c r="P2793" s="209"/>
      <c r="Q2793" s="209"/>
      <c r="R2793" s="209"/>
      <c r="S2793" s="209"/>
      <c r="T2793" s="209"/>
    </row>
    <row r="2794" spans="1:20" ht="15" hidden="1" customHeight="1">
      <c r="A2794" s="468">
        <v>45433</v>
      </c>
      <c r="B2794" s="208" t="s">
        <v>2513</v>
      </c>
      <c r="C2794" s="208" t="s">
        <v>1106</v>
      </c>
      <c r="D2794" s="592">
        <v>-30600</v>
      </c>
      <c r="E2794" s="212">
        <v>45413</v>
      </c>
      <c r="F2794" s="208" t="s">
        <v>130</v>
      </c>
      <c r="G2794" s="650" t="s">
        <v>130</v>
      </c>
      <c r="H2794" s="208" t="s">
        <v>2444</v>
      </c>
      <c r="I2794" s="208" t="s">
        <v>2459</v>
      </c>
      <c r="J2794" s="648"/>
      <c r="K2794" s="209"/>
      <c r="L2794" s="209"/>
      <c r="M2794" s="209"/>
      <c r="N2794" s="209"/>
      <c r="O2794" s="209"/>
      <c r="P2794" s="209"/>
      <c r="Q2794" s="209"/>
      <c r="R2794" s="209"/>
      <c r="S2794" s="209"/>
      <c r="T2794" s="209"/>
    </row>
    <row r="2795" spans="1:20" ht="15" hidden="1" customHeight="1">
      <c r="A2795" s="468">
        <v>45433</v>
      </c>
      <c r="B2795" s="208" t="s">
        <v>2514</v>
      </c>
      <c r="C2795" s="208" t="s">
        <v>1106</v>
      </c>
      <c r="D2795" s="592">
        <v>-65000</v>
      </c>
      <c r="E2795" s="212">
        <v>45413</v>
      </c>
      <c r="F2795" s="601" t="s">
        <v>109</v>
      </c>
      <c r="G2795" s="208" t="s">
        <v>120</v>
      </c>
      <c r="H2795" s="208" t="s">
        <v>138</v>
      </c>
      <c r="I2795" s="208" t="s">
        <v>2459</v>
      </c>
      <c r="J2795" s="651"/>
      <c r="K2795" s="209"/>
      <c r="L2795" s="209"/>
      <c r="M2795" s="209"/>
      <c r="N2795" s="209"/>
      <c r="O2795" s="209"/>
      <c r="P2795" s="209"/>
      <c r="Q2795" s="209"/>
      <c r="R2795" s="209"/>
      <c r="S2795" s="209"/>
      <c r="T2795" s="209"/>
    </row>
    <row r="2796" spans="1:20" ht="15" hidden="1" customHeight="1">
      <c r="A2796" s="468">
        <v>45433</v>
      </c>
      <c r="B2796" s="208" t="s">
        <v>2515</v>
      </c>
      <c r="C2796" s="208" t="s">
        <v>1106</v>
      </c>
      <c r="D2796" s="592">
        <v>-109000</v>
      </c>
      <c r="E2796" s="212">
        <v>45413</v>
      </c>
      <c r="F2796" s="601" t="s">
        <v>109</v>
      </c>
      <c r="G2796" s="208" t="s">
        <v>120</v>
      </c>
      <c r="H2796" s="208" t="s">
        <v>175</v>
      </c>
      <c r="I2796" s="208" t="s">
        <v>2459</v>
      </c>
      <c r="J2796" s="648"/>
      <c r="K2796" s="209"/>
      <c r="L2796" s="209"/>
      <c r="M2796" s="209"/>
      <c r="N2796" s="209"/>
      <c r="O2796" s="209"/>
      <c r="P2796" s="209"/>
      <c r="Q2796" s="209"/>
      <c r="R2796" s="209"/>
      <c r="S2796" s="209"/>
      <c r="T2796" s="209"/>
    </row>
    <row r="2797" spans="1:20" ht="15" hidden="1" customHeight="1">
      <c r="A2797" s="468">
        <v>45433</v>
      </c>
      <c r="B2797" s="208" t="s">
        <v>2516</v>
      </c>
      <c r="C2797" s="208" t="s">
        <v>1106</v>
      </c>
      <c r="D2797" s="592">
        <v>-60800</v>
      </c>
      <c r="E2797" s="212">
        <v>45413</v>
      </c>
      <c r="F2797" s="601" t="s">
        <v>109</v>
      </c>
      <c r="G2797" s="201" t="s">
        <v>1261</v>
      </c>
      <c r="H2797" s="208" t="s">
        <v>175</v>
      </c>
      <c r="I2797" s="208" t="s">
        <v>2459</v>
      </c>
      <c r="J2797" s="648"/>
      <c r="K2797" s="209"/>
      <c r="L2797" s="209"/>
      <c r="M2797" s="209"/>
      <c r="N2797" s="209"/>
      <c r="O2797" s="209"/>
      <c r="P2797" s="209"/>
      <c r="Q2797" s="209"/>
      <c r="R2797" s="209"/>
      <c r="S2797" s="209"/>
      <c r="T2797" s="209"/>
    </row>
    <row r="2798" spans="1:20" ht="15" hidden="1" customHeight="1">
      <c r="A2798" s="468">
        <v>45433</v>
      </c>
      <c r="B2798" s="208" t="s">
        <v>2517</v>
      </c>
      <c r="C2798" s="208" t="s">
        <v>1106</v>
      </c>
      <c r="D2798" s="592">
        <v>-39400</v>
      </c>
      <c r="E2798" s="212">
        <v>45413</v>
      </c>
      <c r="F2798" s="201" t="s">
        <v>110</v>
      </c>
      <c r="G2798" s="81" t="s">
        <v>1621</v>
      </c>
      <c r="H2798" s="208" t="s">
        <v>175</v>
      </c>
      <c r="I2798" s="208" t="s">
        <v>2459</v>
      </c>
      <c r="J2798" s="648"/>
      <c r="K2798" s="209"/>
      <c r="L2798" s="209"/>
      <c r="M2798" s="209"/>
      <c r="N2798" s="209"/>
      <c r="O2798" s="209"/>
      <c r="P2798" s="209"/>
      <c r="Q2798" s="209"/>
      <c r="R2798" s="209"/>
      <c r="S2798" s="209"/>
      <c r="T2798" s="209"/>
    </row>
    <row r="2799" spans="1:20" ht="15" hidden="1" customHeight="1">
      <c r="A2799" s="468">
        <v>45433</v>
      </c>
      <c r="B2799" s="208" t="s">
        <v>2518</v>
      </c>
      <c r="C2799" s="208" t="s">
        <v>146</v>
      </c>
      <c r="D2799" s="592">
        <v>-24000</v>
      </c>
      <c r="E2799" s="212">
        <v>45413</v>
      </c>
      <c r="F2799" s="201" t="s">
        <v>110</v>
      </c>
      <c r="G2799" s="81" t="s">
        <v>1621</v>
      </c>
      <c r="H2799" s="208" t="s">
        <v>138</v>
      </c>
      <c r="I2799" s="208" t="s">
        <v>2052</v>
      </c>
      <c r="J2799" s="209"/>
      <c r="K2799" s="209"/>
      <c r="L2799" s="209"/>
      <c r="M2799" s="209"/>
      <c r="N2799" s="209"/>
      <c r="O2799" s="209"/>
      <c r="P2799" s="209"/>
      <c r="Q2799" s="209"/>
      <c r="R2799" s="209"/>
      <c r="S2799" s="209"/>
      <c r="T2799" s="209"/>
    </row>
    <row r="2800" spans="1:20" ht="15" hidden="1" customHeight="1">
      <c r="A2800" s="468">
        <v>45433</v>
      </c>
      <c r="B2800" s="208" t="s">
        <v>2519</v>
      </c>
      <c r="C2800" s="208" t="s">
        <v>146</v>
      </c>
      <c r="D2800" s="592">
        <v>-6000</v>
      </c>
      <c r="E2800" s="212">
        <v>45413</v>
      </c>
      <c r="F2800" s="201" t="s">
        <v>110</v>
      </c>
      <c r="G2800" s="81" t="s">
        <v>1621</v>
      </c>
      <c r="H2800" s="208" t="s">
        <v>138</v>
      </c>
      <c r="I2800" s="208" t="s">
        <v>2052</v>
      </c>
      <c r="J2800" s="209"/>
      <c r="K2800" s="209"/>
      <c r="L2800" s="209"/>
      <c r="M2800" s="209"/>
      <c r="N2800" s="209"/>
      <c r="O2800" s="209"/>
      <c r="P2800" s="209"/>
      <c r="Q2800" s="209"/>
      <c r="R2800" s="209"/>
      <c r="S2800" s="209"/>
      <c r="T2800" s="209"/>
    </row>
    <row r="2801" spans="1:20" ht="15" hidden="1" customHeight="1">
      <c r="A2801" s="468">
        <v>45433</v>
      </c>
      <c r="B2801" s="208" t="s">
        <v>1933</v>
      </c>
      <c r="C2801" s="208" t="s">
        <v>146</v>
      </c>
      <c r="D2801" s="592">
        <v>-12000</v>
      </c>
      <c r="E2801" s="212">
        <v>45413</v>
      </c>
      <c r="F2801" s="601" t="s">
        <v>109</v>
      </c>
      <c r="G2801" s="201" t="s">
        <v>1261</v>
      </c>
      <c r="H2801" s="208" t="s">
        <v>138</v>
      </c>
      <c r="I2801" s="208" t="s">
        <v>2052</v>
      </c>
      <c r="J2801" s="209"/>
      <c r="K2801" s="209"/>
      <c r="L2801" s="209"/>
      <c r="M2801" s="209"/>
      <c r="N2801" s="209"/>
      <c r="O2801" s="209"/>
      <c r="P2801" s="209"/>
      <c r="Q2801" s="209"/>
      <c r="R2801" s="209"/>
      <c r="S2801" s="209"/>
      <c r="T2801" s="209"/>
    </row>
    <row r="2802" spans="1:20" ht="15" hidden="1" customHeight="1">
      <c r="A2802" s="468">
        <v>45434</v>
      </c>
      <c r="B2802" s="208" t="s">
        <v>2490</v>
      </c>
      <c r="C2802" s="208" t="s">
        <v>2113</v>
      </c>
      <c r="D2802" s="592">
        <v>-20000</v>
      </c>
      <c r="E2802" s="212">
        <v>45413</v>
      </c>
      <c r="F2802" s="208" t="s">
        <v>130</v>
      </c>
      <c r="G2802" s="650" t="s">
        <v>257</v>
      </c>
      <c r="H2802" s="208" t="s">
        <v>138</v>
      </c>
      <c r="I2802" s="208"/>
      <c r="J2802" s="209"/>
      <c r="K2802" s="209"/>
      <c r="L2802" s="209"/>
      <c r="M2802" s="209"/>
      <c r="N2802" s="209"/>
      <c r="O2802" s="209"/>
      <c r="P2802" s="209"/>
      <c r="Q2802" s="209"/>
      <c r="R2802" s="209"/>
      <c r="S2802" s="209"/>
      <c r="T2802" s="209"/>
    </row>
    <row r="2803" spans="1:20" ht="15" hidden="1" customHeight="1">
      <c r="A2803" s="468">
        <v>45434</v>
      </c>
      <c r="B2803" s="208" t="s">
        <v>2520</v>
      </c>
      <c r="C2803" s="208" t="s">
        <v>2113</v>
      </c>
      <c r="D2803" s="592">
        <v>-160000</v>
      </c>
      <c r="E2803" s="212">
        <v>45413</v>
      </c>
      <c r="F2803" s="208" t="s">
        <v>130</v>
      </c>
      <c r="G2803" s="650" t="s">
        <v>257</v>
      </c>
      <c r="H2803" s="208" t="s">
        <v>1138</v>
      </c>
      <c r="I2803" s="208"/>
      <c r="J2803" s="209"/>
      <c r="K2803" s="209"/>
      <c r="L2803" s="209"/>
      <c r="M2803" s="209"/>
      <c r="N2803" s="209"/>
      <c r="O2803" s="209"/>
      <c r="P2803" s="209"/>
      <c r="Q2803" s="209"/>
      <c r="R2803" s="209"/>
      <c r="S2803" s="209"/>
      <c r="T2803" s="209"/>
    </row>
    <row r="2804" spans="1:20" ht="15" hidden="1" customHeight="1">
      <c r="A2804" s="468">
        <v>45434</v>
      </c>
      <c r="B2804" s="208" t="s">
        <v>2521</v>
      </c>
      <c r="C2804" s="208" t="s">
        <v>2113</v>
      </c>
      <c r="D2804" s="592">
        <v>-2900</v>
      </c>
      <c r="E2804" s="212">
        <v>45413</v>
      </c>
      <c r="F2804" s="208" t="s">
        <v>130</v>
      </c>
      <c r="G2804" s="650" t="s">
        <v>257</v>
      </c>
      <c r="H2804" s="208" t="s">
        <v>138</v>
      </c>
      <c r="I2804" s="208"/>
      <c r="J2804" s="209"/>
      <c r="K2804" s="209"/>
      <c r="L2804" s="209"/>
      <c r="M2804" s="209"/>
      <c r="N2804" s="209"/>
      <c r="O2804" s="209"/>
      <c r="P2804" s="209"/>
      <c r="Q2804" s="209"/>
      <c r="R2804" s="209"/>
      <c r="S2804" s="209"/>
      <c r="T2804" s="209"/>
    </row>
    <row r="2805" spans="1:20" ht="15" hidden="1" customHeight="1">
      <c r="A2805" s="468">
        <v>45434</v>
      </c>
      <c r="B2805" s="208" t="s">
        <v>2522</v>
      </c>
      <c r="C2805" s="208" t="s">
        <v>2113</v>
      </c>
      <c r="D2805" s="592">
        <v>-85000</v>
      </c>
      <c r="E2805" s="212">
        <v>45413</v>
      </c>
      <c r="F2805" s="201" t="s">
        <v>110</v>
      </c>
      <c r="G2805" s="81" t="s">
        <v>1621</v>
      </c>
      <c r="H2805" s="208" t="s">
        <v>138</v>
      </c>
      <c r="I2805" s="208"/>
      <c r="J2805" s="209"/>
      <c r="K2805" s="209"/>
      <c r="L2805" s="209"/>
      <c r="M2805" s="209"/>
      <c r="N2805" s="209"/>
      <c r="O2805" s="209"/>
      <c r="P2805" s="209"/>
      <c r="Q2805" s="209"/>
      <c r="R2805" s="209"/>
      <c r="S2805" s="209"/>
      <c r="T2805" s="209"/>
    </row>
    <row r="2806" spans="1:20" ht="15" hidden="1" customHeight="1">
      <c r="A2806" s="468">
        <v>45434</v>
      </c>
      <c r="B2806" s="208" t="s">
        <v>2523</v>
      </c>
      <c r="C2806" s="208" t="s">
        <v>2113</v>
      </c>
      <c r="D2806" s="592">
        <v>-18500</v>
      </c>
      <c r="E2806" s="212">
        <v>45413</v>
      </c>
      <c r="F2806" s="601" t="s">
        <v>109</v>
      </c>
      <c r="G2806" s="201" t="s">
        <v>1261</v>
      </c>
      <c r="H2806" s="208" t="s">
        <v>138</v>
      </c>
      <c r="I2806" s="208"/>
      <c r="J2806" s="209"/>
      <c r="K2806" s="209"/>
      <c r="L2806" s="209"/>
      <c r="M2806" s="209"/>
      <c r="N2806" s="209"/>
      <c r="O2806" s="209"/>
      <c r="P2806" s="209"/>
      <c r="Q2806" s="209"/>
      <c r="R2806" s="209"/>
      <c r="S2806" s="209"/>
      <c r="T2806" s="209"/>
    </row>
    <row r="2807" spans="1:20" ht="15" hidden="1" customHeight="1">
      <c r="A2807" s="468">
        <v>45434</v>
      </c>
      <c r="B2807" s="208" t="s">
        <v>2524</v>
      </c>
      <c r="C2807" s="208" t="s">
        <v>146</v>
      </c>
      <c r="D2807" s="800">
        <v>-7000</v>
      </c>
      <c r="E2807" s="212">
        <v>45413</v>
      </c>
      <c r="F2807" s="601" t="s">
        <v>109</v>
      </c>
      <c r="G2807" s="201" t="s">
        <v>581</v>
      </c>
      <c r="H2807" s="208" t="s">
        <v>138</v>
      </c>
      <c r="I2807" s="208" t="s">
        <v>47</v>
      </c>
      <c r="J2807" s="209"/>
      <c r="K2807" s="209"/>
      <c r="L2807" s="209"/>
      <c r="M2807" s="209"/>
      <c r="N2807" s="209"/>
      <c r="O2807" s="209"/>
      <c r="P2807" s="209"/>
      <c r="Q2807" s="209"/>
      <c r="R2807" s="209"/>
      <c r="S2807" s="209"/>
      <c r="T2807" s="209"/>
    </row>
    <row r="2808" spans="1:20" ht="15" hidden="1" customHeight="1">
      <c r="A2808" s="468">
        <v>45434</v>
      </c>
      <c r="B2808" s="208" t="s">
        <v>2525</v>
      </c>
      <c r="C2808" s="208" t="s">
        <v>146</v>
      </c>
      <c r="D2808" s="800">
        <v>-7000</v>
      </c>
      <c r="E2808" s="212">
        <v>45413</v>
      </c>
      <c r="F2808" s="601" t="s">
        <v>109</v>
      </c>
      <c r="G2808" s="201" t="s">
        <v>581</v>
      </c>
      <c r="H2808" s="208" t="s">
        <v>138</v>
      </c>
      <c r="I2808" s="208" t="s">
        <v>47</v>
      </c>
      <c r="J2808" s="209"/>
      <c r="K2808" s="209"/>
      <c r="L2808" s="209"/>
      <c r="M2808" s="209"/>
      <c r="N2808" s="209"/>
      <c r="O2808" s="209"/>
      <c r="P2808" s="209"/>
      <c r="Q2808" s="209"/>
      <c r="R2808" s="209"/>
      <c r="S2808" s="209"/>
      <c r="T2808" s="209"/>
    </row>
    <row r="2809" spans="1:20" ht="15" hidden="1" customHeight="1">
      <c r="A2809" s="468">
        <v>45435</v>
      </c>
      <c r="B2809" s="208" t="s">
        <v>2526</v>
      </c>
      <c r="C2809" s="208" t="s">
        <v>2113</v>
      </c>
      <c r="D2809" s="592">
        <v>-12000</v>
      </c>
      <c r="E2809" s="212">
        <v>45413</v>
      </c>
      <c r="F2809" s="208" t="s">
        <v>130</v>
      </c>
      <c r="G2809" s="208" t="s">
        <v>257</v>
      </c>
      <c r="H2809" s="208" t="s">
        <v>138</v>
      </c>
      <c r="I2809" s="208"/>
      <c r="J2809" s="209"/>
      <c r="K2809" s="209"/>
      <c r="L2809" s="209"/>
      <c r="M2809" s="209"/>
      <c r="N2809" s="209"/>
      <c r="O2809" s="209"/>
      <c r="P2809" s="209"/>
      <c r="Q2809" s="209"/>
      <c r="R2809" s="209"/>
      <c r="S2809" s="209"/>
      <c r="T2809" s="209"/>
    </row>
    <row r="2810" spans="1:20" ht="15" hidden="1" customHeight="1">
      <c r="A2810" s="652">
        <v>45435</v>
      </c>
      <c r="B2810" s="208" t="s">
        <v>2527</v>
      </c>
      <c r="C2810" s="208" t="s">
        <v>2113</v>
      </c>
      <c r="D2810" s="592">
        <v>-29980</v>
      </c>
      <c r="E2810" s="212">
        <v>45413</v>
      </c>
      <c r="F2810" s="208" t="s">
        <v>130</v>
      </c>
      <c r="G2810" s="208" t="s">
        <v>257</v>
      </c>
      <c r="H2810" s="208" t="s">
        <v>138</v>
      </c>
      <c r="I2810" s="208"/>
      <c r="J2810" s="209"/>
      <c r="K2810" s="209"/>
      <c r="L2810" s="209"/>
      <c r="M2810" s="209"/>
      <c r="N2810" s="209"/>
      <c r="O2810" s="209"/>
      <c r="P2810" s="209"/>
      <c r="Q2810" s="209"/>
      <c r="R2810" s="209"/>
      <c r="S2810" s="209"/>
      <c r="T2810" s="209"/>
    </row>
    <row r="2811" spans="1:20" ht="15" hidden="1" customHeight="1">
      <c r="A2811" s="468">
        <v>45435</v>
      </c>
      <c r="B2811" s="208" t="s">
        <v>2528</v>
      </c>
      <c r="C2811" s="208" t="s">
        <v>146</v>
      </c>
      <c r="D2811" s="592">
        <v>-6000</v>
      </c>
      <c r="E2811" s="212">
        <v>45413</v>
      </c>
      <c r="F2811" s="208" t="s">
        <v>130</v>
      </c>
      <c r="G2811" s="208" t="s">
        <v>130</v>
      </c>
      <c r="H2811" s="208" t="s">
        <v>138</v>
      </c>
      <c r="I2811" s="208" t="s">
        <v>2052</v>
      </c>
      <c r="J2811" s="209"/>
      <c r="K2811" s="209"/>
      <c r="L2811" s="209"/>
      <c r="M2811" s="209"/>
      <c r="N2811" s="209"/>
      <c r="O2811" s="209"/>
      <c r="P2811" s="209"/>
      <c r="Q2811" s="209"/>
      <c r="R2811" s="209"/>
      <c r="S2811" s="209"/>
      <c r="T2811" s="209"/>
    </row>
    <row r="2812" spans="1:20" ht="15" hidden="1" customHeight="1">
      <c r="A2812" s="468">
        <v>45435</v>
      </c>
      <c r="B2812" s="208" t="s">
        <v>2529</v>
      </c>
      <c r="C2812" s="208" t="s">
        <v>146</v>
      </c>
      <c r="D2812" s="592">
        <v>-6000</v>
      </c>
      <c r="E2812" s="212">
        <v>45413</v>
      </c>
      <c r="F2812" s="291" t="s">
        <v>110</v>
      </c>
      <c r="G2812" s="208" t="s">
        <v>450</v>
      </c>
      <c r="H2812" s="208" t="s">
        <v>138</v>
      </c>
      <c r="I2812" s="208" t="s">
        <v>2052</v>
      </c>
      <c r="J2812" s="209"/>
      <c r="K2812" s="209"/>
      <c r="L2812" s="209"/>
      <c r="M2812" s="209"/>
      <c r="N2812" s="209"/>
      <c r="O2812" s="209"/>
      <c r="P2812" s="209"/>
      <c r="Q2812" s="209"/>
      <c r="R2812" s="209"/>
      <c r="S2812" s="209"/>
      <c r="T2812" s="209"/>
    </row>
    <row r="2813" spans="1:20" ht="15" hidden="1" customHeight="1">
      <c r="A2813" s="468">
        <v>45435</v>
      </c>
      <c r="B2813" s="208" t="s">
        <v>2530</v>
      </c>
      <c r="C2813" s="208" t="s">
        <v>146</v>
      </c>
      <c r="D2813" s="592">
        <v>-6000</v>
      </c>
      <c r="E2813" s="212">
        <v>45413</v>
      </c>
      <c r="F2813" s="208" t="s">
        <v>2531</v>
      </c>
      <c r="G2813" s="208" t="s">
        <v>453</v>
      </c>
      <c r="H2813" s="208" t="s">
        <v>138</v>
      </c>
      <c r="I2813" s="208" t="s">
        <v>2052</v>
      </c>
      <c r="J2813" s="209"/>
      <c r="K2813" s="209"/>
      <c r="L2813" s="209"/>
      <c r="M2813" s="209"/>
      <c r="N2813" s="209"/>
      <c r="O2813" s="209"/>
      <c r="P2813" s="209"/>
      <c r="Q2813" s="209"/>
      <c r="R2813" s="209"/>
      <c r="S2813" s="209"/>
      <c r="T2813" s="209"/>
    </row>
    <row r="2814" spans="1:20" ht="15" hidden="1" customHeight="1">
      <c r="A2814" s="468">
        <v>45435</v>
      </c>
      <c r="B2814" s="208" t="s">
        <v>2532</v>
      </c>
      <c r="C2814" s="208" t="s">
        <v>146</v>
      </c>
      <c r="D2814" s="592">
        <v>-6000</v>
      </c>
      <c r="E2814" s="212">
        <v>45413</v>
      </c>
      <c r="F2814" s="208" t="s">
        <v>130</v>
      </c>
      <c r="G2814" s="208" t="s">
        <v>130</v>
      </c>
      <c r="H2814" s="208" t="s">
        <v>138</v>
      </c>
      <c r="I2814" s="208" t="s">
        <v>2052</v>
      </c>
      <c r="J2814" s="209"/>
      <c r="K2814" s="209"/>
      <c r="L2814" s="209"/>
      <c r="M2814" s="209"/>
      <c r="N2814" s="209"/>
      <c r="O2814" s="209"/>
      <c r="P2814" s="209"/>
      <c r="Q2814" s="209"/>
      <c r="R2814" s="209"/>
      <c r="S2814" s="209"/>
      <c r="T2814" s="209"/>
    </row>
    <row r="2815" spans="1:20" ht="15" hidden="1" customHeight="1">
      <c r="A2815" s="468">
        <v>45435</v>
      </c>
      <c r="B2815" s="208" t="s">
        <v>2533</v>
      </c>
      <c r="C2815" s="208" t="s">
        <v>2113</v>
      </c>
      <c r="D2815" s="592">
        <v>-48000</v>
      </c>
      <c r="E2815" s="212">
        <v>45413</v>
      </c>
      <c r="F2815" s="208" t="s">
        <v>130</v>
      </c>
      <c r="G2815" s="208" t="s">
        <v>130</v>
      </c>
      <c r="H2815" s="208" t="s">
        <v>852</v>
      </c>
      <c r="I2815" s="208"/>
      <c r="J2815" s="209"/>
      <c r="K2815" s="209"/>
      <c r="L2815" s="209"/>
      <c r="M2815" s="209"/>
      <c r="N2815" s="209"/>
      <c r="O2815" s="209"/>
      <c r="P2815" s="209"/>
      <c r="Q2815" s="209"/>
      <c r="R2815" s="209"/>
      <c r="S2815" s="209"/>
      <c r="T2815" s="209"/>
    </row>
    <row r="2816" spans="1:20" ht="15" hidden="1" customHeight="1">
      <c r="A2816" s="468">
        <v>45435</v>
      </c>
      <c r="B2816" s="208" t="s">
        <v>2534</v>
      </c>
      <c r="C2816" s="208" t="s">
        <v>2113</v>
      </c>
      <c r="D2816" s="592">
        <v>-25000</v>
      </c>
      <c r="E2816" s="212">
        <v>45413</v>
      </c>
      <c r="F2816" s="601" t="s">
        <v>109</v>
      </c>
      <c r="G2816" s="201" t="s">
        <v>1261</v>
      </c>
      <c r="H2816" s="208" t="s">
        <v>138</v>
      </c>
      <c r="I2816" s="208"/>
      <c r="J2816" s="209"/>
      <c r="K2816" s="209"/>
      <c r="L2816" s="209"/>
      <c r="M2816" s="209"/>
      <c r="N2816" s="209"/>
      <c r="O2816" s="209"/>
      <c r="P2816" s="209"/>
      <c r="Q2816" s="209"/>
      <c r="R2816" s="209"/>
      <c r="S2816" s="209"/>
      <c r="T2816" s="209"/>
    </row>
    <row r="2817" spans="1:20" ht="15" hidden="1" customHeight="1">
      <c r="A2817" s="468">
        <v>45435</v>
      </c>
      <c r="B2817" s="208" t="s">
        <v>2535</v>
      </c>
      <c r="C2817" s="208" t="s">
        <v>2113</v>
      </c>
      <c r="D2817" s="592">
        <v>-4000</v>
      </c>
      <c r="E2817" s="212">
        <v>45413</v>
      </c>
      <c r="F2817" s="208" t="s">
        <v>130</v>
      </c>
      <c r="G2817" s="208" t="s">
        <v>130</v>
      </c>
      <c r="H2817" s="208" t="s">
        <v>2444</v>
      </c>
      <c r="I2817" s="208"/>
      <c r="J2817" s="209"/>
      <c r="K2817" s="209"/>
      <c r="L2817" s="209"/>
      <c r="M2817" s="209"/>
      <c r="N2817" s="209"/>
      <c r="O2817" s="209"/>
      <c r="P2817" s="209"/>
      <c r="Q2817" s="209"/>
      <c r="R2817" s="209"/>
      <c r="S2817" s="209"/>
      <c r="T2817" s="209"/>
    </row>
    <row r="2818" spans="1:20" ht="15" hidden="1" customHeight="1">
      <c r="A2818" s="468">
        <v>45435</v>
      </c>
      <c r="B2818" s="208" t="s">
        <v>2536</v>
      </c>
      <c r="C2818" s="208" t="s">
        <v>2113</v>
      </c>
      <c r="D2818" s="592">
        <v>-15000</v>
      </c>
      <c r="E2818" s="212">
        <v>45413</v>
      </c>
      <c r="F2818" s="601" t="s">
        <v>109</v>
      </c>
      <c r="G2818" s="208" t="s">
        <v>125</v>
      </c>
      <c r="H2818" s="208" t="s">
        <v>138</v>
      </c>
      <c r="I2818" s="208"/>
      <c r="J2818" s="209"/>
      <c r="K2818" s="209"/>
      <c r="L2818" s="209"/>
      <c r="M2818" s="209"/>
      <c r="N2818" s="209"/>
      <c r="O2818" s="209"/>
      <c r="P2818" s="209"/>
      <c r="Q2818" s="209"/>
      <c r="R2818" s="209"/>
      <c r="S2818" s="209"/>
      <c r="T2818" s="209"/>
    </row>
    <row r="2819" spans="1:20" ht="15" hidden="1" customHeight="1">
      <c r="A2819" s="468">
        <v>45435</v>
      </c>
      <c r="B2819" s="208" t="s">
        <v>2537</v>
      </c>
      <c r="C2819" s="208" t="s">
        <v>2113</v>
      </c>
      <c r="D2819" s="592">
        <v>-13000</v>
      </c>
      <c r="E2819" s="212">
        <v>45413</v>
      </c>
      <c r="F2819" s="601" t="s">
        <v>109</v>
      </c>
      <c r="G2819" s="201" t="s">
        <v>1306</v>
      </c>
      <c r="H2819" s="208" t="s">
        <v>138</v>
      </c>
      <c r="I2819" s="208"/>
      <c r="J2819" s="209"/>
      <c r="K2819" s="209"/>
      <c r="L2819" s="209"/>
      <c r="M2819" s="209"/>
      <c r="N2819" s="209"/>
      <c r="O2819" s="209"/>
      <c r="P2819" s="209"/>
      <c r="Q2819" s="209"/>
      <c r="R2819" s="209"/>
      <c r="S2819" s="209"/>
      <c r="T2819" s="209"/>
    </row>
    <row r="2820" spans="1:20" ht="15" hidden="1" customHeight="1">
      <c r="A2820" s="468">
        <v>45435</v>
      </c>
      <c r="B2820" s="208" t="s">
        <v>2538</v>
      </c>
      <c r="C2820" s="208" t="s">
        <v>146</v>
      </c>
      <c r="D2820" s="800">
        <v>-6000</v>
      </c>
      <c r="E2820" s="212">
        <v>45413</v>
      </c>
      <c r="F2820" s="601" t="s">
        <v>109</v>
      </c>
      <c r="G2820" s="201" t="s">
        <v>581</v>
      </c>
      <c r="H2820" s="208" t="s">
        <v>138</v>
      </c>
      <c r="I2820" s="208" t="s">
        <v>47</v>
      </c>
      <c r="J2820" s="209"/>
      <c r="K2820" s="209"/>
      <c r="L2820" s="209"/>
      <c r="M2820" s="209"/>
      <c r="N2820" s="209"/>
      <c r="O2820" s="209"/>
      <c r="P2820" s="209"/>
      <c r="Q2820" s="209"/>
      <c r="R2820" s="209"/>
      <c r="S2820" s="209"/>
      <c r="T2820" s="209"/>
    </row>
    <row r="2821" spans="1:20" ht="15" hidden="1" customHeight="1">
      <c r="A2821" s="468">
        <v>45435</v>
      </c>
      <c r="B2821" s="208" t="s">
        <v>2539</v>
      </c>
      <c r="C2821" s="208" t="s">
        <v>146</v>
      </c>
      <c r="D2821" s="800">
        <v>-7000</v>
      </c>
      <c r="E2821" s="212">
        <v>45413</v>
      </c>
      <c r="F2821" s="601" t="s">
        <v>109</v>
      </c>
      <c r="G2821" s="201" t="s">
        <v>581</v>
      </c>
      <c r="H2821" s="208" t="s">
        <v>138</v>
      </c>
      <c r="I2821" s="208" t="s">
        <v>47</v>
      </c>
      <c r="J2821" s="209"/>
      <c r="K2821" s="209"/>
      <c r="L2821" s="209"/>
      <c r="M2821" s="209"/>
      <c r="N2821" s="209"/>
      <c r="O2821" s="209"/>
      <c r="P2821" s="209"/>
      <c r="Q2821" s="209"/>
      <c r="R2821" s="209"/>
      <c r="S2821" s="209"/>
      <c r="T2821" s="209"/>
    </row>
    <row r="2822" spans="1:20" ht="15" hidden="1" customHeight="1">
      <c r="A2822" s="468">
        <v>45435</v>
      </c>
      <c r="B2822" s="208" t="s">
        <v>2540</v>
      </c>
      <c r="C2822" s="208" t="s">
        <v>146</v>
      </c>
      <c r="D2822" s="800">
        <v>-7000</v>
      </c>
      <c r="E2822" s="212">
        <v>45413</v>
      </c>
      <c r="F2822" s="601" t="s">
        <v>109</v>
      </c>
      <c r="G2822" s="201" t="s">
        <v>581</v>
      </c>
      <c r="H2822" s="208" t="s">
        <v>138</v>
      </c>
      <c r="I2822" s="208" t="s">
        <v>47</v>
      </c>
      <c r="J2822" s="209"/>
      <c r="K2822" s="209"/>
      <c r="L2822" s="209"/>
      <c r="M2822" s="209"/>
      <c r="N2822" s="209"/>
      <c r="O2822" s="209"/>
      <c r="P2822" s="209"/>
      <c r="Q2822" s="209"/>
      <c r="R2822" s="209"/>
      <c r="S2822" s="209"/>
      <c r="T2822" s="209"/>
    </row>
    <row r="2823" spans="1:20" ht="15" hidden="1" customHeight="1">
      <c r="A2823" s="468">
        <v>45435</v>
      </c>
      <c r="B2823" s="208" t="s">
        <v>2541</v>
      </c>
      <c r="C2823" s="208" t="s">
        <v>146</v>
      </c>
      <c r="D2823" s="800">
        <v>-6200</v>
      </c>
      <c r="E2823" s="212">
        <v>45413</v>
      </c>
      <c r="F2823" s="601" t="s">
        <v>109</v>
      </c>
      <c r="G2823" s="201" t="s">
        <v>581</v>
      </c>
      <c r="H2823" s="208" t="s">
        <v>138</v>
      </c>
      <c r="I2823" s="208" t="s">
        <v>47</v>
      </c>
      <c r="J2823" s="209"/>
      <c r="K2823" s="209"/>
      <c r="L2823" s="209"/>
      <c r="M2823" s="209"/>
      <c r="N2823" s="209"/>
      <c r="O2823" s="209"/>
      <c r="P2823" s="209"/>
      <c r="Q2823" s="209"/>
      <c r="R2823" s="209"/>
      <c r="S2823" s="209"/>
      <c r="T2823" s="209"/>
    </row>
    <row r="2824" spans="1:20" ht="15" hidden="1" customHeight="1">
      <c r="A2824" s="468">
        <v>45435</v>
      </c>
      <c r="B2824" s="208" t="s">
        <v>2542</v>
      </c>
      <c r="C2824" s="208" t="s">
        <v>146</v>
      </c>
      <c r="D2824" s="800">
        <v>-6500</v>
      </c>
      <c r="E2824" s="212">
        <v>45413</v>
      </c>
      <c r="F2824" s="601" t="s">
        <v>109</v>
      </c>
      <c r="G2824" s="201" t="s">
        <v>581</v>
      </c>
      <c r="H2824" s="208" t="s">
        <v>138</v>
      </c>
      <c r="I2824" s="208" t="s">
        <v>47</v>
      </c>
      <c r="J2824" s="209"/>
      <c r="K2824" s="209"/>
      <c r="L2824" s="209"/>
      <c r="M2824" s="209"/>
      <c r="N2824" s="209"/>
      <c r="O2824" s="209"/>
      <c r="P2824" s="209"/>
      <c r="Q2824" s="209"/>
      <c r="R2824" s="209"/>
      <c r="S2824" s="209"/>
      <c r="T2824" s="209"/>
    </row>
    <row r="2825" spans="1:20" ht="15" hidden="1" customHeight="1">
      <c r="A2825" s="468">
        <v>45435</v>
      </c>
      <c r="B2825" s="208" t="s">
        <v>2543</v>
      </c>
      <c r="C2825" s="208" t="s">
        <v>146</v>
      </c>
      <c r="D2825" s="800">
        <v>-7000</v>
      </c>
      <c r="E2825" s="212">
        <v>45413</v>
      </c>
      <c r="F2825" s="601" t="s">
        <v>109</v>
      </c>
      <c r="G2825" s="201" t="s">
        <v>581</v>
      </c>
      <c r="H2825" s="208" t="s">
        <v>138</v>
      </c>
      <c r="I2825" s="208" t="s">
        <v>47</v>
      </c>
      <c r="J2825" s="209"/>
      <c r="K2825" s="209"/>
      <c r="L2825" s="209"/>
      <c r="M2825" s="209"/>
      <c r="N2825" s="209"/>
      <c r="O2825" s="209"/>
      <c r="P2825" s="209"/>
      <c r="Q2825" s="209"/>
      <c r="R2825" s="209"/>
      <c r="S2825" s="209"/>
      <c r="T2825" s="209"/>
    </row>
    <row r="2826" spans="1:20" ht="15" hidden="1" customHeight="1">
      <c r="A2826" s="468">
        <v>45435</v>
      </c>
      <c r="B2826" s="208" t="s">
        <v>2544</v>
      </c>
      <c r="C2826" s="208" t="s">
        <v>146</v>
      </c>
      <c r="D2826" s="800">
        <v>-5000</v>
      </c>
      <c r="E2826" s="212">
        <v>45413</v>
      </c>
      <c r="F2826" s="601" t="s">
        <v>109</v>
      </c>
      <c r="G2826" s="201" t="s">
        <v>581</v>
      </c>
      <c r="H2826" s="208"/>
      <c r="I2826" s="208" t="s">
        <v>47</v>
      </c>
      <c r="J2826" s="209"/>
      <c r="K2826" s="209"/>
      <c r="L2826" s="209"/>
      <c r="M2826" s="209"/>
      <c r="N2826" s="209"/>
      <c r="O2826" s="209"/>
      <c r="P2826" s="209"/>
      <c r="Q2826" s="209"/>
      <c r="R2826" s="209"/>
      <c r="S2826" s="209"/>
      <c r="T2826" s="209"/>
    </row>
    <row r="2827" spans="1:20" ht="15" hidden="1" customHeight="1">
      <c r="A2827" s="468">
        <v>45435</v>
      </c>
      <c r="B2827" s="208" t="s">
        <v>2545</v>
      </c>
      <c r="C2827" s="208" t="s">
        <v>146</v>
      </c>
      <c r="D2827" s="800">
        <v>-10800</v>
      </c>
      <c r="E2827" s="212">
        <v>45413</v>
      </c>
      <c r="F2827" s="601" t="s">
        <v>109</v>
      </c>
      <c r="G2827" s="201" t="s">
        <v>581</v>
      </c>
      <c r="H2827" s="208"/>
      <c r="I2827" s="208" t="s">
        <v>47</v>
      </c>
      <c r="J2827" s="209"/>
      <c r="K2827" s="209"/>
      <c r="L2827" s="209"/>
      <c r="M2827" s="209"/>
      <c r="N2827" s="209"/>
      <c r="O2827" s="209"/>
      <c r="P2827" s="209"/>
      <c r="Q2827" s="209"/>
      <c r="R2827" s="209"/>
      <c r="S2827" s="209"/>
      <c r="T2827" s="209"/>
    </row>
    <row r="2828" spans="1:20" ht="15" hidden="1" customHeight="1">
      <c r="A2828" s="468">
        <v>45435</v>
      </c>
      <c r="B2828" s="208" t="s">
        <v>2546</v>
      </c>
      <c r="C2828" s="208" t="s">
        <v>146</v>
      </c>
      <c r="D2828" s="800">
        <v>-48000</v>
      </c>
      <c r="E2828" s="212">
        <v>45413</v>
      </c>
      <c r="F2828" s="601" t="s">
        <v>109</v>
      </c>
      <c r="G2828" s="201" t="s">
        <v>581</v>
      </c>
      <c r="H2828" s="208"/>
      <c r="I2828" s="208" t="s">
        <v>47</v>
      </c>
      <c r="J2828" s="209"/>
      <c r="K2828" s="209"/>
      <c r="L2828" s="209"/>
      <c r="M2828" s="209"/>
      <c r="N2828" s="209"/>
      <c r="O2828" s="209"/>
      <c r="P2828" s="209"/>
      <c r="Q2828" s="209"/>
      <c r="R2828" s="209"/>
      <c r="S2828" s="209"/>
      <c r="T2828" s="209"/>
    </row>
    <row r="2829" spans="1:20" ht="15" hidden="1" customHeight="1">
      <c r="A2829" s="468">
        <v>45435</v>
      </c>
      <c r="B2829" s="208" t="s">
        <v>2547</v>
      </c>
      <c r="C2829" s="208" t="s">
        <v>146</v>
      </c>
      <c r="D2829" s="800">
        <v>-7500</v>
      </c>
      <c r="E2829" s="212">
        <v>45413</v>
      </c>
      <c r="F2829" s="601" t="s">
        <v>109</v>
      </c>
      <c r="G2829" s="201" t="s">
        <v>581</v>
      </c>
      <c r="H2829" s="208" t="s">
        <v>175</v>
      </c>
      <c r="I2829" s="208" t="s">
        <v>47</v>
      </c>
      <c r="J2829" s="209"/>
      <c r="K2829" s="209"/>
      <c r="L2829" s="209"/>
      <c r="M2829" s="209"/>
      <c r="N2829" s="209"/>
      <c r="O2829" s="209"/>
      <c r="P2829" s="209"/>
      <c r="Q2829" s="209"/>
      <c r="R2829" s="209"/>
      <c r="S2829" s="209"/>
      <c r="T2829" s="209"/>
    </row>
    <row r="2830" spans="1:20" ht="15" hidden="1" customHeight="1">
      <c r="A2830" s="468">
        <v>45435</v>
      </c>
      <c r="B2830" s="208" t="s">
        <v>2548</v>
      </c>
      <c r="C2830" s="208" t="s">
        <v>146</v>
      </c>
      <c r="D2830" s="592">
        <v>-934800</v>
      </c>
      <c r="E2830" s="212">
        <v>45413</v>
      </c>
      <c r="F2830" s="601" t="s">
        <v>109</v>
      </c>
      <c r="G2830" s="208" t="s">
        <v>120</v>
      </c>
      <c r="H2830" s="208" t="s">
        <v>138</v>
      </c>
      <c r="I2830" s="208"/>
      <c r="J2830" s="209"/>
      <c r="K2830" s="209"/>
      <c r="L2830" s="209"/>
      <c r="M2830" s="209"/>
      <c r="N2830" s="209"/>
      <c r="O2830" s="209"/>
      <c r="P2830" s="209"/>
      <c r="Q2830" s="209"/>
      <c r="R2830" s="209"/>
      <c r="S2830" s="209"/>
      <c r="T2830" s="209"/>
    </row>
    <row r="2831" spans="1:20" ht="15" hidden="1" customHeight="1">
      <c r="A2831" s="468">
        <v>45434</v>
      </c>
      <c r="B2831" s="208" t="s">
        <v>2549</v>
      </c>
      <c r="C2831" s="208" t="s">
        <v>27</v>
      </c>
      <c r="D2831" s="592">
        <v>1251701</v>
      </c>
      <c r="E2831" s="653">
        <v>45413</v>
      </c>
      <c r="F2831" s="654" t="s">
        <v>108</v>
      </c>
      <c r="G2831" s="635"/>
      <c r="H2831" s="208"/>
      <c r="I2831" s="208"/>
      <c r="J2831" s="209"/>
      <c r="K2831" s="209"/>
      <c r="L2831" s="209"/>
      <c r="M2831" s="209"/>
      <c r="N2831" s="209"/>
      <c r="O2831" s="209"/>
      <c r="P2831" s="209"/>
      <c r="Q2831" s="209"/>
      <c r="R2831" s="209"/>
      <c r="S2831" s="209"/>
      <c r="T2831" s="209"/>
    </row>
    <row r="2832" spans="1:20" ht="15" hidden="1" customHeight="1">
      <c r="A2832" s="468">
        <v>45435</v>
      </c>
      <c r="B2832" s="208" t="s">
        <v>2550</v>
      </c>
      <c r="C2832" s="208" t="s">
        <v>27</v>
      </c>
      <c r="D2832" s="592">
        <v>2637318</v>
      </c>
      <c r="E2832" s="653">
        <v>45413</v>
      </c>
      <c r="F2832" s="654" t="s">
        <v>108</v>
      </c>
      <c r="G2832" s="635"/>
      <c r="H2832" s="208"/>
      <c r="I2832" s="208"/>
      <c r="J2832" s="209"/>
      <c r="K2832" s="209"/>
      <c r="L2832" s="209"/>
      <c r="M2832" s="209"/>
      <c r="N2832" s="209"/>
      <c r="O2832" s="209"/>
      <c r="P2832" s="209"/>
      <c r="Q2832" s="209"/>
      <c r="R2832" s="209"/>
      <c r="S2832" s="209"/>
      <c r="T2832" s="209"/>
    </row>
    <row r="2833" spans="1:20" ht="15" hidden="1" customHeight="1">
      <c r="A2833" s="468">
        <v>45435</v>
      </c>
      <c r="B2833" s="208" t="s">
        <v>2551</v>
      </c>
      <c r="C2833" s="208" t="s">
        <v>27</v>
      </c>
      <c r="D2833" s="592">
        <v>65000000</v>
      </c>
      <c r="E2833" s="653">
        <v>45413</v>
      </c>
      <c r="F2833" s="601" t="s">
        <v>109</v>
      </c>
      <c r="G2833" s="208" t="s">
        <v>120</v>
      </c>
      <c r="H2833" s="208"/>
      <c r="I2833" s="208"/>
      <c r="J2833" s="209"/>
      <c r="K2833" s="209"/>
      <c r="L2833" s="209"/>
      <c r="M2833" s="209"/>
      <c r="N2833" s="209"/>
      <c r="O2833" s="209"/>
      <c r="P2833" s="209"/>
      <c r="Q2833" s="209"/>
      <c r="R2833" s="209"/>
      <c r="S2833" s="209"/>
      <c r="T2833" s="209"/>
    </row>
    <row r="2834" spans="1:20" ht="15" hidden="1" customHeight="1">
      <c r="A2834" s="468">
        <v>45436</v>
      </c>
      <c r="B2834" s="208" t="s">
        <v>2552</v>
      </c>
      <c r="C2834" s="208" t="s">
        <v>27</v>
      </c>
      <c r="D2834" s="592">
        <v>-413020</v>
      </c>
      <c r="E2834" s="653">
        <v>45413</v>
      </c>
      <c r="F2834" s="635" t="s">
        <v>130</v>
      </c>
      <c r="G2834" s="635" t="s">
        <v>257</v>
      </c>
      <c r="H2834" s="208" t="s">
        <v>1138</v>
      </c>
      <c r="I2834" s="208"/>
      <c r="J2834" s="209"/>
      <c r="K2834" s="209"/>
      <c r="L2834" s="209"/>
      <c r="M2834" s="209"/>
      <c r="N2834" s="209"/>
      <c r="O2834" s="209"/>
      <c r="P2834" s="209"/>
      <c r="Q2834" s="209"/>
      <c r="R2834" s="209"/>
      <c r="S2834" s="209"/>
      <c r="T2834" s="209"/>
    </row>
    <row r="2835" spans="1:20" ht="15" hidden="1" customHeight="1">
      <c r="A2835" s="468">
        <v>45436</v>
      </c>
      <c r="B2835" s="208" t="s">
        <v>2553</v>
      </c>
      <c r="C2835" s="208" t="s">
        <v>27</v>
      </c>
      <c r="D2835" s="592">
        <v>-146200</v>
      </c>
      <c r="E2835" s="653">
        <v>45413</v>
      </c>
      <c r="F2835" s="635" t="s">
        <v>130</v>
      </c>
      <c r="G2835" s="635" t="s">
        <v>130</v>
      </c>
      <c r="H2835" s="208" t="s">
        <v>1156</v>
      </c>
      <c r="I2835" s="208"/>
      <c r="J2835" s="209"/>
      <c r="K2835" s="209"/>
      <c r="L2835" s="209"/>
      <c r="M2835" s="209"/>
      <c r="N2835" s="209"/>
      <c r="O2835" s="209"/>
      <c r="P2835" s="209"/>
      <c r="Q2835" s="209"/>
      <c r="R2835" s="209"/>
      <c r="S2835" s="209"/>
      <c r="T2835" s="209"/>
    </row>
    <row r="2836" spans="1:20" ht="15" hidden="1" customHeight="1">
      <c r="A2836" s="468">
        <v>45436</v>
      </c>
      <c r="B2836" s="208" t="s">
        <v>2554</v>
      </c>
      <c r="C2836" s="208" t="s">
        <v>27</v>
      </c>
      <c r="D2836" s="592">
        <v>-773500</v>
      </c>
      <c r="E2836" s="653">
        <v>45413</v>
      </c>
      <c r="F2836" s="635" t="s">
        <v>130</v>
      </c>
      <c r="G2836" s="635" t="s">
        <v>130</v>
      </c>
      <c r="H2836" s="208" t="s">
        <v>2176</v>
      </c>
      <c r="I2836" s="208"/>
      <c r="J2836" s="209"/>
      <c r="K2836" s="209"/>
      <c r="L2836" s="209"/>
      <c r="M2836" s="209"/>
      <c r="N2836" s="209"/>
      <c r="O2836" s="209"/>
      <c r="P2836" s="209"/>
      <c r="Q2836" s="209"/>
      <c r="R2836" s="209"/>
      <c r="S2836" s="209"/>
      <c r="T2836" s="209"/>
    </row>
    <row r="2837" spans="1:20" ht="15" hidden="1" customHeight="1">
      <c r="A2837" s="468">
        <v>45436</v>
      </c>
      <c r="B2837" s="208" t="s">
        <v>2555</v>
      </c>
      <c r="C2837" s="208" t="s">
        <v>643</v>
      </c>
      <c r="D2837" s="592">
        <v>-983980</v>
      </c>
      <c r="E2837" s="653">
        <v>45413</v>
      </c>
      <c r="F2837" s="208" t="s">
        <v>130</v>
      </c>
      <c r="G2837" s="208" t="s">
        <v>130</v>
      </c>
      <c r="H2837" s="208" t="s">
        <v>852</v>
      </c>
      <c r="I2837" s="208"/>
      <c r="J2837" s="209"/>
      <c r="K2837" s="209"/>
      <c r="L2837" s="209"/>
      <c r="M2837" s="209"/>
      <c r="N2837" s="209"/>
      <c r="O2837" s="209"/>
      <c r="P2837" s="209"/>
      <c r="Q2837" s="209"/>
      <c r="R2837" s="209"/>
      <c r="S2837" s="209"/>
      <c r="T2837" s="209"/>
    </row>
    <row r="2838" spans="1:20" ht="15" hidden="1" customHeight="1">
      <c r="A2838" s="468">
        <v>45434</v>
      </c>
      <c r="B2838" s="208" t="s">
        <v>2556</v>
      </c>
      <c r="C2838" s="208" t="s">
        <v>643</v>
      </c>
      <c r="D2838" s="592">
        <v>-208500</v>
      </c>
      <c r="E2838" s="653">
        <v>45413</v>
      </c>
      <c r="F2838" s="208" t="s">
        <v>130</v>
      </c>
      <c r="G2838" s="208" t="s">
        <v>130</v>
      </c>
      <c r="H2838" s="208" t="s">
        <v>852</v>
      </c>
      <c r="I2838" s="208"/>
      <c r="J2838" s="209"/>
      <c r="K2838" s="209"/>
      <c r="L2838" s="209"/>
      <c r="M2838" s="209"/>
      <c r="N2838" s="209"/>
      <c r="O2838" s="209"/>
      <c r="P2838" s="209"/>
      <c r="Q2838" s="209"/>
      <c r="R2838" s="209"/>
      <c r="S2838" s="209"/>
      <c r="T2838" s="209"/>
    </row>
    <row r="2839" spans="1:20" ht="15" hidden="1" customHeight="1">
      <c r="A2839" s="468">
        <v>45434</v>
      </c>
      <c r="B2839" s="208" t="s">
        <v>2555</v>
      </c>
      <c r="C2839" s="208" t="s">
        <v>643</v>
      </c>
      <c r="D2839" s="592">
        <v>-129380</v>
      </c>
      <c r="E2839" s="653">
        <v>45413</v>
      </c>
      <c r="F2839" s="208" t="s">
        <v>130</v>
      </c>
      <c r="G2839" s="208" t="s">
        <v>257</v>
      </c>
      <c r="H2839" s="208" t="s">
        <v>2272</v>
      </c>
      <c r="I2839" s="208"/>
      <c r="J2839" s="209"/>
      <c r="K2839" s="209"/>
      <c r="L2839" s="209"/>
      <c r="M2839" s="209"/>
      <c r="N2839" s="209"/>
      <c r="O2839" s="209"/>
      <c r="P2839" s="209"/>
      <c r="Q2839" s="209"/>
      <c r="R2839" s="209"/>
      <c r="S2839" s="209"/>
      <c r="T2839" s="209"/>
    </row>
    <row r="2840" spans="1:20" ht="15" hidden="1" customHeight="1">
      <c r="A2840" s="468">
        <v>45432</v>
      </c>
      <c r="B2840" s="208" t="s">
        <v>2557</v>
      </c>
      <c r="C2840" s="208" t="s">
        <v>643</v>
      </c>
      <c r="D2840" s="592">
        <v>-38514.21</v>
      </c>
      <c r="E2840" s="653">
        <v>45413</v>
      </c>
      <c r="F2840" s="208" t="s">
        <v>130</v>
      </c>
      <c r="G2840" s="208" t="s">
        <v>130</v>
      </c>
      <c r="H2840" s="208" t="s">
        <v>143</v>
      </c>
      <c r="I2840" s="208"/>
      <c r="J2840" s="209"/>
      <c r="K2840" s="209"/>
      <c r="L2840" s="209"/>
      <c r="M2840" s="209"/>
      <c r="N2840" s="209"/>
      <c r="O2840" s="209"/>
      <c r="P2840" s="209"/>
      <c r="Q2840" s="209"/>
      <c r="R2840" s="209"/>
      <c r="S2840" s="209"/>
      <c r="T2840" s="209"/>
    </row>
    <row r="2841" spans="1:20" ht="15" hidden="1" customHeight="1">
      <c r="A2841" s="468">
        <v>45432</v>
      </c>
      <c r="B2841" s="208" t="s">
        <v>2557</v>
      </c>
      <c r="C2841" s="208" t="s">
        <v>643</v>
      </c>
      <c r="D2841" s="592">
        <v>-1076251.8899999999</v>
      </c>
      <c r="E2841" s="653">
        <v>45413</v>
      </c>
      <c r="F2841" s="208" t="s">
        <v>130</v>
      </c>
      <c r="G2841" s="208" t="s">
        <v>130</v>
      </c>
      <c r="H2841" s="208" t="s">
        <v>143</v>
      </c>
      <c r="I2841" s="208"/>
      <c r="J2841" s="209"/>
      <c r="K2841" s="209"/>
      <c r="L2841" s="209"/>
      <c r="M2841" s="209"/>
      <c r="N2841" s="209"/>
      <c r="O2841" s="209"/>
      <c r="P2841" s="209"/>
      <c r="Q2841" s="209"/>
      <c r="R2841" s="209"/>
      <c r="S2841" s="209"/>
      <c r="T2841" s="209"/>
    </row>
    <row r="2842" spans="1:20" ht="15" hidden="1" customHeight="1">
      <c r="A2842" s="468">
        <v>45436</v>
      </c>
      <c r="B2842" s="208" t="s">
        <v>2558</v>
      </c>
      <c r="C2842" s="208" t="s">
        <v>181</v>
      </c>
      <c r="D2842" s="592">
        <v>133813567</v>
      </c>
      <c r="E2842" s="636">
        <v>45413</v>
      </c>
      <c r="F2842" s="208" t="s">
        <v>109</v>
      </c>
      <c r="G2842" s="208" t="s">
        <v>125</v>
      </c>
      <c r="H2842" s="208"/>
      <c r="I2842" s="208"/>
      <c r="J2842" s="209"/>
      <c r="K2842" s="209"/>
      <c r="L2842" s="209"/>
      <c r="M2842" s="209"/>
      <c r="N2842" s="209"/>
      <c r="O2842" s="209"/>
      <c r="P2842" s="209"/>
      <c r="Q2842" s="209"/>
      <c r="R2842" s="209"/>
      <c r="S2842" s="209"/>
      <c r="T2842" s="209"/>
    </row>
    <row r="2843" spans="1:20" ht="15" hidden="1" customHeight="1">
      <c r="A2843" s="468">
        <v>45435</v>
      </c>
      <c r="B2843" s="208" t="s">
        <v>2559</v>
      </c>
      <c r="C2843" s="208" t="s">
        <v>181</v>
      </c>
      <c r="D2843" s="592">
        <v>2266794</v>
      </c>
      <c r="E2843" s="636">
        <v>45413</v>
      </c>
      <c r="F2843" s="208" t="s">
        <v>108</v>
      </c>
      <c r="G2843" s="208"/>
      <c r="H2843" s="208"/>
      <c r="I2843" s="208"/>
      <c r="J2843" s="209"/>
      <c r="K2843" s="209"/>
      <c r="L2843" s="209"/>
      <c r="M2843" s="209"/>
      <c r="N2843" s="209"/>
      <c r="O2843" s="209"/>
      <c r="P2843" s="209"/>
      <c r="Q2843" s="209"/>
      <c r="R2843" s="209"/>
      <c r="S2843" s="209"/>
      <c r="T2843" s="209"/>
    </row>
    <row r="2844" spans="1:20" ht="15" hidden="1" customHeight="1">
      <c r="A2844" s="468">
        <v>45435</v>
      </c>
      <c r="B2844" s="208" t="s">
        <v>2560</v>
      </c>
      <c r="C2844" s="208" t="s">
        <v>181</v>
      </c>
      <c r="D2844" s="592">
        <v>2564439</v>
      </c>
      <c r="E2844" s="636">
        <v>45413</v>
      </c>
      <c r="F2844" s="208" t="s">
        <v>108</v>
      </c>
      <c r="G2844" s="208"/>
      <c r="H2844" s="208"/>
      <c r="I2844" s="208"/>
      <c r="J2844" s="209"/>
      <c r="K2844" s="209"/>
      <c r="L2844" s="209"/>
      <c r="M2844" s="209"/>
      <c r="N2844" s="209"/>
      <c r="O2844" s="209"/>
      <c r="P2844" s="209"/>
      <c r="Q2844" s="209"/>
      <c r="R2844" s="209"/>
      <c r="S2844" s="209"/>
      <c r="T2844" s="209"/>
    </row>
    <row r="2845" spans="1:20" ht="15" hidden="1" customHeight="1">
      <c r="A2845" s="468">
        <v>45433</v>
      </c>
      <c r="B2845" s="208" t="s">
        <v>2561</v>
      </c>
      <c r="C2845" s="208" t="s">
        <v>181</v>
      </c>
      <c r="D2845" s="592">
        <v>3035964</v>
      </c>
      <c r="E2845" s="636">
        <v>45413</v>
      </c>
      <c r="F2845" s="208" t="s">
        <v>108</v>
      </c>
      <c r="G2845" s="208"/>
      <c r="H2845" s="208"/>
      <c r="I2845" s="208"/>
      <c r="J2845" s="209"/>
      <c r="K2845" s="209"/>
      <c r="L2845" s="209"/>
      <c r="M2845" s="209"/>
      <c r="N2845" s="209"/>
      <c r="O2845" s="209"/>
      <c r="P2845" s="209"/>
      <c r="Q2845" s="209"/>
      <c r="R2845" s="209"/>
      <c r="S2845" s="209"/>
      <c r="T2845" s="209"/>
    </row>
    <row r="2846" spans="1:20" ht="15" hidden="1" customHeight="1">
      <c r="A2846" s="468">
        <v>45438</v>
      </c>
      <c r="B2846" s="208" t="s">
        <v>2059</v>
      </c>
      <c r="C2846" s="208" t="s">
        <v>643</v>
      </c>
      <c r="D2846" s="592">
        <v>-75024.687000000005</v>
      </c>
      <c r="E2846" s="653">
        <v>45413</v>
      </c>
      <c r="F2846" s="208" t="s">
        <v>130</v>
      </c>
      <c r="G2846" s="208" t="s">
        <v>130</v>
      </c>
      <c r="H2846" s="208" t="s">
        <v>143</v>
      </c>
      <c r="I2846" s="208"/>
      <c r="J2846" s="209"/>
      <c r="K2846" s="209"/>
      <c r="L2846" s="209"/>
      <c r="M2846" s="209"/>
      <c r="N2846" s="209"/>
      <c r="O2846" s="209"/>
      <c r="P2846" s="209"/>
      <c r="Q2846" s="209"/>
      <c r="R2846" s="209"/>
      <c r="S2846" s="209"/>
      <c r="T2846" s="209"/>
    </row>
    <row r="2847" spans="1:20" ht="15" hidden="1" customHeight="1">
      <c r="A2847" s="468">
        <v>45436</v>
      </c>
      <c r="B2847" s="208" t="s">
        <v>2562</v>
      </c>
      <c r="C2847" s="208" t="s">
        <v>643</v>
      </c>
      <c r="D2847" s="592">
        <v>-30800</v>
      </c>
      <c r="E2847" s="653">
        <v>45413</v>
      </c>
      <c r="F2847" s="208" t="s">
        <v>130</v>
      </c>
      <c r="G2847" s="208" t="s">
        <v>130</v>
      </c>
      <c r="H2847" s="208" t="s">
        <v>143</v>
      </c>
      <c r="I2847" s="208"/>
      <c r="J2847" s="209"/>
      <c r="K2847" s="209"/>
      <c r="L2847" s="209"/>
      <c r="M2847" s="209"/>
      <c r="N2847" s="209"/>
      <c r="O2847" s="209"/>
      <c r="P2847" s="209"/>
      <c r="Q2847" s="209"/>
      <c r="R2847" s="209"/>
      <c r="S2847" s="209"/>
      <c r="T2847" s="209"/>
    </row>
    <row r="2848" spans="1:20" ht="15" hidden="1" customHeight="1">
      <c r="A2848" s="468">
        <v>45436</v>
      </c>
      <c r="B2848" s="208" t="s">
        <v>2563</v>
      </c>
      <c r="C2848" s="208" t="s">
        <v>27</v>
      </c>
      <c r="D2848" s="592">
        <v>-2612288</v>
      </c>
      <c r="E2848" s="653">
        <v>45413</v>
      </c>
      <c r="F2848" s="201" t="s">
        <v>110</v>
      </c>
      <c r="G2848" s="208" t="s">
        <v>122</v>
      </c>
      <c r="H2848" s="208" t="s">
        <v>212</v>
      </c>
      <c r="I2848" s="208"/>
      <c r="J2848" s="209"/>
      <c r="K2848" s="209"/>
      <c r="L2848" s="209"/>
      <c r="M2848" s="209"/>
      <c r="N2848" s="209"/>
      <c r="O2848" s="209"/>
      <c r="P2848" s="209"/>
      <c r="Q2848" s="209"/>
      <c r="R2848" s="209"/>
      <c r="S2848" s="209"/>
      <c r="T2848" s="209"/>
    </row>
    <row r="2849" spans="1:20" ht="15" hidden="1" customHeight="1">
      <c r="A2849" s="468">
        <v>45436</v>
      </c>
      <c r="B2849" s="208" t="s">
        <v>2564</v>
      </c>
      <c r="C2849" s="208" t="s">
        <v>27</v>
      </c>
      <c r="D2849" s="592">
        <v>-6677328</v>
      </c>
      <c r="E2849" s="653">
        <v>45413</v>
      </c>
      <c r="F2849" s="601" t="s">
        <v>109</v>
      </c>
      <c r="G2849" s="201" t="s">
        <v>918</v>
      </c>
      <c r="H2849" s="208" t="s">
        <v>212</v>
      </c>
      <c r="I2849" s="208"/>
      <c r="J2849" s="209"/>
      <c r="K2849" s="209"/>
      <c r="L2849" s="209"/>
      <c r="M2849" s="209"/>
      <c r="N2849" s="209"/>
      <c r="O2849" s="209"/>
      <c r="P2849" s="209"/>
      <c r="Q2849" s="209"/>
      <c r="R2849" s="209"/>
      <c r="S2849" s="209"/>
      <c r="T2849" s="209"/>
    </row>
    <row r="2850" spans="1:20" ht="15" hidden="1" customHeight="1">
      <c r="A2850" s="468">
        <v>45436</v>
      </c>
      <c r="B2850" s="208" t="s">
        <v>2565</v>
      </c>
      <c r="C2850" s="208" t="s">
        <v>27</v>
      </c>
      <c r="D2850" s="592">
        <v>-1089683</v>
      </c>
      <c r="E2850" s="653">
        <v>45413</v>
      </c>
      <c r="F2850" s="291" t="s">
        <v>109</v>
      </c>
      <c r="G2850" s="208" t="s">
        <v>525</v>
      </c>
      <c r="H2850" s="208" t="s">
        <v>212</v>
      </c>
      <c r="I2850" s="208"/>
      <c r="J2850" s="209"/>
      <c r="K2850" s="209"/>
      <c r="L2850" s="209"/>
      <c r="M2850" s="209"/>
      <c r="N2850" s="209"/>
      <c r="O2850" s="209"/>
      <c r="P2850" s="209"/>
      <c r="Q2850" s="209"/>
      <c r="R2850" s="209"/>
      <c r="S2850" s="209"/>
      <c r="T2850" s="209"/>
    </row>
    <row r="2851" spans="1:20" ht="15" hidden="1" customHeight="1">
      <c r="A2851" s="468">
        <v>45436</v>
      </c>
      <c r="B2851" s="208" t="s">
        <v>2566</v>
      </c>
      <c r="C2851" s="208" t="s">
        <v>27</v>
      </c>
      <c r="D2851" s="592">
        <v>-423878</v>
      </c>
      <c r="E2851" s="653">
        <v>45413</v>
      </c>
      <c r="F2851" s="201" t="s">
        <v>110</v>
      </c>
      <c r="G2851" s="81" t="s">
        <v>1621</v>
      </c>
      <c r="H2851" s="208" t="s">
        <v>421</v>
      </c>
      <c r="I2851" s="208"/>
      <c r="J2851" s="209"/>
      <c r="K2851" s="209"/>
      <c r="L2851" s="209"/>
      <c r="M2851" s="209"/>
      <c r="N2851" s="209"/>
      <c r="O2851" s="209"/>
      <c r="P2851" s="209"/>
      <c r="Q2851" s="209"/>
      <c r="R2851" s="209"/>
      <c r="S2851" s="209"/>
      <c r="T2851" s="209"/>
    </row>
    <row r="2852" spans="1:20" ht="15" hidden="1" customHeight="1">
      <c r="A2852" s="468">
        <v>45436</v>
      </c>
      <c r="B2852" s="208" t="s">
        <v>2564</v>
      </c>
      <c r="C2852" s="208" t="s">
        <v>27</v>
      </c>
      <c r="D2852" s="592">
        <v>-4486300</v>
      </c>
      <c r="E2852" s="653">
        <v>45413</v>
      </c>
      <c r="F2852" s="601" t="s">
        <v>109</v>
      </c>
      <c r="G2852" s="201" t="s">
        <v>918</v>
      </c>
      <c r="H2852" s="208" t="s">
        <v>310</v>
      </c>
      <c r="I2852" s="208"/>
      <c r="J2852" s="209"/>
      <c r="K2852" s="209"/>
      <c r="L2852" s="209"/>
      <c r="M2852" s="209"/>
      <c r="N2852" s="209"/>
      <c r="O2852" s="209"/>
      <c r="P2852" s="209"/>
      <c r="Q2852" s="209"/>
      <c r="R2852" s="209"/>
      <c r="S2852" s="209"/>
      <c r="T2852" s="209"/>
    </row>
    <row r="2853" spans="1:20" ht="15" hidden="1" customHeight="1">
      <c r="A2853" s="468">
        <v>45436</v>
      </c>
      <c r="B2853" s="208" t="s">
        <v>2564</v>
      </c>
      <c r="C2853" s="208" t="s">
        <v>27</v>
      </c>
      <c r="D2853" s="592">
        <v>-856800</v>
      </c>
      <c r="E2853" s="653">
        <v>45413</v>
      </c>
      <c r="F2853" s="601" t="s">
        <v>109</v>
      </c>
      <c r="G2853" s="201" t="s">
        <v>918</v>
      </c>
      <c r="H2853" s="208" t="s">
        <v>310</v>
      </c>
      <c r="I2853" s="208"/>
      <c r="J2853" s="209"/>
      <c r="K2853" s="209"/>
      <c r="L2853" s="209"/>
      <c r="M2853" s="209"/>
      <c r="N2853" s="209"/>
      <c r="O2853" s="209"/>
      <c r="P2853" s="209"/>
      <c r="Q2853" s="209"/>
      <c r="R2853" s="209"/>
      <c r="S2853" s="209"/>
      <c r="T2853" s="209"/>
    </row>
    <row r="2854" spans="1:20" ht="15" hidden="1" customHeight="1">
      <c r="A2854" s="468">
        <v>45436</v>
      </c>
      <c r="B2854" s="208" t="s">
        <v>2565</v>
      </c>
      <c r="C2854" s="208" t="s">
        <v>27</v>
      </c>
      <c r="D2854" s="592">
        <v>-844900</v>
      </c>
      <c r="E2854" s="653">
        <v>45413</v>
      </c>
      <c r="F2854" s="291" t="s">
        <v>109</v>
      </c>
      <c r="G2854" s="208" t="s">
        <v>525</v>
      </c>
      <c r="H2854" s="208"/>
      <c r="I2854" s="208"/>
      <c r="J2854" s="209"/>
      <c r="K2854" s="209"/>
      <c r="L2854" s="209"/>
      <c r="M2854" s="209"/>
      <c r="N2854" s="209"/>
      <c r="O2854" s="209"/>
      <c r="P2854" s="209"/>
      <c r="Q2854" s="209"/>
      <c r="R2854" s="209"/>
      <c r="S2854" s="209"/>
      <c r="T2854" s="209"/>
    </row>
    <row r="2855" spans="1:20" ht="15" hidden="1" customHeight="1">
      <c r="A2855" s="468">
        <v>45436</v>
      </c>
      <c r="B2855" s="208" t="s">
        <v>2563</v>
      </c>
      <c r="C2855" s="208" t="s">
        <v>27</v>
      </c>
      <c r="D2855" s="592">
        <v>-195755</v>
      </c>
      <c r="E2855" s="653">
        <v>45413</v>
      </c>
      <c r="F2855" s="201" t="s">
        <v>110</v>
      </c>
      <c r="G2855" s="208" t="s">
        <v>122</v>
      </c>
      <c r="H2855" s="208" t="s">
        <v>212</v>
      </c>
      <c r="I2855" s="208"/>
      <c r="J2855" s="209"/>
      <c r="K2855" s="209"/>
      <c r="L2855" s="209"/>
      <c r="M2855" s="209"/>
      <c r="N2855" s="209"/>
      <c r="O2855" s="209"/>
      <c r="P2855" s="209"/>
      <c r="Q2855" s="209"/>
      <c r="R2855" s="209"/>
      <c r="S2855" s="209"/>
      <c r="T2855" s="209"/>
    </row>
    <row r="2856" spans="1:20" ht="15" hidden="1" customHeight="1">
      <c r="A2856" s="468">
        <v>45436</v>
      </c>
      <c r="B2856" s="208" t="s">
        <v>2564</v>
      </c>
      <c r="C2856" s="208" t="s">
        <v>27</v>
      </c>
      <c r="D2856" s="592">
        <v>-761600</v>
      </c>
      <c r="E2856" s="653">
        <v>45413</v>
      </c>
      <c r="F2856" s="601" t="s">
        <v>109</v>
      </c>
      <c r="G2856" s="201" t="s">
        <v>918</v>
      </c>
      <c r="H2856" s="208" t="s">
        <v>421</v>
      </c>
      <c r="I2856" s="208"/>
      <c r="J2856" s="209"/>
      <c r="K2856" s="209"/>
      <c r="L2856" s="209"/>
      <c r="M2856" s="209"/>
      <c r="N2856" s="209"/>
      <c r="O2856" s="209"/>
      <c r="P2856" s="209"/>
      <c r="Q2856" s="209"/>
      <c r="R2856" s="209"/>
      <c r="S2856" s="209"/>
      <c r="T2856" s="209"/>
    </row>
    <row r="2857" spans="1:20" ht="15" hidden="1" customHeight="1">
      <c r="A2857" s="468">
        <v>45436</v>
      </c>
      <c r="B2857" s="208" t="s">
        <v>2564</v>
      </c>
      <c r="C2857" s="208" t="s">
        <v>27</v>
      </c>
      <c r="D2857" s="592">
        <v>-7920000</v>
      </c>
      <c r="E2857" s="653">
        <v>45413</v>
      </c>
      <c r="F2857" s="601" t="s">
        <v>109</v>
      </c>
      <c r="G2857" s="201" t="s">
        <v>918</v>
      </c>
      <c r="H2857" s="208" t="s">
        <v>212</v>
      </c>
      <c r="I2857" s="208"/>
      <c r="J2857" s="209"/>
      <c r="K2857" s="209"/>
      <c r="L2857" s="209"/>
      <c r="M2857" s="209"/>
      <c r="N2857" s="209"/>
      <c r="O2857" s="209"/>
      <c r="P2857" s="209"/>
      <c r="Q2857" s="209"/>
      <c r="R2857" s="209"/>
      <c r="S2857" s="209"/>
      <c r="T2857" s="209"/>
    </row>
    <row r="2858" spans="1:20" ht="15" hidden="1" customHeight="1">
      <c r="A2858" s="468">
        <v>45436</v>
      </c>
      <c r="B2858" s="208" t="s">
        <v>2567</v>
      </c>
      <c r="C2858" s="208" t="s">
        <v>27</v>
      </c>
      <c r="D2858" s="592">
        <v>-2344300</v>
      </c>
      <c r="E2858" s="653">
        <v>45413</v>
      </c>
      <c r="F2858" s="201" t="s">
        <v>110</v>
      </c>
      <c r="G2858" s="208" t="s">
        <v>450</v>
      </c>
      <c r="H2858" s="208" t="s">
        <v>421</v>
      </c>
      <c r="I2858" s="208"/>
      <c r="J2858" s="209"/>
      <c r="K2858" s="209"/>
      <c r="L2858" s="209"/>
      <c r="M2858" s="209"/>
      <c r="N2858" s="209"/>
      <c r="O2858" s="209"/>
      <c r="P2858" s="209"/>
      <c r="Q2858" s="209"/>
      <c r="R2858" s="209"/>
      <c r="S2858" s="209"/>
      <c r="T2858" s="209"/>
    </row>
    <row r="2859" spans="1:20" ht="15" hidden="1" customHeight="1">
      <c r="A2859" s="468">
        <v>45436</v>
      </c>
      <c r="B2859" s="208" t="s">
        <v>2568</v>
      </c>
      <c r="C2859" s="208" t="s">
        <v>27</v>
      </c>
      <c r="D2859" s="592">
        <v>-25091031</v>
      </c>
      <c r="E2859" s="653">
        <v>45413</v>
      </c>
      <c r="F2859" s="601" t="s">
        <v>109</v>
      </c>
      <c r="G2859" s="208" t="s">
        <v>125</v>
      </c>
      <c r="H2859" s="208" t="s">
        <v>212</v>
      </c>
      <c r="I2859" s="208"/>
      <c r="J2859" s="209"/>
      <c r="K2859" s="209"/>
      <c r="L2859" s="209"/>
      <c r="M2859" s="209"/>
      <c r="N2859" s="209"/>
      <c r="O2859" s="209"/>
      <c r="P2859" s="209"/>
      <c r="Q2859" s="209"/>
      <c r="R2859" s="209"/>
      <c r="S2859" s="209"/>
      <c r="T2859" s="209"/>
    </row>
    <row r="2860" spans="1:20" ht="15" hidden="1" customHeight="1">
      <c r="A2860" s="468">
        <v>45436</v>
      </c>
      <c r="B2860" s="208" t="s">
        <v>2569</v>
      </c>
      <c r="C2860" s="208" t="s">
        <v>27</v>
      </c>
      <c r="D2860" s="592">
        <v>-12475579</v>
      </c>
      <c r="E2860" s="653">
        <v>45413</v>
      </c>
      <c r="F2860" s="601" t="s">
        <v>109</v>
      </c>
      <c r="G2860" s="201" t="s">
        <v>1261</v>
      </c>
      <c r="H2860" s="208" t="s">
        <v>212</v>
      </c>
      <c r="I2860" s="208"/>
      <c r="J2860" s="209"/>
      <c r="K2860" s="209"/>
      <c r="L2860" s="209"/>
      <c r="M2860" s="209"/>
      <c r="N2860" s="209"/>
      <c r="O2860" s="209"/>
      <c r="P2860" s="209"/>
      <c r="Q2860" s="209"/>
      <c r="R2860" s="209"/>
      <c r="S2860" s="209"/>
      <c r="T2860" s="209"/>
    </row>
    <row r="2861" spans="1:20" ht="15" hidden="1" customHeight="1">
      <c r="A2861" s="468">
        <v>45436</v>
      </c>
      <c r="B2861" s="208" t="s">
        <v>2569</v>
      </c>
      <c r="C2861" s="208" t="s">
        <v>27</v>
      </c>
      <c r="D2861" s="592">
        <v>-3534300</v>
      </c>
      <c r="E2861" s="653">
        <v>45413</v>
      </c>
      <c r="F2861" s="601" t="s">
        <v>109</v>
      </c>
      <c r="G2861" s="201" t="s">
        <v>1261</v>
      </c>
      <c r="H2861" s="208" t="s">
        <v>212</v>
      </c>
      <c r="I2861" s="208"/>
      <c r="J2861" s="209"/>
      <c r="K2861" s="209"/>
      <c r="L2861" s="209"/>
      <c r="M2861" s="209"/>
      <c r="N2861" s="209"/>
      <c r="O2861" s="209"/>
      <c r="P2861" s="209"/>
      <c r="Q2861" s="209"/>
      <c r="R2861" s="209"/>
      <c r="S2861" s="209"/>
      <c r="T2861" s="209"/>
    </row>
    <row r="2862" spans="1:20" ht="15" hidden="1" customHeight="1">
      <c r="A2862" s="468">
        <v>45427</v>
      </c>
      <c r="B2862" s="208" t="s">
        <v>2570</v>
      </c>
      <c r="C2862" s="208" t="s">
        <v>181</v>
      </c>
      <c r="D2862" s="592">
        <v>-11499925</v>
      </c>
      <c r="E2862" s="636">
        <v>45413</v>
      </c>
      <c r="F2862" s="601" t="s">
        <v>109</v>
      </c>
      <c r="G2862" s="201" t="s">
        <v>1261</v>
      </c>
      <c r="H2862" s="208" t="s">
        <v>310</v>
      </c>
      <c r="I2862" s="208"/>
      <c r="J2862" s="209"/>
      <c r="K2862" s="209"/>
      <c r="L2862" s="209"/>
      <c r="M2862" s="209"/>
      <c r="N2862" s="209"/>
      <c r="O2862" s="209"/>
      <c r="P2862" s="209"/>
      <c r="Q2862" s="209"/>
      <c r="R2862" s="209"/>
      <c r="S2862" s="209"/>
      <c r="T2862" s="209"/>
    </row>
    <row r="2863" spans="1:20" ht="15" hidden="1" customHeight="1">
      <c r="A2863" s="468">
        <v>45427</v>
      </c>
      <c r="B2863" s="208" t="s">
        <v>2571</v>
      </c>
      <c r="C2863" s="208" t="s">
        <v>181</v>
      </c>
      <c r="D2863" s="592">
        <v>-743572</v>
      </c>
      <c r="E2863" s="636">
        <v>45413</v>
      </c>
      <c r="F2863" s="201" t="s">
        <v>110</v>
      </c>
      <c r="G2863" s="208" t="s">
        <v>774</v>
      </c>
      <c r="H2863" s="208" t="s">
        <v>310</v>
      </c>
      <c r="I2863" s="208"/>
      <c r="J2863" s="209"/>
      <c r="K2863" s="209"/>
      <c r="L2863" s="209"/>
      <c r="M2863" s="209"/>
      <c r="N2863" s="209"/>
      <c r="O2863" s="209"/>
      <c r="P2863" s="209"/>
      <c r="Q2863" s="209"/>
      <c r="R2863" s="209"/>
      <c r="S2863" s="209"/>
      <c r="T2863" s="209"/>
    </row>
    <row r="2864" spans="1:20" ht="15" hidden="1" customHeight="1">
      <c r="A2864" s="468">
        <v>45427</v>
      </c>
      <c r="B2864" s="208" t="s">
        <v>2571</v>
      </c>
      <c r="C2864" s="208" t="s">
        <v>181</v>
      </c>
      <c r="D2864" s="592">
        <v>-296402</v>
      </c>
      <c r="E2864" s="636">
        <v>45413</v>
      </c>
      <c r="F2864" s="201" t="s">
        <v>110</v>
      </c>
      <c r="G2864" s="208" t="s">
        <v>774</v>
      </c>
      <c r="H2864" s="208" t="s">
        <v>310</v>
      </c>
      <c r="I2864" s="208"/>
      <c r="J2864" s="209"/>
      <c r="K2864" s="209"/>
      <c r="L2864" s="209"/>
      <c r="M2864" s="209"/>
      <c r="N2864" s="209"/>
      <c r="O2864" s="209"/>
      <c r="P2864" s="209"/>
      <c r="Q2864" s="209"/>
      <c r="R2864" s="209"/>
      <c r="S2864" s="209"/>
      <c r="T2864" s="209"/>
    </row>
    <row r="2865" spans="1:20" ht="15" hidden="1" customHeight="1">
      <c r="A2865" s="468">
        <v>45427</v>
      </c>
      <c r="B2865" s="208" t="s">
        <v>2571</v>
      </c>
      <c r="C2865" s="208" t="s">
        <v>181</v>
      </c>
      <c r="D2865" s="592">
        <v>-1521196</v>
      </c>
      <c r="E2865" s="636">
        <v>45413</v>
      </c>
      <c r="F2865" s="201" t="s">
        <v>110</v>
      </c>
      <c r="G2865" s="208" t="s">
        <v>774</v>
      </c>
      <c r="H2865" s="208" t="s">
        <v>310</v>
      </c>
      <c r="I2865" s="208"/>
      <c r="J2865" s="209"/>
      <c r="K2865" s="209"/>
      <c r="L2865" s="209"/>
      <c r="M2865" s="209"/>
      <c r="N2865" s="209"/>
      <c r="O2865" s="209"/>
      <c r="P2865" s="209"/>
      <c r="Q2865" s="209"/>
      <c r="R2865" s="209"/>
      <c r="S2865" s="209"/>
      <c r="T2865" s="209"/>
    </row>
    <row r="2866" spans="1:20" ht="15" hidden="1" customHeight="1">
      <c r="A2866" s="468">
        <v>45435</v>
      </c>
      <c r="B2866" s="208" t="s">
        <v>2572</v>
      </c>
      <c r="C2866" s="208" t="s">
        <v>181</v>
      </c>
      <c r="D2866" s="592">
        <v>-1057551</v>
      </c>
      <c r="E2866" s="636">
        <v>45413</v>
      </c>
      <c r="F2866" s="601" t="s">
        <v>109</v>
      </c>
      <c r="G2866" s="208" t="s">
        <v>120</v>
      </c>
      <c r="H2866" s="208" t="s">
        <v>310</v>
      </c>
      <c r="I2866" s="208"/>
      <c r="J2866" s="209"/>
      <c r="K2866" s="209"/>
      <c r="L2866" s="209"/>
      <c r="M2866" s="209"/>
      <c r="N2866" s="209"/>
      <c r="O2866" s="209"/>
      <c r="P2866" s="209"/>
      <c r="Q2866" s="209"/>
      <c r="R2866" s="209"/>
      <c r="S2866" s="209"/>
      <c r="T2866" s="209"/>
    </row>
    <row r="2867" spans="1:20" ht="15" hidden="1" customHeight="1">
      <c r="A2867" s="468">
        <v>45435</v>
      </c>
      <c r="B2867" s="208" t="s">
        <v>2572</v>
      </c>
      <c r="C2867" s="208" t="s">
        <v>181</v>
      </c>
      <c r="D2867" s="592">
        <v>-1287321</v>
      </c>
      <c r="E2867" s="636">
        <v>45413</v>
      </c>
      <c r="F2867" s="601" t="s">
        <v>109</v>
      </c>
      <c r="G2867" s="208" t="s">
        <v>120</v>
      </c>
      <c r="H2867" s="208" t="s">
        <v>310</v>
      </c>
      <c r="I2867" s="208"/>
      <c r="J2867" s="209"/>
      <c r="K2867" s="209"/>
      <c r="L2867" s="209"/>
      <c r="M2867" s="209"/>
      <c r="N2867" s="209"/>
      <c r="O2867" s="209"/>
      <c r="P2867" s="209"/>
      <c r="Q2867" s="209"/>
      <c r="R2867" s="209"/>
      <c r="S2867" s="209"/>
      <c r="T2867" s="209"/>
    </row>
    <row r="2868" spans="1:20" ht="15" hidden="1" customHeight="1">
      <c r="A2868" s="468">
        <v>45427</v>
      </c>
      <c r="B2868" s="208" t="s">
        <v>2571</v>
      </c>
      <c r="C2868" s="208" t="s">
        <v>181</v>
      </c>
      <c r="D2868" s="592">
        <v>-2164015</v>
      </c>
      <c r="E2868" s="636">
        <v>45413</v>
      </c>
      <c r="F2868" s="201" t="s">
        <v>110</v>
      </c>
      <c r="G2868" s="208" t="s">
        <v>774</v>
      </c>
      <c r="H2868" s="208" t="s">
        <v>310</v>
      </c>
      <c r="I2868" s="208"/>
      <c r="J2868" s="209"/>
      <c r="K2868" s="209"/>
      <c r="L2868" s="209"/>
      <c r="M2868" s="209"/>
      <c r="N2868" s="209"/>
      <c r="O2868" s="209"/>
      <c r="P2868" s="209"/>
      <c r="Q2868" s="209"/>
      <c r="R2868" s="209"/>
      <c r="S2868" s="209"/>
      <c r="T2868" s="209"/>
    </row>
    <row r="2869" spans="1:20" ht="15" hidden="1" customHeight="1">
      <c r="A2869" s="468">
        <v>45427</v>
      </c>
      <c r="B2869" s="208" t="s">
        <v>2571</v>
      </c>
      <c r="C2869" s="208" t="s">
        <v>181</v>
      </c>
      <c r="D2869" s="592">
        <v>-450320</v>
      </c>
      <c r="E2869" s="636">
        <v>45413</v>
      </c>
      <c r="F2869" s="201" t="s">
        <v>110</v>
      </c>
      <c r="G2869" s="208" t="s">
        <v>774</v>
      </c>
      <c r="H2869" s="208" t="s">
        <v>310</v>
      </c>
      <c r="I2869" s="208"/>
      <c r="J2869" s="209"/>
      <c r="K2869" s="209"/>
      <c r="L2869" s="209"/>
      <c r="M2869" s="209"/>
      <c r="N2869" s="209"/>
      <c r="O2869" s="209"/>
      <c r="P2869" s="209"/>
      <c r="Q2869" s="209"/>
      <c r="R2869" s="209"/>
      <c r="S2869" s="209"/>
      <c r="T2869" s="209"/>
    </row>
    <row r="2870" spans="1:20" ht="15" hidden="1" customHeight="1">
      <c r="A2870" s="468">
        <v>45435</v>
      </c>
      <c r="B2870" s="208" t="s">
        <v>2572</v>
      </c>
      <c r="C2870" s="208" t="s">
        <v>181</v>
      </c>
      <c r="D2870" s="592">
        <v>-268048</v>
      </c>
      <c r="E2870" s="636">
        <v>45413</v>
      </c>
      <c r="F2870" s="601" t="s">
        <v>109</v>
      </c>
      <c r="G2870" s="208" t="s">
        <v>120</v>
      </c>
      <c r="H2870" s="208" t="s">
        <v>310</v>
      </c>
      <c r="I2870" s="208"/>
      <c r="J2870" s="209"/>
      <c r="K2870" s="209"/>
      <c r="L2870" s="209"/>
      <c r="M2870" s="209"/>
      <c r="N2870" s="209"/>
      <c r="O2870" s="209"/>
      <c r="P2870" s="209"/>
      <c r="Q2870" s="209"/>
      <c r="R2870" s="209"/>
      <c r="S2870" s="209"/>
      <c r="T2870" s="209"/>
    </row>
    <row r="2871" spans="1:20" ht="15" hidden="1" customHeight="1">
      <c r="A2871" s="468">
        <v>45435</v>
      </c>
      <c r="B2871" s="208" t="s">
        <v>2573</v>
      </c>
      <c r="C2871" s="208" t="s">
        <v>181</v>
      </c>
      <c r="D2871" s="592">
        <v>2356410</v>
      </c>
      <c r="E2871" s="636">
        <v>45413</v>
      </c>
      <c r="F2871" s="601" t="s">
        <v>109</v>
      </c>
      <c r="G2871" s="208" t="s">
        <v>383</v>
      </c>
      <c r="H2871" s="208" t="s">
        <v>310</v>
      </c>
      <c r="I2871" s="208"/>
      <c r="J2871" s="209"/>
      <c r="K2871" s="209"/>
      <c r="L2871" s="209"/>
      <c r="M2871" s="209"/>
      <c r="N2871" s="209"/>
      <c r="O2871" s="209"/>
      <c r="P2871" s="209"/>
      <c r="Q2871" s="209"/>
      <c r="R2871" s="209"/>
      <c r="S2871" s="209"/>
      <c r="T2871" s="209"/>
    </row>
    <row r="2872" spans="1:20" ht="15" hidden="1" customHeight="1">
      <c r="A2872" s="468">
        <v>45427</v>
      </c>
      <c r="B2872" s="208" t="s">
        <v>2574</v>
      </c>
      <c r="C2872" s="208" t="s">
        <v>181</v>
      </c>
      <c r="D2872" s="592">
        <v>-726552</v>
      </c>
      <c r="E2872" s="636">
        <v>45413</v>
      </c>
      <c r="F2872" s="601" t="s">
        <v>109</v>
      </c>
      <c r="G2872" s="208" t="s">
        <v>125</v>
      </c>
      <c r="H2872" s="208" t="s">
        <v>310</v>
      </c>
      <c r="I2872" s="208"/>
      <c r="J2872" s="209"/>
      <c r="K2872" s="209"/>
      <c r="L2872" s="209"/>
      <c r="M2872" s="209"/>
      <c r="N2872" s="209"/>
      <c r="O2872" s="209"/>
      <c r="P2872" s="209"/>
      <c r="Q2872" s="209"/>
      <c r="R2872" s="209"/>
      <c r="S2872" s="209"/>
      <c r="T2872" s="209"/>
    </row>
    <row r="2873" spans="1:20" ht="15" hidden="1" customHeight="1">
      <c r="A2873" s="468">
        <v>45427</v>
      </c>
      <c r="B2873" s="208" t="s">
        <v>2574</v>
      </c>
      <c r="C2873" s="208" t="s">
        <v>181</v>
      </c>
      <c r="D2873" s="592">
        <v>-15119637</v>
      </c>
      <c r="E2873" s="636">
        <v>45413</v>
      </c>
      <c r="F2873" s="601" t="s">
        <v>109</v>
      </c>
      <c r="G2873" s="208" t="s">
        <v>125</v>
      </c>
      <c r="H2873" s="208" t="s">
        <v>310</v>
      </c>
      <c r="I2873" s="208"/>
      <c r="J2873" s="209"/>
      <c r="K2873" s="209"/>
      <c r="L2873" s="209"/>
      <c r="M2873" s="209"/>
      <c r="N2873" s="209"/>
      <c r="O2873" s="209"/>
      <c r="P2873" s="209"/>
      <c r="Q2873" s="209"/>
      <c r="R2873" s="209"/>
      <c r="S2873" s="209"/>
      <c r="T2873" s="209"/>
    </row>
    <row r="2874" spans="1:20" ht="15" hidden="1" customHeight="1">
      <c r="A2874" s="468">
        <v>45435</v>
      </c>
      <c r="B2874" s="208" t="s">
        <v>2572</v>
      </c>
      <c r="C2874" s="208" t="s">
        <v>181</v>
      </c>
      <c r="D2874" s="592">
        <v>-313184</v>
      </c>
      <c r="E2874" s="636">
        <v>45413</v>
      </c>
      <c r="F2874" s="601" t="s">
        <v>109</v>
      </c>
      <c r="G2874" s="208" t="s">
        <v>120</v>
      </c>
      <c r="H2874" s="208" t="s">
        <v>310</v>
      </c>
      <c r="I2874" s="208"/>
      <c r="J2874" s="209"/>
      <c r="K2874" s="209"/>
      <c r="L2874" s="209"/>
      <c r="M2874" s="209"/>
      <c r="N2874" s="209"/>
      <c r="O2874" s="209"/>
      <c r="P2874" s="209"/>
      <c r="Q2874" s="209"/>
      <c r="R2874" s="209"/>
      <c r="S2874" s="209"/>
      <c r="T2874" s="209"/>
    </row>
    <row r="2875" spans="1:20" ht="15" hidden="1" customHeight="1">
      <c r="A2875" s="468">
        <v>45427</v>
      </c>
      <c r="B2875" s="208" t="s">
        <v>2571</v>
      </c>
      <c r="C2875" s="208" t="s">
        <v>181</v>
      </c>
      <c r="D2875" s="592">
        <v>-1071252</v>
      </c>
      <c r="E2875" s="636">
        <v>45413</v>
      </c>
      <c r="F2875" s="201" t="s">
        <v>110</v>
      </c>
      <c r="G2875" s="208" t="s">
        <v>774</v>
      </c>
      <c r="H2875" s="208" t="s">
        <v>310</v>
      </c>
      <c r="I2875" s="208"/>
      <c r="J2875" s="209"/>
      <c r="K2875" s="209"/>
      <c r="L2875" s="209"/>
      <c r="M2875" s="209"/>
      <c r="N2875" s="209"/>
      <c r="O2875" s="209"/>
      <c r="P2875" s="209"/>
      <c r="Q2875" s="209"/>
      <c r="R2875" s="209"/>
      <c r="S2875" s="209"/>
      <c r="T2875" s="209"/>
    </row>
    <row r="2876" spans="1:20" ht="15" hidden="1" customHeight="1">
      <c r="A2876" s="468">
        <v>45427</v>
      </c>
      <c r="B2876" s="208" t="s">
        <v>2571</v>
      </c>
      <c r="C2876" s="208" t="s">
        <v>181</v>
      </c>
      <c r="D2876" s="592">
        <v>-1071252</v>
      </c>
      <c r="E2876" s="636">
        <v>45413</v>
      </c>
      <c r="F2876" s="201" t="s">
        <v>110</v>
      </c>
      <c r="G2876" s="208" t="s">
        <v>774</v>
      </c>
      <c r="H2876" s="208" t="s">
        <v>310</v>
      </c>
      <c r="I2876" s="208"/>
      <c r="J2876" s="209"/>
      <c r="K2876" s="209"/>
      <c r="L2876" s="209"/>
      <c r="M2876" s="209"/>
      <c r="N2876" s="209"/>
      <c r="O2876" s="209"/>
      <c r="P2876" s="209"/>
      <c r="Q2876" s="209"/>
      <c r="R2876" s="209"/>
      <c r="S2876" s="209"/>
      <c r="T2876" s="209"/>
    </row>
    <row r="2877" spans="1:20" ht="15" hidden="1" customHeight="1">
      <c r="A2877" s="468">
        <v>45427</v>
      </c>
      <c r="B2877" s="208" t="s">
        <v>2571</v>
      </c>
      <c r="C2877" s="208" t="s">
        <v>181</v>
      </c>
      <c r="D2877" s="592">
        <v>-1071252</v>
      </c>
      <c r="E2877" s="636">
        <v>45413</v>
      </c>
      <c r="F2877" s="201" t="s">
        <v>110</v>
      </c>
      <c r="G2877" s="208" t="s">
        <v>774</v>
      </c>
      <c r="H2877" s="208" t="s">
        <v>310</v>
      </c>
      <c r="I2877" s="208"/>
      <c r="J2877" s="209"/>
      <c r="K2877" s="209"/>
      <c r="L2877" s="209"/>
      <c r="M2877" s="209"/>
      <c r="N2877" s="209"/>
      <c r="O2877" s="209"/>
      <c r="P2877" s="209"/>
      <c r="Q2877" s="209"/>
      <c r="R2877" s="209"/>
      <c r="S2877" s="209"/>
      <c r="T2877" s="209"/>
    </row>
    <row r="2878" spans="1:20" ht="15" hidden="1" customHeight="1">
      <c r="A2878" s="468">
        <v>45427</v>
      </c>
      <c r="B2878" s="208" t="s">
        <v>2571</v>
      </c>
      <c r="C2878" s="208" t="s">
        <v>181</v>
      </c>
      <c r="D2878" s="592">
        <v>-254791</v>
      </c>
      <c r="E2878" s="636">
        <v>45413</v>
      </c>
      <c r="F2878" s="201" t="s">
        <v>110</v>
      </c>
      <c r="G2878" s="208" t="s">
        <v>774</v>
      </c>
      <c r="H2878" s="208" t="s">
        <v>310</v>
      </c>
      <c r="I2878" s="208"/>
      <c r="J2878" s="209"/>
      <c r="K2878" s="209"/>
      <c r="L2878" s="209"/>
      <c r="M2878" s="209"/>
      <c r="N2878" s="209"/>
      <c r="O2878" s="209"/>
      <c r="P2878" s="209"/>
      <c r="Q2878" s="209"/>
      <c r="R2878" s="209"/>
      <c r="S2878" s="209"/>
      <c r="T2878" s="209"/>
    </row>
    <row r="2879" spans="1:20" ht="15" hidden="1" customHeight="1">
      <c r="A2879" s="468">
        <v>45435</v>
      </c>
      <c r="B2879" s="208" t="s">
        <v>2572</v>
      </c>
      <c r="C2879" s="208" t="s">
        <v>181</v>
      </c>
      <c r="D2879" s="592">
        <v>-4041240</v>
      </c>
      <c r="E2879" s="636">
        <v>45413</v>
      </c>
      <c r="F2879" s="601" t="s">
        <v>109</v>
      </c>
      <c r="G2879" s="208" t="s">
        <v>120</v>
      </c>
      <c r="H2879" s="208" t="s">
        <v>310</v>
      </c>
      <c r="I2879" s="208"/>
      <c r="J2879" s="209"/>
      <c r="K2879" s="209"/>
      <c r="L2879" s="209"/>
      <c r="M2879" s="209"/>
      <c r="N2879" s="209"/>
      <c r="O2879" s="209"/>
      <c r="P2879" s="209"/>
      <c r="Q2879" s="209"/>
      <c r="R2879" s="209"/>
      <c r="S2879" s="209"/>
      <c r="T2879" s="209"/>
    </row>
    <row r="2880" spans="1:20" ht="15" hidden="1" customHeight="1">
      <c r="A2880" s="468">
        <v>45427</v>
      </c>
      <c r="B2880" s="208" t="s">
        <v>2571</v>
      </c>
      <c r="C2880" s="208" t="s">
        <v>181</v>
      </c>
      <c r="D2880" s="592">
        <v>-6288611</v>
      </c>
      <c r="E2880" s="636">
        <v>45413</v>
      </c>
      <c r="F2880" s="201" t="s">
        <v>110</v>
      </c>
      <c r="G2880" s="208" t="s">
        <v>774</v>
      </c>
      <c r="H2880" s="208" t="s">
        <v>310</v>
      </c>
      <c r="I2880" s="208"/>
      <c r="J2880" s="209"/>
      <c r="K2880" s="209"/>
      <c r="L2880" s="209"/>
      <c r="M2880" s="209"/>
      <c r="N2880" s="209"/>
      <c r="O2880" s="209"/>
      <c r="P2880" s="209"/>
      <c r="Q2880" s="209"/>
      <c r="R2880" s="209"/>
      <c r="S2880" s="209"/>
      <c r="T2880" s="209"/>
    </row>
    <row r="2881" spans="1:20" ht="15" hidden="1" customHeight="1">
      <c r="A2881" s="468">
        <v>45427</v>
      </c>
      <c r="B2881" s="208" t="s">
        <v>2571</v>
      </c>
      <c r="C2881" s="208" t="s">
        <v>181</v>
      </c>
      <c r="D2881" s="592">
        <v>-5786041</v>
      </c>
      <c r="E2881" s="636">
        <v>45413</v>
      </c>
      <c r="F2881" s="201" t="s">
        <v>110</v>
      </c>
      <c r="G2881" s="208" t="s">
        <v>774</v>
      </c>
      <c r="H2881" s="208" t="s">
        <v>310</v>
      </c>
      <c r="I2881" s="208"/>
      <c r="J2881" s="209"/>
      <c r="K2881" s="209"/>
      <c r="L2881" s="209"/>
      <c r="M2881" s="209"/>
      <c r="N2881" s="209"/>
      <c r="O2881" s="209"/>
      <c r="P2881" s="209"/>
      <c r="Q2881" s="209"/>
      <c r="R2881" s="209"/>
      <c r="S2881" s="209"/>
      <c r="T2881" s="209"/>
    </row>
    <row r="2882" spans="1:20" ht="15" hidden="1" customHeight="1">
      <c r="A2882" s="468">
        <v>45435</v>
      </c>
      <c r="B2882" s="208" t="s">
        <v>2571</v>
      </c>
      <c r="C2882" s="208" t="s">
        <v>27</v>
      </c>
      <c r="D2882" s="592">
        <v>-17852768</v>
      </c>
      <c r="E2882" s="653">
        <v>45413</v>
      </c>
      <c r="F2882" s="201" t="s">
        <v>110</v>
      </c>
      <c r="G2882" s="208" t="s">
        <v>774</v>
      </c>
      <c r="H2882" s="208" t="s">
        <v>310</v>
      </c>
      <c r="I2882" s="208"/>
      <c r="J2882" s="209"/>
      <c r="K2882" s="209"/>
      <c r="L2882" s="209"/>
      <c r="M2882" s="209"/>
      <c r="N2882" s="209"/>
      <c r="O2882" s="209"/>
      <c r="P2882" s="209"/>
      <c r="Q2882" s="209"/>
      <c r="R2882" s="209"/>
      <c r="S2882" s="209"/>
      <c r="T2882" s="209"/>
    </row>
    <row r="2883" spans="1:20" ht="15" hidden="1" customHeight="1">
      <c r="A2883" s="468">
        <v>45435</v>
      </c>
      <c r="B2883" s="208" t="s">
        <v>2574</v>
      </c>
      <c r="C2883" s="208" t="s">
        <v>27</v>
      </c>
      <c r="D2883" s="592">
        <v>-682183</v>
      </c>
      <c r="E2883" s="653">
        <v>45413</v>
      </c>
      <c r="F2883" s="601" t="s">
        <v>109</v>
      </c>
      <c r="G2883" s="208" t="s">
        <v>125</v>
      </c>
      <c r="H2883" s="208" t="s">
        <v>310</v>
      </c>
      <c r="I2883" s="208"/>
      <c r="J2883" s="209"/>
      <c r="K2883" s="209"/>
      <c r="L2883" s="209"/>
      <c r="M2883" s="209"/>
      <c r="N2883" s="209"/>
      <c r="O2883" s="209"/>
      <c r="P2883" s="209"/>
      <c r="Q2883" s="209"/>
      <c r="R2883" s="209"/>
      <c r="S2883" s="209"/>
      <c r="T2883" s="209"/>
    </row>
    <row r="2884" spans="1:20" ht="15" hidden="1" customHeight="1">
      <c r="A2884" s="468">
        <v>45435</v>
      </c>
      <c r="B2884" s="208" t="s">
        <v>2574</v>
      </c>
      <c r="C2884" s="208" t="s">
        <v>27</v>
      </c>
      <c r="D2884" s="592">
        <v>-1305359</v>
      </c>
      <c r="E2884" s="653">
        <v>45413</v>
      </c>
      <c r="F2884" s="601" t="s">
        <v>109</v>
      </c>
      <c r="G2884" s="208" t="s">
        <v>125</v>
      </c>
      <c r="H2884" s="208" t="s">
        <v>310</v>
      </c>
      <c r="I2884" s="208"/>
      <c r="J2884" s="209"/>
      <c r="K2884" s="209"/>
      <c r="L2884" s="209"/>
      <c r="M2884" s="209"/>
      <c r="N2884" s="209"/>
      <c r="O2884" s="209"/>
      <c r="P2884" s="209"/>
      <c r="Q2884" s="209"/>
      <c r="R2884" s="209"/>
      <c r="S2884" s="209"/>
      <c r="T2884" s="209"/>
    </row>
    <row r="2885" spans="1:20" ht="15" hidden="1" customHeight="1">
      <c r="A2885" s="468">
        <v>45435</v>
      </c>
      <c r="B2885" s="208" t="s">
        <v>2572</v>
      </c>
      <c r="C2885" s="208" t="s">
        <v>27</v>
      </c>
      <c r="D2885" s="592">
        <v>-1644223</v>
      </c>
      <c r="E2885" s="653">
        <v>45413</v>
      </c>
      <c r="F2885" s="601" t="s">
        <v>109</v>
      </c>
      <c r="G2885" s="208" t="s">
        <v>120</v>
      </c>
      <c r="H2885" s="208" t="s">
        <v>310</v>
      </c>
      <c r="I2885" s="208"/>
      <c r="J2885" s="209"/>
      <c r="K2885" s="209"/>
      <c r="L2885" s="209"/>
      <c r="M2885" s="209"/>
      <c r="N2885" s="209"/>
      <c r="O2885" s="209"/>
      <c r="P2885" s="209"/>
      <c r="Q2885" s="209"/>
      <c r="R2885" s="209"/>
      <c r="S2885" s="209"/>
      <c r="T2885" s="209"/>
    </row>
    <row r="2886" spans="1:20" ht="15" hidden="1" customHeight="1">
      <c r="A2886" s="468">
        <v>45435</v>
      </c>
      <c r="B2886" s="208" t="s">
        <v>2575</v>
      </c>
      <c r="C2886" s="208" t="s">
        <v>27</v>
      </c>
      <c r="D2886" s="592">
        <v>-549185</v>
      </c>
      <c r="E2886" s="653">
        <v>45413</v>
      </c>
      <c r="F2886" s="601" t="s">
        <v>109</v>
      </c>
      <c r="G2886" s="201" t="s">
        <v>918</v>
      </c>
      <c r="H2886" s="208" t="s">
        <v>310</v>
      </c>
      <c r="I2886" s="208"/>
      <c r="J2886" s="209"/>
      <c r="K2886" s="209"/>
      <c r="L2886" s="209"/>
      <c r="M2886" s="209"/>
      <c r="N2886" s="209"/>
      <c r="O2886" s="209"/>
      <c r="P2886" s="209"/>
      <c r="Q2886" s="209"/>
      <c r="R2886" s="209"/>
      <c r="S2886" s="209"/>
      <c r="T2886" s="209"/>
    </row>
    <row r="2887" spans="1:20" ht="15" hidden="1" customHeight="1">
      <c r="A2887" s="468">
        <v>45435</v>
      </c>
      <c r="B2887" s="208" t="s">
        <v>2576</v>
      </c>
      <c r="C2887" s="208" t="s">
        <v>27</v>
      </c>
      <c r="D2887" s="592">
        <v>2707911</v>
      </c>
      <c r="E2887" s="653">
        <v>45413</v>
      </c>
      <c r="F2887" s="208" t="s">
        <v>109</v>
      </c>
      <c r="G2887" s="208" t="s">
        <v>383</v>
      </c>
      <c r="H2887" s="208" t="s">
        <v>310</v>
      </c>
      <c r="I2887" s="208"/>
      <c r="J2887" s="209"/>
      <c r="K2887" s="209"/>
      <c r="L2887" s="209"/>
      <c r="M2887" s="209"/>
      <c r="N2887" s="209"/>
      <c r="O2887" s="209"/>
      <c r="P2887" s="209"/>
      <c r="Q2887" s="209"/>
      <c r="R2887" s="209"/>
      <c r="S2887" s="209"/>
      <c r="T2887" s="209"/>
    </row>
    <row r="2888" spans="1:20" ht="15" hidden="1" customHeight="1">
      <c r="A2888" s="468">
        <v>45435</v>
      </c>
      <c r="B2888" s="208" t="s">
        <v>2577</v>
      </c>
      <c r="C2888" s="208" t="s">
        <v>27</v>
      </c>
      <c r="D2888" s="592">
        <v>-1071252</v>
      </c>
      <c r="E2888" s="653">
        <v>45413</v>
      </c>
      <c r="F2888" s="291" t="s">
        <v>109</v>
      </c>
      <c r="G2888" s="208" t="s">
        <v>525</v>
      </c>
      <c r="H2888" s="208" t="s">
        <v>310</v>
      </c>
      <c r="I2888" s="208"/>
      <c r="J2888" s="209"/>
      <c r="K2888" s="209"/>
      <c r="L2888" s="209"/>
      <c r="M2888" s="209"/>
      <c r="N2888" s="209"/>
      <c r="O2888" s="209"/>
      <c r="P2888" s="209"/>
      <c r="Q2888" s="209"/>
      <c r="R2888" s="209"/>
      <c r="S2888" s="209"/>
      <c r="T2888" s="209"/>
    </row>
    <row r="2889" spans="1:20" ht="15" hidden="1" customHeight="1">
      <c r="A2889" s="468">
        <v>45435</v>
      </c>
      <c r="B2889" s="208" t="s">
        <v>2578</v>
      </c>
      <c r="C2889" s="208" t="s">
        <v>27</v>
      </c>
      <c r="D2889" s="592">
        <v>-44852</v>
      </c>
      <c r="E2889" s="653">
        <v>45413</v>
      </c>
      <c r="F2889" s="201" t="s">
        <v>110</v>
      </c>
      <c r="G2889" s="81" t="s">
        <v>1621</v>
      </c>
      <c r="H2889" s="208" t="s">
        <v>310</v>
      </c>
      <c r="I2889" s="208"/>
      <c r="J2889" s="209"/>
      <c r="K2889" s="209"/>
      <c r="L2889" s="209"/>
      <c r="M2889" s="209"/>
      <c r="N2889" s="209"/>
      <c r="O2889" s="209"/>
      <c r="P2889" s="209"/>
      <c r="Q2889" s="209"/>
      <c r="R2889" s="209"/>
      <c r="S2889" s="209"/>
      <c r="T2889" s="209"/>
    </row>
    <row r="2890" spans="1:20" ht="15" hidden="1" customHeight="1">
      <c r="A2890" s="468">
        <v>45435</v>
      </c>
      <c r="B2890" s="208" t="s">
        <v>2579</v>
      </c>
      <c r="C2890" s="208" t="s">
        <v>27</v>
      </c>
      <c r="D2890" s="592">
        <v>-47301</v>
      </c>
      <c r="E2890" s="653">
        <v>45413</v>
      </c>
      <c r="F2890" s="601" t="s">
        <v>109</v>
      </c>
      <c r="G2890" s="201" t="s">
        <v>918</v>
      </c>
      <c r="H2890" s="208" t="s">
        <v>310</v>
      </c>
      <c r="I2890" s="208"/>
      <c r="J2890" s="209"/>
      <c r="K2890" s="209"/>
      <c r="L2890" s="209"/>
      <c r="M2890" s="209"/>
      <c r="N2890" s="209"/>
      <c r="O2890" s="209"/>
      <c r="P2890" s="209"/>
      <c r="Q2890" s="209"/>
      <c r="R2890" s="209"/>
      <c r="S2890" s="209"/>
      <c r="T2890" s="209"/>
    </row>
    <row r="2891" spans="1:20" ht="15" hidden="1" customHeight="1">
      <c r="A2891" s="468">
        <v>45435</v>
      </c>
      <c r="B2891" s="208" t="s">
        <v>2580</v>
      </c>
      <c r="C2891" s="208" t="s">
        <v>27</v>
      </c>
      <c r="D2891" s="592">
        <v>-700302</v>
      </c>
      <c r="E2891" s="653">
        <v>45413</v>
      </c>
      <c r="F2891" s="201" t="s">
        <v>110</v>
      </c>
      <c r="G2891" s="208" t="s">
        <v>122</v>
      </c>
      <c r="H2891" s="208" t="s">
        <v>310</v>
      </c>
      <c r="I2891" s="208"/>
      <c r="J2891" s="209"/>
      <c r="K2891" s="209"/>
      <c r="L2891" s="209"/>
      <c r="M2891" s="209"/>
      <c r="N2891" s="209"/>
      <c r="O2891" s="209"/>
      <c r="P2891" s="209"/>
      <c r="Q2891" s="209"/>
      <c r="R2891" s="209"/>
      <c r="S2891" s="209"/>
      <c r="T2891" s="209"/>
    </row>
    <row r="2892" spans="1:20" ht="15" hidden="1" customHeight="1">
      <c r="A2892" s="468">
        <v>45435</v>
      </c>
      <c r="B2892" s="208" t="s">
        <v>2574</v>
      </c>
      <c r="C2892" s="208" t="s">
        <v>27</v>
      </c>
      <c r="D2892" s="592">
        <v>-376664</v>
      </c>
      <c r="E2892" s="653">
        <v>45413</v>
      </c>
      <c r="F2892" s="601" t="s">
        <v>109</v>
      </c>
      <c r="G2892" s="208" t="s">
        <v>125</v>
      </c>
      <c r="H2892" s="208" t="s">
        <v>310</v>
      </c>
      <c r="I2892" s="208"/>
      <c r="J2892" s="209"/>
      <c r="K2892" s="209"/>
      <c r="L2892" s="209"/>
      <c r="M2892" s="209"/>
      <c r="N2892" s="209"/>
      <c r="O2892" s="209"/>
      <c r="P2892" s="209"/>
      <c r="Q2892" s="209"/>
      <c r="R2892" s="209"/>
      <c r="S2892" s="209"/>
      <c r="T2892" s="209"/>
    </row>
    <row r="2893" spans="1:20" ht="15" hidden="1" customHeight="1">
      <c r="A2893" s="468">
        <v>45435</v>
      </c>
      <c r="B2893" s="208" t="s">
        <v>2577</v>
      </c>
      <c r="C2893" s="208" t="s">
        <v>27</v>
      </c>
      <c r="D2893" s="592">
        <v>-2626635</v>
      </c>
      <c r="E2893" s="653">
        <v>45413</v>
      </c>
      <c r="F2893" s="291" t="s">
        <v>109</v>
      </c>
      <c r="G2893" s="208" t="s">
        <v>525</v>
      </c>
      <c r="H2893" s="208" t="s">
        <v>310</v>
      </c>
      <c r="I2893" s="208"/>
      <c r="J2893" s="209"/>
      <c r="K2893" s="209"/>
      <c r="L2893" s="209"/>
      <c r="M2893" s="209"/>
      <c r="N2893" s="209"/>
      <c r="O2893" s="209"/>
      <c r="P2893" s="209"/>
      <c r="Q2893" s="209"/>
      <c r="R2893" s="209"/>
      <c r="S2893" s="209"/>
      <c r="T2893" s="209"/>
    </row>
    <row r="2894" spans="1:20" ht="15" hidden="1" customHeight="1">
      <c r="A2894" s="468">
        <v>45435</v>
      </c>
      <c r="B2894" s="208" t="s">
        <v>2574</v>
      </c>
      <c r="C2894" s="208" t="s">
        <v>27</v>
      </c>
      <c r="D2894" s="592">
        <v>-3051047</v>
      </c>
      <c r="E2894" s="653">
        <v>45413</v>
      </c>
      <c r="F2894" s="601" t="s">
        <v>109</v>
      </c>
      <c r="G2894" s="208" t="s">
        <v>125</v>
      </c>
      <c r="H2894" s="208" t="s">
        <v>310</v>
      </c>
      <c r="I2894" s="208"/>
      <c r="J2894" s="209"/>
      <c r="K2894" s="209"/>
      <c r="L2894" s="209"/>
      <c r="M2894" s="209"/>
      <c r="N2894" s="209"/>
      <c r="O2894" s="209"/>
      <c r="P2894" s="209"/>
      <c r="Q2894" s="209"/>
      <c r="R2894" s="209"/>
      <c r="S2894" s="209"/>
      <c r="T2894" s="209"/>
    </row>
    <row r="2895" spans="1:20" s="451" customFormat="1" ht="15" hidden="1" customHeight="1">
      <c r="A2895" s="468">
        <v>45435</v>
      </c>
      <c r="B2895" s="208" t="s">
        <v>2576</v>
      </c>
      <c r="C2895" s="208" t="s">
        <v>27</v>
      </c>
      <c r="D2895" s="592">
        <v>319872</v>
      </c>
      <c r="E2895" s="653">
        <v>45413</v>
      </c>
      <c r="F2895" s="208" t="s">
        <v>109</v>
      </c>
      <c r="G2895" s="208" t="s">
        <v>383</v>
      </c>
      <c r="H2895" s="208" t="s">
        <v>310</v>
      </c>
      <c r="I2895" s="208"/>
      <c r="J2895" s="209"/>
      <c r="K2895" s="209"/>
      <c r="L2895" s="209"/>
      <c r="M2895" s="209"/>
      <c r="N2895" s="209"/>
      <c r="O2895" s="209"/>
      <c r="P2895" s="209"/>
      <c r="Q2895" s="209"/>
      <c r="R2895" s="209"/>
      <c r="S2895" s="209"/>
      <c r="T2895" s="209"/>
    </row>
    <row r="2896" spans="1:20" ht="15" hidden="1" customHeight="1">
      <c r="A2896" s="468">
        <v>45435</v>
      </c>
      <c r="B2896" s="208" t="s">
        <v>2581</v>
      </c>
      <c r="C2896" s="208" t="s">
        <v>2113</v>
      </c>
      <c r="D2896" s="592">
        <v>30200</v>
      </c>
      <c r="E2896" s="653">
        <v>45413</v>
      </c>
      <c r="F2896" s="208" t="s">
        <v>130</v>
      </c>
      <c r="G2896" s="208" t="s">
        <v>257</v>
      </c>
      <c r="H2896" s="208" t="s">
        <v>2032</v>
      </c>
      <c r="I2896" s="208"/>
      <c r="J2896" s="209"/>
      <c r="K2896" s="209"/>
      <c r="L2896" s="209"/>
      <c r="M2896" s="209"/>
      <c r="N2896" s="209"/>
      <c r="O2896" s="209"/>
      <c r="P2896" s="209"/>
      <c r="Q2896" s="209"/>
      <c r="R2896" s="209"/>
      <c r="S2896" s="209"/>
      <c r="T2896" s="209"/>
    </row>
    <row r="2897" spans="1:20" ht="15" hidden="1" customHeight="1">
      <c r="A2897" s="468">
        <v>45439</v>
      </c>
      <c r="B2897" s="208" t="s">
        <v>2582</v>
      </c>
      <c r="C2897" s="208" t="s">
        <v>27</v>
      </c>
      <c r="D2897" s="592">
        <v>-3484500</v>
      </c>
      <c r="E2897" s="653">
        <v>45413</v>
      </c>
      <c r="F2897" s="208" t="s">
        <v>109</v>
      </c>
      <c r="G2897" s="208" t="s">
        <v>120</v>
      </c>
      <c r="H2897" s="208"/>
      <c r="I2897" s="208"/>
      <c r="J2897" s="209"/>
      <c r="K2897" s="209"/>
      <c r="L2897" s="209"/>
      <c r="M2897" s="209"/>
      <c r="N2897" s="209"/>
      <c r="O2897" s="209"/>
      <c r="P2897" s="209"/>
      <c r="Q2897" s="209"/>
      <c r="R2897" s="209"/>
      <c r="S2897" s="209"/>
      <c r="T2897" s="209"/>
    </row>
    <row r="2898" spans="1:20" ht="15" hidden="1" customHeight="1">
      <c r="A2898" s="468">
        <v>45439</v>
      </c>
      <c r="B2898" s="208" t="s">
        <v>2583</v>
      </c>
      <c r="C2898" s="208" t="s">
        <v>27</v>
      </c>
      <c r="D2898" s="592">
        <v>-400000</v>
      </c>
      <c r="E2898" s="653">
        <v>45413</v>
      </c>
      <c r="F2898" s="635" t="s">
        <v>130</v>
      </c>
      <c r="G2898" s="635" t="s">
        <v>257</v>
      </c>
      <c r="H2898" s="208" t="s">
        <v>663</v>
      </c>
      <c r="I2898" s="208"/>
      <c r="J2898" s="209"/>
      <c r="K2898" s="209"/>
      <c r="L2898" s="209"/>
      <c r="M2898" s="209"/>
      <c r="N2898" s="209"/>
      <c r="O2898" s="209"/>
      <c r="P2898" s="209"/>
      <c r="Q2898" s="209"/>
      <c r="R2898" s="209"/>
      <c r="S2898" s="209"/>
      <c r="T2898" s="209"/>
    </row>
    <row r="2899" spans="1:20" ht="15" hidden="1" customHeight="1">
      <c r="A2899" s="468">
        <v>45439</v>
      </c>
      <c r="B2899" s="208" t="s">
        <v>2584</v>
      </c>
      <c r="C2899" s="208" t="s">
        <v>27</v>
      </c>
      <c r="D2899" s="592">
        <v>-2510675</v>
      </c>
      <c r="E2899" s="653">
        <v>45413</v>
      </c>
      <c r="F2899" s="635" t="s">
        <v>109</v>
      </c>
      <c r="G2899" s="654" t="s">
        <v>2585</v>
      </c>
      <c r="H2899" s="208" t="s">
        <v>1463</v>
      </c>
      <c r="I2899" s="208"/>
      <c r="J2899" s="209"/>
      <c r="K2899" s="209"/>
      <c r="L2899" s="209"/>
      <c r="M2899" s="209"/>
      <c r="N2899" s="209"/>
      <c r="O2899" s="209"/>
      <c r="P2899" s="209"/>
      <c r="Q2899" s="209"/>
      <c r="R2899" s="209"/>
      <c r="S2899" s="209"/>
      <c r="T2899" s="209"/>
    </row>
    <row r="2900" spans="1:20" ht="15" hidden="1" customHeight="1">
      <c r="A2900" s="468">
        <v>45439</v>
      </c>
      <c r="B2900" s="208" t="s">
        <v>2586</v>
      </c>
      <c r="C2900" s="208" t="s">
        <v>27</v>
      </c>
      <c r="D2900" s="592">
        <v>-333529</v>
      </c>
      <c r="E2900" s="653">
        <v>45413</v>
      </c>
      <c r="F2900" s="654" t="s">
        <v>109</v>
      </c>
      <c r="G2900" s="654" t="s">
        <v>2585</v>
      </c>
      <c r="H2900" s="208" t="s">
        <v>1463</v>
      </c>
      <c r="I2900" s="208"/>
      <c r="J2900" s="209"/>
      <c r="K2900" s="209"/>
      <c r="L2900" s="209"/>
      <c r="M2900" s="209"/>
      <c r="N2900" s="209"/>
      <c r="O2900" s="209"/>
      <c r="P2900" s="209"/>
      <c r="Q2900" s="209"/>
      <c r="R2900" s="209"/>
      <c r="S2900" s="209"/>
      <c r="T2900" s="209"/>
    </row>
    <row r="2901" spans="1:20" ht="15" hidden="1" customHeight="1">
      <c r="A2901" s="468">
        <v>45439</v>
      </c>
      <c r="B2901" s="208" t="s">
        <v>2587</v>
      </c>
      <c r="C2901" s="208" t="s">
        <v>27</v>
      </c>
      <c r="D2901" s="592">
        <v>-980567</v>
      </c>
      <c r="E2901" s="653">
        <v>45413</v>
      </c>
      <c r="F2901" s="201" t="s">
        <v>110</v>
      </c>
      <c r="G2901" s="208" t="s">
        <v>774</v>
      </c>
      <c r="H2901" s="208" t="s">
        <v>1463</v>
      </c>
      <c r="I2901" s="208"/>
      <c r="J2901" s="209"/>
      <c r="K2901" s="209"/>
      <c r="L2901" s="209"/>
      <c r="M2901" s="209"/>
      <c r="N2901" s="209"/>
      <c r="O2901" s="209"/>
      <c r="P2901" s="209"/>
      <c r="Q2901" s="209"/>
      <c r="R2901" s="209"/>
      <c r="S2901" s="209"/>
      <c r="T2901" s="209"/>
    </row>
    <row r="2902" spans="1:20" s="455" customFormat="1" ht="15" hidden="1" customHeight="1">
      <c r="A2902" s="468">
        <v>45439</v>
      </c>
      <c r="B2902" s="208" t="s">
        <v>2588</v>
      </c>
      <c r="C2902" s="208" t="s">
        <v>27</v>
      </c>
      <c r="D2902" s="592">
        <v>-479804</v>
      </c>
      <c r="E2902" s="653">
        <v>45413</v>
      </c>
      <c r="F2902" s="654" t="s">
        <v>109</v>
      </c>
      <c r="G2902" s="654" t="s">
        <v>2585</v>
      </c>
      <c r="H2902" s="208" t="s">
        <v>1463</v>
      </c>
      <c r="I2902" s="208"/>
      <c r="J2902" s="209"/>
      <c r="K2902" s="209"/>
      <c r="L2902" s="209"/>
      <c r="M2902" s="209"/>
      <c r="N2902" s="209"/>
      <c r="O2902" s="209"/>
      <c r="P2902" s="209"/>
      <c r="Q2902" s="209"/>
      <c r="R2902" s="209"/>
      <c r="S2902" s="209"/>
      <c r="T2902" s="209"/>
    </row>
    <row r="2903" spans="1:20" ht="15" hidden="1" customHeight="1">
      <c r="A2903" s="468">
        <v>45439</v>
      </c>
      <c r="B2903" s="208" t="s">
        <v>2589</v>
      </c>
      <c r="C2903" s="208" t="s">
        <v>27</v>
      </c>
      <c r="D2903" s="592">
        <v>-7900</v>
      </c>
      <c r="E2903" s="212">
        <v>45413</v>
      </c>
      <c r="F2903" s="208" t="s">
        <v>130</v>
      </c>
      <c r="G2903" s="208" t="s">
        <v>130</v>
      </c>
      <c r="H2903" s="208" t="s">
        <v>2590</v>
      </c>
      <c r="I2903" s="208"/>
      <c r="J2903" s="209"/>
      <c r="K2903" s="209"/>
      <c r="L2903" s="209"/>
      <c r="M2903" s="209"/>
      <c r="N2903" s="209"/>
      <c r="O2903" s="209"/>
      <c r="P2903" s="209"/>
      <c r="Q2903" s="209"/>
      <c r="R2903" s="209"/>
      <c r="S2903" s="209"/>
      <c r="T2903" s="209"/>
    </row>
    <row r="2904" spans="1:20" ht="15" hidden="1" customHeight="1">
      <c r="A2904" s="468">
        <v>45439</v>
      </c>
      <c r="B2904" s="208" t="s">
        <v>2591</v>
      </c>
      <c r="C2904" s="208" t="s">
        <v>27</v>
      </c>
      <c r="D2904" s="592">
        <v>-2967000</v>
      </c>
      <c r="E2904" s="212">
        <v>45413</v>
      </c>
      <c r="F2904" s="208" t="s">
        <v>130</v>
      </c>
      <c r="G2904" s="208" t="s">
        <v>130</v>
      </c>
      <c r="H2904" s="208" t="s">
        <v>1038</v>
      </c>
      <c r="I2904" s="208"/>
      <c r="J2904" s="209"/>
      <c r="K2904" s="209"/>
      <c r="L2904" s="209"/>
      <c r="M2904" s="209"/>
      <c r="N2904" s="209"/>
      <c r="O2904" s="209"/>
      <c r="P2904" s="209"/>
      <c r="Q2904" s="209"/>
      <c r="R2904" s="209"/>
      <c r="S2904" s="209"/>
      <c r="T2904" s="209"/>
    </row>
    <row r="2905" spans="1:20" ht="15" hidden="1" customHeight="1">
      <c r="A2905" s="468">
        <v>45439</v>
      </c>
      <c r="B2905" s="208" t="s">
        <v>2592</v>
      </c>
      <c r="C2905" s="208" t="s">
        <v>27</v>
      </c>
      <c r="D2905" s="592">
        <v>-1100000</v>
      </c>
      <c r="E2905" s="212">
        <v>45413</v>
      </c>
      <c r="F2905" s="208" t="s">
        <v>109</v>
      </c>
      <c r="G2905" s="208" t="s">
        <v>120</v>
      </c>
      <c r="H2905" s="208"/>
      <c r="I2905" s="208"/>
      <c r="J2905" s="209"/>
      <c r="K2905" s="209"/>
      <c r="L2905" s="209"/>
      <c r="M2905" s="209"/>
      <c r="N2905" s="209"/>
      <c r="O2905" s="209"/>
      <c r="P2905" s="209"/>
      <c r="Q2905" s="209"/>
      <c r="R2905" s="209"/>
      <c r="S2905" s="209"/>
      <c r="T2905" s="209"/>
    </row>
    <row r="2906" spans="1:20" ht="15" hidden="1" customHeight="1">
      <c r="A2906" s="468">
        <v>45439</v>
      </c>
      <c r="B2906" s="208" t="s">
        <v>2593</v>
      </c>
      <c r="C2906" s="208" t="s">
        <v>27</v>
      </c>
      <c r="D2906" s="592">
        <v>-1825000</v>
      </c>
      <c r="E2906" s="212">
        <v>45413</v>
      </c>
      <c r="F2906" s="208" t="s">
        <v>109</v>
      </c>
      <c r="G2906" s="208" t="s">
        <v>120</v>
      </c>
      <c r="H2906" s="208"/>
      <c r="I2906" s="208"/>
      <c r="J2906" s="209"/>
      <c r="K2906" s="209"/>
      <c r="L2906" s="209"/>
      <c r="M2906" s="209"/>
      <c r="N2906" s="209"/>
      <c r="O2906" s="209"/>
      <c r="P2906" s="209"/>
      <c r="Q2906" s="209"/>
      <c r="R2906" s="209"/>
      <c r="S2906" s="209"/>
      <c r="T2906" s="209"/>
    </row>
    <row r="2907" spans="1:20" ht="15" hidden="1" customHeight="1">
      <c r="A2907" s="468">
        <v>45439</v>
      </c>
      <c r="B2907" s="208" t="s">
        <v>2594</v>
      </c>
      <c r="C2907" s="208" t="s">
        <v>27</v>
      </c>
      <c r="D2907" s="592">
        <v>-400000</v>
      </c>
      <c r="E2907" s="212">
        <v>45413</v>
      </c>
      <c r="F2907" s="208" t="s">
        <v>130</v>
      </c>
      <c r="G2907" s="208" t="s">
        <v>257</v>
      </c>
      <c r="H2907" s="208" t="s">
        <v>663</v>
      </c>
      <c r="I2907" s="208"/>
      <c r="J2907" s="209"/>
      <c r="K2907" s="209"/>
      <c r="L2907" s="209"/>
      <c r="M2907" s="209"/>
      <c r="N2907" s="209"/>
      <c r="O2907" s="209"/>
      <c r="P2907" s="209"/>
      <c r="Q2907" s="209"/>
      <c r="R2907" s="209"/>
      <c r="S2907" s="209"/>
      <c r="T2907" s="209"/>
    </row>
    <row r="2908" spans="1:20" ht="15" hidden="1" customHeight="1">
      <c r="A2908" s="468">
        <v>45439</v>
      </c>
      <c r="B2908" s="208" t="s">
        <v>2595</v>
      </c>
      <c r="C2908" s="208" t="s">
        <v>27</v>
      </c>
      <c r="D2908" s="592">
        <v>-279287</v>
      </c>
      <c r="E2908" s="212">
        <v>45413</v>
      </c>
      <c r="F2908" s="208" t="s">
        <v>130</v>
      </c>
      <c r="G2908" s="208" t="s">
        <v>130</v>
      </c>
      <c r="H2908" s="208" t="s">
        <v>1242</v>
      </c>
      <c r="I2908" s="208"/>
      <c r="J2908" s="209"/>
      <c r="K2908" s="209"/>
      <c r="L2908" s="209"/>
      <c r="M2908" s="209"/>
      <c r="N2908" s="209"/>
      <c r="O2908" s="209"/>
      <c r="P2908" s="209"/>
      <c r="Q2908" s="209"/>
      <c r="R2908" s="209"/>
      <c r="S2908" s="209"/>
      <c r="T2908" s="209"/>
    </row>
    <row r="2909" spans="1:20" ht="15" hidden="1" customHeight="1">
      <c r="A2909" s="468">
        <v>45439</v>
      </c>
      <c r="B2909" s="208" t="s">
        <v>2596</v>
      </c>
      <c r="C2909" s="208" t="s">
        <v>27</v>
      </c>
      <c r="D2909" s="592">
        <v>-1200000</v>
      </c>
      <c r="E2909" s="212">
        <v>45413</v>
      </c>
      <c r="F2909" s="208" t="s">
        <v>109</v>
      </c>
      <c r="G2909" s="208" t="s">
        <v>120</v>
      </c>
      <c r="H2909" s="208"/>
      <c r="I2909" s="208"/>
      <c r="J2909" s="209"/>
      <c r="K2909" s="209"/>
      <c r="L2909" s="209"/>
      <c r="M2909" s="209"/>
      <c r="N2909" s="209"/>
      <c r="O2909" s="209"/>
      <c r="P2909" s="209"/>
      <c r="Q2909" s="209"/>
      <c r="R2909" s="209"/>
      <c r="S2909" s="209"/>
      <c r="T2909" s="209"/>
    </row>
    <row r="2910" spans="1:20" ht="15" hidden="1" customHeight="1">
      <c r="A2910" s="468">
        <v>45439</v>
      </c>
      <c r="B2910" s="208" t="s">
        <v>2597</v>
      </c>
      <c r="C2910" s="208" t="s">
        <v>27</v>
      </c>
      <c r="D2910" s="592">
        <v>-1500000</v>
      </c>
      <c r="E2910" s="212">
        <v>45413</v>
      </c>
      <c r="F2910" s="601" t="s">
        <v>109</v>
      </c>
      <c r="G2910" s="208" t="s">
        <v>10</v>
      </c>
      <c r="H2910" s="208"/>
      <c r="I2910" s="208"/>
      <c r="J2910" s="209"/>
      <c r="K2910" s="209"/>
      <c r="L2910" s="209"/>
      <c r="M2910" s="209"/>
      <c r="N2910" s="209"/>
      <c r="O2910" s="209"/>
      <c r="P2910" s="209"/>
      <c r="Q2910" s="209"/>
      <c r="R2910" s="209"/>
      <c r="S2910" s="209"/>
      <c r="T2910" s="209"/>
    </row>
    <row r="2911" spans="1:20" ht="15" hidden="1" customHeight="1">
      <c r="A2911" s="468">
        <v>45439</v>
      </c>
      <c r="B2911" s="208" t="s">
        <v>2598</v>
      </c>
      <c r="C2911" s="208" t="s">
        <v>27</v>
      </c>
      <c r="D2911" s="592">
        <v>-1491321</v>
      </c>
      <c r="E2911" s="212">
        <v>45413</v>
      </c>
      <c r="F2911" s="208" t="s">
        <v>109</v>
      </c>
      <c r="G2911" s="208" t="s">
        <v>120</v>
      </c>
      <c r="H2911" s="208"/>
      <c r="I2911" s="208"/>
      <c r="J2911" s="209"/>
      <c r="K2911" s="209"/>
      <c r="L2911" s="209"/>
      <c r="M2911" s="209"/>
      <c r="N2911" s="209"/>
      <c r="O2911" s="209"/>
      <c r="P2911" s="209"/>
      <c r="Q2911" s="209"/>
      <c r="R2911" s="209"/>
      <c r="S2911" s="209"/>
      <c r="T2911" s="209"/>
    </row>
    <row r="2912" spans="1:20" ht="15" hidden="1" customHeight="1">
      <c r="A2912" s="468">
        <v>45440</v>
      </c>
      <c r="B2912" s="208" t="s">
        <v>2359</v>
      </c>
      <c r="C2912" s="208" t="s">
        <v>133</v>
      </c>
      <c r="D2912" s="592">
        <v>-3150</v>
      </c>
      <c r="E2912" s="212">
        <v>45413</v>
      </c>
      <c r="F2912" s="208" t="s">
        <v>130</v>
      </c>
      <c r="G2912" s="208" t="s">
        <v>130</v>
      </c>
      <c r="H2912" s="208" t="s">
        <v>138</v>
      </c>
      <c r="I2912" s="208"/>
      <c r="J2912" s="209"/>
      <c r="K2912" s="209"/>
      <c r="L2912" s="209"/>
      <c r="M2912" s="209"/>
      <c r="N2912" s="209"/>
      <c r="O2912" s="209"/>
      <c r="P2912" s="209"/>
      <c r="Q2912" s="209"/>
      <c r="R2912" s="209"/>
      <c r="S2912" s="209"/>
      <c r="T2912" s="209"/>
    </row>
    <row r="2913" spans="1:20" ht="15" hidden="1" customHeight="1">
      <c r="A2913" s="468">
        <v>45440</v>
      </c>
      <c r="B2913" s="208" t="s">
        <v>2359</v>
      </c>
      <c r="C2913" s="208" t="s">
        <v>133</v>
      </c>
      <c r="D2913" s="592">
        <v>-1890</v>
      </c>
      <c r="E2913" s="212">
        <v>45413</v>
      </c>
      <c r="F2913" s="208" t="s">
        <v>130</v>
      </c>
      <c r="G2913" s="208" t="s">
        <v>130</v>
      </c>
      <c r="H2913" s="208" t="s">
        <v>138</v>
      </c>
      <c r="I2913" s="208"/>
      <c r="J2913" s="209"/>
      <c r="K2913" s="209"/>
      <c r="L2913" s="209"/>
      <c r="M2913" s="209"/>
      <c r="N2913" s="209"/>
      <c r="O2913" s="209"/>
      <c r="P2913" s="209"/>
      <c r="Q2913" s="209"/>
      <c r="R2913" s="209"/>
      <c r="S2913" s="209"/>
      <c r="T2913" s="209"/>
    </row>
    <row r="2914" spans="1:20" ht="15" hidden="1" customHeight="1">
      <c r="A2914" s="468">
        <v>45439</v>
      </c>
      <c r="B2914" s="208" t="s">
        <v>2599</v>
      </c>
      <c r="C2914" s="208" t="s">
        <v>133</v>
      </c>
      <c r="D2914" s="592">
        <v>-103200</v>
      </c>
      <c r="E2914" s="212">
        <v>45413</v>
      </c>
      <c r="F2914" s="208" t="s">
        <v>130</v>
      </c>
      <c r="G2914" s="208" t="s">
        <v>130</v>
      </c>
      <c r="H2914" s="208" t="s">
        <v>1038</v>
      </c>
      <c r="I2914" s="208"/>
      <c r="J2914" s="209"/>
      <c r="K2914" s="209"/>
      <c r="L2914" s="209"/>
      <c r="M2914" s="209"/>
      <c r="N2914" s="209"/>
      <c r="O2914" s="209"/>
      <c r="P2914" s="209"/>
      <c r="Q2914" s="209"/>
      <c r="R2914" s="209"/>
      <c r="S2914" s="209"/>
      <c r="T2914" s="209"/>
    </row>
    <row r="2915" spans="1:20" ht="15" hidden="1" customHeight="1">
      <c r="A2915" s="468">
        <v>45440</v>
      </c>
      <c r="B2915" s="208" t="s">
        <v>2600</v>
      </c>
      <c r="C2915" s="208" t="s">
        <v>27</v>
      </c>
      <c r="D2915" s="592">
        <v>-667000</v>
      </c>
      <c r="E2915" s="212">
        <v>45413</v>
      </c>
      <c r="F2915" s="208" t="s">
        <v>1702</v>
      </c>
      <c r="G2915" s="208"/>
      <c r="H2915" s="208"/>
      <c r="I2915" s="208"/>
      <c r="J2915" s="209"/>
      <c r="K2915" s="209"/>
      <c r="L2915" s="209"/>
      <c r="M2915" s="209"/>
      <c r="N2915" s="209"/>
      <c r="O2915" s="209"/>
      <c r="P2915" s="209"/>
      <c r="Q2915" s="209"/>
      <c r="R2915" s="209"/>
      <c r="S2915" s="209"/>
      <c r="T2915" s="209"/>
    </row>
    <row r="2916" spans="1:20" ht="15" hidden="1" customHeight="1">
      <c r="A2916" s="468">
        <v>45440</v>
      </c>
      <c r="B2916" s="208" t="s">
        <v>2601</v>
      </c>
      <c r="C2916" s="208" t="s">
        <v>27</v>
      </c>
      <c r="D2916" s="592">
        <v>-254800</v>
      </c>
      <c r="E2916" s="212">
        <v>45413</v>
      </c>
      <c r="F2916" s="208" t="s">
        <v>109</v>
      </c>
      <c r="G2916" s="208" t="s">
        <v>120</v>
      </c>
      <c r="H2916" s="208"/>
      <c r="I2916" s="208"/>
      <c r="J2916" s="209"/>
      <c r="K2916" s="209"/>
      <c r="L2916" s="209"/>
      <c r="M2916" s="209"/>
      <c r="N2916" s="209"/>
      <c r="O2916" s="209"/>
      <c r="P2916" s="209"/>
      <c r="Q2916" s="209"/>
      <c r="R2916" s="209"/>
      <c r="S2916" s="209"/>
      <c r="T2916" s="209"/>
    </row>
    <row r="2917" spans="1:20" ht="15" hidden="1" customHeight="1">
      <c r="A2917" s="468">
        <v>45440</v>
      </c>
      <c r="B2917" s="208" t="s">
        <v>2602</v>
      </c>
      <c r="C2917" s="208" t="s">
        <v>27</v>
      </c>
      <c r="D2917" s="592">
        <v>-735192</v>
      </c>
      <c r="E2917" s="212">
        <v>45413</v>
      </c>
      <c r="F2917" s="601" t="s">
        <v>109</v>
      </c>
      <c r="G2917" s="201" t="s">
        <v>1261</v>
      </c>
      <c r="H2917" s="208" t="s">
        <v>1463</v>
      </c>
      <c r="I2917" s="208"/>
      <c r="J2917" s="209"/>
      <c r="K2917" s="209"/>
      <c r="L2917" s="209"/>
      <c r="M2917" s="209"/>
      <c r="N2917" s="209"/>
      <c r="O2917" s="209"/>
      <c r="P2917" s="209"/>
      <c r="Q2917" s="209"/>
      <c r="R2917" s="209"/>
      <c r="S2917" s="209"/>
      <c r="T2917" s="209"/>
    </row>
    <row r="2918" spans="1:20" ht="15" hidden="1" customHeight="1">
      <c r="A2918" s="468">
        <v>45440</v>
      </c>
      <c r="B2918" s="208" t="s">
        <v>2603</v>
      </c>
      <c r="C2918" s="208" t="s">
        <v>27</v>
      </c>
      <c r="D2918" s="592">
        <v>-240000</v>
      </c>
      <c r="E2918" s="212">
        <v>45413</v>
      </c>
      <c r="F2918" s="601" t="s">
        <v>109</v>
      </c>
      <c r="G2918" s="208" t="s">
        <v>383</v>
      </c>
      <c r="H2918" s="208" t="s">
        <v>212</v>
      </c>
      <c r="I2918" s="208"/>
      <c r="J2918" s="209"/>
      <c r="K2918" s="209"/>
      <c r="L2918" s="209"/>
      <c r="M2918" s="209"/>
      <c r="N2918" s="209"/>
      <c r="O2918" s="209"/>
      <c r="P2918" s="209"/>
      <c r="Q2918" s="209"/>
      <c r="R2918" s="209"/>
      <c r="S2918" s="209"/>
      <c r="T2918" s="209"/>
    </row>
    <row r="2919" spans="1:20" ht="15" hidden="1" customHeight="1">
      <c r="A2919" s="468">
        <v>45440</v>
      </c>
      <c r="B2919" s="208" t="s">
        <v>2604</v>
      </c>
      <c r="C2919" s="208" t="s">
        <v>27</v>
      </c>
      <c r="D2919" s="592">
        <v>-2472500</v>
      </c>
      <c r="E2919" s="212">
        <v>45413</v>
      </c>
      <c r="F2919" s="208" t="s">
        <v>109</v>
      </c>
      <c r="G2919" s="208" t="s">
        <v>120</v>
      </c>
      <c r="H2919" s="208"/>
      <c r="I2919" s="208"/>
      <c r="J2919" s="209"/>
      <c r="K2919" s="209"/>
      <c r="L2919" s="209"/>
      <c r="M2919" s="209"/>
      <c r="N2919" s="209"/>
      <c r="O2919" s="209"/>
      <c r="P2919" s="209"/>
      <c r="Q2919" s="209"/>
      <c r="R2919" s="209"/>
      <c r="S2919" s="209"/>
      <c r="T2919" s="209"/>
    </row>
    <row r="2920" spans="1:20" ht="15" hidden="1" customHeight="1">
      <c r="A2920" s="468">
        <v>45440</v>
      </c>
      <c r="B2920" s="208" t="s">
        <v>2598</v>
      </c>
      <c r="C2920" s="208" t="s">
        <v>27</v>
      </c>
      <c r="D2920" s="592">
        <v>-24418917</v>
      </c>
      <c r="E2920" s="212">
        <v>45413</v>
      </c>
      <c r="F2920" s="208" t="s">
        <v>109</v>
      </c>
      <c r="G2920" s="208" t="s">
        <v>120</v>
      </c>
      <c r="H2920" s="208"/>
      <c r="I2920" s="208"/>
      <c r="J2920" s="209"/>
      <c r="K2920" s="209"/>
      <c r="L2920" s="209"/>
      <c r="M2920" s="209"/>
      <c r="N2920" s="209"/>
      <c r="O2920" s="209"/>
      <c r="P2920" s="209"/>
      <c r="Q2920" s="209"/>
      <c r="R2920" s="209"/>
      <c r="S2920" s="209"/>
      <c r="T2920" s="209"/>
    </row>
    <row r="2921" spans="1:20" ht="15" hidden="1" customHeight="1">
      <c r="A2921" s="468">
        <v>45440</v>
      </c>
      <c r="B2921" s="208" t="s">
        <v>2605</v>
      </c>
      <c r="C2921" s="208" t="s">
        <v>27</v>
      </c>
      <c r="D2921" s="592">
        <v>-1782000</v>
      </c>
      <c r="E2921" s="212">
        <v>45413</v>
      </c>
      <c r="F2921" s="208" t="s">
        <v>109</v>
      </c>
      <c r="G2921" s="208" t="s">
        <v>120</v>
      </c>
      <c r="H2921" s="208"/>
      <c r="I2921" s="208"/>
      <c r="J2921" s="209"/>
      <c r="K2921" s="209"/>
      <c r="L2921" s="209"/>
      <c r="M2921" s="209"/>
      <c r="N2921" s="209"/>
      <c r="O2921" s="209"/>
      <c r="P2921" s="209"/>
      <c r="Q2921" s="209"/>
      <c r="R2921" s="209"/>
      <c r="S2921" s="209"/>
      <c r="T2921" s="209"/>
    </row>
    <row r="2922" spans="1:20" ht="15" hidden="1" customHeight="1">
      <c r="A2922" s="468">
        <v>45440</v>
      </c>
      <c r="B2922" s="208" t="s">
        <v>1337</v>
      </c>
      <c r="C2922" s="208" t="s">
        <v>27</v>
      </c>
      <c r="D2922" s="592">
        <v>-8984482</v>
      </c>
      <c r="E2922" s="212">
        <v>45413</v>
      </c>
      <c r="F2922" s="208" t="s">
        <v>109</v>
      </c>
      <c r="G2922" s="208" t="s">
        <v>120</v>
      </c>
      <c r="H2922" s="208"/>
      <c r="I2922" s="208"/>
      <c r="J2922" s="209"/>
      <c r="K2922" s="209"/>
      <c r="L2922" s="209"/>
      <c r="M2922" s="209"/>
      <c r="N2922" s="209"/>
      <c r="O2922" s="209"/>
      <c r="P2922" s="209"/>
      <c r="Q2922" s="209"/>
      <c r="R2922" s="209"/>
      <c r="S2922" s="209"/>
      <c r="T2922" s="209"/>
    </row>
    <row r="2923" spans="1:20" ht="15" hidden="1" customHeight="1">
      <c r="A2923" s="468">
        <v>45440</v>
      </c>
      <c r="B2923" s="208" t="s">
        <v>2606</v>
      </c>
      <c r="C2923" s="208" t="s">
        <v>27</v>
      </c>
      <c r="D2923" s="592">
        <v>-327400</v>
      </c>
      <c r="E2923" s="212">
        <v>45413</v>
      </c>
      <c r="F2923" s="208" t="s">
        <v>130</v>
      </c>
      <c r="G2923" s="208" t="s">
        <v>257</v>
      </c>
      <c r="H2923" s="208" t="s">
        <v>663</v>
      </c>
      <c r="I2923" s="208"/>
      <c r="J2923" s="209"/>
      <c r="K2923" s="209"/>
      <c r="L2923" s="209"/>
      <c r="M2923" s="209"/>
      <c r="N2923" s="209"/>
      <c r="O2923" s="209"/>
      <c r="P2923" s="209"/>
      <c r="Q2923" s="209"/>
      <c r="R2923" s="209"/>
      <c r="S2923" s="209"/>
      <c r="T2923" s="209"/>
    </row>
    <row r="2924" spans="1:20" ht="15" hidden="1" customHeight="1">
      <c r="A2924" s="468">
        <v>45440</v>
      </c>
      <c r="B2924" s="208" t="s">
        <v>1970</v>
      </c>
      <c r="C2924" s="208" t="s">
        <v>27</v>
      </c>
      <c r="D2924" s="592">
        <v>-252380</v>
      </c>
      <c r="E2924" s="212">
        <v>45413</v>
      </c>
      <c r="F2924" s="601" t="s">
        <v>109</v>
      </c>
      <c r="G2924" s="208" t="s">
        <v>125</v>
      </c>
      <c r="H2924" s="208" t="s">
        <v>175</v>
      </c>
      <c r="I2924" s="208"/>
      <c r="J2924" s="209"/>
      <c r="K2924" s="209"/>
      <c r="L2924" s="209"/>
      <c r="M2924" s="209"/>
      <c r="N2924" s="209"/>
      <c r="O2924" s="209"/>
      <c r="P2924" s="209"/>
      <c r="Q2924" s="209"/>
      <c r="R2924" s="209"/>
      <c r="S2924" s="209"/>
      <c r="T2924" s="209"/>
    </row>
    <row r="2925" spans="1:20" ht="15" hidden="1" customHeight="1">
      <c r="A2925" s="468">
        <v>45440</v>
      </c>
      <c r="B2925" s="208" t="s">
        <v>2607</v>
      </c>
      <c r="C2925" s="208" t="s">
        <v>27</v>
      </c>
      <c r="D2925" s="592">
        <v>-1050000</v>
      </c>
      <c r="E2925" s="212">
        <v>45413</v>
      </c>
      <c r="F2925" s="208" t="s">
        <v>130</v>
      </c>
      <c r="G2925" s="208" t="s">
        <v>257</v>
      </c>
      <c r="H2925" s="208" t="s">
        <v>663</v>
      </c>
      <c r="I2925" s="208"/>
      <c r="J2925" s="209"/>
      <c r="K2925" s="209"/>
      <c r="L2925" s="209"/>
      <c r="M2925" s="209"/>
      <c r="N2925" s="209"/>
      <c r="O2925" s="209"/>
      <c r="P2925" s="209"/>
      <c r="Q2925" s="209"/>
      <c r="R2925" s="209"/>
      <c r="S2925" s="209"/>
      <c r="T2925" s="209"/>
    </row>
    <row r="2926" spans="1:20" ht="15" hidden="1" customHeight="1">
      <c r="A2926" s="468">
        <v>45440</v>
      </c>
      <c r="B2926" s="208" t="s">
        <v>2608</v>
      </c>
      <c r="C2926" s="208" t="s">
        <v>27</v>
      </c>
      <c r="D2926" s="592">
        <v>-150000</v>
      </c>
      <c r="E2926" s="212">
        <v>45413</v>
      </c>
      <c r="F2926" s="208" t="s">
        <v>130</v>
      </c>
      <c r="G2926" s="208" t="s">
        <v>257</v>
      </c>
      <c r="H2926" s="208" t="s">
        <v>663</v>
      </c>
      <c r="I2926" s="208"/>
      <c r="J2926" s="209"/>
      <c r="K2926" s="209"/>
      <c r="L2926" s="209"/>
      <c r="M2926" s="209"/>
      <c r="N2926" s="209"/>
      <c r="O2926" s="209"/>
      <c r="P2926" s="209"/>
      <c r="Q2926" s="209"/>
      <c r="R2926" s="209"/>
      <c r="S2926" s="209"/>
      <c r="T2926" s="209"/>
    </row>
    <row r="2927" spans="1:20" ht="15" hidden="1" customHeight="1">
      <c r="A2927" s="468">
        <v>45439</v>
      </c>
      <c r="B2927" s="208" t="s">
        <v>2602</v>
      </c>
      <c r="C2927" s="208" t="s">
        <v>27</v>
      </c>
      <c r="D2927" s="592">
        <v>-1677798</v>
      </c>
      <c r="E2927" s="212">
        <v>45413</v>
      </c>
      <c r="F2927" s="208" t="s">
        <v>109</v>
      </c>
      <c r="G2927" s="208" t="s">
        <v>120</v>
      </c>
      <c r="H2927" s="208"/>
      <c r="I2927" s="208"/>
      <c r="J2927" s="209"/>
      <c r="K2927" s="209"/>
      <c r="L2927" s="209"/>
      <c r="M2927" s="209"/>
      <c r="N2927" s="209"/>
      <c r="O2927" s="209"/>
      <c r="P2927" s="209"/>
      <c r="Q2927" s="209"/>
      <c r="R2927" s="209"/>
      <c r="S2927" s="209"/>
      <c r="T2927" s="209"/>
    </row>
    <row r="2928" spans="1:20" ht="15" hidden="1" customHeight="1">
      <c r="A2928" s="468">
        <v>45442</v>
      </c>
      <c r="B2928" s="208" t="s">
        <v>2609</v>
      </c>
      <c r="C2928" s="208" t="s">
        <v>27</v>
      </c>
      <c r="D2928" s="592">
        <v>-775000</v>
      </c>
      <c r="E2928" s="212">
        <v>45413</v>
      </c>
      <c r="F2928" s="601" t="s">
        <v>109</v>
      </c>
      <c r="G2928" s="208" t="s">
        <v>120</v>
      </c>
      <c r="H2928" s="208"/>
      <c r="I2928" s="208"/>
      <c r="J2928" s="209"/>
      <c r="K2928" s="209"/>
      <c r="L2928" s="209"/>
      <c r="M2928" s="209"/>
      <c r="N2928" s="209"/>
      <c r="O2928" s="209"/>
      <c r="P2928" s="209"/>
      <c r="Q2928" s="209"/>
      <c r="R2928" s="209"/>
      <c r="S2928" s="209"/>
      <c r="T2928" s="209"/>
    </row>
    <row r="2929" spans="1:20" ht="15" hidden="1" customHeight="1">
      <c r="A2929" s="468">
        <v>45442</v>
      </c>
      <c r="B2929" s="208" t="s">
        <v>2610</v>
      </c>
      <c r="C2929" s="208" t="s">
        <v>27</v>
      </c>
      <c r="D2929" s="592">
        <v>-740000</v>
      </c>
      <c r="E2929" s="212">
        <v>45413</v>
      </c>
      <c r="F2929" s="601" t="s">
        <v>109</v>
      </c>
      <c r="G2929" s="208" t="s">
        <v>120</v>
      </c>
      <c r="H2929" s="208"/>
      <c r="I2929" s="208"/>
      <c r="J2929" s="209"/>
      <c r="K2929" s="209"/>
      <c r="L2929" s="209"/>
      <c r="M2929" s="209"/>
      <c r="N2929" s="209"/>
      <c r="O2929" s="209"/>
      <c r="P2929" s="209"/>
      <c r="Q2929" s="209"/>
      <c r="R2929" s="209"/>
      <c r="S2929" s="209"/>
      <c r="T2929" s="209"/>
    </row>
    <row r="2930" spans="1:20" ht="15" hidden="1" customHeight="1">
      <c r="A2930" s="468">
        <v>45442</v>
      </c>
      <c r="B2930" s="208" t="s">
        <v>2611</v>
      </c>
      <c r="C2930" s="208" t="s">
        <v>27</v>
      </c>
      <c r="D2930" s="800">
        <v>-3528400</v>
      </c>
      <c r="E2930" s="212">
        <v>45413</v>
      </c>
      <c r="F2930" s="601" t="s">
        <v>109</v>
      </c>
      <c r="G2930" s="201" t="s">
        <v>581</v>
      </c>
      <c r="H2930" s="208"/>
      <c r="I2930" s="208"/>
      <c r="J2930" s="209"/>
      <c r="K2930" s="209"/>
      <c r="L2930" s="209"/>
      <c r="M2930" s="209"/>
      <c r="N2930" s="209"/>
      <c r="O2930" s="209"/>
      <c r="P2930" s="209"/>
      <c r="Q2930" s="209"/>
      <c r="R2930" s="209"/>
      <c r="S2930" s="209"/>
      <c r="T2930" s="209"/>
    </row>
    <row r="2931" spans="1:20" ht="15" hidden="1" customHeight="1">
      <c r="A2931" s="468">
        <v>45442</v>
      </c>
      <c r="B2931" s="208" t="s">
        <v>2612</v>
      </c>
      <c r="C2931" s="208" t="s">
        <v>27</v>
      </c>
      <c r="D2931" s="592">
        <v>-270000</v>
      </c>
      <c r="E2931" s="212">
        <v>45413</v>
      </c>
      <c r="F2931" s="601" t="s">
        <v>109</v>
      </c>
      <c r="G2931" s="201" t="s">
        <v>1261</v>
      </c>
      <c r="H2931" s="208" t="s">
        <v>310</v>
      </c>
      <c r="I2931" s="208"/>
      <c r="J2931" s="209"/>
      <c r="K2931" s="209"/>
      <c r="L2931" s="209"/>
      <c r="M2931" s="209"/>
      <c r="N2931" s="209"/>
      <c r="O2931" s="209"/>
      <c r="P2931" s="209"/>
      <c r="Q2931" s="209"/>
      <c r="R2931" s="209"/>
      <c r="S2931" s="209"/>
      <c r="T2931" s="209"/>
    </row>
    <row r="2932" spans="1:20" ht="15" hidden="1" customHeight="1">
      <c r="A2932" s="468">
        <v>45442</v>
      </c>
      <c r="B2932" s="208" t="s">
        <v>2613</v>
      </c>
      <c r="C2932" s="208" t="s">
        <v>27</v>
      </c>
      <c r="D2932" s="592">
        <v>-1300000</v>
      </c>
      <c r="E2932" s="212">
        <v>45413</v>
      </c>
      <c r="F2932" s="641" t="s">
        <v>130</v>
      </c>
      <c r="G2932" s="643" t="s">
        <v>130</v>
      </c>
      <c r="H2932" s="208" t="s">
        <v>1175</v>
      </c>
      <c r="I2932" s="208"/>
      <c r="J2932" s="209"/>
      <c r="K2932" s="209"/>
      <c r="L2932" s="209"/>
      <c r="M2932" s="209"/>
      <c r="N2932" s="209"/>
      <c r="O2932" s="209"/>
      <c r="P2932" s="209"/>
      <c r="Q2932" s="209"/>
      <c r="R2932" s="209"/>
      <c r="S2932" s="209"/>
      <c r="T2932" s="209"/>
    </row>
    <row r="2933" spans="1:20" ht="15" hidden="1" customHeight="1">
      <c r="A2933" s="468">
        <v>45442</v>
      </c>
      <c r="B2933" s="208" t="s">
        <v>2614</v>
      </c>
      <c r="C2933" s="208" t="s">
        <v>27</v>
      </c>
      <c r="D2933" s="592">
        <v>-903915</v>
      </c>
      <c r="E2933" s="212">
        <v>45413</v>
      </c>
      <c r="F2933" s="601" t="s">
        <v>109</v>
      </c>
      <c r="G2933" s="208" t="s">
        <v>120</v>
      </c>
      <c r="H2933" s="208"/>
      <c r="I2933" s="208"/>
      <c r="J2933" s="209"/>
      <c r="K2933" s="209"/>
      <c r="L2933" s="209"/>
      <c r="M2933" s="209"/>
      <c r="N2933" s="209"/>
      <c r="O2933" s="209"/>
      <c r="P2933" s="209"/>
      <c r="Q2933" s="209"/>
      <c r="R2933" s="209"/>
      <c r="S2933" s="209"/>
      <c r="T2933" s="209"/>
    </row>
    <row r="2934" spans="1:20" ht="15" hidden="1" customHeight="1">
      <c r="A2934" s="468">
        <v>45442</v>
      </c>
      <c r="B2934" s="208" t="s">
        <v>2615</v>
      </c>
      <c r="C2934" s="208" t="s">
        <v>27</v>
      </c>
      <c r="D2934" s="592">
        <v>-770000</v>
      </c>
      <c r="E2934" s="212">
        <v>45413</v>
      </c>
      <c r="F2934" s="601" t="s">
        <v>109</v>
      </c>
      <c r="G2934" s="208" t="s">
        <v>120</v>
      </c>
      <c r="H2934" s="208"/>
      <c r="I2934" s="208"/>
      <c r="J2934" s="209"/>
      <c r="K2934" s="209"/>
      <c r="L2934" s="209"/>
      <c r="M2934" s="209"/>
      <c r="N2934" s="209"/>
      <c r="O2934" s="209"/>
      <c r="P2934" s="209"/>
      <c r="Q2934" s="209"/>
      <c r="R2934" s="209"/>
      <c r="S2934" s="209"/>
      <c r="T2934" s="209"/>
    </row>
    <row r="2935" spans="1:20" ht="15" hidden="1" customHeight="1">
      <c r="A2935" s="468">
        <v>45441</v>
      </c>
      <c r="B2935" s="208" t="s">
        <v>2616</v>
      </c>
      <c r="C2935" s="208" t="s">
        <v>27</v>
      </c>
      <c r="D2935" s="592">
        <v>-195000</v>
      </c>
      <c r="E2935" s="212">
        <v>45413</v>
      </c>
      <c r="F2935" s="601" t="s">
        <v>109</v>
      </c>
      <c r="G2935" s="208" t="s">
        <v>120</v>
      </c>
      <c r="H2935" s="208"/>
      <c r="I2935" s="208"/>
      <c r="J2935" s="209"/>
      <c r="K2935" s="209"/>
      <c r="L2935" s="209"/>
      <c r="M2935" s="209"/>
      <c r="N2935" s="209"/>
      <c r="O2935" s="209"/>
      <c r="P2935" s="209"/>
      <c r="Q2935" s="209"/>
      <c r="R2935" s="209"/>
      <c r="S2935" s="209"/>
      <c r="T2935" s="209"/>
    </row>
    <row r="2936" spans="1:20" ht="15" hidden="1" customHeight="1">
      <c r="A2936" s="468">
        <v>45442</v>
      </c>
      <c r="B2936" s="208" t="s">
        <v>2617</v>
      </c>
      <c r="C2936" s="208" t="s">
        <v>27</v>
      </c>
      <c r="D2936" s="592">
        <v>-940500</v>
      </c>
      <c r="E2936" s="212">
        <v>45413</v>
      </c>
      <c r="F2936" s="601" t="s">
        <v>109</v>
      </c>
      <c r="G2936" s="208" t="s">
        <v>120</v>
      </c>
      <c r="H2936" s="208"/>
      <c r="I2936" s="208"/>
      <c r="J2936" s="209"/>
      <c r="K2936" s="209"/>
      <c r="L2936" s="209"/>
      <c r="M2936" s="209"/>
      <c r="N2936" s="209"/>
      <c r="O2936" s="209"/>
      <c r="P2936" s="209"/>
      <c r="Q2936" s="209"/>
      <c r="R2936" s="209"/>
      <c r="S2936" s="209"/>
      <c r="T2936" s="209"/>
    </row>
    <row r="2937" spans="1:20" ht="15" hidden="1" customHeight="1">
      <c r="A2937" s="468">
        <v>45442</v>
      </c>
      <c r="B2937" s="208" t="s">
        <v>2618</v>
      </c>
      <c r="C2937" s="208" t="s">
        <v>27</v>
      </c>
      <c r="D2937" s="592">
        <v>-2491060</v>
      </c>
      <c r="E2937" s="212">
        <v>45413</v>
      </c>
      <c r="F2937" s="208" t="s">
        <v>118</v>
      </c>
      <c r="G2937" s="208"/>
      <c r="H2937" s="208"/>
      <c r="I2937" s="208"/>
      <c r="J2937" s="209"/>
      <c r="K2937" s="209"/>
      <c r="L2937" s="209"/>
      <c r="M2937" s="209"/>
      <c r="N2937" s="209"/>
      <c r="O2937" s="209"/>
      <c r="P2937" s="209"/>
      <c r="Q2937" s="209"/>
      <c r="R2937" s="209"/>
      <c r="S2937" s="209"/>
      <c r="T2937" s="209"/>
    </row>
    <row r="2938" spans="1:20" ht="15" hidden="1" customHeight="1">
      <c r="A2938" s="468">
        <v>45442</v>
      </c>
      <c r="B2938" s="208" t="s">
        <v>2619</v>
      </c>
      <c r="C2938" s="208" t="s">
        <v>133</v>
      </c>
      <c r="D2938" s="592">
        <v>-2210</v>
      </c>
      <c r="E2938" s="212">
        <v>45413</v>
      </c>
      <c r="F2938" s="208" t="s">
        <v>130</v>
      </c>
      <c r="G2938" s="208" t="s">
        <v>130</v>
      </c>
      <c r="H2938" s="208" t="s">
        <v>138</v>
      </c>
      <c r="I2938" s="208"/>
      <c r="J2938" s="209"/>
      <c r="K2938" s="209"/>
      <c r="L2938" s="209"/>
      <c r="M2938" s="209"/>
      <c r="N2938" s="209"/>
      <c r="O2938" s="209"/>
      <c r="P2938" s="209"/>
      <c r="Q2938" s="209"/>
      <c r="R2938" s="209"/>
      <c r="S2938" s="209"/>
      <c r="T2938" s="209"/>
    </row>
    <row r="2939" spans="1:20" ht="15" hidden="1" customHeight="1">
      <c r="A2939" s="468">
        <v>45442</v>
      </c>
      <c r="B2939" s="208" t="s">
        <v>2620</v>
      </c>
      <c r="C2939" s="208" t="s">
        <v>133</v>
      </c>
      <c r="D2939" s="592">
        <v>-1326</v>
      </c>
      <c r="E2939" s="212">
        <v>45413</v>
      </c>
      <c r="F2939" s="208" t="s">
        <v>130</v>
      </c>
      <c r="G2939" s="208" t="s">
        <v>130</v>
      </c>
      <c r="H2939" s="208" t="s">
        <v>138</v>
      </c>
      <c r="I2939" s="208"/>
      <c r="J2939" s="209"/>
      <c r="K2939" s="209"/>
      <c r="L2939" s="209"/>
      <c r="M2939" s="209"/>
      <c r="N2939" s="209"/>
      <c r="O2939" s="209"/>
      <c r="P2939" s="209"/>
      <c r="Q2939" s="209"/>
      <c r="R2939" s="209"/>
      <c r="S2939" s="209"/>
      <c r="T2939" s="209"/>
    </row>
    <row r="2940" spans="1:20" ht="15" hidden="1" customHeight="1">
      <c r="A2940" s="468">
        <v>45442</v>
      </c>
      <c r="B2940" s="208" t="s">
        <v>2621</v>
      </c>
      <c r="C2940" s="208" t="s">
        <v>133</v>
      </c>
      <c r="D2940" s="592">
        <v>-9500</v>
      </c>
      <c r="E2940" s="212">
        <v>45413</v>
      </c>
      <c r="F2940" s="208" t="s">
        <v>130</v>
      </c>
      <c r="G2940" s="208" t="s">
        <v>257</v>
      </c>
      <c r="H2940" s="208" t="s">
        <v>663</v>
      </c>
      <c r="I2940" s="208"/>
      <c r="J2940" s="209"/>
      <c r="K2940" s="209"/>
      <c r="L2940" s="209"/>
      <c r="M2940" s="209"/>
      <c r="N2940" s="209"/>
      <c r="O2940" s="209"/>
      <c r="P2940" s="209"/>
      <c r="Q2940" s="209"/>
      <c r="R2940" s="209"/>
      <c r="S2940" s="209"/>
      <c r="T2940" s="209"/>
    </row>
    <row r="2941" spans="1:20" s="454" customFormat="1" ht="15" hidden="1" customHeight="1">
      <c r="A2941" s="468">
        <v>45442</v>
      </c>
      <c r="B2941" s="208" t="s">
        <v>2622</v>
      </c>
      <c r="C2941" s="208" t="s">
        <v>133</v>
      </c>
      <c r="D2941" s="592">
        <v>-1858</v>
      </c>
      <c r="E2941" s="212">
        <v>45413</v>
      </c>
      <c r="F2941" s="208" t="s">
        <v>130</v>
      </c>
      <c r="G2941" s="208" t="s">
        <v>257</v>
      </c>
      <c r="H2941" s="208" t="s">
        <v>663</v>
      </c>
      <c r="I2941" s="208"/>
      <c r="J2941" s="209"/>
      <c r="K2941" s="209"/>
      <c r="L2941" s="209"/>
      <c r="M2941" s="209"/>
      <c r="N2941" s="209"/>
      <c r="O2941" s="209"/>
      <c r="P2941" s="209"/>
      <c r="Q2941" s="209"/>
      <c r="R2941" s="209"/>
      <c r="S2941" s="209"/>
      <c r="T2941" s="209"/>
    </row>
    <row r="2942" spans="1:20" s="454" customFormat="1" ht="15" hidden="1" customHeight="1">
      <c r="A2942" s="468">
        <v>45442</v>
      </c>
      <c r="B2942" s="208" t="s">
        <v>2622</v>
      </c>
      <c r="C2942" s="208" t="s">
        <v>133</v>
      </c>
      <c r="D2942" s="592">
        <v>-2885</v>
      </c>
      <c r="E2942" s="212">
        <v>45413</v>
      </c>
      <c r="F2942" s="208" t="s">
        <v>130</v>
      </c>
      <c r="G2942" s="208" t="s">
        <v>257</v>
      </c>
      <c r="H2942" s="208" t="s">
        <v>663</v>
      </c>
      <c r="I2942" s="208"/>
      <c r="J2942" s="209"/>
      <c r="K2942" s="209"/>
      <c r="L2942" s="209"/>
      <c r="M2942" s="209"/>
      <c r="N2942" s="209"/>
      <c r="O2942" s="209"/>
      <c r="P2942" s="209"/>
      <c r="Q2942" s="209"/>
      <c r="R2942" s="209"/>
      <c r="S2942" s="209"/>
      <c r="T2942" s="209"/>
    </row>
    <row r="2943" spans="1:20" s="454" customFormat="1" ht="15" hidden="1" customHeight="1">
      <c r="A2943" s="468">
        <v>45442</v>
      </c>
      <c r="B2943" s="208" t="s">
        <v>2622</v>
      </c>
      <c r="C2943" s="208" t="s">
        <v>133</v>
      </c>
      <c r="D2943" s="592">
        <v>-4433</v>
      </c>
      <c r="E2943" s="212">
        <v>45413</v>
      </c>
      <c r="F2943" s="601" t="s">
        <v>109</v>
      </c>
      <c r="G2943" s="208" t="s">
        <v>125</v>
      </c>
      <c r="H2943" s="208" t="s">
        <v>310</v>
      </c>
      <c r="I2943" s="208"/>
      <c r="J2943" s="209"/>
      <c r="K2943" s="209"/>
      <c r="L2943" s="209"/>
      <c r="M2943" s="209"/>
      <c r="N2943" s="209"/>
      <c r="O2943" s="209"/>
      <c r="P2943" s="209"/>
      <c r="Q2943" s="209"/>
      <c r="R2943" s="209"/>
      <c r="S2943" s="209"/>
      <c r="T2943" s="209"/>
    </row>
    <row r="2944" spans="1:20" s="454" customFormat="1" ht="15" hidden="1" customHeight="1">
      <c r="A2944" s="468">
        <v>45442</v>
      </c>
      <c r="B2944" s="208" t="s">
        <v>2623</v>
      </c>
      <c r="C2944" s="208" t="s">
        <v>133</v>
      </c>
      <c r="D2944" s="592">
        <v>-14355</v>
      </c>
      <c r="E2944" s="212">
        <v>45413</v>
      </c>
      <c r="F2944" s="208" t="s">
        <v>130</v>
      </c>
      <c r="G2944" s="208" t="s">
        <v>130</v>
      </c>
      <c r="H2944" s="208" t="s">
        <v>1156</v>
      </c>
      <c r="I2944" s="208"/>
      <c r="J2944" s="209"/>
      <c r="K2944" s="209"/>
      <c r="L2944" s="209"/>
      <c r="M2944" s="209"/>
      <c r="N2944" s="209"/>
      <c r="O2944" s="209"/>
      <c r="P2944" s="209"/>
      <c r="Q2944" s="209"/>
      <c r="R2944" s="209"/>
      <c r="S2944" s="209"/>
      <c r="T2944" s="209"/>
    </row>
    <row r="2945" spans="1:20" s="454" customFormat="1" ht="15" hidden="1" customHeight="1">
      <c r="A2945" s="468">
        <v>45442</v>
      </c>
      <c r="B2945" s="208" t="s">
        <v>2624</v>
      </c>
      <c r="C2945" s="208" t="s">
        <v>133</v>
      </c>
      <c r="D2945" s="592">
        <v>-59811</v>
      </c>
      <c r="E2945" s="212">
        <v>45413</v>
      </c>
      <c r="F2945" s="208" t="s">
        <v>130</v>
      </c>
      <c r="G2945" s="208" t="s">
        <v>257</v>
      </c>
      <c r="H2945" s="208" t="s">
        <v>663</v>
      </c>
      <c r="I2945" s="208"/>
      <c r="J2945" s="209"/>
      <c r="K2945" s="209"/>
      <c r="L2945" s="209"/>
      <c r="M2945" s="209"/>
      <c r="N2945" s="209"/>
      <c r="O2945" s="209"/>
      <c r="P2945" s="209"/>
      <c r="Q2945" s="209"/>
      <c r="R2945" s="209"/>
      <c r="S2945" s="209"/>
      <c r="T2945" s="209"/>
    </row>
    <row r="2946" spans="1:20" ht="15" hidden="1" customHeight="1">
      <c r="A2946" s="468">
        <v>45436</v>
      </c>
      <c r="B2946" s="590" t="s">
        <v>2625</v>
      </c>
      <c r="C2946" s="208" t="s">
        <v>1106</v>
      </c>
      <c r="D2946" s="592">
        <v>-14700</v>
      </c>
      <c r="E2946" s="212">
        <v>45413</v>
      </c>
      <c r="F2946" s="601" t="s">
        <v>109</v>
      </c>
      <c r="G2946" s="208" t="s">
        <v>125</v>
      </c>
      <c r="H2946" s="208" t="s">
        <v>175</v>
      </c>
      <c r="I2946" s="208" t="s">
        <v>2626</v>
      </c>
      <c r="J2946" s="209"/>
      <c r="K2946" s="209"/>
      <c r="L2946" s="209"/>
      <c r="M2946" s="209"/>
      <c r="N2946" s="209"/>
      <c r="O2946" s="209"/>
      <c r="P2946" s="209"/>
      <c r="Q2946" s="209"/>
      <c r="R2946" s="209"/>
      <c r="S2946" s="209"/>
      <c r="T2946" s="209"/>
    </row>
    <row r="2947" spans="1:20" ht="15" hidden="1" customHeight="1">
      <c r="A2947" s="468">
        <v>45436</v>
      </c>
      <c r="B2947" s="208" t="s">
        <v>2627</v>
      </c>
      <c r="C2947" s="208" t="s">
        <v>1106</v>
      </c>
      <c r="D2947" s="592">
        <v>-150000</v>
      </c>
      <c r="E2947" s="212">
        <v>45413</v>
      </c>
      <c r="F2947" s="601" t="s">
        <v>109</v>
      </c>
      <c r="G2947" s="208" t="s">
        <v>125</v>
      </c>
      <c r="H2947" s="208" t="s">
        <v>147</v>
      </c>
      <c r="I2947" s="208" t="s">
        <v>2626</v>
      </c>
      <c r="J2947" s="209"/>
      <c r="K2947" s="209"/>
      <c r="L2947" s="209"/>
      <c r="M2947" s="209"/>
      <c r="N2947" s="209"/>
      <c r="O2947" s="209"/>
      <c r="P2947" s="209"/>
      <c r="Q2947" s="209"/>
      <c r="R2947" s="209"/>
      <c r="S2947" s="209"/>
      <c r="T2947" s="209"/>
    </row>
    <row r="2948" spans="1:20" ht="15" hidden="1" customHeight="1">
      <c r="A2948" s="468">
        <v>45436</v>
      </c>
      <c r="B2948" s="208" t="s">
        <v>2628</v>
      </c>
      <c r="C2948" s="208" t="s">
        <v>1106</v>
      </c>
      <c r="D2948" s="592">
        <v>-10000</v>
      </c>
      <c r="E2948" s="212">
        <v>45413</v>
      </c>
      <c r="F2948" s="208" t="s">
        <v>130</v>
      </c>
      <c r="G2948" s="590" t="s">
        <v>130</v>
      </c>
      <c r="H2948" s="208" t="s">
        <v>2590</v>
      </c>
      <c r="I2948" s="208" t="s">
        <v>2626</v>
      </c>
      <c r="J2948" s="209"/>
      <c r="K2948" s="209"/>
      <c r="L2948" s="209"/>
      <c r="M2948" s="209"/>
      <c r="N2948" s="209"/>
      <c r="O2948" s="209"/>
      <c r="P2948" s="209"/>
      <c r="Q2948" s="209"/>
      <c r="R2948" s="209"/>
      <c r="S2948" s="209"/>
      <c r="T2948" s="209"/>
    </row>
    <row r="2949" spans="1:20" ht="15" hidden="1" customHeight="1">
      <c r="A2949" s="468">
        <v>45436</v>
      </c>
      <c r="B2949" s="208" t="s">
        <v>2629</v>
      </c>
      <c r="C2949" s="208" t="s">
        <v>1106</v>
      </c>
      <c r="D2949" s="592">
        <v>-32000</v>
      </c>
      <c r="E2949" s="212">
        <v>45413</v>
      </c>
      <c r="F2949" s="291" t="s">
        <v>110</v>
      </c>
      <c r="G2949" s="208" t="s">
        <v>450</v>
      </c>
      <c r="H2949" s="208" t="s">
        <v>175</v>
      </c>
      <c r="I2949" s="208" t="s">
        <v>2626</v>
      </c>
      <c r="J2949" s="209"/>
      <c r="K2949" s="209"/>
      <c r="L2949" s="209"/>
      <c r="M2949" s="209"/>
      <c r="N2949" s="209"/>
      <c r="O2949" s="209"/>
      <c r="P2949" s="209"/>
      <c r="Q2949" s="209"/>
      <c r="R2949" s="209"/>
      <c r="S2949" s="209"/>
      <c r="T2949" s="209"/>
    </row>
    <row r="2950" spans="1:20" ht="15" hidden="1" customHeight="1">
      <c r="A2950" s="468">
        <v>45436</v>
      </c>
      <c r="B2950" s="208" t="s">
        <v>2630</v>
      </c>
      <c r="C2950" s="208" t="s">
        <v>1106</v>
      </c>
      <c r="D2950" s="592">
        <v>-15000</v>
      </c>
      <c r="E2950" s="212">
        <v>45413</v>
      </c>
      <c r="F2950" s="601" t="s">
        <v>109</v>
      </c>
      <c r="G2950" s="201" t="s">
        <v>1261</v>
      </c>
      <c r="H2950" s="208" t="s">
        <v>175</v>
      </c>
      <c r="I2950" s="208" t="s">
        <v>2626</v>
      </c>
      <c r="J2950" s="209"/>
      <c r="K2950" s="209"/>
      <c r="L2950" s="209"/>
      <c r="M2950" s="209"/>
      <c r="N2950" s="209"/>
      <c r="O2950" s="209"/>
      <c r="P2950" s="209"/>
      <c r="Q2950" s="209"/>
      <c r="R2950" s="209"/>
      <c r="S2950" s="209"/>
      <c r="T2950" s="209"/>
    </row>
    <row r="2951" spans="1:20" ht="15" hidden="1" customHeight="1">
      <c r="A2951" s="468">
        <v>45436</v>
      </c>
      <c r="B2951" s="208" t="s">
        <v>2631</v>
      </c>
      <c r="C2951" s="208" t="s">
        <v>1106</v>
      </c>
      <c r="D2951" s="592">
        <v>-60928</v>
      </c>
      <c r="E2951" s="212">
        <v>45413</v>
      </c>
      <c r="F2951" s="601" t="s">
        <v>109</v>
      </c>
      <c r="G2951" s="201" t="s">
        <v>1261</v>
      </c>
      <c r="H2951" s="208" t="s">
        <v>175</v>
      </c>
      <c r="I2951" s="208" t="s">
        <v>2626</v>
      </c>
      <c r="J2951" s="209"/>
      <c r="K2951" s="209"/>
      <c r="L2951" s="209"/>
      <c r="M2951" s="209"/>
      <c r="N2951" s="209"/>
      <c r="O2951" s="209"/>
      <c r="P2951" s="209"/>
      <c r="Q2951" s="209"/>
      <c r="R2951" s="209"/>
      <c r="S2951" s="209"/>
      <c r="T2951" s="209"/>
    </row>
    <row r="2952" spans="1:20" ht="15" hidden="1" customHeight="1">
      <c r="A2952" s="468">
        <v>45436</v>
      </c>
      <c r="B2952" s="208" t="s">
        <v>2632</v>
      </c>
      <c r="C2952" s="208" t="s">
        <v>1106</v>
      </c>
      <c r="D2952" s="592">
        <v>-27100</v>
      </c>
      <c r="E2952" s="212">
        <v>45413</v>
      </c>
      <c r="F2952" s="601" t="s">
        <v>109</v>
      </c>
      <c r="G2952" s="201" t="s">
        <v>1261</v>
      </c>
      <c r="H2952" s="208" t="s">
        <v>175</v>
      </c>
      <c r="I2952" s="208" t="s">
        <v>2626</v>
      </c>
      <c r="J2952" s="209"/>
      <c r="K2952" s="209"/>
      <c r="L2952" s="209"/>
      <c r="M2952" s="209"/>
      <c r="N2952" s="209"/>
      <c r="O2952" s="209"/>
      <c r="P2952" s="209"/>
      <c r="Q2952" s="209"/>
      <c r="R2952" s="209"/>
      <c r="S2952" s="209"/>
      <c r="T2952" s="209"/>
    </row>
    <row r="2953" spans="1:20" ht="15" hidden="1" customHeight="1">
      <c r="A2953" s="468">
        <v>45436</v>
      </c>
      <c r="B2953" s="208" t="s">
        <v>2633</v>
      </c>
      <c r="C2953" s="208" t="s">
        <v>1106</v>
      </c>
      <c r="D2953" s="592">
        <v>-50400</v>
      </c>
      <c r="E2953" s="212">
        <v>45413</v>
      </c>
      <c r="F2953" s="291" t="s">
        <v>110</v>
      </c>
      <c r="G2953" s="208" t="s">
        <v>450</v>
      </c>
      <c r="H2953" s="208" t="s">
        <v>175</v>
      </c>
      <c r="I2953" s="208" t="s">
        <v>2626</v>
      </c>
      <c r="J2953" s="209"/>
      <c r="K2953" s="209"/>
      <c r="L2953" s="209"/>
      <c r="M2953" s="209"/>
      <c r="N2953" s="209"/>
      <c r="O2953" s="209"/>
      <c r="P2953" s="209"/>
      <c r="Q2953" s="209"/>
      <c r="R2953" s="209"/>
      <c r="S2953" s="209"/>
      <c r="T2953" s="209"/>
    </row>
    <row r="2954" spans="1:20" ht="15" hidden="1" customHeight="1">
      <c r="A2954" s="468">
        <v>45436</v>
      </c>
      <c r="B2954" s="208" t="s">
        <v>2634</v>
      </c>
      <c r="C2954" s="208" t="s">
        <v>1106</v>
      </c>
      <c r="D2954" s="592">
        <v>-15000</v>
      </c>
      <c r="E2954" s="212">
        <v>45413</v>
      </c>
      <c r="F2954" s="601" t="s">
        <v>109</v>
      </c>
      <c r="G2954" s="201" t="s">
        <v>1261</v>
      </c>
      <c r="H2954" s="208" t="s">
        <v>175</v>
      </c>
      <c r="I2954" s="208" t="s">
        <v>2626</v>
      </c>
      <c r="J2954" s="209"/>
      <c r="K2954" s="209"/>
      <c r="L2954" s="209"/>
      <c r="M2954" s="209"/>
      <c r="N2954" s="209"/>
      <c r="O2954" s="209"/>
      <c r="P2954" s="209"/>
      <c r="Q2954" s="209"/>
      <c r="R2954" s="209"/>
      <c r="S2954" s="209"/>
      <c r="T2954" s="209"/>
    </row>
    <row r="2955" spans="1:20" ht="15" hidden="1" customHeight="1">
      <c r="A2955" s="468">
        <v>45436</v>
      </c>
      <c r="B2955" s="208" t="s">
        <v>2635</v>
      </c>
      <c r="C2955" s="208" t="s">
        <v>1106</v>
      </c>
      <c r="D2955" s="592">
        <v>-24000</v>
      </c>
      <c r="E2955" s="212">
        <v>45413</v>
      </c>
      <c r="F2955" s="601" t="s">
        <v>109</v>
      </c>
      <c r="G2955" s="201" t="s">
        <v>1261</v>
      </c>
      <c r="H2955" s="208" t="s">
        <v>175</v>
      </c>
      <c r="I2955" s="208" t="s">
        <v>2626</v>
      </c>
      <c r="J2955" s="209"/>
      <c r="K2955" s="209"/>
      <c r="L2955" s="209"/>
      <c r="M2955" s="209"/>
      <c r="N2955" s="209"/>
      <c r="O2955" s="209"/>
      <c r="P2955" s="209"/>
      <c r="Q2955" s="209"/>
      <c r="R2955" s="209"/>
      <c r="S2955" s="209"/>
      <c r="T2955" s="209"/>
    </row>
    <row r="2956" spans="1:20" ht="15" hidden="1" customHeight="1">
      <c r="A2956" s="468">
        <v>45436</v>
      </c>
      <c r="B2956" s="208" t="s">
        <v>2636</v>
      </c>
      <c r="C2956" s="208" t="s">
        <v>1106</v>
      </c>
      <c r="D2956" s="592">
        <v>-57500</v>
      </c>
      <c r="E2956" s="212">
        <v>45413</v>
      </c>
      <c r="F2956" s="601" t="s">
        <v>109</v>
      </c>
      <c r="G2956" s="201" t="s">
        <v>1261</v>
      </c>
      <c r="H2956" s="208" t="s">
        <v>175</v>
      </c>
      <c r="I2956" s="208" t="s">
        <v>2626</v>
      </c>
      <c r="J2956" s="209"/>
      <c r="K2956" s="209"/>
      <c r="L2956" s="209"/>
      <c r="M2956" s="209"/>
      <c r="N2956" s="209"/>
      <c r="O2956" s="209"/>
      <c r="P2956" s="209"/>
      <c r="Q2956" s="209"/>
      <c r="R2956" s="209"/>
      <c r="S2956" s="209"/>
      <c r="T2956" s="209"/>
    </row>
    <row r="2957" spans="1:20" ht="15" hidden="1" customHeight="1">
      <c r="A2957" s="468">
        <v>45436</v>
      </c>
      <c r="B2957" s="208" t="s">
        <v>2637</v>
      </c>
      <c r="C2957" s="208" t="s">
        <v>1106</v>
      </c>
      <c r="D2957" s="592">
        <v>-6000</v>
      </c>
      <c r="E2957" s="212">
        <v>45413</v>
      </c>
      <c r="F2957" s="208" t="s">
        <v>130</v>
      </c>
      <c r="G2957" s="590" t="s">
        <v>130</v>
      </c>
      <c r="H2957" s="208" t="s">
        <v>2590</v>
      </c>
      <c r="I2957" s="208" t="s">
        <v>2626</v>
      </c>
      <c r="J2957" s="209"/>
      <c r="K2957" s="209"/>
      <c r="L2957" s="209"/>
      <c r="M2957" s="209"/>
      <c r="N2957" s="209"/>
      <c r="O2957" s="209"/>
      <c r="P2957" s="209"/>
      <c r="Q2957" s="209"/>
      <c r="R2957" s="209"/>
      <c r="S2957" s="209"/>
      <c r="T2957" s="209"/>
    </row>
    <row r="2958" spans="1:20" ht="15" hidden="1" customHeight="1">
      <c r="A2958" s="468">
        <v>45436</v>
      </c>
      <c r="B2958" s="208" t="s">
        <v>2638</v>
      </c>
      <c r="C2958" s="208" t="s">
        <v>1106</v>
      </c>
      <c r="D2958" s="592">
        <v>-5000</v>
      </c>
      <c r="E2958" s="212">
        <v>45413</v>
      </c>
      <c r="F2958" s="601" t="s">
        <v>109</v>
      </c>
      <c r="G2958" s="201" t="s">
        <v>1261</v>
      </c>
      <c r="H2958" s="208" t="s">
        <v>175</v>
      </c>
      <c r="I2958" s="208" t="s">
        <v>2626</v>
      </c>
      <c r="J2958" s="209"/>
      <c r="K2958" s="209"/>
      <c r="L2958" s="209"/>
      <c r="M2958" s="209"/>
      <c r="N2958" s="209"/>
      <c r="O2958" s="209"/>
      <c r="P2958" s="209"/>
      <c r="Q2958" s="209"/>
      <c r="R2958" s="209"/>
      <c r="S2958" s="209"/>
      <c r="T2958" s="209"/>
    </row>
    <row r="2959" spans="1:20" ht="15" hidden="1" customHeight="1">
      <c r="A2959" s="468">
        <v>45436</v>
      </c>
      <c r="B2959" s="208" t="s">
        <v>2639</v>
      </c>
      <c r="C2959" s="208" t="s">
        <v>1106</v>
      </c>
      <c r="D2959" s="592">
        <v>-87000</v>
      </c>
      <c r="E2959" s="212">
        <v>45413</v>
      </c>
      <c r="F2959" s="291" t="s">
        <v>110</v>
      </c>
      <c r="G2959" s="208" t="s">
        <v>450</v>
      </c>
      <c r="H2959" s="208" t="s">
        <v>175</v>
      </c>
      <c r="I2959" s="208" t="s">
        <v>2626</v>
      </c>
      <c r="J2959" s="209"/>
      <c r="K2959" s="209"/>
      <c r="L2959" s="209"/>
      <c r="M2959" s="209"/>
      <c r="N2959" s="209"/>
      <c r="O2959" s="209"/>
      <c r="P2959" s="209"/>
      <c r="Q2959" s="209"/>
      <c r="R2959" s="209"/>
      <c r="S2959" s="209"/>
      <c r="T2959" s="209"/>
    </row>
    <row r="2960" spans="1:20" ht="15" hidden="1" customHeight="1">
      <c r="A2960" s="468">
        <v>45436</v>
      </c>
      <c r="B2960" s="208" t="s">
        <v>2640</v>
      </c>
      <c r="C2960" s="208" t="s">
        <v>1106</v>
      </c>
      <c r="D2960" s="592">
        <v>-30000</v>
      </c>
      <c r="E2960" s="212">
        <v>45413</v>
      </c>
      <c r="F2960" s="208" t="s">
        <v>110</v>
      </c>
      <c r="G2960" s="208" t="s">
        <v>122</v>
      </c>
      <c r="H2960" s="208" t="s">
        <v>175</v>
      </c>
      <c r="I2960" s="208" t="s">
        <v>2626</v>
      </c>
      <c r="J2960" s="209"/>
      <c r="K2960" s="209"/>
      <c r="L2960" s="209"/>
      <c r="M2960" s="209"/>
      <c r="N2960" s="209"/>
      <c r="O2960" s="209"/>
      <c r="P2960" s="209"/>
      <c r="Q2960" s="209"/>
      <c r="R2960" s="209"/>
      <c r="S2960" s="209"/>
      <c r="T2960" s="209"/>
    </row>
    <row r="2961" spans="1:20" ht="15" hidden="1" customHeight="1">
      <c r="A2961" s="468">
        <v>45436</v>
      </c>
      <c r="B2961" s="208" t="s">
        <v>2641</v>
      </c>
      <c r="C2961" s="208" t="s">
        <v>1106</v>
      </c>
      <c r="D2961" s="592">
        <v>-15000</v>
      </c>
      <c r="E2961" s="212">
        <v>45413</v>
      </c>
      <c r="F2961" s="601" t="s">
        <v>109</v>
      </c>
      <c r="G2961" s="208" t="s">
        <v>120</v>
      </c>
      <c r="H2961" s="208" t="s">
        <v>175</v>
      </c>
      <c r="I2961" s="208" t="s">
        <v>2626</v>
      </c>
      <c r="J2961" s="209"/>
      <c r="K2961" s="209"/>
      <c r="L2961" s="209"/>
      <c r="M2961" s="209"/>
      <c r="N2961" s="209"/>
      <c r="O2961" s="209"/>
      <c r="P2961" s="209"/>
      <c r="Q2961" s="209"/>
      <c r="R2961" s="209"/>
      <c r="S2961" s="209"/>
      <c r="T2961" s="209"/>
    </row>
    <row r="2962" spans="1:20" ht="15" hidden="1" customHeight="1">
      <c r="A2962" s="468">
        <v>45436</v>
      </c>
      <c r="B2962" s="208" t="s">
        <v>2642</v>
      </c>
      <c r="C2962" s="208" t="s">
        <v>1106</v>
      </c>
      <c r="D2962" s="592">
        <v>-46608</v>
      </c>
      <c r="E2962" s="212">
        <v>45413</v>
      </c>
      <c r="F2962" s="601" t="s">
        <v>109</v>
      </c>
      <c r="G2962" s="201" t="s">
        <v>1261</v>
      </c>
      <c r="H2962" s="208" t="s">
        <v>175</v>
      </c>
      <c r="I2962" s="208" t="s">
        <v>2626</v>
      </c>
      <c r="J2962" s="209"/>
      <c r="K2962" s="209"/>
      <c r="L2962" s="209"/>
      <c r="M2962" s="209"/>
      <c r="N2962" s="209"/>
      <c r="O2962" s="209"/>
      <c r="P2962" s="209"/>
      <c r="Q2962" s="209"/>
      <c r="R2962" s="209"/>
      <c r="S2962" s="209"/>
      <c r="T2962" s="209"/>
    </row>
    <row r="2963" spans="1:20" ht="15" hidden="1" customHeight="1">
      <c r="A2963" s="468">
        <v>45436</v>
      </c>
      <c r="B2963" s="208" t="s">
        <v>2643</v>
      </c>
      <c r="C2963" s="208" t="s">
        <v>1106</v>
      </c>
      <c r="D2963" s="592">
        <v>-23000</v>
      </c>
      <c r="E2963" s="212">
        <v>45413</v>
      </c>
      <c r="F2963" s="601" t="s">
        <v>109</v>
      </c>
      <c r="G2963" s="201" t="s">
        <v>1261</v>
      </c>
      <c r="H2963" s="208" t="s">
        <v>175</v>
      </c>
      <c r="I2963" s="208" t="s">
        <v>2626</v>
      </c>
      <c r="J2963" s="209"/>
      <c r="K2963" s="209"/>
      <c r="L2963" s="209"/>
      <c r="M2963" s="209"/>
      <c r="N2963" s="209"/>
      <c r="O2963" s="209"/>
      <c r="P2963" s="209"/>
      <c r="Q2963" s="209"/>
      <c r="R2963" s="209"/>
      <c r="S2963" s="209"/>
      <c r="T2963" s="209"/>
    </row>
    <row r="2964" spans="1:20" ht="15" hidden="1" customHeight="1">
      <c r="A2964" s="468">
        <v>45436</v>
      </c>
      <c r="B2964" s="208" t="s">
        <v>2644</v>
      </c>
      <c r="C2964" s="208" t="s">
        <v>1106</v>
      </c>
      <c r="D2964" s="592">
        <v>-30000</v>
      </c>
      <c r="E2964" s="212">
        <v>45413</v>
      </c>
      <c r="F2964" s="601" t="s">
        <v>109</v>
      </c>
      <c r="G2964" s="201" t="s">
        <v>1261</v>
      </c>
      <c r="H2964" s="208" t="s">
        <v>175</v>
      </c>
      <c r="I2964" s="208" t="s">
        <v>2626</v>
      </c>
      <c r="J2964" s="209"/>
      <c r="K2964" s="209"/>
      <c r="L2964" s="209"/>
      <c r="M2964" s="209"/>
      <c r="N2964" s="209"/>
      <c r="O2964" s="209"/>
      <c r="P2964" s="209"/>
      <c r="Q2964" s="209"/>
      <c r="R2964" s="209"/>
      <c r="S2964" s="209"/>
      <c r="T2964" s="209"/>
    </row>
    <row r="2965" spans="1:20" ht="15" hidden="1" customHeight="1">
      <c r="A2965" s="468">
        <v>45436</v>
      </c>
      <c r="B2965" s="208" t="s">
        <v>2645</v>
      </c>
      <c r="C2965" s="208" t="s">
        <v>1106</v>
      </c>
      <c r="D2965" s="592">
        <v>-30000</v>
      </c>
      <c r="E2965" s="212">
        <v>45413</v>
      </c>
      <c r="F2965" s="601" t="s">
        <v>109</v>
      </c>
      <c r="G2965" s="208" t="s">
        <v>125</v>
      </c>
      <c r="H2965" s="208" t="s">
        <v>175</v>
      </c>
      <c r="I2965" s="208" t="s">
        <v>2626</v>
      </c>
      <c r="J2965" s="209"/>
      <c r="K2965" s="209"/>
      <c r="L2965" s="209"/>
      <c r="M2965" s="209"/>
      <c r="N2965" s="209"/>
      <c r="O2965" s="209"/>
      <c r="P2965" s="209"/>
      <c r="Q2965" s="209"/>
      <c r="R2965" s="209"/>
      <c r="S2965" s="209"/>
      <c r="T2965" s="209"/>
    </row>
    <row r="2966" spans="1:20" ht="15" hidden="1" customHeight="1">
      <c r="A2966" s="468">
        <v>45436</v>
      </c>
      <c r="B2966" s="208" t="s">
        <v>2646</v>
      </c>
      <c r="C2966" s="208" t="s">
        <v>1106</v>
      </c>
      <c r="D2966" s="592">
        <v>-65400</v>
      </c>
      <c r="E2966" s="212">
        <v>45413</v>
      </c>
      <c r="F2966" s="601" t="s">
        <v>109</v>
      </c>
      <c r="G2966" s="201" t="s">
        <v>1261</v>
      </c>
      <c r="H2966" s="208" t="s">
        <v>175</v>
      </c>
      <c r="I2966" s="208" t="s">
        <v>2626</v>
      </c>
      <c r="J2966" s="209"/>
      <c r="K2966" s="209"/>
      <c r="L2966" s="209"/>
      <c r="M2966" s="209"/>
      <c r="N2966" s="209"/>
      <c r="O2966" s="209"/>
      <c r="P2966" s="209"/>
      <c r="Q2966" s="209"/>
      <c r="R2966" s="209"/>
      <c r="S2966" s="209"/>
      <c r="T2966" s="209"/>
    </row>
    <row r="2967" spans="1:20" ht="15" hidden="1" customHeight="1">
      <c r="A2967" s="468">
        <v>45436</v>
      </c>
      <c r="B2967" s="208" t="s">
        <v>2647</v>
      </c>
      <c r="C2967" s="208" t="s">
        <v>1106</v>
      </c>
      <c r="D2967" s="592">
        <v>-94400</v>
      </c>
      <c r="E2967" s="212">
        <v>45413</v>
      </c>
      <c r="F2967" s="208" t="s">
        <v>110</v>
      </c>
      <c r="G2967" s="208" t="s">
        <v>453</v>
      </c>
      <c r="H2967" s="208" t="s">
        <v>175</v>
      </c>
      <c r="I2967" s="208" t="s">
        <v>2626</v>
      </c>
      <c r="J2967" s="209"/>
      <c r="K2967" s="209"/>
      <c r="L2967" s="209"/>
      <c r="M2967" s="209"/>
      <c r="N2967" s="209"/>
      <c r="O2967" s="209"/>
      <c r="P2967" s="209"/>
      <c r="Q2967" s="209"/>
      <c r="R2967" s="209"/>
      <c r="S2967" s="209"/>
      <c r="T2967" s="209"/>
    </row>
    <row r="2968" spans="1:20" ht="15" hidden="1" customHeight="1">
      <c r="A2968" s="468">
        <v>45436</v>
      </c>
      <c r="B2968" s="208" t="s">
        <v>2648</v>
      </c>
      <c r="C2968" s="208" t="s">
        <v>1106</v>
      </c>
      <c r="D2968" s="592">
        <v>-12900</v>
      </c>
      <c r="E2968" s="212">
        <v>45413</v>
      </c>
      <c r="F2968" s="601" t="s">
        <v>109</v>
      </c>
      <c r="G2968" s="208" t="s">
        <v>120</v>
      </c>
      <c r="H2968" s="208" t="s">
        <v>138</v>
      </c>
      <c r="I2968" s="208"/>
      <c r="J2968" s="209"/>
      <c r="K2968" s="209"/>
      <c r="L2968" s="209"/>
      <c r="M2968" s="209"/>
      <c r="N2968" s="209"/>
      <c r="O2968" s="209"/>
      <c r="P2968" s="209"/>
      <c r="Q2968" s="209"/>
      <c r="R2968" s="209"/>
      <c r="S2968" s="209"/>
      <c r="T2968" s="209"/>
    </row>
    <row r="2969" spans="1:20" ht="15" hidden="1" customHeight="1">
      <c r="A2969" s="468">
        <v>45436</v>
      </c>
      <c r="B2969" s="208" t="s">
        <v>2648</v>
      </c>
      <c r="C2969" s="208" t="s">
        <v>1106</v>
      </c>
      <c r="D2969" s="592">
        <v>-12900</v>
      </c>
      <c r="E2969" s="212">
        <v>45413</v>
      </c>
      <c r="F2969" s="601" t="s">
        <v>109</v>
      </c>
      <c r="G2969" s="208" t="s">
        <v>120</v>
      </c>
      <c r="H2969" s="208" t="s">
        <v>138</v>
      </c>
      <c r="I2969" s="208"/>
      <c r="J2969" s="209"/>
      <c r="K2969" s="209"/>
      <c r="L2969" s="209"/>
      <c r="M2969" s="209"/>
      <c r="N2969" s="209"/>
      <c r="O2969" s="209"/>
      <c r="P2969" s="209"/>
      <c r="Q2969" s="209"/>
      <c r="R2969" s="209"/>
      <c r="S2969" s="209"/>
      <c r="T2969" s="209"/>
    </row>
    <row r="2970" spans="1:20" ht="15" hidden="1" customHeight="1">
      <c r="A2970" s="468">
        <v>45436</v>
      </c>
      <c r="B2970" s="208" t="s">
        <v>2649</v>
      </c>
      <c r="C2970" s="208" t="s">
        <v>1106</v>
      </c>
      <c r="D2970" s="592">
        <v>-50000</v>
      </c>
      <c r="E2970" s="212">
        <v>45413</v>
      </c>
      <c r="F2970" s="601" t="s">
        <v>109</v>
      </c>
      <c r="G2970" s="208" t="s">
        <v>120</v>
      </c>
      <c r="H2970" s="208" t="s">
        <v>138</v>
      </c>
      <c r="I2970" s="208"/>
      <c r="J2970" s="209"/>
      <c r="K2970" s="209"/>
      <c r="L2970" s="209"/>
      <c r="M2970" s="209"/>
      <c r="N2970" s="209"/>
      <c r="O2970" s="209"/>
      <c r="P2970" s="209"/>
      <c r="Q2970" s="209"/>
      <c r="R2970" s="209"/>
      <c r="S2970" s="209"/>
      <c r="T2970" s="209"/>
    </row>
    <row r="2971" spans="1:20" ht="15" hidden="1" customHeight="1">
      <c r="A2971" s="468">
        <v>45436</v>
      </c>
      <c r="B2971" s="208" t="s">
        <v>2650</v>
      </c>
      <c r="C2971" s="208" t="s">
        <v>1106</v>
      </c>
      <c r="D2971" s="592">
        <v>-13000</v>
      </c>
      <c r="E2971" s="212">
        <v>45413</v>
      </c>
      <c r="F2971" s="601" t="s">
        <v>109</v>
      </c>
      <c r="G2971" s="208" t="s">
        <v>120</v>
      </c>
      <c r="H2971" s="208" t="s">
        <v>138</v>
      </c>
      <c r="I2971" s="208"/>
      <c r="J2971" s="209"/>
      <c r="K2971" s="209"/>
      <c r="L2971" s="209"/>
      <c r="M2971" s="209"/>
      <c r="N2971" s="209"/>
      <c r="O2971" s="209"/>
      <c r="P2971" s="209"/>
      <c r="Q2971" s="209"/>
      <c r="R2971" s="209"/>
      <c r="S2971" s="209"/>
      <c r="T2971" s="209"/>
    </row>
    <row r="2972" spans="1:20" ht="15" hidden="1" customHeight="1">
      <c r="A2972" s="468">
        <v>45440</v>
      </c>
      <c r="B2972" s="208" t="s">
        <v>2651</v>
      </c>
      <c r="C2972" s="208" t="s">
        <v>1106</v>
      </c>
      <c r="D2972" s="592">
        <v>-36000</v>
      </c>
      <c r="E2972" s="212">
        <v>45413</v>
      </c>
      <c r="F2972" s="601" t="s">
        <v>109</v>
      </c>
      <c r="G2972" s="201" t="s">
        <v>1261</v>
      </c>
      <c r="H2972" s="208" t="s">
        <v>138</v>
      </c>
      <c r="I2972" s="208"/>
      <c r="J2972" s="209"/>
      <c r="K2972" s="209"/>
      <c r="L2972" s="209"/>
      <c r="M2972" s="209"/>
      <c r="N2972" s="209"/>
      <c r="O2972" s="209"/>
      <c r="P2972" s="209"/>
      <c r="Q2972" s="209"/>
      <c r="R2972" s="209"/>
      <c r="S2972" s="209"/>
      <c r="T2972" s="209"/>
    </row>
    <row r="2973" spans="1:20" ht="15" hidden="1" customHeight="1">
      <c r="A2973" s="468">
        <v>45440</v>
      </c>
      <c r="B2973" s="208" t="s">
        <v>2652</v>
      </c>
      <c r="C2973" s="208" t="s">
        <v>1106</v>
      </c>
      <c r="D2973" s="592">
        <v>-55400</v>
      </c>
      <c r="E2973" s="212">
        <v>45413</v>
      </c>
      <c r="F2973" s="601" t="s">
        <v>109</v>
      </c>
      <c r="G2973" s="201" t="s">
        <v>1261</v>
      </c>
      <c r="H2973" s="208" t="s">
        <v>175</v>
      </c>
      <c r="I2973" s="208"/>
      <c r="J2973" s="209"/>
      <c r="K2973" s="209"/>
      <c r="L2973" s="209"/>
      <c r="M2973" s="209"/>
      <c r="N2973" s="209"/>
      <c r="O2973" s="209"/>
      <c r="P2973" s="209"/>
      <c r="Q2973" s="209"/>
      <c r="R2973" s="209"/>
      <c r="S2973" s="209"/>
      <c r="T2973" s="209"/>
    </row>
    <row r="2974" spans="1:20" ht="15" hidden="1" customHeight="1">
      <c r="A2974" s="468">
        <v>45440</v>
      </c>
      <c r="B2974" s="208" t="s">
        <v>2653</v>
      </c>
      <c r="C2974" s="208" t="s">
        <v>1106</v>
      </c>
      <c r="D2974" s="592">
        <v>-26800</v>
      </c>
      <c r="E2974" s="212">
        <v>45413</v>
      </c>
      <c r="F2974" s="201" t="s">
        <v>110</v>
      </c>
      <c r="G2974" s="81" t="s">
        <v>1621</v>
      </c>
      <c r="H2974" s="208" t="s">
        <v>175</v>
      </c>
      <c r="I2974" s="208"/>
      <c r="J2974" s="209"/>
      <c r="K2974" s="209"/>
      <c r="L2974" s="209"/>
      <c r="M2974" s="209"/>
      <c r="N2974" s="209"/>
      <c r="O2974" s="209"/>
      <c r="P2974" s="209"/>
      <c r="Q2974" s="209"/>
      <c r="R2974" s="209"/>
      <c r="S2974" s="209"/>
      <c r="T2974" s="209"/>
    </row>
    <row r="2975" spans="1:20" ht="15" hidden="1" customHeight="1">
      <c r="A2975" s="468">
        <v>45443</v>
      </c>
      <c r="B2975" s="208" t="s">
        <v>2654</v>
      </c>
      <c r="C2975" s="208" t="s">
        <v>1106</v>
      </c>
      <c r="D2975" s="592">
        <v>-30000</v>
      </c>
      <c r="E2975" s="212">
        <v>45413</v>
      </c>
      <c r="F2975" s="601" t="s">
        <v>109</v>
      </c>
      <c r="G2975" s="208" t="s">
        <v>125</v>
      </c>
      <c r="H2975" s="208" t="s">
        <v>138</v>
      </c>
      <c r="I2975" s="208"/>
      <c r="J2975" s="209"/>
      <c r="K2975" s="209"/>
      <c r="L2975" s="209"/>
      <c r="M2975" s="209"/>
      <c r="N2975" s="209"/>
      <c r="O2975" s="209"/>
      <c r="P2975" s="209"/>
      <c r="Q2975" s="209"/>
      <c r="R2975" s="209"/>
      <c r="S2975" s="209"/>
      <c r="T2975" s="209"/>
    </row>
    <row r="2976" spans="1:20" ht="15" hidden="1" customHeight="1">
      <c r="A2976" s="468">
        <v>45440</v>
      </c>
      <c r="B2976" s="208" t="s">
        <v>2655</v>
      </c>
      <c r="C2976" s="208" t="s">
        <v>1106</v>
      </c>
      <c r="D2976" s="592">
        <v>-43000</v>
      </c>
      <c r="E2976" s="212">
        <v>45413</v>
      </c>
      <c r="F2976" s="201" t="s">
        <v>110</v>
      </c>
      <c r="G2976" s="81" t="s">
        <v>1621</v>
      </c>
      <c r="H2976" s="208" t="s">
        <v>138</v>
      </c>
      <c r="I2976" s="208"/>
      <c r="J2976" s="209"/>
      <c r="K2976" s="209"/>
      <c r="L2976" s="209"/>
      <c r="M2976" s="209"/>
      <c r="N2976" s="209"/>
      <c r="O2976" s="209"/>
      <c r="P2976" s="209"/>
      <c r="Q2976" s="209"/>
      <c r="R2976" s="209"/>
      <c r="S2976" s="209"/>
      <c r="T2976" s="209"/>
    </row>
    <row r="2977" spans="1:20" ht="15" hidden="1" customHeight="1">
      <c r="A2977" s="468">
        <v>45440</v>
      </c>
      <c r="B2977" s="208" t="s">
        <v>2655</v>
      </c>
      <c r="C2977" s="208" t="s">
        <v>1106</v>
      </c>
      <c r="D2977" s="592">
        <v>-105000</v>
      </c>
      <c r="E2977" s="212">
        <v>45413</v>
      </c>
      <c r="F2977" s="601" t="s">
        <v>109</v>
      </c>
      <c r="G2977" s="208" t="s">
        <v>125</v>
      </c>
      <c r="H2977" s="208" t="s">
        <v>138</v>
      </c>
      <c r="I2977" s="208"/>
      <c r="J2977" s="209"/>
      <c r="K2977" s="209"/>
      <c r="L2977" s="209"/>
      <c r="M2977" s="209"/>
      <c r="N2977" s="209"/>
      <c r="O2977" s="209"/>
      <c r="P2977" s="209"/>
      <c r="Q2977" s="209"/>
      <c r="R2977" s="209"/>
      <c r="S2977" s="209"/>
      <c r="T2977" s="209"/>
    </row>
    <row r="2978" spans="1:20" ht="15" hidden="1" customHeight="1">
      <c r="A2978" s="468">
        <v>45440</v>
      </c>
      <c r="B2978" s="208" t="s">
        <v>2655</v>
      </c>
      <c r="C2978" s="208" t="s">
        <v>1106</v>
      </c>
      <c r="D2978" s="592">
        <v>-111960</v>
      </c>
      <c r="E2978" s="212">
        <v>45413</v>
      </c>
      <c r="F2978" s="601" t="s">
        <v>109</v>
      </c>
      <c r="G2978" s="201" t="s">
        <v>1261</v>
      </c>
      <c r="H2978" s="208" t="s">
        <v>138</v>
      </c>
      <c r="I2978" s="208"/>
      <c r="J2978" s="209"/>
      <c r="K2978" s="209"/>
      <c r="L2978" s="209"/>
      <c r="M2978" s="209"/>
      <c r="N2978" s="209"/>
      <c r="O2978" s="209"/>
      <c r="P2978" s="209"/>
      <c r="Q2978" s="209"/>
      <c r="R2978" s="209"/>
      <c r="S2978" s="209"/>
      <c r="T2978" s="209"/>
    </row>
    <row r="2979" spans="1:20" ht="15" hidden="1" customHeight="1">
      <c r="A2979" s="468">
        <v>45440</v>
      </c>
      <c r="B2979" s="208" t="s">
        <v>2655</v>
      </c>
      <c r="C2979" s="208" t="s">
        <v>1106</v>
      </c>
      <c r="D2979" s="592">
        <v>-36000</v>
      </c>
      <c r="E2979" s="212">
        <v>45413</v>
      </c>
      <c r="F2979" s="601" t="s">
        <v>109</v>
      </c>
      <c r="G2979" s="208" t="s">
        <v>120</v>
      </c>
      <c r="H2979" s="208" t="s">
        <v>138</v>
      </c>
      <c r="I2979" s="208"/>
      <c r="J2979" s="209"/>
      <c r="K2979" s="209"/>
      <c r="L2979" s="209"/>
      <c r="M2979" s="209"/>
      <c r="N2979" s="209"/>
      <c r="O2979" s="209"/>
      <c r="P2979" s="209"/>
      <c r="Q2979" s="209"/>
      <c r="R2979" s="209"/>
      <c r="S2979" s="209"/>
      <c r="T2979" s="209"/>
    </row>
    <row r="2980" spans="1:20" ht="15" hidden="1" customHeight="1">
      <c r="A2980" s="468">
        <v>45440</v>
      </c>
      <c r="B2980" s="208" t="s">
        <v>2655</v>
      </c>
      <c r="C2980" s="208" t="s">
        <v>1106</v>
      </c>
      <c r="D2980" s="592">
        <v>-14000</v>
      </c>
      <c r="E2980" s="212">
        <v>45413</v>
      </c>
      <c r="F2980" s="208" t="s">
        <v>130</v>
      </c>
      <c r="G2980" s="208" t="s">
        <v>130</v>
      </c>
      <c r="H2980" s="208" t="s">
        <v>138</v>
      </c>
      <c r="I2980" s="208"/>
      <c r="J2980" s="209"/>
      <c r="K2980" s="209"/>
      <c r="L2980" s="209"/>
      <c r="M2980" s="209"/>
      <c r="N2980" s="209"/>
      <c r="O2980" s="209"/>
      <c r="P2980" s="209"/>
      <c r="Q2980" s="209"/>
      <c r="R2980" s="209"/>
      <c r="S2980" s="209"/>
      <c r="T2980" s="209"/>
    </row>
    <row r="2981" spans="1:20" ht="15" hidden="1" customHeight="1">
      <c r="A2981" s="468">
        <v>45442</v>
      </c>
      <c r="B2981" s="208" t="s">
        <v>2656</v>
      </c>
      <c r="C2981" s="208" t="s">
        <v>1106</v>
      </c>
      <c r="D2981" s="592">
        <v>-19000</v>
      </c>
      <c r="E2981" s="212">
        <v>45413</v>
      </c>
      <c r="F2981" s="208" t="s">
        <v>130</v>
      </c>
      <c r="G2981" s="208" t="s">
        <v>2657</v>
      </c>
      <c r="H2981" s="208" t="s">
        <v>138</v>
      </c>
      <c r="I2981" s="208"/>
      <c r="J2981" s="209"/>
      <c r="K2981" s="209"/>
      <c r="L2981" s="209"/>
      <c r="M2981" s="209"/>
      <c r="N2981" s="209"/>
      <c r="O2981" s="209"/>
      <c r="P2981" s="209"/>
      <c r="Q2981" s="209"/>
      <c r="R2981" s="209"/>
      <c r="S2981" s="209"/>
      <c r="T2981" s="209"/>
    </row>
    <row r="2982" spans="1:20" ht="15" hidden="1" customHeight="1">
      <c r="A2982" s="468">
        <v>45442</v>
      </c>
      <c r="B2982" s="208" t="s">
        <v>2658</v>
      </c>
      <c r="C2982" s="208" t="s">
        <v>1106</v>
      </c>
      <c r="D2982" s="592">
        <v>-13000</v>
      </c>
      <c r="E2982" s="212">
        <v>45413</v>
      </c>
      <c r="F2982" s="601" t="s">
        <v>109</v>
      </c>
      <c r="G2982" s="201" t="s">
        <v>1261</v>
      </c>
      <c r="H2982" s="208" t="s">
        <v>138</v>
      </c>
      <c r="I2982" s="208"/>
      <c r="J2982" s="209"/>
      <c r="K2982" s="209"/>
      <c r="L2982" s="209"/>
      <c r="M2982" s="209"/>
      <c r="N2982" s="209"/>
      <c r="O2982" s="209"/>
      <c r="P2982" s="209"/>
      <c r="Q2982" s="209"/>
      <c r="R2982" s="209"/>
      <c r="S2982" s="209"/>
      <c r="T2982" s="209"/>
    </row>
    <row r="2983" spans="1:20" ht="15" hidden="1" customHeight="1">
      <c r="A2983" s="468">
        <v>45440</v>
      </c>
      <c r="B2983" s="208" t="s">
        <v>2659</v>
      </c>
      <c r="C2983" s="208" t="s">
        <v>1106</v>
      </c>
      <c r="D2983" s="592">
        <v>-19000</v>
      </c>
      <c r="E2983" s="212">
        <v>45413</v>
      </c>
      <c r="F2983" s="208" t="s">
        <v>110</v>
      </c>
      <c r="G2983" s="201" t="s">
        <v>1489</v>
      </c>
      <c r="H2983" s="208" t="s">
        <v>138</v>
      </c>
      <c r="I2983" s="208"/>
      <c r="J2983" s="209"/>
      <c r="K2983" s="209"/>
      <c r="L2983" s="209"/>
      <c r="M2983" s="209"/>
      <c r="N2983" s="209"/>
      <c r="O2983" s="209"/>
      <c r="P2983" s="209"/>
      <c r="Q2983" s="209"/>
      <c r="R2983" s="209"/>
      <c r="S2983" s="209"/>
      <c r="T2983" s="209"/>
    </row>
    <row r="2984" spans="1:20" ht="15" hidden="1" customHeight="1">
      <c r="A2984" s="468">
        <v>45436</v>
      </c>
      <c r="B2984" s="208" t="s">
        <v>1801</v>
      </c>
      <c r="C2984" s="208" t="s">
        <v>1106</v>
      </c>
      <c r="D2984" s="592">
        <v>-30000</v>
      </c>
      <c r="E2984" s="212">
        <v>45413</v>
      </c>
      <c r="F2984" s="601" t="s">
        <v>109</v>
      </c>
      <c r="G2984" s="208" t="s">
        <v>125</v>
      </c>
      <c r="H2984" s="208" t="s">
        <v>138</v>
      </c>
      <c r="I2984" s="208"/>
      <c r="J2984" s="209"/>
      <c r="K2984" s="209"/>
      <c r="L2984" s="209"/>
      <c r="M2984" s="209"/>
      <c r="N2984" s="209"/>
      <c r="O2984" s="209"/>
      <c r="P2984" s="209"/>
      <c r="Q2984" s="209"/>
      <c r="R2984" s="209"/>
      <c r="S2984" s="209"/>
      <c r="T2984" s="209"/>
    </row>
    <row r="2985" spans="1:20" ht="15" hidden="1" customHeight="1">
      <c r="A2985" s="468">
        <v>45441</v>
      </c>
      <c r="B2985" s="208" t="s">
        <v>2660</v>
      </c>
      <c r="C2985" s="208" t="s">
        <v>1106</v>
      </c>
      <c r="D2985" s="592">
        <v>-30000</v>
      </c>
      <c r="E2985" s="212">
        <v>45413</v>
      </c>
      <c r="F2985" s="601" t="s">
        <v>109</v>
      </c>
      <c r="G2985" s="208" t="s">
        <v>125</v>
      </c>
      <c r="H2985" s="208" t="s">
        <v>138</v>
      </c>
      <c r="I2985" s="208"/>
      <c r="J2985" s="209"/>
      <c r="K2985" s="209"/>
      <c r="L2985" s="209"/>
      <c r="M2985" s="209"/>
      <c r="N2985" s="209"/>
      <c r="O2985" s="209"/>
      <c r="P2985" s="209"/>
      <c r="Q2985" s="209"/>
      <c r="R2985" s="209"/>
      <c r="S2985" s="209"/>
      <c r="T2985" s="209"/>
    </row>
    <row r="2986" spans="1:20" ht="15" hidden="1" customHeight="1">
      <c r="A2986" s="468">
        <v>45443</v>
      </c>
      <c r="B2986" s="208" t="s">
        <v>2661</v>
      </c>
      <c r="C2986" s="208" t="s">
        <v>1106</v>
      </c>
      <c r="D2986" s="592">
        <v>-98000</v>
      </c>
      <c r="E2986" s="212">
        <v>45413</v>
      </c>
      <c r="F2986" s="208" t="s">
        <v>130</v>
      </c>
      <c r="G2986" s="208" t="s">
        <v>130</v>
      </c>
      <c r="H2986" s="208" t="s">
        <v>1156</v>
      </c>
      <c r="I2986" s="208"/>
      <c r="J2986" s="209"/>
      <c r="K2986" s="209"/>
      <c r="L2986" s="209"/>
      <c r="M2986" s="209"/>
      <c r="N2986" s="209"/>
      <c r="O2986" s="209"/>
      <c r="P2986" s="209"/>
      <c r="Q2986" s="209"/>
      <c r="R2986" s="209"/>
      <c r="S2986" s="209"/>
      <c r="T2986" s="209"/>
    </row>
    <row r="2987" spans="1:20" ht="15" hidden="1" customHeight="1">
      <c r="A2987" s="468">
        <v>45443</v>
      </c>
      <c r="B2987" s="208" t="s">
        <v>1731</v>
      </c>
      <c r="C2987" s="208" t="s">
        <v>1106</v>
      </c>
      <c r="D2987" s="592">
        <v>-25800</v>
      </c>
      <c r="E2987" s="212">
        <v>45413</v>
      </c>
      <c r="F2987" s="601" t="s">
        <v>109</v>
      </c>
      <c r="G2987" s="208" t="s">
        <v>120</v>
      </c>
      <c r="H2987" s="208" t="s">
        <v>138</v>
      </c>
      <c r="I2987" s="208"/>
      <c r="J2987" s="209"/>
      <c r="K2987" s="209"/>
      <c r="L2987" s="209"/>
      <c r="M2987" s="209"/>
      <c r="N2987" s="209"/>
      <c r="O2987" s="209"/>
      <c r="P2987" s="209"/>
      <c r="Q2987" s="209"/>
      <c r="R2987" s="209"/>
      <c r="S2987" s="209"/>
      <c r="T2987" s="209"/>
    </row>
    <row r="2988" spans="1:20" ht="15" hidden="1" customHeight="1">
      <c r="A2988" s="468">
        <v>45440</v>
      </c>
      <c r="B2988" s="208" t="s">
        <v>2662</v>
      </c>
      <c r="C2988" s="208" t="s">
        <v>1106</v>
      </c>
      <c r="D2988" s="592">
        <v>-95200</v>
      </c>
      <c r="E2988" s="212">
        <v>45413</v>
      </c>
      <c r="F2988" s="208" t="s">
        <v>130</v>
      </c>
      <c r="G2988" s="208" t="s">
        <v>130</v>
      </c>
      <c r="H2988" s="208" t="s">
        <v>2590</v>
      </c>
      <c r="I2988" s="208"/>
      <c r="J2988" s="209"/>
      <c r="K2988" s="209"/>
      <c r="L2988" s="209"/>
      <c r="M2988" s="209"/>
      <c r="N2988" s="209"/>
      <c r="O2988" s="209"/>
      <c r="P2988" s="209"/>
      <c r="Q2988" s="209"/>
      <c r="R2988" s="209"/>
      <c r="S2988" s="209"/>
      <c r="T2988" s="209"/>
    </row>
    <row r="2989" spans="1:20" ht="15" hidden="1" customHeight="1">
      <c r="A2989" s="468">
        <v>45441</v>
      </c>
      <c r="B2989" s="208" t="s">
        <v>2663</v>
      </c>
      <c r="C2989" s="208" t="s">
        <v>1106</v>
      </c>
      <c r="D2989" s="592">
        <v>-118464</v>
      </c>
      <c r="E2989" s="212">
        <v>45413</v>
      </c>
      <c r="F2989" s="208" t="s">
        <v>130</v>
      </c>
      <c r="G2989" s="208" t="s">
        <v>130</v>
      </c>
      <c r="H2989" s="208" t="s">
        <v>138</v>
      </c>
      <c r="I2989" s="208"/>
      <c r="J2989" s="209"/>
      <c r="K2989" s="209"/>
      <c r="L2989" s="209"/>
      <c r="M2989" s="209"/>
      <c r="N2989" s="209"/>
      <c r="O2989" s="209"/>
      <c r="P2989" s="209"/>
      <c r="Q2989" s="209"/>
      <c r="R2989" s="209"/>
      <c r="S2989" s="209"/>
      <c r="T2989" s="209"/>
    </row>
    <row r="2990" spans="1:20" ht="15" hidden="1" customHeight="1">
      <c r="A2990" s="468">
        <v>45441</v>
      </c>
      <c r="B2990" s="208" t="s">
        <v>2663</v>
      </c>
      <c r="C2990" s="208" t="s">
        <v>1106</v>
      </c>
      <c r="D2990" s="592">
        <v>-75000</v>
      </c>
      <c r="E2990" s="212">
        <v>45413</v>
      </c>
      <c r="F2990" s="601" t="s">
        <v>109</v>
      </c>
      <c r="G2990" s="208" t="s">
        <v>125</v>
      </c>
      <c r="H2990" s="208" t="s">
        <v>138</v>
      </c>
      <c r="I2990" s="208"/>
      <c r="J2990" s="209"/>
      <c r="K2990" s="209"/>
      <c r="L2990" s="209"/>
      <c r="M2990" s="209"/>
      <c r="N2990" s="209"/>
      <c r="O2990" s="209"/>
      <c r="P2990" s="209"/>
      <c r="Q2990" s="209"/>
      <c r="R2990" s="209"/>
      <c r="S2990" s="209"/>
      <c r="T2990" s="209"/>
    </row>
    <row r="2991" spans="1:20" ht="15" hidden="1" customHeight="1">
      <c r="A2991" s="468">
        <v>45441</v>
      </c>
      <c r="B2991" s="208" t="s">
        <v>2663</v>
      </c>
      <c r="C2991" s="208" t="s">
        <v>1106</v>
      </c>
      <c r="D2991" s="592">
        <v>-42000</v>
      </c>
      <c r="E2991" s="212">
        <v>45413</v>
      </c>
      <c r="F2991" s="208" t="s">
        <v>110</v>
      </c>
      <c r="G2991" s="208" t="s">
        <v>122</v>
      </c>
      <c r="H2991" s="208" t="s">
        <v>138</v>
      </c>
      <c r="I2991" s="208"/>
      <c r="J2991" s="209"/>
      <c r="K2991" s="209"/>
      <c r="L2991" s="209"/>
      <c r="M2991" s="209"/>
      <c r="N2991" s="209"/>
      <c r="O2991" s="209"/>
      <c r="P2991" s="209"/>
      <c r="Q2991" s="209"/>
      <c r="R2991" s="209"/>
      <c r="S2991" s="209"/>
      <c r="T2991" s="209"/>
    </row>
    <row r="2992" spans="1:20" ht="15" hidden="1" customHeight="1">
      <c r="A2992" s="468">
        <v>45441</v>
      </c>
      <c r="B2992" s="208" t="s">
        <v>2663</v>
      </c>
      <c r="C2992" s="208" t="s">
        <v>1106</v>
      </c>
      <c r="D2992" s="592">
        <v>-6000</v>
      </c>
      <c r="E2992" s="212">
        <v>45413</v>
      </c>
      <c r="F2992" s="291" t="s">
        <v>110</v>
      </c>
      <c r="G2992" s="208" t="s">
        <v>450</v>
      </c>
      <c r="H2992" s="208" t="s">
        <v>138</v>
      </c>
      <c r="I2992" s="208"/>
      <c r="J2992" s="209"/>
      <c r="K2992" s="209"/>
      <c r="L2992" s="209"/>
      <c r="M2992" s="209"/>
      <c r="N2992" s="209"/>
      <c r="O2992" s="209"/>
      <c r="P2992" s="209"/>
      <c r="Q2992" s="209"/>
      <c r="R2992" s="209"/>
      <c r="S2992" s="209"/>
      <c r="T2992" s="209"/>
    </row>
    <row r="2993" spans="1:20" ht="15" hidden="1" customHeight="1">
      <c r="A2993" s="468">
        <v>45441</v>
      </c>
      <c r="B2993" s="208" t="s">
        <v>2663</v>
      </c>
      <c r="C2993" s="208" t="s">
        <v>1106</v>
      </c>
      <c r="D2993" s="592">
        <v>-30000</v>
      </c>
      <c r="E2993" s="212">
        <v>45413</v>
      </c>
      <c r="F2993" s="601" t="s">
        <v>109</v>
      </c>
      <c r="G2993" s="201" t="s">
        <v>1261</v>
      </c>
      <c r="H2993" s="208" t="s">
        <v>138</v>
      </c>
      <c r="I2993" s="208"/>
      <c r="J2993" s="209"/>
      <c r="K2993" s="209"/>
      <c r="L2993" s="209"/>
      <c r="M2993" s="209"/>
      <c r="N2993" s="209"/>
      <c r="O2993" s="209"/>
      <c r="P2993" s="209"/>
      <c r="Q2993" s="209"/>
      <c r="R2993" s="209"/>
      <c r="S2993" s="209"/>
      <c r="T2993" s="209"/>
    </row>
    <row r="2994" spans="1:20" ht="15" hidden="1" customHeight="1">
      <c r="A2994" s="468">
        <v>45441</v>
      </c>
      <c r="B2994" s="208" t="s">
        <v>2663</v>
      </c>
      <c r="C2994" s="208" t="s">
        <v>1106</v>
      </c>
      <c r="D2994" s="592">
        <v>-16000</v>
      </c>
      <c r="E2994" s="212">
        <v>45413</v>
      </c>
      <c r="F2994" s="208" t="s">
        <v>130</v>
      </c>
      <c r="G2994" s="208" t="s">
        <v>2657</v>
      </c>
      <c r="H2994" s="208" t="s">
        <v>138</v>
      </c>
      <c r="I2994" s="208"/>
      <c r="J2994" s="209"/>
      <c r="K2994" s="209"/>
      <c r="L2994" s="209"/>
      <c r="M2994" s="209"/>
      <c r="N2994" s="209"/>
      <c r="O2994" s="209"/>
      <c r="P2994" s="209"/>
      <c r="Q2994" s="209"/>
      <c r="R2994" s="209"/>
      <c r="S2994" s="209"/>
      <c r="T2994" s="209"/>
    </row>
    <row r="2995" spans="1:20" ht="15" hidden="1" customHeight="1">
      <c r="A2995" s="468">
        <v>45441</v>
      </c>
      <c r="B2995" s="208" t="s">
        <v>2663</v>
      </c>
      <c r="C2995" s="208" t="s">
        <v>1106</v>
      </c>
      <c r="D2995" s="592">
        <v>-6000</v>
      </c>
      <c r="E2995" s="212">
        <v>45413</v>
      </c>
      <c r="F2995" s="208" t="s">
        <v>110</v>
      </c>
      <c r="G2995" s="208" t="s">
        <v>453</v>
      </c>
      <c r="H2995" s="208" t="s">
        <v>138</v>
      </c>
      <c r="I2995" s="208"/>
      <c r="J2995" s="209"/>
      <c r="K2995" s="209"/>
      <c r="L2995" s="209"/>
      <c r="M2995" s="209"/>
      <c r="N2995" s="209"/>
      <c r="O2995" s="209"/>
      <c r="P2995" s="209"/>
      <c r="Q2995" s="209"/>
      <c r="R2995" s="209"/>
      <c r="S2995" s="209"/>
      <c r="T2995" s="209"/>
    </row>
    <row r="2996" spans="1:20" ht="15" hidden="1" customHeight="1">
      <c r="A2996" s="468">
        <v>45436</v>
      </c>
      <c r="B2996" s="208" t="s">
        <v>2664</v>
      </c>
      <c r="C2996" s="208" t="s">
        <v>1106</v>
      </c>
      <c r="D2996" s="592">
        <v>-26800</v>
      </c>
      <c r="E2996" s="212">
        <v>45413</v>
      </c>
      <c r="F2996" s="601" t="s">
        <v>109</v>
      </c>
      <c r="G2996" s="201" t="s">
        <v>1261</v>
      </c>
      <c r="H2996" s="208" t="s">
        <v>175</v>
      </c>
      <c r="I2996" s="208"/>
      <c r="J2996" s="209"/>
      <c r="K2996" s="209"/>
      <c r="L2996" s="209"/>
      <c r="M2996" s="209"/>
      <c r="N2996" s="209"/>
      <c r="O2996" s="209"/>
      <c r="P2996" s="209"/>
      <c r="Q2996" s="209"/>
      <c r="R2996" s="209"/>
      <c r="S2996" s="209"/>
      <c r="T2996" s="209"/>
    </row>
    <row r="2997" spans="1:20" ht="15" hidden="1" customHeight="1">
      <c r="A2997" s="468">
        <v>45440</v>
      </c>
      <c r="B2997" s="208" t="s">
        <v>2665</v>
      </c>
      <c r="C2997" s="208" t="s">
        <v>1106</v>
      </c>
      <c r="D2997" s="592">
        <v>-10000</v>
      </c>
      <c r="E2997" s="212">
        <v>45413</v>
      </c>
      <c r="F2997" s="601" t="s">
        <v>109</v>
      </c>
      <c r="G2997" s="208" t="s">
        <v>125</v>
      </c>
      <c r="H2997" s="208" t="s">
        <v>175</v>
      </c>
      <c r="I2997" s="208"/>
      <c r="J2997" s="209"/>
      <c r="K2997" s="209"/>
      <c r="L2997" s="209"/>
      <c r="M2997" s="209"/>
      <c r="N2997" s="209"/>
      <c r="O2997" s="209"/>
      <c r="P2997" s="209"/>
      <c r="Q2997" s="209"/>
      <c r="R2997" s="209"/>
      <c r="S2997" s="209"/>
      <c r="T2997" s="209"/>
    </row>
    <row r="2998" spans="1:20" ht="15" hidden="1" customHeight="1">
      <c r="A2998" s="468">
        <v>45440</v>
      </c>
      <c r="B2998" s="208" t="s">
        <v>2666</v>
      </c>
      <c r="C2998" s="208" t="s">
        <v>1106</v>
      </c>
      <c r="D2998" s="592">
        <v>-37000</v>
      </c>
      <c r="E2998" s="212">
        <v>45413</v>
      </c>
      <c r="F2998" s="601" t="s">
        <v>109</v>
      </c>
      <c r="G2998" s="208" t="s">
        <v>120</v>
      </c>
      <c r="H2998" s="208"/>
      <c r="I2998" s="208"/>
      <c r="J2998" s="209"/>
      <c r="K2998" s="209"/>
      <c r="L2998" s="209"/>
      <c r="M2998" s="209"/>
      <c r="N2998" s="209"/>
      <c r="O2998" s="209"/>
      <c r="P2998" s="209"/>
      <c r="Q2998" s="209"/>
      <c r="R2998" s="209"/>
      <c r="S2998" s="209"/>
      <c r="T2998" s="209"/>
    </row>
    <row r="2999" spans="1:20" ht="15" hidden="1" customHeight="1">
      <c r="A2999" s="468">
        <v>45441</v>
      </c>
      <c r="B2999" s="208" t="s">
        <v>2667</v>
      </c>
      <c r="C2999" s="208" t="s">
        <v>1106</v>
      </c>
      <c r="D2999" s="592">
        <v>-137000</v>
      </c>
      <c r="E2999" s="212">
        <v>45413</v>
      </c>
      <c r="F2999" s="601" t="s">
        <v>109</v>
      </c>
      <c r="G2999" s="208" t="s">
        <v>120</v>
      </c>
      <c r="H2999" s="208"/>
      <c r="I2999" s="208"/>
      <c r="J2999" s="209"/>
      <c r="K2999" s="209"/>
      <c r="L2999" s="209"/>
      <c r="M2999" s="209"/>
      <c r="N2999" s="209"/>
      <c r="O2999" s="209"/>
      <c r="P2999" s="209"/>
      <c r="Q2999" s="209"/>
      <c r="R2999" s="209"/>
      <c r="S2999" s="209"/>
      <c r="T2999" s="209"/>
    </row>
    <row r="3000" spans="1:20" ht="15" hidden="1" customHeight="1">
      <c r="A3000" s="468">
        <v>45441</v>
      </c>
      <c r="B3000" s="208" t="s">
        <v>2668</v>
      </c>
      <c r="C3000" s="208" t="s">
        <v>1106</v>
      </c>
      <c r="D3000" s="592">
        <v>-3700</v>
      </c>
      <c r="E3000" s="212">
        <v>45413</v>
      </c>
      <c r="F3000" s="208" t="s">
        <v>130</v>
      </c>
      <c r="G3000" s="208" t="s">
        <v>130</v>
      </c>
      <c r="H3000" s="208" t="s">
        <v>2590</v>
      </c>
      <c r="I3000" s="208"/>
      <c r="J3000" s="209"/>
      <c r="K3000" s="209"/>
      <c r="L3000" s="209"/>
      <c r="M3000" s="209"/>
      <c r="N3000" s="209"/>
      <c r="O3000" s="209"/>
      <c r="P3000" s="209"/>
      <c r="Q3000" s="209"/>
      <c r="R3000" s="209"/>
      <c r="S3000" s="209"/>
      <c r="T3000" s="209"/>
    </row>
    <row r="3001" spans="1:20" ht="15" hidden="1" customHeight="1">
      <c r="A3001" s="468">
        <v>45441</v>
      </c>
      <c r="B3001" s="208" t="s">
        <v>2669</v>
      </c>
      <c r="C3001" s="208" t="s">
        <v>1106</v>
      </c>
      <c r="D3001" s="592">
        <v>-57882</v>
      </c>
      <c r="E3001" s="212">
        <v>45413</v>
      </c>
      <c r="F3001" s="601" t="s">
        <v>109</v>
      </c>
      <c r="G3001" s="201" t="s">
        <v>1261</v>
      </c>
      <c r="H3001" s="208" t="s">
        <v>175</v>
      </c>
      <c r="I3001" s="208"/>
      <c r="J3001" s="209"/>
      <c r="K3001" s="209"/>
      <c r="L3001" s="209"/>
      <c r="M3001" s="209"/>
      <c r="N3001" s="209"/>
      <c r="O3001" s="209"/>
      <c r="P3001" s="209"/>
      <c r="Q3001" s="209"/>
      <c r="R3001" s="209"/>
      <c r="S3001" s="209"/>
      <c r="T3001" s="209"/>
    </row>
    <row r="3002" spans="1:20" ht="15" hidden="1" customHeight="1">
      <c r="A3002" s="468">
        <v>45442</v>
      </c>
      <c r="B3002" s="208" t="s">
        <v>2670</v>
      </c>
      <c r="C3002" s="208" t="s">
        <v>1106</v>
      </c>
      <c r="D3002" s="592">
        <v>-47630</v>
      </c>
      <c r="E3002" s="212">
        <v>45413</v>
      </c>
      <c r="F3002" s="601" t="s">
        <v>109</v>
      </c>
      <c r="G3002" s="201" t="s">
        <v>1261</v>
      </c>
      <c r="H3002" s="208" t="s">
        <v>175</v>
      </c>
      <c r="I3002" s="208"/>
      <c r="J3002" s="209"/>
      <c r="K3002" s="209"/>
      <c r="L3002" s="209"/>
      <c r="M3002" s="209"/>
      <c r="N3002" s="209"/>
      <c r="O3002" s="209"/>
      <c r="P3002" s="209"/>
      <c r="Q3002" s="209"/>
      <c r="R3002" s="209"/>
      <c r="S3002" s="209"/>
      <c r="T3002" s="209"/>
    </row>
    <row r="3003" spans="1:20" ht="15" hidden="1" customHeight="1">
      <c r="A3003" s="468">
        <v>45442</v>
      </c>
      <c r="B3003" s="208" t="s">
        <v>2671</v>
      </c>
      <c r="C3003" s="208" t="s">
        <v>1106</v>
      </c>
      <c r="D3003" s="592">
        <v>-7000</v>
      </c>
      <c r="E3003" s="212">
        <v>45413</v>
      </c>
      <c r="F3003" s="601" t="s">
        <v>109</v>
      </c>
      <c r="G3003" s="208" t="s">
        <v>120</v>
      </c>
      <c r="H3003" s="208"/>
      <c r="I3003" s="208"/>
      <c r="J3003" s="209"/>
      <c r="K3003" s="209"/>
      <c r="L3003" s="209"/>
      <c r="M3003" s="209"/>
      <c r="N3003" s="209"/>
      <c r="O3003" s="209"/>
      <c r="P3003" s="209"/>
      <c r="Q3003" s="209"/>
      <c r="R3003" s="209"/>
      <c r="S3003" s="209"/>
      <c r="T3003" s="209"/>
    </row>
    <row r="3004" spans="1:20" ht="15" hidden="1" customHeight="1">
      <c r="A3004" s="468">
        <v>45442</v>
      </c>
      <c r="B3004" s="208" t="s">
        <v>2672</v>
      </c>
      <c r="C3004" s="208" t="s">
        <v>1106</v>
      </c>
      <c r="D3004" s="592">
        <v>-160000</v>
      </c>
      <c r="E3004" s="212">
        <v>45413</v>
      </c>
      <c r="F3004" s="601" t="s">
        <v>109</v>
      </c>
      <c r="G3004" s="208" t="s">
        <v>125</v>
      </c>
      <c r="H3004" s="208" t="s">
        <v>175</v>
      </c>
      <c r="I3004" s="208"/>
      <c r="J3004" s="209"/>
      <c r="K3004" s="209"/>
      <c r="L3004" s="209"/>
      <c r="M3004" s="209"/>
      <c r="N3004" s="209"/>
      <c r="O3004" s="209"/>
      <c r="P3004" s="209"/>
      <c r="Q3004" s="209"/>
      <c r="R3004" s="209"/>
      <c r="S3004" s="209"/>
      <c r="T3004" s="209"/>
    </row>
    <row r="3005" spans="1:20" ht="15" hidden="1" customHeight="1">
      <c r="A3005" s="468">
        <v>45442</v>
      </c>
      <c r="B3005" s="208" t="s">
        <v>2673</v>
      </c>
      <c r="C3005" s="208" t="s">
        <v>1106</v>
      </c>
      <c r="D3005" s="592">
        <v>-159000</v>
      </c>
      <c r="E3005" s="212">
        <v>45413</v>
      </c>
      <c r="F3005" s="601" t="s">
        <v>109</v>
      </c>
      <c r="G3005" s="208" t="s">
        <v>120</v>
      </c>
      <c r="H3005" s="208"/>
      <c r="I3005" s="208"/>
      <c r="J3005" s="209"/>
      <c r="K3005" s="209"/>
      <c r="L3005" s="209"/>
      <c r="M3005" s="209"/>
      <c r="N3005" s="209"/>
      <c r="O3005" s="209"/>
      <c r="P3005" s="209"/>
      <c r="Q3005" s="209"/>
      <c r="R3005" s="209"/>
      <c r="S3005" s="209"/>
      <c r="T3005" s="209"/>
    </row>
    <row r="3006" spans="1:20" ht="15" hidden="1" customHeight="1">
      <c r="A3006" s="468">
        <v>45442</v>
      </c>
      <c r="B3006" s="208" t="s">
        <v>2674</v>
      </c>
      <c r="C3006" s="208" t="s">
        <v>1106</v>
      </c>
      <c r="D3006" s="592">
        <v>-36726</v>
      </c>
      <c r="E3006" s="212">
        <v>45413</v>
      </c>
      <c r="F3006" s="601" t="s">
        <v>109</v>
      </c>
      <c r="G3006" s="208" t="s">
        <v>120</v>
      </c>
      <c r="H3006" s="208"/>
      <c r="I3006" s="208"/>
      <c r="J3006" s="209"/>
      <c r="K3006" s="209"/>
      <c r="L3006" s="209"/>
      <c r="M3006" s="209"/>
      <c r="N3006" s="209"/>
      <c r="O3006" s="209"/>
      <c r="P3006" s="209"/>
      <c r="Q3006" s="209"/>
      <c r="R3006" s="209"/>
      <c r="S3006" s="209"/>
      <c r="T3006" s="209"/>
    </row>
    <row r="3007" spans="1:20" ht="15" hidden="1" customHeight="1">
      <c r="A3007" s="468">
        <v>45439</v>
      </c>
      <c r="B3007" s="208" t="s">
        <v>2675</v>
      </c>
      <c r="C3007" s="208" t="s">
        <v>1106</v>
      </c>
      <c r="D3007" s="592">
        <v>-230800</v>
      </c>
      <c r="E3007" s="212">
        <v>45413</v>
      </c>
      <c r="F3007" s="601" t="s">
        <v>109</v>
      </c>
      <c r="G3007" s="208" t="s">
        <v>120</v>
      </c>
      <c r="H3007" s="208"/>
      <c r="I3007" s="208"/>
      <c r="J3007" s="209"/>
      <c r="K3007" s="209"/>
      <c r="L3007" s="209"/>
      <c r="M3007" s="209"/>
      <c r="N3007" s="209"/>
      <c r="O3007" s="209"/>
      <c r="P3007" s="209"/>
      <c r="Q3007" s="209"/>
      <c r="R3007" s="209"/>
      <c r="S3007" s="209"/>
      <c r="T3007" s="209"/>
    </row>
    <row r="3008" spans="1:20" ht="15" hidden="1" customHeight="1">
      <c r="A3008" s="468">
        <v>45439</v>
      </c>
      <c r="B3008" s="208" t="s">
        <v>2676</v>
      </c>
      <c r="C3008" s="208" t="s">
        <v>1106</v>
      </c>
      <c r="D3008" s="592">
        <v>-142980</v>
      </c>
      <c r="E3008" s="212">
        <v>45413</v>
      </c>
      <c r="F3008" s="601" t="s">
        <v>109</v>
      </c>
      <c r="G3008" s="201" t="s">
        <v>1261</v>
      </c>
      <c r="H3008" s="208" t="s">
        <v>175</v>
      </c>
      <c r="I3008" s="208"/>
      <c r="J3008" s="209"/>
      <c r="K3008" s="209"/>
      <c r="L3008" s="209"/>
      <c r="M3008" s="209"/>
      <c r="N3008" s="209"/>
      <c r="O3008" s="209"/>
      <c r="P3008" s="209"/>
      <c r="Q3008" s="209"/>
      <c r="R3008" s="209"/>
      <c r="S3008" s="209"/>
      <c r="T3008" s="209"/>
    </row>
    <row r="3009" spans="1:20" ht="15" hidden="1" customHeight="1">
      <c r="A3009" s="468">
        <v>45440</v>
      </c>
      <c r="B3009" s="208" t="s">
        <v>2677</v>
      </c>
      <c r="C3009" s="208" t="s">
        <v>1106</v>
      </c>
      <c r="D3009" s="592">
        <v>-170500</v>
      </c>
      <c r="E3009" s="212">
        <v>45413</v>
      </c>
      <c r="F3009" s="601" t="s">
        <v>109</v>
      </c>
      <c r="G3009" s="208" t="s">
        <v>125</v>
      </c>
      <c r="H3009" s="208" t="s">
        <v>175</v>
      </c>
      <c r="I3009" s="208"/>
      <c r="J3009" s="209"/>
      <c r="K3009" s="209"/>
      <c r="L3009" s="209"/>
      <c r="M3009" s="209"/>
      <c r="N3009" s="209"/>
      <c r="O3009" s="209"/>
      <c r="P3009" s="209"/>
      <c r="Q3009" s="209"/>
      <c r="R3009" s="209"/>
      <c r="S3009" s="209"/>
      <c r="T3009" s="209"/>
    </row>
    <row r="3010" spans="1:20" ht="15" hidden="1" customHeight="1">
      <c r="A3010" s="468">
        <v>45440</v>
      </c>
      <c r="B3010" s="208" t="s">
        <v>2678</v>
      </c>
      <c r="C3010" s="208" t="s">
        <v>1106</v>
      </c>
      <c r="D3010" s="592">
        <v>-65000</v>
      </c>
      <c r="E3010" s="212">
        <v>45413</v>
      </c>
      <c r="F3010" s="601" t="s">
        <v>109</v>
      </c>
      <c r="G3010" s="208" t="s">
        <v>125</v>
      </c>
      <c r="H3010" s="208" t="s">
        <v>175</v>
      </c>
      <c r="I3010" s="208"/>
      <c r="J3010" s="209"/>
      <c r="K3010" s="209"/>
      <c r="L3010" s="209"/>
      <c r="M3010" s="209"/>
      <c r="N3010" s="209"/>
      <c r="O3010" s="209"/>
      <c r="P3010" s="209"/>
      <c r="Q3010" s="209"/>
      <c r="R3010" s="209"/>
      <c r="S3010" s="209"/>
      <c r="T3010" s="209"/>
    </row>
    <row r="3011" spans="1:20" ht="15" hidden="1" customHeight="1">
      <c r="A3011" s="468">
        <v>45440</v>
      </c>
      <c r="B3011" s="208" t="s">
        <v>2679</v>
      </c>
      <c r="C3011" s="208" t="s">
        <v>1106</v>
      </c>
      <c r="D3011" s="592">
        <v>-33800</v>
      </c>
      <c r="E3011" s="212">
        <v>45413</v>
      </c>
      <c r="F3011" s="601" t="s">
        <v>109</v>
      </c>
      <c r="G3011" s="208" t="s">
        <v>125</v>
      </c>
      <c r="H3011" s="208" t="s">
        <v>175</v>
      </c>
      <c r="I3011" s="208"/>
      <c r="J3011" s="209"/>
      <c r="K3011" s="209"/>
      <c r="L3011" s="209"/>
      <c r="M3011" s="209"/>
      <c r="N3011" s="209"/>
      <c r="O3011" s="209"/>
      <c r="P3011" s="209"/>
      <c r="Q3011" s="209"/>
      <c r="R3011" s="209"/>
      <c r="S3011" s="209"/>
      <c r="T3011" s="209"/>
    </row>
    <row r="3012" spans="1:20" ht="15" hidden="1" customHeight="1">
      <c r="A3012" s="468">
        <v>45440</v>
      </c>
      <c r="B3012" s="208" t="s">
        <v>2680</v>
      </c>
      <c r="C3012" s="208" t="s">
        <v>1106</v>
      </c>
      <c r="D3012" s="592">
        <v>-108900</v>
      </c>
      <c r="E3012" s="212">
        <v>45413</v>
      </c>
      <c r="F3012" s="601" t="s">
        <v>109</v>
      </c>
      <c r="G3012" s="208" t="s">
        <v>125</v>
      </c>
      <c r="H3012" s="208" t="s">
        <v>175</v>
      </c>
      <c r="I3012" s="208"/>
      <c r="J3012" s="209"/>
      <c r="K3012" s="209"/>
      <c r="L3012" s="209"/>
      <c r="M3012" s="209"/>
      <c r="N3012" s="209"/>
      <c r="O3012" s="209"/>
      <c r="P3012" s="209"/>
      <c r="Q3012" s="209"/>
      <c r="R3012" s="209"/>
      <c r="S3012" s="209"/>
      <c r="T3012" s="209"/>
    </row>
    <row r="3013" spans="1:20" ht="15" hidden="1" customHeight="1">
      <c r="A3013" s="468">
        <v>45440</v>
      </c>
      <c r="B3013" s="208" t="s">
        <v>2681</v>
      </c>
      <c r="C3013" s="208" t="s">
        <v>1106</v>
      </c>
      <c r="D3013" s="592">
        <v>-15000</v>
      </c>
      <c r="E3013" s="212">
        <v>45413</v>
      </c>
      <c r="F3013" s="601" t="s">
        <v>109</v>
      </c>
      <c r="G3013" s="208" t="s">
        <v>120</v>
      </c>
      <c r="H3013" s="208"/>
      <c r="I3013" s="208"/>
      <c r="J3013" s="209"/>
      <c r="K3013" s="209"/>
      <c r="L3013" s="209"/>
      <c r="M3013" s="209"/>
      <c r="N3013" s="209"/>
      <c r="O3013" s="209"/>
      <c r="P3013" s="209"/>
      <c r="Q3013" s="209"/>
      <c r="R3013" s="209"/>
      <c r="S3013" s="209"/>
      <c r="T3013" s="209"/>
    </row>
    <row r="3014" spans="1:20" ht="15" hidden="1" customHeight="1">
      <c r="A3014" s="468">
        <v>45419</v>
      </c>
      <c r="B3014" s="208" t="s">
        <v>2682</v>
      </c>
      <c r="C3014" s="208" t="s">
        <v>146</v>
      </c>
      <c r="D3014" s="592">
        <v>-100000</v>
      </c>
      <c r="E3014" s="212">
        <v>45413</v>
      </c>
      <c r="F3014" s="601" t="s">
        <v>109</v>
      </c>
      <c r="G3014" s="208" t="s">
        <v>120</v>
      </c>
      <c r="H3014" s="208"/>
      <c r="I3014" s="208"/>
      <c r="J3014" s="209"/>
      <c r="K3014" s="209"/>
      <c r="L3014" s="209"/>
      <c r="M3014" s="209"/>
      <c r="N3014" s="209"/>
      <c r="O3014" s="209"/>
      <c r="P3014" s="209"/>
      <c r="Q3014" s="209"/>
      <c r="R3014" s="209"/>
      <c r="S3014" s="209"/>
      <c r="T3014" s="209"/>
    </row>
    <row r="3015" spans="1:20" ht="15" hidden="1" customHeight="1">
      <c r="A3015" s="468">
        <v>45419</v>
      </c>
      <c r="B3015" s="208" t="s">
        <v>2683</v>
      </c>
      <c r="C3015" s="208" t="s">
        <v>146</v>
      </c>
      <c r="D3015" s="592">
        <v>-50000</v>
      </c>
      <c r="E3015" s="212">
        <v>45413</v>
      </c>
      <c r="F3015" s="601" t="s">
        <v>109</v>
      </c>
      <c r="G3015" s="208" t="s">
        <v>120</v>
      </c>
      <c r="H3015" s="208"/>
      <c r="I3015" s="208"/>
      <c r="J3015" s="209"/>
      <c r="K3015" s="209"/>
      <c r="L3015" s="209"/>
      <c r="M3015" s="209"/>
      <c r="N3015" s="209"/>
      <c r="O3015" s="209"/>
      <c r="P3015" s="209"/>
      <c r="Q3015" s="209"/>
      <c r="R3015" s="209"/>
      <c r="S3015" s="209"/>
      <c r="T3015" s="209"/>
    </row>
    <row r="3016" spans="1:20" ht="15" hidden="1" customHeight="1">
      <c r="A3016" s="468">
        <v>45419</v>
      </c>
      <c r="B3016" s="208" t="s">
        <v>2684</v>
      </c>
      <c r="C3016" s="208" t="s">
        <v>146</v>
      </c>
      <c r="D3016" s="592">
        <v>-47600</v>
      </c>
      <c r="E3016" s="212">
        <v>45413</v>
      </c>
      <c r="F3016" s="601" t="s">
        <v>109</v>
      </c>
      <c r="G3016" s="208" t="s">
        <v>120</v>
      </c>
      <c r="H3016" s="208"/>
      <c r="I3016" s="208"/>
      <c r="J3016" s="209"/>
      <c r="K3016" s="209"/>
      <c r="L3016" s="209"/>
      <c r="M3016" s="209"/>
      <c r="N3016" s="209"/>
      <c r="O3016" s="209"/>
      <c r="P3016" s="209"/>
      <c r="Q3016" s="209"/>
      <c r="R3016" s="209"/>
      <c r="S3016" s="209"/>
      <c r="T3016" s="209"/>
    </row>
    <row r="3017" spans="1:20" ht="15" hidden="1" customHeight="1">
      <c r="A3017" s="468">
        <v>45419</v>
      </c>
      <c r="B3017" s="208" t="s">
        <v>2685</v>
      </c>
      <c r="C3017" s="208" t="s">
        <v>146</v>
      </c>
      <c r="D3017" s="592">
        <v>-30000</v>
      </c>
      <c r="E3017" s="212">
        <v>45413</v>
      </c>
      <c r="F3017" s="601" t="s">
        <v>109</v>
      </c>
      <c r="G3017" s="208" t="s">
        <v>120</v>
      </c>
      <c r="H3017" s="208"/>
      <c r="I3017" s="208"/>
      <c r="J3017" s="209"/>
      <c r="K3017" s="209"/>
      <c r="L3017" s="209"/>
      <c r="M3017" s="209"/>
      <c r="N3017" s="209"/>
      <c r="O3017" s="209"/>
      <c r="P3017" s="209"/>
      <c r="Q3017" s="209"/>
      <c r="R3017" s="209"/>
      <c r="S3017" s="209"/>
      <c r="T3017" s="209"/>
    </row>
    <row r="3018" spans="1:20" ht="15" hidden="1" customHeight="1">
      <c r="A3018" s="468">
        <v>45420</v>
      </c>
      <c r="B3018" s="208" t="s">
        <v>2686</v>
      </c>
      <c r="C3018" s="208" t="s">
        <v>146</v>
      </c>
      <c r="D3018" s="592">
        <v>-24000</v>
      </c>
      <c r="E3018" s="212">
        <v>45413</v>
      </c>
      <c r="F3018" s="601" t="s">
        <v>109</v>
      </c>
      <c r="G3018" s="208" t="s">
        <v>120</v>
      </c>
      <c r="H3018" s="208"/>
      <c r="I3018" s="208"/>
      <c r="J3018" s="209"/>
      <c r="K3018" s="209"/>
      <c r="L3018" s="209"/>
      <c r="M3018" s="209"/>
      <c r="N3018" s="209"/>
      <c r="O3018" s="209"/>
      <c r="P3018" s="209"/>
      <c r="Q3018" s="209"/>
      <c r="R3018" s="209"/>
      <c r="S3018" s="209"/>
      <c r="T3018" s="209"/>
    </row>
    <row r="3019" spans="1:20" ht="15" hidden="1" customHeight="1">
      <c r="A3019" s="468">
        <v>45421</v>
      </c>
      <c r="B3019" s="208" t="s">
        <v>2687</v>
      </c>
      <c r="C3019" s="208" t="s">
        <v>146</v>
      </c>
      <c r="D3019" s="592">
        <v>-80000</v>
      </c>
      <c r="E3019" s="212">
        <v>45413</v>
      </c>
      <c r="F3019" s="601" t="s">
        <v>109</v>
      </c>
      <c r="G3019" s="208" t="s">
        <v>120</v>
      </c>
      <c r="H3019" s="208"/>
      <c r="I3019" s="208"/>
      <c r="J3019" s="209"/>
      <c r="K3019" s="209"/>
      <c r="L3019" s="209"/>
      <c r="M3019" s="209"/>
      <c r="N3019" s="209"/>
      <c r="O3019" s="209"/>
      <c r="P3019" s="209"/>
      <c r="Q3019" s="209"/>
      <c r="R3019" s="209"/>
      <c r="S3019" s="209"/>
      <c r="T3019" s="209"/>
    </row>
    <row r="3020" spans="1:20" ht="15" hidden="1" customHeight="1">
      <c r="A3020" s="468">
        <v>45421</v>
      </c>
      <c r="B3020" s="208" t="s">
        <v>2688</v>
      </c>
      <c r="C3020" s="208" t="s">
        <v>146</v>
      </c>
      <c r="D3020" s="592">
        <v>-52000</v>
      </c>
      <c r="E3020" s="212">
        <v>45413</v>
      </c>
      <c r="F3020" s="601" t="s">
        <v>109</v>
      </c>
      <c r="G3020" s="208" t="s">
        <v>120</v>
      </c>
      <c r="H3020" s="208"/>
      <c r="I3020" s="208"/>
      <c r="J3020" s="209"/>
      <c r="K3020" s="209"/>
      <c r="L3020" s="209"/>
      <c r="M3020" s="209"/>
      <c r="N3020" s="209"/>
      <c r="O3020" s="209"/>
      <c r="P3020" s="209"/>
      <c r="Q3020" s="209"/>
      <c r="R3020" s="209"/>
      <c r="S3020" s="209"/>
      <c r="T3020" s="209"/>
    </row>
    <row r="3021" spans="1:20" ht="15" hidden="1" customHeight="1">
      <c r="A3021" s="468">
        <v>45421</v>
      </c>
      <c r="B3021" s="208" t="s">
        <v>2689</v>
      </c>
      <c r="C3021" s="208" t="s">
        <v>146</v>
      </c>
      <c r="D3021" s="592">
        <v>-11000</v>
      </c>
      <c r="E3021" s="212">
        <v>45413</v>
      </c>
      <c r="F3021" s="601" t="s">
        <v>109</v>
      </c>
      <c r="G3021" s="208" t="s">
        <v>120</v>
      </c>
      <c r="H3021" s="208"/>
      <c r="I3021" s="208"/>
      <c r="J3021" s="209"/>
      <c r="K3021" s="209"/>
      <c r="L3021" s="209"/>
      <c r="M3021" s="209"/>
      <c r="N3021" s="209"/>
      <c r="O3021" s="209"/>
      <c r="P3021" s="209"/>
      <c r="Q3021" s="209"/>
      <c r="R3021" s="209"/>
      <c r="S3021" s="209"/>
      <c r="T3021" s="209"/>
    </row>
    <row r="3022" spans="1:20" ht="15" hidden="1" customHeight="1">
      <c r="A3022" s="468">
        <v>45422</v>
      </c>
      <c r="B3022" s="208" t="s">
        <v>2690</v>
      </c>
      <c r="C3022" s="208" t="s">
        <v>146</v>
      </c>
      <c r="D3022" s="592">
        <v>-60000</v>
      </c>
      <c r="E3022" s="212">
        <v>45413</v>
      </c>
      <c r="F3022" s="601" t="s">
        <v>109</v>
      </c>
      <c r="G3022" s="208" t="s">
        <v>120</v>
      </c>
      <c r="H3022" s="208"/>
      <c r="I3022" s="208"/>
      <c r="J3022" s="209"/>
      <c r="K3022" s="209"/>
      <c r="L3022" s="209"/>
      <c r="M3022" s="209"/>
      <c r="N3022" s="209"/>
      <c r="O3022" s="209"/>
      <c r="P3022" s="209"/>
      <c r="Q3022" s="209"/>
      <c r="R3022" s="209"/>
      <c r="S3022" s="209"/>
      <c r="T3022" s="209"/>
    </row>
    <row r="3023" spans="1:20" ht="15" hidden="1" customHeight="1">
      <c r="A3023" s="468">
        <v>45422</v>
      </c>
      <c r="B3023" s="208" t="s">
        <v>2691</v>
      </c>
      <c r="C3023" s="208" t="s">
        <v>146</v>
      </c>
      <c r="D3023" s="592">
        <v>-46000</v>
      </c>
      <c r="E3023" s="212">
        <v>45413</v>
      </c>
      <c r="F3023" s="601" t="s">
        <v>109</v>
      </c>
      <c r="G3023" s="208" t="s">
        <v>120</v>
      </c>
      <c r="H3023" s="208"/>
      <c r="I3023" s="208"/>
      <c r="J3023" s="209"/>
      <c r="K3023" s="209"/>
      <c r="L3023" s="209"/>
      <c r="M3023" s="209"/>
      <c r="N3023" s="209"/>
      <c r="O3023" s="209"/>
      <c r="P3023" s="209"/>
      <c r="Q3023" s="209"/>
      <c r="R3023" s="209"/>
      <c r="S3023" s="209"/>
      <c r="T3023" s="209"/>
    </row>
    <row r="3024" spans="1:20" ht="15" hidden="1" customHeight="1">
      <c r="A3024" s="468">
        <v>45422</v>
      </c>
      <c r="B3024" s="208" t="s">
        <v>2132</v>
      </c>
      <c r="C3024" s="208" t="s">
        <v>146</v>
      </c>
      <c r="D3024" s="592">
        <v>-40000</v>
      </c>
      <c r="E3024" s="212">
        <v>45413</v>
      </c>
      <c r="F3024" s="601" t="s">
        <v>109</v>
      </c>
      <c r="G3024" s="208" t="s">
        <v>120</v>
      </c>
      <c r="H3024" s="208"/>
      <c r="I3024" s="208"/>
      <c r="J3024" s="209"/>
      <c r="K3024" s="209"/>
      <c r="L3024" s="209"/>
      <c r="M3024" s="209"/>
      <c r="N3024" s="209"/>
      <c r="O3024" s="209"/>
      <c r="P3024" s="209"/>
      <c r="Q3024" s="209"/>
      <c r="R3024" s="209"/>
      <c r="S3024" s="209"/>
      <c r="T3024" s="209"/>
    </row>
    <row r="3025" spans="1:20" ht="15" hidden="1" customHeight="1">
      <c r="A3025" s="468">
        <v>45422</v>
      </c>
      <c r="B3025" s="208" t="s">
        <v>2692</v>
      </c>
      <c r="C3025" s="208" t="s">
        <v>146</v>
      </c>
      <c r="D3025" s="592">
        <v>-40000</v>
      </c>
      <c r="E3025" s="212">
        <v>45413</v>
      </c>
      <c r="F3025" s="601" t="s">
        <v>109</v>
      </c>
      <c r="G3025" s="208" t="s">
        <v>120</v>
      </c>
      <c r="H3025" s="208"/>
      <c r="I3025" s="208"/>
      <c r="J3025" s="209"/>
      <c r="K3025" s="209"/>
      <c r="L3025" s="209"/>
      <c r="M3025" s="209"/>
      <c r="N3025" s="209"/>
      <c r="O3025" s="209"/>
      <c r="P3025" s="209"/>
      <c r="Q3025" s="209"/>
      <c r="R3025" s="209"/>
      <c r="S3025" s="209"/>
      <c r="T3025" s="209"/>
    </row>
    <row r="3026" spans="1:20" ht="15" hidden="1" customHeight="1">
      <c r="A3026" s="468">
        <v>45423</v>
      </c>
      <c r="B3026" s="208" t="s">
        <v>2693</v>
      </c>
      <c r="C3026" s="208" t="s">
        <v>146</v>
      </c>
      <c r="D3026" s="592">
        <v>-9000</v>
      </c>
      <c r="E3026" s="212">
        <v>45413</v>
      </c>
      <c r="F3026" s="601" t="s">
        <v>109</v>
      </c>
      <c r="G3026" s="208" t="s">
        <v>120</v>
      </c>
      <c r="H3026" s="208"/>
      <c r="I3026" s="208"/>
      <c r="J3026" s="209"/>
      <c r="K3026" s="209"/>
      <c r="L3026" s="209"/>
      <c r="M3026" s="209"/>
      <c r="N3026" s="209"/>
      <c r="O3026" s="209"/>
      <c r="P3026" s="209"/>
      <c r="Q3026" s="209"/>
      <c r="R3026" s="209"/>
      <c r="S3026" s="209"/>
      <c r="T3026" s="209"/>
    </row>
    <row r="3027" spans="1:20" ht="15" hidden="1" customHeight="1">
      <c r="A3027" s="468">
        <v>45423</v>
      </c>
      <c r="B3027" s="208" t="s">
        <v>2694</v>
      </c>
      <c r="C3027" s="208" t="s">
        <v>146</v>
      </c>
      <c r="D3027" s="592">
        <v>-6000</v>
      </c>
      <c r="E3027" s="212">
        <v>45413</v>
      </c>
      <c r="F3027" s="601" t="s">
        <v>109</v>
      </c>
      <c r="G3027" s="208" t="s">
        <v>120</v>
      </c>
      <c r="H3027" s="208"/>
      <c r="I3027" s="208"/>
      <c r="J3027" s="209"/>
      <c r="K3027" s="209"/>
      <c r="L3027" s="209"/>
      <c r="M3027" s="209"/>
      <c r="N3027" s="209"/>
      <c r="O3027" s="209"/>
      <c r="P3027" s="209"/>
      <c r="Q3027" s="209"/>
      <c r="R3027" s="209"/>
      <c r="S3027" s="209"/>
      <c r="T3027" s="209"/>
    </row>
    <row r="3028" spans="1:20" ht="15" hidden="1" customHeight="1">
      <c r="A3028" s="468">
        <v>45423</v>
      </c>
      <c r="B3028" s="208" t="s">
        <v>2695</v>
      </c>
      <c r="C3028" s="208" t="s">
        <v>146</v>
      </c>
      <c r="D3028" s="592">
        <v>-30000</v>
      </c>
      <c r="E3028" s="212">
        <v>45413</v>
      </c>
      <c r="F3028" s="601" t="s">
        <v>109</v>
      </c>
      <c r="G3028" s="208" t="s">
        <v>120</v>
      </c>
      <c r="H3028" s="208"/>
      <c r="I3028" s="208"/>
      <c r="J3028" s="209"/>
      <c r="K3028" s="209"/>
      <c r="L3028" s="209"/>
      <c r="M3028" s="209"/>
      <c r="N3028" s="209"/>
      <c r="O3028" s="209"/>
      <c r="P3028" s="209"/>
      <c r="Q3028" s="209"/>
      <c r="R3028" s="209"/>
      <c r="S3028" s="209"/>
      <c r="T3028" s="209"/>
    </row>
    <row r="3029" spans="1:20" ht="15" hidden="1" customHeight="1">
      <c r="A3029" s="468">
        <v>45423</v>
      </c>
      <c r="B3029" s="208" t="s">
        <v>2696</v>
      </c>
      <c r="C3029" s="208" t="s">
        <v>146</v>
      </c>
      <c r="D3029" s="592">
        <v>-30000</v>
      </c>
      <c r="E3029" s="212">
        <v>45413</v>
      </c>
      <c r="F3029" s="601" t="s">
        <v>109</v>
      </c>
      <c r="G3029" s="208" t="s">
        <v>120</v>
      </c>
      <c r="H3029" s="208"/>
      <c r="I3029" s="208"/>
      <c r="J3029" s="209"/>
      <c r="K3029" s="209"/>
      <c r="L3029" s="209"/>
      <c r="M3029" s="209"/>
      <c r="N3029" s="209"/>
      <c r="O3029" s="209"/>
      <c r="P3029" s="209"/>
      <c r="Q3029" s="209"/>
      <c r="R3029" s="209"/>
      <c r="S3029" s="209"/>
      <c r="T3029" s="209"/>
    </row>
    <row r="3030" spans="1:20" ht="15" hidden="1" customHeight="1">
      <c r="A3030" s="468">
        <v>45423</v>
      </c>
      <c r="B3030" s="208" t="s">
        <v>2697</v>
      </c>
      <c r="C3030" s="208" t="s">
        <v>146</v>
      </c>
      <c r="D3030" s="592">
        <v>-148000</v>
      </c>
      <c r="E3030" s="212">
        <v>45413</v>
      </c>
      <c r="F3030" s="601" t="s">
        <v>109</v>
      </c>
      <c r="G3030" s="208" t="s">
        <v>120</v>
      </c>
      <c r="H3030" s="208"/>
      <c r="I3030" s="208"/>
      <c r="J3030" s="209"/>
      <c r="K3030" s="209"/>
      <c r="L3030" s="209"/>
      <c r="M3030" s="209"/>
      <c r="N3030" s="209"/>
      <c r="O3030" s="209"/>
      <c r="P3030" s="209"/>
      <c r="Q3030" s="209"/>
      <c r="R3030" s="209"/>
      <c r="S3030" s="209"/>
      <c r="T3030" s="209"/>
    </row>
    <row r="3031" spans="1:20" ht="15" hidden="1" customHeight="1">
      <c r="A3031" s="468">
        <v>45423</v>
      </c>
      <c r="B3031" s="208" t="s">
        <v>2698</v>
      </c>
      <c r="C3031" s="208" t="s">
        <v>146</v>
      </c>
      <c r="D3031" s="592">
        <v>-50000</v>
      </c>
      <c r="E3031" s="212">
        <v>45413</v>
      </c>
      <c r="F3031" s="601" t="s">
        <v>109</v>
      </c>
      <c r="G3031" s="208" t="s">
        <v>120</v>
      </c>
      <c r="H3031" s="208"/>
      <c r="I3031" s="208"/>
      <c r="J3031" s="209"/>
      <c r="K3031" s="209"/>
      <c r="L3031" s="209"/>
      <c r="M3031" s="209"/>
      <c r="N3031" s="209"/>
      <c r="O3031" s="209"/>
      <c r="P3031" s="209"/>
      <c r="Q3031" s="209"/>
      <c r="R3031" s="209"/>
      <c r="S3031" s="209"/>
      <c r="T3031" s="209"/>
    </row>
    <row r="3032" spans="1:20" ht="15" hidden="1" customHeight="1">
      <c r="A3032" s="468">
        <v>45423</v>
      </c>
      <c r="B3032" s="208" t="s">
        <v>2699</v>
      </c>
      <c r="C3032" s="208" t="s">
        <v>146</v>
      </c>
      <c r="D3032" s="592">
        <v>-12900</v>
      </c>
      <c r="E3032" s="212">
        <v>45413</v>
      </c>
      <c r="F3032" s="601" t="s">
        <v>109</v>
      </c>
      <c r="G3032" s="208" t="s">
        <v>120</v>
      </c>
      <c r="H3032" s="208"/>
      <c r="I3032" s="208"/>
      <c r="J3032" s="209"/>
      <c r="K3032" s="209"/>
      <c r="L3032" s="209"/>
      <c r="M3032" s="209"/>
      <c r="N3032" s="209"/>
      <c r="O3032" s="209"/>
      <c r="P3032" s="209"/>
      <c r="Q3032" s="209"/>
      <c r="R3032" s="209"/>
      <c r="S3032" s="209"/>
      <c r="T3032" s="209"/>
    </row>
    <row r="3033" spans="1:20" ht="15" hidden="1" customHeight="1">
      <c r="A3033" s="468">
        <v>45423</v>
      </c>
      <c r="B3033" s="208" t="s">
        <v>2700</v>
      </c>
      <c r="C3033" s="208" t="s">
        <v>146</v>
      </c>
      <c r="D3033" s="592">
        <v>-70000</v>
      </c>
      <c r="E3033" s="212">
        <v>45413</v>
      </c>
      <c r="F3033" s="601" t="s">
        <v>109</v>
      </c>
      <c r="G3033" s="208" t="s">
        <v>120</v>
      </c>
      <c r="H3033" s="208"/>
      <c r="I3033" s="208"/>
      <c r="J3033" s="209"/>
      <c r="K3033" s="209"/>
      <c r="L3033" s="209"/>
      <c r="M3033" s="209"/>
      <c r="N3033" s="209"/>
      <c r="O3033" s="209"/>
      <c r="P3033" s="209"/>
      <c r="Q3033" s="209"/>
      <c r="R3033" s="209"/>
      <c r="S3033" s="209"/>
      <c r="T3033" s="209"/>
    </row>
    <row r="3034" spans="1:20" ht="15" hidden="1" customHeight="1">
      <c r="A3034" s="468">
        <v>45426</v>
      </c>
      <c r="B3034" s="208" t="s">
        <v>2139</v>
      </c>
      <c r="C3034" s="208" t="s">
        <v>146</v>
      </c>
      <c r="D3034" s="592">
        <v>-12900</v>
      </c>
      <c r="E3034" s="212">
        <v>45413</v>
      </c>
      <c r="F3034" s="601" t="s">
        <v>109</v>
      </c>
      <c r="G3034" s="208" t="s">
        <v>120</v>
      </c>
      <c r="H3034" s="208"/>
      <c r="I3034" s="208"/>
      <c r="J3034" s="209"/>
      <c r="K3034" s="209"/>
      <c r="L3034" s="209"/>
      <c r="M3034" s="209"/>
      <c r="N3034" s="209"/>
      <c r="O3034" s="209"/>
      <c r="P3034" s="209"/>
      <c r="Q3034" s="209"/>
      <c r="R3034" s="209"/>
      <c r="S3034" s="209"/>
      <c r="T3034" s="209"/>
    </row>
    <row r="3035" spans="1:20" ht="15" hidden="1" customHeight="1">
      <c r="A3035" s="468">
        <v>45426</v>
      </c>
      <c r="B3035" s="208" t="s">
        <v>2701</v>
      </c>
      <c r="C3035" s="208" t="s">
        <v>146</v>
      </c>
      <c r="D3035" s="592">
        <v>-78000</v>
      </c>
      <c r="E3035" s="212">
        <v>45413</v>
      </c>
      <c r="F3035" s="601" t="s">
        <v>109</v>
      </c>
      <c r="G3035" s="208" t="s">
        <v>120</v>
      </c>
      <c r="H3035" s="208"/>
      <c r="I3035" s="208"/>
      <c r="J3035" s="209"/>
      <c r="K3035" s="209"/>
      <c r="L3035" s="209"/>
      <c r="M3035" s="209"/>
      <c r="N3035" s="209"/>
      <c r="O3035" s="209"/>
      <c r="P3035" s="209"/>
      <c r="Q3035" s="209"/>
      <c r="R3035" s="209"/>
      <c r="S3035" s="209"/>
      <c r="T3035" s="209"/>
    </row>
    <row r="3036" spans="1:20" ht="15" hidden="1" customHeight="1">
      <c r="A3036" s="468">
        <v>45428</v>
      </c>
      <c r="B3036" s="208" t="s">
        <v>2702</v>
      </c>
      <c r="C3036" s="208" t="s">
        <v>146</v>
      </c>
      <c r="D3036" s="592">
        <v>-19500</v>
      </c>
      <c r="E3036" s="212">
        <v>45413</v>
      </c>
      <c r="F3036" s="601" t="s">
        <v>109</v>
      </c>
      <c r="G3036" s="208" t="s">
        <v>120</v>
      </c>
      <c r="H3036" s="208"/>
      <c r="I3036" s="208"/>
      <c r="J3036" s="209"/>
      <c r="K3036" s="209"/>
      <c r="L3036" s="209"/>
      <c r="M3036" s="209"/>
      <c r="N3036" s="209"/>
      <c r="O3036" s="209"/>
      <c r="P3036" s="209"/>
      <c r="Q3036" s="209"/>
      <c r="R3036" s="209"/>
      <c r="S3036" s="209"/>
      <c r="T3036" s="209"/>
    </row>
    <row r="3037" spans="1:20" ht="15" hidden="1" customHeight="1">
      <c r="A3037" s="468">
        <v>45428</v>
      </c>
      <c r="B3037" s="208" t="s">
        <v>2684</v>
      </c>
      <c r="C3037" s="208" t="s">
        <v>146</v>
      </c>
      <c r="D3037" s="592">
        <v>-47000</v>
      </c>
      <c r="E3037" s="212">
        <v>45413</v>
      </c>
      <c r="F3037" s="601" t="s">
        <v>109</v>
      </c>
      <c r="G3037" s="208" t="s">
        <v>120</v>
      </c>
      <c r="H3037" s="208"/>
      <c r="I3037" s="208"/>
      <c r="J3037" s="209"/>
      <c r="K3037" s="209"/>
      <c r="L3037" s="209"/>
      <c r="M3037" s="209"/>
      <c r="N3037" s="209"/>
      <c r="O3037" s="209"/>
      <c r="P3037" s="209"/>
      <c r="Q3037" s="209"/>
      <c r="R3037" s="209"/>
      <c r="S3037" s="209"/>
      <c r="T3037" s="209"/>
    </row>
    <row r="3038" spans="1:20" ht="15" hidden="1" customHeight="1">
      <c r="A3038" s="468">
        <v>45428</v>
      </c>
      <c r="B3038" s="208" t="s">
        <v>2703</v>
      </c>
      <c r="C3038" s="208" t="s">
        <v>146</v>
      </c>
      <c r="D3038" s="592">
        <v>-452000</v>
      </c>
      <c r="E3038" s="212">
        <v>45413</v>
      </c>
      <c r="F3038" s="601" t="s">
        <v>109</v>
      </c>
      <c r="G3038" s="208" t="s">
        <v>120</v>
      </c>
      <c r="H3038" s="208"/>
      <c r="I3038" s="208"/>
      <c r="J3038" s="209"/>
      <c r="K3038" s="209"/>
      <c r="L3038" s="209"/>
      <c r="M3038" s="209"/>
      <c r="N3038" s="209"/>
      <c r="O3038" s="209"/>
      <c r="P3038" s="209"/>
      <c r="Q3038" s="209"/>
      <c r="R3038" s="209"/>
      <c r="S3038" s="209"/>
      <c r="T3038" s="209"/>
    </row>
    <row r="3039" spans="1:20" ht="15" hidden="1" customHeight="1">
      <c r="A3039" s="468">
        <v>45429</v>
      </c>
      <c r="B3039" s="208" t="s">
        <v>2134</v>
      </c>
      <c r="C3039" s="208" t="s">
        <v>146</v>
      </c>
      <c r="D3039" s="592">
        <v>-40000</v>
      </c>
      <c r="E3039" s="212">
        <v>45413</v>
      </c>
      <c r="F3039" s="601" t="s">
        <v>109</v>
      </c>
      <c r="G3039" s="208" t="s">
        <v>120</v>
      </c>
      <c r="H3039" s="208"/>
      <c r="I3039" s="208"/>
      <c r="J3039" s="209"/>
      <c r="K3039" s="209"/>
      <c r="L3039" s="209"/>
      <c r="M3039" s="209"/>
      <c r="N3039" s="209"/>
      <c r="O3039" s="209"/>
      <c r="P3039" s="209"/>
      <c r="Q3039" s="209"/>
      <c r="R3039" s="209"/>
      <c r="S3039" s="209"/>
      <c r="T3039" s="209"/>
    </row>
    <row r="3040" spans="1:20" ht="15" hidden="1" customHeight="1">
      <c r="A3040" s="468">
        <v>45430</v>
      </c>
      <c r="B3040" s="208" t="s">
        <v>2704</v>
      </c>
      <c r="C3040" s="208" t="s">
        <v>146</v>
      </c>
      <c r="D3040" s="592">
        <v>-24000</v>
      </c>
      <c r="E3040" s="212">
        <v>45413</v>
      </c>
      <c r="F3040" s="601" t="s">
        <v>109</v>
      </c>
      <c r="G3040" s="208" t="s">
        <v>120</v>
      </c>
      <c r="H3040" s="208"/>
      <c r="I3040" s="208"/>
      <c r="J3040" s="209"/>
      <c r="K3040" s="209"/>
      <c r="L3040" s="209"/>
      <c r="M3040" s="209"/>
      <c r="N3040" s="209"/>
      <c r="O3040" s="209"/>
      <c r="P3040" s="209"/>
      <c r="Q3040" s="209"/>
      <c r="R3040" s="209"/>
      <c r="S3040" s="209"/>
      <c r="T3040" s="209"/>
    </row>
    <row r="3041" spans="1:20" ht="15" hidden="1" customHeight="1">
      <c r="A3041" s="468">
        <v>45430</v>
      </c>
      <c r="B3041" s="208" t="s">
        <v>2705</v>
      </c>
      <c r="C3041" s="208" t="s">
        <v>146</v>
      </c>
      <c r="D3041" s="592">
        <v>-30000</v>
      </c>
      <c r="E3041" s="212">
        <v>45413</v>
      </c>
      <c r="F3041" s="601" t="s">
        <v>109</v>
      </c>
      <c r="G3041" s="208" t="s">
        <v>120</v>
      </c>
      <c r="H3041" s="208"/>
      <c r="I3041" s="208"/>
      <c r="J3041" s="209"/>
      <c r="K3041" s="209"/>
      <c r="L3041" s="209"/>
      <c r="M3041" s="209"/>
      <c r="N3041" s="209"/>
      <c r="O3041" s="209"/>
      <c r="P3041" s="209"/>
      <c r="Q3041" s="209"/>
      <c r="R3041" s="209"/>
      <c r="S3041" s="209"/>
      <c r="T3041" s="209"/>
    </row>
    <row r="3042" spans="1:20" ht="15" hidden="1" customHeight="1">
      <c r="A3042" s="468">
        <v>45430</v>
      </c>
      <c r="B3042" s="208" t="s">
        <v>2132</v>
      </c>
      <c r="C3042" s="208" t="s">
        <v>146</v>
      </c>
      <c r="D3042" s="592">
        <v>-40000</v>
      </c>
      <c r="E3042" s="212">
        <v>45413</v>
      </c>
      <c r="F3042" s="601" t="s">
        <v>109</v>
      </c>
      <c r="G3042" s="208" t="s">
        <v>120</v>
      </c>
      <c r="H3042" s="208"/>
      <c r="I3042" s="208"/>
      <c r="J3042" s="209"/>
      <c r="K3042" s="209"/>
      <c r="L3042" s="209"/>
      <c r="M3042" s="209"/>
      <c r="N3042" s="209"/>
      <c r="O3042" s="209"/>
      <c r="P3042" s="209"/>
      <c r="Q3042" s="209"/>
      <c r="R3042" s="209"/>
      <c r="S3042" s="209"/>
      <c r="T3042" s="209"/>
    </row>
    <row r="3043" spans="1:20" ht="15" hidden="1" customHeight="1">
      <c r="A3043" s="468">
        <v>45430</v>
      </c>
      <c r="B3043" s="208" t="s">
        <v>2692</v>
      </c>
      <c r="C3043" s="208" t="s">
        <v>146</v>
      </c>
      <c r="D3043" s="592">
        <v>-40000</v>
      </c>
      <c r="E3043" s="212">
        <v>45413</v>
      </c>
      <c r="F3043" s="601" t="s">
        <v>109</v>
      </c>
      <c r="G3043" s="208" t="s">
        <v>120</v>
      </c>
      <c r="H3043" s="208"/>
      <c r="I3043" s="208"/>
      <c r="J3043" s="209"/>
      <c r="K3043" s="209"/>
      <c r="L3043" s="209"/>
      <c r="M3043" s="209"/>
      <c r="N3043" s="209"/>
      <c r="O3043" s="209"/>
      <c r="P3043" s="209"/>
      <c r="Q3043" s="209"/>
      <c r="R3043" s="209"/>
      <c r="S3043" s="209"/>
      <c r="T3043" s="209"/>
    </row>
    <row r="3044" spans="1:20" ht="15" hidden="1" customHeight="1">
      <c r="A3044" s="468">
        <v>45430</v>
      </c>
      <c r="B3044" s="208" t="s">
        <v>2706</v>
      </c>
      <c r="C3044" s="208" t="s">
        <v>146</v>
      </c>
      <c r="D3044" s="592">
        <v>-100000</v>
      </c>
      <c r="E3044" s="212">
        <v>45413</v>
      </c>
      <c r="F3044" s="601" t="s">
        <v>109</v>
      </c>
      <c r="G3044" s="208" t="s">
        <v>120</v>
      </c>
      <c r="H3044" s="208"/>
      <c r="I3044" s="208"/>
      <c r="J3044" s="209"/>
      <c r="K3044" s="209"/>
      <c r="L3044" s="209"/>
      <c r="M3044" s="209"/>
      <c r="N3044" s="209"/>
      <c r="O3044" s="209"/>
      <c r="P3044" s="209"/>
      <c r="Q3044" s="209"/>
      <c r="R3044" s="209"/>
      <c r="S3044" s="209"/>
      <c r="T3044" s="209"/>
    </row>
    <row r="3045" spans="1:20" ht="15" hidden="1" customHeight="1">
      <c r="A3045" s="468">
        <v>45432</v>
      </c>
      <c r="B3045" s="208" t="s">
        <v>2707</v>
      </c>
      <c r="C3045" s="208" t="s">
        <v>146</v>
      </c>
      <c r="D3045" s="592">
        <v>-80000</v>
      </c>
      <c r="E3045" s="212">
        <v>45413</v>
      </c>
      <c r="F3045" s="601" t="s">
        <v>109</v>
      </c>
      <c r="G3045" s="208" t="s">
        <v>120</v>
      </c>
      <c r="H3045" s="208"/>
      <c r="I3045" s="208"/>
      <c r="J3045" s="209"/>
      <c r="K3045" s="209"/>
      <c r="L3045" s="209"/>
      <c r="M3045" s="209"/>
      <c r="N3045" s="209"/>
      <c r="O3045" s="209"/>
      <c r="P3045" s="209"/>
      <c r="Q3045" s="209"/>
      <c r="R3045" s="209"/>
      <c r="S3045" s="209"/>
      <c r="T3045" s="209"/>
    </row>
    <row r="3046" spans="1:20" ht="15" hidden="1" customHeight="1">
      <c r="A3046" s="468">
        <v>45432</v>
      </c>
      <c r="B3046" s="208" t="s">
        <v>2708</v>
      </c>
      <c r="C3046" s="208" t="s">
        <v>146</v>
      </c>
      <c r="D3046" s="592">
        <v>-107500</v>
      </c>
      <c r="E3046" s="212">
        <v>45413</v>
      </c>
      <c r="F3046" s="601" t="s">
        <v>109</v>
      </c>
      <c r="G3046" s="208" t="s">
        <v>120</v>
      </c>
      <c r="H3046" s="208"/>
      <c r="I3046" s="208"/>
      <c r="J3046" s="209"/>
      <c r="K3046" s="209"/>
      <c r="L3046" s="209"/>
      <c r="M3046" s="209"/>
      <c r="N3046" s="209"/>
      <c r="O3046" s="209"/>
      <c r="P3046" s="209"/>
      <c r="Q3046" s="209"/>
      <c r="R3046" s="209"/>
      <c r="S3046" s="209"/>
      <c r="T3046" s="209"/>
    </row>
    <row r="3047" spans="1:20" ht="15" hidden="1" customHeight="1">
      <c r="A3047" s="468">
        <v>45432</v>
      </c>
      <c r="B3047" s="208" t="s">
        <v>2709</v>
      </c>
      <c r="C3047" s="208" t="s">
        <v>146</v>
      </c>
      <c r="D3047" s="592">
        <v>-30000</v>
      </c>
      <c r="E3047" s="212">
        <v>45413</v>
      </c>
      <c r="F3047" s="601" t="s">
        <v>109</v>
      </c>
      <c r="G3047" s="208" t="s">
        <v>120</v>
      </c>
      <c r="H3047" s="208"/>
      <c r="I3047" s="208"/>
      <c r="J3047" s="209"/>
      <c r="K3047" s="209"/>
      <c r="L3047" s="209"/>
      <c r="M3047" s="209"/>
      <c r="N3047" s="209"/>
      <c r="O3047" s="209"/>
      <c r="P3047" s="209"/>
      <c r="Q3047" s="209"/>
      <c r="R3047" s="209"/>
      <c r="S3047" s="209"/>
      <c r="T3047" s="209"/>
    </row>
    <row r="3048" spans="1:20" ht="15" hidden="1" customHeight="1">
      <c r="A3048" s="468">
        <v>45434</v>
      </c>
      <c r="B3048" s="208" t="s">
        <v>2710</v>
      </c>
      <c r="C3048" s="208" t="s">
        <v>146</v>
      </c>
      <c r="D3048" s="592">
        <v>-112000</v>
      </c>
      <c r="E3048" s="212">
        <v>45413</v>
      </c>
      <c r="F3048" s="601" t="s">
        <v>109</v>
      </c>
      <c r="G3048" s="208" t="s">
        <v>120</v>
      </c>
      <c r="H3048" s="208"/>
      <c r="I3048" s="208"/>
      <c r="J3048" s="209"/>
      <c r="K3048" s="209"/>
      <c r="L3048" s="209"/>
      <c r="M3048" s="209"/>
      <c r="N3048" s="209"/>
      <c r="O3048" s="209"/>
      <c r="P3048" s="209"/>
      <c r="Q3048" s="209"/>
      <c r="R3048" s="209"/>
      <c r="S3048" s="209"/>
      <c r="T3048" s="209"/>
    </row>
    <row r="3049" spans="1:20" ht="15" hidden="1" customHeight="1">
      <c r="A3049" s="468">
        <v>45434</v>
      </c>
      <c r="B3049" s="208" t="s">
        <v>2685</v>
      </c>
      <c r="C3049" s="208" t="s">
        <v>146</v>
      </c>
      <c r="D3049" s="592">
        <v>-30000</v>
      </c>
      <c r="E3049" s="212">
        <v>45413</v>
      </c>
      <c r="F3049" s="601" t="s">
        <v>109</v>
      </c>
      <c r="G3049" s="208" t="s">
        <v>120</v>
      </c>
      <c r="H3049" s="208"/>
      <c r="I3049" s="208"/>
      <c r="J3049" s="209"/>
      <c r="K3049" s="209"/>
      <c r="L3049" s="209"/>
      <c r="M3049" s="209"/>
      <c r="N3049" s="209"/>
      <c r="O3049" s="209"/>
      <c r="P3049" s="209"/>
      <c r="Q3049" s="209"/>
      <c r="R3049" s="209"/>
      <c r="S3049" s="209"/>
      <c r="T3049" s="209"/>
    </row>
    <row r="3050" spans="1:20" ht="15" hidden="1" customHeight="1">
      <c r="A3050" s="468">
        <v>45435</v>
      </c>
      <c r="B3050" s="208" t="s">
        <v>2711</v>
      </c>
      <c r="C3050" s="208" t="s">
        <v>146</v>
      </c>
      <c r="D3050" s="592">
        <v>-43000</v>
      </c>
      <c r="E3050" s="212">
        <v>45413</v>
      </c>
      <c r="F3050" s="601" t="s">
        <v>109</v>
      </c>
      <c r="G3050" s="208" t="s">
        <v>120</v>
      </c>
      <c r="H3050" s="208"/>
      <c r="I3050" s="208"/>
      <c r="J3050" s="209"/>
      <c r="K3050" s="209"/>
      <c r="L3050" s="209"/>
      <c r="M3050" s="209"/>
      <c r="N3050" s="209"/>
      <c r="O3050" s="209"/>
      <c r="P3050" s="209"/>
      <c r="Q3050" s="209"/>
      <c r="R3050" s="209"/>
      <c r="S3050" s="209"/>
      <c r="T3050" s="209"/>
    </row>
    <row r="3051" spans="1:20" ht="15" hidden="1" customHeight="1">
      <c r="A3051" s="468">
        <v>45435</v>
      </c>
      <c r="B3051" s="208" t="s">
        <v>2712</v>
      </c>
      <c r="C3051" s="208" t="s">
        <v>146</v>
      </c>
      <c r="D3051" s="592">
        <v>-34000</v>
      </c>
      <c r="E3051" s="212">
        <v>45413</v>
      </c>
      <c r="F3051" s="601" t="s">
        <v>109</v>
      </c>
      <c r="G3051" s="208" t="s">
        <v>120</v>
      </c>
      <c r="H3051" s="208"/>
      <c r="I3051" s="208"/>
      <c r="J3051" s="209"/>
      <c r="K3051" s="209"/>
      <c r="L3051" s="209"/>
      <c r="M3051" s="209"/>
      <c r="N3051" s="209"/>
      <c r="O3051" s="209"/>
      <c r="P3051" s="209"/>
      <c r="Q3051" s="209"/>
      <c r="R3051" s="209"/>
      <c r="S3051" s="209"/>
      <c r="T3051" s="209"/>
    </row>
    <row r="3052" spans="1:20" ht="15" hidden="1" customHeight="1">
      <c r="A3052" s="468">
        <v>45435</v>
      </c>
      <c r="B3052" s="208" t="s">
        <v>2713</v>
      </c>
      <c r="C3052" s="208" t="s">
        <v>146</v>
      </c>
      <c r="D3052" s="592">
        <v>-15500</v>
      </c>
      <c r="E3052" s="212">
        <v>45413</v>
      </c>
      <c r="F3052" s="601" t="s">
        <v>109</v>
      </c>
      <c r="G3052" s="208" t="s">
        <v>120</v>
      </c>
      <c r="H3052" s="208"/>
      <c r="I3052" s="208"/>
      <c r="J3052" s="209"/>
      <c r="K3052" s="209"/>
      <c r="L3052" s="209"/>
      <c r="M3052" s="209"/>
      <c r="N3052" s="209"/>
      <c r="O3052" s="209"/>
      <c r="P3052" s="209"/>
      <c r="Q3052" s="209"/>
      <c r="R3052" s="209"/>
      <c r="S3052" s="209"/>
      <c r="T3052" s="209"/>
    </row>
    <row r="3053" spans="1:20" ht="15" hidden="1" customHeight="1">
      <c r="A3053" s="468">
        <v>45435</v>
      </c>
      <c r="B3053" s="208" t="s">
        <v>2714</v>
      </c>
      <c r="C3053" s="208" t="s">
        <v>146</v>
      </c>
      <c r="D3053" s="592">
        <v>-50000</v>
      </c>
      <c r="E3053" s="212">
        <v>45413</v>
      </c>
      <c r="F3053" s="601" t="s">
        <v>109</v>
      </c>
      <c r="G3053" s="208" t="s">
        <v>120</v>
      </c>
      <c r="H3053" s="208"/>
      <c r="I3053" s="208"/>
      <c r="J3053" s="209"/>
      <c r="K3053" s="209"/>
      <c r="L3053" s="209"/>
      <c r="M3053" s="209"/>
      <c r="N3053" s="209"/>
      <c r="O3053" s="209"/>
      <c r="P3053" s="209"/>
      <c r="Q3053" s="209"/>
      <c r="R3053" s="209"/>
      <c r="S3053" s="209"/>
      <c r="T3053" s="209"/>
    </row>
    <row r="3054" spans="1:20" ht="15" hidden="1" customHeight="1">
      <c r="A3054" s="468">
        <v>45436</v>
      </c>
      <c r="B3054" s="208" t="s">
        <v>2132</v>
      </c>
      <c r="C3054" s="208" t="s">
        <v>146</v>
      </c>
      <c r="D3054" s="592">
        <v>-40000</v>
      </c>
      <c r="E3054" s="212">
        <v>45413</v>
      </c>
      <c r="F3054" s="601" t="s">
        <v>109</v>
      </c>
      <c r="G3054" s="208" t="s">
        <v>120</v>
      </c>
      <c r="H3054" s="208"/>
      <c r="I3054" s="208"/>
      <c r="J3054" s="209"/>
      <c r="K3054" s="209"/>
      <c r="L3054" s="209"/>
      <c r="M3054" s="209"/>
      <c r="N3054" s="209"/>
      <c r="O3054" s="209"/>
      <c r="P3054" s="209"/>
      <c r="Q3054" s="209"/>
      <c r="R3054" s="209"/>
      <c r="S3054" s="209"/>
      <c r="T3054" s="209"/>
    </row>
    <row r="3055" spans="1:20" ht="15" hidden="1" customHeight="1">
      <c r="A3055" s="468">
        <v>45436</v>
      </c>
      <c r="B3055" s="208" t="s">
        <v>2692</v>
      </c>
      <c r="C3055" s="208" t="s">
        <v>146</v>
      </c>
      <c r="D3055" s="592">
        <v>-40000</v>
      </c>
      <c r="E3055" s="212">
        <v>45413</v>
      </c>
      <c r="F3055" s="601" t="s">
        <v>109</v>
      </c>
      <c r="G3055" s="208" t="s">
        <v>120</v>
      </c>
      <c r="H3055" s="208"/>
      <c r="I3055" s="208"/>
      <c r="J3055" s="209"/>
      <c r="K3055" s="209"/>
      <c r="L3055" s="209"/>
      <c r="M3055" s="209"/>
      <c r="N3055" s="209"/>
      <c r="O3055" s="209"/>
      <c r="P3055" s="209"/>
      <c r="Q3055" s="209"/>
      <c r="R3055" s="209"/>
      <c r="S3055" s="209"/>
      <c r="T3055" s="209"/>
    </row>
    <row r="3056" spans="1:20" ht="15" hidden="1" customHeight="1">
      <c r="A3056" s="468">
        <v>45436</v>
      </c>
      <c r="B3056" s="208" t="s">
        <v>2133</v>
      </c>
      <c r="C3056" s="208" t="s">
        <v>146</v>
      </c>
      <c r="D3056" s="592">
        <v>-40000</v>
      </c>
      <c r="E3056" s="212">
        <v>45413</v>
      </c>
      <c r="F3056" s="601" t="s">
        <v>109</v>
      </c>
      <c r="G3056" s="208" t="s">
        <v>120</v>
      </c>
      <c r="H3056" s="208"/>
      <c r="I3056" s="208"/>
      <c r="J3056" s="209"/>
      <c r="K3056" s="209"/>
      <c r="L3056" s="209"/>
      <c r="M3056" s="209"/>
      <c r="N3056" s="209"/>
      <c r="O3056" s="209"/>
      <c r="P3056" s="209"/>
      <c r="Q3056" s="209"/>
      <c r="R3056" s="209"/>
      <c r="S3056" s="209"/>
      <c r="T3056" s="209"/>
    </row>
    <row r="3057" spans="1:20" ht="15" hidden="1" customHeight="1">
      <c r="A3057" s="468">
        <v>45437</v>
      </c>
      <c r="B3057" s="208" t="s">
        <v>2715</v>
      </c>
      <c r="C3057" s="208" t="s">
        <v>146</v>
      </c>
      <c r="D3057" s="592">
        <v>-50000</v>
      </c>
      <c r="E3057" s="212">
        <v>45413</v>
      </c>
      <c r="F3057" s="601" t="s">
        <v>109</v>
      </c>
      <c r="G3057" s="208" t="s">
        <v>120</v>
      </c>
      <c r="H3057" s="208"/>
      <c r="I3057" s="208"/>
      <c r="J3057" s="209"/>
      <c r="K3057" s="209"/>
      <c r="L3057" s="209"/>
      <c r="M3057" s="209"/>
      <c r="N3057" s="209"/>
      <c r="O3057" s="209"/>
      <c r="P3057" s="209"/>
      <c r="Q3057" s="209"/>
      <c r="R3057" s="209"/>
      <c r="S3057" s="209"/>
      <c r="T3057" s="209"/>
    </row>
    <row r="3058" spans="1:20" ht="15" hidden="1" customHeight="1">
      <c r="A3058" s="468">
        <v>45437</v>
      </c>
      <c r="B3058" s="208" t="s">
        <v>2716</v>
      </c>
      <c r="C3058" s="208" t="s">
        <v>146</v>
      </c>
      <c r="D3058" s="592">
        <v>-12750</v>
      </c>
      <c r="E3058" s="212">
        <v>45413</v>
      </c>
      <c r="F3058" s="601" t="s">
        <v>109</v>
      </c>
      <c r="G3058" s="208" t="s">
        <v>120</v>
      </c>
      <c r="H3058" s="208"/>
      <c r="I3058" s="208"/>
      <c r="J3058" s="209"/>
      <c r="K3058" s="209"/>
      <c r="L3058" s="209"/>
      <c r="M3058" s="209"/>
      <c r="N3058" s="209"/>
      <c r="O3058" s="209"/>
      <c r="P3058" s="209"/>
      <c r="Q3058" s="209"/>
      <c r="R3058" s="209"/>
      <c r="S3058" s="209"/>
      <c r="T3058" s="209"/>
    </row>
    <row r="3059" spans="1:20" ht="15" hidden="1" customHeight="1">
      <c r="A3059" s="468">
        <v>45437</v>
      </c>
      <c r="B3059" s="208" t="s">
        <v>2699</v>
      </c>
      <c r="C3059" s="208" t="s">
        <v>146</v>
      </c>
      <c r="D3059" s="592">
        <v>-12900</v>
      </c>
      <c r="E3059" s="212">
        <v>45413</v>
      </c>
      <c r="F3059" s="601" t="s">
        <v>109</v>
      </c>
      <c r="G3059" s="208" t="s">
        <v>120</v>
      </c>
      <c r="H3059" s="208"/>
      <c r="I3059" s="208"/>
      <c r="J3059" s="209"/>
      <c r="K3059" s="209"/>
      <c r="L3059" s="209"/>
      <c r="M3059" s="209"/>
      <c r="N3059" s="209"/>
      <c r="O3059" s="209"/>
      <c r="P3059" s="209"/>
      <c r="Q3059" s="209"/>
      <c r="R3059" s="209"/>
      <c r="S3059" s="209"/>
      <c r="T3059" s="209"/>
    </row>
    <row r="3060" spans="1:20" ht="15" hidden="1" customHeight="1">
      <c r="A3060" s="468">
        <v>45437</v>
      </c>
      <c r="B3060" s="208" t="s">
        <v>2717</v>
      </c>
      <c r="C3060" s="208" t="s">
        <v>146</v>
      </c>
      <c r="D3060" s="592">
        <v>-100000</v>
      </c>
      <c r="E3060" s="212">
        <v>45413</v>
      </c>
      <c r="F3060" s="601" t="s">
        <v>109</v>
      </c>
      <c r="G3060" s="208" t="s">
        <v>120</v>
      </c>
      <c r="H3060" s="208"/>
      <c r="I3060" s="208"/>
      <c r="J3060" s="209"/>
      <c r="K3060" s="209"/>
      <c r="L3060" s="209"/>
      <c r="M3060" s="209"/>
      <c r="N3060" s="209"/>
      <c r="O3060" s="209"/>
      <c r="P3060" s="209"/>
      <c r="Q3060" s="209"/>
      <c r="R3060" s="209"/>
      <c r="S3060" s="209"/>
      <c r="T3060" s="209"/>
    </row>
    <row r="3061" spans="1:20" ht="15" hidden="1" customHeight="1">
      <c r="A3061" s="468">
        <v>45437</v>
      </c>
      <c r="B3061" s="208" t="s">
        <v>2718</v>
      </c>
      <c r="C3061" s="208" t="s">
        <v>146</v>
      </c>
      <c r="D3061" s="592">
        <v>-30000</v>
      </c>
      <c r="E3061" s="212">
        <v>45413</v>
      </c>
      <c r="F3061" s="601" t="s">
        <v>109</v>
      </c>
      <c r="G3061" s="208" t="s">
        <v>120</v>
      </c>
      <c r="H3061" s="208"/>
      <c r="I3061" s="208"/>
      <c r="J3061" s="209"/>
      <c r="K3061" s="209"/>
      <c r="L3061" s="209"/>
      <c r="M3061" s="209"/>
      <c r="N3061" s="209"/>
      <c r="O3061" s="209"/>
      <c r="P3061" s="209"/>
      <c r="Q3061" s="209"/>
      <c r="R3061" s="209"/>
      <c r="S3061" s="209"/>
      <c r="T3061" s="209"/>
    </row>
    <row r="3062" spans="1:20" ht="15" hidden="1" customHeight="1">
      <c r="A3062" s="468">
        <v>45439</v>
      </c>
      <c r="B3062" s="208" t="s">
        <v>2719</v>
      </c>
      <c r="C3062" s="208" t="s">
        <v>146</v>
      </c>
      <c r="D3062" s="592">
        <v>-14000</v>
      </c>
      <c r="E3062" s="212">
        <v>45413</v>
      </c>
      <c r="F3062" s="601" t="s">
        <v>109</v>
      </c>
      <c r="G3062" s="208" t="s">
        <v>120</v>
      </c>
      <c r="H3062" s="208"/>
      <c r="I3062" s="208"/>
      <c r="J3062" s="209"/>
      <c r="K3062" s="209"/>
      <c r="L3062" s="209"/>
      <c r="M3062" s="209"/>
      <c r="N3062" s="209"/>
      <c r="O3062" s="209"/>
      <c r="P3062" s="209"/>
      <c r="Q3062" s="209"/>
      <c r="R3062" s="209"/>
      <c r="S3062" s="209"/>
      <c r="T3062" s="209"/>
    </row>
    <row r="3063" spans="1:20" ht="15" hidden="1" customHeight="1">
      <c r="A3063" s="468">
        <v>45440</v>
      </c>
      <c r="B3063" s="208" t="s">
        <v>2700</v>
      </c>
      <c r="C3063" s="208" t="s">
        <v>146</v>
      </c>
      <c r="D3063" s="592">
        <v>-70000</v>
      </c>
      <c r="E3063" s="212">
        <v>45413</v>
      </c>
      <c r="F3063" s="601" t="s">
        <v>109</v>
      </c>
      <c r="G3063" s="208" t="s">
        <v>120</v>
      </c>
      <c r="H3063" s="208"/>
      <c r="I3063" s="208"/>
      <c r="J3063" s="209"/>
      <c r="K3063" s="209"/>
      <c r="L3063" s="209"/>
      <c r="M3063" s="209"/>
      <c r="N3063" s="209"/>
      <c r="O3063" s="209"/>
      <c r="P3063" s="209"/>
      <c r="Q3063" s="209"/>
      <c r="R3063" s="209"/>
      <c r="S3063" s="209"/>
      <c r="T3063" s="209"/>
    </row>
    <row r="3064" spans="1:20" ht="15" hidden="1" customHeight="1">
      <c r="A3064" s="468">
        <v>45440</v>
      </c>
      <c r="B3064" s="208" t="s">
        <v>2720</v>
      </c>
      <c r="C3064" s="208" t="s">
        <v>146</v>
      </c>
      <c r="D3064" s="592">
        <v>-20000</v>
      </c>
      <c r="E3064" s="212">
        <v>45413</v>
      </c>
      <c r="F3064" s="601" t="s">
        <v>109</v>
      </c>
      <c r="G3064" s="208" t="s">
        <v>120</v>
      </c>
      <c r="H3064" s="208"/>
      <c r="I3064" s="208"/>
      <c r="J3064" s="209"/>
      <c r="K3064" s="209"/>
      <c r="L3064" s="209"/>
      <c r="M3064" s="209"/>
      <c r="N3064" s="209"/>
      <c r="O3064" s="209"/>
      <c r="P3064" s="209"/>
      <c r="Q3064" s="209"/>
      <c r="R3064" s="209"/>
      <c r="S3064" s="209"/>
      <c r="T3064" s="209"/>
    </row>
    <row r="3065" spans="1:20" ht="15" hidden="1" customHeight="1">
      <c r="A3065" s="468">
        <v>45440</v>
      </c>
      <c r="B3065" s="208" t="s">
        <v>2721</v>
      </c>
      <c r="C3065" s="208" t="s">
        <v>146</v>
      </c>
      <c r="D3065" s="592">
        <v>-152000</v>
      </c>
      <c r="E3065" s="212">
        <v>45413</v>
      </c>
      <c r="F3065" s="601" t="s">
        <v>109</v>
      </c>
      <c r="G3065" s="208" t="s">
        <v>120</v>
      </c>
      <c r="H3065" s="208"/>
      <c r="I3065" s="208"/>
      <c r="J3065" s="209"/>
      <c r="K3065" s="209"/>
      <c r="L3065" s="209"/>
      <c r="M3065" s="209"/>
      <c r="N3065" s="209"/>
      <c r="O3065" s="209"/>
      <c r="P3065" s="209"/>
      <c r="Q3065" s="209"/>
      <c r="R3065" s="209"/>
      <c r="S3065" s="209"/>
      <c r="T3065" s="209"/>
    </row>
    <row r="3066" spans="1:20" ht="15" hidden="1" customHeight="1">
      <c r="A3066" s="468">
        <v>45436</v>
      </c>
      <c r="B3066" s="208" t="s">
        <v>2722</v>
      </c>
      <c r="C3066" s="208" t="s">
        <v>146</v>
      </c>
      <c r="D3066" s="800">
        <v>-50000</v>
      </c>
      <c r="E3066" s="212">
        <v>45413</v>
      </c>
      <c r="F3066" s="601" t="s">
        <v>109</v>
      </c>
      <c r="G3066" s="201" t="s">
        <v>581</v>
      </c>
      <c r="H3066" s="208"/>
      <c r="I3066" s="208"/>
      <c r="J3066" s="209"/>
      <c r="K3066" s="209"/>
      <c r="L3066" s="209"/>
      <c r="M3066" s="209"/>
      <c r="N3066" s="209"/>
      <c r="O3066" s="209"/>
      <c r="P3066" s="209"/>
      <c r="Q3066" s="209"/>
      <c r="R3066" s="209"/>
      <c r="S3066" s="209"/>
      <c r="T3066" s="209"/>
    </row>
    <row r="3067" spans="1:20" ht="15" hidden="1" customHeight="1">
      <c r="A3067" s="468">
        <v>45443</v>
      </c>
      <c r="B3067" s="208" t="s">
        <v>2723</v>
      </c>
      <c r="C3067" s="208" t="s">
        <v>27</v>
      </c>
      <c r="D3067" s="592">
        <v>-490000</v>
      </c>
      <c r="E3067" s="212">
        <v>45413</v>
      </c>
      <c r="F3067" s="208" t="s">
        <v>130</v>
      </c>
      <c r="G3067" s="208" t="s">
        <v>257</v>
      </c>
      <c r="H3067" s="208" t="s">
        <v>2724</v>
      </c>
      <c r="I3067" s="208"/>
      <c r="J3067" s="209"/>
      <c r="K3067" s="209"/>
      <c r="L3067" s="209"/>
      <c r="M3067" s="209"/>
      <c r="N3067" s="209"/>
      <c r="O3067" s="209"/>
      <c r="P3067" s="209"/>
      <c r="Q3067" s="209"/>
      <c r="R3067" s="209"/>
      <c r="S3067" s="209"/>
      <c r="T3067" s="209"/>
    </row>
    <row r="3068" spans="1:20" ht="15" hidden="1" customHeight="1">
      <c r="A3068" s="468">
        <v>45443</v>
      </c>
      <c r="B3068" s="208" t="s">
        <v>2725</v>
      </c>
      <c r="C3068" s="208" t="s">
        <v>27</v>
      </c>
      <c r="D3068" s="592">
        <v>-529000</v>
      </c>
      <c r="E3068" s="212">
        <v>45413</v>
      </c>
      <c r="F3068" s="601" t="s">
        <v>109</v>
      </c>
      <c r="G3068" s="208" t="s">
        <v>125</v>
      </c>
      <c r="H3068" s="208" t="s">
        <v>175</v>
      </c>
      <c r="I3068" s="208"/>
      <c r="J3068" s="209"/>
      <c r="K3068" s="209"/>
      <c r="L3068" s="209"/>
      <c r="M3068" s="209"/>
      <c r="N3068" s="209"/>
      <c r="O3068" s="209"/>
      <c r="P3068" s="209"/>
      <c r="Q3068" s="209"/>
      <c r="R3068" s="209"/>
      <c r="S3068" s="209"/>
      <c r="T3068" s="209"/>
    </row>
    <row r="3069" spans="1:20" ht="15" hidden="1" customHeight="1">
      <c r="A3069" s="468">
        <v>45443</v>
      </c>
      <c r="B3069" s="208" t="s">
        <v>1971</v>
      </c>
      <c r="C3069" s="208" t="s">
        <v>27</v>
      </c>
      <c r="D3069" s="592">
        <v>-1753875</v>
      </c>
      <c r="E3069" s="212">
        <v>45413</v>
      </c>
      <c r="F3069" s="601" t="s">
        <v>109</v>
      </c>
      <c r="G3069" s="208" t="s">
        <v>125</v>
      </c>
      <c r="H3069" s="208" t="s">
        <v>310</v>
      </c>
      <c r="I3069" s="208"/>
      <c r="J3069" s="209"/>
      <c r="K3069" s="209"/>
      <c r="L3069" s="209"/>
      <c r="M3069" s="209"/>
      <c r="N3069" s="209"/>
      <c r="O3069" s="209"/>
      <c r="P3069" s="209"/>
      <c r="Q3069" s="209"/>
      <c r="R3069" s="209"/>
      <c r="S3069" s="209"/>
      <c r="T3069" s="209"/>
    </row>
    <row r="3070" spans="1:20" ht="15" hidden="1" customHeight="1">
      <c r="A3070" s="468">
        <v>45442</v>
      </c>
      <c r="B3070" s="208" t="s">
        <v>2726</v>
      </c>
      <c r="C3070" s="208" t="s">
        <v>27</v>
      </c>
      <c r="D3070" s="592">
        <v>-2772834</v>
      </c>
      <c r="E3070" s="212">
        <v>45413</v>
      </c>
      <c r="F3070" s="208" t="s">
        <v>130</v>
      </c>
      <c r="G3070" s="208" t="s">
        <v>130</v>
      </c>
      <c r="H3070" s="208" t="s">
        <v>1156</v>
      </c>
      <c r="I3070" s="208"/>
      <c r="J3070" s="209"/>
      <c r="K3070" s="209"/>
      <c r="L3070" s="209"/>
      <c r="M3070" s="209"/>
      <c r="N3070" s="209"/>
      <c r="O3070" s="209"/>
      <c r="P3070" s="209"/>
      <c r="Q3070" s="209"/>
      <c r="R3070" s="209"/>
      <c r="S3070" s="209"/>
      <c r="T3070" s="209"/>
    </row>
    <row r="3071" spans="1:20" s="463" customFormat="1" ht="15" hidden="1" customHeight="1">
      <c r="A3071" s="468">
        <v>45442</v>
      </c>
      <c r="B3071" s="208" t="s">
        <v>2727</v>
      </c>
      <c r="C3071" s="208" t="s">
        <v>27</v>
      </c>
      <c r="D3071" s="592">
        <v>-2815200</v>
      </c>
      <c r="E3071" s="212">
        <v>45413</v>
      </c>
      <c r="F3071" s="208" t="s">
        <v>109</v>
      </c>
      <c r="G3071" s="208" t="s">
        <v>120</v>
      </c>
      <c r="H3071" s="208"/>
      <c r="I3071" s="208"/>
      <c r="J3071" s="209"/>
      <c r="K3071" s="209"/>
      <c r="L3071" s="209"/>
      <c r="M3071" s="209"/>
      <c r="N3071" s="209"/>
      <c r="O3071" s="209"/>
      <c r="P3071" s="209"/>
      <c r="Q3071" s="209"/>
      <c r="R3071" s="209"/>
      <c r="S3071" s="209"/>
      <c r="T3071" s="209"/>
    </row>
    <row r="3072" spans="1:20" s="463" customFormat="1" ht="15" hidden="1" customHeight="1">
      <c r="A3072" s="468">
        <v>45442</v>
      </c>
      <c r="B3072" s="208" t="s">
        <v>2728</v>
      </c>
      <c r="C3072" s="208" t="s">
        <v>27</v>
      </c>
      <c r="D3072" s="592">
        <v>-5842200</v>
      </c>
      <c r="E3072" s="212">
        <v>45413</v>
      </c>
      <c r="F3072" s="208" t="s">
        <v>109</v>
      </c>
      <c r="G3072" s="208" t="s">
        <v>120</v>
      </c>
      <c r="H3072" s="208"/>
      <c r="I3072" s="208"/>
      <c r="J3072" s="209"/>
      <c r="K3072" s="209"/>
      <c r="L3072" s="209"/>
      <c r="M3072" s="209"/>
      <c r="N3072" s="209"/>
      <c r="O3072" s="209"/>
      <c r="P3072" s="209"/>
      <c r="Q3072" s="209"/>
      <c r="R3072" s="209"/>
      <c r="S3072" s="209"/>
      <c r="T3072" s="209"/>
    </row>
    <row r="3073" spans="1:20" s="463" customFormat="1" ht="15" hidden="1" customHeight="1">
      <c r="A3073" s="468">
        <v>45442</v>
      </c>
      <c r="B3073" s="208" t="s">
        <v>2729</v>
      </c>
      <c r="C3073" s="208" t="s">
        <v>27</v>
      </c>
      <c r="D3073" s="592">
        <v>-1495328.7234042552</v>
      </c>
      <c r="E3073" s="212">
        <v>45413</v>
      </c>
      <c r="F3073" s="208" t="s">
        <v>109</v>
      </c>
      <c r="G3073" s="208" t="s">
        <v>120</v>
      </c>
      <c r="H3073" s="208"/>
      <c r="I3073" s="208"/>
      <c r="J3073" s="209"/>
      <c r="K3073" s="209"/>
      <c r="L3073" s="209"/>
      <c r="M3073" s="209"/>
      <c r="N3073" s="209"/>
      <c r="O3073" s="209"/>
      <c r="P3073" s="209"/>
      <c r="Q3073" s="209"/>
      <c r="R3073" s="209"/>
      <c r="S3073" s="209"/>
      <c r="T3073" s="209"/>
    </row>
    <row r="3074" spans="1:20" s="463" customFormat="1" ht="15" hidden="1" customHeight="1">
      <c r="A3074" s="468">
        <v>45442</v>
      </c>
      <c r="B3074" s="208" t="s">
        <v>2730</v>
      </c>
      <c r="C3074" s="208" t="s">
        <v>27</v>
      </c>
      <c r="D3074" s="592">
        <v>-2554000</v>
      </c>
      <c r="E3074" s="212">
        <v>45413</v>
      </c>
      <c r="F3074" s="641" t="s">
        <v>130</v>
      </c>
      <c r="G3074" s="643" t="s">
        <v>130</v>
      </c>
      <c r="H3074" s="208" t="s">
        <v>1175</v>
      </c>
      <c r="I3074" s="208"/>
      <c r="J3074" s="209"/>
      <c r="K3074" s="209"/>
      <c r="L3074" s="209"/>
      <c r="M3074" s="209"/>
      <c r="N3074" s="209"/>
      <c r="O3074" s="209"/>
      <c r="P3074" s="209"/>
      <c r="Q3074" s="209"/>
      <c r="R3074" s="209"/>
      <c r="S3074" s="209"/>
      <c r="T3074" s="209"/>
    </row>
    <row r="3075" spans="1:20" s="463" customFormat="1" ht="15" hidden="1" customHeight="1">
      <c r="A3075" s="468">
        <v>45442</v>
      </c>
      <c r="B3075" s="208" t="s">
        <v>2731</v>
      </c>
      <c r="C3075" s="208" t="s">
        <v>27</v>
      </c>
      <c r="D3075" s="592">
        <v>-605392</v>
      </c>
      <c r="E3075" s="212">
        <v>45413</v>
      </c>
      <c r="F3075" s="208" t="s">
        <v>109</v>
      </c>
      <c r="G3075" s="201" t="s">
        <v>1261</v>
      </c>
      <c r="H3075" s="208" t="s">
        <v>147</v>
      </c>
      <c r="I3075" s="208"/>
      <c r="J3075" s="209"/>
      <c r="K3075" s="209"/>
      <c r="L3075" s="209"/>
      <c r="M3075" s="209"/>
      <c r="N3075" s="209"/>
      <c r="O3075" s="209"/>
      <c r="P3075" s="209"/>
      <c r="Q3075" s="209"/>
      <c r="R3075" s="209"/>
      <c r="S3075" s="209"/>
      <c r="T3075" s="209"/>
    </row>
    <row r="3076" spans="1:20" s="463" customFormat="1" ht="15" hidden="1" customHeight="1">
      <c r="A3076" s="468">
        <v>45442</v>
      </c>
      <c r="B3076" s="208" t="s">
        <v>2731</v>
      </c>
      <c r="C3076" s="208" t="s">
        <v>27</v>
      </c>
      <c r="D3076" s="592">
        <v>-151348</v>
      </c>
      <c r="E3076" s="212">
        <v>45413</v>
      </c>
      <c r="F3076" s="201" t="s">
        <v>110</v>
      </c>
      <c r="G3076" s="81" t="s">
        <v>1621</v>
      </c>
      <c r="H3076" s="208" t="s">
        <v>147</v>
      </c>
      <c r="I3076" s="208"/>
      <c r="J3076" s="209"/>
      <c r="K3076" s="209"/>
      <c r="L3076" s="209"/>
      <c r="M3076" s="209"/>
      <c r="N3076" s="209"/>
      <c r="O3076" s="209"/>
      <c r="P3076" s="209"/>
      <c r="Q3076" s="209"/>
      <c r="R3076" s="209"/>
      <c r="S3076" s="209"/>
      <c r="T3076" s="209"/>
    </row>
    <row r="3077" spans="1:20" s="463" customFormat="1" ht="15" hidden="1" customHeight="1">
      <c r="A3077" s="468">
        <v>45442</v>
      </c>
      <c r="B3077" s="208" t="s">
        <v>2732</v>
      </c>
      <c r="C3077" s="208" t="s">
        <v>27</v>
      </c>
      <c r="D3077" s="592">
        <v>-1077717.2340425532</v>
      </c>
      <c r="E3077" s="212">
        <v>45413</v>
      </c>
      <c r="F3077" s="208" t="s">
        <v>109</v>
      </c>
      <c r="G3077" s="208" t="s">
        <v>125</v>
      </c>
      <c r="H3077" s="208" t="s">
        <v>147</v>
      </c>
      <c r="I3077" s="208"/>
      <c r="J3077" s="209"/>
      <c r="K3077" s="209"/>
      <c r="L3077" s="209"/>
      <c r="M3077" s="209"/>
      <c r="N3077" s="209"/>
      <c r="O3077" s="209"/>
      <c r="P3077" s="209"/>
      <c r="Q3077" s="209"/>
      <c r="R3077" s="209"/>
      <c r="S3077" s="209"/>
      <c r="T3077" s="209"/>
    </row>
    <row r="3078" spans="1:20" s="463" customFormat="1" ht="15" hidden="1" customHeight="1">
      <c r="A3078" s="468">
        <v>45442</v>
      </c>
      <c r="B3078" s="208" t="s">
        <v>2733</v>
      </c>
      <c r="C3078" s="208" t="s">
        <v>27</v>
      </c>
      <c r="D3078" s="592">
        <v>-7665962.25</v>
      </c>
      <c r="E3078" s="212">
        <v>45413</v>
      </c>
      <c r="F3078" s="641" t="s">
        <v>130</v>
      </c>
      <c r="G3078" s="643" t="s">
        <v>130</v>
      </c>
      <c r="H3078" s="208" t="s">
        <v>1175</v>
      </c>
      <c r="I3078" s="208"/>
      <c r="J3078" s="209"/>
      <c r="K3078" s="209"/>
      <c r="L3078" s="209"/>
      <c r="M3078" s="209"/>
      <c r="N3078" s="209"/>
      <c r="O3078" s="209"/>
      <c r="P3078" s="209"/>
      <c r="Q3078" s="209"/>
      <c r="R3078" s="209"/>
      <c r="S3078" s="209"/>
      <c r="T3078" s="209"/>
    </row>
    <row r="3079" spans="1:20" s="463" customFormat="1" ht="15" hidden="1" customHeight="1">
      <c r="A3079" s="468">
        <v>45442</v>
      </c>
      <c r="B3079" s="208" t="s">
        <v>2734</v>
      </c>
      <c r="C3079" s="208" t="s">
        <v>27</v>
      </c>
      <c r="D3079" s="592">
        <v>-7665962.25</v>
      </c>
      <c r="E3079" s="212">
        <v>45413</v>
      </c>
      <c r="F3079" s="641" t="s">
        <v>130</v>
      </c>
      <c r="G3079" s="643" t="s">
        <v>130</v>
      </c>
      <c r="H3079" s="208" t="s">
        <v>1175</v>
      </c>
      <c r="I3079" s="208"/>
      <c r="J3079" s="209"/>
      <c r="K3079" s="209"/>
      <c r="L3079" s="209"/>
      <c r="M3079" s="209"/>
      <c r="N3079" s="209"/>
      <c r="O3079" s="209"/>
      <c r="P3079" s="209"/>
      <c r="Q3079" s="209"/>
      <c r="R3079" s="209"/>
      <c r="S3079" s="209"/>
      <c r="T3079" s="209"/>
    </row>
    <row r="3080" spans="1:20" s="463" customFormat="1" ht="15" hidden="1" customHeight="1">
      <c r="A3080" s="468">
        <v>45442</v>
      </c>
      <c r="B3080" s="208" t="s">
        <v>2735</v>
      </c>
      <c r="C3080" s="208" t="s">
        <v>27</v>
      </c>
      <c r="D3080" s="592">
        <v>-7665962.25</v>
      </c>
      <c r="E3080" s="212">
        <v>45413</v>
      </c>
      <c r="F3080" s="641" t="s">
        <v>130</v>
      </c>
      <c r="G3080" s="643" t="s">
        <v>130</v>
      </c>
      <c r="H3080" s="208" t="s">
        <v>1175</v>
      </c>
      <c r="I3080" s="208"/>
      <c r="J3080" s="209"/>
      <c r="K3080" s="209"/>
      <c r="L3080" s="209"/>
      <c r="M3080" s="209"/>
      <c r="N3080" s="209"/>
      <c r="O3080" s="209"/>
      <c r="P3080" s="209"/>
      <c r="Q3080" s="209"/>
      <c r="R3080" s="209"/>
      <c r="S3080" s="209"/>
      <c r="T3080" s="209"/>
    </row>
    <row r="3081" spans="1:20" s="463" customFormat="1" ht="15" hidden="1" customHeight="1">
      <c r="A3081" s="468">
        <v>45442</v>
      </c>
      <c r="B3081" s="208" t="s">
        <v>2736</v>
      </c>
      <c r="C3081" s="208" t="s">
        <v>27</v>
      </c>
      <c r="D3081" s="592">
        <v>-618240</v>
      </c>
      <c r="E3081" s="212">
        <v>45413</v>
      </c>
      <c r="F3081" s="641" t="s">
        <v>130</v>
      </c>
      <c r="G3081" s="643" t="s">
        <v>130</v>
      </c>
      <c r="H3081" s="208" t="s">
        <v>1175</v>
      </c>
      <c r="I3081" s="208"/>
      <c r="J3081" s="209"/>
      <c r="K3081" s="209"/>
      <c r="L3081" s="209"/>
      <c r="M3081" s="209"/>
      <c r="N3081" s="209"/>
      <c r="O3081" s="209"/>
      <c r="P3081" s="209"/>
      <c r="Q3081" s="209"/>
      <c r="R3081" s="209"/>
      <c r="S3081" s="209"/>
      <c r="T3081" s="209"/>
    </row>
    <row r="3082" spans="1:20" s="463" customFormat="1" ht="15" hidden="1" customHeight="1">
      <c r="A3082" s="468">
        <v>45442</v>
      </c>
      <c r="B3082" s="208" t="s">
        <v>2737</v>
      </c>
      <c r="C3082" s="208" t="s">
        <v>27</v>
      </c>
      <c r="D3082" s="592">
        <v>-679000</v>
      </c>
      <c r="E3082" s="212">
        <v>45413</v>
      </c>
      <c r="F3082" s="641" t="s">
        <v>130</v>
      </c>
      <c r="G3082" s="643" t="s">
        <v>130</v>
      </c>
      <c r="H3082" s="208" t="s">
        <v>1175</v>
      </c>
      <c r="I3082" s="208"/>
      <c r="J3082" s="209"/>
      <c r="K3082" s="209"/>
      <c r="L3082" s="209"/>
      <c r="M3082" s="209"/>
      <c r="N3082" s="209"/>
      <c r="O3082" s="209"/>
      <c r="P3082" s="209"/>
      <c r="Q3082" s="209"/>
      <c r="R3082" s="209"/>
      <c r="S3082" s="209"/>
      <c r="T3082" s="209"/>
    </row>
    <row r="3083" spans="1:20" s="463" customFormat="1" ht="15" hidden="1" customHeight="1">
      <c r="A3083" s="468">
        <v>45442</v>
      </c>
      <c r="B3083" s="208" t="s">
        <v>2738</v>
      </c>
      <c r="C3083" s="208" t="s">
        <v>27</v>
      </c>
      <c r="D3083" s="592">
        <v>-816600</v>
      </c>
      <c r="E3083" s="212">
        <v>45413</v>
      </c>
      <c r="F3083" s="641" t="s">
        <v>130</v>
      </c>
      <c r="G3083" s="643" t="s">
        <v>130</v>
      </c>
      <c r="H3083" s="208" t="s">
        <v>1175</v>
      </c>
      <c r="I3083" s="208"/>
      <c r="J3083" s="209"/>
      <c r="K3083" s="209"/>
      <c r="L3083" s="209"/>
      <c r="M3083" s="209"/>
      <c r="N3083" s="209"/>
      <c r="O3083" s="209"/>
      <c r="P3083" s="209"/>
      <c r="Q3083" s="209"/>
      <c r="R3083" s="209"/>
      <c r="S3083" s="209"/>
      <c r="T3083" s="209"/>
    </row>
    <row r="3084" spans="1:20" s="463" customFormat="1" ht="15" hidden="1" customHeight="1">
      <c r="A3084" s="468">
        <v>45442</v>
      </c>
      <c r="B3084" s="208" t="s">
        <v>2739</v>
      </c>
      <c r="C3084" s="208" t="s">
        <v>27</v>
      </c>
      <c r="D3084" s="592">
        <v>-697339.99999999988</v>
      </c>
      <c r="E3084" s="212">
        <v>45413</v>
      </c>
      <c r="F3084" s="641" t="s">
        <v>130</v>
      </c>
      <c r="G3084" s="643" t="s">
        <v>130</v>
      </c>
      <c r="H3084" s="208" t="s">
        <v>1175</v>
      </c>
      <c r="I3084" s="208"/>
      <c r="J3084" s="209"/>
      <c r="K3084" s="209"/>
      <c r="L3084" s="209"/>
      <c r="M3084" s="209"/>
      <c r="N3084" s="209"/>
      <c r="O3084" s="209"/>
      <c r="P3084" s="209"/>
      <c r="Q3084" s="209"/>
      <c r="R3084" s="209"/>
      <c r="S3084" s="209"/>
      <c r="T3084" s="209"/>
    </row>
    <row r="3085" spans="1:20" s="463" customFormat="1" ht="15" hidden="1" customHeight="1">
      <c r="A3085" s="468">
        <v>45442</v>
      </c>
      <c r="B3085" s="208" t="s">
        <v>2740</v>
      </c>
      <c r="C3085" s="208" t="s">
        <v>27</v>
      </c>
      <c r="D3085" s="592">
        <v>-679000</v>
      </c>
      <c r="E3085" s="212">
        <v>45413</v>
      </c>
      <c r="F3085" s="208" t="s">
        <v>109</v>
      </c>
      <c r="G3085" s="201" t="s">
        <v>1261</v>
      </c>
      <c r="H3085" s="208" t="s">
        <v>147</v>
      </c>
      <c r="I3085" s="208"/>
      <c r="J3085" s="209"/>
      <c r="K3085" s="209"/>
      <c r="L3085" s="209"/>
      <c r="M3085" s="209"/>
      <c r="N3085" s="209"/>
      <c r="O3085" s="209"/>
      <c r="P3085" s="209"/>
      <c r="Q3085" s="209"/>
      <c r="R3085" s="209"/>
      <c r="S3085" s="209"/>
      <c r="T3085" s="209"/>
    </row>
    <row r="3086" spans="1:20" s="463" customFormat="1" ht="15" hidden="1" customHeight="1">
      <c r="A3086" s="468">
        <v>45442</v>
      </c>
      <c r="B3086" s="208" t="s">
        <v>2741</v>
      </c>
      <c r="C3086" s="208" t="s">
        <v>27</v>
      </c>
      <c r="D3086" s="592">
        <v>-174810</v>
      </c>
      <c r="E3086" s="212">
        <v>45413</v>
      </c>
      <c r="F3086" s="208" t="s">
        <v>109</v>
      </c>
      <c r="G3086" s="201" t="s">
        <v>1261</v>
      </c>
      <c r="H3086" s="208" t="s">
        <v>147</v>
      </c>
      <c r="I3086" s="208"/>
      <c r="J3086" s="209"/>
      <c r="K3086" s="209"/>
      <c r="L3086" s="209"/>
      <c r="M3086" s="209"/>
      <c r="N3086" s="209"/>
      <c r="O3086" s="209"/>
      <c r="P3086" s="209"/>
      <c r="Q3086" s="209"/>
      <c r="R3086" s="209"/>
      <c r="S3086" s="209"/>
      <c r="T3086" s="209"/>
    </row>
    <row r="3087" spans="1:20" s="463" customFormat="1" ht="15" hidden="1" customHeight="1">
      <c r="A3087" s="468">
        <v>45442</v>
      </c>
      <c r="B3087" s="208" t="s">
        <v>2741</v>
      </c>
      <c r="C3087" s="208" t="s">
        <v>27</v>
      </c>
      <c r="D3087" s="592">
        <v>-489468</v>
      </c>
      <c r="E3087" s="212">
        <v>45413</v>
      </c>
      <c r="F3087" s="201" t="s">
        <v>110</v>
      </c>
      <c r="G3087" s="81" t="s">
        <v>1621</v>
      </c>
      <c r="H3087" s="208" t="s">
        <v>147</v>
      </c>
      <c r="I3087" s="208"/>
      <c r="J3087" s="209"/>
      <c r="K3087" s="209"/>
      <c r="L3087" s="209"/>
      <c r="M3087" s="209"/>
      <c r="N3087" s="209"/>
      <c r="O3087" s="209"/>
      <c r="P3087" s="209"/>
      <c r="Q3087" s="209"/>
      <c r="R3087" s="209"/>
      <c r="S3087" s="209"/>
      <c r="T3087" s="209"/>
    </row>
    <row r="3088" spans="1:20" s="463" customFormat="1" ht="15" hidden="1" customHeight="1">
      <c r="A3088" s="468">
        <v>45442</v>
      </c>
      <c r="B3088" s="208" t="s">
        <v>2741</v>
      </c>
      <c r="C3088" s="208" t="s">
        <v>27</v>
      </c>
      <c r="D3088" s="592">
        <v>-34962</v>
      </c>
      <c r="E3088" s="212">
        <v>45413</v>
      </c>
      <c r="F3088" s="201" t="s">
        <v>110</v>
      </c>
      <c r="G3088" s="208" t="s">
        <v>774</v>
      </c>
      <c r="H3088" s="208" t="s">
        <v>147</v>
      </c>
      <c r="I3088" s="208"/>
      <c r="J3088" s="209"/>
      <c r="K3088" s="209"/>
      <c r="L3088" s="209"/>
      <c r="M3088" s="209"/>
      <c r="N3088" s="209"/>
      <c r="O3088" s="209"/>
      <c r="P3088" s="209"/>
      <c r="Q3088" s="209"/>
      <c r="R3088" s="209"/>
      <c r="S3088" s="209"/>
      <c r="T3088" s="209"/>
    </row>
    <row r="3089" spans="1:20" s="463" customFormat="1" ht="15" hidden="1" customHeight="1">
      <c r="A3089" s="468">
        <v>45442</v>
      </c>
      <c r="B3089" s="208" t="s">
        <v>2742</v>
      </c>
      <c r="C3089" s="208" t="s">
        <v>27</v>
      </c>
      <c r="D3089" s="592">
        <v>-407400</v>
      </c>
      <c r="E3089" s="212">
        <v>45413</v>
      </c>
      <c r="F3089" s="208" t="s">
        <v>109</v>
      </c>
      <c r="G3089" s="201" t="s">
        <v>1261</v>
      </c>
      <c r="H3089" s="208" t="s">
        <v>147</v>
      </c>
      <c r="I3089" s="208"/>
      <c r="J3089" s="209"/>
      <c r="K3089" s="209"/>
      <c r="L3089" s="209"/>
      <c r="M3089" s="209"/>
      <c r="N3089" s="209"/>
      <c r="O3089" s="209"/>
      <c r="P3089" s="209"/>
      <c r="Q3089" s="209"/>
      <c r="R3089" s="209"/>
      <c r="S3089" s="209"/>
      <c r="T3089" s="209"/>
    </row>
    <row r="3090" spans="1:20" s="463" customFormat="1" ht="15" hidden="1" customHeight="1">
      <c r="A3090" s="468">
        <v>45442</v>
      </c>
      <c r="B3090" s="208" t="s">
        <v>2742</v>
      </c>
      <c r="C3090" s="208" t="s">
        <v>27</v>
      </c>
      <c r="D3090" s="592">
        <v>-271600</v>
      </c>
      <c r="E3090" s="212">
        <v>45413</v>
      </c>
      <c r="F3090" s="201" t="s">
        <v>110</v>
      </c>
      <c r="G3090" s="208" t="s">
        <v>774</v>
      </c>
      <c r="H3090" s="208" t="s">
        <v>147</v>
      </c>
      <c r="I3090" s="208"/>
      <c r="J3090" s="209"/>
      <c r="K3090" s="209"/>
      <c r="L3090" s="209"/>
      <c r="M3090" s="209"/>
      <c r="N3090" s="209"/>
      <c r="O3090" s="209"/>
      <c r="P3090" s="209"/>
      <c r="Q3090" s="209"/>
      <c r="R3090" s="209"/>
      <c r="S3090" s="209"/>
      <c r="T3090" s="209"/>
    </row>
    <row r="3091" spans="1:20" s="463" customFormat="1" ht="15" hidden="1" customHeight="1">
      <c r="A3091" s="468">
        <v>45442</v>
      </c>
      <c r="B3091" s="208" t="s">
        <v>2743</v>
      </c>
      <c r="C3091" s="208" t="s">
        <v>27</v>
      </c>
      <c r="D3091" s="592">
        <v>-475300</v>
      </c>
      <c r="E3091" s="212">
        <v>45413</v>
      </c>
      <c r="F3091" s="208" t="s">
        <v>109</v>
      </c>
      <c r="G3091" s="208" t="s">
        <v>125</v>
      </c>
      <c r="H3091" s="208" t="s">
        <v>147</v>
      </c>
      <c r="I3091" s="208"/>
      <c r="J3091" s="209"/>
      <c r="K3091" s="209"/>
      <c r="L3091" s="209"/>
      <c r="M3091" s="209"/>
      <c r="N3091" s="209"/>
      <c r="O3091" s="209"/>
      <c r="P3091" s="209"/>
      <c r="Q3091" s="209"/>
      <c r="R3091" s="209"/>
      <c r="S3091" s="209"/>
      <c r="T3091" s="209"/>
    </row>
    <row r="3092" spans="1:20" s="463" customFormat="1" ht="15" hidden="1" customHeight="1">
      <c r="A3092" s="468">
        <v>45442</v>
      </c>
      <c r="B3092" s="208" t="s">
        <v>2743</v>
      </c>
      <c r="C3092" s="208" t="s">
        <v>27</v>
      </c>
      <c r="D3092" s="592">
        <v>-169750</v>
      </c>
      <c r="E3092" s="212">
        <v>45413</v>
      </c>
      <c r="F3092" s="201" t="s">
        <v>110</v>
      </c>
      <c r="G3092" s="81" t="s">
        <v>1621</v>
      </c>
      <c r="H3092" s="208" t="s">
        <v>147</v>
      </c>
      <c r="I3092" s="208"/>
      <c r="J3092" s="209"/>
      <c r="K3092" s="209"/>
      <c r="L3092" s="209"/>
      <c r="M3092" s="209"/>
      <c r="N3092" s="209"/>
      <c r="O3092" s="209"/>
      <c r="P3092" s="209"/>
      <c r="Q3092" s="209"/>
      <c r="R3092" s="209"/>
      <c r="S3092" s="209"/>
      <c r="T3092" s="209"/>
    </row>
    <row r="3093" spans="1:20" s="463" customFormat="1" ht="15" hidden="1" customHeight="1">
      <c r="A3093" s="468">
        <v>45442</v>
      </c>
      <c r="B3093" s="208" t="s">
        <v>2743</v>
      </c>
      <c r="C3093" s="208" t="s">
        <v>27</v>
      </c>
      <c r="D3093" s="592">
        <v>-33950</v>
      </c>
      <c r="E3093" s="212">
        <v>45413</v>
      </c>
      <c r="F3093" s="201" t="s">
        <v>110</v>
      </c>
      <c r="G3093" s="208" t="s">
        <v>774</v>
      </c>
      <c r="H3093" s="208" t="s">
        <v>147</v>
      </c>
      <c r="I3093" s="208"/>
      <c r="J3093" s="209"/>
      <c r="K3093" s="209"/>
      <c r="L3093" s="209"/>
      <c r="M3093" s="209"/>
      <c r="N3093" s="209"/>
      <c r="O3093" s="209"/>
      <c r="P3093" s="209"/>
      <c r="Q3093" s="209"/>
      <c r="R3093" s="209"/>
      <c r="S3093" s="209"/>
      <c r="T3093" s="209"/>
    </row>
    <row r="3094" spans="1:20" s="463" customFormat="1" ht="15" hidden="1" customHeight="1">
      <c r="A3094" s="468">
        <v>45442</v>
      </c>
      <c r="B3094" s="208" t="s">
        <v>2744</v>
      </c>
      <c r="C3094" s="208" t="s">
        <v>27</v>
      </c>
      <c r="D3094" s="592">
        <v>-703800</v>
      </c>
      <c r="E3094" s="212">
        <v>45413</v>
      </c>
      <c r="F3094" s="201" t="s">
        <v>110</v>
      </c>
      <c r="G3094" s="208" t="s">
        <v>774</v>
      </c>
      <c r="H3094" s="208" t="s">
        <v>508</v>
      </c>
      <c r="I3094" s="208"/>
      <c r="J3094" s="209"/>
      <c r="K3094" s="209"/>
      <c r="L3094" s="209"/>
      <c r="M3094" s="209"/>
      <c r="N3094" s="209"/>
      <c r="O3094" s="209"/>
      <c r="P3094" s="209"/>
      <c r="Q3094" s="209"/>
      <c r="R3094" s="209"/>
      <c r="S3094" s="209"/>
      <c r="T3094" s="209"/>
    </row>
    <row r="3095" spans="1:20" s="463" customFormat="1" ht="15" hidden="1" customHeight="1">
      <c r="A3095" s="468">
        <v>45442</v>
      </c>
      <c r="B3095" s="208" t="s">
        <v>2744</v>
      </c>
      <c r="C3095" s="208" t="s">
        <v>27</v>
      </c>
      <c r="D3095" s="592">
        <v>-703800</v>
      </c>
      <c r="E3095" s="212">
        <v>45413</v>
      </c>
      <c r="F3095" s="201" t="s">
        <v>110</v>
      </c>
      <c r="G3095" s="81" t="s">
        <v>1621</v>
      </c>
      <c r="H3095" s="208" t="s">
        <v>508</v>
      </c>
      <c r="I3095" s="208"/>
      <c r="J3095" s="209"/>
      <c r="K3095" s="209"/>
      <c r="L3095" s="209"/>
      <c r="M3095" s="209"/>
      <c r="N3095" s="209"/>
      <c r="O3095" s="209"/>
      <c r="P3095" s="209"/>
      <c r="Q3095" s="209"/>
      <c r="R3095" s="209"/>
      <c r="S3095" s="209"/>
      <c r="T3095" s="209"/>
    </row>
    <row r="3096" spans="1:20" s="463" customFormat="1" ht="15" hidden="1" customHeight="1">
      <c r="A3096" s="468">
        <v>45442</v>
      </c>
      <c r="B3096" s="208" t="s">
        <v>2744</v>
      </c>
      <c r="C3096" s="208" t="s">
        <v>27</v>
      </c>
      <c r="D3096" s="592">
        <v>-703800</v>
      </c>
      <c r="E3096" s="212">
        <v>45413</v>
      </c>
      <c r="F3096" s="208" t="s">
        <v>109</v>
      </c>
      <c r="G3096" s="208" t="s">
        <v>125</v>
      </c>
      <c r="H3096" s="208" t="s">
        <v>508</v>
      </c>
      <c r="I3096" s="208"/>
      <c r="J3096" s="209"/>
      <c r="K3096" s="209"/>
      <c r="L3096" s="209"/>
      <c r="M3096" s="209"/>
      <c r="N3096" s="209"/>
      <c r="O3096" s="209"/>
      <c r="P3096" s="209"/>
      <c r="Q3096" s="209"/>
      <c r="R3096" s="209"/>
      <c r="S3096" s="209"/>
      <c r="T3096" s="209"/>
    </row>
    <row r="3097" spans="1:20" s="463" customFormat="1" ht="15" hidden="1" customHeight="1">
      <c r="A3097" s="468">
        <v>45442</v>
      </c>
      <c r="B3097" s="208" t="s">
        <v>2744</v>
      </c>
      <c r="C3097" s="208" t="s">
        <v>27</v>
      </c>
      <c r="D3097" s="592">
        <v>-281520</v>
      </c>
      <c r="E3097" s="212">
        <v>45413</v>
      </c>
      <c r="F3097" s="208" t="s">
        <v>109</v>
      </c>
      <c r="G3097" s="201" t="s">
        <v>1261</v>
      </c>
      <c r="H3097" s="208" t="s">
        <v>508</v>
      </c>
      <c r="I3097" s="208"/>
      <c r="J3097" s="209"/>
      <c r="K3097" s="209"/>
      <c r="L3097" s="209"/>
      <c r="M3097" s="209"/>
      <c r="N3097" s="209"/>
      <c r="O3097" s="209"/>
      <c r="P3097" s="209"/>
      <c r="Q3097" s="209"/>
      <c r="R3097" s="209"/>
      <c r="S3097" s="209"/>
      <c r="T3097" s="209"/>
    </row>
    <row r="3098" spans="1:20" s="463" customFormat="1" ht="15" hidden="1" customHeight="1">
      <c r="A3098" s="468">
        <v>45442</v>
      </c>
      <c r="B3098" s="208" t="s">
        <v>2744</v>
      </c>
      <c r="C3098" s="208" t="s">
        <v>27</v>
      </c>
      <c r="D3098" s="592">
        <v>-422280</v>
      </c>
      <c r="E3098" s="212">
        <v>45413</v>
      </c>
      <c r="F3098" s="201" t="s">
        <v>110</v>
      </c>
      <c r="G3098" s="81" t="s">
        <v>1621</v>
      </c>
      <c r="H3098" s="208" t="s">
        <v>508</v>
      </c>
      <c r="I3098" s="208"/>
      <c r="J3098" s="209"/>
      <c r="K3098" s="209"/>
      <c r="L3098" s="209"/>
      <c r="M3098" s="209"/>
      <c r="N3098" s="209"/>
      <c r="O3098" s="209"/>
      <c r="P3098" s="209"/>
      <c r="Q3098" s="209"/>
      <c r="R3098" s="209"/>
      <c r="S3098" s="209"/>
      <c r="T3098" s="209"/>
    </row>
    <row r="3099" spans="1:20" s="463" customFormat="1" ht="15" hidden="1" customHeight="1">
      <c r="A3099" s="468">
        <v>45442</v>
      </c>
      <c r="B3099" s="208" t="s">
        <v>2745</v>
      </c>
      <c r="C3099" s="208" t="s">
        <v>27</v>
      </c>
      <c r="D3099" s="592">
        <v>-2815200</v>
      </c>
      <c r="E3099" s="212">
        <v>45413</v>
      </c>
      <c r="F3099" s="641" t="s">
        <v>130</v>
      </c>
      <c r="G3099" s="643" t="s">
        <v>130</v>
      </c>
      <c r="H3099" s="208" t="s">
        <v>1175</v>
      </c>
      <c r="I3099" s="208"/>
      <c r="J3099" s="209"/>
      <c r="K3099" s="209"/>
      <c r="L3099" s="209"/>
      <c r="M3099" s="209"/>
      <c r="N3099" s="209"/>
      <c r="O3099" s="209"/>
      <c r="P3099" s="209"/>
      <c r="Q3099" s="209"/>
      <c r="R3099" s="209"/>
      <c r="S3099" s="209"/>
      <c r="T3099" s="209"/>
    </row>
    <row r="3100" spans="1:20" s="463" customFormat="1" ht="15" hidden="1" customHeight="1">
      <c r="A3100" s="468">
        <v>45442</v>
      </c>
      <c r="B3100" s="208" t="s">
        <v>2746</v>
      </c>
      <c r="C3100" s="208" t="s">
        <v>27</v>
      </c>
      <c r="D3100" s="592">
        <v>-2458164</v>
      </c>
      <c r="E3100" s="212">
        <v>45413</v>
      </c>
      <c r="F3100" s="641" t="s">
        <v>130</v>
      </c>
      <c r="G3100" s="643" t="s">
        <v>130</v>
      </c>
      <c r="H3100" s="208" t="s">
        <v>1175</v>
      </c>
      <c r="I3100" s="208"/>
      <c r="J3100" s="209"/>
      <c r="K3100" s="209"/>
      <c r="L3100" s="209"/>
      <c r="M3100" s="209"/>
      <c r="N3100" s="209"/>
      <c r="O3100" s="209"/>
      <c r="P3100" s="209"/>
      <c r="Q3100" s="209"/>
      <c r="R3100" s="209"/>
      <c r="S3100" s="209"/>
      <c r="T3100" s="209"/>
    </row>
    <row r="3101" spans="1:20" s="463" customFormat="1" ht="15" hidden="1" customHeight="1">
      <c r="A3101" s="468">
        <v>45442</v>
      </c>
      <c r="B3101" s="208" t="s">
        <v>2747</v>
      </c>
      <c r="C3101" s="208" t="s">
        <v>27</v>
      </c>
      <c r="D3101" s="592">
        <v>-615500</v>
      </c>
      <c r="E3101" s="212">
        <v>45413</v>
      </c>
      <c r="F3101" s="208" t="s">
        <v>109</v>
      </c>
      <c r="G3101" s="208" t="s">
        <v>125</v>
      </c>
      <c r="H3101" s="208" t="s">
        <v>508</v>
      </c>
      <c r="I3101" s="208"/>
      <c r="J3101" s="209"/>
      <c r="K3101" s="209"/>
      <c r="L3101" s="209"/>
      <c r="M3101" s="209"/>
      <c r="N3101" s="209"/>
      <c r="O3101" s="209"/>
      <c r="P3101" s="209"/>
      <c r="Q3101" s="209"/>
      <c r="R3101" s="209"/>
      <c r="S3101" s="209"/>
      <c r="T3101" s="209"/>
    </row>
    <row r="3102" spans="1:20" s="463" customFormat="1" ht="15" hidden="1" customHeight="1">
      <c r="A3102" s="468">
        <v>45442</v>
      </c>
      <c r="B3102" s="208" t="s">
        <v>2747</v>
      </c>
      <c r="C3102" s="208" t="s">
        <v>27</v>
      </c>
      <c r="D3102" s="592">
        <v>-615500</v>
      </c>
      <c r="E3102" s="212">
        <v>45413</v>
      </c>
      <c r="F3102" s="208" t="s">
        <v>109</v>
      </c>
      <c r="G3102" s="201" t="s">
        <v>1261</v>
      </c>
      <c r="H3102" s="208" t="s">
        <v>508</v>
      </c>
      <c r="I3102" s="208"/>
      <c r="J3102" s="209"/>
      <c r="K3102" s="209"/>
      <c r="L3102" s="209"/>
      <c r="M3102" s="209"/>
      <c r="N3102" s="209"/>
      <c r="O3102" s="209"/>
      <c r="P3102" s="209"/>
      <c r="Q3102" s="209"/>
      <c r="R3102" s="209"/>
      <c r="S3102" s="209"/>
      <c r="T3102" s="209"/>
    </row>
    <row r="3103" spans="1:20" s="463" customFormat="1" ht="15" hidden="1" customHeight="1">
      <c r="A3103" s="468">
        <v>45442</v>
      </c>
      <c r="B3103" s="208" t="s">
        <v>2747</v>
      </c>
      <c r="C3103" s="208" t="s">
        <v>27</v>
      </c>
      <c r="D3103" s="592">
        <v>-615500</v>
      </c>
      <c r="E3103" s="212">
        <v>45413</v>
      </c>
      <c r="F3103" s="201" t="s">
        <v>110</v>
      </c>
      <c r="G3103" s="81" t="s">
        <v>1621</v>
      </c>
      <c r="H3103" s="208" t="s">
        <v>508</v>
      </c>
      <c r="I3103" s="208"/>
      <c r="J3103" s="209"/>
      <c r="K3103" s="209"/>
      <c r="L3103" s="209"/>
      <c r="M3103" s="209"/>
      <c r="N3103" s="209"/>
      <c r="O3103" s="209"/>
      <c r="P3103" s="209"/>
      <c r="Q3103" s="209"/>
      <c r="R3103" s="209"/>
      <c r="S3103" s="209"/>
      <c r="T3103" s="209"/>
    </row>
    <row r="3104" spans="1:20" s="463" customFormat="1" ht="15" hidden="1" customHeight="1">
      <c r="A3104" s="468">
        <v>45442</v>
      </c>
      <c r="B3104" s="208" t="s">
        <v>2747</v>
      </c>
      <c r="C3104" s="208" t="s">
        <v>27</v>
      </c>
      <c r="D3104" s="592">
        <v>-246200</v>
      </c>
      <c r="E3104" s="212">
        <v>45413</v>
      </c>
      <c r="F3104" s="201" t="s">
        <v>110</v>
      </c>
      <c r="G3104" s="208" t="s">
        <v>774</v>
      </c>
      <c r="H3104" s="208" t="s">
        <v>508</v>
      </c>
      <c r="I3104" s="208"/>
      <c r="J3104" s="209"/>
      <c r="K3104" s="209"/>
      <c r="L3104" s="209"/>
      <c r="M3104" s="209"/>
      <c r="N3104" s="209"/>
      <c r="O3104" s="209"/>
      <c r="P3104" s="209"/>
      <c r="Q3104" s="209"/>
      <c r="R3104" s="209"/>
      <c r="S3104" s="209"/>
      <c r="T3104" s="209"/>
    </row>
    <row r="3105" spans="1:20" s="463" customFormat="1" ht="15" hidden="1" customHeight="1">
      <c r="A3105" s="468">
        <v>45442</v>
      </c>
      <c r="B3105" s="208" t="s">
        <v>2747</v>
      </c>
      <c r="C3105" s="208" t="s">
        <v>27</v>
      </c>
      <c r="D3105" s="592">
        <v>-369300</v>
      </c>
      <c r="E3105" s="212">
        <v>45413</v>
      </c>
      <c r="F3105" s="201" t="s">
        <v>110</v>
      </c>
      <c r="G3105" s="208" t="s">
        <v>774</v>
      </c>
      <c r="H3105" s="208" t="s">
        <v>508</v>
      </c>
      <c r="I3105" s="208"/>
      <c r="J3105" s="209"/>
      <c r="K3105" s="209"/>
      <c r="L3105" s="209"/>
      <c r="M3105" s="209"/>
      <c r="N3105" s="209"/>
      <c r="O3105" s="209"/>
      <c r="P3105" s="209"/>
      <c r="Q3105" s="209"/>
      <c r="R3105" s="209"/>
      <c r="S3105" s="209"/>
      <c r="T3105" s="209"/>
    </row>
    <row r="3106" spans="1:20" s="463" customFormat="1" ht="15" hidden="1" customHeight="1">
      <c r="A3106" s="468">
        <v>45442</v>
      </c>
      <c r="B3106" s="208" t="s">
        <v>2748</v>
      </c>
      <c r="C3106" s="208" t="s">
        <v>27</v>
      </c>
      <c r="D3106" s="592">
        <v>-679000</v>
      </c>
      <c r="E3106" s="212">
        <v>45413</v>
      </c>
      <c r="F3106" s="641" t="s">
        <v>130</v>
      </c>
      <c r="G3106" s="643" t="s">
        <v>130</v>
      </c>
      <c r="H3106" s="208" t="s">
        <v>1175</v>
      </c>
      <c r="I3106" s="208"/>
      <c r="J3106" s="209"/>
      <c r="K3106" s="209"/>
      <c r="L3106" s="209"/>
      <c r="M3106" s="209"/>
      <c r="N3106" s="209"/>
      <c r="O3106" s="209"/>
      <c r="P3106" s="209"/>
      <c r="Q3106" s="209"/>
      <c r="R3106" s="209"/>
      <c r="S3106" s="209"/>
      <c r="T3106" s="209"/>
    </row>
    <row r="3107" spans="1:20" s="463" customFormat="1" ht="15" hidden="1" customHeight="1">
      <c r="A3107" s="468">
        <v>45442</v>
      </c>
      <c r="B3107" s="208" t="s">
        <v>2749</v>
      </c>
      <c r="C3107" s="208" t="s">
        <v>27</v>
      </c>
      <c r="D3107" s="592">
        <v>-679000</v>
      </c>
      <c r="E3107" s="212">
        <v>45413</v>
      </c>
      <c r="F3107" s="641" t="s">
        <v>130</v>
      </c>
      <c r="G3107" s="643" t="s">
        <v>130</v>
      </c>
      <c r="H3107" s="208" t="s">
        <v>1175</v>
      </c>
      <c r="I3107" s="208"/>
      <c r="J3107" s="209"/>
      <c r="K3107" s="209"/>
      <c r="L3107" s="209"/>
      <c r="M3107" s="209"/>
      <c r="N3107" s="209"/>
      <c r="O3107" s="209"/>
      <c r="P3107" s="209"/>
      <c r="Q3107" s="209"/>
      <c r="R3107" s="209"/>
      <c r="S3107" s="209"/>
      <c r="T3107" s="209"/>
    </row>
    <row r="3108" spans="1:20" s="463" customFormat="1" ht="15" hidden="1" customHeight="1">
      <c r="A3108" s="468">
        <v>45442</v>
      </c>
      <c r="B3108" s="208" t="s">
        <v>2750</v>
      </c>
      <c r="C3108" s="208" t="s">
        <v>27</v>
      </c>
      <c r="D3108" s="592">
        <v>-650000</v>
      </c>
      <c r="E3108" s="212">
        <v>45413</v>
      </c>
      <c r="F3108" s="641" t="s">
        <v>130</v>
      </c>
      <c r="G3108" s="643" t="s">
        <v>130</v>
      </c>
      <c r="H3108" s="208" t="s">
        <v>1175</v>
      </c>
      <c r="I3108" s="208"/>
      <c r="J3108" s="209"/>
      <c r="K3108" s="209"/>
      <c r="L3108" s="209"/>
      <c r="M3108" s="209"/>
      <c r="N3108" s="209"/>
      <c r="O3108" s="209"/>
      <c r="P3108" s="209"/>
      <c r="Q3108" s="209"/>
      <c r="R3108" s="209"/>
      <c r="S3108" s="209"/>
      <c r="T3108" s="209"/>
    </row>
    <row r="3109" spans="1:20" s="463" customFormat="1" ht="15" hidden="1" customHeight="1">
      <c r="A3109" s="468">
        <v>45442</v>
      </c>
      <c r="B3109" s="208" t="s">
        <v>2751</v>
      </c>
      <c r="C3109" s="208" t="s">
        <v>27</v>
      </c>
      <c r="D3109" s="592">
        <v>-5000000</v>
      </c>
      <c r="E3109" s="212">
        <v>45413</v>
      </c>
      <c r="F3109" s="208" t="s">
        <v>130</v>
      </c>
      <c r="G3109" s="208" t="s">
        <v>257</v>
      </c>
      <c r="H3109" s="208" t="s">
        <v>1175</v>
      </c>
      <c r="I3109" s="208"/>
      <c r="J3109" s="209"/>
      <c r="K3109" s="209"/>
      <c r="L3109" s="209"/>
      <c r="M3109" s="209"/>
      <c r="N3109" s="209"/>
      <c r="O3109" s="209"/>
      <c r="P3109" s="209"/>
      <c r="Q3109" s="209"/>
      <c r="R3109" s="209"/>
      <c r="S3109" s="209"/>
      <c r="T3109" s="209"/>
    </row>
    <row r="3110" spans="1:20" s="463" customFormat="1" ht="15" hidden="1" customHeight="1">
      <c r="A3110" s="468">
        <v>45442</v>
      </c>
      <c r="B3110" s="208" t="s">
        <v>2752</v>
      </c>
      <c r="C3110" s="208" t="s">
        <v>27</v>
      </c>
      <c r="D3110" s="592">
        <v>-915361.70212765958</v>
      </c>
      <c r="E3110" s="212">
        <v>45413</v>
      </c>
      <c r="F3110" s="208" t="s">
        <v>109</v>
      </c>
      <c r="G3110" s="208" t="s">
        <v>120</v>
      </c>
      <c r="H3110" s="208"/>
      <c r="I3110" s="208"/>
      <c r="J3110" s="209"/>
      <c r="K3110" s="209"/>
      <c r="L3110" s="209"/>
      <c r="M3110" s="209"/>
      <c r="N3110" s="209"/>
      <c r="O3110" s="209"/>
      <c r="P3110" s="209"/>
      <c r="Q3110" s="209"/>
      <c r="R3110" s="209"/>
      <c r="S3110" s="209"/>
      <c r="T3110" s="209"/>
    </row>
    <row r="3111" spans="1:20" s="463" customFormat="1" ht="15" hidden="1" customHeight="1">
      <c r="A3111" s="468">
        <v>45442</v>
      </c>
      <c r="B3111" s="208" t="s">
        <v>2753</v>
      </c>
      <c r="C3111" s="208" t="s">
        <v>27</v>
      </c>
      <c r="D3111" s="592">
        <v>-863000</v>
      </c>
      <c r="E3111" s="212">
        <v>45413</v>
      </c>
      <c r="F3111" s="208" t="s">
        <v>109</v>
      </c>
      <c r="G3111" s="208" t="s">
        <v>120</v>
      </c>
      <c r="H3111" s="208"/>
      <c r="I3111" s="208"/>
      <c r="J3111" s="209"/>
      <c r="K3111" s="209"/>
      <c r="L3111" s="209"/>
      <c r="M3111" s="209"/>
      <c r="N3111" s="209"/>
      <c r="O3111" s="209"/>
      <c r="P3111" s="209"/>
      <c r="Q3111" s="209"/>
      <c r="R3111" s="209"/>
      <c r="S3111" s="209"/>
      <c r="T3111" s="209"/>
    </row>
    <row r="3112" spans="1:20" s="463" customFormat="1" ht="15" hidden="1" customHeight="1">
      <c r="A3112" s="468">
        <v>45442</v>
      </c>
      <c r="B3112" s="208" t="s">
        <v>2754</v>
      </c>
      <c r="C3112" s="208" t="s">
        <v>27</v>
      </c>
      <c r="D3112" s="592">
        <v>-869361.70212765958</v>
      </c>
      <c r="E3112" s="212">
        <v>45413</v>
      </c>
      <c r="F3112" s="208" t="s">
        <v>109</v>
      </c>
      <c r="G3112" s="208" t="s">
        <v>120</v>
      </c>
      <c r="H3112" s="208"/>
      <c r="I3112" s="208"/>
      <c r="J3112" s="209"/>
      <c r="K3112" s="209"/>
      <c r="L3112" s="209"/>
      <c r="M3112" s="209"/>
      <c r="N3112" s="209"/>
      <c r="O3112" s="209"/>
      <c r="P3112" s="209"/>
      <c r="Q3112" s="209"/>
      <c r="R3112" s="209"/>
      <c r="S3112" s="209"/>
      <c r="T3112" s="209"/>
    </row>
    <row r="3113" spans="1:20" s="463" customFormat="1" ht="15" hidden="1" customHeight="1">
      <c r="A3113" s="468">
        <v>45442</v>
      </c>
      <c r="B3113" s="208" t="s">
        <v>2755</v>
      </c>
      <c r="C3113" s="208" t="s">
        <v>27</v>
      </c>
      <c r="D3113" s="592">
        <v>-645050</v>
      </c>
      <c r="E3113" s="212">
        <v>45413</v>
      </c>
      <c r="F3113" s="208" t="s">
        <v>109</v>
      </c>
      <c r="G3113" s="201" t="s">
        <v>1261</v>
      </c>
      <c r="H3113" s="208" t="s">
        <v>147</v>
      </c>
      <c r="I3113" s="208"/>
      <c r="J3113" s="209"/>
      <c r="K3113" s="209"/>
      <c r="L3113" s="209"/>
      <c r="M3113" s="209"/>
      <c r="N3113" s="209"/>
      <c r="O3113" s="209"/>
      <c r="P3113" s="209"/>
      <c r="Q3113" s="209"/>
      <c r="R3113" s="209"/>
      <c r="S3113" s="209"/>
      <c r="T3113" s="209"/>
    </row>
    <row r="3114" spans="1:20" s="463" customFormat="1" ht="15" hidden="1" customHeight="1">
      <c r="A3114" s="468">
        <v>45442</v>
      </c>
      <c r="B3114" s="208" t="s">
        <v>2755</v>
      </c>
      <c r="C3114" s="208" t="s">
        <v>27</v>
      </c>
      <c r="D3114" s="592">
        <v>-33950</v>
      </c>
      <c r="E3114" s="212">
        <v>45413</v>
      </c>
      <c r="F3114" s="201" t="s">
        <v>110</v>
      </c>
      <c r="G3114" s="81" t="s">
        <v>1621</v>
      </c>
      <c r="H3114" s="208" t="s">
        <v>147</v>
      </c>
      <c r="I3114" s="208"/>
      <c r="J3114" s="209"/>
      <c r="K3114" s="209"/>
      <c r="L3114" s="209"/>
      <c r="M3114" s="209"/>
      <c r="N3114" s="209"/>
      <c r="O3114" s="209"/>
      <c r="P3114" s="209"/>
      <c r="Q3114" s="209"/>
      <c r="R3114" s="209"/>
      <c r="S3114" s="209"/>
      <c r="T3114" s="209"/>
    </row>
    <row r="3115" spans="1:20" s="463" customFormat="1" ht="15" hidden="1" customHeight="1">
      <c r="A3115" s="468">
        <v>45442</v>
      </c>
      <c r="B3115" s="208" t="s">
        <v>2756</v>
      </c>
      <c r="C3115" s="208" t="s">
        <v>27</v>
      </c>
      <c r="D3115" s="592">
        <v>-645050</v>
      </c>
      <c r="E3115" s="212">
        <v>45413</v>
      </c>
      <c r="F3115" s="208" t="s">
        <v>109</v>
      </c>
      <c r="G3115" s="208" t="s">
        <v>125</v>
      </c>
      <c r="H3115" s="208" t="s">
        <v>147</v>
      </c>
      <c r="I3115" s="208"/>
      <c r="J3115" s="209"/>
      <c r="K3115" s="209"/>
      <c r="L3115" s="209"/>
      <c r="M3115" s="209"/>
      <c r="N3115" s="209"/>
      <c r="O3115" s="209"/>
      <c r="P3115" s="209"/>
      <c r="Q3115" s="209"/>
      <c r="R3115" s="209"/>
      <c r="S3115" s="209"/>
      <c r="T3115" s="209"/>
    </row>
    <row r="3116" spans="1:20" s="463" customFormat="1" ht="15" hidden="1" customHeight="1">
      <c r="A3116" s="468">
        <v>45442</v>
      </c>
      <c r="B3116" s="208" t="s">
        <v>2756</v>
      </c>
      <c r="C3116" s="208" t="s">
        <v>27</v>
      </c>
      <c r="D3116" s="592">
        <v>-33950</v>
      </c>
      <c r="E3116" s="212">
        <v>45413</v>
      </c>
      <c r="F3116" s="201" t="s">
        <v>110</v>
      </c>
      <c r="G3116" s="208" t="s">
        <v>774</v>
      </c>
      <c r="H3116" s="208" t="s">
        <v>147</v>
      </c>
      <c r="I3116" s="208"/>
      <c r="J3116" s="209"/>
      <c r="K3116" s="209"/>
      <c r="L3116" s="209"/>
      <c r="M3116" s="209"/>
      <c r="N3116" s="209"/>
      <c r="O3116" s="209"/>
      <c r="P3116" s="209"/>
      <c r="Q3116" s="209"/>
      <c r="R3116" s="209"/>
      <c r="S3116" s="209"/>
      <c r="T3116" s="209"/>
    </row>
    <row r="3117" spans="1:20" s="463" customFormat="1" ht="15" hidden="1" customHeight="1">
      <c r="A3117" s="468">
        <v>45442</v>
      </c>
      <c r="B3117" s="208" t="s">
        <v>2757</v>
      </c>
      <c r="C3117" s="208" t="s">
        <v>27</v>
      </c>
      <c r="D3117" s="592">
        <v>-645050</v>
      </c>
      <c r="E3117" s="212">
        <v>45413</v>
      </c>
      <c r="F3117" s="208" t="s">
        <v>109</v>
      </c>
      <c r="G3117" s="208" t="s">
        <v>125</v>
      </c>
      <c r="H3117" s="208" t="s">
        <v>147</v>
      </c>
      <c r="I3117" s="208"/>
      <c r="J3117" s="209"/>
      <c r="K3117" s="209"/>
      <c r="L3117" s="209"/>
      <c r="M3117" s="209"/>
      <c r="N3117" s="209"/>
      <c r="O3117" s="209"/>
      <c r="P3117" s="209"/>
      <c r="Q3117" s="209"/>
      <c r="R3117" s="209"/>
      <c r="S3117" s="209"/>
      <c r="T3117" s="209"/>
    </row>
    <row r="3118" spans="1:20" s="463" customFormat="1" ht="15" hidden="1" customHeight="1">
      <c r="A3118" s="468">
        <v>45442</v>
      </c>
      <c r="B3118" s="208" t="s">
        <v>2757</v>
      </c>
      <c r="C3118" s="208" t="s">
        <v>27</v>
      </c>
      <c r="D3118" s="592">
        <v>-61941.489361702137</v>
      </c>
      <c r="E3118" s="212">
        <v>45413</v>
      </c>
      <c r="F3118" s="201" t="s">
        <v>110</v>
      </c>
      <c r="G3118" s="81" t="s">
        <v>1621</v>
      </c>
      <c r="H3118" s="208" t="s">
        <v>147</v>
      </c>
      <c r="I3118" s="208"/>
      <c r="J3118" s="209"/>
      <c r="K3118" s="209"/>
      <c r="L3118" s="209"/>
      <c r="M3118" s="209"/>
      <c r="N3118" s="209"/>
      <c r="O3118" s="209"/>
      <c r="P3118" s="209"/>
      <c r="Q3118" s="209"/>
      <c r="R3118" s="209"/>
      <c r="S3118" s="209"/>
      <c r="T3118" s="209"/>
    </row>
    <row r="3119" spans="1:20" s="463" customFormat="1" ht="15" hidden="1" customHeight="1">
      <c r="A3119" s="468">
        <v>45442</v>
      </c>
      <c r="B3119" s="208" t="s">
        <v>2758</v>
      </c>
      <c r="C3119" s="208" t="s">
        <v>27</v>
      </c>
      <c r="D3119" s="592">
        <v>-679000</v>
      </c>
      <c r="E3119" s="212">
        <v>45413</v>
      </c>
      <c r="F3119" s="208" t="s">
        <v>109</v>
      </c>
      <c r="G3119" s="201" t="s">
        <v>1261</v>
      </c>
      <c r="H3119" s="208" t="s">
        <v>147</v>
      </c>
      <c r="I3119" s="208"/>
      <c r="J3119" s="209"/>
      <c r="K3119" s="209"/>
      <c r="L3119" s="209"/>
      <c r="M3119" s="209"/>
      <c r="N3119" s="209"/>
      <c r="O3119" s="209"/>
      <c r="P3119" s="209"/>
      <c r="Q3119" s="209"/>
      <c r="R3119" s="209"/>
      <c r="S3119" s="209"/>
      <c r="T3119" s="209"/>
    </row>
    <row r="3120" spans="1:20" s="463" customFormat="1" ht="15" hidden="1" customHeight="1">
      <c r="A3120" s="468">
        <v>45442</v>
      </c>
      <c r="B3120" s="208" t="s">
        <v>2759</v>
      </c>
      <c r="C3120" s="208" t="s">
        <v>27</v>
      </c>
      <c r="D3120" s="592">
        <v>-2668000</v>
      </c>
      <c r="E3120" s="212">
        <v>45413</v>
      </c>
      <c r="F3120" s="208" t="s">
        <v>130</v>
      </c>
      <c r="G3120" s="208" t="s">
        <v>257</v>
      </c>
      <c r="H3120" s="208" t="s">
        <v>1175</v>
      </c>
      <c r="I3120" s="208"/>
      <c r="J3120" s="209"/>
      <c r="K3120" s="209"/>
      <c r="L3120" s="209"/>
      <c r="M3120" s="209"/>
      <c r="N3120" s="209"/>
      <c r="O3120" s="209"/>
      <c r="P3120" s="209"/>
      <c r="Q3120" s="209"/>
      <c r="R3120" s="209"/>
      <c r="S3120" s="209"/>
      <c r="T3120" s="209"/>
    </row>
    <row r="3121" spans="1:20" s="463" customFormat="1" ht="15" hidden="1" customHeight="1">
      <c r="A3121" s="468">
        <v>45442</v>
      </c>
      <c r="B3121" s="208" t="s">
        <v>2760</v>
      </c>
      <c r="C3121" s="208" t="s">
        <v>27</v>
      </c>
      <c r="D3121" s="592">
        <v>-869361.70212765958</v>
      </c>
      <c r="E3121" s="212">
        <v>45413</v>
      </c>
      <c r="F3121" s="208" t="s">
        <v>109</v>
      </c>
      <c r="G3121" s="208" t="s">
        <v>120</v>
      </c>
      <c r="H3121" s="208"/>
      <c r="I3121" s="208"/>
      <c r="J3121" s="209"/>
      <c r="K3121" s="209"/>
      <c r="L3121" s="209"/>
      <c r="M3121" s="209"/>
      <c r="N3121" s="209"/>
      <c r="O3121" s="209"/>
      <c r="P3121" s="209"/>
      <c r="Q3121" s="209"/>
      <c r="R3121" s="209"/>
      <c r="S3121" s="209"/>
      <c r="T3121" s="209"/>
    </row>
    <row r="3122" spans="1:20" s="463" customFormat="1" ht="15" hidden="1" customHeight="1">
      <c r="A3122" s="468">
        <v>45442</v>
      </c>
      <c r="B3122" s="208" t="s">
        <v>2761</v>
      </c>
      <c r="C3122" s="208" t="s">
        <v>27</v>
      </c>
      <c r="D3122" s="592">
        <v>-461500</v>
      </c>
      <c r="E3122" s="212">
        <v>45413</v>
      </c>
      <c r="F3122" s="641" t="s">
        <v>130</v>
      </c>
      <c r="G3122" s="643" t="s">
        <v>130</v>
      </c>
      <c r="H3122" s="208" t="s">
        <v>1175</v>
      </c>
      <c r="I3122" s="208"/>
      <c r="J3122" s="209"/>
      <c r="K3122" s="209"/>
      <c r="L3122" s="209"/>
      <c r="M3122" s="209"/>
      <c r="N3122" s="209"/>
      <c r="O3122" s="209"/>
      <c r="P3122" s="209"/>
      <c r="Q3122" s="209"/>
      <c r="R3122" s="209"/>
      <c r="S3122" s="209"/>
      <c r="T3122" s="209"/>
    </row>
    <row r="3123" spans="1:20" s="463" customFormat="1" ht="15" hidden="1" customHeight="1">
      <c r="A3123" s="468">
        <v>45442</v>
      </c>
      <c r="B3123" s="208" t="s">
        <v>2762</v>
      </c>
      <c r="C3123" s="208" t="s">
        <v>27</v>
      </c>
      <c r="D3123" s="800">
        <v>-934446.80851063831</v>
      </c>
      <c r="E3123" s="212">
        <v>45413</v>
      </c>
      <c r="F3123" s="208" t="s">
        <v>109</v>
      </c>
      <c r="G3123" s="201" t="s">
        <v>581</v>
      </c>
      <c r="H3123" s="208"/>
      <c r="I3123" s="208"/>
      <c r="J3123" s="209"/>
      <c r="K3123" s="209"/>
      <c r="L3123" s="209"/>
      <c r="M3123" s="209"/>
      <c r="N3123" s="209"/>
      <c r="O3123" s="209"/>
      <c r="P3123" s="209"/>
      <c r="Q3123" s="209"/>
      <c r="R3123" s="209"/>
      <c r="S3123" s="209"/>
      <c r="T3123" s="209"/>
    </row>
    <row r="3124" spans="1:20" s="463" customFormat="1" ht="15" hidden="1" customHeight="1">
      <c r="A3124" s="468">
        <v>45442</v>
      </c>
      <c r="B3124" s="208" t="s">
        <v>2763</v>
      </c>
      <c r="C3124" s="208" t="s">
        <v>27</v>
      </c>
      <c r="D3124" s="800">
        <v>-1308994.4680851065</v>
      </c>
      <c r="E3124" s="212">
        <v>45413</v>
      </c>
      <c r="F3124" s="208" t="s">
        <v>109</v>
      </c>
      <c r="G3124" s="201" t="s">
        <v>581</v>
      </c>
      <c r="H3124" s="208"/>
      <c r="I3124" s="208"/>
      <c r="J3124" s="209"/>
      <c r="K3124" s="209"/>
      <c r="L3124" s="209"/>
      <c r="M3124" s="209"/>
      <c r="N3124" s="209"/>
      <c r="O3124" s="209"/>
      <c r="P3124" s="209"/>
      <c r="Q3124" s="209"/>
      <c r="R3124" s="209"/>
      <c r="S3124" s="209"/>
      <c r="T3124" s="209"/>
    </row>
    <row r="3125" spans="1:20" s="463" customFormat="1" ht="15" hidden="1" customHeight="1">
      <c r="A3125" s="468">
        <v>45442</v>
      </c>
      <c r="B3125" s="208" t="s">
        <v>2764</v>
      </c>
      <c r="C3125" s="208" t="s">
        <v>27</v>
      </c>
      <c r="D3125" s="592">
        <v>-667333.33333333337</v>
      </c>
      <c r="E3125" s="212">
        <v>45413</v>
      </c>
      <c r="F3125" s="201" t="s">
        <v>110</v>
      </c>
      <c r="G3125" s="81" t="s">
        <v>1621</v>
      </c>
      <c r="H3125" s="208" t="s">
        <v>508</v>
      </c>
      <c r="I3125" s="208"/>
      <c r="J3125" s="209"/>
      <c r="K3125" s="209"/>
      <c r="L3125" s="209"/>
      <c r="M3125" s="209"/>
      <c r="N3125" s="209"/>
      <c r="O3125" s="209"/>
      <c r="P3125" s="209"/>
      <c r="Q3125" s="209"/>
      <c r="R3125" s="209"/>
      <c r="S3125" s="209"/>
      <c r="T3125" s="209"/>
    </row>
    <row r="3126" spans="1:20" s="463" customFormat="1" ht="15" hidden="1" customHeight="1">
      <c r="A3126" s="468">
        <v>45442</v>
      </c>
      <c r="B3126" s="208" t="s">
        <v>2764</v>
      </c>
      <c r="C3126" s="208" t="s">
        <v>27</v>
      </c>
      <c r="D3126" s="592">
        <v>-667333.33333333337</v>
      </c>
      <c r="E3126" s="212">
        <v>45413</v>
      </c>
      <c r="F3126" s="208" t="s">
        <v>109</v>
      </c>
      <c r="G3126" s="208" t="s">
        <v>125</v>
      </c>
      <c r="H3126" s="208" t="s">
        <v>508</v>
      </c>
      <c r="I3126" s="208"/>
      <c r="J3126" s="209"/>
      <c r="K3126" s="209"/>
      <c r="L3126" s="209"/>
      <c r="M3126" s="209"/>
      <c r="N3126" s="209"/>
      <c r="O3126" s="209"/>
      <c r="P3126" s="209"/>
      <c r="Q3126" s="209"/>
      <c r="R3126" s="209"/>
      <c r="S3126" s="209"/>
      <c r="T3126" s="209"/>
    </row>
    <row r="3127" spans="1:20" s="463" customFormat="1" ht="15" hidden="1" customHeight="1">
      <c r="A3127" s="468">
        <v>45442</v>
      </c>
      <c r="B3127" s="208" t="s">
        <v>2764</v>
      </c>
      <c r="C3127" s="208" t="s">
        <v>27</v>
      </c>
      <c r="D3127" s="592">
        <f>+D3126</f>
        <v>-667333.33333333337</v>
      </c>
      <c r="E3127" s="212">
        <v>45413</v>
      </c>
      <c r="F3127" s="208" t="s">
        <v>109</v>
      </c>
      <c r="G3127" s="201" t="s">
        <v>1261</v>
      </c>
      <c r="H3127" s="208" t="s">
        <v>508</v>
      </c>
      <c r="I3127" s="208"/>
      <c r="J3127" s="209"/>
      <c r="K3127" s="209"/>
      <c r="L3127" s="209"/>
      <c r="M3127" s="209"/>
      <c r="N3127" s="209"/>
      <c r="O3127" s="209"/>
      <c r="P3127" s="209"/>
      <c r="Q3127" s="209"/>
      <c r="R3127" s="209"/>
      <c r="S3127" s="209"/>
      <c r="T3127" s="209"/>
    </row>
    <row r="3128" spans="1:20" s="463" customFormat="1" ht="15" hidden="1" customHeight="1">
      <c r="A3128" s="468">
        <v>45442</v>
      </c>
      <c r="B3128" s="208" t="s">
        <v>2765</v>
      </c>
      <c r="C3128" s="208" t="s">
        <v>27</v>
      </c>
      <c r="D3128" s="592">
        <v>-500000.00000000006</v>
      </c>
      <c r="E3128" s="212">
        <v>45413</v>
      </c>
      <c r="F3128" s="208" t="s">
        <v>130</v>
      </c>
      <c r="G3128" s="208" t="s">
        <v>257</v>
      </c>
      <c r="H3128" s="208" t="s">
        <v>663</v>
      </c>
      <c r="I3128" s="208"/>
      <c r="J3128" s="209"/>
      <c r="K3128" s="209"/>
      <c r="L3128" s="209"/>
      <c r="M3128" s="209"/>
      <c r="N3128" s="209"/>
      <c r="O3128" s="209"/>
      <c r="P3128" s="209"/>
      <c r="Q3128" s="209"/>
      <c r="R3128" s="209"/>
      <c r="S3128" s="209"/>
      <c r="T3128" s="209"/>
    </row>
    <row r="3129" spans="1:20" s="463" customFormat="1" ht="15" hidden="1" customHeight="1">
      <c r="A3129" s="468">
        <v>45442</v>
      </c>
      <c r="B3129" s="208" t="s">
        <v>2766</v>
      </c>
      <c r="C3129" s="208" t="s">
        <v>27</v>
      </c>
      <c r="D3129" s="592">
        <v>-860090</v>
      </c>
      <c r="E3129" s="212">
        <v>45413</v>
      </c>
      <c r="F3129" s="201" t="s">
        <v>110</v>
      </c>
      <c r="G3129" s="208" t="s">
        <v>774</v>
      </c>
      <c r="H3129" s="208" t="s">
        <v>147</v>
      </c>
      <c r="I3129" s="208"/>
      <c r="J3129" s="209"/>
      <c r="K3129" s="209"/>
      <c r="L3129" s="209"/>
      <c r="M3129" s="209"/>
      <c r="N3129" s="209"/>
      <c r="O3129" s="209"/>
      <c r="P3129" s="209"/>
      <c r="Q3129" s="209"/>
      <c r="R3129" s="209"/>
      <c r="S3129" s="209"/>
      <c r="T3129" s="209"/>
    </row>
    <row r="3130" spans="1:20" s="463" customFormat="1" ht="15" hidden="1" customHeight="1">
      <c r="A3130" s="468">
        <v>45442</v>
      </c>
      <c r="B3130" s="208" t="s">
        <v>2766</v>
      </c>
      <c r="C3130" s="208" t="s">
        <v>27</v>
      </c>
      <c r="D3130" s="592">
        <v>-307175</v>
      </c>
      <c r="E3130" s="212">
        <v>45413</v>
      </c>
      <c r="F3130" s="201" t="s">
        <v>110</v>
      </c>
      <c r="G3130" s="81" t="s">
        <v>1621</v>
      </c>
      <c r="H3130" s="208" t="s">
        <v>147</v>
      </c>
      <c r="I3130" s="208"/>
      <c r="J3130" s="209"/>
      <c r="K3130" s="209"/>
      <c r="L3130" s="209"/>
      <c r="M3130" s="209"/>
      <c r="N3130" s="209"/>
      <c r="O3130" s="209"/>
      <c r="P3130" s="209"/>
      <c r="Q3130" s="209"/>
      <c r="R3130" s="209"/>
      <c r="S3130" s="209"/>
      <c r="T3130" s="209"/>
    </row>
    <row r="3131" spans="1:20" s="463" customFormat="1" ht="15" hidden="1" customHeight="1">
      <c r="A3131" s="468">
        <v>45442</v>
      </c>
      <c r="B3131" s="208" t="s">
        <v>2766</v>
      </c>
      <c r="C3131" s="208" t="s">
        <v>27</v>
      </c>
      <c r="D3131" s="592">
        <v>-61435</v>
      </c>
      <c r="E3131" s="212">
        <v>45413</v>
      </c>
      <c r="F3131" s="201" t="s">
        <v>110</v>
      </c>
      <c r="G3131" s="208" t="s">
        <v>774</v>
      </c>
      <c r="H3131" s="208" t="s">
        <v>147</v>
      </c>
      <c r="I3131" s="208"/>
      <c r="J3131" s="209"/>
      <c r="K3131" s="209"/>
      <c r="L3131" s="209"/>
      <c r="M3131" s="209"/>
      <c r="N3131" s="209"/>
      <c r="O3131" s="209"/>
      <c r="P3131" s="209"/>
      <c r="Q3131" s="209"/>
      <c r="R3131" s="209"/>
      <c r="S3131" s="209"/>
      <c r="T3131" s="209"/>
    </row>
    <row r="3132" spans="1:20" s="463" customFormat="1" ht="15" hidden="1" customHeight="1">
      <c r="A3132" s="468">
        <v>45442</v>
      </c>
      <c r="B3132" s="208" t="s">
        <v>2767</v>
      </c>
      <c r="C3132" s="208" t="s">
        <v>27</v>
      </c>
      <c r="D3132" s="592">
        <v>-863000</v>
      </c>
      <c r="E3132" s="212">
        <v>45413</v>
      </c>
      <c r="F3132" s="208" t="s">
        <v>109</v>
      </c>
      <c r="G3132" s="208" t="s">
        <v>120</v>
      </c>
      <c r="H3132" s="208"/>
      <c r="I3132" s="208"/>
      <c r="J3132" s="209"/>
      <c r="K3132" s="209"/>
      <c r="L3132" s="209"/>
      <c r="M3132" s="209"/>
      <c r="N3132" s="209"/>
      <c r="O3132" s="209"/>
      <c r="P3132" s="209"/>
      <c r="Q3132" s="209"/>
      <c r="R3132" s="209"/>
      <c r="S3132" s="209"/>
      <c r="T3132" s="209"/>
    </row>
    <row r="3133" spans="1:20" s="463" customFormat="1" ht="15" hidden="1" customHeight="1">
      <c r="A3133" s="468">
        <v>45442</v>
      </c>
      <c r="B3133" s="208" t="s">
        <v>2768</v>
      </c>
      <c r="C3133" s="208" t="s">
        <v>27</v>
      </c>
      <c r="D3133" s="592">
        <v>-863000</v>
      </c>
      <c r="E3133" s="212">
        <v>45413</v>
      </c>
      <c r="F3133" s="208" t="s">
        <v>109</v>
      </c>
      <c r="G3133" s="208" t="s">
        <v>120</v>
      </c>
      <c r="H3133" s="208"/>
      <c r="I3133" s="208"/>
      <c r="J3133" s="209"/>
      <c r="K3133" s="209"/>
      <c r="L3133" s="209"/>
      <c r="M3133" s="209"/>
      <c r="N3133" s="209"/>
      <c r="O3133" s="209"/>
      <c r="P3133" s="209"/>
      <c r="Q3133" s="209"/>
      <c r="R3133" s="209"/>
      <c r="S3133" s="209"/>
      <c r="T3133" s="209"/>
    </row>
    <row r="3134" spans="1:20" s="463" customFormat="1" ht="15" hidden="1" customHeight="1">
      <c r="A3134" s="468">
        <v>45442</v>
      </c>
      <c r="B3134" s="208" t="s">
        <v>2769</v>
      </c>
      <c r="C3134" s="208" t="s">
        <v>27</v>
      </c>
      <c r="D3134" s="592">
        <v>-869361.70212765958</v>
      </c>
      <c r="E3134" s="212">
        <v>45413</v>
      </c>
      <c r="F3134" s="208" t="s">
        <v>109</v>
      </c>
      <c r="G3134" s="208" t="s">
        <v>120</v>
      </c>
      <c r="H3134" s="208"/>
      <c r="I3134" s="208"/>
      <c r="J3134" s="209"/>
      <c r="K3134" s="209"/>
      <c r="L3134" s="209"/>
      <c r="M3134" s="209"/>
      <c r="N3134" s="209"/>
      <c r="O3134" s="209"/>
      <c r="P3134" s="209"/>
      <c r="Q3134" s="209"/>
      <c r="R3134" s="209"/>
      <c r="S3134" s="209"/>
      <c r="T3134" s="209"/>
    </row>
    <row r="3135" spans="1:20" s="463" customFormat="1" ht="15" hidden="1" customHeight="1">
      <c r="A3135" s="468">
        <v>45442</v>
      </c>
      <c r="B3135" s="208" t="s">
        <v>2770</v>
      </c>
      <c r="C3135" s="208" t="s">
        <v>27</v>
      </c>
      <c r="D3135" s="592">
        <v>-875723.40425531915</v>
      </c>
      <c r="E3135" s="212">
        <v>45413</v>
      </c>
      <c r="F3135" s="208" t="s">
        <v>109</v>
      </c>
      <c r="G3135" s="208" t="s">
        <v>120</v>
      </c>
      <c r="H3135" s="208"/>
      <c r="I3135" s="208"/>
      <c r="J3135" s="209"/>
      <c r="K3135" s="209"/>
      <c r="L3135" s="209"/>
      <c r="M3135" s="209"/>
      <c r="N3135" s="209"/>
      <c r="O3135" s="209"/>
      <c r="P3135" s="209"/>
      <c r="Q3135" s="209"/>
      <c r="R3135" s="209"/>
      <c r="S3135" s="209"/>
      <c r="T3135" s="209"/>
    </row>
    <row r="3136" spans="1:20" s="463" customFormat="1" ht="15" hidden="1" customHeight="1">
      <c r="A3136" s="468">
        <v>45442</v>
      </c>
      <c r="B3136" s="208" t="s">
        <v>2771</v>
      </c>
      <c r="C3136" s="208" t="s">
        <v>27</v>
      </c>
      <c r="D3136" s="592">
        <v>-863000</v>
      </c>
      <c r="E3136" s="212">
        <v>45413</v>
      </c>
      <c r="F3136" s="208" t="s">
        <v>109</v>
      </c>
      <c r="G3136" s="208" t="s">
        <v>120</v>
      </c>
      <c r="H3136" s="208"/>
      <c r="I3136" s="208"/>
      <c r="J3136" s="209"/>
      <c r="K3136" s="209"/>
      <c r="L3136" s="209"/>
      <c r="M3136" s="209"/>
      <c r="N3136" s="209"/>
      <c r="O3136" s="209"/>
      <c r="P3136" s="209"/>
      <c r="Q3136" s="209"/>
      <c r="R3136" s="209"/>
      <c r="S3136" s="209"/>
      <c r="T3136" s="209"/>
    </row>
    <row r="3137" spans="1:20" s="463" customFormat="1" ht="15" hidden="1" customHeight="1">
      <c r="A3137" s="468">
        <v>45442</v>
      </c>
      <c r="B3137" s="208" t="s">
        <v>2772</v>
      </c>
      <c r="C3137" s="208" t="s">
        <v>27</v>
      </c>
      <c r="D3137" s="592">
        <v>-869361.70212765958</v>
      </c>
      <c r="E3137" s="212">
        <v>45413</v>
      </c>
      <c r="F3137" s="208" t="s">
        <v>109</v>
      </c>
      <c r="G3137" s="208" t="s">
        <v>120</v>
      </c>
      <c r="H3137" s="208"/>
      <c r="I3137" s="208"/>
      <c r="J3137" s="209"/>
      <c r="K3137" s="209"/>
      <c r="L3137" s="209"/>
      <c r="M3137" s="209"/>
      <c r="N3137" s="209"/>
      <c r="O3137" s="209"/>
      <c r="P3137" s="209"/>
      <c r="Q3137" s="209"/>
      <c r="R3137" s="209"/>
      <c r="S3137" s="209"/>
      <c r="T3137" s="209"/>
    </row>
    <row r="3138" spans="1:20" s="463" customFormat="1" ht="15" hidden="1" customHeight="1">
      <c r="A3138" s="468">
        <v>45442</v>
      </c>
      <c r="B3138" s="208" t="s">
        <v>2773</v>
      </c>
      <c r="C3138" s="208" t="s">
        <v>27</v>
      </c>
      <c r="D3138" s="592">
        <v>-869361.70212765958</v>
      </c>
      <c r="E3138" s="212">
        <v>45413</v>
      </c>
      <c r="F3138" s="208" t="s">
        <v>109</v>
      </c>
      <c r="G3138" s="208" t="s">
        <v>120</v>
      </c>
      <c r="H3138" s="208"/>
      <c r="I3138" s="208"/>
      <c r="J3138" s="209"/>
      <c r="K3138" s="209"/>
      <c r="L3138" s="209"/>
      <c r="M3138" s="209"/>
      <c r="N3138" s="209"/>
      <c r="O3138" s="209"/>
      <c r="P3138" s="209"/>
      <c r="Q3138" s="209"/>
      <c r="R3138" s="209"/>
      <c r="S3138" s="209"/>
      <c r="T3138" s="209"/>
    </row>
    <row r="3139" spans="1:20" s="463" customFormat="1" ht="15" hidden="1" customHeight="1">
      <c r="A3139" s="468">
        <v>45442</v>
      </c>
      <c r="B3139" s="208" t="s">
        <v>2774</v>
      </c>
      <c r="C3139" s="208" t="s">
        <v>27</v>
      </c>
      <c r="D3139" s="592">
        <v>-863000</v>
      </c>
      <c r="E3139" s="212">
        <v>45413</v>
      </c>
      <c r="F3139" s="208" t="s">
        <v>109</v>
      </c>
      <c r="G3139" s="208" t="s">
        <v>120</v>
      </c>
      <c r="H3139" s="208"/>
      <c r="I3139" s="208"/>
      <c r="J3139" s="209"/>
      <c r="K3139" s="209"/>
      <c r="L3139" s="209"/>
      <c r="M3139" s="209"/>
      <c r="N3139" s="209"/>
      <c r="O3139" s="209"/>
      <c r="P3139" s="209"/>
      <c r="Q3139" s="209"/>
      <c r="R3139" s="209"/>
      <c r="S3139" s="209"/>
      <c r="T3139" s="209"/>
    </row>
    <row r="3140" spans="1:20" s="463" customFormat="1" ht="15" hidden="1" customHeight="1">
      <c r="A3140" s="468">
        <v>45442</v>
      </c>
      <c r="B3140" s="208" t="s">
        <v>2775</v>
      </c>
      <c r="C3140" s="208" t="s">
        <v>27</v>
      </c>
      <c r="D3140" s="592">
        <v>-869361.70212765958</v>
      </c>
      <c r="E3140" s="212">
        <v>45413</v>
      </c>
      <c r="F3140" s="208" t="s">
        <v>109</v>
      </c>
      <c r="G3140" s="208" t="s">
        <v>120</v>
      </c>
      <c r="H3140" s="208"/>
      <c r="I3140" s="208"/>
      <c r="J3140" s="209"/>
      <c r="K3140" s="209"/>
      <c r="L3140" s="209"/>
      <c r="M3140" s="209"/>
      <c r="N3140" s="209"/>
      <c r="O3140" s="209"/>
      <c r="P3140" s="209"/>
      <c r="Q3140" s="209"/>
      <c r="R3140" s="209"/>
      <c r="S3140" s="209"/>
      <c r="T3140" s="209"/>
    </row>
    <row r="3141" spans="1:20" s="463" customFormat="1" ht="15" hidden="1" customHeight="1">
      <c r="A3141" s="468">
        <v>45442</v>
      </c>
      <c r="B3141" s="208" t="s">
        <v>2776</v>
      </c>
      <c r="C3141" s="208" t="s">
        <v>27</v>
      </c>
      <c r="D3141" s="592">
        <v>-1017288</v>
      </c>
      <c r="E3141" s="212">
        <v>45413</v>
      </c>
      <c r="F3141" s="208" t="s">
        <v>109</v>
      </c>
      <c r="G3141" s="208" t="s">
        <v>120</v>
      </c>
      <c r="H3141" s="208"/>
      <c r="I3141" s="208"/>
      <c r="J3141" s="209"/>
      <c r="K3141" s="209"/>
      <c r="L3141" s="209"/>
      <c r="M3141" s="209"/>
      <c r="N3141" s="209"/>
      <c r="O3141" s="209"/>
      <c r="P3141" s="209"/>
      <c r="Q3141" s="209"/>
      <c r="R3141" s="209"/>
      <c r="S3141" s="209"/>
      <c r="T3141" s="209"/>
    </row>
    <row r="3142" spans="1:20" s="463" customFormat="1" ht="15" hidden="1" customHeight="1">
      <c r="A3142" s="468">
        <v>45442</v>
      </c>
      <c r="B3142" s="208" t="s">
        <v>2098</v>
      </c>
      <c r="C3142" s="208" t="s">
        <v>27</v>
      </c>
      <c r="D3142" s="592">
        <v>-1017288</v>
      </c>
      <c r="E3142" s="212">
        <v>45413</v>
      </c>
      <c r="F3142" s="208" t="s">
        <v>109</v>
      </c>
      <c r="G3142" s="208" t="s">
        <v>120</v>
      </c>
      <c r="H3142" s="208"/>
      <c r="I3142" s="208"/>
      <c r="J3142" s="209"/>
      <c r="K3142" s="209"/>
      <c r="L3142" s="209"/>
      <c r="M3142" s="209"/>
      <c r="N3142" s="209"/>
      <c r="O3142" s="209"/>
      <c r="P3142" s="209"/>
      <c r="Q3142" s="209"/>
      <c r="R3142" s="209"/>
      <c r="S3142" s="209"/>
      <c r="T3142" s="209"/>
    </row>
    <row r="3143" spans="1:20" ht="15" hidden="1" customHeight="1">
      <c r="A3143" s="468">
        <v>45442</v>
      </c>
      <c r="B3143" s="208" t="s">
        <v>2777</v>
      </c>
      <c r="C3143" s="208" t="s">
        <v>27</v>
      </c>
      <c r="D3143" s="592">
        <v>-4864686</v>
      </c>
      <c r="E3143" s="212">
        <v>45413</v>
      </c>
      <c r="F3143" s="601" t="s">
        <v>109</v>
      </c>
      <c r="G3143" s="208" t="s">
        <v>125</v>
      </c>
      <c r="H3143" s="208" t="s">
        <v>418</v>
      </c>
      <c r="I3143" s="208"/>
      <c r="J3143" s="209"/>
      <c r="K3143" s="209"/>
      <c r="L3143" s="209"/>
      <c r="M3143" s="209"/>
      <c r="N3143" s="209"/>
      <c r="O3143" s="209"/>
      <c r="P3143" s="209"/>
      <c r="Q3143" s="209"/>
      <c r="R3143" s="209"/>
      <c r="S3143" s="209"/>
      <c r="T3143" s="209"/>
    </row>
    <row r="3144" spans="1:20" ht="15" hidden="1" customHeight="1">
      <c r="A3144" s="468">
        <v>45442</v>
      </c>
      <c r="B3144" s="208" t="s">
        <v>2778</v>
      </c>
      <c r="C3144" s="208" t="s">
        <v>27</v>
      </c>
      <c r="D3144" s="592">
        <v>-630671</v>
      </c>
      <c r="E3144" s="212">
        <v>45413</v>
      </c>
      <c r="F3144" s="601" t="s">
        <v>109</v>
      </c>
      <c r="G3144" s="201" t="s">
        <v>918</v>
      </c>
      <c r="H3144" s="208" t="s">
        <v>585</v>
      </c>
      <c r="I3144" s="208"/>
      <c r="J3144" s="209"/>
      <c r="K3144" s="209"/>
      <c r="L3144" s="209"/>
      <c r="M3144" s="209"/>
      <c r="N3144" s="209"/>
      <c r="O3144" s="209"/>
      <c r="P3144" s="209"/>
      <c r="Q3144" s="209"/>
      <c r="R3144" s="209"/>
      <c r="S3144" s="209"/>
      <c r="T3144" s="209"/>
    </row>
    <row r="3145" spans="1:20" ht="15" hidden="1" customHeight="1">
      <c r="A3145" s="468">
        <v>45443</v>
      </c>
      <c r="B3145" s="208" t="s">
        <v>2779</v>
      </c>
      <c r="C3145" s="208" t="s">
        <v>27</v>
      </c>
      <c r="D3145" s="592">
        <v>-8200000</v>
      </c>
      <c r="E3145" s="212">
        <v>45413</v>
      </c>
      <c r="F3145" s="601" t="s">
        <v>109</v>
      </c>
      <c r="G3145" s="208" t="s">
        <v>120</v>
      </c>
      <c r="H3145" s="208"/>
      <c r="I3145" s="208"/>
      <c r="J3145" s="209"/>
      <c r="K3145" s="209"/>
      <c r="L3145" s="209"/>
      <c r="M3145" s="209"/>
      <c r="N3145" s="209"/>
      <c r="O3145" s="209"/>
      <c r="P3145" s="209"/>
      <c r="Q3145" s="209"/>
      <c r="R3145" s="209"/>
      <c r="S3145" s="209"/>
      <c r="T3145" s="209"/>
    </row>
    <row r="3146" spans="1:20" ht="15" hidden="1" customHeight="1">
      <c r="A3146" s="468">
        <v>45443</v>
      </c>
      <c r="B3146" s="208" t="s">
        <v>2780</v>
      </c>
      <c r="C3146" s="208" t="s">
        <v>27</v>
      </c>
      <c r="D3146" s="592">
        <v>-26000</v>
      </c>
      <c r="E3146" s="212">
        <v>45413</v>
      </c>
      <c r="F3146" s="641" t="s">
        <v>130</v>
      </c>
      <c r="G3146" s="643" t="s">
        <v>130</v>
      </c>
      <c r="H3146" s="208" t="s">
        <v>1175</v>
      </c>
      <c r="I3146" s="208"/>
      <c r="J3146" s="209"/>
      <c r="K3146" s="209"/>
      <c r="L3146" s="209"/>
      <c r="M3146" s="209"/>
      <c r="N3146" s="209"/>
      <c r="O3146" s="209"/>
      <c r="P3146" s="209"/>
      <c r="Q3146" s="209"/>
      <c r="R3146" s="209"/>
      <c r="S3146" s="209"/>
      <c r="T3146" s="209"/>
    </row>
    <row r="3147" spans="1:20" ht="15" hidden="1" customHeight="1">
      <c r="A3147" s="468">
        <v>45443</v>
      </c>
      <c r="B3147" s="208" t="s">
        <v>2781</v>
      </c>
      <c r="C3147" s="208" t="s">
        <v>181</v>
      </c>
      <c r="D3147" s="592">
        <v>-2500000</v>
      </c>
      <c r="E3147" s="653">
        <v>45413</v>
      </c>
      <c r="F3147" s="84" t="s">
        <v>111</v>
      </c>
      <c r="G3147" s="208"/>
      <c r="H3147" s="208"/>
      <c r="I3147" s="208"/>
      <c r="J3147" s="209"/>
      <c r="K3147" s="209"/>
      <c r="L3147" s="209"/>
      <c r="M3147" s="209"/>
      <c r="N3147" s="209"/>
      <c r="O3147" s="209"/>
      <c r="P3147" s="209"/>
      <c r="Q3147" s="209"/>
      <c r="R3147" s="209"/>
      <c r="S3147" s="209"/>
      <c r="T3147" s="209"/>
    </row>
    <row r="3148" spans="1:20" ht="15" hidden="1" customHeight="1">
      <c r="A3148" s="468">
        <v>45443</v>
      </c>
      <c r="B3148" s="208" t="s">
        <v>2782</v>
      </c>
      <c r="C3148" s="208" t="s">
        <v>181</v>
      </c>
      <c r="D3148" s="592">
        <v>553838</v>
      </c>
      <c r="E3148" s="636">
        <v>45413</v>
      </c>
      <c r="F3148" s="208" t="s">
        <v>108</v>
      </c>
      <c r="G3148" s="208"/>
      <c r="H3148" s="208"/>
      <c r="I3148" s="208"/>
      <c r="J3148" s="209"/>
      <c r="K3148" s="209"/>
      <c r="L3148" s="209"/>
      <c r="M3148" s="209"/>
      <c r="N3148" s="209"/>
      <c r="O3148" s="209"/>
      <c r="P3148" s="209"/>
      <c r="Q3148" s="209"/>
      <c r="R3148" s="209"/>
      <c r="S3148" s="209"/>
      <c r="T3148" s="209"/>
    </row>
    <row r="3149" spans="1:20" ht="15" hidden="1" customHeight="1">
      <c r="A3149" s="468">
        <v>45442</v>
      </c>
      <c r="B3149" s="208" t="s">
        <v>2783</v>
      </c>
      <c r="C3149" s="208" t="s">
        <v>181</v>
      </c>
      <c r="D3149" s="592">
        <v>2408486</v>
      </c>
      <c r="E3149" s="636">
        <v>45413</v>
      </c>
      <c r="F3149" s="208" t="s">
        <v>108</v>
      </c>
      <c r="G3149" s="208"/>
      <c r="H3149" s="208"/>
      <c r="I3149" s="208"/>
      <c r="J3149" s="209"/>
      <c r="K3149" s="209"/>
      <c r="L3149" s="209"/>
      <c r="M3149" s="209"/>
      <c r="N3149" s="209"/>
      <c r="O3149" s="209"/>
      <c r="P3149" s="209"/>
      <c r="Q3149" s="209"/>
      <c r="R3149" s="209"/>
      <c r="S3149" s="209"/>
      <c r="T3149" s="209"/>
    </row>
    <row r="3150" spans="1:20" ht="15" hidden="1" customHeight="1">
      <c r="A3150" s="468">
        <v>45443</v>
      </c>
      <c r="B3150" s="208" t="s">
        <v>2781</v>
      </c>
      <c r="C3150" s="208" t="s">
        <v>181</v>
      </c>
      <c r="D3150" s="592">
        <v>-43835</v>
      </c>
      <c r="E3150" s="653">
        <v>45413</v>
      </c>
      <c r="F3150" s="208" t="s">
        <v>118</v>
      </c>
      <c r="G3150" s="208"/>
      <c r="H3150" s="208"/>
      <c r="I3150" s="208"/>
      <c r="J3150" s="209"/>
      <c r="K3150" s="209"/>
      <c r="L3150" s="209"/>
      <c r="M3150" s="209"/>
      <c r="N3150" s="209"/>
      <c r="O3150" s="209"/>
      <c r="P3150" s="209"/>
      <c r="Q3150" s="209"/>
      <c r="R3150" s="209"/>
      <c r="S3150" s="209"/>
      <c r="T3150" s="209"/>
    </row>
    <row r="3151" spans="1:20" ht="15" hidden="1" customHeight="1">
      <c r="A3151" s="468">
        <v>45442</v>
      </c>
      <c r="B3151" s="208" t="s">
        <v>2784</v>
      </c>
      <c r="C3151" s="208" t="s">
        <v>643</v>
      </c>
      <c r="D3151" s="592">
        <v>-600000</v>
      </c>
      <c r="E3151" s="212">
        <v>45413</v>
      </c>
      <c r="F3151" s="208" t="s">
        <v>130</v>
      </c>
      <c r="G3151" s="208" t="s">
        <v>257</v>
      </c>
      <c r="H3151" s="208" t="s">
        <v>663</v>
      </c>
      <c r="I3151" s="208"/>
      <c r="J3151" s="209"/>
      <c r="K3151" s="209"/>
      <c r="L3151" s="209"/>
      <c r="M3151" s="209"/>
      <c r="N3151" s="209"/>
      <c r="O3151" s="209"/>
      <c r="P3151" s="209"/>
      <c r="Q3151" s="209"/>
      <c r="R3151" s="209"/>
      <c r="S3151" s="209"/>
      <c r="T3151" s="209"/>
    </row>
    <row r="3152" spans="1:20" ht="15" hidden="1" customHeight="1">
      <c r="A3152" s="468">
        <v>45441</v>
      </c>
      <c r="B3152" s="208" t="s">
        <v>2785</v>
      </c>
      <c r="C3152" s="208" t="s">
        <v>643</v>
      </c>
      <c r="D3152" s="592">
        <v>-40400</v>
      </c>
      <c r="E3152" s="212">
        <v>45413</v>
      </c>
      <c r="F3152" s="208" t="s">
        <v>130</v>
      </c>
      <c r="G3152" s="208" t="s">
        <v>257</v>
      </c>
      <c r="H3152" s="208" t="s">
        <v>1138</v>
      </c>
      <c r="I3152" s="208"/>
      <c r="J3152" s="209"/>
      <c r="K3152" s="209"/>
      <c r="L3152" s="209"/>
      <c r="M3152" s="209"/>
      <c r="N3152" s="209"/>
      <c r="O3152" s="209"/>
      <c r="P3152" s="209"/>
      <c r="Q3152" s="209"/>
      <c r="R3152" s="209"/>
      <c r="S3152" s="209"/>
      <c r="T3152" s="209"/>
    </row>
    <row r="3153" spans="1:20" ht="15" hidden="1" customHeight="1">
      <c r="A3153" s="468">
        <v>45441</v>
      </c>
      <c r="B3153" s="208" t="s">
        <v>2786</v>
      </c>
      <c r="C3153" s="208" t="s">
        <v>643</v>
      </c>
      <c r="D3153" s="592">
        <v>-11900</v>
      </c>
      <c r="E3153" s="212">
        <v>45413</v>
      </c>
      <c r="F3153" s="208" t="s">
        <v>130</v>
      </c>
      <c r="G3153" s="208" t="s">
        <v>257</v>
      </c>
      <c r="H3153" s="208" t="s">
        <v>1138</v>
      </c>
      <c r="I3153" s="208"/>
      <c r="J3153" s="209"/>
      <c r="K3153" s="209"/>
      <c r="L3153" s="209"/>
      <c r="M3153" s="209"/>
      <c r="N3153" s="209"/>
      <c r="O3153" s="209"/>
      <c r="P3153" s="209"/>
      <c r="Q3153" s="209"/>
      <c r="R3153" s="209"/>
      <c r="S3153" s="209"/>
      <c r="T3153" s="209"/>
    </row>
    <row r="3154" spans="1:20" ht="15" hidden="1" customHeight="1">
      <c r="A3154" s="468">
        <v>45441</v>
      </c>
      <c r="B3154" s="208" t="s">
        <v>2787</v>
      </c>
      <c r="C3154" s="208" t="s">
        <v>643</v>
      </c>
      <c r="D3154" s="592">
        <v>-24600</v>
      </c>
      <c r="E3154" s="212">
        <v>45413</v>
      </c>
      <c r="F3154" s="208" t="s">
        <v>130</v>
      </c>
      <c r="G3154" s="208" t="s">
        <v>257</v>
      </c>
      <c r="H3154" s="208" t="s">
        <v>1138</v>
      </c>
      <c r="I3154" s="208"/>
      <c r="J3154" s="209"/>
      <c r="K3154" s="209"/>
      <c r="L3154" s="209"/>
      <c r="M3154" s="209"/>
      <c r="N3154" s="209"/>
      <c r="O3154" s="209"/>
      <c r="P3154" s="209"/>
      <c r="Q3154" s="209"/>
      <c r="R3154" s="209"/>
      <c r="S3154" s="209"/>
      <c r="T3154" s="209"/>
    </row>
    <row r="3155" spans="1:20" ht="15" hidden="1" customHeight="1">
      <c r="A3155" s="468">
        <v>45441</v>
      </c>
      <c r="B3155" s="208" t="s">
        <v>2788</v>
      </c>
      <c r="C3155" s="208" t="s">
        <v>643</v>
      </c>
      <c r="D3155" s="592">
        <v>-100000</v>
      </c>
      <c r="E3155" s="212">
        <v>45413</v>
      </c>
      <c r="F3155" s="208" t="s">
        <v>130</v>
      </c>
      <c r="G3155" s="208" t="s">
        <v>257</v>
      </c>
      <c r="H3155" s="208" t="s">
        <v>1138</v>
      </c>
      <c r="I3155" s="208"/>
      <c r="J3155" s="209"/>
      <c r="K3155" s="209"/>
      <c r="L3155" s="209"/>
      <c r="M3155" s="209"/>
      <c r="N3155" s="209"/>
      <c r="O3155" s="209"/>
      <c r="P3155" s="209"/>
      <c r="Q3155" s="209"/>
      <c r="R3155" s="209"/>
      <c r="S3155" s="209"/>
      <c r="T3155" s="209"/>
    </row>
    <row r="3156" spans="1:20" ht="15" hidden="1" customHeight="1">
      <c r="A3156" s="468">
        <v>45441</v>
      </c>
      <c r="B3156" s="208" t="s">
        <v>2789</v>
      </c>
      <c r="C3156" s="208" t="s">
        <v>643</v>
      </c>
      <c r="D3156" s="592">
        <v>-9940.9699999999993</v>
      </c>
      <c r="E3156" s="212">
        <v>45413</v>
      </c>
      <c r="F3156" s="208" t="s">
        <v>130</v>
      </c>
      <c r="G3156" s="208" t="s">
        <v>257</v>
      </c>
      <c r="H3156" s="208" t="s">
        <v>1138</v>
      </c>
      <c r="I3156" s="208"/>
      <c r="J3156" s="209"/>
      <c r="K3156" s="209"/>
      <c r="L3156" s="209"/>
      <c r="M3156" s="209"/>
      <c r="N3156" s="209"/>
      <c r="O3156" s="209"/>
      <c r="P3156" s="209"/>
      <c r="Q3156" s="209"/>
      <c r="R3156" s="209"/>
      <c r="S3156" s="209"/>
      <c r="T3156" s="209"/>
    </row>
    <row r="3157" spans="1:20" ht="15" hidden="1" customHeight="1">
      <c r="A3157" s="468">
        <v>45441</v>
      </c>
      <c r="B3157" s="208" t="s">
        <v>2789</v>
      </c>
      <c r="C3157" s="208" t="s">
        <v>643</v>
      </c>
      <c r="D3157" s="592">
        <v>-17647.150000000001</v>
      </c>
      <c r="E3157" s="212">
        <v>45413</v>
      </c>
      <c r="F3157" s="208" t="s">
        <v>130</v>
      </c>
      <c r="G3157" s="208" t="s">
        <v>257</v>
      </c>
      <c r="H3157" s="208" t="s">
        <v>1138</v>
      </c>
      <c r="I3157" s="208"/>
      <c r="J3157" s="209"/>
      <c r="K3157" s="209"/>
      <c r="L3157" s="209"/>
      <c r="M3157" s="209"/>
      <c r="N3157" s="209"/>
      <c r="O3157" s="209"/>
      <c r="P3157" s="209"/>
      <c r="Q3157" s="209"/>
      <c r="R3157" s="209"/>
      <c r="S3157" s="209"/>
      <c r="T3157" s="209"/>
    </row>
    <row r="3158" spans="1:20" ht="15" hidden="1" customHeight="1">
      <c r="A3158" s="468">
        <v>45440</v>
      </c>
      <c r="B3158" s="208" t="s">
        <v>2790</v>
      </c>
      <c r="C3158" s="208" t="s">
        <v>643</v>
      </c>
      <c r="D3158" s="592">
        <v>-53600</v>
      </c>
      <c r="E3158" s="212">
        <v>45413</v>
      </c>
      <c r="F3158" s="208" t="s">
        <v>130</v>
      </c>
      <c r="G3158" s="208" t="s">
        <v>257</v>
      </c>
      <c r="H3158" s="208" t="s">
        <v>1138</v>
      </c>
      <c r="I3158" s="208"/>
      <c r="J3158" s="209"/>
      <c r="K3158" s="209"/>
      <c r="L3158" s="209"/>
      <c r="M3158" s="209"/>
      <c r="N3158" s="209"/>
      <c r="O3158" s="209"/>
      <c r="P3158" s="209"/>
      <c r="Q3158" s="209"/>
      <c r="R3158" s="209"/>
      <c r="S3158" s="209"/>
      <c r="T3158" s="209"/>
    </row>
    <row r="3159" spans="1:20" ht="15" hidden="1" customHeight="1">
      <c r="A3159" s="468">
        <v>45440</v>
      </c>
      <c r="B3159" s="208" t="s">
        <v>2791</v>
      </c>
      <c r="C3159" s="208" t="s">
        <v>643</v>
      </c>
      <c r="D3159" s="592">
        <v>-60000</v>
      </c>
      <c r="E3159" s="212">
        <v>45413</v>
      </c>
      <c r="F3159" s="208" t="s">
        <v>130</v>
      </c>
      <c r="G3159" s="208" t="s">
        <v>257</v>
      </c>
      <c r="H3159" s="208" t="s">
        <v>1138</v>
      </c>
      <c r="I3159" s="208"/>
      <c r="J3159" s="209"/>
      <c r="K3159" s="209"/>
      <c r="L3159" s="209"/>
      <c r="M3159" s="209"/>
      <c r="N3159" s="209"/>
      <c r="O3159" s="209"/>
      <c r="P3159" s="209"/>
      <c r="Q3159" s="209"/>
      <c r="R3159" s="209"/>
      <c r="S3159" s="209"/>
      <c r="T3159" s="209"/>
    </row>
    <row r="3160" spans="1:20" ht="15" hidden="1" customHeight="1">
      <c r="A3160" s="468">
        <v>45440</v>
      </c>
      <c r="B3160" s="208" t="s">
        <v>2792</v>
      </c>
      <c r="C3160" s="208" t="s">
        <v>643</v>
      </c>
      <c r="D3160" s="592">
        <v>-61600</v>
      </c>
      <c r="E3160" s="212">
        <v>45413</v>
      </c>
      <c r="F3160" s="208" t="s">
        <v>130</v>
      </c>
      <c r="G3160" s="208" t="s">
        <v>257</v>
      </c>
      <c r="H3160" s="208" t="s">
        <v>1138</v>
      </c>
      <c r="I3160" s="208"/>
      <c r="J3160" s="209"/>
      <c r="K3160" s="209"/>
      <c r="L3160" s="209"/>
      <c r="M3160" s="209"/>
      <c r="N3160" s="209"/>
      <c r="O3160" s="209"/>
      <c r="P3160" s="209"/>
      <c r="Q3160" s="209"/>
      <c r="R3160" s="209"/>
      <c r="S3160" s="209"/>
      <c r="T3160" s="209"/>
    </row>
    <row r="3161" spans="1:20" ht="15" hidden="1" customHeight="1">
      <c r="A3161" s="468">
        <v>45440</v>
      </c>
      <c r="B3161" s="208" t="s">
        <v>2793</v>
      </c>
      <c r="C3161" s="208" t="s">
        <v>643</v>
      </c>
      <c r="D3161" s="592">
        <v>-6900</v>
      </c>
      <c r="E3161" s="212">
        <v>45413</v>
      </c>
      <c r="F3161" s="208" t="s">
        <v>130</v>
      </c>
      <c r="G3161" s="208" t="s">
        <v>257</v>
      </c>
      <c r="H3161" s="208" t="s">
        <v>1138</v>
      </c>
      <c r="I3161" s="208"/>
      <c r="J3161" s="209"/>
      <c r="K3161" s="209"/>
      <c r="L3161" s="209"/>
      <c r="M3161" s="209"/>
      <c r="N3161" s="209"/>
      <c r="O3161" s="209"/>
      <c r="P3161" s="209"/>
      <c r="Q3161" s="209"/>
      <c r="R3161" s="209"/>
      <c r="S3161" s="209"/>
      <c r="T3161" s="209"/>
    </row>
    <row r="3162" spans="1:20" ht="15" hidden="1" customHeight="1">
      <c r="A3162" s="468">
        <v>45440</v>
      </c>
      <c r="B3162" s="208" t="s">
        <v>2794</v>
      </c>
      <c r="C3162" s="208" t="s">
        <v>643</v>
      </c>
      <c r="D3162" s="592">
        <v>-21400</v>
      </c>
      <c r="E3162" s="212">
        <v>45413</v>
      </c>
      <c r="F3162" s="208" t="s">
        <v>130</v>
      </c>
      <c r="G3162" s="208" t="s">
        <v>257</v>
      </c>
      <c r="H3162" s="208" t="s">
        <v>1138</v>
      </c>
      <c r="I3162" s="208"/>
      <c r="J3162" s="209"/>
      <c r="K3162" s="209"/>
      <c r="L3162" s="209"/>
      <c r="M3162" s="209"/>
      <c r="N3162" s="209"/>
      <c r="O3162" s="209"/>
      <c r="P3162" s="209"/>
      <c r="Q3162" s="209"/>
      <c r="R3162" s="209"/>
      <c r="S3162" s="209"/>
      <c r="T3162" s="209"/>
    </row>
    <row r="3163" spans="1:20" ht="15" hidden="1" customHeight="1">
      <c r="A3163" s="468">
        <v>45448</v>
      </c>
      <c r="B3163" s="208" t="s">
        <v>2795</v>
      </c>
      <c r="C3163" s="208" t="s">
        <v>27</v>
      </c>
      <c r="D3163" s="592">
        <v>-1329265</v>
      </c>
      <c r="E3163" s="212">
        <v>45444</v>
      </c>
      <c r="F3163" s="208" t="s">
        <v>109</v>
      </c>
      <c r="G3163" s="201" t="s">
        <v>918</v>
      </c>
      <c r="H3163" s="208" t="s">
        <v>421</v>
      </c>
      <c r="I3163" s="208"/>
      <c r="J3163" s="209"/>
      <c r="K3163" s="209"/>
      <c r="L3163" s="209"/>
      <c r="M3163" s="209"/>
      <c r="N3163" s="209"/>
      <c r="O3163" s="209"/>
      <c r="P3163" s="209"/>
      <c r="Q3163" s="209"/>
      <c r="R3163" s="209"/>
      <c r="S3163" s="209"/>
      <c r="T3163" s="209"/>
    </row>
    <row r="3164" spans="1:20" ht="15" hidden="1" customHeight="1">
      <c r="A3164" s="468">
        <v>45448</v>
      </c>
      <c r="B3164" s="208" t="s">
        <v>2795</v>
      </c>
      <c r="C3164" s="208" t="s">
        <v>27</v>
      </c>
      <c r="D3164" s="592">
        <v>-1329265</v>
      </c>
      <c r="E3164" s="212">
        <v>45444</v>
      </c>
      <c r="F3164" s="201" t="s">
        <v>110</v>
      </c>
      <c r="G3164" s="208" t="s">
        <v>450</v>
      </c>
      <c r="H3164" s="208" t="s">
        <v>421</v>
      </c>
      <c r="I3164" s="208"/>
      <c r="J3164" s="209"/>
      <c r="K3164" s="209"/>
      <c r="L3164" s="209"/>
      <c r="M3164" s="209"/>
      <c r="N3164" s="209"/>
      <c r="O3164" s="209"/>
      <c r="P3164" s="209"/>
      <c r="Q3164" s="209"/>
      <c r="R3164" s="209"/>
      <c r="S3164" s="209"/>
      <c r="T3164" s="209"/>
    </row>
    <row r="3165" spans="1:20" ht="15" hidden="1" customHeight="1">
      <c r="A3165" s="468">
        <v>45448</v>
      </c>
      <c r="B3165" s="208" t="s">
        <v>2795</v>
      </c>
      <c r="C3165" s="208" t="s">
        <v>27</v>
      </c>
      <c r="D3165" s="592">
        <v>-1329265</v>
      </c>
      <c r="E3165" s="212">
        <v>45444</v>
      </c>
      <c r="F3165" s="208" t="s">
        <v>109</v>
      </c>
      <c r="G3165" s="208" t="s">
        <v>414</v>
      </c>
      <c r="H3165" s="208" t="s">
        <v>421</v>
      </c>
      <c r="I3165" s="208"/>
      <c r="J3165" s="209"/>
      <c r="K3165" s="209"/>
      <c r="L3165" s="209"/>
      <c r="M3165" s="209"/>
      <c r="N3165" s="209"/>
      <c r="O3165" s="209"/>
      <c r="P3165" s="209"/>
      <c r="Q3165" s="209"/>
      <c r="R3165" s="209"/>
      <c r="S3165" s="209"/>
      <c r="T3165" s="209"/>
    </row>
    <row r="3166" spans="1:20" ht="15" hidden="1" customHeight="1">
      <c r="A3166" s="468">
        <v>45448</v>
      </c>
      <c r="B3166" s="208" t="s">
        <v>2795</v>
      </c>
      <c r="C3166" s="208" t="s">
        <v>27</v>
      </c>
      <c r="D3166" s="592">
        <v>-1329265</v>
      </c>
      <c r="E3166" s="212">
        <v>45444</v>
      </c>
      <c r="F3166" s="208" t="s">
        <v>109</v>
      </c>
      <c r="G3166" s="208" t="s">
        <v>168</v>
      </c>
      <c r="H3166" s="208" t="s">
        <v>421</v>
      </c>
      <c r="I3166" s="208"/>
      <c r="J3166" s="209"/>
      <c r="K3166" s="209"/>
      <c r="L3166" s="209"/>
      <c r="M3166" s="209"/>
      <c r="N3166" s="209"/>
      <c r="O3166" s="209"/>
      <c r="P3166" s="209"/>
      <c r="Q3166" s="209"/>
      <c r="R3166" s="209"/>
      <c r="S3166" s="209"/>
      <c r="T3166" s="209"/>
    </row>
    <row r="3167" spans="1:20" ht="15" hidden="1" customHeight="1">
      <c r="A3167" s="468">
        <v>45448</v>
      </c>
      <c r="B3167" s="208" t="s">
        <v>2795</v>
      </c>
      <c r="C3167" s="208" t="s">
        <v>27</v>
      </c>
      <c r="D3167" s="592">
        <v>-1329265</v>
      </c>
      <c r="E3167" s="212">
        <v>45444</v>
      </c>
      <c r="F3167" s="208" t="s">
        <v>109</v>
      </c>
      <c r="G3167" s="208" t="s">
        <v>383</v>
      </c>
      <c r="H3167" s="208" t="s">
        <v>421</v>
      </c>
      <c r="I3167" s="208"/>
      <c r="J3167" s="209"/>
      <c r="K3167" s="209"/>
      <c r="L3167" s="209"/>
      <c r="M3167" s="209"/>
      <c r="N3167" s="209"/>
      <c r="O3167" s="209"/>
      <c r="P3167" s="209"/>
      <c r="Q3167" s="209"/>
      <c r="R3167" s="209"/>
      <c r="S3167" s="209"/>
      <c r="T3167" s="209"/>
    </row>
    <row r="3168" spans="1:20" ht="15" hidden="1" customHeight="1">
      <c r="A3168" s="468">
        <v>45448</v>
      </c>
      <c r="B3168" s="208" t="s">
        <v>2795</v>
      </c>
      <c r="C3168" s="208" t="s">
        <v>27</v>
      </c>
      <c r="D3168" s="592">
        <v>-1329265</v>
      </c>
      <c r="E3168" s="212">
        <v>45444</v>
      </c>
      <c r="F3168" s="208" t="s">
        <v>109</v>
      </c>
      <c r="G3168" s="208" t="s">
        <v>137</v>
      </c>
      <c r="H3168" s="208" t="s">
        <v>421</v>
      </c>
      <c r="I3168" s="208"/>
      <c r="J3168" s="209"/>
      <c r="K3168" s="209"/>
      <c r="L3168" s="209"/>
      <c r="M3168" s="209"/>
      <c r="N3168" s="209"/>
      <c r="O3168" s="209"/>
      <c r="P3168" s="209"/>
      <c r="Q3168" s="209"/>
      <c r="R3168" s="209"/>
      <c r="S3168" s="209"/>
      <c r="T3168" s="209"/>
    </row>
    <row r="3169" spans="1:149" ht="15" hidden="1" customHeight="1">
      <c r="A3169" s="468">
        <v>45448</v>
      </c>
      <c r="B3169" s="208" t="s">
        <v>1619</v>
      </c>
      <c r="C3169" s="208" t="s">
        <v>27</v>
      </c>
      <c r="D3169" s="592">
        <v>-722515</v>
      </c>
      <c r="E3169" s="212">
        <v>45444</v>
      </c>
      <c r="F3169" s="208" t="s">
        <v>130</v>
      </c>
      <c r="G3169" s="208" t="s">
        <v>130</v>
      </c>
      <c r="H3169" s="208" t="s">
        <v>1156</v>
      </c>
      <c r="I3169" s="208"/>
      <c r="J3169" s="209"/>
      <c r="K3169" s="209"/>
      <c r="L3169" s="209"/>
      <c r="M3169" s="209"/>
      <c r="N3169" s="209"/>
      <c r="O3169" s="209"/>
      <c r="P3169" s="209"/>
      <c r="Q3169" s="209"/>
      <c r="R3169" s="209"/>
      <c r="S3169" s="209"/>
      <c r="T3169" s="209"/>
    </row>
    <row r="3170" spans="1:149" ht="15" hidden="1" customHeight="1">
      <c r="A3170" s="222">
        <v>45405</v>
      </c>
      <c r="B3170" s="201" t="s">
        <v>2796</v>
      </c>
      <c r="C3170" s="208" t="s">
        <v>27</v>
      </c>
      <c r="D3170" s="592">
        <v>-235372</v>
      </c>
      <c r="E3170" s="619">
        <v>45383</v>
      </c>
      <c r="F3170" s="201" t="s">
        <v>110</v>
      </c>
      <c r="G3170" s="208" t="s">
        <v>450</v>
      </c>
      <c r="H3170" s="208" t="s">
        <v>175</v>
      </c>
      <c r="I3170" s="201"/>
      <c r="J3170" s="202"/>
      <c r="K3170" s="202"/>
      <c r="L3170" s="202"/>
      <c r="M3170" s="202"/>
      <c r="N3170" s="202"/>
      <c r="O3170" s="202"/>
      <c r="P3170" s="202"/>
      <c r="Q3170" s="202"/>
      <c r="R3170" s="202"/>
      <c r="S3170" s="202"/>
      <c r="T3170" s="202"/>
      <c r="U3170" s="202"/>
      <c r="V3170" s="202"/>
      <c r="W3170" s="202"/>
      <c r="X3170" s="202"/>
      <c r="Y3170" s="202"/>
      <c r="Z3170" s="202"/>
      <c r="AA3170" s="202"/>
      <c r="AB3170" s="202"/>
      <c r="AC3170" s="202"/>
      <c r="AD3170" s="202"/>
      <c r="AE3170" s="202"/>
      <c r="AF3170" s="202"/>
      <c r="AG3170" s="202"/>
      <c r="AH3170" s="202"/>
      <c r="AI3170" s="202"/>
      <c r="AJ3170" s="202"/>
      <c r="AK3170" s="202"/>
      <c r="AL3170" s="202"/>
      <c r="AM3170" s="202"/>
      <c r="AN3170" s="202"/>
      <c r="AO3170" s="202"/>
      <c r="AP3170" s="202"/>
      <c r="AQ3170" s="202"/>
      <c r="AR3170" s="202"/>
      <c r="AS3170" s="202"/>
      <c r="AT3170" s="202"/>
      <c r="AU3170" s="202"/>
      <c r="AV3170" s="202"/>
      <c r="AW3170" s="202"/>
      <c r="AX3170" s="202"/>
      <c r="AY3170" s="202"/>
      <c r="AZ3170" s="202"/>
      <c r="BA3170" s="202"/>
      <c r="BB3170" s="202"/>
      <c r="BC3170" s="202"/>
      <c r="BD3170" s="202"/>
      <c r="BE3170" s="202"/>
      <c r="BF3170" s="202"/>
      <c r="BG3170" s="202"/>
      <c r="BH3170" s="202"/>
      <c r="BI3170" s="202"/>
      <c r="BJ3170" s="202"/>
      <c r="BK3170" s="202"/>
      <c r="BL3170" s="202"/>
      <c r="BM3170" s="202"/>
      <c r="BN3170" s="202"/>
      <c r="BO3170" s="202"/>
      <c r="BP3170" s="202"/>
      <c r="BQ3170" s="202"/>
      <c r="BR3170" s="202"/>
      <c r="BS3170" s="202"/>
      <c r="BT3170" s="202"/>
      <c r="BU3170" s="202"/>
      <c r="BV3170" s="202"/>
      <c r="BW3170" s="202"/>
      <c r="BX3170" s="202"/>
      <c r="BY3170" s="202"/>
      <c r="BZ3170" s="202"/>
      <c r="CA3170" s="202"/>
      <c r="CB3170" s="202"/>
      <c r="CC3170" s="202"/>
      <c r="CD3170" s="202"/>
      <c r="CE3170" s="202"/>
      <c r="CF3170" s="202"/>
      <c r="CG3170" s="202"/>
      <c r="CH3170" s="202"/>
      <c r="CI3170" s="202"/>
      <c r="CJ3170" s="202"/>
      <c r="CK3170" s="202"/>
      <c r="CL3170" s="202"/>
      <c r="CM3170" s="202"/>
      <c r="CN3170" s="202"/>
      <c r="CO3170" s="202"/>
      <c r="CP3170" s="202"/>
      <c r="CQ3170" s="202"/>
      <c r="CR3170" s="202"/>
      <c r="CS3170" s="202"/>
      <c r="CT3170" s="202"/>
      <c r="CU3170" s="202"/>
      <c r="CV3170" s="202"/>
      <c r="CW3170" s="202"/>
      <c r="CX3170" s="202"/>
      <c r="CY3170" s="202"/>
      <c r="CZ3170" s="202"/>
      <c r="DA3170" s="202"/>
      <c r="DB3170" s="202"/>
      <c r="DC3170" s="202"/>
      <c r="DD3170" s="202"/>
      <c r="DE3170" s="202"/>
      <c r="DF3170" s="202"/>
      <c r="DG3170" s="202"/>
      <c r="DH3170" s="202"/>
      <c r="DI3170" s="202"/>
      <c r="DJ3170" s="202"/>
      <c r="DK3170" s="202"/>
      <c r="DL3170" s="202"/>
      <c r="DM3170" s="202"/>
      <c r="DN3170" s="202"/>
      <c r="DO3170" s="202"/>
      <c r="DP3170" s="202"/>
      <c r="DQ3170" s="202"/>
      <c r="DR3170" s="202"/>
      <c r="DS3170" s="202"/>
      <c r="DT3170" s="202"/>
      <c r="DU3170" s="202"/>
      <c r="DV3170" s="202"/>
      <c r="DW3170" s="202"/>
      <c r="DX3170" s="202"/>
      <c r="DY3170" s="202"/>
      <c r="DZ3170" s="202"/>
      <c r="EA3170" s="202"/>
      <c r="EB3170" s="202"/>
      <c r="EC3170" s="202"/>
      <c r="ED3170" s="202"/>
      <c r="EE3170" s="202"/>
      <c r="EF3170" s="202"/>
      <c r="EG3170" s="202"/>
      <c r="EH3170" s="202"/>
      <c r="EI3170" s="202"/>
      <c r="EJ3170" s="202"/>
      <c r="EK3170" s="202"/>
      <c r="EL3170" s="202"/>
      <c r="EM3170" s="202"/>
      <c r="EN3170" s="202"/>
      <c r="EO3170" s="202"/>
      <c r="EP3170" s="202"/>
      <c r="EQ3170" s="202"/>
      <c r="ER3170" s="202"/>
      <c r="ES3170" s="202"/>
    </row>
    <row r="3171" spans="1:149" ht="15" hidden="1" customHeight="1">
      <c r="A3171" s="468">
        <v>45448</v>
      </c>
      <c r="B3171" s="208" t="s">
        <v>2797</v>
      </c>
      <c r="C3171" s="208" t="s">
        <v>27</v>
      </c>
      <c r="D3171" s="592">
        <v>-700729</v>
      </c>
      <c r="E3171" s="212">
        <v>45444</v>
      </c>
      <c r="F3171" s="208" t="s">
        <v>109</v>
      </c>
      <c r="G3171" s="201" t="s">
        <v>1261</v>
      </c>
      <c r="H3171" s="208" t="s">
        <v>310</v>
      </c>
      <c r="I3171" s="208"/>
      <c r="J3171" s="209"/>
      <c r="K3171" s="209"/>
      <c r="L3171" s="209"/>
      <c r="M3171" s="209"/>
      <c r="N3171" s="209"/>
      <c r="O3171" s="209"/>
      <c r="P3171" s="209"/>
      <c r="Q3171" s="209"/>
      <c r="R3171" s="209"/>
      <c r="S3171" s="209"/>
      <c r="T3171" s="209"/>
    </row>
    <row r="3172" spans="1:149" ht="15" hidden="1" customHeight="1">
      <c r="A3172" s="468">
        <v>45448</v>
      </c>
      <c r="B3172" s="208" t="s">
        <v>2798</v>
      </c>
      <c r="C3172" s="208" t="s">
        <v>27</v>
      </c>
      <c r="D3172" s="592">
        <v>-202950</v>
      </c>
      <c r="E3172" s="212">
        <v>45444</v>
      </c>
      <c r="F3172" s="208" t="s">
        <v>109</v>
      </c>
      <c r="G3172" s="201" t="s">
        <v>1261</v>
      </c>
      <c r="H3172" s="208" t="s">
        <v>310</v>
      </c>
      <c r="I3172" s="208"/>
      <c r="J3172" s="209"/>
      <c r="K3172" s="209"/>
      <c r="L3172" s="209"/>
      <c r="M3172" s="209"/>
      <c r="N3172" s="209"/>
      <c r="O3172" s="209"/>
      <c r="P3172" s="209"/>
      <c r="Q3172" s="209"/>
      <c r="R3172" s="209"/>
      <c r="S3172" s="209"/>
      <c r="T3172" s="209"/>
    </row>
    <row r="3173" spans="1:149" ht="15" hidden="1" customHeight="1">
      <c r="A3173" s="468">
        <v>45448</v>
      </c>
      <c r="B3173" s="208" t="s">
        <v>1668</v>
      </c>
      <c r="C3173" s="208" t="s">
        <v>27</v>
      </c>
      <c r="D3173" s="592">
        <v>-756798</v>
      </c>
      <c r="E3173" s="212">
        <v>45444</v>
      </c>
      <c r="F3173" s="208" t="s">
        <v>130</v>
      </c>
      <c r="G3173" s="208" t="s">
        <v>130</v>
      </c>
      <c r="H3173" s="208" t="s">
        <v>1156</v>
      </c>
      <c r="I3173" s="208"/>
      <c r="J3173" s="209"/>
      <c r="K3173" s="209"/>
      <c r="L3173" s="209"/>
      <c r="M3173" s="209"/>
      <c r="N3173" s="209"/>
      <c r="O3173" s="209"/>
      <c r="P3173" s="209"/>
      <c r="Q3173" s="209"/>
      <c r="R3173" s="209"/>
      <c r="S3173" s="209"/>
      <c r="T3173" s="209"/>
    </row>
    <row r="3174" spans="1:149" ht="15" hidden="1" customHeight="1">
      <c r="A3174" s="468">
        <v>45449</v>
      </c>
      <c r="B3174" s="208" t="s">
        <v>2799</v>
      </c>
      <c r="C3174" s="208" t="s">
        <v>27</v>
      </c>
      <c r="D3174" s="592">
        <v>-500000</v>
      </c>
      <c r="E3174" s="212">
        <v>45444</v>
      </c>
      <c r="F3174" s="208" t="s">
        <v>109</v>
      </c>
      <c r="G3174" s="208" t="s">
        <v>10</v>
      </c>
      <c r="H3174" s="208"/>
      <c r="I3174" s="208"/>
      <c r="J3174" s="209"/>
      <c r="K3174" s="209"/>
      <c r="L3174" s="209"/>
      <c r="M3174" s="209"/>
      <c r="N3174" s="209"/>
      <c r="O3174" s="209"/>
      <c r="P3174" s="209"/>
      <c r="Q3174" s="209"/>
      <c r="R3174" s="209"/>
      <c r="S3174" s="209"/>
      <c r="T3174" s="209"/>
    </row>
    <row r="3175" spans="1:149" ht="15" hidden="1" customHeight="1">
      <c r="A3175" s="468">
        <v>45448</v>
      </c>
      <c r="B3175" s="208" t="s">
        <v>2800</v>
      </c>
      <c r="C3175" s="208" t="s">
        <v>27</v>
      </c>
      <c r="D3175" s="592">
        <v>-104000</v>
      </c>
      <c r="E3175" s="212">
        <v>45444</v>
      </c>
      <c r="F3175" s="208" t="s">
        <v>130</v>
      </c>
      <c r="G3175" s="208" t="s">
        <v>257</v>
      </c>
      <c r="H3175" s="208" t="s">
        <v>663</v>
      </c>
      <c r="I3175" s="208"/>
      <c r="J3175" s="209"/>
      <c r="K3175" s="209"/>
      <c r="L3175" s="209"/>
      <c r="M3175" s="209"/>
      <c r="N3175" s="209"/>
      <c r="O3175" s="209"/>
      <c r="P3175" s="209"/>
      <c r="Q3175" s="209"/>
      <c r="R3175" s="209"/>
      <c r="S3175" s="209"/>
      <c r="T3175" s="209"/>
    </row>
    <row r="3176" spans="1:149" ht="15" hidden="1" customHeight="1">
      <c r="A3176" s="468">
        <v>45448</v>
      </c>
      <c r="B3176" s="208" t="s">
        <v>2801</v>
      </c>
      <c r="C3176" s="208" t="s">
        <v>27</v>
      </c>
      <c r="D3176" s="592">
        <v>-11654489</v>
      </c>
      <c r="E3176" s="212">
        <v>45444</v>
      </c>
      <c r="F3176" s="208" t="s">
        <v>109</v>
      </c>
      <c r="G3176" s="208" t="s">
        <v>2802</v>
      </c>
      <c r="H3176" s="208" t="s">
        <v>123</v>
      </c>
      <c r="I3176" s="208"/>
      <c r="J3176" s="209"/>
      <c r="K3176" s="209"/>
      <c r="L3176" s="209"/>
      <c r="M3176" s="209"/>
      <c r="N3176" s="209"/>
      <c r="O3176" s="209"/>
      <c r="P3176" s="209"/>
      <c r="Q3176" s="209"/>
      <c r="R3176" s="209"/>
      <c r="S3176" s="209"/>
      <c r="T3176" s="209"/>
    </row>
    <row r="3177" spans="1:149" ht="15" hidden="1" customHeight="1">
      <c r="A3177" s="468">
        <v>45447</v>
      </c>
      <c r="B3177" s="208" t="s">
        <v>2803</v>
      </c>
      <c r="C3177" s="208" t="s">
        <v>27</v>
      </c>
      <c r="D3177" s="592">
        <v>-6004800</v>
      </c>
      <c r="E3177" s="212">
        <v>45444</v>
      </c>
      <c r="F3177" s="208" t="s">
        <v>109</v>
      </c>
      <c r="G3177" s="208" t="s">
        <v>120</v>
      </c>
      <c r="H3177" s="208"/>
      <c r="I3177" s="208"/>
      <c r="J3177" s="209"/>
      <c r="K3177" s="209"/>
      <c r="L3177" s="209"/>
      <c r="M3177" s="209"/>
      <c r="N3177" s="209"/>
      <c r="O3177" s="209"/>
      <c r="P3177" s="209"/>
      <c r="Q3177" s="209"/>
      <c r="R3177" s="209"/>
      <c r="S3177" s="209"/>
      <c r="T3177" s="209"/>
    </row>
    <row r="3178" spans="1:149" ht="15" hidden="1" customHeight="1">
      <c r="A3178" s="468">
        <v>45447</v>
      </c>
      <c r="B3178" s="208" t="s">
        <v>2804</v>
      </c>
      <c r="C3178" s="208" t="s">
        <v>27</v>
      </c>
      <c r="D3178" s="592">
        <v>-512847</v>
      </c>
      <c r="E3178" s="212">
        <v>45444</v>
      </c>
      <c r="F3178" s="208" t="s">
        <v>109</v>
      </c>
      <c r="G3178" s="208" t="s">
        <v>120</v>
      </c>
      <c r="H3178" s="208"/>
      <c r="I3178" s="208"/>
      <c r="J3178" s="209"/>
      <c r="K3178" s="209"/>
      <c r="L3178" s="209"/>
      <c r="M3178" s="209"/>
      <c r="N3178" s="209"/>
      <c r="O3178" s="209"/>
      <c r="P3178" s="209"/>
      <c r="Q3178" s="209"/>
      <c r="R3178" s="209"/>
      <c r="S3178" s="209"/>
      <c r="T3178" s="209"/>
    </row>
    <row r="3179" spans="1:149" ht="15" hidden="1" customHeight="1">
      <c r="A3179" s="468">
        <v>45448</v>
      </c>
      <c r="B3179" s="208" t="s">
        <v>2804</v>
      </c>
      <c r="C3179" s="208" t="s">
        <v>27</v>
      </c>
      <c r="D3179" s="592">
        <v>-236505</v>
      </c>
      <c r="E3179" s="212">
        <v>45444</v>
      </c>
      <c r="F3179" s="201" t="s">
        <v>110</v>
      </c>
      <c r="G3179" s="208" t="s">
        <v>774</v>
      </c>
      <c r="H3179" s="208" t="s">
        <v>175</v>
      </c>
      <c r="I3179" s="208"/>
      <c r="J3179" s="209"/>
      <c r="K3179" s="209"/>
      <c r="L3179" s="209"/>
      <c r="M3179" s="209"/>
      <c r="N3179" s="209"/>
      <c r="O3179" s="209"/>
      <c r="P3179" s="209"/>
      <c r="Q3179" s="209"/>
      <c r="R3179" s="209"/>
      <c r="S3179" s="209"/>
      <c r="T3179" s="209"/>
    </row>
    <row r="3180" spans="1:149" ht="15" hidden="1" customHeight="1">
      <c r="A3180" s="468">
        <v>45448</v>
      </c>
      <c r="B3180" s="208" t="s">
        <v>2805</v>
      </c>
      <c r="C3180" s="208" t="s">
        <v>27</v>
      </c>
      <c r="D3180" s="592">
        <v>-400000</v>
      </c>
      <c r="E3180" s="212">
        <v>45444</v>
      </c>
      <c r="F3180" s="208" t="s">
        <v>109</v>
      </c>
      <c r="G3180" s="208" t="s">
        <v>120</v>
      </c>
      <c r="H3180" s="208"/>
      <c r="I3180" s="208"/>
      <c r="J3180" s="209"/>
      <c r="K3180" s="209"/>
      <c r="L3180" s="209"/>
      <c r="M3180" s="209"/>
      <c r="N3180" s="209"/>
      <c r="O3180" s="209"/>
      <c r="P3180" s="209"/>
      <c r="Q3180" s="209"/>
      <c r="R3180" s="209"/>
      <c r="S3180" s="209"/>
      <c r="T3180" s="209"/>
    </row>
    <row r="3181" spans="1:149" ht="15" hidden="1" customHeight="1">
      <c r="A3181" s="468">
        <v>45447</v>
      </c>
      <c r="B3181" s="208" t="s">
        <v>2806</v>
      </c>
      <c r="C3181" s="208" t="s">
        <v>27</v>
      </c>
      <c r="D3181" s="592">
        <v>-3681032</v>
      </c>
      <c r="E3181" s="212">
        <v>45444</v>
      </c>
      <c r="F3181" s="208" t="s">
        <v>109</v>
      </c>
      <c r="G3181" s="208" t="s">
        <v>125</v>
      </c>
      <c r="H3181" s="208" t="s">
        <v>310</v>
      </c>
      <c r="I3181" s="208"/>
      <c r="J3181" s="209"/>
      <c r="K3181" s="209"/>
      <c r="L3181" s="209"/>
      <c r="M3181" s="209"/>
      <c r="N3181" s="209"/>
      <c r="O3181" s="209"/>
      <c r="P3181" s="209"/>
      <c r="Q3181" s="209"/>
      <c r="R3181" s="209"/>
      <c r="S3181" s="209"/>
      <c r="T3181" s="209"/>
    </row>
    <row r="3182" spans="1:149" ht="15" hidden="1" customHeight="1">
      <c r="A3182" s="468">
        <v>45449</v>
      </c>
      <c r="B3182" s="208" t="s">
        <v>2445</v>
      </c>
      <c r="C3182" s="208" t="s">
        <v>27</v>
      </c>
      <c r="D3182" s="592">
        <v>-1250000</v>
      </c>
      <c r="E3182" s="212">
        <v>45444</v>
      </c>
      <c r="F3182" s="208" t="s">
        <v>109</v>
      </c>
      <c r="G3182" s="208" t="s">
        <v>120</v>
      </c>
      <c r="H3182" s="208"/>
      <c r="I3182" s="208"/>
      <c r="J3182" s="209"/>
      <c r="K3182" s="209"/>
      <c r="L3182" s="209"/>
      <c r="M3182" s="209"/>
      <c r="N3182" s="209"/>
      <c r="O3182" s="209"/>
      <c r="P3182" s="209"/>
      <c r="Q3182" s="209"/>
      <c r="R3182" s="209"/>
      <c r="S3182" s="209"/>
      <c r="T3182" s="209"/>
    </row>
    <row r="3183" spans="1:149" ht="15" hidden="1" customHeight="1">
      <c r="A3183" s="468">
        <v>45449</v>
      </c>
      <c r="B3183" s="208" t="s">
        <v>2807</v>
      </c>
      <c r="C3183" s="208" t="s">
        <v>27</v>
      </c>
      <c r="D3183" s="592">
        <v>-6893326</v>
      </c>
      <c r="E3183" s="212">
        <v>45444</v>
      </c>
      <c r="F3183" s="208" t="s">
        <v>109</v>
      </c>
      <c r="G3183" s="208" t="s">
        <v>120</v>
      </c>
      <c r="H3183" s="208"/>
      <c r="I3183" s="208"/>
      <c r="J3183" s="209"/>
      <c r="K3183" s="209"/>
      <c r="L3183" s="209"/>
      <c r="M3183" s="209"/>
      <c r="N3183" s="209"/>
      <c r="O3183" s="209"/>
      <c r="P3183" s="209"/>
      <c r="Q3183" s="209"/>
      <c r="R3183" s="209"/>
      <c r="S3183" s="209"/>
      <c r="T3183" s="209"/>
    </row>
    <row r="3184" spans="1:149" ht="15" hidden="1" customHeight="1">
      <c r="A3184" s="468">
        <v>45448</v>
      </c>
      <c r="B3184" s="208" t="s">
        <v>2795</v>
      </c>
      <c r="C3184" s="208" t="s">
        <v>27</v>
      </c>
      <c r="D3184" s="592">
        <v>-699000</v>
      </c>
      <c r="E3184" s="212">
        <v>45444</v>
      </c>
      <c r="F3184" s="291" t="s">
        <v>109</v>
      </c>
      <c r="G3184" s="208" t="s">
        <v>525</v>
      </c>
      <c r="H3184" s="208" t="s">
        <v>421</v>
      </c>
      <c r="I3184" s="208"/>
      <c r="J3184" s="209"/>
      <c r="K3184" s="209"/>
      <c r="L3184" s="209"/>
      <c r="M3184" s="209"/>
      <c r="N3184" s="209"/>
      <c r="O3184" s="209"/>
      <c r="P3184" s="209"/>
      <c r="Q3184" s="209"/>
      <c r="R3184" s="209"/>
      <c r="S3184" s="209"/>
      <c r="T3184" s="209"/>
    </row>
    <row r="3185" spans="1:20" ht="14.15" hidden="1">
      <c r="A3185" s="468">
        <v>45448</v>
      </c>
      <c r="B3185" s="208" t="s">
        <v>1698</v>
      </c>
      <c r="C3185" s="208" t="s">
        <v>27</v>
      </c>
      <c r="D3185" s="592">
        <v>-730000</v>
      </c>
      <c r="E3185" s="212">
        <v>45444</v>
      </c>
      <c r="F3185" s="208" t="s">
        <v>109</v>
      </c>
      <c r="G3185" s="208" t="s">
        <v>120</v>
      </c>
      <c r="H3185" s="208"/>
      <c r="I3185" s="208"/>
      <c r="J3185" s="209"/>
      <c r="K3185" s="209"/>
      <c r="L3185" s="209"/>
      <c r="M3185" s="209"/>
      <c r="N3185" s="209"/>
      <c r="O3185" s="209"/>
      <c r="P3185" s="209"/>
      <c r="Q3185" s="209"/>
      <c r="R3185" s="209"/>
      <c r="S3185" s="209"/>
      <c r="T3185" s="209"/>
    </row>
    <row r="3186" spans="1:20" ht="14.15" hidden="1">
      <c r="A3186" s="468">
        <v>45432</v>
      </c>
      <c r="B3186" s="208" t="s">
        <v>2423</v>
      </c>
      <c r="C3186" s="208" t="s">
        <v>27</v>
      </c>
      <c r="D3186" s="592">
        <v>-6945000</v>
      </c>
      <c r="E3186" s="212">
        <v>45413</v>
      </c>
      <c r="F3186" s="208" t="s">
        <v>109</v>
      </c>
      <c r="G3186" s="208" t="s">
        <v>120</v>
      </c>
      <c r="H3186" s="208"/>
      <c r="I3186" s="208"/>
      <c r="J3186" s="209"/>
      <c r="K3186" s="209"/>
      <c r="L3186" s="209"/>
      <c r="M3186" s="209"/>
      <c r="N3186" s="209"/>
      <c r="O3186" s="209"/>
      <c r="P3186" s="209"/>
      <c r="Q3186" s="209"/>
      <c r="R3186" s="209"/>
      <c r="S3186" s="209"/>
      <c r="T3186" s="209"/>
    </row>
    <row r="3187" spans="1:20" ht="15" hidden="1" customHeight="1">
      <c r="A3187" s="468">
        <v>45450</v>
      </c>
      <c r="B3187" s="208" t="s">
        <v>2808</v>
      </c>
      <c r="C3187" s="208" t="s">
        <v>181</v>
      </c>
      <c r="D3187" s="592">
        <v>-3786375</v>
      </c>
      <c r="E3187" s="212">
        <v>45444</v>
      </c>
      <c r="F3187" s="208" t="s">
        <v>109</v>
      </c>
      <c r="G3187" s="208" t="s">
        <v>2809</v>
      </c>
      <c r="H3187" s="208"/>
      <c r="I3187" s="208"/>
      <c r="J3187" s="209"/>
      <c r="K3187" s="209"/>
      <c r="L3187" s="209"/>
      <c r="M3187" s="209"/>
      <c r="N3187" s="209"/>
      <c r="O3187" s="209"/>
      <c r="P3187" s="209"/>
      <c r="Q3187" s="209"/>
      <c r="R3187" s="209"/>
      <c r="S3187" s="209"/>
      <c r="T3187" s="209"/>
    </row>
    <row r="3188" spans="1:20" ht="15" hidden="1" customHeight="1">
      <c r="A3188" s="468">
        <v>45443</v>
      </c>
      <c r="B3188" s="208" t="s">
        <v>2810</v>
      </c>
      <c r="C3188" s="208" t="s">
        <v>27</v>
      </c>
      <c r="D3188" s="592">
        <v>111760852</v>
      </c>
      <c r="E3188" s="212">
        <v>45413</v>
      </c>
      <c r="F3188" s="208" t="s">
        <v>109</v>
      </c>
      <c r="G3188" s="201" t="s">
        <v>1261</v>
      </c>
      <c r="H3188" s="208" t="s">
        <v>2811</v>
      </c>
      <c r="I3188" s="208"/>
      <c r="J3188" s="209"/>
      <c r="K3188" s="209"/>
      <c r="L3188" s="209"/>
      <c r="M3188" s="209"/>
      <c r="N3188" s="209"/>
      <c r="O3188" s="209"/>
      <c r="P3188" s="209"/>
      <c r="Q3188" s="209"/>
      <c r="R3188" s="209"/>
      <c r="S3188" s="209"/>
      <c r="T3188" s="209"/>
    </row>
    <row r="3189" spans="1:20" ht="15" hidden="1" customHeight="1">
      <c r="A3189" s="468">
        <v>45444</v>
      </c>
      <c r="B3189" s="208" t="s">
        <v>2812</v>
      </c>
      <c r="C3189" s="208" t="s">
        <v>643</v>
      </c>
      <c r="D3189" s="592">
        <v>-23299</v>
      </c>
      <c r="E3189" s="212">
        <v>45444</v>
      </c>
      <c r="F3189" s="208" t="s">
        <v>130</v>
      </c>
      <c r="G3189" s="208" t="s">
        <v>257</v>
      </c>
      <c r="H3189" s="208" t="s">
        <v>663</v>
      </c>
      <c r="I3189" s="208"/>
      <c r="J3189" s="209"/>
      <c r="K3189" s="209"/>
      <c r="L3189" s="209"/>
      <c r="M3189" s="209"/>
      <c r="N3189" s="209"/>
      <c r="O3189" s="209"/>
      <c r="P3189" s="209"/>
      <c r="Q3189" s="209"/>
      <c r="R3189" s="209"/>
      <c r="S3189" s="209"/>
      <c r="T3189" s="209"/>
    </row>
    <row r="3190" spans="1:20" ht="15" hidden="1" customHeight="1">
      <c r="A3190" s="468">
        <v>45445</v>
      </c>
      <c r="B3190" s="208" t="s">
        <v>2813</v>
      </c>
      <c r="C3190" s="208" t="s">
        <v>643</v>
      </c>
      <c r="D3190" s="592">
        <v>-126300</v>
      </c>
      <c r="E3190" s="212">
        <v>45444</v>
      </c>
      <c r="F3190" s="208" t="s">
        <v>130</v>
      </c>
      <c r="G3190" s="208" t="s">
        <v>257</v>
      </c>
      <c r="H3190" s="208" t="s">
        <v>2272</v>
      </c>
      <c r="I3190" s="208"/>
      <c r="J3190" s="209"/>
      <c r="K3190" s="209"/>
      <c r="L3190" s="209"/>
      <c r="M3190" s="209"/>
      <c r="N3190" s="209"/>
      <c r="O3190" s="209"/>
      <c r="P3190" s="209"/>
      <c r="Q3190" s="209"/>
      <c r="R3190" s="209"/>
      <c r="S3190" s="209"/>
      <c r="T3190" s="209"/>
    </row>
    <row r="3191" spans="1:20" ht="15" hidden="1" customHeight="1">
      <c r="A3191" s="468">
        <v>45447</v>
      </c>
      <c r="B3191" s="208" t="s">
        <v>2814</v>
      </c>
      <c r="C3191" s="208" t="s">
        <v>643</v>
      </c>
      <c r="D3191" s="592">
        <v>-82500</v>
      </c>
      <c r="E3191" s="212">
        <v>45444</v>
      </c>
      <c r="F3191" s="208" t="s">
        <v>130</v>
      </c>
      <c r="G3191" s="208" t="s">
        <v>2657</v>
      </c>
      <c r="H3191" s="208" t="s">
        <v>659</v>
      </c>
      <c r="I3191" s="208"/>
      <c r="J3191" s="209"/>
      <c r="K3191" s="209"/>
      <c r="L3191" s="209"/>
      <c r="M3191" s="209"/>
      <c r="N3191" s="209"/>
      <c r="O3191" s="209"/>
      <c r="P3191" s="209"/>
      <c r="Q3191" s="209"/>
      <c r="R3191" s="209"/>
      <c r="S3191" s="209"/>
      <c r="T3191" s="209"/>
    </row>
    <row r="3192" spans="1:20" ht="15" hidden="1" customHeight="1">
      <c r="A3192" s="468">
        <v>45447</v>
      </c>
      <c r="B3192" s="208" t="s">
        <v>2814</v>
      </c>
      <c r="C3192" s="208" t="s">
        <v>643</v>
      </c>
      <c r="D3192" s="592">
        <v>-137700</v>
      </c>
      <c r="E3192" s="212">
        <v>45444</v>
      </c>
      <c r="F3192" s="208" t="s">
        <v>130</v>
      </c>
      <c r="G3192" s="208" t="s">
        <v>2657</v>
      </c>
      <c r="H3192" s="208" t="s">
        <v>659</v>
      </c>
      <c r="I3192" s="208"/>
      <c r="J3192" s="209"/>
      <c r="K3192" s="209"/>
      <c r="L3192" s="209"/>
      <c r="M3192" s="209"/>
      <c r="N3192" s="209"/>
      <c r="O3192" s="209"/>
      <c r="P3192" s="209"/>
      <c r="Q3192" s="209"/>
      <c r="R3192" s="209"/>
      <c r="S3192" s="209"/>
      <c r="T3192" s="209"/>
    </row>
    <row r="3193" spans="1:20" ht="15" hidden="1" customHeight="1">
      <c r="A3193" s="468">
        <v>45448</v>
      </c>
      <c r="B3193" s="208" t="s">
        <v>2814</v>
      </c>
      <c r="C3193" s="208" t="s">
        <v>643</v>
      </c>
      <c r="D3193" s="592">
        <v>-12100</v>
      </c>
      <c r="E3193" s="212">
        <v>45444</v>
      </c>
      <c r="F3193" s="208" t="s">
        <v>130</v>
      </c>
      <c r="G3193" s="208" t="s">
        <v>2657</v>
      </c>
      <c r="H3193" s="208" t="s">
        <v>659</v>
      </c>
      <c r="I3193" s="208"/>
      <c r="J3193" s="209"/>
      <c r="K3193" s="209"/>
      <c r="L3193" s="209"/>
      <c r="M3193" s="209"/>
      <c r="N3193" s="209"/>
      <c r="O3193" s="209"/>
      <c r="P3193" s="209"/>
      <c r="Q3193" s="209"/>
      <c r="R3193" s="209"/>
      <c r="S3193" s="209"/>
      <c r="T3193" s="209"/>
    </row>
    <row r="3194" spans="1:20" ht="15" hidden="1" customHeight="1">
      <c r="A3194" s="468">
        <v>45419</v>
      </c>
      <c r="B3194" s="208" t="s">
        <v>2815</v>
      </c>
      <c r="C3194" s="208" t="s">
        <v>643</v>
      </c>
      <c r="D3194" s="592">
        <v>-155430</v>
      </c>
      <c r="E3194" s="212">
        <v>45444</v>
      </c>
      <c r="F3194" s="208" t="s">
        <v>130</v>
      </c>
      <c r="G3194" s="208" t="s">
        <v>2657</v>
      </c>
      <c r="H3194" s="208" t="s">
        <v>659</v>
      </c>
      <c r="I3194" s="208"/>
      <c r="J3194" s="209"/>
      <c r="K3194" s="209"/>
      <c r="L3194" s="209"/>
      <c r="M3194" s="209"/>
      <c r="N3194" s="209"/>
      <c r="O3194" s="209"/>
      <c r="P3194" s="209"/>
      <c r="Q3194" s="209"/>
      <c r="R3194" s="209"/>
      <c r="S3194" s="209"/>
      <c r="T3194" s="209"/>
    </row>
    <row r="3195" spans="1:20" ht="15" hidden="1" customHeight="1">
      <c r="A3195" s="468">
        <v>45449</v>
      </c>
      <c r="B3195" s="208" t="s">
        <v>2816</v>
      </c>
      <c r="C3195" s="208" t="s">
        <v>27</v>
      </c>
      <c r="D3195" s="592">
        <v>-1474159</v>
      </c>
      <c r="E3195" s="212">
        <v>45444</v>
      </c>
      <c r="F3195" s="208" t="s">
        <v>109</v>
      </c>
      <c r="G3195" s="208" t="s">
        <v>120</v>
      </c>
      <c r="H3195" s="208"/>
      <c r="I3195" s="208"/>
      <c r="J3195" s="209"/>
      <c r="K3195" s="209"/>
      <c r="L3195" s="209"/>
      <c r="M3195" s="209"/>
      <c r="N3195" s="209"/>
      <c r="O3195" s="209"/>
      <c r="P3195" s="209"/>
      <c r="Q3195" s="209"/>
      <c r="R3195" s="209"/>
      <c r="S3195" s="209"/>
      <c r="T3195" s="209"/>
    </row>
    <row r="3196" spans="1:20" ht="15" hidden="1" customHeight="1">
      <c r="A3196" s="468">
        <v>45449</v>
      </c>
      <c r="B3196" s="208" t="s">
        <v>1619</v>
      </c>
      <c r="C3196" s="208" t="s">
        <v>27</v>
      </c>
      <c r="D3196" s="592">
        <v>-84490</v>
      </c>
      <c r="E3196" s="212">
        <v>45444</v>
      </c>
      <c r="F3196" s="208" t="s">
        <v>130</v>
      </c>
      <c r="G3196" s="208" t="s">
        <v>130</v>
      </c>
      <c r="H3196" s="208" t="s">
        <v>1156</v>
      </c>
      <c r="I3196" s="208"/>
      <c r="J3196" s="209"/>
      <c r="K3196" s="209"/>
      <c r="L3196" s="209"/>
      <c r="M3196" s="209"/>
      <c r="N3196" s="209"/>
      <c r="O3196" s="209"/>
      <c r="P3196" s="209"/>
      <c r="Q3196" s="209"/>
      <c r="R3196" s="209"/>
      <c r="S3196" s="209"/>
      <c r="T3196" s="209"/>
    </row>
    <row r="3197" spans="1:20" ht="15" hidden="1" customHeight="1">
      <c r="A3197" s="468">
        <v>45449</v>
      </c>
      <c r="B3197" s="208" t="s">
        <v>2817</v>
      </c>
      <c r="C3197" s="208" t="s">
        <v>27</v>
      </c>
      <c r="D3197" s="592">
        <v>-7900</v>
      </c>
      <c r="E3197" s="212">
        <v>45444</v>
      </c>
      <c r="F3197" s="208" t="s">
        <v>109</v>
      </c>
      <c r="G3197" s="208" t="s">
        <v>2818</v>
      </c>
      <c r="H3197" s="208"/>
      <c r="I3197" s="208"/>
      <c r="J3197" s="209"/>
      <c r="K3197" s="209"/>
      <c r="L3197" s="209"/>
      <c r="M3197" s="209"/>
      <c r="N3197" s="209"/>
      <c r="O3197" s="209"/>
      <c r="P3197" s="209"/>
      <c r="Q3197" s="209"/>
      <c r="R3197" s="209"/>
      <c r="S3197" s="209"/>
      <c r="T3197" s="209"/>
    </row>
    <row r="3198" spans="1:20" ht="15" hidden="1" customHeight="1">
      <c r="A3198" s="468">
        <v>45450</v>
      </c>
      <c r="B3198" s="208" t="s">
        <v>2819</v>
      </c>
      <c r="C3198" s="208" t="s">
        <v>27</v>
      </c>
      <c r="D3198" s="592">
        <v>-821923</v>
      </c>
      <c r="E3198" s="212">
        <v>45444</v>
      </c>
      <c r="F3198" s="208" t="s">
        <v>109</v>
      </c>
      <c r="G3198" s="208" t="s">
        <v>120</v>
      </c>
      <c r="H3198" s="208"/>
      <c r="I3198" s="208"/>
      <c r="J3198" s="209"/>
      <c r="K3198" s="209"/>
      <c r="L3198" s="209"/>
      <c r="M3198" s="209"/>
      <c r="N3198" s="209"/>
      <c r="O3198" s="209"/>
      <c r="P3198" s="209"/>
      <c r="Q3198" s="209"/>
      <c r="R3198" s="209"/>
      <c r="S3198" s="209"/>
      <c r="T3198" s="209"/>
    </row>
    <row r="3199" spans="1:20" ht="15" hidden="1" customHeight="1">
      <c r="A3199" s="468">
        <v>45450</v>
      </c>
      <c r="B3199" s="208" t="s">
        <v>2820</v>
      </c>
      <c r="C3199" s="208" t="s">
        <v>27</v>
      </c>
      <c r="D3199" s="592">
        <v>-3001437</v>
      </c>
      <c r="E3199" s="212">
        <v>45444</v>
      </c>
      <c r="F3199" s="201" t="s">
        <v>110</v>
      </c>
      <c r="G3199" s="208" t="s">
        <v>184</v>
      </c>
      <c r="H3199" s="208" t="s">
        <v>175</v>
      </c>
      <c r="I3199" s="208"/>
      <c r="J3199" s="209"/>
      <c r="K3199" s="209"/>
      <c r="L3199" s="209"/>
      <c r="M3199" s="209"/>
      <c r="N3199" s="209"/>
      <c r="O3199" s="209"/>
      <c r="P3199" s="209"/>
      <c r="Q3199" s="209"/>
      <c r="R3199" s="209"/>
      <c r="S3199" s="209"/>
      <c r="T3199" s="209"/>
    </row>
    <row r="3200" spans="1:20" ht="15" hidden="1" customHeight="1">
      <c r="A3200" s="468">
        <v>45450</v>
      </c>
      <c r="B3200" s="208" t="s">
        <v>2821</v>
      </c>
      <c r="C3200" s="208" t="s">
        <v>27</v>
      </c>
      <c r="D3200" s="592">
        <v>-215069</v>
      </c>
      <c r="E3200" s="212">
        <v>45444</v>
      </c>
      <c r="F3200" s="208" t="s">
        <v>109</v>
      </c>
      <c r="G3200" s="208" t="s">
        <v>120</v>
      </c>
      <c r="H3200" s="208"/>
      <c r="I3200" s="208"/>
      <c r="J3200" s="209"/>
      <c r="K3200" s="209"/>
      <c r="L3200" s="209"/>
      <c r="M3200" s="209"/>
      <c r="N3200" s="209"/>
      <c r="O3200" s="209"/>
      <c r="P3200" s="209"/>
      <c r="Q3200" s="209"/>
      <c r="R3200" s="209"/>
      <c r="S3200" s="209"/>
      <c r="T3200" s="209"/>
    </row>
    <row r="3201" spans="1:20" ht="15" hidden="1" customHeight="1">
      <c r="A3201" s="468">
        <v>45450</v>
      </c>
      <c r="B3201" s="208" t="s">
        <v>2822</v>
      </c>
      <c r="C3201" s="208" t="s">
        <v>27</v>
      </c>
      <c r="D3201" s="592">
        <v>-219450</v>
      </c>
      <c r="E3201" s="212">
        <v>45444</v>
      </c>
      <c r="F3201" s="201" t="s">
        <v>110</v>
      </c>
      <c r="G3201" s="208" t="s">
        <v>184</v>
      </c>
      <c r="H3201" s="208" t="s">
        <v>175</v>
      </c>
      <c r="I3201" s="208"/>
      <c r="J3201" s="209"/>
      <c r="K3201" s="209"/>
      <c r="L3201" s="209"/>
      <c r="M3201" s="209"/>
      <c r="N3201" s="209"/>
      <c r="O3201" s="209"/>
      <c r="P3201" s="209"/>
      <c r="Q3201" s="209"/>
      <c r="R3201" s="209"/>
      <c r="S3201" s="209"/>
      <c r="T3201" s="209"/>
    </row>
    <row r="3202" spans="1:20" ht="15" hidden="1" customHeight="1">
      <c r="A3202" s="468">
        <v>45450</v>
      </c>
      <c r="B3202" s="208" t="s">
        <v>2823</v>
      </c>
      <c r="C3202" s="208" t="s">
        <v>27</v>
      </c>
      <c r="D3202" s="592">
        <v>-1473553</v>
      </c>
      <c r="E3202" s="212">
        <v>45444</v>
      </c>
      <c r="F3202" s="208" t="s">
        <v>130</v>
      </c>
      <c r="G3202" s="208" t="s">
        <v>130</v>
      </c>
      <c r="H3202" s="208" t="s">
        <v>1156</v>
      </c>
      <c r="I3202" s="208"/>
      <c r="J3202" s="209"/>
      <c r="K3202" s="209"/>
      <c r="L3202" s="209"/>
      <c r="M3202" s="209"/>
      <c r="N3202" s="209"/>
      <c r="O3202" s="209"/>
      <c r="P3202" s="209"/>
      <c r="Q3202" s="209"/>
      <c r="R3202" s="209"/>
      <c r="S3202" s="209"/>
      <c r="T3202" s="209"/>
    </row>
    <row r="3203" spans="1:20" ht="15" hidden="1" customHeight="1">
      <c r="A3203" s="468">
        <v>45450</v>
      </c>
      <c r="B3203" s="208" t="s">
        <v>2824</v>
      </c>
      <c r="C3203" s="208" t="s">
        <v>27</v>
      </c>
      <c r="D3203" s="592">
        <v>-4100000</v>
      </c>
      <c r="E3203" s="212">
        <v>45444</v>
      </c>
      <c r="F3203" s="208" t="s">
        <v>109</v>
      </c>
      <c r="G3203" s="208" t="s">
        <v>120</v>
      </c>
      <c r="H3203" s="208"/>
      <c r="I3203" s="208"/>
      <c r="J3203" s="209"/>
      <c r="K3203" s="209"/>
      <c r="L3203" s="209"/>
      <c r="M3203" s="209"/>
      <c r="N3203" s="209"/>
      <c r="O3203" s="209"/>
      <c r="P3203" s="209"/>
      <c r="Q3203" s="209"/>
      <c r="R3203" s="209"/>
      <c r="S3203" s="209"/>
      <c r="T3203" s="209"/>
    </row>
    <row r="3204" spans="1:20" ht="15" hidden="1" customHeight="1">
      <c r="A3204" s="468">
        <v>45450</v>
      </c>
      <c r="B3204" s="208" t="s">
        <v>2825</v>
      </c>
      <c r="C3204" s="208" t="s">
        <v>27</v>
      </c>
      <c r="D3204" s="592">
        <v>-1512000</v>
      </c>
      <c r="E3204" s="212">
        <v>45444</v>
      </c>
      <c r="F3204" s="201" t="s">
        <v>110</v>
      </c>
      <c r="G3204" s="81" t="s">
        <v>1621</v>
      </c>
      <c r="H3204" s="208" t="s">
        <v>631</v>
      </c>
      <c r="I3204" s="208"/>
      <c r="J3204" s="209"/>
      <c r="K3204" s="209"/>
      <c r="L3204" s="209"/>
      <c r="M3204" s="209"/>
      <c r="N3204" s="209"/>
      <c r="O3204" s="209"/>
      <c r="P3204" s="209"/>
      <c r="Q3204" s="209"/>
      <c r="R3204" s="209"/>
      <c r="S3204" s="209"/>
      <c r="T3204" s="209"/>
    </row>
    <row r="3205" spans="1:20" ht="15" hidden="1" customHeight="1">
      <c r="A3205" s="468">
        <v>45450</v>
      </c>
      <c r="B3205" s="208" t="s">
        <v>2826</v>
      </c>
      <c r="C3205" s="208" t="s">
        <v>27</v>
      </c>
      <c r="D3205" s="592">
        <v>-1151279</v>
      </c>
      <c r="E3205" s="212">
        <v>45444</v>
      </c>
      <c r="F3205" s="208" t="s">
        <v>109</v>
      </c>
      <c r="G3205" s="201" t="s">
        <v>1489</v>
      </c>
      <c r="H3205" s="208" t="s">
        <v>1463</v>
      </c>
      <c r="I3205" s="208"/>
      <c r="J3205" s="209"/>
      <c r="K3205" s="209"/>
      <c r="L3205" s="209"/>
      <c r="M3205" s="209"/>
      <c r="N3205" s="209"/>
      <c r="O3205" s="209"/>
      <c r="P3205" s="209"/>
      <c r="Q3205" s="209"/>
      <c r="R3205" s="209"/>
      <c r="S3205" s="209"/>
      <c r="T3205" s="209"/>
    </row>
    <row r="3206" spans="1:20" ht="15" hidden="1" customHeight="1">
      <c r="A3206" s="468">
        <v>45450</v>
      </c>
      <c r="B3206" s="208" t="s">
        <v>2827</v>
      </c>
      <c r="C3206" s="208" t="s">
        <v>27</v>
      </c>
      <c r="D3206" s="592">
        <v>-244000</v>
      </c>
      <c r="E3206" s="212">
        <v>45444</v>
      </c>
      <c r="F3206" s="208" t="s">
        <v>130</v>
      </c>
      <c r="G3206" s="208" t="s">
        <v>130</v>
      </c>
      <c r="H3206" s="208" t="s">
        <v>2590</v>
      </c>
      <c r="I3206" s="208"/>
      <c r="J3206" s="209"/>
      <c r="K3206" s="209"/>
      <c r="L3206" s="209"/>
      <c r="M3206" s="209"/>
      <c r="N3206" s="209"/>
      <c r="O3206" s="209"/>
      <c r="P3206" s="209"/>
      <c r="Q3206" s="209"/>
      <c r="R3206" s="209"/>
      <c r="S3206" s="209"/>
      <c r="T3206" s="209"/>
    </row>
    <row r="3207" spans="1:20" ht="15" hidden="1" customHeight="1">
      <c r="A3207" s="468">
        <v>45450</v>
      </c>
      <c r="B3207" s="208" t="s">
        <v>2828</v>
      </c>
      <c r="C3207" s="208" t="s">
        <v>27</v>
      </c>
      <c r="D3207" s="592">
        <f>-9073189-D3491</f>
        <v>-5362939</v>
      </c>
      <c r="E3207" s="212">
        <v>45444</v>
      </c>
      <c r="F3207" s="84" t="s">
        <v>111</v>
      </c>
      <c r="G3207" s="208"/>
      <c r="H3207" s="208"/>
      <c r="I3207" s="208"/>
      <c r="J3207" s="209"/>
      <c r="K3207" s="209"/>
      <c r="L3207" s="209"/>
      <c r="M3207" s="209"/>
      <c r="N3207" s="209"/>
      <c r="O3207" s="209"/>
      <c r="P3207" s="209"/>
      <c r="Q3207" s="209"/>
      <c r="R3207" s="209"/>
      <c r="S3207" s="209"/>
      <c r="T3207" s="209"/>
    </row>
    <row r="3208" spans="1:20" ht="15" hidden="1" customHeight="1">
      <c r="A3208" s="468">
        <v>45448</v>
      </c>
      <c r="B3208" s="208" t="s">
        <v>2829</v>
      </c>
      <c r="C3208" s="208" t="s">
        <v>27</v>
      </c>
      <c r="D3208" s="592">
        <v>14400000</v>
      </c>
      <c r="E3208" s="212">
        <v>45444</v>
      </c>
      <c r="F3208" s="208" t="s">
        <v>109</v>
      </c>
      <c r="G3208" s="208" t="s">
        <v>2802</v>
      </c>
      <c r="H3208" s="208" t="s">
        <v>2811</v>
      </c>
      <c r="I3208" s="208"/>
      <c r="J3208" s="209"/>
      <c r="K3208" s="209"/>
      <c r="L3208" s="209"/>
      <c r="M3208" s="209"/>
      <c r="N3208" s="209"/>
      <c r="O3208" s="209"/>
      <c r="P3208" s="209"/>
      <c r="Q3208" s="209"/>
      <c r="R3208" s="209"/>
      <c r="S3208" s="209"/>
      <c r="T3208" s="209"/>
    </row>
    <row r="3209" spans="1:20" ht="15" hidden="1" customHeight="1">
      <c r="A3209" s="468">
        <v>45448</v>
      </c>
      <c r="B3209" s="208" t="s">
        <v>2830</v>
      </c>
      <c r="C3209" s="208" t="s">
        <v>181</v>
      </c>
      <c r="D3209" s="592">
        <v>3905375</v>
      </c>
      <c r="E3209" s="212">
        <v>45444</v>
      </c>
      <c r="F3209" s="208" t="s">
        <v>109</v>
      </c>
      <c r="G3209" s="208" t="s">
        <v>10</v>
      </c>
      <c r="H3209" s="208"/>
      <c r="I3209" s="208"/>
      <c r="J3209" s="209"/>
      <c r="K3209" s="209"/>
      <c r="L3209" s="209"/>
      <c r="M3209" s="209"/>
      <c r="N3209" s="209"/>
      <c r="O3209" s="209"/>
      <c r="P3209" s="209"/>
      <c r="Q3209" s="209"/>
      <c r="R3209" s="209"/>
      <c r="S3209" s="209"/>
      <c r="T3209" s="209"/>
    </row>
    <row r="3210" spans="1:20" ht="15" hidden="1" customHeight="1">
      <c r="A3210" s="468">
        <v>45443</v>
      </c>
      <c r="B3210" s="208" t="s">
        <v>2831</v>
      </c>
      <c r="C3210" s="208" t="s">
        <v>181</v>
      </c>
      <c r="D3210" s="592">
        <v>400000000</v>
      </c>
      <c r="E3210" s="636">
        <v>45413</v>
      </c>
      <c r="F3210" s="84" t="s">
        <v>111</v>
      </c>
      <c r="G3210" s="208"/>
      <c r="H3210" s="208"/>
      <c r="I3210" s="208"/>
      <c r="J3210" s="209"/>
      <c r="K3210" s="209"/>
      <c r="L3210" s="209"/>
      <c r="M3210" s="209"/>
      <c r="N3210" s="209"/>
      <c r="O3210" s="209"/>
      <c r="P3210" s="209"/>
      <c r="Q3210" s="209"/>
      <c r="R3210" s="209"/>
      <c r="S3210" s="209"/>
      <c r="T3210" s="209"/>
    </row>
    <row r="3211" spans="1:20" ht="15" hidden="1" customHeight="1">
      <c r="A3211" s="468">
        <v>45443</v>
      </c>
      <c r="B3211" s="208" t="s">
        <v>2832</v>
      </c>
      <c r="C3211" s="208" t="s">
        <v>181</v>
      </c>
      <c r="D3211" s="592">
        <v>-17000000</v>
      </c>
      <c r="E3211" s="636">
        <v>45413</v>
      </c>
      <c r="F3211" s="84" t="s">
        <v>111</v>
      </c>
      <c r="G3211" s="208"/>
      <c r="H3211" s="208"/>
      <c r="I3211" s="208"/>
      <c r="J3211" s="209"/>
      <c r="K3211" s="209"/>
      <c r="L3211" s="209"/>
      <c r="M3211" s="209"/>
      <c r="N3211" s="209"/>
      <c r="O3211" s="209"/>
      <c r="P3211" s="209"/>
      <c r="Q3211" s="209"/>
      <c r="R3211" s="209"/>
      <c r="S3211" s="209"/>
      <c r="T3211" s="209"/>
    </row>
    <row r="3212" spans="1:20" ht="15" hidden="1" customHeight="1">
      <c r="A3212" s="468">
        <v>45447</v>
      </c>
      <c r="B3212" s="208" t="s">
        <v>2651</v>
      </c>
      <c r="C3212" s="208" t="s">
        <v>269</v>
      </c>
      <c r="D3212" s="592">
        <v>-12200</v>
      </c>
      <c r="E3212" s="212">
        <v>45444</v>
      </c>
      <c r="F3212" s="208" t="s">
        <v>109</v>
      </c>
      <c r="G3212" s="201" t="s">
        <v>1261</v>
      </c>
      <c r="H3212" s="208" t="s">
        <v>138</v>
      </c>
      <c r="I3212" s="208"/>
      <c r="J3212" s="209"/>
      <c r="K3212" s="209"/>
      <c r="L3212" s="209"/>
      <c r="M3212" s="209"/>
      <c r="N3212" s="209"/>
      <c r="O3212" s="209"/>
      <c r="P3212" s="209"/>
      <c r="Q3212" s="209"/>
      <c r="R3212" s="209"/>
      <c r="S3212" s="209"/>
      <c r="T3212" s="209"/>
    </row>
    <row r="3213" spans="1:20" ht="15" hidden="1" customHeight="1">
      <c r="A3213" s="468">
        <v>45447</v>
      </c>
      <c r="B3213" s="208" t="s">
        <v>2833</v>
      </c>
      <c r="C3213" s="208" t="s">
        <v>269</v>
      </c>
      <c r="D3213" s="592">
        <v>-237400</v>
      </c>
      <c r="E3213" s="212">
        <v>45444</v>
      </c>
      <c r="F3213" s="208" t="s">
        <v>109</v>
      </c>
      <c r="G3213" s="208" t="s">
        <v>120</v>
      </c>
      <c r="H3213" s="208"/>
      <c r="I3213" s="208"/>
      <c r="J3213" s="209"/>
      <c r="K3213" s="209"/>
      <c r="L3213" s="209"/>
      <c r="M3213" s="209"/>
      <c r="N3213" s="209"/>
      <c r="O3213" s="209"/>
      <c r="P3213" s="209"/>
      <c r="Q3213" s="209"/>
      <c r="R3213" s="209"/>
      <c r="S3213" s="209"/>
      <c r="T3213" s="209"/>
    </row>
    <row r="3214" spans="1:20" ht="15" hidden="1" customHeight="1">
      <c r="A3214" s="468">
        <v>45447</v>
      </c>
      <c r="B3214" s="208" t="s">
        <v>2834</v>
      </c>
      <c r="C3214" s="208" t="s">
        <v>269</v>
      </c>
      <c r="D3214" s="592">
        <v>-21000</v>
      </c>
      <c r="E3214" s="212">
        <v>45444</v>
      </c>
      <c r="F3214" s="208" t="s">
        <v>130</v>
      </c>
      <c r="G3214" s="208" t="s">
        <v>130</v>
      </c>
      <c r="H3214" s="208" t="s">
        <v>275</v>
      </c>
      <c r="I3214" s="208"/>
      <c r="J3214" s="209"/>
      <c r="K3214" s="209"/>
      <c r="L3214" s="209"/>
      <c r="M3214" s="209"/>
      <c r="N3214" s="209"/>
      <c r="O3214" s="209"/>
      <c r="P3214" s="209"/>
      <c r="Q3214" s="209"/>
      <c r="R3214" s="209"/>
      <c r="S3214" s="209"/>
      <c r="T3214" s="209"/>
    </row>
    <row r="3215" spans="1:20" ht="15" hidden="1" customHeight="1">
      <c r="A3215" s="468">
        <v>45447</v>
      </c>
      <c r="B3215" s="208" t="s">
        <v>2835</v>
      </c>
      <c r="C3215" s="208" t="s">
        <v>269</v>
      </c>
      <c r="D3215" s="800">
        <v>-289600</v>
      </c>
      <c r="E3215" s="212">
        <v>45444</v>
      </c>
      <c r="F3215" s="208" t="s">
        <v>109</v>
      </c>
      <c r="G3215" s="201" t="s">
        <v>581</v>
      </c>
      <c r="H3215" s="208"/>
      <c r="I3215" s="208"/>
      <c r="J3215" s="209"/>
      <c r="K3215" s="209"/>
      <c r="L3215" s="209"/>
      <c r="M3215" s="209"/>
      <c r="N3215" s="209"/>
      <c r="O3215" s="209"/>
      <c r="P3215" s="209"/>
      <c r="Q3215" s="209"/>
      <c r="R3215" s="209"/>
      <c r="S3215" s="209"/>
      <c r="T3215" s="209"/>
    </row>
    <row r="3216" spans="1:20" ht="15" hidden="1" customHeight="1">
      <c r="A3216" s="468">
        <v>45447</v>
      </c>
      <c r="B3216" s="208" t="s">
        <v>2836</v>
      </c>
      <c r="C3216" s="208" t="s">
        <v>269</v>
      </c>
      <c r="D3216" s="592">
        <v>-152000</v>
      </c>
      <c r="E3216" s="212">
        <v>45444</v>
      </c>
      <c r="F3216" s="201" t="s">
        <v>110</v>
      </c>
      <c r="G3216" s="81" t="s">
        <v>1621</v>
      </c>
      <c r="H3216" s="208" t="s">
        <v>175</v>
      </c>
      <c r="I3216" s="208"/>
      <c r="J3216" s="209"/>
      <c r="K3216" s="209"/>
      <c r="L3216" s="209"/>
      <c r="M3216" s="209"/>
      <c r="N3216" s="209"/>
      <c r="O3216" s="209"/>
      <c r="P3216" s="209"/>
      <c r="Q3216" s="209"/>
      <c r="R3216" s="209"/>
      <c r="S3216" s="209"/>
      <c r="T3216" s="209"/>
    </row>
    <row r="3217" spans="1:20" ht="15" hidden="1" customHeight="1">
      <c r="A3217" s="468">
        <v>45448</v>
      </c>
      <c r="B3217" s="208" t="s">
        <v>2837</v>
      </c>
      <c r="C3217" s="208" t="s">
        <v>269</v>
      </c>
      <c r="D3217" s="592">
        <v>-12400</v>
      </c>
      <c r="E3217" s="212">
        <v>45444</v>
      </c>
      <c r="F3217" s="208" t="s">
        <v>109</v>
      </c>
      <c r="G3217" s="208" t="s">
        <v>414</v>
      </c>
      <c r="H3217" s="208" t="s">
        <v>138</v>
      </c>
      <c r="I3217" s="208"/>
      <c r="J3217" s="209"/>
      <c r="K3217" s="209"/>
      <c r="L3217" s="209"/>
      <c r="M3217" s="209"/>
      <c r="N3217" s="209"/>
      <c r="O3217" s="209"/>
      <c r="P3217" s="209"/>
      <c r="Q3217" s="209"/>
      <c r="R3217" s="209"/>
      <c r="S3217" s="209"/>
      <c r="T3217" s="209"/>
    </row>
    <row r="3218" spans="1:20" ht="15" hidden="1" customHeight="1">
      <c r="A3218" s="468">
        <v>45448</v>
      </c>
      <c r="B3218" s="208" t="s">
        <v>2838</v>
      </c>
      <c r="C3218" s="208" t="s">
        <v>269</v>
      </c>
      <c r="D3218" s="592">
        <v>-12000</v>
      </c>
      <c r="E3218" s="212">
        <v>45444</v>
      </c>
      <c r="F3218" s="208" t="s">
        <v>109</v>
      </c>
      <c r="G3218" s="201" t="s">
        <v>1306</v>
      </c>
      <c r="H3218" s="208" t="s">
        <v>138</v>
      </c>
      <c r="I3218" s="208"/>
      <c r="J3218" s="209"/>
      <c r="K3218" s="209"/>
      <c r="L3218" s="209"/>
      <c r="M3218" s="209"/>
      <c r="N3218" s="209"/>
      <c r="O3218" s="209"/>
      <c r="P3218" s="209"/>
      <c r="Q3218" s="209"/>
      <c r="R3218" s="209"/>
      <c r="S3218" s="209"/>
      <c r="T3218" s="209"/>
    </row>
    <row r="3219" spans="1:20" ht="15" hidden="1" customHeight="1">
      <c r="A3219" s="468">
        <v>45448</v>
      </c>
      <c r="B3219" s="208" t="s">
        <v>2839</v>
      </c>
      <c r="C3219" s="208" t="s">
        <v>269</v>
      </c>
      <c r="D3219" s="592">
        <v>-94968</v>
      </c>
      <c r="E3219" s="212">
        <v>45444</v>
      </c>
      <c r="F3219" s="208" t="s">
        <v>109</v>
      </c>
      <c r="G3219" s="208" t="s">
        <v>137</v>
      </c>
      <c r="H3219" s="208" t="s">
        <v>138</v>
      </c>
      <c r="I3219" s="208"/>
      <c r="J3219" s="209"/>
      <c r="K3219" s="209"/>
      <c r="L3219" s="209"/>
      <c r="M3219" s="209"/>
      <c r="N3219" s="209"/>
      <c r="O3219" s="209"/>
      <c r="P3219" s="209"/>
      <c r="Q3219" s="209"/>
      <c r="R3219" s="209"/>
      <c r="S3219" s="209"/>
      <c r="T3219" s="209"/>
    </row>
    <row r="3220" spans="1:20" ht="15" hidden="1" customHeight="1">
      <c r="A3220" s="468">
        <v>45448</v>
      </c>
      <c r="B3220" s="208" t="s">
        <v>2840</v>
      </c>
      <c r="C3220" s="208" t="s">
        <v>133</v>
      </c>
      <c r="D3220" s="592">
        <v>-3145</v>
      </c>
      <c r="E3220" s="212">
        <v>45444</v>
      </c>
      <c r="F3220" s="208" t="s">
        <v>109</v>
      </c>
      <c r="G3220" s="208" t="s">
        <v>137</v>
      </c>
      <c r="H3220" s="208" t="s">
        <v>138</v>
      </c>
      <c r="I3220" s="208"/>
      <c r="J3220" s="209"/>
      <c r="K3220" s="209"/>
      <c r="L3220" s="209"/>
      <c r="M3220" s="209"/>
      <c r="N3220" s="209"/>
      <c r="O3220" s="209"/>
      <c r="P3220" s="209"/>
      <c r="Q3220" s="209"/>
      <c r="R3220" s="209"/>
      <c r="S3220" s="209"/>
      <c r="T3220" s="209"/>
    </row>
    <row r="3221" spans="1:20" ht="15" hidden="1" customHeight="1">
      <c r="A3221" s="468">
        <v>45448</v>
      </c>
      <c r="B3221" s="208" t="s">
        <v>2841</v>
      </c>
      <c r="C3221" s="208" t="s">
        <v>133</v>
      </c>
      <c r="D3221" s="592">
        <v>-1887</v>
      </c>
      <c r="E3221" s="212">
        <v>45444</v>
      </c>
      <c r="F3221" s="208" t="s">
        <v>109</v>
      </c>
      <c r="G3221" s="208" t="s">
        <v>137</v>
      </c>
      <c r="H3221" s="208" t="s">
        <v>138</v>
      </c>
      <c r="I3221" s="208"/>
      <c r="J3221" s="209"/>
      <c r="K3221" s="209"/>
      <c r="L3221" s="209"/>
      <c r="M3221" s="209"/>
      <c r="N3221" s="209"/>
      <c r="O3221" s="209"/>
      <c r="P3221" s="209"/>
      <c r="Q3221" s="209"/>
      <c r="R3221" s="209"/>
      <c r="S3221" s="209"/>
      <c r="T3221" s="209"/>
    </row>
    <row r="3222" spans="1:20" ht="15" hidden="1" customHeight="1">
      <c r="A3222" s="468">
        <v>45448</v>
      </c>
      <c r="B3222" s="208" t="s">
        <v>2842</v>
      </c>
      <c r="C3222" s="208" t="s">
        <v>269</v>
      </c>
      <c r="D3222" s="592">
        <v>-24000</v>
      </c>
      <c r="E3222" s="212">
        <v>45444</v>
      </c>
      <c r="F3222" s="201" t="s">
        <v>110</v>
      </c>
      <c r="G3222" s="81" t="s">
        <v>1621</v>
      </c>
      <c r="H3222" s="208" t="s">
        <v>138</v>
      </c>
      <c r="I3222" s="208"/>
      <c r="J3222" s="209"/>
      <c r="K3222" s="209"/>
      <c r="L3222" s="209"/>
      <c r="M3222" s="209"/>
      <c r="N3222" s="209"/>
      <c r="O3222" s="209"/>
      <c r="P3222" s="209"/>
      <c r="Q3222" s="209"/>
      <c r="R3222" s="209"/>
      <c r="S3222" s="209"/>
      <c r="T3222" s="209"/>
    </row>
    <row r="3223" spans="1:20" ht="15" hidden="1" customHeight="1">
      <c r="A3223" s="468">
        <v>45448</v>
      </c>
      <c r="B3223" s="208" t="s">
        <v>2843</v>
      </c>
      <c r="C3223" s="208" t="s">
        <v>269</v>
      </c>
      <c r="D3223" s="592">
        <v>-6500</v>
      </c>
      <c r="E3223" s="212">
        <v>45444</v>
      </c>
      <c r="F3223" s="208" t="s">
        <v>110</v>
      </c>
      <c r="G3223" s="208" t="s">
        <v>2844</v>
      </c>
      <c r="H3223" s="208" t="s">
        <v>138</v>
      </c>
      <c r="I3223" s="208"/>
      <c r="J3223" s="209"/>
      <c r="K3223" s="209"/>
      <c r="L3223" s="209"/>
      <c r="M3223" s="209"/>
      <c r="N3223" s="209"/>
      <c r="O3223" s="209"/>
      <c r="P3223" s="209"/>
      <c r="Q3223" s="209"/>
      <c r="R3223" s="209"/>
      <c r="S3223" s="209"/>
      <c r="T3223" s="209"/>
    </row>
    <row r="3224" spans="1:20" ht="15" hidden="1" customHeight="1">
      <c r="A3224" s="468">
        <v>45448</v>
      </c>
      <c r="B3224" s="208" t="s">
        <v>2845</v>
      </c>
      <c r="C3224" s="208" t="s">
        <v>269</v>
      </c>
      <c r="D3224" s="592">
        <v>-66000</v>
      </c>
      <c r="E3224" s="212">
        <v>45444</v>
      </c>
      <c r="F3224" s="208" t="s">
        <v>109</v>
      </c>
      <c r="G3224" s="208" t="s">
        <v>125</v>
      </c>
      <c r="H3224" s="208" t="s">
        <v>138</v>
      </c>
      <c r="I3224" s="208"/>
      <c r="J3224" s="209"/>
      <c r="K3224" s="209"/>
      <c r="L3224" s="209"/>
      <c r="M3224" s="209"/>
      <c r="N3224" s="209"/>
      <c r="O3224" s="209"/>
      <c r="P3224" s="209"/>
      <c r="Q3224" s="209"/>
      <c r="R3224" s="209"/>
      <c r="S3224" s="209"/>
      <c r="T3224" s="209"/>
    </row>
    <row r="3225" spans="1:20" ht="15" hidden="1" customHeight="1">
      <c r="A3225" s="468">
        <v>45448</v>
      </c>
      <c r="B3225" s="208" t="s">
        <v>2846</v>
      </c>
      <c r="C3225" s="208" t="s">
        <v>269</v>
      </c>
      <c r="D3225" s="592">
        <v>-6000</v>
      </c>
      <c r="E3225" s="212">
        <v>45444</v>
      </c>
      <c r="F3225" s="208" t="s">
        <v>130</v>
      </c>
      <c r="G3225" s="208" t="s">
        <v>2657</v>
      </c>
      <c r="H3225" s="208" t="s">
        <v>138</v>
      </c>
      <c r="I3225" s="208"/>
      <c r="J3225" s="209"/>
      <c r="K3225" s="209"/>
      <c r="L3225" s="209"/>
      <c r="M3225" s="209"/>
      <c r="N3225" s="209"/>
      <c r="O3225" s="209"/>
      <c r="P3225" s="209"/>
      <c r="Q3225" s="209"/>
      <c r="R3225" s="209"/>
      <c r="S3225" s="209"/>
      <c r="T3225" s="209"/>
    </row>
    <row r="3226" spans="1:20" ht="15" hidden="1" customHeight="1">
      <c r="A3226" s="468">
        <v>45448</v>
      </c>
      <c r="B3226" s="208" t="s">
        <v>2847</v>
      </c>
      <c r="C3226" s="208" t="s">
        <v>269</v>
      </c>
      <c r="D3226" s="592">
        <v>-6000</v>
      </c>
      <c r="E3226" s="212">
        <v>45444</v>
      </c>
      <c r="F3226" s="208" t="s">
        <v>109</v>
      </c>
      <c r="G3226" s="208" t="s">
        <v>168</v>
      </c>
      <c r="H3226" s="208" t="s">
        <v>138</v>
      </c>
      <c r="I3226" s="208"/>
      <c r="J3226" s="209"/>
      <c r="K3226" s="209"/>
      <c r="L3226" s="209"/>
      <c r="M3226" s="209"/>
      <c r="N3226" s="209"/>
      <c r="O3226" s="209"/>
      <c r="P3226" s="209"/>
      <c r="Q3226" s="209"/>
      <c r="R3226" s="209"/>
      <c r="S3226" s="209"/>
      <c r="T3226" s="209"/>
    </row>
    <row r="3227" spans="1:20" ht="15" hidden="1" customHeight="1">
      <c r="A3227" s="468">
        <v>45448</v>
      </c>
      <c r="B3227" s="208" t="s">
        <v>2848</v>
      </c>
      <c r="C3227" s="208" t="s">
        <v>269</v>
      </c>
      <c r="D3227" s="592">
        <v>-94000</v>
      </c>
      <c r="E3227" s="212">
        <v>45444</v>
      </c>
      <c r="F3227" s="208" t="s">
        <v>207</v>
      </c>
      <c r="G3227" s="81" t="s">
        <v>2226</v>
      </c>
      <c r="H3227" s="208" t="s">
        <v>138</v>
      </c>
      <c r="I3227" s="208"/>
      <c r="J3227" s="209"/>
      <c r="K3227" s="209"/>
      <c r="L3227" s="209"/>
      <c r="M3227" s="209"/>
      <c r="N3227" s="209"/>
      <c r="O3227" s="209"/>
      <c r="P3227" s="209"/>
      <c r="Q3227" s="209"/>
      <c r="R3227" s="209"/>
      <c r="S3227" s="209"/>
      <c r="T3227" s="209"/>
    </row>
    <row r="3228" spans="1:20" ht="15" hidden="1" customHeight="1">
      <c r="A3228" s="468">
        <v>45448</v>
      </c>
      <c r="B3228" s="208" t="s">
        <v>2849</v>
      </c>
      <c r="C3228" s="208" t="s">
        <v>269</v>
      </c>
      <c r="D3228" s="592">
        <v>-70700</v>
      </c>
      <c r="E3228" s="212">
        <v>45444</v>
      </c>
      <c r="F3228" s="208" t="s">
        <v>130</v>
      </c>
      <c r="G3228" s="638" t="s">
        <v>130</v>
      </c>
      <c r="H3228" s="208" t="s">
        <v>2590</v>
      </c>
      <c r="I3228" s="208"/>
      <c r="J3228" s="209"/>
      <c r="K3228" s="209"/>
      <c r="L3228" s="209"/>
      <c r="M3228" s="209"/>
      <c r="N3228" s="209"/>
      <c r="O3228" s="209"/>
      <c r="P3228" s="209"/>
      <c r="Q3228" s="209"/>
      <c r="R3228" s="209"/>
      <c r="S3228" s="209"/>
      <c r="T3228" s="209"/>
    </row>
    <row r="3229" spans="1:20" ht="15" hidden="1" customHeight="1">
      <c r="A3229" s="468">
        <v>45449</v>
      </c>
      <c r="B3229" s="208" t="s">
        <v>2651</v>
      </c>
      <c r="C3229" s="208" t="s">
        <v>269</v>
      </c>
      <c r="D3229" s="592">
        <v>-204000</v>
      </c>
      <c r="E3229" s="212">
        <v>45444</v>
      </c>
      <c r="F3229" s="208" t="s">
        <v>109</v>
      </c>
      <c r="G3229" s="201" t="s">
        <v>1261</v>
      </c>
      <c r="H3229" s="208" t="s">
        <v>138</v>
      </c>
      <c r="I3229" s="208"/>
      <c r="J3229" s="209"/>
      <c r="K3229" s="209"/>
      <c r="L3229" s="209"/>
      <c r="M3229" s="209"/>
      <c r="N3229" s="209"/>
      <c r="O3229" s="209"/>
      <c r="P3229" s="209"/>
      <c r="Q3229" s="209"/>
      <c r="R3229" s="209"/>
      <c r="S3229" s="209"/>
      <c r="T3229" s="209"/>
    </row>
    <row r="3230" spans="1:20" ht="15" hidden="1" customHeight="1">
      <c r="A3230" s="468">
        <v>45449</v>
      </c>
      <c r="B3230" s="208" t="s">
        <v>2850</v>
      </c>
      <c r="C3230" s="208" t="s">
        <v>269</v>
      </c>
      <c r="D3230" s="592">
        <v>-525384</v>
      </c>
      <c r="E3230" s="212">
        <v>45444</v>
      </c>
      <c r="F3230" s="208" t="s">
        <v>109</v>
      </c>
      <c r="G3230" s="208" t="s">
        <v>120</v>
      </c>
      <c r="H3230" s="208"/>
      <c r="I3230" s="208"/>
      <c r="J3230" s="209"/>
      <c r="K3230" s="209"/>
      <c r="L3230" s="209"/>
      <c r="M3230" s="209"/>
      <c r="N3230" s="209"/>
      <c r="O3230" s="209"/>
      <c r="P3230" s="209"/>
      <c r="Q3230" s="209"/>
      <c r="R3230" s="209"/>
      <c r="S3230" s="209"/>
      <c r="T3230" s="209"/>
    </row>
    <row r="3231" spans="1:20" ht="15" hidden="1" customHeight="1">
      <c r="A3231" s="468">
        <v>45449</v>
      </c>
      <c r="B3231" s="208" t="s">
        <v>2851</v>
      </c>
      <c r="C3231" s="208" t="s">
        <v>133</v>
      </c>
      <c r="D3231" s="592">
        <v>-8510</v>
      </c>
      <c r="E3231" s="212">
        <v>45444</v>
      </c>
      <c r="F3231" s="208" t="s">
        <v>109</v>
      </c>
      <c r="G3231" s="208" t="s">
        <v>120</v>
      </c>
      <c r="H3231" s="208"/>
      <c r="I3231" s="208"/>
      <c r="J3231" s="209"/>
      <c r="K3231" s="209"/>
      <c r="L3231" s="209"/>
      <c r="M3231" s="209"/>
      <c r="N3231" s="209"/>
      <c r="O3231" s="209"/>
      <c r="P3231" s="209"/>
      <c r="Q3231" s="209"/>
      <c r="R3231" s="209"/>
      <c r="S3231" s="209"/>
      <c r="T3231" s="209"/>
    </row>
    <row r="3232" spans="1:20" ht="15" hidden="1" customHeight="1">
      <c r="A3232" s="468">
        <v>45449</v>
      </c>
      <c r="B3232" s="208" t="s">
        <v>2852</v>
      </c>
      <c r="C3232" s="208" t="s">
        <v>133</v>
      </c>
      <c r="D3232" s="592">
        <v>-5106</v>
      </c>
      <c r="E3232" s="212">
        <v>45444</v>
      </c>
      <c r="F3232" s="208" t="s">
        <v>109</v>
      </c>
      <c r="G3232" s="208" t="s">
        <v>120</v>
      </c>
      <c r="H3232" s="208"/>
      <c r="I3232" s="208"/>
      <c r="J3232" s="209"/>
      <c r="K3232" s="209"/>
      <c r="L3232" s="209"/>
      <c r="M3232" s="209"/>
      <c r="N3232" s="209"/>
      <c r="O3232" s="209"/>
      <c r="P3232" s="209"/>
      <c r="Q3232" s="209"/>
      <c r="R3232" s="209"/>
      <c r="S3232" s="209"/>
      <c r="T3232" s="209"/>
    </row>
    <row r="3233" spans="1:20" ht="15" hidden="1" customHeight="1">
      <c r="A3233" s="468">
        <v>45449</v>
      </c>
      <c r="B3233" s="208" t="s">
        <v>2853</v>
      </c>
      <c r="C3233" s="208" t="s">
        <v>269</v>
      </c>
      <c r="D3233" s="592">
        <v>-64000</v>
      </c>
      <c r="E3233" s="212">
        <v>45444</v>
      </c>
      <c r="F3233" s="208" t="s">
        <v>109</v>
      </c>
      <c r="G3233" s="208" t="s">
        <v>125</v>
      </c>
      <c r="H3233" s="208" t="s">
        <v>138</v>
      </c>
      <c r="I3233" s="208"/>
      <c r="J3233" s="209"/>
      <c r="K3233" s="209"/>
      <c r="L3233" s="209"/>
      <c r="M3233" s="209"/>
      <c r="N3233" s="209"/>
      <c r="O3233" s="209"/>
      <c r="P3233" s="209"/>
      <c r="Q3233" s="209"/>
      <c r="R3233" s="209"/>
      <c r="S3233" s="209"/>
      <c r="T3233" s="209"/>
    </row>
    <row r="3234" spans="1:20" ht="15" hidden="1" customHeight="1">
      <c r="A3234" s="468">
        <v>45449</v>
      </c>
      <c r="B3234" s="208" t="s">
        <v>2854</v>
      </c>
      <c r="C3234" s="208" t="s">
        <v>269</v>
      </c>
      <c r="D3234" s="592">
        <v>-22000</v>
      </c>
      <c r="E3234" s="212">
        <v>45444</v>
      </c>
      <c r="F3234" s="201" t="s">
        <v>110</v>
      </c>
      <c r="G3234" s="81" t="s">
        <v>1621</v>
      </c>
      <c r="H3234" s="208" t="s">
        <v>138</v>
      </c>
      <c r="I3234" s="208"/>
      <c r="J3234" s="209"/>
      <c r="K3234" s="209"/>
      <c r="L3234" s="209"/>
      <c r="M3234" s="209"/>
      <c r="N3234" s="209"/>
      <c r="O3234" s="209"/>
      <c r="P3234" s="209"/>
      <c r="Q3234" s="209"/>
      <c r="R3234" s="209"/>
      <c r="S3234" s="209"/>
      <c r="T3234" s="209"/>
    </row>
    <row r="3235" spans="1:20" ht="15" hidden="1" customHeight="1">
      <c r="A3235" s="468">
        <v>45449</v>
      </c>
      <c r="B3235" s="208" t="s">
        <v>2209</v>
      </c>
      <c r="C3235" s="208" t="s">
        <v>269</v>
      </c>
      <c r="D3235" s="592">
        <v>-15000</v>
      </c>
      <c r="E3235" s="212">
        <v>45444</v>
      </c>
      <c r="F3235" s="201" t="s">
        <v>110</v>
      </c>
      <c r="G3235" s="208" t="s">
        <v>774</v>
      </c>
      <c r="H3235" s="208" t="s">
        <v>138</v>
      </c>
      <c r="I3235" s="208"/>
      <c r="J3235" s="209"/>
      <c r="K3235" s="209"/>
      <c r="L3235" s="209"/>
      <c r="M3235" s="209"/>
      <c r="N3235" s="209"/>
      <c r="O3235" s="209"/>
      <c r="P3235" s="209"/>
      <c r="Q3235" s="209"/>
      <c r="R3235" s="209"/>
      <c r="S3235" s="209"/>
      <c r="T3235" s="209"/>
    </row>
    <row r="3236" spans="1:20" ht="15" hidden="1" customHeight="1">
      <c r="A3236" s="468">
        <v>45449</v>
      </c>
      <c r="B3236" s="208" t="s">
        <v>2855</v>
      </c>
      <c r="C3236" s="208" t="s">
        <v>269</v>
      </c>
      <c r="D3236" s="592">
        <v>-7000</v>
      </c>
      <c r="E3236" s="212">
        <v>45444</v>
      </c>
      <c r="F3236" s="208" t="s">
        <v>130</v>
      </c>
      <c r="G3236" s="208" t="s">
        <v>130</v>
      </c>
      <c r="H3236" s="208" t="s">
        <v>138</v>
      </c>
      <c r="I3236" s="208"/>
      <c r="J3236" s="209"/>
      <c r="K3236" s="209"/>
      <c r="L3236" s="209"/>
      <c r="M3236" s="209"/>
      <c r="N3236" s="209"/>
      <c r="O3236" s="209"/>
      <c r="P3236" s="209"/>
      <c r="Q3236" s="209"/>
      <c r="R3236" s="209"/>
      <c r="S3236" s="209"/>
      <c r="T3236" s="209"/>
    </row>
    <row r="3237" spans="1:20" ht="15" hidden="1" customHeight="1">
      <c r="A3237" s="468">
        <v>45449</v>
      </c>
      <c r="B3237" s="208" t="s">
        <v>2856</v>
      </c>
      <c r="C3237" s="208" t="s">
        <v>269</v>
      </c>
      <c r="D3237" s="592">
        <v>-14000</v>
      </c>
      <c r="E3237" s="212">
        <v>45444</v>
      </c>
      <c r="F3237" s="208" t="s">
        <v>110</v>
      </c>
      <c r="G3237" s="208" t="s">
        <v>122</v>
      </c>
      <c r="H3237" s="208" t="s">
        <v>138</v>
      </c>
      <c r="I3237" s="208"/>
      <c r="J3237" s="209"/>
      <c r="K3237" s="209"/>
      <c r="L3237" s="209"/>
      <c r="M3237" s="209"/>
      <c r="N3237" s="209"/>
      <c r="O3237" s="209"/>
      <c r="P3237" s="209"/>
      <c r="Q3237" s="209"/>
      <c r="R3237" s="209"/>
      <c r="S3237" s="209"/>
      <c r="T3237" s="209"/>
    </row>
    <row r="3238" spans="1:20" ht="15" hidden="1" customHeight="1">
      <c r="A3238" s="468">
        <v>45449</v>
      </c>
      <c r="B3238" s="208" t="s">
        <v>2857</v>
      </c>
      <c r="C3238" s="208" t="s">
        <v>269</v>
      </c>
      <c r="D3238" s="592">
        <v>-14000</v>
      </c>
      <c r="E3238" s="212">
        <v>45444</v>
      </c>
      <c r="F3238" s="291" t="s">
        <v>110</v>
      </c>
      <c r="G3238" s="208" t="s">
        <v>450</v>
      </c>
      <c r="H3238" s="208" t="s">
        <v>138</v>
      </c>
      <c r="I3238" s="208"/>
      <c r="J3238" s="209"/>
      <c r="K3238" s="209"/>
      <c r="L3238" s="209"/>
      <c r="M3238" s="209"/>
      <c r="N3238" s="209"/>
      <c r="O3238" s="209"/>
      <c r="P3238" s="209"/>
      <c r="Q3238" s="209"/>
      <c r="R3238" s="209"/>
      <c r="S3238" s="209"/>
      <c r="T3238" s="209"/>
    </row>
    <row r="3239" spans="1:20" ht="15" hidden="1" customHeight="1">
      <c r="A3239" s="468">
        <v>45449</v>
      </c>
      <c r="B3239" s="208" t="s">
        <v>2858</v>
      </c>
      <c r="C3239" s="208" t="s">
        <v>269</v>
      </c>
      <c r="D3239" s="592">
        <v>-62000</v>
      </c>
      <c r="E3239" s="212">
        <v>45444</v>
      </c>
      <c r="F3239" s="208" t="s">
        <v>109</v>
      </c>
      <c r="G3239" s="201" t="s">
        <v>1261</v>
      </c>
      <c r="H3239" s="208" t="s">
        <v>138</v>
      </c>
      <c r="I3239" s="208"/>
      <c r="J3239" s="209"/>
      <c r="K3239" s="209"/>
      <c r="L3239" s="209"/>
      <c r="M3239" s="209"/>
      <c r="N3239" s="209"/>
      <c r="O3239" s="209"/>
      <c r="P3239" s="209"/>
      <c r="Q3239" s="209"/>
      <c r="R3239" s="209"/>
      <c r="S3239" s="209"/>
      <c r="T3239" s="209"/>
    </row>
    <row r="3240" spans="1:20" ht="15" hidden="1" customHeight="1">
      <c r="A3240" s="468">
        <v>45449</v>
      </c>
      <c r="B3240" s="208" t="s">
        <v>2859</v>
      </c>
      <c r="C3240" s="208" t="s">
        <v>269</v>
      </c>
      <c r="D3240" s="592">
        <v>-20000</v>
      </c>
      <c r="E3240" s="212">
        <v>45444</v>
      </c>
      <c r="F3240" s="201" t="s">
        <v>110</v>
      </c>
      <c r="G3240" s="81" t="s">
        <v>1621</v>
      </c>
      <c r="H3240" s="208" t="s">
        <v>138</v>
      </c>
      <c r="I3240" s="208"/>
      <c r="J3240" s="209"/>
      <c r="K3240" s="209"/>
      <c r="L3240" s="209"/>
      <c r="M3240" s="209"/>
      <c r="N3240" s="209"/>
      <c r="O3240" s="209"/>
      <c r="P3240" s="209"/>
      <c r="Q3240" s="209"/>
      <c r="R3240" s="209"/>
      <c r="S3240" s="209"/>
      <c r="T3240" s="209"/>
    </row>
    <row r="3241" spans="1:20" ht="15" hidden="1" customHeight="1">
      <c r="A3241" s="468">
        <v>45449</v>
      </c>
      <c r="B3241" s="208" t="s">
        <v>2860</v>
      </c>
      <c r="C3241" s="208" t="s">
        <v>269</v>
      </c>
      <c r="D3241" s="592">
        <v>-13000</v>
      </c>
      <c r="E3241" s="212">
        <v>45444</v>
      </c>
      <c r="F3241" s="208" t="s">
        <v>109</v>
      </c>
      <c r="G3241" s="208" t="s">
        <v>120</v>
      </c>
      <c r="H3241" s="208" t="s">
        <v>138</v>
      </c>
      <c r="I3241" s="208"/>
      <c r="J3241" s="209"/>
      <c r="K3241" s="209"/>
      <c r="L3241" s="209"/>
      <c r="M3241" s="209"/>
      <c r="N3241" s="209"/>
      <c r="O3241" s="209"/>
      <c r="P3241" s="209"/>
      <c r="Q3241" s="209"/>
      <c r="R3241" s="209"/>
      <c r="S3241" s="209"/>
      <c r="T3241" s="209"/>
    </row>
    <row r="3242" spans="1:20" ht="15" hidden="1" customHeight="1">
      <c r="A3242" s="468">
        <v>45449</v>
      </c>
      <c r="B3242" s="208" t="s">
        <v>2861</v>
      </c>
      <c r="C3242" s="208" t="s">
        <v>269</v>
      </c>
      <c r="D3242" s="592">
        <v>-56000</v>
      </c>
      <c r="E3242" s="212">
        <v>45444</v>
      </c>
      <c r="F3242" s="208" t="s">
        <v>109</v>
      </c>
      <c r="G3242" s="208" t="s">
        <v>125</v>
      </c>
      <c r="H3242" s="208" t="s">
        <v>138</v>
      </c>
      <c r="I3242" s="208"/>
      <c r="J3242" s="209"/>
      <c r="K3242" s="209"/>
      <c r="L3242" s="209"/>
      <c r="M3242" s="209"/>
      <c r="N3242" s="209"/>
      <c r="O3242" s="209"/>
      <c r="P3242" s="209"/>
      <c r="Q3242" s="209"/>
      <c r="R3242" s="209"/>
      <c r="S3242" s="209"/>
      <c r="T3242" s="209"/>
    </row>
    <row r="3243" spans="1:20" ht="15" hidden="1" customHeight="1">
      <c r="A3243" s="468">
        <v>45449</v>
      </c>
      <c r="B3243" s="208" t="s">
        <v>2862</v>
      </c>
      <c r="C3243" s="208" t="s">
        <v>269</v>
      </c>
      <c r="D3243" s="592">
        <v>-21000</v>
      </c>
      <c r="E3243" s="212">
        <v>45444</v>
      </c>
      <c r="F3243" s="201" t="s">
        <v>110</v>
      </c>
      <c r="G3243" s="208" t="s">
        <v>774</v>
      </c>
      <c r="H3243" s="208" t="s">
        <v>138</v>
      </c>
      <c r="I3243" s="208"/>
      <c r="J3243" s="209"/>
      <c r="K3243" s="209"/>
      <c r="L3243" s="209"/>
      <c r="M3243" s="209"/>
      <c r="N3243" s="209"/>
      <c r="O3243" s="209"/>
      <c r="P3243" s="209"/>
      <c r="Q3243" s="209"/>
      <c r="R3243" s="209"/>
      <c r="S3243" s="209"/>
      <c r="T3243" s="209"/>
    </row>
    <row r="3244" spans="1:20" ht="15" hidden="1" customHeight="1">
      <c r="A3244" s="468">
        <v>45449</v>
      </c>
      <c r="B3244" s="208" t="s">
        <v>2863</v>
      </c>
      <c r="C3244" s="208" t="s">
        <v>269</v>
      </c>
      <c r="D3244" s="592">
        <v>-7000</v>
      </c>
      <c r="E3244" s="212">
        <v>45444</v>
      </c>
      <c r="F3244" s="208" t="s">
        <v>130</v>
      </c>
      <c r="G3244" s="208" t="s">
        <v>130</v>
      </c>
      <c r="H3244" s="208" t="s">
        <v>138</v>
      </c>
      <c r="I3244" s="208"/>
      <c r="J3244" s="209"/>
      <c r="K3244" s="209"/>
      <c r="L3244" s="209"/>
      <c r="M3244" s="209"/>
      <c r="N3244" s="209"/>
      <c r="O3244" s="209"/>
      <c r="P3244" s="209"/>
      <c r="Q3244" s="209"/>
      <c r="R3244" s="209"/>
      <c r="S3244" s="209"/>
      <c r="T3244" s="209"/>
    </row>
    <row r="3245" spans="1:20" ht="15" hidden="1" customHeight="1">
      <c r="A3245" s="468">
        <v>45449</v>
      </c>
      <c r="B3245" s="208" t="s">
        <v>2864</v>
      </c>
      <c r="C3245" s="208" t="s">
        <v>269</v>
      </c>
      <c r="D3245" s="592">
        <v>-22500</v>
      </c>
      <c r="E3245" s="212">
        <v>45444</v>
      </c>
      <c r="F3245" s="208" t="s">
        <v>130</v>
      </c>
      <c r="G3245" s="208" t="s">
        <v>130</v>
      </c>
      <c r="H3245" s="208" t="s">
        <v>2590</v>
      </c>
      <c r="I3245" s="208"/>
      <c r="J3245" s="209"/>
      <c r="K3245" s="209"/>
      <c r="L3245" s="209"/>
      <c r="M3245" s="209"/>
      <c r="N3245" s="209"/>
      <c r="O3245" s="209"/>
      <c r="P3245" s="209"/>
      <c r="Q3245" s="209"/>
      <c r="R3245" s="209"/>
      <c r="S3245" s="209"/>
      <c r="T3245" s="209"/>
    </row>
    <row r="3246" spans="1:20" ht="15" hidden="1" customHeight="1">
      <c r="A3246" s="468">
        <v>45450</v>
      </c>
      <c r="B3246" s="208" t="s">
        <v>2865</v>
      </c>
      <c r="C3246" s="208" t="s">
        <v>269</v>
      </c>
      <c r="D3246" s="592">
        <v>-24500</v>
      </c>
      <c r="E3246" s="212">
        <v>45444</v>
      </c>
      <c r="F3246" s="208" t="s">
        <v>110</v>
      </c>
      <c r="G3246" s="208" t="s">
        <v>2844</v>
      </c>
      <c r="H3246" s="208" t="s">
        <v>138</v>
      </c>
      <c r="I3246" s="208"/>
      <c r="J3246" s="209"/>
      <c r="K3246" s="209"/>
      <c r="L3246" s="209"/>
      <c r="M3246" s="209"/>
      <c r="N3246" s="209"/>
      <c r="O3246" s="209"/>
      <c r="P3246" s="209"/>
      <c r="Q3246" s="209"/>
      <c r="R3246" s="209"/>
      <c r="S3246" s="209"/>
      <c r="T3246" s="209"/>
    </row>
    <row r="3247" spans="1:20" ht="15" hidden="1" customHeight="1">
      <c r="A3247" s="468">
        <v>45450</v>
      </c>
      <c r="B3247" s="208" t="s">
        <v>2854</v>
      </c>
      <c r="C3247" s="208" t="s">
        <v>269</v>
      </c>
      <c r="D3247" s="592">
        <v>-7000</v>
      </c>
      <c r="E3247" s="212">
        <v>45444</v>
      </c>
      <c r="F3247" s="201" t="s">
        <v>110</v>
      </c>
      <c r="G3247" s="81" t="s">
        <v>1621</v>
      </c>
      <c r="H3247" s="208" t="s">
        <v>138</v>
      </c>
      <c r="I3247" s="208"/>
      <c r="J3247" s="209"/>
      <c r="K3247" s="209"/>
      <c r="L3247" s="209"/>
      <c r="M3247" s="209"/>
      <c r="N3247" s="209"/>
      <c r="O3247" s="209"/>
      <c r="P3247" s="209"/>
      <c r="Q3247" s="209"/>
      <c r="R3247" s="209"/>
      <c r="S3247" s="209"/>
      <c r="T3247" s="209"/>
    </row>
    <row r="3248" spans="1:20" ht="15" hidden="1" customHeight="1">
      <c r="A3248" s="468">
        <v>45450</v>
      </c>
      <c r="B3248" s="208" t="s">
        <v>2866</v>
      </c>
      <c r="C3248" s="208" t="s">
        <v>269</v>
      </c>
      <c r="D3248" s="592">
        <v>20000</v>
      </c>
      <c r="E3248" s="212">
        <v>45444</v>
      </c>
      <c r="F3248" s="208" t="s">
        <v>130</v>
      </c>
      <c r="G3248" s="208" t="s">
        <v>130</v>
      </c>
      <c r="H3248" s="208" t="s">
        <v>1156</v>
      </c>
      <c r="I3248" s="208"/>
      <c r="J3248" s="209"/>
      <c r="K3248" s="209"/>
      <c r="L3248" s="209"/>
      <c r="M3248" s="209"/>
      <c r="N3248" s="209"/>
      <c r="O3248" s="209"/>
      <c r="P3248" s="209"/>
      <c r="Q3248" s="209"/>
      <c r="R3248" s="209"/>
      <c r="S3248" s="209"/>
      <c r="T3248" s="209"/>
    </row>
    <row r="3249" spans="1:20" ht="15" hidden="1" customHeight="1">
      <c r="A3249" s="468">
        <v>45448</v>
      </c>
      <c r="B3249" s="208" t="s">
        <v>2867</v>
      </c>
      <c r="C3249" s="208" t="s">
        <v>269</v>
      </c>
      <c r="D3249" s="592">
        <v>-3000</v>
      </c>
      <c r="E3249" s="212">
        <v>45444</v>
      </c>
      <c r="F3249" s="201" t="s">
        <v>110</v>
      </c>
      <c r="G3249" s="81" t="s">
        <v>1621</v>
      </c>
      <c r="H3249" s="208" t="s">
        <v>138</v>
      </c>
      <c r="I3249" s="208"/>
      <c r="J3249" s="209"/>
      <c r="K3249" s="209"/>
      <c r="L3249" s="209"/>
      <c r="M3249" s="209"/>
      <c r="N3249" s="209"/>
      <c r="O3249" s="209"/>
      <c r="P3249" s="209"/>
      <c r="Q3249" s="209"/>
      <c r="R3249" s="209"/>
      <c r="S3249" s="209"/>
      <c r="T3249" s="209"/>
    </row>
    <row r="3250" spans="1:20" ht="15" hidden="1" customHeight="1">
      <c r="A3250" s="468">
        <v>45448</v>
      </c>
      <c r="B3250" s="208" t="s">
        <v>2853</v>
      </c>
      <c r="C3250" s="208" t="s">
        <v>269</v>
      </c>
      <c r="D3250" s="592">
        <v>-12000</v>
      </c>
      <c r="E3250" s="212">
        <v>45444</v>
      </c>
      <c r="F3250" s="208" t="s">
        <v>109</v>
      </c>
      <c r="G3250" s="208" t="s">
        <v>125</v>
      </c>
      <c r="H3250" s="208" t="s">
        <v>138</v>
      </c>
      <c r="I3250" s="208"/>
      <c r="J3250" s="209"/>
      <c r="K3250" s="209"/>
      <c r="L3250" s="209"/>
      <c r="M3250" s="209"/>
      <c r="N3250" s="209"/>
      <c r="O3250" s="209"/>
      <c r="P3250" s="209"/>
      <c r="Q3250" s="209"/>
      <c r="R3250" s="209"/>
      <c r="S3250" s="209"/>
      <c r="T3250" s="209"/>
    </row>
    <row r="3251" spans="1:20" ht="15" hidden="1" customHeight="1">
      <c r="A3251" s="468">
        <v>45448</v>
      </c>
      <c r="B3251" s="208" t="s">
        <v>2854</v>
      </c>
      <c r="C3251" s="208" t="s">
        <v>269</v>
      </c>
      <c r="D3251" s="592">
        <v>-12000</v>
      </c>
      <c r="E3251" s="212">
        <v>45444</v>
      </c>
      <c r="F3251" s="201" t="s">
        <v>110</v>
      </c>
      <c r="G3251" s="81" t="s">
        <v>1621</v>
      </c>
      <c r="H3251" s="208" t="s">
        <v>138</v>
      </c>
      <c r="I3251" s="208"/>
      <c r="J3251" s="209"/>
      <c r="K3251" s="209"/>
      <c r="L3251" s="209"/>
      <c r="M3251" s="209"/>
      <c r="N3251" s="209"/>
      <c r="O3251" s="209"/>
      <c r="P3251" s="209"/>
      <c r="Q3251" s="209"/>
      <c r="R3251" s="209"/>
      <c r="S3251" s="209"/>
      <c r="T3251" s="209"/>
    </row>
    <row r="3252" spans="1:20" ht="15" hidden="1" customHeight="1">
      <c r="A3252" s="468">
        <v>45448</v>
      </c>
      <c r="B3252" s="208" t="s">
        <v>2868</v>
      </c>
      <c r="C3252" s="208" t="s">
        <v>269</v>
      </c>
      <c r="D3252" s="592">
        <v>-28000</v>
      </c>
      <c r="E3252" s="212">
        <v>45444</v>
      </c>
      <c r="F3252" s="208" t="s">
        <v>207</v>
      </c>
      <c r="G3252" s="81" t="s">
        <v>2226</v>
      </c>
      <c r="H3252" s="208" t="s">
        <v>138</v>
      </c>
      <c r="I3252" s="208"/>
      <c r="J3252" s="209"/>
      <c r="K3252" s="209"/>
      <c r="L3252" s="209"/>
      <c r="M3252" s="209"/>
      <c r="N3252" s="209"/>
      <c r="O3252" s="209"/>
      <c r="P3252" s="209"/>
      <c r="Q3252" s="209"/>
      <c r="R3252" s="209"/>
      <c r="S3252" s="209"/>
      <c r="T3252" s="209"/>
    </row>
    <row r="3253" spans="1:20" ht="15" hidden="1" customHeight="1">
      <c r="A3253" s="468">
        <v>45448</v>
      </c>
      <c r="B3253" s="208" t="s">
        <v>2651</v>
      </c>
      <c r="C3253" s="208" t="s">
        <v>269</v>
      </c>
      <c r="D3253" s="592">
        <v>-24000</v>
      </c>
      <c r="E3253" s="212">
        <v>45444</v>
      </c>
      <c r="F3253" s="208" t="s">
        <v>109</v>
      </c>
      <c r="G3253" s="201" t="s">
        <v>1261</v>
      </c>
      <c r="H3253" s="208" t="s">
        <v>138</v>
      </c>
      <c r="I3253" s="208"/>
      <c r="J3253" s="209"/>
      <c r="K3253" s="209"/>
      <c r="L3253" s="209"/>
      <c r="M3253" s="209"/>
      <c r="N3253" s="209"/>
      <c r="O3253" s="209"/>
      <c r="P3253" s="209"/>
      <c r="Q3253" s="209"/>
      <c r="R3253" s="209"/>
      <c r="S3253" s="209"/>
      <c r="T3253" s="209"/>
    </row>
    <row r="3254" spans="1:20" ht="15" hidden="1" customHeight="1">
      <c r="A3254" s="468">
        <v>45443</v>
      </c>
      <c r="B3254" s="208" t="s">
        <v>2869</v>
      </c>
      <c r="C3254" s="208" t="s">
        <v>146</v>
      </c>
      <c r="D3254" s="592">
        <v>-45900</v>
      </c>
      <c r="E3254" s="212">
        <v>45444</v>
      </c>
      <c r="F3254" s="208" t="s">
        <v>109</v>
      </c>
      <c r="G3254" s="201" t="s">
        <v>1261</v>
      </c>
      <c r="H3254" s="208" t="s">
        <v>175</v>
      </c>
      <c r="I3254" s="208" t="s">
        <v>2626</v>
      </c>
      <c r="J3254" s="209"/>
      <c r="K3254" s="209"/>
      <c r="L3254" s="209"/>
      <c r="M3254" s="209"/>
      <c r="N3254" s="209"/>
      <c r="O3254" s="209"/>
      <c r="P3254" s="209"/>
      <c r="Q3254" s="209"/>
      <c r="R3254" s="209"/>
      <c r="S3254" s="209"/>
      <c r="T3254" s="209"/>
    </row>
    <row r="3255" spans="1:20" ht="15" hidden="1" customHeight="1">
      <c r="A3255" s="468">
        <v>45443</v>
      </c>
      <c r="B3255" s="208" t="s">
        <v>2870</v>
      </c>
      <c r="C3255" s="208" t="s">
        <v>146</v>
      </c>
      <c r="D3255" s="592">
        <v>-15200</v>
      </c>
      <c r="E3255" s="212">
        <v>45444</v>
      </c>
      <c r="F3255" s="208" t="s">
        <v>109</v>
      </c>
      <c r="G3255" s="201" t="s">
        <v>1261</v>
      </c>
      <c r="H3255" s="208" t="s">
        <v>175</v>
      </c>
      <c r="I3255" s="208" t="s">
        <v>2626</v>
      </c>
      <c r="J3255" s="209"/>
      <c r="K3255" s="209"/>
      <c r="L3255" s="209"/>
      <c r="M3255" s="209"/>
      <c r="N3255" s="209"/>
      <c r="O3255" s="209"/>
      <c r="P3255" s="209"/>
      <c r="Q3255" s="209"/>
      <c r="R3255" s="209"/>
      <c r="S3255" s="209"/>
      <c r="T3255" s="209"/>
    </row>
    <row r="3256" spans="1:20" ht="15" hidden="1" customHeight="1">
      <c r="A3256" s="468">
        <v>45443</v>
      </c>
      <c r="B3256" s="208" t="s">
        <v>2871</v>
      </c>
      <c r="C3256" s="208" t="s">
        <v>146</v>
      </c>
      <c r="D3256" s="592">
        <v>-3000</v>
      </c>
      <c r="E3256" s="212">
        <v>45444</v>
      </c>
      <c r="F3256" s="208" t="s">
        <v>109</v>
      </c>
      <c r="G3256" s="201" t="s">
        <v>1261</v>
      </c>
      <c r="H3256" s="208" t="s">
        <v>175</v>
      </c>
      <c r="I3256" s="208" t="s">
        <v>2626</v>
      </c>
      <c r="J3256" s="209"/>
      <c r="K3256" s="209"/>
      <c r="L3256" s="209"/>
      <c r="M3256" s="209"/>
      <c r="N3256" s="209"/>
      <c r="O3256" s="209"/>
      <c r="P3256" s="209"/>
      <c r="Q3256" s="209"/>
      <c r="R3256" s="209"/>
      <c r="S3256" s="209"/>
      <c r="T3256" s="209"/>
    </row>
    <row r="3257" spans="1:20" ht="15" hidden="1" customHeight="1">
      <c r="A3257" s="468">
        <v>45447</v>
      </c>
      <c r="B3257" s="208" t="s">
        <v>2872</v>
      </c>
      <c r="C3257" s="208" t="s">
        <v>269</v>
      </c>
      <c r="D3257" s="592">
        <v>-70000</v>
      </c>
      <c r="E3257" s="212">
        <v>45444</v>
      </c>
      <c r="F3257" s="208" t="s">
        <v>109</v>
      </c>
      <c r="G3257" s="208" t="s">
        <v>120</v>
      </c>
      <c r="H3257" s="208" t="s">
        <v>175</v>
      </c>
      <c r="I3257" s="208" t="s">
        <v>2626</v>
      </c>
      <c r="J3257" s="209"/>
      <c r="K3257" s="209"/>
      <c r="L3257" s="209"/>
      <c r="M3257" s="209"/>
      <c r="N3257" s="209"/>
      <c r="O3257" s="209"/>
      <c r="P3257" s="209"/>
      <c r="Q3257" s="209"/>
      <c r="R3257" s="209"/>
      <c r="S3257" s="209"/>
      <c r="T3257" s="209"/>
    </row>
    <row r="3258" spans="1:20" ht="15" hidden="1" customHeight="1">
      <c r="A3258" s="468">
        <v>45447</v>
      </c>
      <c r="B3258" s="208" t="s">
        <v>2873</v>
      </c>
      <c r="C3258" s="208" t="s">
        <v>269</v>
      </c>
      <c r="D3258" s="592">
        <v>-25000</v>
      </c>
      <c r="E3258" s="212">
        <v>45444</v>
      </c>
      <c r="F3258" s="208" t="s">
        <v>109</v>
      </c>
      <c r="G3258" s="208" t="s">
        <v>120</v>
      </c>
      <c r="H3258" s="208" t="s">
        <v>138</v>
      </c>
      <c r="I3258" s="208" t="s">
        <v>2626</v>
      </c>
      <c r="J3258" s="209"/>
      <c r="K3258" s="209"/>
      <c r="L3258" s="209"/>
      <c r="M3258" s="209"/>
      <c r="N3258" s="209"/>
      <c r="O3258" s="209"/>
      <c r="P3258" s="209"/>
      <c r="Q3258" s="209"/>
      <c r="R3258" s="209"/>
      <c r="S3258" s="209"/>
      <c r="T3258" s="209"/>
    </row>
    <row r="3259" spans="1:20" ht="15" hidden="1" customHeight="1">
      <c r="A3259" s="468">
        <v>45447</v>
      </c>
      <c r="B3259" s="208" t="s">
        <v>2874</v>
      </c>
      <c r="C3259" s="208" t="s">
        <v>269</v>
      </c>
      <c r="D3259" s="592">
        <v>-170000</v>
      </c>
      <c r="E3259" s="212">
        <v>45444</v>
      </c>
      <c r="F3259" s="208" t="s">
        <v>109</v>
      </c>
      <c r="G3259" s="208" t="s">
        <v>125</v>
      </c>
      <c r="H3259" s="208" t="s">
        <v>175</v>
      </c>
      <c r="I3259" s="208" t="s">
        <v>2626</v>
      </c>
      <c r="J3259" s="209"/>
      <c r="K3259" s="209"/>
      <c r="L3259" s="209"/>
      <c r="M3259" s="209"/>
      <c r="N3259" s="209"/>
      <c r="O3259" s="209"/>
      <c r="P3259" s="209"/>
      <c r="Q3259" s="209"/>
      <c r="R3259" s="209"/>
      <c r="S3259" s="209"/>
      <c r="T3259" s="209"/>
    </row>
    <row r="3260" spans="1:20" ht="15" hidden="1" customHeight="1">
      <c r="A3260" s="468">
        <v>45447</v>
      </c>
      <c r="B3260" s="208" t="s">
        <v>2875</v>
      </c>
      <c r="C3260" s="208" t="s">
        <v>269</v>
      </c>
      <c r="D3260" s="592">
        <v>-15000</v>
      </c>
      <c r="E3260" s="212">
        <v>45444</v>
      </c>
      <c r="F3260" s="208" t="s">
        <v>109</v>
      </c>
      <c r="G3260" s="201" t="s">
        <v>1261</v>
      </c>
      <c r="H3260" s="208" t="s">
        <v>138</v>
      </c>
      <c r="I3260" s="208" t="s">
        <v>2626</v>
      </c>
      <c r="J3260" s="209"/>
      <c r="K3260" s="209"/>
      <c r="L3260" s="209"/>
      <c r="M3260" s="209"/>
      <c r="N3260" s="209"/>
      <c r="O3260" s="209"/>
      <c r="P3260" s="209"/>
      <c r="Q3260" s="209"/>
      <c r="R3260" s="209"/>
      <c r="S3260" s="209"/>
      <c r="T3260" s="209"/>
    </row>
    <row r="3261" spans="1:20" ht="15" hidden="1" customHeight="1">
      <c r="A3261" s="468">
        <v>45447</v>
      </c>
      <c r="B3261" s="208" t="s">
        <v>2876</v>
      </c>
      <c r="C3261" s="208" t="s">
        <v>269</v>
      </c>
      <c r="D3261" s="592">
        <v>-59600</v>
      </c>
      <c r="E3261" s="212">
        <v>45444</v>
      </c>
      <c r="F3261" s="208" t="s">
        <v>109</v>
      </c>
      <c r="G3261" s="208" t="s">
        <v>125</v>
      </c>
      <c r="H3261" s="208" t="s">
        <v>175</v>
      </c>
      <c r="I3261" s="208" t="s">
        <v>2626</v>
      </c>
      <c r="J3261" s="209"/>
      <c r="K3261" s="209"/>
      <c r="L3261" s="209"/>
      <c r="M3261" s="209"/>
      <c r="N3261" s="209"/>
      <c r="O3261" s="209"/>
      <c r="P3261" s="209"/>
      <c r="Q3261" s="209"/>
      <c r="R3261" s="209"/>
      <c r="S3261" s="209"/>
      <c r="T3261" s="209"/>
    </row>
    <row r="3262" spans="1:20" ht="15" hidden="1" customHeight="1">
      <c r="A3262" s="468">
        <v>45447</v>
      </c>
      <c r="B3262" s="208" t="s">
        <v>2877</v>
      </c>
      <c r="C3262" s="208" t="s">
        <v>269</v>
      </c>
      <c r="D3262" s="592">
        <v>-73336</v>
      </c>
      <c r="E3262" s="212">
        <v>45444</v>
      </c>
      <c r="F3262" s="208" t="s">
        <v>109</v>
      </c>
      <c r="G3262" s="208" t="s">
        <v>120</v>
      </c>
      <c r="H3262" s="208" t="s">
        <v>175</v>
      </c>
      <c r="I3262" s="208" t="s">
        <v>2626</v>
      </c>
      <c r="J3262" s="209"/>
      <c r="K3262" s="209"/>
      <c r="L3262" s="209"/>
      <c r="M3262" s="209"/>
      <c r="N3262" s="209"/>
      <c r="O3262" s="209"/>
      <c r="P3262" s="209"/>
      <c r="Q3262" s="209"/>
      <c r="R3262" s="209"/>
      <c r="S3262" s="209"/>
      <c r="T3262" s="209"/>
    </row>
    <row r="3263" spans="1:20" ht="15" hidden="1" customHeight="1">
      <c r="A3263" s="468">
        <v>45447</v>
      </c>
      <c r="B3263" s="208" t="s">
        <v>2878</v>
      </c>
      <c r="C3263" s="208" t="s">
        <v>269</v>
      </c>
      <c r="D3263" s="592">
        <v>-30000</v>
      </c>
      <c r="E3263" s="212">
        <v>45444</v>
      </c>
      <c r="F3263" s="208" t="s">
        <v>109</v>
      </c>
      <c r="G3263" s="208" t="s">
        <v>120</v>
      </c>
      <c r="H3263" s="208" t="s">
        <v>175</v>
      </c>
      <c r="I3263" s="208" t="s">
        <v>2626</v>
      </c>
      <c r="J3263" s="209"/>
      <c r="K3263" s="209"/>
      <c r="L3263" s="209"/>
      <c r="M3263" s="209"/>
      <c r="N3263" s="209"/>
      <c r="O3263" s="209"/>
      <c r="P3263" s="209"/>
      <c r="Q3263" s="209"/>
      <c r="R3263" s="209"/>
      <c r="S3263" s="209"/>
      <c r="T3263" s="209"/>
    </row>
    <row r="3264" spans="1:20" ht="15" hidden="1" customHeight="1">
      <c r="A3264" s="468">
        <v>45447</v>
      </c>
      <c r="B3264" s="208" t="s">
        <v>2879</v>
      </c>
      <c r="C3264" s="208" t="s">
        <v>269</v>
      </c>
      <c r="D3264" s="592">
        <v>-35700</v>
      </c>
      <c r="E3264" s="212">
        <v>45444</v>
      </c>
      <c r="F3264" s="208" t="s">
        <v>109</v>
      </c>
      <c r="G3264" s="208" t="s">
        <v>120</v>
      </c>
      <c r="H3264" s="208" t="s">
        <v>175</v>
      </c>
      <c r="I3264" s="208" t="s">
        <v>2626</v>
      </c>
      <c r="J3264" s="209"/>
      <c r="K3264" s="209"/>
      <c r="L3264" s="209"/>
      <c r="M3264" s="209"/>
      <c r="N3264" s="209"/>
      <c r="O3264" s="209"/>
      <c r="P3264" s="209"/>
      <c r="Q3264" s="209"/>
      <c r="R3264" s="209"/>
      <c r="S3264" s="209"/>
      <c r="T3264" s="209"/>
    </row>
    <row r="3265" spans="1:20" ht="15" hidden="1" customHeight="1">
      <c r="A3265" s="468">
        <v>45448</v>
      </c>
      <c r="B3265" s="208" t="s">
        <v>2880</v>
      </c>
      <c r="C3265" s="208" t="s">
        <v>269</v>
      </c>
      <c r="D3265" s="592">
        <v>-148148</v>
      </c>
      <c r="E3265" s="212">
        <v>45444</v>
      </c>
      <c r="F3265" s="208" t="s">
        <v>109</v>
      </c>
      <c r="G3265" s="201" t="s">
        <v>1261</v>
      </c>
      <c r="H3265" s="208" t="s">
        <v>175</v>
      </c>
      <c r="I3265" s="208" t="s">
        <v>2626</v>
      </c>
      <c r="J3265" s="209"/>
      <c r="K3265" s="209"/>
      <c r="L3265" s="209"/>
      <c r="M3265" s="209"/>
      <c r="N3265" s="209"/>
      <c r="O3265" s="209"/>
      <c r="P3265" s="209"/>
      <c r="Q3265" s="209"/>
      <c r="R3265" s="209"/>
      <c r="S3265" s="209"/>
      <c r="T3265" s="209"/>
    </row>
    <row r="3266" spans="1:20" ht="15" hidden="1" customHeight="1">
      <c r="A3266" s="468">
        <v>45448</v>
      </c>
      <c r="B3266" s="208" t="s">
        <v>2881</v>
      </c>
      <c r="C3266" s="208" t="s">
        <v>269</v>
      </c>
      <c r="D3266" s="592">
        <v>-15000</v>
      </c>
      <c r="E3266" s="212">
        <v>45444</v>
      </c>
      <c r="F3266" s="208" t="s">
        <v>109</v>
      </c>
      <c r="G3266" s="208" t="s">
        <v>120</v>
      </c>
      <c r="H3266" s="208" t="s">
        <v>138</v>
      </c>
      <c r="I3266" s="208" t="s">
        <v>2626</v>
      </c>
      <c r="J3266" s="209"/>
      <c r="K3266" s="209"/>
      <c r="L3266" s="209"/>
      <c r="M3266" s="209"/>
      <c r="N3266" s="209"/>
      <c r="O3266" s="209"/>
      <c r="P3266" s="209"/>
      <c r="Q3266" s="209"/>
      <c r="R3266" s="209"/>
      <c r="S3266" s="209"/>
      <c r="T3266" s="209"/>
    </row>
    <row r="3267" spans="1:20" ht="15" hidden="1" customHeight="1">
      <c r="A3267" s="468">
        <v>45448</v>
      </c>
      <c r="B3267" s="208" t="s">
        <v>2882</v>
      </c>
      <c r="C3267" s="208" t="s">
        <v>269</v>
      </c>
      <c r="D3267" s="592">
        <v>-10000</v>
      </c>
      <c r="E3267" s="212">
        <v>45444</v>
      </c>
      <c r="F3267" s="208" t="s">
        <v>109</v>
      </c>
      <c r="G3267" s="201" t="s">
        <v>1261</v>
      </c>
      <c r="H3267" s="208" t="s">
        <v>175</v>
      </c>
      <c r="I3267" s="208" t="s">
        <v>2626</v>
      </c>
      <c r="J3267" s="209"/>
      <c r="K3267" s="209"/>
      <c r="L3267" s="209"/>
      <c r="M3267" s="209"/>
      <c r="N3267" s="209"/>
      <c r="O3267" s="209"/>
      <c r="P3267" s="209"/>
      <c r="Q3267" s="209"/>
      <c r="R3267" s="209"/>
      <c r="S3267" s="209"/>
      <c r="T3267" s="209"/>
    </row>
    <row r="3268" spans="1:20" s="459" customFormat="1" ht="15" hidden="1" customHeight="1">
      <c r="A3268" s="468">
        <v>45457</v>
      </c>
      <c r="B3268" s="208" t="s">
        <v>2883</v>
      </c>
      <c r="C3268" s="208" t="s">
        <v>269</v>
      </c>
      <c r="D3268" s="592">
        <v>-81000</v>
      </c>
      <c r="E3268" s="212">
        <v>45444</v>
      </c>
      <c r="F3268" s="201" t="s">
        <v>110</v>
      </c>
      <c r="G3268" s="208" t="s">
        <v>774</v>
      </c>
      <c r="H3268" s="208" t="s">
        <v>138</v>
      </c>
      <c r="I3268" s="208"/>
      <c r="J3268" s="209"/>
      <c r="K3268" s="209"/>
      <c r="L3268" s="209"/>
      <c r="M3268" s="209"/>
      <c r="N3268" s="209"/>
      <c r="O3268" s="209"/>
      <c r="P3268" s="209"/>
      <c r="Q3268" s="209"/>
      <c r="R3268" s="209"/>
      <c r="S3268" s="209"/>
      <c r="T3268" s="209"/>
    </row>
    <row r="3269" spans="1:20" ht="15" hidden="1" customHeight="1">
      <c r="A3269" s="468">
        <v>45457</v>
      </c>
      <c r="B3269" s="208" t="s">
        <v>2883</v>
      </c>
      <c r="C3269" s="208" t="s">
        <v>269</v>
      </c>
      <c r="D3269" s="592">
        <v>-35000</v>
      </c>
      <c r="E3269" s="212">
        <v>45444</v>
      </c>
      <c r="F3269" s="208" t="s">
        <v>109</v>
      </c>
      <c r="G3269" s="208" t="s">
        <v>120</v>
      </c>
      <c r="H3269" s="208" t="s">
        <v>138</v>
      </c>
      <c r="I3269" s="208"/>
      <c r="J3269" s="209"/>
      <c r="K3269" s="209"/>
      <c r="L3269" s="209"/>
      <c r="M3269" s="209"/>
      <c r="N3269" s="209"/>
      <c r="O3269" s="209"/>
      <c r="P3269" s="209"/>
      <c r="Q3269" s="209"/>
      <c r="R3269" s="209"/>
      <c r="S3269" s="209"/>
      <c r="T3269" s="209"/>
    </row>
    <row r="3270" spans="1:20" ht="15" hidden="1" customHeight="1">
      <c r="A3270" s="468">
        <v>45457</v>
      </c>
      <c r="B3270" s="208" t="s">
        <v>2883</v>
      </c>
      <c r="C3270" s="208" t="s">
        <v>269</v>
      </c>
      <c r="D3270" s="592">
        <v>-51000</v>
      </c>
      <c r="E3270" s="212">
        <v>45444</v>
      </c>
      <c r="F3270" s="208" t="s">
        <v>109</v>
      </c>
      <c r="G3270" s="208" t="s">
        <v>125</v>
      </c>
      <c r="H3270" s="208" t="s">
        <v>138</v>
      </c>
      <c r="I3270" s="208"/>
      <c r="J3270" s="209"/>
      <c r="K3270" s="209"/>
      <c r="L3270" s="209"/>
      <c r="M3270" s="209"/>
      <c r="N3270" s="209"/>
      <c r="O3270" s="209"/>
      <c r="P3270" s="209"/>
      <c r="Q3270" s="209"/>
      <c r="R3270" s="209"/>
      <c r="S3270" s="209"/>
      <c r="T3270" s="209"/>
    </row>
    <row r="3271" spans="1:20" ht="15" hidden="1" customHeight="1">
      <c r="A3271" s="468">
        <v>45457</v>
      </c>
      <c r="B3271" s="208" t="s">
        <v>2883</v>
      </c>
      <c r="C3271" s="208" t="s">
        <v>269</v>
      </c>
      <c r="D3271" s="592">
        <v>-7000</v>
      </c>
      <c r="E3271" s="212">
        <v>45444</v>
      </c>
      <c r="F3271" s="208" t="s">
        <v>109</v>
      </c>
      <c r="G3271" s="201" t="s">
        <v>1261</v>
      </c>
      <c r="H3271" s="208" t="s">
        <v>138</v>
      </c>
      <c r="I3271" s="208"/>
      <c r="J3271" s="209"/>
      <c r="K3271" s="209"/>
      <c r="L3271" s="209"/>
      <c r="M3271" s="209"/>
      <c r="N3271" s="209"/>
      <c r="O3271" s="209"/>
      <c r="P3271" s="209"/>
      <c r="Q3271" s="209"/>
      <c r="R3271" s="209"/>
      <c r="S3271" s="209"/>
      <c r="T3271" s="209"/>
    </row>
    <row r="3272" spans="1:20" ht="15" hidden="1" customHeight="1">
      <c r="A3272" s="468">
        <v>45456</v>
      </c>
      <c r="B3272" s="208" t="s">
        <v>2884</v>
      </c>
      <c r="C3272" s="208" t="s">
        <v>269</v>
      </c>
      <c r="D3272" s="592">
        <v>-89328</v>
      </c>
      <c r="E3272" s="212">
        <v>45444</v>
      </c>
      <c r="F3272" s="208" t="s">
        <v>109</v>
      </c>
      <c r="G3272" s="201" t="s">
        <v>1261</v>
      </c>
      <c r="H3272" s="208" t="s">
        <v>138</v>
      </c>
      <c r="I3272" s="208"/>
      <c r="J3272" s="209"/>
      <c r="K3272" s="209"/>
      <c r="L3272" s="209"/>
      <c r="M3272" s="209"/>
      <c r="N3272" s="209"/>
      <c r="O3272" s="209"/>
      <c r="P3272" s="209"/>
      <c r="Q3272" s="209"/>
      <c r="R3272" s="209"/>
      <c r="S3272" s="209"/>
      <c r="T3272" s="209"/>
    </row>
    <row r="3273" spans="1:20" ht="15" hidden="1" customHeight="1">
      <c r="A3273" s="468">
        <v>45456</v>
      </c>
      <c r="B3273" s="208" t="s">
        <v>2884</v>
      </c>
      <c r="C3273" s="208" t="s">
        <v>269</v>
      </c>
      <c r="D3273" s="592">
        <v>-7000</v>
      </c>
      <c r="E3273" s="212">
        <v>45444</v>
      </c>
      <c r="F3273" s="208" t="s">
        <v>130</v>
      </c>
      <c r="G3273" s="208" t="s">
        <v>130</v>
      </c>
      <c r="H3273" s="208" t="s">
        <v>138</v>
      </c>
      <c r="I3273" s="208"/>
      <c r="J3273" s="209"/>
      <c r="K3273" s="209"/>
      <c r="L3273" s="209"/>
      <c r="M3273" s="209"/>
      <c r="N3273" s="209"/>
      <c r="O3273" s="209"/>
      <c r="P3273" s="209"/>
      <c r="Q3273" s="209"/>
      <c r="R3273" s="209"/>
      <c r="S3273" s="209"/>
      <c r="T3273" s="209"/>
    </row>
    <row r="3274" spans="1:20" ht="15" hidden="1" customHeight="1">
      <c r="A3274" s="468">
        <v>45456</v>
      </c>
      <c r="B3274" s="208" t="s">
        <v>2884</v>
      </c>
      <c r="C3274" s="208" t="s">
        <v>269</v>
      </c>
      <c r="D3274" s="592">
        <v>-87000</v>
      </c>
      <c r="E3274" s="212">
        <v>45444</v>
      </c>
      <c r="F3274" s="208" t="s">
        <v>109</v>
      </c>
      <c r="G3274" s="208" t="s">
        <v>120</v>
      </c>
      <c r="H3274" s="208" t="s">
        <v>138</v>
      </c>
      <c r="I3274" s="208"/>
      <c r="J3274" s="209"/>
      <c r="K3274" s="209"/>
      <c r="L3274" s="209"/>
      <c r="M3274" s="209"/>
      <c r="N3274" s="209"/>
      <c r="O3274" s="209"/>
      <c r="P3274" s="209"/>
      <c r="Q3274" s="209"/>
      <c r="R3274" s="209"/>
      <c r="S3274" s="209"/>
      <c r="T3274" s="209"/>
    </row>
    <row r="3275" spans="1:20" ht="15" hidden="1" customHeight="1">
      <c r="A3275" s="468">
        <v>45456</v>
      </c>
      <c r="B3275" s="208" t="s">
        <v>2884</v>
      </c>
      <c r="C3275" s="208" t="s">
        <v>269</v>
      </c>
      <c r="D3275" s="592">
        <v>-90000</v>
      </c>
      <c r="E3275" s="212">
        <v>45444</v>
      </c>
      <c r="F3275" s="201" t="s">
        <v>110</v>
      </c>
      <c r="G3275" s="208" t="s">
        <v>774</v>
      </c>
      <c r="H3275" s="208" t="s">
        <v>138</v>
      </c>
      <c r="I3275" s="208"/>
      <c r="J3275" s="209"/>
      <c r="K3275" s="209"/>
      <c r="L3275" s="209"/>
      <c r="M3275" s="209"/>
      <c r="N3275" s="209"/>
      <c r="O3275" s="209"/>
      <c r="P3275" s="209"/>
      <c r="Q3275" s="209"/>
      <c r="R3275" s="209"/>
      <c r="S3275" s="209"/>
      <c r="T3275" s="209"/>
    </row>
    <row r="3276" spans="1:20" ht="15" hidden="1" customHeight="1">
      <c r="A3276" s="468">
        <v>45456</v>
      </c>
      <c r="B3276" s="208" t="s">
        <v>2884</v>
      </c>
      <c r="C3276" s="208" t="s">
        <v>269</v>
      </c>
      <c r="D3276" s="592">
        <v>-14000</v>
      </c>
      <c r="E3276" s="212">
        <v>45444</v>
      </c>
      <c r="F3276" s="201" t="s">
        <v>110</v>
      </c>
      <c r="G3276" s="81" t="s">
        <v>1621</v>
      </c>
      <c r="H3276" s="208" t="s">
        <v>138</v>
      </c>
      <c r="I3276" s="208"/>
      <c r="J3276" s="209"/>
      <c r="K3276" s="209"/>
      <c r="L3276" s="209"/>
      <c r="M3276" s="209"/>
      <c r="N3276" s="209"/>
      <c r="O3276" s="209"/>
      <c r="P3276" s="209"/>
      <c r="Q3276" s="209"/>
      <c r="R3276" s="209"/>
      <c r="S3276" s="209"/>
      <c r="T3276" s="209"/>
    </row>
    <row r="3277" spans="1:20" ht="15" hidden="1" customHeight="1">
      <c r="A3277" s="468">
        <v>45456</v>
      </c>
      <c r="B3277" s="208" t="s">
        <v>2885</v>
      </c>
      <c r="C3277" s="208" t="s">
        <v>133</v>
      </c>
      <c r="D3277" s="592">
        <v>-2920</v>
      </c>
      <c r="E3277" s="212">
        <v>45444</v>
      </c>
      <c r="F3277" s="201" t="s">
        <v>110</v>
      </c>
      <c r="G3277" s="81" t="s">
        <v>1621</v>
      </c>
      <c r="H3277" s="208" t="s">
        <v>138</v>
      </c>
      <c r="I3277" s="208"/>
      <c r="J3277" s="209"/>
      <c r="K3277" s="209"/>
      <c r="L3277" s="209"/>
      <c r="M3277" s="209"/>
      <c r="N3277" s="209"/>
      <c r="O3277" s="209"/>
      <c r="P3277" s="209"/>
      <c r="Q3277" s="209"/>
      <c r="R3277" s="209"/>
      <c r="S3277" s="209"/>
      <c r="T3277" s="209"/>
    </row>
    <row r="3278" spans="1:20" ht="15" hidden="1" customHeight="1">
      <c r="A3278" s="468">
        <v>45456</v>
      </c>
      <c r="B3278" s="208" t="s">
        <v>2886</v>
      </c>
      <c r="C3278" s="208" t="s">
        <v>133</v>
      </c>
      <c r="D3278" s="592">
        <v>-1752</v>
      </c>
      <c r="E3278" s="212">
        <v>45444</v>
      </c>
      <c r="F3278" s="201" t="s">
        <v>110</v>
      </c>
      <c r="G3278" s="81" t="s">
        <v>1621</v>
      </c>
      <c r="H3278" s="208" t="s">
        <v>138</v>
      </c>
      <c r="I3278" s="208"/>
      <c r="J3278" s="209"/>
      <c r="K3278" s="209"/>
      <c r="L3278" s="209"/>
      <c r="M3278" s="209"/>
      <c r="N3278" s="209"/>
      <c r="O3278" s="209"/>
      <c r="P3278" s="209"/>
      <c r="Q3278" s="209"/>
      <c r="R3278" s="209"/>
      <c r="S3278" s="209"/>
      <c r="T3278" s="209"/>
    </row>
    <row r="3279" spans="1:20" ht="15" hidden="1" customHeight="1">
      <c r="A3279" s="468">
        <v>45456</v>
      </c>
      <c r="B3279" s="208" t="s">
        <v>2663</v>
      </c>
      <c r="C3279" s="208" t="s">
        <v>269</v>
      </c>
      <c r="D3279" s="592">
        <v>-108864</v>
      </c>
      <c r="E3279" s="212">
        <v>45444</v>
      </c>
      <c r="F3279" s="208" t="s">
        <v>109</v>
      </c>
      <c r="G3279" s="208" t="s">
        <v>125</v>
      </c>
      <c r="H3279" s="208" t="s">
        <v>138</v>
      </c>
      <c r="I3279" s="208"/>
      <c r="J3279" s="209"/>
      <c r="K3279" s="209"/>
      <c r="L3279" s="209"/>
      <c r="M3279" s="209"/>
      <c r="N3279" s="209"/>
      <c r="O3279" s="209"/>
      <c r="P3279" s="209"/>
      <c r="Q3279" s="209"/>
      <c r="R3279" s="209"/>
      <c r="S3279" s="209"/>
      <c r="T3279" s="209"/>
    </row>
    <row r="3280" spans="1:20" ht="15" hidden="1" customHeight="1">
      <c r="A3280" s="468">
        <v>45456</v>
      </c>
      <c r="B3280" s="208" t="s">
        <v>2663</v>
      </c>
      <c r="C3280" s="208" t="s">
        <v>269</v>
      </c>
      <c r="D3280" s="592">
        <v>-35000</v>
      </c>
      <c r="E3280" s="212">
        <v>45444</v>
      </c>
      <c r="F3280" s="208" t="s">
        <v>109</v>
      </c>
      <c r="G3280" s="208" t="s">
        <v>120</v>
      </c>
      <c r="H3280" s="208" t="s">
        <v>138</v>
      </c>
      <c r="I3280" s="208"/>
      <c r="J3280" s="209"/>
      <c r="K3280" s="209"/>
      <c r="L3280" s="209"/>
      <c r="M3280" s="209"/>
      <c r="N3280" s="209"/>
      <c r="O3280" s="209"/>
      <c r="P3280" s="209"/>
      <c r="Q3280" s="209"/>
      <c r="R3280" s="209"/>
      <c r="S3280" s="209"/>
      <c r="T3280" s="209"/>
    </row>
    <row r="3281" spans="1:20" ht="15" hidden="1" customHeight="1">
      <c r="A3281" s="468">
        <v>45456</v>
      </c>
      <c r="B3281" s="208" t="s">
        <v>2663</v>
      </c>
      <c r="C3281" s="208" t="s">
        <v>269</v>
      </c>
      <c r="D3281" s="592">
        <v>-35000</v>
      </c>
      <c r="E3281" s="212">
        <v>45444</v>
      </c>
      <c r="F3281" s="208" t="s">
        <v>109</v>
      </c>
      <c r="G3281" s="201" t="s">
        <v>1261</v>
      </c>
      <c r="H3281" s="208" t="s">
        <v>138</v>
      </c>
      <c r="I3281" s="208"/>
      <c r="J3281" s="209"/>
      <c r="K3281" s="209"/>
      <c r="L3281" s="209"/>
      <c r="M3281" s="209"/>
      <c r="N3281" s="209"/>
      <c r="O3281" s="209"/>
      <c r="P3281" s="209"/>
      <c r="Q3281" s="209"/>
      <c r="R3281" s="209"/>
      <c r="S3281" s="209"/>
      <c r="T3281" s="209"/>
    </row>
    <row r="3282" spans="1:20" ht="15" hidden="1" customHeight="1">
      <c r="A3282" s="468">
        <v>45456</v>
      </c>
      <c r="B3282" s="208" t="s">
        <v>2663</v>
      </c>
      <c r="C3282" s="208" t="s">
        <v>269</v>
      </c>
      <c r="D3282" s="592">
        <v>-14000</v>
      </c>
      <c r="E3282" s="212">
        <v>45444</v>
      </c>
      <c r="F3282" s="208" t="s">
        <v>110</v>
      </c>
      <c r="G3282" s="201" t="s">
        <v>1489</v>
      </c>
      <c r="H3282" s="208" t="s">
        <v>138</v>
      </c>
      <c r="I3282" s="208"/>
      <c r="J3282" s="209"/>
      <c r="K3282" s="209"/>
      <c r="L3282" s="209"/>
      <c r="M3282" s="209"/>
      <c r="N3282" s="209"/>
      <c r="O3282" s="209"/>
      <c r="P3282" s="209"/>
      <c r="Q3282" s="209"/>
      <c r="R3282" s="209"/>
      <c r="S3282" s="209"/>
      <c r="T3282" s="209"/>
    </row>
    <row r="3283" spans="1:20" ht="15" hidden="1" customHeight="1">
      <c r="A3283" s="468">
        <v>45456</v>
      </c>
      <c r="B3283" s="208" t="s">
        <v>2887</v>
      </c>
      <c r="C3283" s="208" t="s">
        <v>133</v>
      </c>
      <c r="D3283" s="592">
        <v>-1960</v>
      </c>
      <c r="E3283" s="212">
        <v>45444</v>
      </c>
      <c r="F3283" s="208" t="s">
        <v>110</v>
      </c>
      <c r="G3283" s="201" t="s">
        <v>1489</v>
      </c>
      <c r="H3283" s="208" t="s">
        <v>138</v>
      </c>
      <c r="I3283" s="208"/>
      <c r="J3283" s="209"/>
      <c r="K3283" s="209"/>
      <c r="L3283" s="209"/>
      <c r="M3283" s="209"/>
      <c r="N3283" s="209"/>
      <c r="O3283" s="209"/>
      <c r="P3283" s="209"/>
      <c r="Q3283" s="209"/>
      <c r="R3283" s="209"/>
      <c r="S3283" s="209"/>
      <c r="T3283" s="209"/>
    </row>
    <row r="3284" spans="1:20" ht="15" hidden="1" customHeight="1">
      <c r="A3284" s="468">
        <v>45456</v>
      </c>
      <c r="B3284" s="208" t="s">
        <v>2888</v>
      </c>
      <c r="C3284" s="208" t="s">
        <v>133</v>
      </c>
      <c r="D3284" s="592">
        <v>-1176</v>
      </c>
      <c r="E3284" s="212">
        <v>45444</v>
      </c>
      <c r="F3284" s="208" t="s">
        <v>110</v>
      </c>
      <c r="G3284" s="201" t="s">
        <v>1489</v>
      </c>
      <c r="H3284" s="208" t="s">
        <v>138</v>
      </c>
      <c r="I3284" s="208"/>
      <c r="J3284" s="209"/>
      <c r="K3284" s="209"/>
      <c r="L3284" s="209"/>
      <c r="M3284" s="209"/>
      <c r="N3284" s="209"/>
      <c r="O3284" s="209"/>
      <c r="P3284" s="209"/>
      <c r="Q3284" s="209"/>
      <c r="R3284" s="209"/>
      <c r="S3284" s="209"/>
      <c r="T3284" s="209"/>
    </row>
    <row r="3285" spans="1:20" ht="15" hidden="1" customHeight="1">
      <c r="A3285" s="468">
        <v>45454</v>
      </c>
      <c r="B3285" s="208" t="s">
        <v>2889</v>
      </c>
      <c r="C3285" s="208" t="s">
        <v>269</v>
      </c>
      <c r="D3285" s="592">
        <v>8000</v>
      </c>
      <c r="E3285" s="212">
        <v>45444</v>
      </c>
      <c r="F3285" s="208" t="s">
        <v>130</v>
      </c>
      <c r="G3285" s="208" t="s">
        <v>2657</v>
      </c>
      <c r="H3285" s="208" t="s">
        <v>2032</v>
      </c>
      <c r="I3285" s="208"/>
      <c r="J3285" s="209"/>
      <c r="K3285" s="209"/>
      <c r="L3285" s="209"/>
      <c r="M3285" s="209"/>
      <c r="N3285" s="209"/>
      <c r="O3285" s="209"/>
      <c r="P3285" s="209"/>
      <c r="Q3285" s="209"/>
      <c r="R3285" s="209"/>
      <c r="S3285" s="209"/>
      <c r="T3285" s="209"/>
    </row>
    <row r="3286" spans="1:20" ht="15" hidden="1" customHeight="1">
      <c r="A3286" s="468">
        <v>45454</v>
      </c>
      <c r="B3286" s="208" t="s">
        <v>2890</v>
      </c>
      <c r="C3286" s="208" t="s">
        <v>269</v>
      </c>
      <c r="D3286" s="592">
        <v>-178200</v>
      </c>
      <c r="E3286" s="212">
        <v>45444</v>
      </c>
      <c r="F3286" s="208" t="s">
        <v>130</v>
      </c>
      <c r="G3286" s="208" t="s">
        <v>130</v>
      </c>
      <c r="H3286" s="208" t="s">
        <v>2590</v>
      </c>
      <c r="I3286" s="208"/>
      <c r="J3286" s="209"/>
      <c r="K3286" s="209"/>
      <c r="L3286" s="209"/>
      <c r="M3286" s="209"/>
      <c r="N3286" s="209"/>
      <c r="O3286" s="209"/>
      <c r="P3286" s="209"/>
      <c r="Q3286" s="209"/>
      <c r="R3286" s="209"/>
      <c r="S3286" s="209"/>
      <c r="T3286" s="209"/>
    </row>
    <row r="3287" spans="1:20" ht="15" hidden="1" customHeight="1">
      <c r="A3287" s="468">
        <v>45454</v>
      </c>
      <c r="B3287" s="208" t="s">
        <v>2891</v>
      </c>
      <c r="C3287" s="208" t="s">
        <v>269</v>
      </c>
      <c r="D3287" s="592">
        <v>-6500</v>
      </c>
      <c r="E3287" s="212">
        <v>45444</v>
      </c>
      <c r="F3287" s="291" t="s">
        <v>109</v>
      </c>
      <c r="G3287" s="208" t="s">
        <v>525</v>
      </c>
      <c r="H3287" s="208" t="s">
        <v>421</v>
      </c>
      <c r="I3287" s="208"/>
      <c r="J3287" s="209"/>
      <c r="K3287" s="209"/>
      <c r="L3287" s="209"/>
      <c r="M3287" s="209"/>
      <c r="N3287" s="209"/>
      <c r="O3287" s="209"/>
      <c r="P3287" s="209"/>
      <c r="Q3287" s="209"/>
      <c r="R3287" s="209"/>
      <c r="S3287" s="209"/>
      <c r="T3287" s="209"/>
    </row>
    <row r="3288" spans="1:20" ht="15" hidden="1" customHeight="1">
      <c r="A3288" s="468">
        <v>45454</v>
      </c>
      <c r="B3288" s="208" t="s">
        <v>2891</v>
      </c>
      <c r="C3288" s="208" t="s">
        <v>269</v>
      </c>
      <c r="D3288" s="592">
        <v>-6500</v>
      </c>
      <c r="E3288" s="212">
        <v>45444</v>
      </c>
      <c r="F3288" s="291" t="s">
        <v>110</v>
      </c>
      <c r="G3288" s="208" t="s">
        <v>450</v>
      </c>
      <c r="H3288" s="208" t="s">
        <v>421</v>
      </c>
      <c r="I3288" s="208"/>
      <c r="J3288" s="209"/>
      <c r="K3288" s="209"/>
      <c r="L3288" s="209"/>
      <c r="M3288" s="209"/>
      <c r="N3288" s="209"/>
      <c r="O3288" s="209"/>
      <c r="P3288" s="209"/>
      <c r="Q3288" s="209"/>
      <c r="R3288" s="209"/>
      <c r="S3288" s="209"/>
      <c r="T3288" s="209"/>
    </row>
    <row r="3289" spans="1:20" ht="15" hidden="1" customHeight="1">
      <c r="A3289" s="468">
        <v>45454</v>
      </c>
      <c r="B3289" s="208" t="s">
        <v>2892</v>
      </c>
      <c r="C3289" s="208" t="s">
        <v>269</v>
      </c>
      <c r="D3289" s="592">
        <v>-12900</v>
      </c>
      <c r="E3289" s="212">
        <v>45444</v>
      </c>
      <c r="F3289" s="208" t="s">
        <v>109</v>
      </c>
      <c r="G3289" s="208" t="s">
        <v>120</v>
      </c>
      <c r="H3289" s="208"/>
      <c r="I3289" s="208"/>
      <c r="J3289" s="209"/>
      <c r="K3289" s="209"/>
      <c r="L3289" s="209"/>
      <c r="M3289" s="209"/>
      <c r="N3289" s="209"/>
      <c r="O3289" s="209"/>
      <c r="P3289" s="209"/>
      <c r="Q3289" s="209"/>
      <c r="R3289" s="209"/>
      <c r="S3289" s="209"/>
      <c r="T3289" s="209"/>
    </row>
    <row r="3290" spans="1:20" ht="15" hidden="1" customHeight="1">
      <c r="A3290" s="468">
        <v>45454</v>
      </c>
      <c r="B3290" s="208" t="s">
        <v>2892</v>
      </c>
      <c r="C3290" s="208" t="s">
        <v>269</v>
      </c>
      <c r="D3290" s="592">
        <v>-12900</v>
      </c>
      <c r="E3290" s="212">
        <v>45444</v>
      </c>
      <c r="F3290" s="208" t="s">
        <v>109</v>
      </c>
      <c r="G3290" s="208" t="s">
        <v>120</v>
      </c>
      <c r="H3290" s="208"/>
      <c r="I3290" s="208"/>
      <c r="J3290" s="209"/>
      <c r="K3290" s="209"/>
      <c r="L3290" s="209"/>
      <c r="M3290" s="209"/>
      <c r="N3290" s="209"/>
      <c r="O3290" s="209"/>
      <c r="P3290" s="209"/>
      <c r="Q3290" s="209"/>
      <c r="R3290" s="209"/>
      <c r="S3290" s="209"/>
      <c r="T3290" s="209"/>
    </row>
    <row r="3291" spans="1:20" ht="15" hidden="1" customHeight="1">
      <c r="A3291" s="468">
        <v>45454</v>
      </c>
      <c r="B3291" s="208" t="s">
        <v>2893</v>
      </c>
      <c r="C3291" s="208" t="s">
        <v>269</v>
      </c>
      <c r="D3291" s="592">
        <v>-80000</v>
      </c>
      <c r="E3291" s="212">
        <v>45444</v>
      </c>
      <c r="F3291" s="208" t="s">
        <v>109</v>
      </c>
      <c r="G3291" s="208" t="s">
        <v>120</v>
      </c>
      <c r="H3291" s="208"/>
      <c r="I3291" s="208"/>
      <c r="J3291" s="209"/>
      <c r="K3291" s="209"/>
      <c r="L3291" s="209"/>
      <c r="M3291" s="209"/>
      <c r="N3291" s="209"/>
      <c r="O3291" s="209"/>
      <c r="P3291" s="209"/>
      <c r="Q3291" s="209"/>
      <c r="R3291" s="209"/>
      <c r="S3291" s="209"/>
      <c r="T3291" s="209"/>
    </row>
    <row r="3292" spans="1:20" ht="15" hidden="1" customHeight="1">
      <c r="A3292" s="468">
        <v>45454</v>
      </c>
      <c r="B3292" s="208" t="s">
        <v>2894</v>
      </c>
      <c r="C3292" s="208" t="s">
        <v>269</v>
      </c>
      <c r="D3292" s="592">
        <v>-25000</v>
      </c>
      <c r="E3292" s="212">
        <v>45444</v>
      </c>
      <c r="F3292" s="208" t="s">
        <v>130</v>
      </c>
      <c r="G3292" s="208" t="s">
        <v>2657</v>
      </c>
      <c r="H3292" s="208" t="s">
        <v>138</v>
      </c>
      <c r="I3292" s="208"/>
      <c r="J3292" s="209"/>
      <c r="K3292" s="209"/>
      <c r="L3292" s="209"/>
      <c r="M3292" s="209"/>
      <c r="N3292" s="209"/>
      <c r="O3292" s="209"/>
      <c r="P3292" s="209"/>
      <c r="Q3292" s="209"/>
      <c r="R3292" s="209"/>
      <c r="S3292" s="209"/>
      <c r="T3292" s="209"/>
    </row>
    <row r="3293" spans="1:20" ht="15" hidden="1" customHeight="1">
      <c r="A3293" s="468">
        <v>45449</v>
      </c>
      <c r="B3293" s="208" t="s">
        <v>2895</v>
      </c>
      <c r="C3293" s="208" t="s">
        <v>269</v>
      </c>
      <c r="D3293" s="592">
        <v>-28300</v>
      </c>
      <c r="E3293" s="212">
        <v>45444</v>
      </c>
      <c r="F3293" s="208" t="s">
        <v>109</v>
      </c>
      <c r="G3293" s="201" t="s">
        <v>1261</v>
      </c>
      <c r="H3293" s="208" t="s">
        <v>175</v>
      </c>
      <c r="I3293" s="208" t="s">
        <v>2626</v>
      </c>
      <c r="J3293" s="209"/>
      <c r="K3293" s="209"/>
      <c r="L3293" s="209"/>
      <c r="M3293" s="209"/>
      <c r="N3293" s="209"/>
      <c r="O3293" s="209"/>
      <c r="P3293" s="209"/>
      <c r="Q3293" s="209"/>
      <c r="R3293" s="209"/>
      <c r="S3293" s="209"/>
      <c r="T3293" s="209"/>
    </row>
    <row r="3294" spans="1:20" ht="15" hidden="1" customHeight="1">
      <c r="A3294" s="468">
        <v>45449</v>
      </c>
      <c r="B3294" s="208" t="s">
        <v>2896</v>
      </c>
      <c r="C3294" s="208" t="s">
        <v>269</v>
      </c>
      <c r="D3294" s="592">
        <v>-10000</v>
      </c>
      <c r="E3294" s="212">
        <v>45444</v>
      </c>
      <c r="F3294" s="208" t="s">
        <v>109</v>
      </c>
      <c r="G3294" s="201" t="s">
        <v>1261</v>
      </c>
      <c r="H3294" s="208" t="s">
        <v>175</v>
      </c>
      <c r="I3294" s="208" t="s">
        <v>2626</v>
      </c>
      <c r="J3294" s="209"/>
      <c r="K3294" s="209"/>
      <c r="L3294" s="209"/>
      <c r="M3294" s="209"/>
      <c r="N3294" s="209"/>
      <c r="O3294" s="209"/>
      <c r="P3294" s="209"/>
      <c r="Q3294" s="209"/>
      <c r="R3294" s="209"/>
      <c r="S3294" s="209"/>
      <c r="T3294" s="209"/>
    </row>
    <row r="3295" spans="1:20" ht="15" hidden="1" customHeight="1">
      <c r="A3295" s="468">
        <v>45449</v>
      </c>
      <c r="B3295" s="208" t="s">
        <v>2897</v>
      </c>
      <c r="C3295" s="208" t="s">
        <v>269</v>
      </c>
      <c r="D3295" s="592">
        <v>-47000</v>
      </c>
      <c r="E3295" s="212">
        <v>45444</v>
      </c>
      <c r="F3295" s="208" t="s">
        <v>109</v>
      </c>
      <c r="G3295" s="201" t="s">
        <v>1261</v>
      </c>
      <c r="H3295" s="208" t="s">
        <v>175</v>
      </c>
      <c r="I3295" s="208" t="s">
        <v>2626</v>
      </c>
      <c r="J3295" s="209"/>
      <c r="K3295" s="209"/>
      <c r="L3295" s="209"/>
      <c r="M3295" s="209"/>
      <c r="N3295" s="209"/>
      <c r="O3295" s="209"/>
      <c r="P3295" s="209"/>
      <c r="Q3295" s="209"/>
      <c r="R3295" s="209"/>
      <c r="S3295" s="209"/>
      <c r="T3295" s="209"/>
    </row>
    <row r="3296" spans="1:20" ht="15" hidden="1" customHeight="1">
      <c r="A3296" s="468">
        <v>45449</v>
      </c>
      <c r="B3296" s="208" t="s">
        <v>2898</v>
      </c>
      <c r="C3296" s="208" t="s">
        <v>269</v>
      </c>
      <c r="D3296" s="592">
        <v>-13500</v>
      </c>
      <c r="E3296" s="212">
        <v>45444</v>
      </c>
      <c r="F3296" s="208" t="s">
        <v>109</v>
      </c>
      <c r="G3296" s="208" t="s">
        <v>120</v>
      </c>
      <c r="H3296" s="208" t="s">
        <v>175</v>
      </c>
      <c r="I3296" s="208" t="s">
        <v>2626</v>
      </c>
      <c r="J3296" s="209"/>
      <c r="K3296" s="209"/>
      <c r="L3296" s="209"/>
      <c r="M3296" s="209"/>
      <c r="N3296" s="209"/>
      <c r="O3296" s="209"/>
      <c r="P3296" s="209"/>
      <c r="Q3296" s="209"/>
      <c r="R3296" s="209"/>
      <c r="S3296" s="209"/>
      <c r="T3296" s="209"/>
    </row>
    <row r="3297" spans="1:20" ht="15" hidden="1" customHeight="1">
      <c r="A3297" s="468">
        <v>45449</v>
      </c>
      <c r="B3297" s="208" t="s">
        <v>2899</v>
      </c>
      <c r="C3297" s="208" t="s">
        <v>269</v>
      </c>
      <c r="D3297" s="592">
        <v>-8400</v>
      </c>
      <c r="E3297" s="212">
        <v>45444</v>
      </c>
      <c r="F3297" s="208" t="s">
        <v>109</v>
      </c>
      <c r="G3297" s="201" t="s">
        <v>1261</v>
      </c>
      <c r="H3297" s="208" t="s">
        <v>175</v>
      </c>
      <c r="I3297" s="208" t="s">
        <v>2626</v>
      </c>
      <c r="J3297" s="209"/>
      <c r="K3297" s="209"/>
      <c r="L3297" s="209"/>
      <c r="M3297" s="209"/>
      <c r="N3297" s="209"/>
      <c r="O3297" s="209"/>
      <c r="P3297" s="209"/>
      <c r="Q3297" s="209"/>
      <c r="R3297" s="209"/>
      <c r="S3297" s="209"/>
      <c r="T3297" s="209"/>
    </row>
    <row r="3298" spans="1:20" ht="15" hidden="1" customHeight="1">
      <c r="A3298" s="468">
        <v>45449</v>
      </c>
      <c r="B3298" s="208" t="s">
        <v>2900</v>
      </c>
      <c r="C3298" s="208" t="s">
        <v>269</v>
      </c>
      <c r="D3298" s="592">
        <v>-88550</v>
      </c>
      <c r="E3298" s="212">
        <v>45444</v>
      </c>
      <c r="F3298" s="208" t="s">
        <v>109</v>
      </c>
      <c r="G3298" s="201" t="s">
        <v>1261</v>
      </c>
      <c r="H3298" s="208" t="s">
        <v>175</v>
      </c>
      <c r="I3298" s="208" t="s">
        <v>2626</v>
      </c>
      <c r="J3298" s="209"/>
      <c r="K3298" s="209"/>
      <c r="L3298" s="209"/>
      <c r="M3298" s="209"/>
      <c r="N3298" s="209"/>
      <c r="O3298" s="209"/>
      <c r="P3298" s="209"/>
      <c r="Q3298" s="209"/>
      <c r="R3298" s="209"/>
      <c r="S3298" s="209"/>
      <c r="T3298" s="209"/>
    </row>
    <row r="3299" spans="1:20" ht="15" hidden="1" customHeight="1">
      <c r="A3299" s="468">
        <v>45449</v>
      </c>
      <c r="B3299" s="208" t="s">
        <v>2901</v>
      </c>
      <c r="C3299" s="208" t="s">
        <v>269</v>
      </c>
      <c r="D3299" s="592">
        <v>-19200</v>
      </c>
      <c r="E3299" s="212">
        <v>45444</v>
      </c>
      <c r="F3299" s="208" t="s">
        <v>130</v>
      </c>
      <c r="G3299" s="590" t="s">
        <v>130</v>
      </c>
      <c r="H3299" s="208" t="s">
        <v>2590</v>
      </c>
      <c r="I3299" s="208" t="s">
        <v>2626</v>
      </c>
      <c r="J3299" s="209"/>
      <c r="K3299" s="209"/>
      <c r="L3299" s="209"/>
      <c r="M3299" s="209"/>
      <c r="N3299" s="209"/>
      <c r="O3299" s="209"/>
      <c r="P3299" s="209"/>
      <c r="Q3299" s="209"/>
      <c r="R3299" s="209"/>
      <c r="S3299" s="209"/>
      <c r="T3299" s="209"/>
    </row>
    <row r="3300" spans="1:20" ht="15" hidden="1" customHeight="1">
      <c r="A3300" s="468">
        <v>45449</v>
      </c>
      <c r="B3300" s="208" t="s">
        <v>2902</v>
      </c>
      <c r="C3300" s="208" t="s">
        <v>269</v>
      </c>
      <c r="D3300" s="592">
        <v>-10000</v>
      </c>
      <c r="E3300" s="212">
        <v>45444</v>
      </c>
      <c r="F3300" s="208" t="s">
        <v>109</v>
      </c>
      <c r="G3300" s="208" t="s">
        <v>120</v>
      </c>
      <c r="H3300" s="208"/>
      <c r="I3300" s="208" t="s">
        <v>2626</v>
      </c>
      <c r="J3300" s="209"/>
      <c r="K3300" s="209"/>
      <c r="L3300" s="209"/>
      <c r="M3300" s="209"/>
      <c r="N3300" s="209"/>
      <c r="O3300" s="209"/>
      <c r="P3300" s="209"/>
      <c r="Q3300" s="209"/>
      <c r="R3300" s="209"/>
      <c r="S3300" s="209"/>
      <c r="T3300" s="209"/>
    </row>
    <row r="3301" spans="1:20" ht="15" hidden="1" customHeight="1">
      <c r="A3301" s="468">
        <v>45449</v>
      </c>
      <c r="B3301" s="208" t="s">
        <v>2903</v>
      </c>
      <c r="C3301" s="208" t="s">
        <v>269</v>
      </c>
      <c r="D3301" s="592">
        <v>-16925</v>
      </c>
      <c r="E3301" s="212">
        <v>45444</v>
      </c>
      <c r="F3301" s="208" t="s">
        <v>109</v>
      </c>
      <c r="G3301" s="201" t="s">
        <v>1261</v>
      </c>
      <c r="H3301" s="208" t="s">
        <v>175</v>
      </c>
      <c r="I3301" s="208" t="s">
        <v>2626</v>
      </c>
      <c r="J3301" s="209"/>
      <c r="K3301" s="209"/>
      <c r="L3301" s="209"/>
      <c r="M3301" s="209"/>
      <c r="N3301" s="209"/>
      <c r="O3301" s="209"/>
      <c r="P3301" s="209"/>
      <c r="Q3301" s="209"/>
      <c r="R3301" s="209"/>
      <c r="S3301" s="209"/>
      <c r="T3301" s="209"/>
    </row>
    <row r="3302" spans="1:20" ht="15" hidden="1" customHeight="1">
      <c r="A3302" s="468">
        <v>45450</v>
      </c>
      <c r="B3302" s="208" t="s">
        <v>2904</v>
      </c>
      <c r="C3302" s="208" t="s">
        <v>269</v>
      </c>
      <c r="D3302" s="592">
        <v>-15000</v>
      </c>
      <c r="E3302" s="212">
        <v>45444</v>
      </c>
      <c r="F3302" s="208" t="s">
        <v>109</v>
      </c>
      <c r="G3302" s="208" t="s">
        <v>120</v>
      </c>
      <c r="H3302" s="208"/>
      <c r="I3302" s="208" t="s">
        <v>2626</v>
      </c>
      <c r="J3302" s="209"/>
      <c r="K3302" s="209"/>
      <c r="L3302" s="209"/>
      <c r="M3302" s="209"/>
      <c r="N3302" s="209"/>
      <c r="O3302" s="209"/>
      <c r="P3302" s="209"/>
      <c r="Q3302" s="209"/>
      <c r="R3302" s="209"/>
      <c r="S3302" s="209"/>
      <c r="T3302" s="209"/>
    </row>
    <row r="3303" spans="1:20" ht="15" hidden="1" customHeight="1">
      <c r="A3303" s="468">
        <v>45450</v>
      </c>
      <c r="B3303" s="208" t="s">
        <v>2905</v>
      </c>
      <c r="C3303" s="208" t="s">
        <v>269</v>
      </c>
      <c r="D3303" s="592">
        <v>-168000</v>
      </c>
      <c r="E3303" s="212">
        <v>45444</v>
      </c>
      <c r="F3303" s="208" t="s">
        <v>109</v>
      </c>
      <c r="G3303" s="208" t="s">
        <v>120</v>
      </c>
      <c r="H3303" s="208" t="s">
        <v>175</v>
      </c>
      <c r="I3303" s="208" t="s">
        <v>2626</v>
      </c>
      <c r="J3303" s="209"/>
      <c r="K3303" s="209"/>
      <c r="L3303" s="209"/>
      <c r="M3303" s="209"/>
      <c r="N3303" s="209"/>
      <c r="O3303" s="209"/>
      <c r="P3303" s="209"/>
      <c r="Q3303" s="209"/>
      <c r="R3303" s="209"/>
      <c r="S3303" s="209"/>
      <c r="T3303" s="209"/>
    </row>
    <row r="3304" spans="1:20" ht="15" hidden="1" customHeight="1">
      <c r="A3304" s="468">
        <v>45450</v>
      </c>
      <c r="B3304" s="208" t="s">
        <v>2906</v>
      </c>
      <c r="C3304" s="208" t="s">
        <v>269</v>
      </c>
      <c r="D3304" s="592">
        <v>-89000</v>
      </c>
      <c r="E3304" s="212">
        <v>45444</v>
      </c>
      <c r="F3304" s="208" t="s">
        <v>109</v>
      </c>
      <c r="G3304" s="201" t="s">
        <v>1261</v>
      </c>
      <c r="H3304" s="208" t="s">
        <v>175</v>
      </c>
      <c r="I3304" s="208" t="s">
        <v>2626</v>
      </c>
      <c r="J3304" s="209"/>
      <c r="K3304" s="209"/>
      <c r="L3304" s="209"/>
      <c r="M3304" s="209"/>
      <c r="N3304" s="209"/>
      <c r="O3304" s="209"/>
      <c r="P3304" s="209"/>
      <c r="Q3304" s="209"/>
      <c r="R3304" s="209"/>
      <c r="S3304" s="209"/>
      <c r="T3304" s="209"/>
    </row>
    <row r="3305" spans="1:20" ht="15" hidden="1" customHeight="1">
      <c r="A3305" s="468">
        <v>45450</v>
      </c>
      <c r="B3305" s="208" t="s">
        <v>2907</v>
      </c>
      <c r="C3305" s="208" t="s">
        <v>269</v>
      </c>
      <c r="D3305" s="592">
        <v>-25000</v>
      </c>
      <c r="E3305" s="212">
        <v>45444</v>
      </c>
      <c r="F3305" s="208" t="s">
        <v>109</v>
      </c>
      <c r="G3305" s="208" t="s">
        <v>120</v>
      </c>
      <c r="H3305" s="208"/>
      <c r="I3305" s="208" t="s">
        <v>2626</v>
      </c>
      <c r="J3305" s="209"/>
      <c r="K3305" s="209"/>
      <c r="L3305" s="209"/>
      <c r="M3305" s="209"/>
      <c r="N3305" s="209"/>
      <c r="O3305" s="209"/>
      <c r="P3305" s="209"/>
      <c r="Q3305" s="209"/>
      <c r="R3305" s="209"/>
      <c r="S3305" s="209"/>
      <c r="T3305" s="209"/>
    </row>
    <row r="3306" spans="1:20" ht="15" hidden="1" customHeight="1">
      <c r="A3306" s="468">
        <v>45450</v>
      </c>
      <c r="B3306" s="208" t="s">
        <v>2908</v>
      </c>
      <c r="C3306" s="208" t="s">
        <v>269</v>
      </c>
      <c r="D3306" s="592">
        <v>-41495</v>
      </c>
      <c r="E3306" s="212">
        <v>45444</v>
      </c>
      <c r="F3306" s="208" t="s">
        <v>109</v>
      </c>
      <c r="G3306" s="208" t="s">
        <v>120</v>
      </c>
      <c r="H3306" s="208" t="s">
        <v>175</v>
      </c>
      <c r="I3306" s="208" t="s">
        <v>2626</v>
      </c>
      <c r="J3306" s="209"/>
      <c r="K3306" s="209"/>
      <c r="L3306" s="209"/>
      <c r="M3306" s="209"/>
      <c r="N3306" s="209"/>
      <c r="O3306" s="209"/>
      <c r="P3306" s="209"/>
      <c r="Q3306" s="209"/>
      <c r="R3306" s="209"/>
      <c r="S3306" s="209"/>
      <c r="T3306" s="209"/>
    </row>
    <row r="3307" spans="1:20" ht="15" hidden="1" customHeight="1">
      <c r="A3307" s="468">
        <v>45450</v>
      </c>
      <c r="B3307" s="208" t="s">
        <v>2909</v>
      </c>
      <c r="C3307" s="208" t="s">
        <v>269</v>
      </c>
      <c r="D3307" s="592">
        <v>-58300</v>
      </c>
      <c r="E3307" s="212">
        <v>45444</v>
      </c>
      <c r="F3307" s="208" t="s">
        <v>109</v>
      </c>
      <c r="G3307" s="208" t="s">
        <v>120</v>
      </c>
      <c r="H3307" s="208" t="s">
        <v>175</v>
      </c>
      <c r="I3307" s="208" t="s">
        <v>2626</v>
      </c>
      <c r="J3307" s="209"/>
      <c r="K3307" s="209"/>
      <c r="L3307" s="209"/>
      <c r="M3307" s="209"/>
      <c r="N3307" s="209"/>
      <c r="O3307" s="209"/>
      <c r="P3307" s="209"/>
      <c r="Q3307" s="209"/>
      <c r="R3307" s="209"/>
      <c r="S3307" s="209"/>
      <c r="T3307" s="209"/>
    </row>
    <row r="3308" spans="1:20" ht="15" hidden="1" customHeight="1">
      <c r="A3308" s="468">
        <v>45450</v>
      </c>
      <c r="B3308" s="208" t="s">
        <v>2910</v>
      </c>
      <c r="C3308" s="208" t="s">
        <v>269</v>
      </c>
      <c r="D3308" s="592">
        <v>-54000</v>
      </c>
      <c r="E3308" s="212">
        <v>45444</v>
      </c>
      <c r="F3308" s="201" t="s">
        <v>110</v>
      </c>
      <c r="G3308" s="208" t="s">
        <v>774</v>
      </c>
      <c r="H3308" s="208" t="s">
        <v>175</v>
      </c>
      <c r="I3308" s="208" t="s">
        <v>2626</v>
      </c>
      <c r="J3308" s="209"/>
      <c r="K3308" s="209"/>
      <c r="L3308" s="209"/>
      <c r="M3308" s="209"/>
      <c r="N3308" s="209"/>
      <c r="O3308" s="209"/>
      <c r="P3308" s="209"/>
      <c r="Q3308" s="209"/>
      <c r="R3308" s="209"/>
      <c r="S3308" s="209"/>
      <c r="T3308" s="209"/>
    </row>
    <row r="3309" spans="1:20" ht="15" hidden="1" customHeight="1">
      <c r="A3309" s="468">
        <v>45429</v>
      </c>
      <c r="B3309" s="208" t="s">
        <v>2911</v>
      </c>
      <c r="C3309" s="208" t="s">
        <v>1106</v>
      </c>
      <c r="D3309" s="592">
        <v>-8320</v>
      </c>
      <c r="E3309" s="212">
        <v>45444</v>
      </c>
      <c r="F3309" s="291" t="s">
        <v>110</v>
      </c>
      <c r="G3309" s="208" t="s">
        <v>450</v>
      </c>
      <c r="H3309" s="208" t="s">
        <v>175</v>
      </c>
      <c r="I3309" s="208" t="s">
        <v>2626</v>
      </c>
      <c r="J3309" s="209"/>
      <c r="K3309" s="209"/>
      <c r="L3309" s="209"/>
      <c r="M3309" s="209"/>
      <c r="N3309" s="209"/>
      <c r="O3309" s="209"/>
      <c r="P3309" s="209"/>
      <c r="Q3309" s="209"/>
      <c r="R3309" s="209"/>
      <c r="S3309" s="209"/>
      <c r="T3309" s="209"/>
    </row>
    <row r="3310" spans="1:20" ht="15" hidden="1" customHeight="1">
      <c r="A3310" s="468">
        <v>45454</v>
      </c>
      <c r="B3310" s="208" t="s">
        <v>2912</v>
      </c>
      <c r="C3310" s="208" t="s">
        <v>269</v>
      </c>
      <c r="D3310" s="592">
        <v>-15000</v>
      </c>
      <c r="E3310" s="212">
        <v>45444</v>
      </c>
      <c r="F3310" s="208" t="s">
        <v>109</v>
      </c>
      <c r="G3310" s="208" t="s">
        <v>120</v>
      </c>
      <c r="H3310" s="208"/>
      <c r="I3310" s="208" t="s">
        <v>2626</v>
      </c>
      <c r="J3310" s="209"/>
      <c r="K3310" s="209"/>
      <c r="L3310" s="209"/>
      <c r="M3310" s="209"/>
      <c r="N3310" s="209"/>
      <c r="O3310" s="209"/>
      <c r="P3310" s="209"/>
      <c r="Q3310" s="209"/>
      <c r="R3310" s="209"/>
      <c r="S3310" s="209"/>
      <c r="T3310" s="209"/>
    </row>
    <row r="3311" spans="1:20" ht="15" hidden="1" customHeight="1">
      <c r="A3311" s="468">
        <v>45454</v>
      </c>
      <c r="B3311" s="208" t="s">
        <v>2913</v>
      </c>
      <c r="C3311" s="208" t="s">
        <v>269</v>
      </c>
      <c r="D3311" s="592">
        <v>-70000</v>
      </c>
      <c r="E3311" s="212">
        <v>45444</v>
      </c>
      <c r="F3311" s="208" t="s">
        <v>109</v>
      </c>
      <c r="G3311" s="208" t="s">
        <v>120</v>
      </c>
      <c r="H3311" s="208" t="s">
        <v>175</v>
      </c>
      <c r="I3311" s="208" t="s">
        <v>2626</v>
      </c>
      <c r="J3311" s="209"/>
      <c r="K3311" s="209"/>
      <c r="L3311" s="209"/>
      <c r="M3311" s="209"/>
      <c r="N3311" s="209"/>
      <c r="O3311" s="209"/>
      <c r="P3311" s="209"/>
      <c r="Q3311" s="209"/>
      <c r="R3311" s="209"/>
      <c r="S3311" s="209"/>
      <c r="T3311" s="209"/>
    </row>
    <row r="3312" spans="1:20" ht="15" hidden="1" customHeight="1">
      <c r="A3312" s="468">
        <v>45454</v>
      </c>
      <c r="B3312" s="208" t="s">
        <v>2911</v>
      </c>
      <c r="C3312" s="208" t="s">
        <v>269</v>
      </c>
      <c r="D3312" s="592">
        <v>-20400</v>
      </c>
      <c r="E3312" s="212">
        <v>45444</v>
      </c>
      <c r="F3312" s="208" t="s">
        <v>109</v>
      </c>
      <c r="G3312" s="208" t="s">
        <v>120</v>
      </c>
      <c r="H3312" s="208" t="s">
        <v>175</v>
      </c>
      <c r="I3312" s="208" t="s">
        <v>2626</v>
      </c>
      <c r="J3312" s="209"/>
      <c r="K3312" s="209"/>
      <c r="L3312" s="209"/>
      <c r="M3312" s="209"/>
      <c r="N3312" s="209"/>
      <c r="O3312" s="209"/>
      <c r="P3312" s="209"/>
      <c r="Q3312" s="209"/>
      <c r="R3312" s="209"/>
      <c r="S3312" s="209"/>
      <c r="T3312" s="209"/>
    </row>
    <row r="3313" spans="1:20" ht="15" hidden="1" customHeight="1">
      <c r="A3313" s="468">
        <v>45455</v>
      </c>
      <c r="B3313" s="208" t="s">
        <v>2914</v>
      </c>
      <c r="C3313" s="208" t="s">
        <v>269</v>
      </c>
      <c r="D3313" s="592">
        <v>-81300</v>
      </c>
      <c r="E3313" s="212">
        <v>45444</v>
      </c>
      <c r="F3313" s="201" t="s">
        <v>110</v>
      </c>
      <c r="G3313" s="208" t="s">
        <v>774</v>
      </c>
      <c r="H3313" s="208" t="s">
        <v>175</v>
      </c>
      <c r="I3313" s="208" t="s">
        <v>2626</v>
      </c>
      <c r="J3313" s="209"/>
      <c r="K3313" s="209"/>
      <c r="L3313" s="209"/>
      <c r="M3313" s="209"/>
      <c r="N3313" s="209"/>
      <c r="O3313" s="209"/>
      <c r="P3313" s="209"/>
      <c r="Q3313" s="209"/>
      <c r="R3313" s="209"/>
      <c r="S3313" s="209"/>
      <c r="T3313" s="209"/>
    </row>
    <row r="3314" spans="1:20" ht="15" hidden="1" customHeight="1">
      <c r="A3314" s="468">
        <v>45455</v>
      </c>
      <c r="B3314" s="655" t="s">
        <v>2915</v>
      </c>
      <c r="C3314" s="208" t="s">
        <v>269</v>
      </c>
      <c r="D3314" s="592">
        <v>-40000</v>
      </c>
      <c r="E3314" s="212">
        <v>45444</v>
      </c>
      <c r="F3314" s="201" t="s">
        <v>110</v>
      </c>
      <c r="G3314" s="208" t="s">
        <v>774</v>
      </c>
      <c r="H3314" s="208" t="s">
        <v>175</v>
      </c>
      <c r="I3314" s="655" t="s">
        <v>2626</v>
      </c>
      <c r="J3314" s="209"/>
      <c r="K3314" s="209"/>
      <c r="L3314" s="209"/>
      <c r="M3314" s="209"/>
      <c r="N3314" s="209"/>
      <c r="O3314" s="209"/>
      <c r="P3314" s="209"/>
      <c r="Q3314" s="209"/>
      <c r="R3314" s="209"/>
      <c r="S3314" s="209"/>
      <c r="T3314" s="209"/>
    </row>
    <row r="3315" spans="1:20" s="206" customFormat="1" ht="15" hidden="1" customHeight="1">
      <c r="A3315" s="468">
        <v>45455</v>
      </c>
      <c r="B3315" s="208" t="s">
        <v>2916</v>
      </c>
      <c r="C3315" s="208" t="s">
        <v>269</v>
      </c>
      <c r="D3315" s="592">
        <v>-105992</v>
      </c>
      <c r="E3315" s="212">
        <v>45444</v>
      </c>
      <c r="F3315" s="208" t="s">
        <v>109</v>
      </c>
      <c r="G3315" s="208" t="s">
        <v>125</v>
      </c>
      <c r="H3315" s="208" t="s">
        <v>175</v>
      </c>
      <c r="I3315" s="208" t="s">
        <v>173</v>
      </c>
      <c r="J3315" s="208"/>
      <c r="K3315" s="208"/>
      <c r="L3315" s="208"/>
      <c r="M3315" s="208"/>
      <c r="N3315" s="208"/>
      <c r="O3315" s="208"/>
      <c r="P3315" s="208"/>
      <c r="Q3315" s="208"/>
      <c r="R3315" s="208"/>
      <c r="S3315" s="208"/>
      <c r="T3315" s="208"/>
    </row>
    <row r="3316" spans="1:20" s="206" customFormat="1" ht="15" hidden="1" customHeight="1">
      <c r="A3316" s="468">
        <v>45455</v>
      </c>
      <c r="B3316" s="208" t="s">
        <v>2917</v>
      </c>
      <c r="C3316" s="208" t="s">
        <v>269</v>
      </c>
      <c r="D3316" s="592">
        <v>-192000</v>
      </c>
      <c r="E3316" s="212">
        <v>45444</v>
      </c>
      <c r="F3316" s="208" t="s">
        <v>109</v>
      </c>
      <c r="G3316" s="208" t="s">
        <v>120</v>
      </c>
      <c r="H3316" s="208" t="s">
        <v>175</v>
      </c>
      <c r="I3316" s="208" t="s">
        <v>173</v>
      </c>
      <c r="J3316" s="208"/>
      <c r="K3316" s="208"/>
      <c r="L3316" s="208"/>
      <c r="M3316" s="208"/>
      <c r="N3316" s="208"/>
      <c r="O3316" s="208"/>
      <c r="P3316" s="208"/>
      <c r="Q3316" s="208"/>
      <c r="R3316" s="208"/>
      <c r="S3316" s="208"/>
      <c r="T3316" s="208"/>
    </row>
    <row r="3317" spans="1:20" s="206" customFormat="1" ht="15" hidden="1" customHeight="1">
      <c r="A3317" s="468">
        <v>45455</v>
      </c>
      <c r="B3317" s="208" t="s">
        <v>2918</v>
      </c>
      <c r="C3317" s="208" t="s">
        <v>269</v>
      </c>
      <c r="D3317" s="592">
        <v>-77000</v>
      </c>
      <c r="E3317" s="212">
        <v>45444</v>
      </c>
      <c r="F3317" s="208" t="s">
        <v>109</v>
      </c>
      <c r="G3317" s="208" t="s">
        <v>125</v>
      </c>
      <c r="H3317" s="208" t="s">
        <v>175</v>
      </c>
      <c r="I3317" s="208" t="s">
        <v>173</v>
      </c>
      <c r="J3317" s="208"/>
      <c r="K3317" s="208"/>
      <c r="L3317" s="208"/>
      <c r="M3317" s="208"/>
      <c r="N3317" s="208"/>
      <c r="O3317" s="208"/>
      <c r="P3317" s="208"/>
      <c r="Q3317" s="208"/>
      <c r="R3317" s="208"/>
      <c r="S3317" s="208"/>
      <c r="T3317" s="208"/>
    </row>
    <row r="3318" spans="1:20" s="206" customFormat="1" ht="15" hidden="1" customHeight="1">
      <c r="A3318" s="468">
        <v>45455</v>
      </c>
      <c r="B3318" s="208" t="s">
        <v>2919</v>
      </c>
      <c r="C3318" s="208" t="s">
        <v>269</v>
      </c>
      <c r="D3318" s="592">
        <v>-7710</v>
      </c>
      <c r="E3318" s="212">
        <v>45444</v>
      </c>
      <c r="F3318" s="201" t="s">
        <v>110</v>
      </c>
      <c r="G3318" s="208" t="s">
        <v>774</v>
      </c>
      <c r="H3318" s="208" t="s">
        <v>175</v>
      </c>
      <c r="I3318" s="208" t="s">
        <v>173</v>
      </c>
      <c r="J3318" s="208"/>
      <c r="K3318" s="208"/>
      <c r="L3318" s="208"/>
      <c r="M3318" s="208"/>
      <c r="N3318" s="208"/>
      <c r="O3318" s="208"/>
      <c r="P3318" s="208"/>
      <c r="Q3318" s="208"/>
      <c r="R3318" s="208"/>
      <c r="S3318" s="208"/>
      <c r="T3318" s="208"/>
    </row>
    <row r="3319" spans="1:20" s="206" customFormat="1" ht="15" hidden="1" customHeight="1">
      <c r="A3319" s="468">
        <v>45455</v>
      </c>
      <c r="B3319" s="208" t="s">
        <v>2920</v>
      </c>
      <c r="C3319" s="208" t="s">
        <v>269</v>
      </c>
      <c r="D3319" s="592">
        <v>-133700</v>
      </c>
      <c r="E3319" s="212">
        <v>45444</v>
      </c>
      <c r="F3319" s="201" t="s">
        <v>110</v>
      </c>
      <c r="G3319" s="208" t="s">
        <v>774</v>
      </c>
      <c r="H3319" s="208" t="s">
        <v>175</v>
      </c>
      <c r="I3319" s="208" t="s">
        <v>173</v>
      </c>
      <c r="J3319" s="208"/>
      <c r="K3319" s="208"/>
      <c r="L3319" s="208"/>
      <c r="M3319" s="208"/>
      <c r="N3319" s="208"/>
      <c r="O3319" s="208"/>
      <c r="P3319" s="208"/>
      <c r="Q3319" s="208"/>
      <c r="R3319" s="208"/>
      <c r="S3319" s="208"/>
      <c r="T3319" s="208"/>
    </row>
    <row r="3320" spans="1:20" s="206" customFormat="1" ht="15" hidden="1" customHeight="1">
      <c r="A3320" s="468">
        <v>45455</v>
      </c>
      <c r="B3320" s="208" t="s">
        <v>2921</v>
      </c>
      <c r="C3320" s="208" t="s">
        <v>269</v>
      </c>
      <c r="D3320" s="592">
        <v>-27900</v>
      </c>
      <c r="E3320" s="212">
        <v>45444</v>
      </c>
      <c r="F3320" s="201" t="s">
        <v>110</v>
      </c>
      <c r="G3320" s="208" t="s">
        <v>774</v>
      </c>
      <c r="H3320" s="208" t="s">
        <v>175</v>
      </c>
      <c r="I3320" s="208" t="s">
        <v>173</v>
      </c>
      <c r="J3320" s="208"/>
      <c r="K3320" s="208"/>
      <c r="L3320" s="208"/>
      <c r="M3320" s="208"/>
      <c r="N3320" s="208"/>
      <c r="O3320" s="208"/>
      <c r="P3320" s="208"/>
      <c r="Q3320" s="208"/>
      <c r="R3320" s="208"/>
      <c r="S3320" s="208"/>
      <c r="T3320" s="208"/>
    </row>
    <row r="3321" spans="1:20" s="206" customFormat="1" ht="15" hidden="1" customHeight="1">
      <c r="A3321" s="468">
        <v>45455</v>
      </c>
      <c r="B3321" s="208" t="s">
        <v>2922</v>
      </c>
      <c r="C3321" s="208" t="s">
        <v>269</v>
      </c>
      <c r="D3321" s="592">
        <v>-48650</v>
      </c>
      <c r="E3321" s="212">
        <v>45444</v>
      </c>
      <c r="F3321" s="201" t="s">
        <v>110</v>
      </c>
      <c r="G3321" s="208" t="s">
        <v>774</v>
      </c>
      <c r="H3321" s="208" t="s">
        <v>175</v>
      </c>
      <c r="I3321" s="208" t="s">
        <v>173</v>
      </c>
      <c r="J3321" s="208"/>
      <c r="K3321" s="208"/>
      <c r="L3321" s="208"/>
      <c r="M3321" s="208"/>
      <c r="N3321" s="208"/>
      <c r="O3321" s="208"/>
      <c r="P3321" s="208"/>
      <c r="Q3321" s="208"/>
      <c r="R3321" s="208"/>
      <c r="S3321" s="208"/>
      <c r="T3321" s="208"/>
    </row>
    <row r="3322" spans="1:20" s="206" customFormat="1" ht="15" hidden="1" customHeight="1">
      <c r="A3322" s="468">
        <v>45455</v>
      </c>
      <c r="B3322" s="208" t="s">
        <v>2923</v>
      </c>
      <c r="C3322" s="208" t="s">
        <v>269</v>
      </c>
      <c r="D3322" s="592">
        <v>-20000</v>
      </c>
      <c r="E3322" s="212">
        <v>45444</v>
      </c>
      <c r="F3322" s="201" t="s">
        <v>110</v>
      </c>
      <c r="G3322" s="208" t="s">
        <v>774</v>
      </c>
      <c r="H3322" s="208" t="s">
        <v>138</v>
      </c>
      <c r="I3322" s="208" t="s">
        <v>173</v>
      </c>
      <c r="J3322" s="208"/>
      <c r="K3322" s="208"/>
      <c r="L3322" s="208"/>
      <c r="M3322" s="208"/>
      <c r="N3322" s="208"/>
      <c r="O3322" s="208"/>
      <c r="P3322" s="208"/>
      <c r="Q3322" s="208"/>
      <c r="R3322" s="208"/>
      <c r="S3322" s="208"/>
      <c r="T3322" s="208"/>
    </row>
    <row r="3323" spans="1:20" s="206" customFormat="1" ht="15" hidden="1" customHeight="1">
      <c r="A3323" s="468">
        <v>45455</v>
      </c>
      <c r="B3323" s="208" t="s">
        <v>2924</v>
      </c>
      <c r="C3323" s="208" t="s">
        <v>269</v>
      </c>
      <c r="D3323" s="592">
        <v>-20000</v>
      </c>
      <c r="E3323" s="212">
        <v>45444</v>
      </c>
      <c r="F3323" s="201" t="s">
        <v>110</v>
      </c>
      <c r="G3323" s="208" t="s">
        <v>774</v>
      </c>
      <c r="H3323" s="208" t="s">
        <v>138</v>
      </c>
      <c r="I3323" s="208" t="s">
        <v>173</v>
      </c>
      <c r="J3323" s="208"/>
      <c r="K3323" s="208"/>
      <c r="L3323" s="208"/>
      <c r="M3323" s="208"/>
      <c r="N3323" s="208"/>
      <c r="O3323" s="208"/>
      <c r="P3323" s="208"/>
      <c r="Q3323" s="208"/>
      <c r="R3323" s="208"/>
      <c r="S3323" s="208"/>
      <c r="T3323" s="208"/>
    </row>
    <row r="3324" spans="1:20" s="206" customFormat="1" ht="15" hidden="1" customHeight="1">
      <c r="A3324" s="468">
        <v>45455</v>
      </c>
      <c r="B3324" s="208" t="s">
        <v>2925</v>
      </c>
      <c r="C3324" s="208" t="s">
        <v>269</v>
      </c>
      <c r="D3324" s="592">
        <v>-20000</v>
      </c>
      <c r="E3324" s="212">
        <v>45444</v>
      </c>
      <c r="F3324" s="201" t="s">
        <v>110</v>
      </c>
      <c r="G3324" s="208" t="s">
        <v>774</v>
      </c>
      <c r="H3324" s="208" t="s">
        <v>138</v>
      </c>
      <c r="I3324" s="208" t="s">
        <v>173</v>
      </c>
      <c r="J3324" s="208"/>
      <c r="K3324" s="208"/>
      <c r="L3324" s="208"/>
      <c r="M3324" s="208"/>
      <c r="N3324" s="208"/>
      <c r="O3324" s="208"/>
      <c r="P3324" s="208"/>
      <c r="Q3324" s="208"/>
      <c r="R3324" s="208"/>
      <c r="S3324" s="208"/>
      <c r="T3324" s="208"/>
    </row>
    <row r="3325" spans="1:20" s="206" customFormat="1" ht="15" hidden="1" customHeight="1">
      <c r="A3325" s="468">
        <v>45455</v>
      </c>
      <c r="B3325" s="208" t="s">
        <v>2926</v>
      </c>
      <c r="C3325" s="208" t="s">
        <v>269</v>
      </c>
      <c r="D3325" s="592">
        <v>-13000</v>
      </c>
      <c r="E3325" s="212">
        <v>45444</v>
      </c>
      <c r="F3325" s="201" t="s">
        <v>110</v>
      </c>
      <c r="G3325" s="81" t="s">
        <v>1621</v>
      </c>
      <c r="H3325" s="208" t="s">
        <v>138</v>
      </c>
      <c r="I3325" s="208"/>
      <c r="J3325" s="208"/>
      <c r="K3325" s="208"/>
      <c r="L3325" s="208"/>
      <c r="M3325" s="208"/>
      <c r="N3325" s="208"/>
      <c r="O3325" s="208"/>
      <c r="P3325" s="208"/>
      <c r="Q3325" s="208"/>
      <c r="R3325" s="208"/>
      <c r="S3325" s="208"/>
      <c r="T3325" s="208"/>
    </row>
    <row r="3326" spans="1:20" s="206" customFormat="1" ht="15" hidden="1" customHeight="1">
      <c r="A3326" s="468">
        <v>45455</v>
      </c>
      <c r="B3326" s="208" t="s">
        <v>2890</v>
      </c>
      <c r="C3326" s="208" t="s">
        <v>269</v>
      </c>
      <c r="D3326" s="592">
        <v>-4800</v>
      </c>
      <c r="E3326" s="212">
        <v>45444</v>
      </c>
      <c r="F3326" s="208" t="s">
        <v>130</v>
      </c>
      <c r="G3326" s="223" t="s">
        <v>130</v>
      </c>
      <c r="H3326" s="208" t="s">
        <v>2590</v>
      </c>
      <c r="I3326" s="208"/>
      <c r="J3326" s="208"/>
      <c r="K3326" s="208"/>
      <c r="L3326" s="208"/>
      <c r="M3326" s="208"/>
      <c r="N3326" s="208"/>
      <c r="O3326" s="208"/>
      <c r="P3326" s="208"/>
      <c r="Q3326" s="208"/>
      <c r="R3326" s="208"/>
      <c r="S3326" s="208"/>
      <c r="T3326" s="208"/>
    </row>
    <row r="3327" spans="1:20" s="206" customFormat="1" ht="15" hidden="1" customHeight="1">
      <c r="A3327" s="468">
        <v>45455</v>
      </c>
      <c r="B3327" s="208" t="s">
        <v>2927</v>
      </c>
      <c r="C3327" s="208" t="s">
        <v>269</v>
      </c>
      <c r="D3327" s="592">
        <v>-30000</v>
      </c>
      <c r="E3327" s="212">
        <v>45444</v>
      </c>
      <c r="F3327" s="208" t="s">
        <v>109</v>
      </c>
      <c r="G3327" s="208" t="s">
        <v>125</v>
      </c>
      <c r="H3327" s="208" t="s">
        <v>138</v>
      </c>
      <c r="I3327" s="208"/>
      <c r="J3327" s="208"/>
      <c r="K3327" s="208"/>
      <c r="L3327" s="208"/>
      <c r="M3327" s="208"/>
      <c r="N3327" s="208"/>
      <c r="O3327" s="208"/>
      <c r="P3327" s="208"/>
      <c r="Q3327" s="208"/>
      <c r="R3327" s="208"/>
      <c r="S3327" s="208"/>
      <c r="T3327" s="208"/>
    </row>
    <row r="3328" spans="1:20" s="206" customFormat="1" ht="15" hidden="1" customHeight="1">
      <c r="A3328" s="468">
        <v>45455</v>
      </c>
      <c r="B3328" s="208" t="s">
        <v>2928</v>
      </c>
      <c r="C3328" s="208" t="s">
        <v>269</v>
      </c>
      <c r="D3328" s="592">
        <v>-6200</v>
      </c>
      <c r="E3328" s="212">
        <v>45444</v>
      </c>
      <c r="F3328" s="208" t="s">
        <v>109</v>
      </c>
      <c r="G3328" s="201" t="s">
        <v>1261</v>
      </c>
      <c r="H3328" s="208" t="s">
        <v>138</v>
      </c>
      <c r="I3328" s="208"/>
      <c r="J3328" s="208"/>
      <c r="K3328" s="208"/>
      <c r="L3328" s="208"/>
      <c r="M3328" s="208"/>
      <c r="N3328" s="208"/>
      <c r="O3328" s="208"/>
      <c r="P3328" s="208"/>
      <c r="Q3328" s="208"/>
      <c r="R3328" s="208"/>
      <c r="S3328" s="208"/>
      <c r="T3328" s="208"/>
    </row>
    <row r="3329" spans="1:20" s="206" customFormat="1" ht="15" hidden="1" customHeight="1">
      <c r="A3329" s="468">
        <v>45456</v>
      </c>
      <c r="B3329" s="208" t="s">
        <v>2929</v>
      </c>
      <c r="C3329" s="208" t="s">
        <v>269</v>
      </c>
      <c r="D3329" s="592">
        <v>-12000</v>
      </c>
      <c r="E3329" s="212">
        <v>45444</v>
      </c>
      <c r="F3329" s="208" t="s">
        <v>130</v>
      </c>
      <c r="G3329" s="223" t="s">
        <v>2657</v>
      </c>
      <c r="H3329" s="208" t="s">
        <v>138</v>
      </c>
      <c r="I3329" s="208"/>
      <c r="J3329" s="208"/>
      <c r="K3329" s="208"/>
      <c r="L3329" s="208"/>
      <c r="M3329" s="208"/>
      <c r="N3329" s="208"/>
      <c r="O3329" s="208"/>
      <c r="P3329" s="208"/>
      <c r="Q3329" s="208"/>
      <c r="R3329" s="208"/>
      <c r="S3329" s="208"/>
      <c r="T3329" s="208"/>
    </row>
    <row r="3330" spans="1:20" s="206" customFormat="1" ht="15" hidden="1" customHeight="1">
      <c r="A3330" s="468">
        <v>45456</v>
      </c>
      <c r="B3330" s="208" t="s">
        <v>2930</v>
      </c>
      <c r="C3330" s="208" t="s">
        <v>269</v>
      </c>
      <c r="D3330" s="592">
        <v>-13000</v>
      </c>
      <c r="E3330" s="212">
        <v>45444</v>
      </c>
      <c r="F3330" s="208" t="s">
        <v>109</v>
      </c>
      <c r="G3330" s="201" t="s">
        <v>1261</v>
      </c>
      <c r="H3330" s="208" t="s">
        <v>138</v>
      </c>
      <c r="I3330" s="208"/>
      <c r="J3330" s="208"/>
      <c r="K3330" s="208"/>
      <c r="L3330" s="208"/>
      <c r="M3330" s="208"/>
      <c r="N3330" s="208"/>
      <c r="O3330" s="208"/>
      <c r="P3330" s="208"/>
      <c r="Q3330" s="208"/>
      <c r="R3330" s="208"/>
      <c r="S3330" s="208"/>
      <c r="T3330" s="208"/>
    </row>
    <row r="3331" spans="1:20" s="206" customFormat="1" ht="15" hidden="1" customHeight="1">
      <c r="A3331" s="468">
        <v>45456</v>
      </c>
      <c r="B3331" s="208" t="s">
        <v>2931</v>
      </c>
      <c r="C3331" s="208" t="s">
        <v>269</v>
      </c>
      <c r="D3331" s="592">
        <v>-12000</v>
      </c>
      <c r="E3331" s="212">
        <v>45444</v>
      </c>
      <c r="F3331" s="208" t="s">
        <v>109</v>
      </c>
      <c r="G3331" s="208" t="s">
        <v>169</v>
      </c>
      <c r="H3331" s="208" t="s">
        <v>138</v>
      </c>
      <c r="I3331" s="208"/>
      <c r="J3331" s="208"/>
      <c r="K3331" s="208"/>
      <c r="L3331" s="208"/>
      <c r="M3331" s="208"/>
      <c r="N3331" s="208"/>
      <c r="O3331" s="208"/>
      <c r="P3331" s="208"/>
      <c r="Q3331" s="208"/>
      <c r="R3331" s="208"/>
      <c r="S3331" s="208"/>
      <c r="T3331" s="208"/>
    </row>
    <row r="3332" spans="1:20" s="206" customFormat="1" ht="15" hidden="1" customHeight="1">
      <c r="A3332" s="468">
        <v>45455</v>
      </c>
      <c r="B3332" s="208" t="s">
        <v>2932</v>
      </c>
      <c r="C3332" s="208" t="s">
        <v>269</v>
      </c>
      <c r="D3332" s="592">
        <v>-3600</v>
      </c>
      <c r="E3332" s="212">
        <v>45444</v>
      </c>
      <c r="F3332" s="208" t="s">
        <v>130</v>
      </c>
      <c r="G3332" s="223" t="s">
        <v>130</v>
      </c>
      <c r="H3332" s="208" t="s">
        <v>2590</v>
      </c>
      <c r="I3332" s="208"/>
      <c r="J3332" s="208"/>
      <c r="K3332" s="208"/>
      <c r="L3332" s="208"/>
      <c r="M3332" s="208"/>
      <c r="N3332" s="208"/>
      <c r="O3332" s="208"/>
      <c r="P3332" s="208"/>
      <c r="Q3332" s="208"/>
      <c r="R3332" s="208"/>
      <c r="S3332" s="208"/>
      <c r="T3332" s="208"/>
    </row>
    <row r="3333" spans="1:20" s="206" customFormat="1" ht="15" hidden="1" customHeight="1">
      <c r="A3333" s="468">
        <v>45455</v>
      </c>
      <c r="B3333" s="208" t="s">
        <v>2933</v>
      </c>
      <c r="C3333" s="208" t="s">
        <v>269</v>
      </c>
      <c r="D3333" s="592">
        <v>-295200</v>
      </c>
      <c r="E3333" s="212">
        <v>45444</v>
      </c>
      <c r="F3333" s="208" t="s">
        <v>109</v>
      </c>
      <c r="G3333" s="208" t="s">
        <v>120</v>
      </c>
      <c r="H3333" s="208" t="s">
        <v>138</v>
      </c>
      <c r="I3333" s="208"/>
      <c r="J3333" s="208"/>
      <c r="K3333" s="208"/>
      <c r="L3333" s="208"/>
      <c r="M3333" s="208"/>
      <c r="N3333" s="208"/>
      <c r="O3333" s="208"/>
      <c r="P3333" s="208"/>
      <c r="Q3333" s="208"/>
      <c r="R3333" s="208"/>
      <c r="S3333" s="208"/>
      <c r="T3333" s="208"/>
    </row>
    <row r="3334" spans="1:20" s="206" customFormat="1" ht="15" hidden="1" customHeight="1">
      <c r="A3334" s="468">
        <v>45455</v>
      </c>
      <c r="B3334" s="208" t="s">
        <v>2934</v>
      </c>
      <c r="C3334" s="208" t="s">
        <v>133</v>
      </c>
      <c r="D3334" s="592">
        <v>-3000</v>
      </c>
      <c r="E3334" s="212">
        <v>45444</v>
      </c>
      <c r="F3334" s="208" t="s">
        <v>109</v>
      </c>
      <c r="G3334" s="208" t="s">
        <v>120</v>
      </c>
      <c r="H3334" s="208" t="s">
        <v>138</v>
      </c>
      <c r="I3334" s="208"/>
      <c r="J3334" s="208"/>
      <c r="K3334" s="208"/>
      <c r="L3334" s="208"/>
      <c r="M3334" s="208"/>
      <c r="N3334" s="208"/>
      <c r="O3334" s="208"/>
      <c r="P3334" s="208"/>
      <c r="Q3334" s="208"/>
      <c r="R3334" s="208"/>
      <c r="S3334" s="208"/>
      <c r="T3334" s="208"/>
    </row>
    <row r="3335" spans="1:20" s="206" customFormat="1" ht="15" hidden="1" customHeight="1">
      <c r="A3335" s="468">
        <v>45455</v>
      </c>
      <c r="B3335" s="208" t="s">
        <v>2935</v>
      </c>
      <c r="C3335" s="208" t="s">
        <v>133</v>
      </c>
      <c r="D3335" s="592">
        <v>-1800</v>
      </c>
      <c r="E3335" s="212">
        <v>45444</v>
      </c>
      <c r="F3335" s="208" t="s">
        <v>109</v>
      </c>
      <c r="G3335" s="208" t="s">
        <v>120</v>
      </c>
      <c r="H3335" s="208" t="s">
        <v>138</v>
      </c>
      <c r="I3335" s="208"/>
      <c r="J3335" s="208"/>
      <c r="K3335" s="208"/>
      <c r="L3335" s="208"/>
      <c r="M3335" s="208"/>
      <c r="N3335" s="208"/>
      <c r="O3335" s="208"/>
      <c r="P3335" s="208"/>
      <c r="Q3335" s="208"/>
      <c r="R3335" s="208"/>
      <c r="S3335" s="208"/>
      <c r="T3335" s="208"/>
    </row>
    <row r="3336" spans="1:20" s="206" customFormat="1" ht="15" hidden="1" customHeight="1">
      <c r="A3336" s="468">
        <v>45454</v>
      </c>
      <c r="B3336" s="208" t="s">
        <v>2936</v>
      </c>
      <c r="C3336" s="208" t="s">
        <v>27</v>
      </c>
      <c r="D3336" s="592">
        <v>-3773056</v>
      </c>
      <c r="E3336" s="212">
        <v>45444</v>
      </c>
      <c r="F3336" s="201" t="s">
        <v>110</v>
      </c>
      <c r="G3336" s="208" t="s">
        <v>774</v>
      </c>
      <c r="H3336" s="208" t="s">
        <v>549</v>
      </c>
      <c r="I3336" s="208"/>
      <c r="J3336" s="208"/>
      <c r="K3336" s="208"/>
      <c r="L3336" s="208"/>
      <c r="M3336" s="208"/>
      <c r="N3336" s="208"/>
      <c r="O3336" s="208"/>
      <c r="P3336" s="208"/>
      <c r="Q3336" s="208"/>
      <c r="R3336" s="208"/>
      <c r="S3336" s="208"/>
      <c r="T3336" s="208"/>
    </row>
    <row r="3337" spans="1:20" s="206" customFormat="1" ht="15" hidden="1" customHeight="1">
      <c r="A3337" s="468">
        <v>45454</v>
      </c>
      <c r="B3337" s="208" t="s">
        <v>2937</v>
      </c>
      <c r="C3337" s="208" t="s">
        <v>27</v>
      </c>
      <c r="D3337" s="592">
        <v>-328941.2</v>
      </c>
      <c r="E3337" s="212">
        <v>45444</v>
      </c>
      <c r="F3337" s="201" t="s">
        <v>110</v>
      </c>
      <c r="G3337" s="208" t="s">
        <v>2844</v>
      </c>
      <c r="H3337" s="208" t="s">
        <v>421</v>
      </c>
      <c r="I3337" s="208"/>
      <c r="J3337" s="208"/>
      <c r="K3337" s="208"/>
      <c r="L3337" s="208"/>
      <c r="M3337" s="208"/>
      <c r="N3337" s="208"/>
      <c r="O3337" s="208"/>
      <c r="P3337" s="208"/>
      <c r="Q3337" s="208"/>
      <c r="R3337" s="208"/>
      <c r="S3337" s="208"/>
      <c r="T3337" s="208"/>
    </row>
    <row r="3338" spans="1:20" s="206" customFormat="1" ht="15" hidden="1" customHeight="1">
      <c r="A3338" s="468">
        <v>45454</v>
      </c>
      <c r="B3338" s="208" t="s">
        <v>2937</v>
      </c>
      <c r="C3338" s="208" t="s">
        <v>27</v>
      </c>
      <c r="D3338" s="592">
        <v>-328941.2</v>
      </c>
      <c r="E3338" s="212">
        <v>45444</v>
      </c>
      <c r="F3338" s="201" t="s">
        <v>110</v>
      </c>
      <c r="G3338" s="208" t="s">
        <v>774</v>
      </c>
      <c r="H3338" s="208" t="s">
        <v>1145</v>
      </c>
      <c r="I3338" s="208"/>
      <c r="J3338" s="208"/>
      <c r="K3338" s="208"/>
      <c r="L3338" s="208"/>
      <c r="M3338" s="208"/>
      <c r="N3338" s="208"/>
      <c r="O3338" s="208"/>
      <c r="P3338" s="208"/>
      <c r="Q3338" s="208"/>
      <c r="R3338" s="208"/>
      <c r="S3338" s="208"/>
      <c r="T3338" s="208"/>
    </row>
    <row r="3339" spans="1:20" s="206" customFormat="1" ht="15" hidden="1" customHeight="1">
      <c r="A3339" s="468">
        <v>45454</v>
      </c>
      <c r="B3339" s="208" t="s">
        <v>2937</v>
      </c>
      <c r="C3339" s="208" t="s">
        <v>27</v>
      </c>
      <c r="D3339" s="592">
        <v>-328941.2</v>
      </c>
      <c r="E3339" s="212">
        <v>45444</v>
      </c>
      <c r="F3339" s="201" t="s">
        <v>110</v>
      </c>
      <c r="G3339" s="201" t="s">
        <v>1489</v>
      </c>
      <c r="H3339" s="208" t="s">
        <v>421</v>
      </c>
      <c r="I3339" s="208"/>
      <c r="J3339" s="208"/>
      <c r="K3339" s="208"/>
      <c r="L3339" s="208"/>
      <c r="M3339" s="208"/>
      <c r="N3339" s="208"/>
      <c r="O3339" s="208"/>
      <c r="P3339" s="208"/>
      <c r="Q3339" s="208"/>
      <c r="R3339" s="208"/>
      <c r="S3339" s="208"/>
      <c r="T3339" s="208"/>
    </row>
    <row r="3340" spans="1:20" s="206" customFormat="1" ht="15" hidden="1" customHeight="1">
      <c r="A3340" s="468">
        <v>45454</v>
      </c>
      <c r="B3340" s="208" t="s">
        <v>2937</v>
      </c>
      <c r="C3340" s="208" t="s">
        <v>27</v>
      </c>
      <c r="D3340" s="592">
        <v>-328941.2</v>
      </c>
      <c r="E3340" s="212">
        <v>45444</v>
      </c>
      <c r="F3340" s="208" t="s">
        <v>109</v>
      </c>
      <c r="G3340" s="223" t="s">
        <v>2938</v>
      </c>
      <c r="H3340" s="208" t="s">
        <v>421</v>
      </c>
      <c r="I3340" s="208"/>
      <c r="J3340" s="208"/>
      <c r="K3340" s="208"/>
      <c r="L3340" s="208"/>
      <c r="M3340" s="208"/>
      <c r="N3340" s="208"/>
      <c r="O3340" s="208"/>
      <c r="P3340" s="208"/>
      <c r="Q3340" s="208"/>
      <c r="R3340" s="208"/>
      <c r="S3340" s="208"/>
      <c r="T3340" s="208"/>
    </row>
    <row r="3341" spans="1:20" s="206" customFormat="1" ht="15" hidden="1" customHeight="1">
      <c r="A3341" s="468">
        <v>45454</v>
      </c>
      <c r="B3341" s="208" t="s">
        <v>2937</v>
      </c>
      <c r="C3341" s="208" t="s">
        <v>27</v>
      </c>
      <c r="D3341" s="592">
        <v>-328941.2</v>
      </c>
      <c r="E3341" s="212">
        <v>45444</v>
      </c>
      <c r="F3341" s="208" t="s">
        <v>109</v>
      </c>
      <c r="G3341" s="208" t="s">
        <v>120</v>
      </c>
      <c r="H3341" s="208"/>
      <c r="I3341" s="208"/>
      <c r="J3341" s="208"/>
      <c r="K3341" s="208"/>
      <c r="L3341" s="208"/>
      <c r="M3341" s="208"/>
      <c r="N3341" s="208"/>
      <c r="O3341" s="208"/>
      <c r="P3341" s="208"/>
      <c r="Q3341" s="208"/>
      <c r="R3341" s="208"/>
      <c r="S3341" s="208"/>
      <c r="T3341" s="208"/>
    </row>
    <row r="3342" spans="1:20" s="206" customFormat="1" ht="15" hidden="1" customHeight="1">
      <c r="A3342" s="468">
        <v>45454</v>
      </c>
      <c r="B3342" s="208" t="s">
        <v>2939</v>
      </c>
      <c r="C3342" s="208" t="s">
        <v>27</v>
      </c>
      <c r="D3342" s="592">
        <v>-16418</v>
      </c>
      <c r="E3342" s="212">
        <v>45444</v>
      </c>
      <c r="F3342" s="208" t="s">
        <v>207</v>
      </c>
      <c r="G3342" s="223"/>
      <c r="H3342" s="208"/>
      <c r="I3342" s="208"/>
      <c r="J3342" s="208"/>
      <c r="K3342" s="208"/>
      <c r="L3342" s="208"/>
      <c r="M3342" s="208"/>
      <c r="N3342" s="208"/>
      <c r="O3342" s="208"/>
      <c r="P3342" s="208"/>
      <c r="Q3342" s="208"/>
      <c r="R3342" s="208"/>
      <c r="S3342" s="208"/>
      <c r="T3342" s="208"/>
    </row>
    <row r="3343" spans="1:20" s="206" customFormat="1" ht="15" hidden="1" customHeight="1">
      <c r="A3343" s="468">
        <v>45454</v>
      </c>
      <c r="B3343" s="208" t="s">
        <v>2940</v>
      </c>
      <c r="C3343" s="208" t="s">
        <v>27</v>
      </c>
      <c r="D3343" s="592">
        <v>-1024856</v>
      </c>
      <c r="E3343" s="212">
        <v>45444</v>
      </c>
      <c r="F3343" s="201" t="s">
        <v>110</v>
      </c>
      <c r="G3343" s="201" t="s">
        <v>1489</v>
      </c>
      <c r="H3343" s="208" t="s">
        <v>2941</v>
      </c>
      <c r="I3343" s="208"/>
      <c r="J3343" s="208"/>
      <c r="K3343" s="208"/>
      <c r="L3343" s="208"/>
      <c r="M3343" s="208"/>
      <c r="N3343" s="208"/>
      <c r="O3343" s="208"/>
      <c r="P3343" s="208"/>
      <c r="Q3343" s="208"/>
      <c r="R3343" s="208"/>
      <c r="S3343" s="208"/>
      <c r="T3343" s="208"/>
    </row>
    <row r="3344" spans="1:20" s="206" customFormat="1" ht="15" hidden="1" customHeight="1">
      <c r="A3344" s="468">
        <v>45454</v>
      </c>
      <c r="B3344" s="208" t="s">
        <v>2942</v>
      </c>
      <c r="C3344" s="208" t="s">
        <v>27</v>
      </c>
      <c r="D3344" s="592">
        <v>-2288000</v>
      </c>
      <c r="E3344" s="212">
        <v>45444</v>
      </c>
      <c r="F3344" s="208" t="s">
        <v>109</v>
      </c>
      <c r="G3344" s="208" t="s">
        <v>120</v>
      </c>
      <c r="H3344" s="208"/>
      <c r="I3344" s="208"/>
      <c r="J3344" s="208"/>
      <c r="K3344" s="208"/>
      <c r="L3344" s="208"/>
      <c r="M3344" s="208"/>
      <c r="N3344" s="208"/>
      <c r="O3344" s="208"/>
      <c r="P3344" s="208"/>
      <c r="Q3344" s="208"/>
      <c r="R3344" s="208"/>
      <c r="S3344" s="208"/>
      <c r="T3344" s="208"/>
    </row>
    <row r="3345" spans="1:20" s="206" customFormat="1" ht="15" hidden="1" customHeight="1">
      <c r="A3345" s="468">
        <v>45454</v>
      </c>
      <c r="B3345" s="208" t="s">
        <v>2943</v>
      </c>
      <c r="C3345" s="208" t="s">
        <v>181</v>
      </c>
      <c r="D3345" s="592">
        <v>-108670</v>
      </c>
      <c r="E3345" s="212">
        <v>45444</v>
      </c>
      <c r="F3345" s="208" t="s">
        <v>130</v>
      </c>
      <c r="G3345" s="223" t="s">
        <v>130</v>
      </c>
      <c r="H3345" s="208" t="s">
        <v>406</v>
      </c>
      <c r="I3345" s="208"/>
      <c r="J3345" s="208"/>
      <c r="K3345" s="208"/>
      <c r="L3345" s="208"/>
      <c r="M3345" s="208"/>
      <c r="N3345" s="208"/>
      <c r="O3345" s="208"/>
      <c r="P3345" s="208"/>
      <c r="Q3345" s="208"/>
      <c r="R3345" s="208"/>
      <c r="S3345" s="208"/>
      <c r="T3345" s="208"/>
    </row>
    <row r="3346" spans="1:20" s="206" customFormat="1" ht="15" hidden="1" customHeight="1">
      <c r="A3346" s="468">
        <v>45454</v>
      </c>
      <c r="B3346" s="208" t="s">
        <v>2944</v>
      </c>
      <c r="C3346" s="208" t="s">
        <v>181</v>
      </c>
      <c r="D3346" s="592">
        <v>-96435</v>
      </c>
      <c r="E3346" s="212">
        <v>45444</v>
      </c>
      <c r="F3346" s="208" t="s">
        <v>130</v>
      </c>
      <c r="G3346" s="223" t="s">
        <v>130</v>
      </c>
      <c r="H3346" s="208" t="s">
        <v>406</v>
      </c>
      <c r="I3346" s="208"/>
      <c r="J3346" s="208"/>
      <c r="K3346" s="208"/>
      <c r="L3346" s="208"/>
      <c r="M3346" s="208"/>
      <c r="N3346" s="208"/>
      <c r="O3346" s="208"/>
      <c r="P3346" s="208"/>
      <c r="Q3346" s="208"/>
      <c r="R3346" s="208"/>
      <c r="S3346" s="208"/>
      <c r="T3346" s="208"/>
    </row>
    <row r="3347" spans="1:20" s="206" customFormat="1" ht="15" hidden="1" customHeight="1">
      <c r="A3347" s="468">
        <v>45454</v>
      </c>
      <c r="B3347" s="208" t="s">
        <v>2945</v>
      </c>
      <c r="C3347" s="208" t="s">
        <v>27</v>
      </c>
      <c r="D3347" s="592">
        <v>-2702861</v>
      </c>
      <c r="E3347" s="212">
        <v>45444</v>
      </c>
      <c r="F3347" s="208" t="s">
        <v>130</v>
      </c>
      <c r="G3347" s="223" t="s">
        <v>130</v>
      </c>
      <c r="H3347" s="208" t="s">
        <v>2287</v>
      </c>
      <c r="I3347" s="208"/>
      <c r="J3347" s="208"/>
      <c r="K3347" s="208"/>
      <c r="L3347" s="208"/>
      <c r="M3347" s="208"/>
      <c r="N3347" s="208"/>
      <c r="O3347" s="208"/>
      <c r="P3347" s="208"/>
      <c r="Q3347" s="208"/>
      <c r="R3347" s="208"/>
      <c r="S3347" s="208"/>
      <c r="T3347" s="208"/>
    </row>
    <row r="3348" spans="1:20" s="206" customFormat="1" ht="15" hidden="1" customHeight="1">
      <c r="A3348" s="468">
        <v>45454</v>
      </c>
      <c r="B3348" s="208" t="s">
        <v>2946</v>
      </c>
      <c r="C3348" s="208" t="s">
        <v>27</v>
      </c>
      <c r="D3348" s="592">
        <v>-7900</v>
      </c>
      <c r="E3348" s="212">
        <v>45444</v>
      </c>
      <c r="F3348" s="208" t="s">
        <v>109</v>
      </c>
      <c r="G3348" s="208" t="s">
        <v>120</v>
      </c>
      <c r="H3348" s="208"/>
      <c r="I3348" s="208"/>
      <c r="J3348" s="208"/>
      <c r="K3348" s="208"/>
      <c r="L3348" s="208"/>
      <c r="M3348" s="208"/>
      <c r="N3348" s="208"/>
      <c r="O3348" s="208"/>
      <c r="P3348" s="208"/>
      <c r="Q3348" s="208"/>
      <c r="R3348" s="208"/>
      <c r="S3348" s="208"/>
      <c r="T3348" s="208"/>
    </row>
    <row r="3349" spans="1:20" s="206" customFormat="1" ht="15" hidden="1" customHeight="1">
      <c r="A3349" s="468">
        <v>45454</v>
      </c>
      <c r="B3349" s="208" t="s">
        <v>2947</v>
      </c>
      <c r="C3349" s="208" t="s">
        <v>27</v>
      </c>
      <c r="D3349" s="592">
        <v>-800000</v>
      </c>
      <c r="E3349" s="212">
        <v>45444</v>
      </c>
      <c r="F3349" s="208" t="s">
        <v>130</v>
      </c>
      <c r="G3349" s="223" t="s">
        <v>130</v>
      </c>
      <c r="H3349" s="208" t="s">
        <v>1175</v>
      </c>
      <c r="I3349" s="208"/>
      <c r="J3349" s="208"/>
      <c r="K3349" s="208"/>
      <c r="L3349" s="208"/>
      <c r="M3349" s="208"/>
      <c r="N3349" s="208"/>
      <c r="O3349" s="208"/>
      <c r="P3349" s="208"/>
      <c r="Q3349" s="208"/>
      <c r="R3349" s="208"/>
      <c r="S3349" s="208"/>
      <c r="T3349" s="208"/>
    </row>
    <row r="3350" spans="1:20" s="206" customFormat="1" ht="15" hidden="1" customHeight="1">
      <c r="A3350" s="468">
        <v>45454</v>
      </c>
      <c r="B3350" s="208" t="s">
        <v>1845</v>
      </c>
      <c r="C3350" s="208" t="s">
        <v>181</v>
      </c>
      <c r="D3350" s="592">
        <v>-640000</v>
      </c>
      <c r="E3350" s="212">
        <v>45444</v>
      </c>
      <c r="F3350" s="208" t="s">
        <v>109</v>
      </c>
      <c r="G3350" s="208" t="s">
        <v>120</v>
      </c>
      <c r="H3350" s="208"/>
      <c r="I3350" s="208"/>
      <c r="J3350" s="208"/>
      <c r="K3350" s="208"/>
      <c r="L3350" s="208"/>
      <c r="M3350" s="208"/>
      <c r="N3350" s="208"/>
      <c r="O3350" s="208"/>
      <c r="P3350" s="208"/>
      <c r="Q3350" s="208"/>
      <c r="R3350" s="208"/>
      <c r="S3350" s="208"/>
      <c r="T3350" s="208"/>
    </row>
    <row r="3351" spans="1:20" s="206" customFormat="1" ht="15" hidden="1" customHeight="1">
      <c r="A3351" s="468">
        <v>45454</v>
      </c>
      <c r="B3351" s="208" t="s">
        <v>2948</v>
      </c>
      <c r="C3351" s="208" t="s">
        <v>181</v>
      </c>
      <c r="D3351" s="592">
        <v>-610000</v>
      </c>
      <c r="E3351" s="212">
        <v>45444</v>
      </c>
      <c r="F3351" s="208" t="s">
        <v>207</v>
      </c>
      <c r="G3351" s="223"/>
      <c r="H3351" s="208"/>
      <c r="I3351" s="208"/>
      <c r="J3351" s="208"/>
      <c r="K3351" s="208"/>
      <c r="L3351" s="208"/>
      <c r="M3351" s="208"/>
      <c r="N3351" s="208"/>
      <c r="O3351" s="208"/>
      <c r="P3351" s="208"/>
      <c r="Q3351" s="208"/>
      <c r="R3351" s="208"/>
      <c r="S3351" s="208"/>
      <c r="T3351" s="208"/>
    </row>
    <row r="3352" spans="1:20" s="206" customFormat="1" ht="15" hidden="1" customHeight="1">
      <c r="A3352" s="468">
        <v>45454</v>
      </c>
      <c r="B3352" s="208" t="s">
        <v>2949</v>
      </c>
      <c r="C3352" s="208" t="s">
        <v>181</v>
      </c>
      <c r="D3352" s="592">
        <v>-100000</v>
      </c>
      <c r="E3352" s="212">
        <v>45444</v>
      </c>
      <c r="F3352" s="208" t="s">
        <v>109</v>
      </c>
      <c r="G3352" s="208" t="s">
        <v>10</v>
      </c>
      <c r="H3352" s="208"/>
      <c r="I3352" s="208"/>
      <c r="J3352" s="208"/>
      <c r="K3352" s="208"/>
      <c r="L3352" s="208"/>
      <c r="M3352" s="208"/>
      <c r="N3352" s="208"/>
      <c r="O3352" s="208"/>
      <c r="P3352" s="208"/>
      <c r="Q3352" s="208"/>
      <c r="R3352" s="208"/>
      <c r="S3352" s="208"/>
      <c r="T3352" s="208"/>
    </row>
    <row r="3353" spans="1:20" s="206" customFormat="1" ht="15" hidden="1" customHeight="1">
      <c r="A3353" s="468">
        <v>45454</v>
      </c>
      <c r="B3353" s="208" t="s">
        <v>2950</v>
      </c>
      <c r="C3353" s="208" t="s">
        <v>181</v>
      </c>
      <c r="D3353" s="592">
        <v>-2233645</v>
      </c>
      <c r="E3353" s="212">
        <v>45444</v>
      </c>
      <c r="F3353" s="208" t="s">
        <v>130</v>
      </c>
      <c r="G3353" s="223" t="s">
        <v>130</v>
      </c>
      <c r="H3353" s="208" t="s">
        <v>1175</v>
      </c>
      <c r="I3353" s="208"/>
      <c r="J3353" s="208"/>
      <c r="K3353" s="208"/>
      <c r="L3353" s="208"/>
      <c r="M3353" s="208"/>
      <c r="N3353" s="208"/>
      <c r="O3353" s="208"/>
      <c r="P3353" s="208"/>
      <c r="Q3353" s="208"/>
      <c r="R3353" s="208"/>
      <c r="S3353" s="208"/>
      <c r="T3353" s="208"/>
    </row>
    <row r="3354" spans="1:20" s="206" customFormat="1" ht="15" hidden="1" customHeight="1">
      <c r="A3354" s="468">
        <v>45454</v>
      </c>
      <c r="B3354" s="208" t="s">
        <v>2951</v>
      </c>
      <c r="C3354" s="208" t="s">
        <v>181</v>
      </c>
      <c r="D3354" s="592">
        <v>-2608992</v>
      </c>
      <c r="E3354" s="212">
        <v>45444</v>
      </c>
      <c r="F3354" s="208" t="s">
        <v>130</v>
      </c>
      <c r="G3354" s="223" t="s">
        <v>130</v>
      </c>
      <c r="H3354" s="208" t="s">
        <v>1175</v>
      </c>
      <c r="I3354" s="208"/>
      <c r="J3354" s="208"/>
      <c r="K3354" s="208"/>
      <c r="L3354" s="208"/>
      <c r="M3354" s="208"/>
      <c r="N3354" s="208"/>
      <c r="O3354" s="208"/>
      <c r="P3354" s="208"/>
      <c r="Q3354" s="208"/>
      <c r="R3354" s="208"/>
      <c r="S3354" s="208"/>
      <c r="T3354" s="208"/>
    </row>
    <row r="3355" spans="1:20" s="206" customFormat="1" ht="15" hidden="1" customHeight="1">
      <c r="A3355" s="468">
        <v>45454</v>
      </c>
      <c r="B3355" s="208" t="s">
        <v>2952</v>
      </c>
      <c r="C3355" s="208" t="s">
        <v>181</v>
      </c>
      <c r="D3355" s="592">
        <v>-1362599</v>
      </c>
      <c r="E3355" s="212">
        <v>45444</v>
      </c>
      <c r="F3355" s="208" t="s">
        <v>110</v>
      </c>
      <c r="G3355" s="223" t="s">
        <v>184</v>
      </c>
      <c r="H3355" s="208"/>
      <c r="I3355" s="208"/>
      <c r="J3355" s="208"/>
      <c r="K3355" s="208"/>
      <c r="L3355" s="208"/>
      <c r="M3355" s="208"/>
      <c r="N3355" s="208"/>
      <c r="O3355" s="208"/>
      <c r="P3355" s="208"/>
      <c r="Q3355" s="208"/>
      <c r="R3355" s="208"/>
      <c r="S3355" s="208"/>
      <c r="T3355" s="208"/>
    </row>
    <row r="3356" spans="1:20" s="206" customFormat="1" ht="15" hidden="1" customHeight="1">
      <c r="A3356" s="468">
        <v>45454</v>
      </c>
      <c r="B3356" s="208" t="s">
        <v>2953</v>
      </c>
      <c r="C3356" s="208" t="s">
        <v>181</v>
      </c>
      <c r="D3356" s="592">
        <v>-153569</v>
      </c>
      <c r="E3356" s="212">
        <v>45444</v>
      </c>
      <c r="F3356" s="208" t="s">
        <v>130</v>
      </c>
      <c r="G3356" s="223" t="s">
        <v>130</v>
      </c>
      <c r="H3356" s="208" t="s">
        <v>1156</v>
      </c>
      <c r="I3356" s="208"/>
      <c r="J3356" s="208"/>
      <c r="K3356" s="208"/>
      <c r="L3356" s="208"/>
      <c r="M3356" s="208"/>
      <c r="N3356" s="208"/>
      <c r="O3356" s="208"/>
      <c r="P3356" s="208"/>
      <c r="Q3356" s="208"/>
      <c r="R3356" s="208"/>
      <c r="S3356" s="208"/>
      <c r="T3356" s="208"/>
    </row>
    <row r="3357" spans="1:20" s="206" customFormat="1" ht="15" hidden="1" customHeight="1">
      <c r="A3357" s="468">
        <v>45454</v>
      </c>
      <c r="B3357" s="208" t="s">
        <v>2954</v>
      </c>
      <c r="C3357" s="208" t="s">
        <v>181</v>
      </c>
      <c r="D3357" s="592">
        <v>-308800</v>
      </c>
      <c r="E3357" s="212">
        <v>45444</v>
      </c>
      <c r="F3357" s="208" t="s">
        <v>109</v>
      </c>
      <c r="G3357" s="208" t="s">
        <v>120</v>
      </c>
      <c r="H3357" s="208"/>
      <c r="I3357" s="208"/>
      <c r="J3357" s="208"/>
      <c r="K3357" s="208"/>
      <c r="L3357" s="208"/>
      <c r="M3357" s="208"/>
      <c r="N3357" s="208"/>
      <c r="O3357" s="208"/>
      <c r="P3357" s="208"/>
      <c r="Q3357" s="208"/>
      <c r="R3357" s="208"/>
      <c r="S3357" s="208"/>
      <c r="T3357" s="208"/>
    </row>
    <row r="3358" spans="1:20" s="206" customFormat="1" ht="15" hidden="1" customHeight="1">
      <c r="A3358" s="468">
        <v>45454</v>
      </c>
      <c r="B3358" s="208" t="s">
        <v>2955</v>
      </c>
      <c r="C3358" s="208" t="s">
        <v>181</v>
      </c>
      <c r="D3358" s="592">
        <v>-1236250</v>
      </c>
      <c r="E3358" s="212">
        <v>45444</v>
      </c>
      <c r="F3358" s="208" t="s">
        <v>109</v>
      </c>
      <c r="G3358" s="208" t="s">
        <v>120</v>
      </c>
      <c r="H3358" s="208"/>
      <c r="I3358" s="208"/>
      <c r="J3358" s="208"/>
      <c r="K3358" s="208"/>
      <c r="L3358" s="208"/>
      <c r="M3358" s="208"/>
      <c r="N3358" s="208"/>
      <c r="O3358" s="208"/>
      <c r="P3358" s="208"/>
      <c r="Q3358" s="208"/>
      <c r="R3358" s="208"/>
      <c r="S3358" s="208"/>
      <c r="T3358" s="208"/>
    </row>
    <row r="3359" spans="1:20" s="206" customFormat="1" ht="15" hidden="1" customHeight="1">
      <c r="A3359" s="468">
        <v>45454</v>
      </c>
      <c r="B3359" s="208" t="s">
        <v>2956</v>
      </c>
      <c r="C3359" s="208" t="s">
        <v>181</v>
      </c>
      <c r="D3359" s="592">
        <v>-539000</v>
      </c>
      <c r="E3359" s="212">
        <v>45444</v>
      </c>
      <c r="F3359" s="208" t="s">
        <v>130</v>
      </c>
      <c r="G3359" s="223" t="s">
        <v>130</v>
      </c>
      <c r="H3359" s="208" t="s">
        <v>1156</v>
      </c>
      <c r="I3359" s="208"/>
      <c r="J3359" s="208"/>
      <c r="K3359" s="208"/>
      <c r="L3359" s="208"/>
      <c r="M3359" s="208"/>
      <c r="N3359" s="208"/>
      <c r="O3359" s="208"/>
      <c r="P3359" s="208"/>
      <c r="Q3359" s="208"/>
      <c r="R3359" s="208"/>
      <c r="S3359" s="208"/>
      <c r="T3359" s="208"/>
    </row>
    <row r="3360" spans="1:20" s="206" customFormat="1" ht="15" hidden="1" customHeight="1">
      <c r="A3360" s="468">
        <v>45454</v>
      </c>
      <c r="B3360" s="208" t="s">
        <v>2957</v>
      </c>
      <c r="C3360" s="208" t="s">
        <v>181</v>
      </c>
      <c r="D3360" s="592">
        <v>-428300</v>
      </c>
      <c r="E3360" s="212">
        <v>45444</v>
      </c>
      <c r="F3360" s="208" t="s">
        <v>130</v>
      </c>
      <c r="G3360" s="223" t="s">
        <v>130</v>
      </c>
      <c r="H3360" s="208" t="s">
        <v>1156</v>
      </c>
      <c r="I3360" s="208"/>
      <c r="J3360" s="208"/>
      <c r="K3360" s="208"/>
      <c r="L3360" s="208"/>
      <c r="M3360" s="208"/>
      <c r="N3360" s="208"/>
      <c r="O3360" s="208"/>
      <c r="P3360" s="208"/>
      <c r="Q3360" s="208"/>
      <c r="R3360" s="208"/>
      <c r="S3360" s="208"/>
      <c r="T3360" s="208"/>
    </row>
    <row r="3361" spans="1:20" s="206" customFormat="1" ht="15" hidden="1" customHeight="1">
      <c r="A3361" s="468">
        <v>45455</v>
      </c>
      <c r="B3361" s="208" t="s">
        <v>2958</v>
      </c>
      <c r="C3361" s="208" t="s">
        <v>181</v>
      </c>
      <c r="D3361" s="592">
        <v>-2380000</v>
      </c>
      <c r="E3361" s="212">
        <v>45444</v>
      </c>
      <c r="F3361" s="208" t="s">
        <v>109</v>
      </c>
      <c r="G3361" s="208" t="s">
        <v>120</v>
      </c>
      <c r="H3361" s="208"/>
      <c r="I3361" s="208"/>
      <c r="J3361" s="208"/>
      <c r="K3361" s="208"/>
      <c r="L3361" s="208"/>
      <c r="M3361" s="208"/>
      <c r="N3361" s="208"/>
      <c r="O3361" s="208"/>
      <c r="P3361" s="208"/>
      <c r="Q3361" s="208"/>
      <c r="R3361" s="208"/>
      <c r="S3361" s="208"/>
      <c r="T3361" s="208"/>
    </row>
    <row r="3362" spans="1:20" s="206" customFormat="1" ht="15" hidden="1" customHeight="1">
      <c r="A3362" s="468">
        <v>45455</v>
      </c>
      <c r="B3362" s="208" t="s">
        <v>2959</v>
      </c>
      <c r="C3362" s="208" t="s">
        <v>181</v>
      </c>
      <c r="D3362" s="592">
        <v>-3031</v>
      </c>
      <c r="E3362" s="212">
        <v>45444</v>
      </c>
      <c r="F3362" s="208" t="s">
        <v>130</v>
      </c>
      <c r="G3362" s="223" t="s">
        <v>130</v>
      </c>
      <c r="H3362" s="208" t="s">
        <v>1156</v>
      </c>
      <c r="I3362" s="208"/>
      <c r="J3362" s="208"/>
      <c r="K3362" s="208"/>
      <c r="L3362" s="208"/>
      <c r="M3362" s="208"/>
      <c r="N3362" s="208"/>
      <c r="O3362" s="208"/>
      <c r="P3362" s="208"/>
      <c r="Q3362" s="208"/>
      <c r="R3362" s="208"/>
      <c r="S3362" s="208"/>
      <c r="T3362" s="208"/>
    </row>
    <row r="3363" spans="1:20" s="206" customFormat="1" ht="15" hidden="1" customHeight="1">
      <c r="A3363" s="468">
        <v>45455</v>
      </c>
      <c r="B3363" s="208" t="s">
        <v>2960</v>
      </c>
      <c r="C3363" s="208" t="s">
        <v>181</v>
      </c>
      <c r="D3363" s="592">
        <v>-348591</v>
      </c>
      <c r="E3363" s="212">
        <v>45444</v>
      </c>
      <c r="F3363" s="208" t="s">
        <v>109</v>
      </c>
      <c r="G3363" s="208" t="s">
        <v>120</v>
      </c>
      <c r="H3363" s="208"/>
      <c r="I3363" s="208"/>
      <c r="J3363" s="208"/>
      <c r="K3363" s="208"/>
      <c r="L3363" s="208"/>
      <c r="M3363" s="208"/>
      <c r="N3363" s="208"/>
      <c r="O3363" s="208"/>
      <c r="P3363" s="208"/>
      <c r="Q3363" s="208"/>
      <c r="R3363" s="208"/>
      <c r="S3363" s="208"/>
      <c r="T3363" s="208"/>
    </row>
    <row r="3364" spans="1:20" s="206" customFormat="1" ht="15" hidden="1" customHeight="1">
      <c r="A3364" s="468">
        <v>45455</v>
      </c>
      <c r="B3364" s="208" t="s">
        <v>2961</v>
      </c>
      <c r="C3364" s="208" t="s">
        <v>181</v>
      </c>
      <c r="D3364" s="592">
        <v>-124060</v>
      </c>
      <c r="E3364" s="212">
        <v>45444</v>
      </c>
      <c r="F3364" s="208" t="s">
        <v>130</v>
      </c>
      <c r="G3364" s="223" t="s">
        <v>130</v>
      </c>
      <c r="H3364" s="208" t="s">
        <v>1242</v>
      </c>
      <c r="I3364" s="208"/>
      <c r="J3364" s="208"/>
      <c r="K3364" s="208"/>
      <c r="L3364" s="208"/>
      <c r="M3364" s="208"/>
      <c r="N3364" s="208"/>
      <c r="O3364" s="208"/>
      <c r="P3364" s="208"/>
      <c r="Q3364" s="208"/>
      <c r="R3364" s="208"/>
      <c r="S3364" s="208"/>
      <c r="T3364" s="208"/>
    </row>
    <row r="3365" spans="1:20" s="206" customFormat="1" ht="15" hidden="1" customHeight="1">
      <c r="A3365" s="468">
        <v>45455</v>
      </c>
      <c r="B3365" s="208" t="s">
        <v>2962</v>
      </c>
      <c r="C3365" s="208" t="s">
        <v>181</v>
      </c>
      <c r="D3365" s="592">
        <v>-235000</v>
      </c>
      <c r="E3365" s="212">
        <v>45444</v>
      </c>
      <c r="F3365" s="208" t="s">
        <v>207</v>
      </c>
      <c r="G3365" s="223" t="s">
        <v>2963</v>
      </c>
      <c r="H3365" s="208"/>
      <c r="I3365" s="208"/>
      <c r="J3365" s="208"/>
      <c r="K3365" s="208"/>
      <c r="L3365" s="208"/>
      <c r="M3365" s="208"/>
      <c r="N3365" s="208"/>
      <c r="O3365" s="208"/>
      <c r="P3365" s="208"/>
      <c r="Q3365" s="208"/>
      <c r="R3365" s="208"/>
      <c r="S3365" s="208"/>
      <c r="T3365" s="208"/>
    </row>
    <row r="3366" spans="1:20" s="206" customFormat="1" ht="15" hidden="1" customHeight="1">
      <c r="A3366" s="468">
        <v>45455</v>
      </c>
      <c r="B3366" s="208" t="s">
        <v>2964</v>
      </c>
      <c r="C3366" s="208" t="s">
        <v>181</v>
      </c>
      <c r="D3366" s="592">
        <v>-1891400</v>
      </c>
      <c r="E3366" s="212">
        <v>45444</v>
      </c>
      <c r="F3366" s="208" t="s">
        <v>130</v>
      </c>
      <c r="G3366" s="223" t="s">
        <v>130</v>
      </c>
      <c r="H3366" s="208" t="s">
        <v>2590</v>
      </c>
      <c r="I3366" s="208"/>
      <c r="J3366" s="208"/>
      <c r="K3366" s="208"/>
      <c r="L3366" s="208"/>
      <c r="M3366" s="208"/>
      <c r="N3366" s="208"/>
      <c r="O3366" s="208"/>
      <c r="P3366" s="208"/>
      <c r="Q3366" s="208"/>
      <c r="R3366" s="208"/>
      <c r="S3366" s="208"/>
      <c r="T3366" s="208"/>
    </row>
    <row r="3367" spans="1:20" s="206" customFormat="1" ht="15" hidden="1" customHeight="1">
      <c r="A3367" s="468">
        <v>45455</v>
      </c>
      <c r="B3367" s="208" t="s">
        <v>2965</v>
      </c>
      <c r="C3367" s="208" t="s">
        <v>181</v>
      </c>
      <c r="D3367" s="592">
        <v>-895070</v>
      </c>
      <c r="E3367" s="212">
        <v>45444</v>
      </c>
      <c r="F3367" s="208" t="s">
        <v>110</v>
      </c>
      <c r="G3367" s="201" t="s">
        <v>1489</v>
      </c>
      <c r="H3367" s="208" t="s">
        <v>212</v>
      </c>
      <c r="I3367" s="208"/>
      <c r="J3367" s="208"/>
      <c r="K3367" s="208"/>
      <c r="L3367" s="208"/>
      <c r="M3367" s="208"/>
      <c r="N3367" s="208"/>
      <c r="O3367" s="208"/>
      <c r="P3367" s="208"/>
      <c r="Q3367" s="208"/>
      <c r="R3367" s="208"/>
      <c r="S3367" s="208"/>
      <c r="T3367" s="208"/>
    </row>
    <row r="3368" spans="1:20" s="206" customFormat="1" ht="15" hidden="1" customHeight="1">
      <c r="A3368" s="468">
        <v>45456</v>
      </c>
      <c r="B3368" s="208" t="s">
        <v>2966</v>
      </c>
      <c r="C3368" s="208" t="s">
        <v>181</v>
      </c>
      <c r="D3368" s="592">
        <v>-3106724</v>
      </c>
      <c r="E3368" s="212">
        <v>45444</v>
      </c>
      <c r="F3368" s="208" t="s">
        <v>130</v>
      </c>
      <c r="G3368" s="223" t="s">
        <v>130</v>
      </c>
      <c r="H3368" s="208" t="s">
        <v>131</v>
      </c>
      <c r="I3368" s="208"/>
      <c r="J3368" s="208"/>
      <c r="K3368" s="208"/>
      <c r="L3368" s="208"/>
      <c r="M3368" s="208"/>
      <c r="N3368" s="208"/>
      <c r="O3368" s="208"/>
      <c r="P3368" s="208"/>
      <c r="Q3368" s="208"/>
      <c r="R3368" s="208"/>
      <c r="S3368" s="208"/>
      <c r="T3368" s="208"/>
    </row>
    <row r="3369" spans="1:20" s="206" customFormat="1" ht="15" hidden="1" customHeight="1">
      <c r="A3369" s="468">
        <v>45456</v>
      </c>
      <c r="B3369" s="208" t="s">
        <v>2967</v>
      </c>
      <c r="C3369" s="208" t="s">
        <v>181</v>
      </c>
      <c r="D3369" s="592">
        <v>-881527</v>
      </c>
      <c r="E3369" s="212">
        <v>45444</v>
      </c>
      <c r="F3369" s="208" t="s">
        <v>109</v>
      </c>
      <c r="G3369" s="201" t="s">
        <v>1261</v>
      </c>
      <c r="H3369" s="208" t="s">
        <v>585</v>
      </c>
      <c r="I3369" s="208"/>
      <c r="J3369" s="208"/>
      <c r="K3369" s="208"/>
      <c r="L3369" s="208"/>
      <c r="M3369" s="208"/>
      <c r="N3369" s="208"/>
      <c r="O3369" s="208"/>
      <c r="P3369" s="208"/>
      <c r="Q3369" s="208"/>
      <c r="R3369" s="208"/>
      <c r="S3369" s="208"/>
      <c r="T3369" s="208"/>
    </row>
    <row r="3370" spans="1:20" s="206" customFormat="1" ht="15" hidden="1" customHeight="1">
      <c r="A3370" s="468">
        <v>45456</v>
      </c>
      <c r="B3370" s="208" t="s">
        <v>2968</v>
      </c>
      <c r="C3370" s="208" t="s">
        <v>181</v>
      </c>
      <c r="D3370" s="592">
        <v>-7900</v>
      </c>
      <c r="E3370" s="212">
        <v>45444</v>
      </c>
      <c r="F3370" s="208" t="s">
        <v>130</v>
      </c>
      <c r="G3370" s="223" t="s">
        <v>130</v>
      </c>
      <c r="H3370" s="208" t="s">
        <v>2590</v>
      </c>
      <c r="I3370" s="208"/>
      <c r="J3370" s="208"/>
      <c r="K3370" s="208"/>
      <c r="L3370" s="208"/>
      <c r="M3370" s="208"/>
      <c r="N3370" s="208"/>
      <c r="O3370" s="208"/>
      <c r="P3370" s="208"/>
      <c r="Q3370" s="208"/>
      <c r="R3370" s="208"/>
      <c r="S3370" s="208"/>
      <c r="T3370" s="208"/>
    </row>
    <row r="3371" spans="1:20" s="206" customFormat="1" ht="15" hidden="1" customHeight="1">
      <c r="A3371" s="468">
        <v>45456</v>
      </c>
      <c r="B3371" s="208" t="s">
        <v>2969</v>
      </c>
      <c r="C3371" s="208" t="s">
        <v>181</v>
      </c>
      <c r="D3371" s="592">
        <v>-200000</v>
      </c>
      <c r="E3371" s="212">
        <v>45444</v>
      </c>
      <c r="F3371" s="208" t="s">
        <v>109</v>
      </c>
      <c r="G3371" s="208" t="s">
        <v>125</v>
      </c>
      <c r="H3371" s="208" t="s">
        <v>310</v>
      </c>
      <c r="I3371" s="208"/>
      <c r="J3371" s="208"/>
      <c r="K3371" s="208"/>
      <c r="L3371" s="208"/>
      <c r="M3371" s="208"/>
      <c r="N3371" s="208"/>
      <c r="O3371" s="208"/>
      <c r="P3371" s="208"/>
      <c r="Q3371" s="208"/>
      <c r="R3371" s="208"/>
      <c r="S3371" s="208"/>
      <c r="T3371" s="208"/>
    </row>
    <row r="3372" spans="1:20" s="206" customFormat="1" ht="15" hidden="1" customHeight="1">
      <c r="A3372" s="468">
        <v>45456</v>
      </c>
      <c r="B3372" s="208" t="s">
        <v>2970</v>
      </c>
      <c r="C3372" s="208" t="s">
        <v>181</v>
      </c>
      <c r="D3372" s="592">
        <v>-210500</v>
      </c>
      <c r="E3372" s="212">
        <v>45444</v>
      </c>
      <c r="F3372" s="201" t="s">
        <v>110</v>
      </c>
      <c r="G3372" s="81" t="s">
        <v>1621</v>
      </c>
      <c r="H3372" s="208" t="s">
        <v>175</v>
      </c>
      <c r="I3372" s="208"/>
      <c r="J3372" s="208"/>
      <c r="K3372" s="208"/>
      <c r="L3372" s="208"/>
      <c r="M3372" s="208"/>
      <c r="N3372" s="208"/>
      <c r="O3372" s="208"/>
      <c r="P3372" s="208"/>
      <c r="Q3372" s="208"/>
      <c r="R3372" s="208"/>
      <c r="S3372" s="208"/>
      <c r="T3372" s="208"/>
    </row>
    <row r="3373" spans="1:20" s="206" customFormat="1" ht="15" hidden="1" customHeight="1">
      <c r="A3373" s="468">
        <v>45456</v>
      </c>
      <c r="B3373" s="208" t="s">
        <v>2971</v>
      </c>
      <c r="C3373" s="208" t="s">
        <v>181</v>
      </c>
      <c r="D3373" s="592">
        <v>-392447</v>
      </c>
      <c r="E3373" s="212">
        <v>45444</v>
      </c>
      <c r="F3373" s="208" t="s">
        <v>109</v>
      </c>
      <c r="G3373" s="201" t="s">
        <v>1261</v>
      </c>
      <c r="H3373" s="208" t="s">
        <v>310</v>
      </c>
      <c r="I3373" s="208"/>
      <c r="J3373" s="208"/>
      <c r="K3373" s="208"/>
      <c r="L3373" s="208"/>
      <c r="M3373" s="208"/>
      <c r="N3373" s="208"/>
      <c r="O3373" s="208"/>
      <c r="P3373" s="208"/>
      <c r="Q3373" s="208"/>
      <c r="R3373" s="208"/>
      <c r="S3373" s="208"/>
      <c r="T3373" s="208"/>
    </row>
    <row r="3374" spans="1:20" s="206" customFormat="1" ht="15" hidden="1" customHeight="1">
      <c r="A3374" s="468">
        <v>45456</v>
      </c>
      <c r="B3374" s="208" t="s">
        <v>2972</v>
      </c>
      <c r="C3374" s="208" t="s">
        <v>181</v>
      </c>
      <c r="D3374" s="592">
        <v>-4320000</v>
      </c>
      <c r="E3374" s="212">
        <v>45444</v>
      </c>
      <c r="F3374" s="208" t="s">
        <v>109</v>
      </c>
      <c r="G3374" s="208" t="s">
        <v>120</v>
      </c>
      <c r="H3374" s="208"/>
      <c r="I3374" s="208"/>
      <c r="J3374" s="208"/>
      <c r="K3374" s="208"/>
      <c r="L3374" s="208"/>
      <c r="M3374" s="208"/>
      <c r="N3374" s="208"/>
      <c r="O3374" s="208"/>
      <c r="P3374" s="208"/>
      <c r="Q3374" s="208"/>
      <c r="R3374" s="208"/>
      <c r="S3374" s="208"/>
      <c r="T3374" s="208"/>
    </row>
    <row r="3375" spans="1:20" s="206" customFormat="1" ht="15" hidden="1" customHeight="1">
      <c r="A3375" s="468">
        <v>45456</v>
      </c>
      <c r="B3375" s="208" t="s">
        <v>2973</v>
      </c>
      <c r="C3375" s="208" t="s">
        <v>181</v>
      </c>
      <c r="D3375" s="592">
        <v>-205200</v>
      </c>
      <c r="E3375" s="212">
        <v>45444</v>
      </c>
      <c r="F3375" s="208" t="s">
        <v>109</v>
      </c>
      <c r="G3375" s="201" t="s">
        <v>1261</v>
      </c>
      <c r="H3375" s="208" t="s">
        <v>310</v>
      </c>
      <c r="I3375" s="208"/>
      <c r="J3375" s="208"/>
      <c r="K3375" s="208"/>
      <c r="L3375" s="208"/>
      <c r="M3375" s="208"/>
      <c r="N3375" s="208"/>
      <c r="O3375" s="208"/>
      <c r="P3375" s="208"/>
      <c r="Q3375" s="208"/>
      <c r="R3375" s="208"/>
      <c r="S3375" s="208"/>
      <c r="T3375" s="208"/>
    </row>
    <row r="3376" spans="1:20" s="206" customFormat="1" ht="15" hidden="1" customHeight="1">
      <c r="A3376" s="468">
        <v>45457</v>
      </c>
      <c r="B3376" s="208" t="s">
        <v>2974</v>
      </c>
      <c r="C3376" s="208" t="s">
        <v>181</v>
      </c>
      <c r="D3376" s="592">
        <v>-1298562</v>
      </c>
      <c r="E3376" s="212">
        <v>45444</v>
      </c>
      <c r="F3376" s="208" t="s">
        <v>109</v>
      </c>
      <c r="G3376" s="208" t="s">
        <v>120</v>
      </c>
      <c r="H3376" s="208"/>
      <c r="I3376" s="208"/>
      <c r="J3376" s="208"/>
      <c r="K3376" s="208"/>
      <c r="L3376" s="208"/>
      <c r="M3376" s="208"/>
      <c r="N3376" s="208"/>
      <c r="O3376" s="208"/>
      <c r="P3376" s="208"/>
      <c r="Q3376" s="208"/>
      <c r="R3376" s="208"/>
      <c r="S3376" s="208"/>
      <c r="T3376" s="208"/>
    </row>
    <row r="3377" spans="1:20" s="206" customFormat="1" ht="15" hidden="1" customHeight="1">
      <c r="A3377" s="468">
        <v>45457</v>
      </c>
      <c r="B3377" s="208" t="s">
        <v>2975</v>
      </c>
      <c r="C3377" s="208" t="s">
        <v>181</v>
      </c>
      <c r="D3377" s="592">
        <v>-1018611</v>
      </c>
      <c r="E3377" s="212">
        <v>45444</v>
      </c>
      <c r="F3377" s="208" t="s">
        <v>109</v>
      </c>
      <c r="G3377" s="208" t="s">
        <v>120</v>
      </c>
      <c r="H3377" s="208"/>
      <c r="I3377" s="208"/>
      <c r="J3377" s="208"/>
      <c r="K3377" s="208"/>
      <c r="L3377" s="208"/>
      <c r="M3377" s="208"/>
      <c r="N3377" s="208"/>
      <c r="O3377" s="208"/>
      <c r="P3377" s="208"/>
      <c r="Q3377" s="208"/>
      <c r="R3377" s="208"/>
      <c r="S3377" s="208"/>
      <c r="T3377" s="208"/>
    </row>
    <row r="3378" spans="1:20" s="206" customFormat="1" ht="15" hidden="1" customHeight="1">
      <c r="A3378" s="468">
        <v>45457</v>
      </c>
      <c r="B3378" s="208" t="s">
        <v>2976</v>
      </c>
      <c r="C3378" s="208" t="s">
        <v>181</v>
      </c>
      <c r="D3378" s="592">
        <v>-1325738</v>
      </c>
      <c r="E3378" s="212">
        <v>45444</v>
      </c>
      <c r="F3378" s="208" t="s">
        <v>109</v>
      </c>
      <c r="G3378" s="208" t="s">
        <v>120</v>
      </c>
      <c r="H3378" s="208"/>
      <c r="I3378" s="208"/>
      <c r="J3378" s="208"/>
      <c r="K3378" s="208"/>
      <c r="L3378" s="208"/>
      <c r="M3378" s="208"/>
      <c r="N3378" s="208"/>
      <c r="O3378" s="208"/>
      <c r="P3378" s="208"/>
      <c r="Q3378" s="208"/>
      <c r="R3378" s="208"/>
      <c r="S3378" s="208"/>
      <c r="T3378" s="208"/>
    </row>
    <row r="3379" spans="1:20" s="206" customFormat="1" ht="15" hidden="1" customHeight="1">
      <c r="A3379" s="468">
        <v>45457</v>
      </c>
      <c r="B3379" s="208" t="s">
        <v>2977</v>
      </c>
      <c r="C3379" s="208" t="s">
        <v>181</v>
      </c>
      <c r="D3379" s="592">
        <v>-918606</v>
      </c>
      <c r="E3379" s="212">
        <v>45444</v>
      </c>
      <c r="F3379" s="208" t="s">
        <v>130</v>
      </c>
      <c r="G3379" s="223" t="s">
        <v>130</v>
      </c>
      <c r="H3379" s="208" t="s">
        <v>1175</v>
      </c>
      <c r="I3379" s="208"/>
      <c r="J3379" s="208"/>
      <c r="K3379" s="208"/>
      <c r="L3379" s="208"/>
      <c r="M3379" s="208"/>
      <c r="N3379" s="208"/>
      <c r="O3379" s="208"/>
      <c r="P3379" s="208"/>
      <c r="Q3379" s="208"/>
      <c r="R3379" s="208"/>
      <c r="S3379" s="208"/>
      <c r="T3379" s="208"/>
    </row>
    <row r="3380" spans="1:20" s="206" customFormat="1" ht="15" hidden="1" customHeight="1">
      <c r="A3380" s="468">
        <v>45457</v>
      </c>
      <c r="B3380" s="208" t="s">
        <v>2978</v>
      </c>
      <c r="C3380" s="208" t="s">
        <v>181</v>
      </c>
      <c r="D3380" s="592">
        <v>-487500</v>
      </c>
      <c r="E3380" s="212">
        <v>45444</v>
      </c>
      <c r="F3380" s="208" t="s">
        <v>130</v>
      </c>
      <c r="G3380" s="223" t="s">
        <v>130</v>
      </c>
      <c r="H3380" s="208" t="s">
        <v>1175</v>
      </c>
      <c r="I3380" s="208"/>
      <c r="J3380" s="208"/>
      <c r="K3380" s="208"/>
      <c r="L3380" s="208"/>
      <c r="M3380" s="208"/>
      <c r="N3380" s="208"/>
      <c r="O3380" s="208"/>
      <c r="P3380" s="208"/>
      <c r="Q3380" s="208"/>
      <c r="R3380" s="208"/>
      <c r="S3380" s="208"/>
      <c r="T3380" s="208"/>
    </row>
    <row r="3381" spans="1:20" s="206" customFormat="1" ht="15" hidden="1" customHeight="1">
      <c r="A3381" s="468">
        <v>45457</v>
      </c>
      <c r="B3381" s="208" t="s">
        <v>2979</v>
      </c>
      <c r="C3381" s="208" t="s">
        <v>181</v>
      </c>
      <c r="D3381" s="592">
        <v>-1155111</v>
      </c>
      <c r="E3381" s="212">
        <v>45444</v>
      </c>
      <c r="F3381" s="208" t="s">
        <v>109</v>
      </c>
      <c r="G3381" s="208" t="s">
        <v>120</v>
      </c>
      <c r="H3381" s="208"/>
      <c r="I3381" s="208"/>
      <c r="J3381" s="208"/>
      <c r="K3381" s="208"/>
      <c r="L3381" s="208"/>
      <c r="M3381" s="208"/>
      <c r="N3381" s="208"/>
      <c r="O3381" s="208"/>
      <c r="P3381" s="208"/>
      <c r="Q3381" s="208"/>
      <c r="R3381" s="208"/>
      <c r="S3381" s="208"/>
      <c r="T3381" s="208"/>
    </row>
    <row r="3382" spans="1:20" s="206" customFormat="1" ht="15" hidden="1" customHeight="1">
      <c r="A3382" s="468">
        <v>45457</v>
      </c>
      <c r="B3382" s="208" t="s">
        <v>2980</v>
      </c>
      <c r="C3382" s="208" t="s">
        <v>181</v>
      </c>
      <c r="D3382" s="592">
        <v>-364545</v>
      </c>
      <c r="E3382" s="212">
        <v>45444</v>
      </c>
      <c r="F3382" s="208" t="s">
        <v>109</v>
      </c>
      <c r="G3382" s="201" t="s">
        <v>1261</v>
      </c>
      <c r="H3382" s="208" t="s">
        <v>310</v>
      </c>
      <c r="I3382" s="208"/>
      <c r="J3382" s="208"/>
      <c r="K3382" s="208"/>
      <c r="L3382" s="208"/>
      <c r="M3382" s="208"/>
      <c r="N3382" s="208"/>
      <c r="O3382" s="208"/>
      <c r="P3382" s="208"/>
      <c r="Q3382" s="208"/>
      <c r="R3382" s="208"/>
      <c r="S3382" s="208"/>
      <c r="T3382" s="208"/>
    </row>
    <row r="3383" spans="1:20" s="206" customFormat="1" ht="15" hidden="1" customHeight="1">
      <c r="A3383" s="468">
        <v>45457</v>
      </c>
      <c r="B3383" s="208" t="s">
        <v>2981</v>
      </c>
      <c r="C3383" s="208" t="s">
        <v>181</v>
      </c>
      <c r="D3383" s="592">
        <v>-1428000</v>
      </c>
      <c r="E3383" s="212">
        <v>45444</v>
      </c>
      <c r="F3383" s="208" t="s">
        <v>1702</v>
      </c>
      <c r="G3383" s="223" t="s">
        <v>1702</v>
      </c>
      <c r="H3383" s="208"/>
      <c r="I3383" s="208"/>
      <c r="J3383" s="208"/>
      <c r="K3383" s="208"/>
      <c r="L3383" s="208"/>
      <c r="M3383" s="208"/>
      <c r="N3383" s="208"/>
      <c r="O3383" s="208"/>
      <c r="P3383" s="208"/>
      <c r="Q3383" s="208"/>
      <c r="R3383" s="208"/>
      <c r="S3383" s="208"/>
      <c r="T3383" s="208"/>
    </row>
    <row r="3384" spans="1:20" s="206" customFormat="1" ht="15" hidden="1" customHeight="1">
      <c r="A3384" s="468">
        <v>45457</v>
      </c>
      <c r="B3384" s="208" t="s">
        <v>2982</v>
      </c>
      <c r="C3384" s="208" t="s">
        <v>181</v>
      </c>
      <c r="D3384" s="592">
        <v>-1290000</v>
      </c>
      <c r="E3384" s="212">
        <v>45444</v>
      </c>
      <c r="F3384" s="208" t="s">
        <v>109</v>
      </c>
      <c r="G3384" s="223" t="s">
        <v>2983</v>
      </c>
      <c r="H3384" s="208" t="s">
        <v>508</v>
      </c>
      <c r="I3384" s="208"/>
      <c r="J3384" s="208"/>
      <c r="K3384" s="208"/>
      <c r="L3384" s="208"/>
      <c r="M3384" s="208"/>
      <c r="N3384" s="208"/>
      <c r="O3384" s="208"/>
      <c r="P3384" s="208"/>
      <c r="Q3384" s="208"/>
      <c r="R3384" s="208"/>
      <c r="S3384" s="208"/>
      <c r="T3384" s="208"/>
    </row>
    <row r="3385" spans="1:20" s="206" customFormat="1" ht="15" hidden="1" customHeight="1">
      <c r="A3385" s="468">
        <v>45457</v>
      </c>
      <c r="B3385" s="208" t="s">
        <v>2984</v>
      </c>
      <c r="C3385" s="208" t="s">
        <v>181</v>
      </c>
      <c r="D3385" s="592">
        <v>-628800</v>
      </c>
      <c r="E3385" s="212">
        <v>45444</v>
      </c>
      <c r="F3385" s="208" t="s">
        <v>130</v>
      </c>
      <c r="G3385" s="223" t="s">
        <v>130</v>
      </c>
      <c r="H3385" s="208" t="s">
        <v>1156</v>
      </c>
      <c r="I3385" s="208"/>
      <c r="J3385" s="208"/>
      <c r="K3385" s="208"/>
      <c r="L3385" s="208"/>
      <c r="M3385" s="208"/>
      <c r="N3385" s="208"/>
      <c r="O3385" s="208"/>
      <c r="P3385" s="208"/>
      <c r="Q3385" s="208"/>
      <c r="R3385" s="208"/>
      <c r="S3385" s="208"/>
      <c r="T3385" s="208"/>
    </row>
    <row r="3386" spans="1:20" s="206" customFormat="1" ht="15" hidden="1" customHeight="1">
      <c r="A3386" s="468">
        <v>45457</v>
      </c>
      <c r="B3386" s="208" t="s">
        <v>2985</v>
      </c>
      <c r="C3386" s="208" t="s">
        <v>27</v>
      </c>
      <c r="D3386" s="592">
        <v>-32092599</v>
      </c>
      <c r="E3386" s="212">
        <v>45444</v>
      </c>
      <c r="F3386" s="208" t="s">
        <v>2986</v>
      </c>
      <c r="G3386" s="208"/>
      <c r="H3386" s="208"/>
      <c r="I3386" s="208"/>
      <c r="J3386" s="208"/>
      <c r="K3386" s="208"/>
      <c r="L3386" s="208"/>
      <c r="M3386" s="208"/>
      <c r="N3386" s="208"/>
      <c r="O3386" s="208"/>
      <c r="P3386" s="208"/>
      <c r="Q3386" s="208"/>
      <c r="R3386" s="208"/>
      <c r="S3386" s="208"/>
      <c r="T3386" s="208"/>
    </row>
    <row r="3387" spans="1:20" s="206" customFormat="1" ht="15" hidden="1" customHeight="1">
      <c r="A3387" s="468">
        <v>45457</v>
      </c>
      <c r="B3387" s="208" t="s">
        <v>2987</v>
      </c>
      <c r="C3387" s="208" t="s">
        <v>181</v>
      </c>
      <c r="D3387" s="800">
        <v>-1048920</v>
      </c>
      <c r="E3387" s="212">
        <v>45444</v>
      </c>
      <c r="F3387" s="208" t="s">
        <v>109</v>
      </c>
      <c r="G3387" s="201" t="s">
        <v>581</v>
      </c>
      <c r="H3387" s="208"/>
      <c r="I3387" s="208"/>
      <c r="J3387" s="208"/>
      <c r="K3387" s="208"/>
      <c r="L3387" s="208"/>
      <c r="M3387" s="208"/>
      <c r="N3387" s="208"/>
      <c r="O3387" s="208"/>
      <c r="P3387" s="208"/>
      <c r="Q3387" s="208"/>
      <c r="R3387" s="208"/>
      <c r="S3387" s="208"/>
      <c r="T3387" s="208"/>
    </row>
    <row r="3388" spans="1:20" s="206" customFormat="1" ht="15" hidden="1" customHeight="1">
      <c r="A3388" s="468">
        <v>45457</v>
      </c>
      <c r="B3388" s="208" t="s">
        <v>2988</v>
      </c>
      <c r="C3388" s="208" t="s">
        <v>181</v>
      </c>
      <c r="D3388" s="592">
        <v>-1136573</v>
      </c>
      <c r="E3388" s="212">
        <v>45444</v>
      </c>
      <c r="F3388" s="208" t="s">
        <v>109</v>
      </c>
      <c r="G3388" s="208" t="s">
        <v>120</v>
      </c>
      <c r="H3388" s="208"/>
      <c r="I3388" s="208"/>
      <c r="J3388" s="208"/>
      <c r="K3388" s="208"/>
      <c r="L3388" s="208"/>
      <c r="M3388" s="208"/>
      <c r="N3388" s="208"/>
      <c r="O3388" s="208"/>
      <c r="P3388" s="208"/>
      <c r="Q3388" s="208"/>
      <c r="R3388" s="208"/>
      <c r="S3388" s="208"/>
      <c r="T3388" s="208"/>
    </row>
    <row r="3389" spans="1:20" s="206" customFormat="1" ht="15" hidden="1" customHeight="1">
      <c r="A3389" s="468">
        <v>45457</v>
      </c>
      <c r="B3389" s="208" t="s">
        <v>2989</v>
      </c>
      <c r="C3389" s="208" t="s">
        <v>181</v>
      </c>
      <c r="D3389" s="592">
        <v>-1205464</v>
      </c>
      <c r="E3389" s="212">
        <v>45444</v>
      </c>
      <c r="F3389" s="208" t="s">
        <v>109</v>
      </c>
      <c r="G3389" s="208" t="s">
        <v>120</v>
      </c>
      <c r="H3389" s="208"/>
      <c r="I3389" s="208"/>
      <c r="J3389" s="208"/>
      <c r="K3389" s="208"/>
      <c r="L3389" s="208"/>
      <c r="M3389" s="208"/>
      <c r="N3389" s="208"/>
      <c r="O3389" s="208"/>
      <c r="P3389" s="208"/>
      <c r="Q3389" s="208"/>
      <c r="R3389" s="208"/>
      <c r="S3389" s="208"/>
      <c r="T3389" s="208"/>
    </row>
    <row r="3390" spans="1:20" s="206" customFormat="1" ht="15" hidden="1" customHeight="1">
      <c r="A3390" s="468">
        <v>45457</v>
      </c>
      <c r="B3390" s="208" t="s">
        <v>2990</v>
      </c>
      <c r="C3390" s="208" t="s">
        <v>181</v>
      </c>
      <c r="D3390" s="592">
        <v>-1063472</v>
      </c>
      <c r="E3390" s="212">
        <v>45444</v>
      </c>
      <c r="F3390" s="208" t="s">
        <v>109</v>
      </c>
      <c r="G3390" s="208" t="s">
        <v>120</v>
      </c>
      <c r="H3390" s="208"/>
      <c r="I3390" s="208"/>
      <c r="J3390" s="208"/>
      <c r="K3390" s="208"/>
      <c r="L3390" s="208"/>
      <c r="M3390" s="208"/>
      <c r="N3390" s="208"/>
      <c r="O3390" s="208"/>
      <c r="P3390" s="208"/>
      <c r="Q3390" s="208"/>
      <c r="R3390" s="208"/>
      <c r="S3390" s="208"/>
      <c r="T3390" s="208"/>
    </row>
    <row r="3391" spans="1:20" s="206" customFormat="1" ht="15" hidden="1" customHeight="1">
      <c r="A3391" s="468">
        <v>45457</v>
      </c>
      <c r="B3391" s="208" t="s">
        <v>2991</v>
      </c>
      <c r="C3391" s="208" t="s">
        <v>181</v>
      </c>
      <c r="D3391" s="592">
        <v>-1017053</v>
      </c>
      <c r="E3391" s="212">
        <v>45444</v>
      </c>
      <c r="F3391" s="208" t="s">
        <v>109</v>
      </c>
      <c r="G3391" s="208" t="s">
        <v>120</v>
      </c>
      <c r="H3391" s="208"/>
      <c r="I3391" s="208"/>
      <c r="J3391" s="208"/>
      <c r="K3391" s="208"/>
      <c r="L3391" s="208"/>
      <c r="M3391" s="208"/>
      <c r="N3391" s="208"/>
      <c r="O3391" s="208"/>
      <c r="P3391" s="208"/>
      <c r="Q3391" s="208"/>
      <c r="R3391" s="208"/>
      <c r="S3391" s="208"/>
      <c r="T3391" s="208"/>
    </row>
    <row r="3392" spans="1:20" s="206" customFormat="1" ht="15" hidden="1" customHeight="1">
      <c r="A3392" s="468">
        <v>45457</v>
      </c>
      <c r="B3392" s="208" t="s">
        <v>2992</v>
      </c>
      <c r="C3392" s="208" t="s">
        <v>181</v>
      </c>
      <c r="D3392" s="592">
        <v>-1800758</v>
      </c>
      <c r="E3392" s="212">
        <v>45444</v>
      </c>
      <c r="F3392" s="208" t="s">
        <v>109</v>
      </c>
      <c r="G3392" s="208" t="s">
        <v>120</v>
      </c>
      <c r="H3392" s="208"/>
      <c r="I3392" s="208"/>
      <c r="J3392" s="208"/>
      <c r="K3392" s="208"/>
      <c r="L3392" s="208"/>
      <c r="M3392" s="208"/>
      <c r="N3392" s="208"/>
      <c r="O3392" s="208"/>
      <c r="P3392" s="208"/>
      <c r="Q3392" s="208"/>
      <c r="R3392" s="208"/>
      <c r="S3392" s="208"/>
      <c r="T3392" s="208"/>
    </row>
    <row r="3393" spans="1:20" s="206" customFormat="1" ht="15" hidden="1" customHeight="1">
      <c r="A3393" s="468">
        <v>45457</v>
      </c>
      <c r="B3393" s="208" t="s">
        <v>2993</v>
      </c>
      <c r="C3393" s="208" t="s">
        <v>181</v>
      </c>
      <c r="D3393" s="800">
        <v>-601962</v>
      </c>
      <c r="E3393" s="212">
        <v>45444</v>
      </c>
      <c r="F3393" s="208" t="s">
        <v>109</v>
      </c>
      <c r="G3393" s="201" t="s">
        <v>581</v>
      </c>
      <c r="H3393" s="208"/>
      <c r="I3393" s="208"/>
      <c r="J3393" s="208"/>
      <c r="K3393" s="208"/>
      <c r="L3393" s="208"/>
      <c r="M3393" s="208"/>
      <c r="N3393" s="208"/>
      <c r="O3393" s="208"/>
      <c r="P3393" s="208"/>
      <c r="Q3393" s="208"/>
      <c r="R3393" s="208"/>
      <c r="S3393" s="208"/>
      <c r="T3393" s="208"/>
    </row>
    <row r="3394" spans="1:20" s="206" customFormat="1" ht="15" hidden="1" customHeight="1">
      <c r="A3394" s="468">
        <v>45457</v>
      </c>
      <c r="B3394" s="208" t="s">
        <v>2994</v>
      </c>
      <c r="C3394" s="208" t="s">
        <v>181</v>
      </c>
      <c r="D3394" s="800">
        <v>-601962</v>
      </c>
      <c r="E3394" s="212">
        <v>45444</v>
      </c>
      <c r="F3394" s="208" t="s">
        <v>109</v>
      </c>
      <c r="G3394" s="201" t="s">
        <v>581</v>
      </c>
      <c r="H3394" s="208"/>
      <c r="I3394" s="208"/>
      <c r="J3394" s="208"/>
      <c r="K3394" s="208"/>
      <c r="L3394" s="208"/>
      <c r="M3394" s="208"/>
      <c r="N3394" s="208"/>
      <c r="O3394" s="208"/>
      <c r="P3394" s="208"/>
      <c r="Q3394" s="208"/>
      <c r="R3394" s="208"/>
      <c r="S3394" s="208"/>
      <c r="T3394" s="208"/>
    </row>
    <row r="3395" spans="1:20" s="206" customFormat="1" ht="15" hidden="1" customHeight="1">
      <c r="A3395" s="468">
        <v>45457</v>
      </c>
      <c r="B3395" s="208" t="s">
        <v>2995</v>
      </c>
      <c r="C3395" s="208" t="s">
        <v>181</v>
      </c>
      <c r="D3395" s="800">
        <v>-601962</v>
      </c>
      <c r="E3395" s="212">
        <v>45444</v>
      </c>
      <c r="F3395" s="208" t="s">
        <v>109</v>
      </c>
      <c r="G3395" s="201" t="s">
        <v>581</v>
      </c>
      <c r="H3395" s="208"/>
      <c r="I3395" s="208"/>
      <c r="J3395" s="208"/>
      <c r="K3395" s="208"/>
      <c r="L3395" s="208"/>
      <c r="M3395" s="208"/>
      <c r="N3395" s="208"/>
      <c r="O3395" s="208"/>
      <c r="P3395" s="208"/>
      <c r="Q3395" s="208"/>
      <c r="R3395" s="208"/>
      <c r="S3395" s="208"/>
      <c r="T3395" s="208"/>
    </row>
    <row r="3396" spans="1:20" s="206" customFormat="1" ht="15" hidden="1" customHeight="1">
      <c r="A3396" s="468">
        <v>45457</v>
      </c>
      <c r="B3396" s="208" t="s">
        <v>2996</v>
      </c>
      <c r="C3396" s="208" t="s">
        <v>181</v>
      </c>
      <c r="D3396" s="592">
        <v>-1040730</v>
      </c>
      <c r="E3396" s="212">
        <v>45444</v>
      </c>
      <c r="F3396" s="208" t="s">
        <v>109</v>
      </c>
      <c r="G3396" s="208" t="s">
        <v>120</v>
      </c>
      <c r="H3396" s="208"/>
      <c r="I3396" s="208"/>
      <c r="J3396" s="208"/>
      <c r="K3396" s="208"/>
      <c r="L3396" s="208"/>
      <c r="M3396" s="208"/>
      <c r="N3396" s="208"/>
      <c r="O3396" s="208"/>
      <c r="P3396" s="208"/>
      <c r="Q3396" s="208"/>
      <c r="R3396" s="208"/>
      <c r="S3396" s="208"/>
      <c r="T3396" s="208"/>
    </row>
    <row r="3397" spans="1:20" s="206" customFormat="1" ht="15" hidden="1" customHeight="1">
      <c r="A3397" s="468">
        <v>45457</v>
      </c>
      <c r="B3397" s="208" t="s">
        <v>2997</v>
      </c>
      <c r="C3397" s="208" t="s">
        <v>181</v>
      </c>
      <c r="D3397" s="592">
        <v>-1005464</v>
      </c>
      <c r="E3397" s="212">
        <v>45444</v>
      </c>
      <c r="F3397" s="208" t="s">
        <v>109</v>
      </c>
      <c r="G3397" s="208" t="s">
        <v>120</v>
      </c>
      <c r="H3397" s="208"/>
      <c r="I3397" s="208"/>
      <c r="J3397" s="208"/>
      <c r="K3397" s="208"/>
      <c r="L3397" s="208"/>
      <c r="M3397" s="208"/>
      <c r="N3397" s="208"/>
      <c r="O3397" s="208"/>
      <c r="P3397" s="208"/>
      <c r="Q3397" s="208"/>
      <c r="R3397" s="208"/>
      <c r="S3397" s="208"/>
      <c r="T3397" s="208"/>
    </row>
    <row r="3398" spans="1:20" s="206" customFormat="1" ht="15" hidden="1" customHeight="1">
      <c r="A3398" s="468">
        <v>45457</v>
      </c>
      <c r="B3398" s="208" t="s">
        <v>2998</v>
      </c>
      <c r="C3398" s="208" t="s">
        <v>181</v>
      </c>
      <c r="D3398" s="592">
        <v>-1004887</v>
      </c>
      <c r="E3398" s="212">
        <v>45444</v>
      </c>
      <c r="F3398" s="208" t="s">
        <v>109</v>
      </c>
      <c r="G3398" s="208" t="s">
        <v>120</v>
      </c>
      <c r="H3398" s="208"/>
      <c r="I3398" s="208"/>
      <c r="J3398" s="208"/>
      <c r="K3398" s="208"/>
      <c r="L3398" s="208"/>
      <c r="M3398" s="208"/>
      <c r="N3398" s="208"/>
      <c r="O3398" s="208"/>
      <c r="P3398" s="208"/>
      <c r="Q3398" s="208"/>
      <c r="R3398" s="208"/>
      <c r="S3398" s="208"/>
      <c r="T3398" s="208"/>
    </row>
    <row r="3399" spans="1:20" s="206" customFormat="1" ht="15" hidden="1" customHeight="1">
      <c r="A3399" s="468">
        <v>45457</v>
      </c>
      <c r="B3399" s="208" t="s">
        <v>2999</v>
      </c>
      <c r="C3399" s="208" t="s">
        <v>181</v>
      </c>
      <c r="D3399" s="592">
        <v>-1291624</v>
      </c>
      <c r="E3399" s="212">
        <v>45444</v>
      </c>
      <c r="F3399" s="208" t="s">
        <v>109</v>
      </c>
      <c r="G3399" s="208" t="s">
        <v>120</v>
      </c>
      <c r="H3399" s="208"/>
      <c r="I3399" s="208"/>
      <c r="J3399" s="208"/>
      <c r="K3399" s="208"/>
      <c r="L3399" s="208"/>
      <c r="M3399" s="208"/>
      <c r="N3399" s="208"/>
      <c r="O3399" s="208"/>
      <c r="P3399" s="208"/>
      <c r="Q3399" s="208"/>
      <c r="R3399" s="208"/>
      <c r="S3399" s="208"/>
      <c r="T3399" s="208"/>
    </row>
    <row r="3400" spans="1:20" s="206" customFormat="1" ht="15" hidden="1" customHeight="1">
      <c r="A3400" s="468">
        <v>45457</v>
      </c>
      <c r="B3400" s="208" t="s">
        <v>3000</v>
      </c>
      <c r="C3400" s="208" t="s">
        <v>181</v>
      </c>
      <c r="D3400" s="592">
        <v>-1761097</v>
      </c>
      <c r="E3400" s="212">
        <v>45444</v>
      </c>
      <c r="F3400" s="208" t="s">
        <v>109</v>
      </c>
      <c r="G3400" s="208" t="s">
        <v>120</v>
      </c>
      <c r="H3400" s="208"/>
      <c r="I3400" s="208"/>
      <c r="J3400" s="208"/>
      <c r="K3400" s="208"/>
      <c r="L3400" s="208"/>
      <c r="M3400" s="208"/>
      <c r="N3400" s="208"/>
      <c r="O3400" s="208"/>
      <c r="P3400" s="208"/>
      <c r="Q3400" s="208"/>
      <c r="R3400" s="208"/>
      <c r="S3400" s="208"/>
      <c r="T3400" s="208"/>
    </row>
    <row r="3401" spans="1:20" s="206" customFormat="1" ht="15" hidden="1" customHeight="1">
      <c r="A3401" s="468">
        <v>45457</v>
      </c>
      <c r="B3401" s="208" t="s">
        <v>3001</v>
      </c>
      <c r="C3401" s="208" t="s">
        <v>181</v>
      </c>
      <c r="D3401" s="592">
        <v>-1366195</v>
      </c>
      <c r="E3401" s="212">
        <v>45444</v>
      </c>
      <c r="F3401" s="208" t="s">
        <v>109</v>
      </c>
      <c r="G3401" s="208" t="s">
        <v>120</v>
      </c>
      <c r="H3401" s="208"/>
      <c r="I3401" s="208"/>
      <c r="J3401" s="208"/>
      <c r="K3401" s="208"/>
      <c r="L3401" s="208"/>
      <c r="M3401" s="208"/>
      <c r="N3401" s="208"/>
      <c r="O3401" s="208"/>
      <c r="P3401" s="208"/>
      <c r="Q3401" s="208"/>
      <c r="R3401" s="208"/>
      <c r="S3401" s="208"/>
      <c r="T3401" s="208"/>
    </row>
    <row r="3402" spans="1:20" s="206" customFormat="1" ht="15" hidden="1" customHeight="1">
      <c r="A3402" s="468">
        <v>45457</v>
      </c>
      <c r="B3402" s="208" t="s">
        <v>3002</v>
      </c>
      <c r="C3402" s="208" t="s">
        <v>181</v>
      </c>
      <c r="D3402" s="592">
        <v>-738889</v>
      </c>
      <c r="E3402" s="212">
        <v>45444</v>
      </c>
      <c r="F3402" s="208" t="s">
        <v>130</v>
      </c>
      <c r="G3402" s="223" t="s">
        <v>130</v>
      </c>
      <c r="H3402" s="208" t="s">
        <v>1175</v>
      </c>
      <c r="I3402" s="208"/>
      <c r="J3402" s="208"/>
      <c r="K3402" s="208"/>
      <c r="L3402" s="208"/>
      <c r="M3402" s="208"/>
      <c r="N3402" s="208"/>
      <c r="O3402" s="208"/>
      <c r="P3402" s="208"/>
      <c r="Q3402" s="208"/>
      <c r="R3402" s="208"/>
      <c r="S3402" s="208"/>
      <c r="T3402" s="208"/>
    </row>
    <row r="3403" spans="1:20" s="206" customFormat="1" ht="15" hidden="1" customHeight="1">
      <c r="A3403" s="468">
        <v>45457</v>
      </c>
      <c r="B3403" s="208" t="s">
        <v>3003</v>
      </c>
      <c r="C3403" s="208" t="s">
        <v>181</v>
      </c>
      <c r="D3403" s="592">
        <v>-1080689</v>
      </c>
      <c r="E3403" s="212">
        <v>45444</v>
      </c>
      <c r="F3403" s="201" t="s">
        <v>110</v>
      </c>
      <c r="G3403" s="208" t="s">
        <v>774</v>
      </c>
      <c r="H3403" s="208" t="s">
        <v>147</v>
      </c>
      <c r="I3403" s="208"/>
      <c r="J3403" s="208"/>
      <c r="K3403" s="208"/>
      <c r="L3403" s="208"/>
      <c r="M3403" s="208"/>
      <c r="N3403" s="208"/>
      <c r="O3403" s="208"/>
      <c r="P3403" s="208"/>
      <c r="Q3403" s="208"/>
      <c r="R3403" s="208"/>
      <c r="S3403" s="208"/>
      <c r="T3403" s="208"/>
    </row>
    <row r="3404" spans="1:20" s="206" customFormat="1" ht="15" hidden="1" customHeight="1">
      <c r="A3404" s="468">
        <v>45457</v>
      </c>
      <c r="B3404" s="208" t="s">
        <v>3004</v>
      </c>
      <c r="C3404" s="208" t="s">
        <v>181</v>
      </c>
      <c r="D3404" s="800">
        <v>-601962</v>
      </c>
      <c r="E3404" s="212">
        <v>45444</v>
      </c>
      <c r="F3404" s="208" t="s">
        <v>109</v>
      </c>
      <c r="G3404" s="201" t="s">
        <v>581</v>
      </c>
      <c r="H3404" s="208"/>
      <c r="I3404" s="208"/>
      <c r="J3404" s="208"/>
      <c r="K3404" s="208"/>
      <c r="L3404" s="208"/>
      <c r="M3404" s="208"/>
      <c r="N3404" s="208"/>
      <c r="O3404" s="208"/>
      <c r="P3404" s="208"/>
      <c r="Q3404" s="208"/>
      <c r="R3404" s="208"/>
      <c r="S3404" s="208"/>
      <c r="T3404" s="208"/>
    </row>
    <row r="3405" spans="1:20" s="206" customFormat="1" ht="15" hidden="1" customHeight="1">
      <c r="A3405" s="468">
        <v>45457</v>
      </c>
      <c r="B3405" s="208" t="s">
        <v>3005</v>
      </c>
      <c r="C3405" s="208" t="s">
        <v>181</v>
      </c>
      <c r="D3405" s="800">
        <v>-601692</v>
      </c>
      <c r="E3405" s="212">
        <v>45444</v>
      </c>
      <c r="F3405" s="208" t="s">
        <v>109</v>
      </c>
      <c r="G3405" s="201" t="s">
        <v>581</v>
      </c>
      <c r="H3405" s="208"/>
      <c r="I3405" s="208"/>
      <c r="J3405" s="208"/>
      <c r="K3405" s="208"/>
      <c r="L3405" s="208"/>
      <c r="M3405" s="208"/>
      <c r="N3405" s="208"/>
      <c r="O3405" s="208"/>
      <c r="P3405" s="208"/>
      <c r="Q3405" s="208"/>
      <c r="R3405" s="208"/>
      <c r="S3405" s="208"/>
      <c r="T3405" s="208"/>
    </row>
    <row r="3406" spans="1:20" s="206" customFormat="1" ht="15" hidden="1" customHeight="1">
      <c r="A3406" s="468">
        <v>45457</v>
      </c>
      <c r="B3406" s="208" t="s">
        <v>3006</v>
      </c>
      <c r="C3406" s="208" t="s">
        <v>181</v>
      </c>
      <c r="D3406" s="800">
        <v>-601962</v>
      </c>
      <c r="E3406" s="212">
        <v>45444</v>
      </c>
      <c r="F3406" s="208" t="s">
        <v>109</v>
      </c>
      <c r="G3406" s="201" t="s">
        <v>581</v>
      </c>
      <c r="H3406" s="208"/>
      <c r="I3406" s="208"/>
      <c r="J3406" s="208"/>
      <c r="K3406" s="208"/>
      <c r="L3406" s="208"/>
      <c r="M3406" s="208"/>
      <c r="N3406" s="208"/>
      <c r="O3406" s="208"/>
      <c r="P3406" s="208"/>
      <c r="Q3406" s="208"/>
      <c r="R3406" s="208"/>
      <c r="S3406" s="208"/>
      <c r="T3406" s="208"/>
    </row>
    <row r="3407" spans="1:20" s="206" customFormat="1" ht="15" hidden="1" customHeight="1">
      <c r="A3407" s="468">
        <v>45457</v>
      </c>
      <c r="B3407" s="208" t="s">
        <v>3007</v>
      </c>
      <c r="C3407" s="208" t="s">
        <v>181</v>
      </c>
      <c r="D3407" s="592">
        <v>-4224000</v>
      </c>
      <c r="E3407" s="212">
        <v>45444</v>
      </c>
      <c r="F3407" s="208" t="s">
        <v>130</v>
      </c>
      <c r="G3407" s="223" t="s">
        <v>130</v>
      </c>
      <c r="H3407" s="208" t="s">
        <v>1175</v>
      </c>
      <c r="I3407" s="208"/>
      <c r="J3407" s="208"/>
      <c r="K3407" s="208"/>
      <c r="L3407" s="208"/>
      <c r="M3407" s="208"/>
      <c r="N3407" s="208"/>
      <c r="O3407" s="208"/>
      <c r="P3407" s="208"/>
      <c r="Q3407" s="208"/>
      <c r="R3407" s="208"/>
      <c r="S3407" s="208"/>
      <c r="T3407" s="208"/>
    </row>
    <row r="3408" spans="1:20" s="206" customFormat="1" ht="15" hidden="1" customHeight="1">
      <c r="A3408" s="468">
        <v>45457</v>
      </c>
      <c r="B3408" s="208" t="s">
        <v>3008</v>
      </c>
      <c r="C3408" s="208" t="s">
        <v>181</v>
      </c>
      <c r="D3408" s="592">
        <v>-650000</v>
      </c>
      <c r="E3408" s="212">
        <v>45444</v>
      </c>
      <c r="F3408" s="208" t="s">
        <v>130</v>
      </c>
      <c r="G3408" s="223" t="s">
        <v>130</v>
      </c>
      <c r="H3408" s="208" t="s">
        <v>1175</v>
      </c>
      <c r="I3408" s="208"/>
      <c r="J3408" s="208"/>
      <c r="K3408" s="208"/>
      <c r="L3408" s="208"/>
      <c r="M3408" s="208"/>
      <c r="N3408" s="208"/>
      <c r="O3408" s="208"/>
      <c r="P3408" s="208"/>
      <c r="Q3408" s="208"/>
      <c r="R3408" s="208"/>
      <c r="S3408" s="208"/>
      <c r="T3408" s="208"/>
    </row>
    <row r="3409" spans="1:20" s="206" customFormat="1" ht="15" hidden="1" customHeight="1">
      <c r="A3409" s="468">
        <v>45457</v>
      </c>
      <c r="B3409" s="208" t="s">
        <v>3009</v>
      </c>
      <c r="C3409" s="208" t="s">
        <v>181</v>
      </c>
      <c r="D3409" s="592">
        <v>-1339037</v>
      </c>
      <c r="E3409" s="212">
        <v>45444</v>
      </c>
      <c r="F3409" s="208" t="s">
        <v>109</v>
      </c>
      <c r="G3409" s="208" t="s">
        <v>120</v>
      </c>
      <c r="H3409" s="208"/>
      <c r="I3409" s="208"/>
      <c r="J3409" s="208"/>
      <c r="K3409" s="208"/>
      <c r="L3409" s="208"/>
      <c r="M3409" s="208"/>
      <c r="N3409" s="208"/>
      <c r="O3409" s="208"/>
      <c r="P3409" s="208"/>
      <c r="Q3409" s="208"/>
      <c r="R3409" s="208"/>
      <c r="S3409" s="208"/>
      <c r="T3409" s="208"/>
    </row>
    <row r="3410" spans="1:20" s="206" customFormat="1" ht="15" hidden="1" customHeight="1">
      <c r="A3410" s="468">
        <v>45457</v>
      </c>
      <c r="B3410" s="208" t="s">
        <v>3010</v>
      </c>
      <c r="C3410" s="208" t="s">
        <v>181</v>
      </c>
      <c r="D3410" s="800">
        <v>-606368</v>
      </c>
      <c r="E3410" s="212">
        <v>45444</v>
      </c>
      <c r="F3410" s="208" t="s">
        <v>109</v>
      </c>
      <c r="G3410" s="201" t="s">
        <v>581</v>
      </c>
      <c r="H3410" s="208"/>
      <c r="I3410" s="208"/>
      <c r="J3410" s="208"/>
      <c r="K3410" s="208"/>
      <c r="L3410" s="208"/>
      <c r="M3410" s="208"/>
      <c r="N3410" s="208"/>
      <c r="O3410" s="208"/>
      <c r="P3410" s="208"/>
      <c r="Q3410" s="208"/>
      <c r="R3410" s="208"/>
      <c r="S3410" s="208"/>
      <c r="T3410" s="208"/>
    </row>
    <row r="3411" spans="1:20" s="206" customFormat="1" ht="15" hidden="1" customHeight="1">
      <c r="A3411" s="468">
        <v>45457</v>
      </c>
      <c r="B3411" s="208" t="s">
        <v>3011</v>
      </c>
      <c r="C3411" s="208" t="s">
        <v>181</v>
      </c>
      <c r="D3411" s="800">
        <v>-2909320</v>
      </c>
      <c r="E3411" s="212">
        <v>45444</v>
      </c>
      <c r="F3411" s="208" t="s">
        <v>109</v>
      </c>
      <c r="G3411" s="201" t="s">
        <v>581</v>
      </c>
      <c r="H3411" s="208"/>
      <c r="I3411" s="208"/>
      <c r="J3411" s="208"/>
      <c r="K3411" s="208"/>
      <c r="L3411" s="208"/>
      <c r="M3411" s="208"/>
      <c r="N3411" s="208"/>
      <c r="O3411" s="208"/>
      <c r="P3411" s="208"/>
      <c r="Q3411" s="208"/>
      <c r="R3411" s="208"/>
      <c r="S3411" s="208"/>
      <c r="T3411" s="208"/>
    </row>
    <row r="3412" spans="1:20" s="206" customFormat="1" ht="15" hidden="1" customHeight="1">
      <c r="A3412" s="468">
        <v>45457</v>
      </c>
      <c r="B3412" s="208" t="s">
        <v>3012</v>
      </c>
      <c r="C3412" s="208" t="s">
        <v>181</v>
      </c>
      <c r="D3412" s="592">
        <v>-20900</v>
      </c>
      <c r="E3412" s="212">
        <v>45444</v>
      </c>
      <c r="F3412" s="208" t="s">
        <v>109</v>
      </c>
      <c r="G3412" s="208" t="s">
        <v>120</v>
      </c>
      <c r="H3412" s="208"/>
      <c r="I3412" s="208"/>
      <c r="J3412" s="208"/>
      <c r="K3412" s="208"/>
      <c r="L3412" s="208"/>
      <c r="M3412" s="208"/>
      <c r="N3412" s="208"/>
      <c r="O3412" s="208"/>
      <c r="P3412" s="208"/>
      <c r="Q3412" s="208"/>
      <c r="R3412" s="208"/>
      <c r="S3412" s="208"/>
      <c r="T3412" s="208"/>
    </row>
    <row r="3413" spans="1:20" s="206" customFormat="1" ht="15" hidden="1" customHeight="1">
      <c r="A3413" s="468">
        <v>45457</v>
      </c>
      <c r="B3413" s="208" t="s">
        <v>3013</v>
      </c>
      <c r="C3413" s="208" t="s">
        <v>181</v>
      </c>
      <c r="D3413" s="800">
        <v>-1596543</v>
      </c>
      <c r="E3413" s="212">
        <v>45444</v>
      </c>
      <c r="F3413" s="208" t="s">
        <v>109</v>
      </c>
      <c r="G3413" s="201" t="s">
        <v>581</v>
      </c>
      <c r="H3413" s="208"/>
      <c r="I3413" s="208"/>
      <c r="J3413" s="208"/>
      <c r="K3413" s="208"/>
      <c r="L3413" s="208"/>
      <c r="M3413" s="208"/>
      <c r="N3413" s="208"/>
      <c r="O3413" s="208"/>
      <c r="P3413" s="208"/>
      <c r="Q3413" s="208"/>
      <c r="R3413" s="208"/>
      <c r="S3413" s="208"/>
      <c r="T3413" s="208"/>
    </row>
    <row r="3414" spans="1:20" s="206" customFormat="1" ht="15" hidden="1" customHeight="1">
      <c r="A3414" s="468">
        <v>45457</v>
      </c>
      <c r="B3414" s="208" t="s">
        <v>3014</v>
      </c>
      <c r="C3414" s="208" t="s">
        <v>181</v>
      </c>
      <c r="D3414" s="592">
        <v>-300000</v>
      </c>
      <c r="E3414" s="212">
        <v>45444</v>
      </c>
      <c r="F3414" s="208" t="s">
        <v>130</v>
      </c>
      <c r="G3414" s="223" t="s">
        <v>130</v>
      </c>
      <c r="H3414" s="208" t="s">
        <v>2590</v>
      </c>
      <c r="I3414" s="208"/>
      <c r="J3414" s="208"/>
      <c r="K3414" s="208"/>
      <c r="L3414" s="208"/>
      <c r="M3414" s="208"/>
      <c r="N3414" s="208"/>
      <c r="O3414" s="208"/>
      <c r="P3414" s="208"/>
      <c r="Q3414" s="208"/>
      <c r="R3414" s="208"/>
      <c r="S3414" s="208"/>
      <c r="T3414" s="208"/>
    </row>
    <row r="3415" spans="1:20" s="206" customFormat="1" ht="15" hidden="1" customHeight="1">
      <c r="A3415" s="468">
        <v>45457</v>
      </c>
      <c r="B3415" s="655" t="s">
        <v>3015</v>
      </c>
      <c r="C3415" s="208" t="s">
        <v>27</v>
      </c>
      <c r="D3415" s="592">
        <f>-38874204/2</f>
        <v>-19437102</v>
      </c>
      <c r="E3415" s="212">
        <v>45444</v>
      </c>
      <c r="F3415" s="208" t="s">
        <v>130</v>
      </c>
      <c r="G3415" s="223" t="s">
        <v>130</v>
      </c>
      <c r="H3415" s="208" t="s">
        <v>1175</v>
      </c>
      <c r="I3415" s="208"/>
      <c r="J3415" s="208"/>
      <c r="K3415" s="208"/>
      <c r="L3415" s="208"/>
      <c r="M3415" s="208"/>
      <c r="N3415" s="208"/>
      <c r="O3415" s="208"/>
      <c r="P3415" s="208"/>
      <c r="Q3415" s="208"/>
      <c r="R3415" s="208"/>
      <c r="S3415" s="208"/>
      <c r="T3415" s="208"/>
    </row>
    <row r="3416" spans="1:20" s="206" customFormat="1" ht="15" hidden="1" customHeight="1">
      <c r="A3416" s="468">
        <v>45451</v>
      </c>
      <c r="B3416" s="81" t="s">
        <v>3016</v>
      </c>
      <c r="C3416" s="208" t="s">
        <v>643</v>
      </c>
      <c r="D3416" s="592">
        <v>-99999.27</v>
      </c>
      <c r="E3416" s="212">
        <v>45444</v>
      </c>
      <c r="F3416" s="208" t="s">
        <v>130</v>
      </c>
      <c r="G3416" s="208" t="s">
        <v>2657</v>
      </c>
      <c r="H3416" s="208" t="s">
        <v>663</v>
      </c>
      <c r="I3416" s="208"/>
      <c r="J3416" s="208"/>
      <c r="K3416" s="208"/>
      <c r="L3416" s="208"/>
      <c r="M3416" s="208"/>
      <c r="N3416" s="208"/>
      <c r="O3416" s="208"/>
      <c r="P3416" s="208"/>
      <c r="Q3416" s="208"/>
      <c r="R3416" s="208"/>
      <c r="S3416" s="208"/>
      <c r="T3416" s="208"/>
    </row>
    <row r="3417" spans="1:20" s="206" customFormat="1" ht="15" hidden="1" customHeight="1">
      <c r="A3417" s="468">
        <v>45452</v>
      </c>
      <c r="B3417" s="81" t="s">
        <v>3017</v>
      </c>
      <c r="C3417" s="208" t="s">
        <v>643</v>
      </c>
      <c r="D3417" s="592">
        <v>-95520</v>
      </c>
      <c r="E3417" s="212">
        <v>45444</v>
      </c>
      <c r="F3417" s="208" t="s">
        <v>130</v>
      </c>
      <c r="G3417" s="208" t="s">
        <v>2657</v>
      </c>
      <c r="H3417" s="208" t="s">
        <v>663</v>
      </c>
      <c r="I3417" s="208"/>
      <c r="J3417" s="208"/>
      <c r="K3417" s="208"/>
      <c r="L3417" s="208"/>
      <c r="M3417" s="208"/>
      <c r="N3417" s="208"/>
      <c r="O3417" s="208"/>
      <c r="P3417" s="208"/>
      <c r="Q3417" s="208"/>
      <c r="R3417" s="208"/>
      <c r="S3417" s="208"/>
      <c r="T3417" s="208"/>
    </row>
    <row r="3418" spans="1:20" s="206" customFormat="1" ht="15" hidden="1" customHeight="1">
      <c r="A3418" s="468">
        <v>45454</v>
      </c>
      <c r="B3418" s="81" t="s">
        <v>3018</v>
      </c>
      <c r="C3418" s="208" t="s">
        <v>643</v>
      </c>
      <c r="D3418" s="592">
        <v>-184220</v>
      </c>
      <c r="E3418" s="212">
        <v>45444</v>
      </c>
      <c r="F3418" s="208" t="s">
        <v>130</v>
      </c>
      <c r="G3418" s="208" t="s">
        <v>2657</v>
      </c>
      <c r="H3418" s="208" t="s">
        <v>2272</v>
      </c>
      <c r="I3418" s="208"/>
      <c r="J3418" s="208"/>
      <c r="K3418" s="208"/>
      <c r="L3418" s="208"/>
      <c r="M3418" s="208"/>
      <c r="N3418" s="208"/>
      <c r="O3418" s="208"/>
      <c r="P3418" s="208"/>
      <c r="Q3418" s="208"/>
      <c r="R3418" s="208"/>
      <c r="S3418" s="208"/>
      <c r="T3418" s="208"/>
    </row>
    <row r="3419" spans="1:20" s="206" customFormat="1" ht="15" hidden="1" customHeight="1">
      <c r="A3419" s="468">
        <v>45455</v>
      </c>
      <c r="B3419" s="81" t="s">
        <v>3019</v>
      </c>
      <c r="C3419" s="208" t="s">
        <v>643</v>
      </c>
      <c r="D3419" s="592">
        <v>-60200</v>
      </c>
      <c r="E3419" s="212">
        <v>45444</v>
      </c>
      <c r="F3419" s="208" t="s">
        <v>130</v>
      </c>
      <c r="G3419" s="208" t="s">
        <v>2657</v>
      </c>
      <c r="H3419" s="208" t="s">
        <v>663</v>
      </c>
      <c r="I3419" s="208"/>
      <c r="J3419" s="208"/>
      <c r="K3419" s="208"/>
      <c r="L3419" s="208"/>
      <c r="M3419" s="208"/>
      <c r="N3419" s="208"/>
      <c r="O3419" s="208"/>
      <c r="P3419" s="208"/>
      <c r="Q3419" s="208"/>
      <c r="R3419" s="208"/>
      <c r="S3419" s="208"/>
      <c r="T3419" s="208"/>
    </row>
    <row r="3420" spans="1:20" s="458" customFormat="1" ht="15" hidden="1" customHeight="1">
      <c r="A3420" s="468">
        <v>45457</v>
      </c>
      <c r="B3420" s="81" t="s">
        <v>3020</v>
      </c>
      <c r="C3420" s="208" t="s">
        <v>643</v>
      </c>
      <c r="D3420" s="592">
        <v>-209820</v>
      </c>
      <c r="E3420" s="212">
        <v>45444</v>
      </c>
      <c r="F3420" s="638" t="s">
        <v>130</v>
      </c>
      <c r="G3420" s="208" t="s">
        <v>130</v>
      </c>
      <c r="H3420" s="208" t="s">
        <v>143</v>
      </c>
      <c r="I3420" s="638"/>
      <c r="J3420" s="638"/>
      <c r="K3420" s="638"/>
      <c r="L3420" s="638"/>
      <c r="M3420" s="638"/>
      <c r="N3420" s="638"/>
      <c r="O3420" s="638"/>
      <c r="P3420" s="638"/>
      <c r="Q3420" s="638"/>
      <c r="R3420" s="638"/>
      <c r="S3420" s="638"/>
      <c r="T3420" s="638"/>
    </row>
    <row r="3421" spans="1:20" s="206" customFormat="1" ht="15" hidden="1" customHeight="1">
      <c r="A3421" s="468">
        <v>45450</v>
      </c>
      <c r="B3421" s="81" t="s">
        <v>3021</v>
      </c>
      <c r="C3421" s="208" t="s">
        <v>181</v>
      </c>
      <c r="D3421" s="592">
        <v>188391682</v>
      </c>
      <c r="E3421" s="212">
        <v>45444</v>
      </c>
      <c r="F3421" s="755" t="s">
        <v>109</v>
      </c>
      <c r="G3421" s="654" t="s">
        <v>2585</v>
      </c>
      <c r="H3421" s="208"/>
      <c r="I3421" s="208"/>
      <c r="J3421" s="208"/>
      <c r="K3421" s="208"/>
      <c r="L3421" s="208"/>
      <c r="M3421" s="208"/>
      <c r="N3421" s="208"/>
      <c r="O3421" s="208"/>
      <c r="P3421" s="208"/>
      <c r="Q3421" s="208"/>
      <c r="R3421" s="208"/>
      <c r="S3421" s="208"/>
      <c r="T3421" s="208"/>
    </row>
    <row r="3422" spans="1:20" s="462" customFormat="1" ht="15" hidden="1" customHeight="1">
      <c r="A3422" s="468">
        <v>45457</v>
      </c>
      <c r="B3422" s="84" t="s">
        <v>3022</v>
      </c>
      <c r="C3422" s="208" t="s">
        <v>181</v>
      </c>
      <c r="D3422" s="592">
        <v>1281152</v>
      </c>
      <c r="E3422" s="212">
        <v>45444</v>
      </c>
      <c r="F3422" s="208" t="s">
        <v>108</v>
      </c>
      <c r="G3422" s="223"/>
      <c r="H3422" s="208"/>
      <c r="I3422" s="208"/>
      <c r="J3422" s="208"/>
      <c r="K3422" s="208"/>
      <c r="L3422" s="208"/>
      <c r="M3422" s="208"/>
      <c r="N3422" s="208"/>
      <c r="O3422" s="208"/>
      <c r="P3422" s="208"/>
      <c r="Q3422" s="208"/>
      <c r="R3422" s="208"/>
      <c r="S3422" s="208"/>
      <c r="T3422" s="208"/>
    </row>
    <row r="3423" spans="1:20" s="206" customFormat="1" ht="15" hidden="1" customHeight="1">
      <c r="A3423" s="468">
        <v>45460</v>
      </c>
      <c r="B3423" s="81" t="s">
        <v>3023</v>
      </c>
      <c r="C3423" s="208" t="s">
        <v>269</v>
      </c>
      <c r="D3423" s="592">
        <v>-12000</v>
      </c>
      <c r="E3423" s="212">
        <v>45444</v>
      </c>
      <c r="F3423" s="208" t="s">
        <v>130</v>
      </c>
      <c r="G3423" s="223" t="s">
        <v>2657</v>
      </c>
      <c r="H3423" s="208" t="s">
        <v>138</v>
      </c>
      <c r="I3423" s="208"/>
      <c r="J3423" s="208"/>
      <c r="K3423" s="208"/>
      <c r="L3423" s="208"/>
      <c r="M3423" s="208"/>
      <c r="N3423" s="208"/>
      <c r="O3423" s="208"/>
      <c r="P3423" s="208"/>
      <c r="Q3423" s="208"/>
      <c r="R3423" s="208"/>
      <c r="S3423" s="208"/>
      <c r="T3423" s="208"/>
    </row>
    <row r="3424" spans="1:20" s="206" customFormat="1" ht="15" hidden="1" customHeight="1">
      <c r="A3424" s="468">
        <v>45460</v>
      </c>
      <c r="B3424" s="81" t="s">
        <v>3024</v>
      </c>
      <c r="C3424" s="208" t="s">
        <v>269</v>
      </c>
      <c r="D3424" s="592">
        <v>-14000</v>
      </c>
      <c r="E3424" s="212">
        <v>45444</v>
      </c>
      <c r="F3424" s="208" t="s">
        <v>109</v>
      </c>
      <c r="G3424" s="208" t="s">
        <v>120</v>
      </c>
      <c r="H3424" s="208" t="s">
        <v>138</v>
      </c>
      <c r="I3424" s="208"/>
      <c r="J3424" s="208"/>
      <c r="K3424" s="208"/>
      <c r="L3424" s="208"/>
      <c r="M3424" s="208"/>
      <c r="N3424" s="208"/>
      <c r="O3424" s="208"/>
      <c r="P3424" s="208"/>
      <c r="Q3424" s="208"/>
      <c r="R3424" s="208"/>
      <c r="S3424" s="208"/>
      <c r="T3424" s="208"/>
    </row>
    <row r="3425" spans="1:20" s="206" customFormat="1" ht="15" hidden="1" customHeight="1">
      <c r="A3425" s="468">
        <v>45460</v>
      </c>
      <c r="B3425" s="81" t="s">
        <v>3024</v>
      </c>
      <c r="C3425" s="208" t="s">
        <v>269</v>
      </c>
      <c r="D3425" s="592">
        <v>-42000</v>
      </c>
      <c r="E3425" s="212">
        <v>45444</v>
      </c>
      <c r="F3425" s="201" t="s">
        <v>110</v>
      </c>
      <c r="G3425" s="208" t="s">
        <v>774</v>
      </c>
      <c r="H3425" s="208" t="s">
        <v>138</v>
      </c>
      <c r="I3425" s="208"/>
      <c r="J3425" s="208"/>
      <c r="K3425" s="208"/>
      <c r="L3425" s="208"/>
      <c r="M3425" s="208"/>
      <c r="N3425" s="208"/>
      <c r="O3425" s="208"/>
      <c r="P3425" s="208"/>
      <c r="Q3425" s="208"/>
      <c r="R3425" s="208"/>
      <c r="S3425" s="208"/>
      <c r="T3425" s="208"/>
    </row>
    <row r="3426" spans="1:20" s="206" customFormat="1" ht="15" hidden="1" customHeight="1">
      <c r="A3426" s="468">
        <v>45460</v>
      </c>
      <c r="B3426" s="81" t="s">
        <v>3024</v>
      </c>
      <c r="C3426" s="208" t="s">
        <v>269</v>
      </c>
      <c r="D3426" s="592">
        <v>-7000</v>
      </c>
      <c r="E3426" s="212">
        <v>45444</v>
      </c>
      <c r="F3426" s="201" t="s">
        <v>110</v>
      </c>
      <c r="G3426" s="81" t="s">
        <v>1621</v>
      </c>
      <c r="H3426" s="208" t="s">
        <v>138</v>
      </c>
      <c r="I3426" s="208"/>
      <c r="J3426" s="208"/>
      <c r="K3426" s="208"/>
      <c r="L3426" s="208"/>
      <c r="M3426" s="208"/>
      <c r="N3426" s="208"/>
      <c r="O3426" s="208"/>
      <c r="P3426" s="208"/>
      <c r="Q3426" s="208"/>
      <c r="R3426" s="208"/>
      <c r="S3426" s="208"/>
      <c r="T3426" s="208"/>
    </row>
    <row r="3427" spans="1:20" s="206" customFormat="1" ht="15" hidden="1" customHeight="1">
      <c r="A3427" s="468">
        <v>45460</v>
      </c>
      <c r="B3427" s="81" t="s">
        <v>3024</v>
      </c>
      <c r="C3427" s="208" t="s">
        <v>269</v>
      </c>
      <c r="D3427" s="592">
        <v>-37000</v>
      </c>
      <c r="E3427" s="212">
        <v>45444</v>
      </c>
      <c r="F3427" s="208" t="s">
        <v>109</v>
      </c>
      <c r="G3427" s="208" t="s">
        <v>125</v>
      </c>
      <c r="H3427" s="208" t="s">
        <v>138</v>
      </c>
      <c r="I3427" s="208"/>
      <c r="J3427" s="208"/>
      <c r="K3427" s="208"/>
      <c r="L3427" s="208"/>
      <c r="M3427" s="208"/>
      <c r="N3427" s="208"/>
      <c r="O3427" s="208"/>
      <c r="P3427" s="208"/>
      <c r="Q3427" s="208"/>
      <c r="R3427" s="208"/>
      <c r="S3427" s="208"/>
      <c r="T3427" s="208"/>
    </row>
    <row r="3428" spans="1:20" s="206" customFormat="1" ht="15" hidden="1" customHeight="1">
      <c r="A3428" s="468">
        <v>45460</v>
      </c>
      <c r="B3428" s="81" t="s">
        <v>3024</v>
      </c>
      <c r="C3428" s="208" t="s">
        <v>269</v>
      </c>
      <c r="D3428" s="592">
        <v>-43000</v>
      </c>
      <c r="E3428" s="212">
        <v>45444</v>
      </c>
      <c r="F3428" s="208" t="s">
        <v>109</v>
      </c>
      <c r="G3428" s="201" t="s">
        <v>1261</v>
      </c>
      <c r="H3428" s="208" t="s">
        <v>138</v>
      </c>
      <c r="I3428" s="208"/>
      <c r="J3428" s="208"/>
      <c r="K3428" s="208"/>
      <c r="L3428" s="208"/>
      <c r="M3428" s="208"/>
      <c r="N3428" s="208"/>
      <c r="O3428" s="208"/>
      <c r="P3428" s="208"/>
      <c r="Q3428" s="208"/>
      <c r="R3428" s="208"/>
      <c r="S3428" s="208"/>
      <c r="T3428" s="208"/>
    </row>
    <row r="3429" spans="1:20" s="206" customFormat="1" ht="15" hidden="1" customHeight="1">
      <c r="A3429" s="468">
        <v>45460</v>
      </c>
      <c r="B3429" s="81" t="s">
        <v>3024</v>
      </c>
      <c r="C3429" s="208" t="s">
        <v>269</v>
      </c>
      <c r="D3429" s="592">
        <v>-50848</v>
      </c>
      <c r="E3429" s="212">
        <v>45444</v>
      </c>
      <c r="F3429" s="208" t="s">
        <v>207</v>
      </c>
      <c r="G3429" s="223"/>
      <c r="H3429" s="208"/>
      <c r="I3429" s="208"/>
      <c r="J3429" s="208"/>
      <c r="K3429" s="208"/>
      <c r="L3429" s="208"/>
      <c r="M3429" s="208"/>
      <c r="N3429" s="208"/>
      <c r="O3429" s="208"/>
      <c r="P3429" s="208"/>
      <c r="Q3429" s="208"/>
      <c r="R3429" s="208"/>
      <c r="S3429" s="208"/>
      <c r="T3429" s="208"/>
    </row>
    <row r="3430" spans="1:20" s="206" customFormat="1" ht="15" hidden="1" customHeight="1">
      <c r="A3430" s="468">
        <v>45460</v>
      </c>
      <c r="B3430" s="81" t="s">
        <v>3025</v>
      </c>
      <c r="C3430" s="208" t="s">
        <v>133</v>
      </c>
      <c r="D3430" s="592">
        <v>-1970</v>
      </c>
      <c r="E3430" s="212">
        <v>45444</v>
      </c>
      <c r="F3430" s="201" t="s">
        <v>110</v>
      </c>
      <c r="G3430" s="208" t="s">
        <v>774</v>
      </c>
      <c r="H3430" s="208" t="s">
        <v>138</v>
      </c>
      <c r="I3430" s="208"/>
      <c r="J3430" s="208"/>
      <c r="K3430" s="208"/>
      <c r="L3430" s="208"/>
      <c r="M3430" s="208"/>
      <c r="N3430" s="208"/>
      <c r="O3430" s="208"/>
      <c r="P3430" s="208"/>
      <c r="Q3430" s="208"/>
      <c r="R3430" s="208"/>
      <c r="S3430" s="208"/>
      <c r="T3430" s="208"/>
    </row>
    <row r="3431" spans="1:20" s="206" customFormat="1" ht="15" hidden="1" customHeight="1">
      <c r="A3431" s="468">
        <v>45460</v>
      </c>
      <c r="B3431" s="81" t="s">
        <v>3026</v>
      </c>
      <c r="C3431" s="208" t="s">
        <v>133</v>
      </c>
      <c r="D3431" s="592">
        <v>-1182</v>
      </c>
      <c r="E3431" s="212">
        <v>45444</v>
      </c>
      <c r="F3431" s="201" t="s">
        <v>110</v>
      </c>
      <c r="G3431" s="208" t="s">
        <v>774</v>
      </c>
      <c r="H3431" s="208" t="s">
        <v>138</v>
      </c>
      <c r="I3431" s="208"/>
      <c r="J3431" s="208"/>
      <c r="K3431" s="208"/>
      <c r="L3431" s="208"/>
      <c r="M3431" s="208"/>
      <c r="N3431" s="208"/>
      <c r="O3431" s="208"/>
      <c r="P3431" s="208"/>
      <c r="Q3431" s="208"/>
      <c r="R3431" s="208"/>
      <c r="S3431" s="208"/>
      <c r="T3431" s="208"/>
    </row>
    <row r="3432" spans="1:20" s="206" customFormat="1" ht="15" hidden="1" customHeight="1">
      <c r="A3432" s="468">
        <v>45461</v>
      </c>
      <c r="B3432" s="81" t="s">
        <v>2655</v>
      </c>
      <c r="C3432" s="208" t="s">
        <v>269</v>
      </c>
      <c r="D3432" s="592">
        <v>-45000</v>
      </c>
      <c r="E3432" s="212">
        <v>45444</v>
      </c>
      <c r="F3432" s="201" t="s">
        <v>110</v>
      </c>
      <c r="G3432" s="208" t="s">
        <v>774</v>
      </c>
      <c r="H3432" s="208" t="s">
        <v>138</v>
      </c>
      <c r="I3432" s="208"/>
      <c r="J3432" s="208"/>
      <c r="K3432" s="208"/>
      <c r="L3432" s="208"/>
      <c r="M3432" s="208"/>
      <c r="N3432" s="208"/>
      <c r="O3432" s="208"/>
      <c r="P3432" s="208"/>
      <c r="Q3432" s="208"/>
      <c r="R3432" s="208"/>
      <c r="S3432" s="208"/>
      <c r="T3432" s="208"/>
    </row>
    <row r="3433" spans="1:20" s="206" customFormat="1" ht="15" hidden="1" customHeight="1">
      <c r="A3433" s="468">
        <v>45461</v>
      </c>
      <c r="B3433" s="81" t="s">
        <v>2655</v>
      </c>
      <c r="C3433" s="208" t="s">
        <v>269</v>
      </c>
      <c r="D3433" s="592">
        <v>-97000</v>
      </c>
      <c r="E3433" s="212">
        <v>45444</v>
      </c>
      <c r="F3433" s="208" t="s">
        <v>109</v>
      </c>
      <c r="G3433" s="208" t="s">
        <v>120</v>
      </c>
      <c r="H3433" s="208" t="s">
        <v>138</v>
      </c>
      <c r="I3433" s="208"/>
      <c r="J3433" s="208"/>
      <c r="K3433" s="208"/>
      <c r="L3433" s="208"/>
      <c r="M3433" s="208"/>
      <c r="N3433" s="208"/>
      <c r="O3433" s="208"/>
      <c r="P3433" s="208"/>
      <c r="Q3433" s="208"/>
      <c r="R3433" s="208"/>
      <c r="S3433" s="208"/>
      <c r="T3433" s="208"/>
    </row>
    <row r="3434" spans="1:20" s="206" customFormat="1" ht="15" hidden="1" customHeight="1">
      <c r="A3434" s="468">
        <v>45461</v>
      </c>
      <c r="B3434" s="81" t="s">
        <v>2655</v>
      </c>
      <c r="C3434" s="208" t="s">
        <v>269</v>
      </c>
      <c r="D3434" s="592">
        <v>-15000</v>
      </c>
      <c r="E3434" s="212">
        <v>45444</v>
      </c>
      <c r="F3434" s="208" t="s">
        <v>110</v>
      </c>
      <c r="G3434" s="201" t="s">
        <v>1489</v>
      </c>
      <c r="H3434" s="208" t="s">
        <v>138</v>
      </c>
      <c r="I3434" s="208"/>
      <c r="J3434" s="208"/>
      <c r="K3434" s="208"/>
      <c r="L3434" s="208"/>
      <c r="M3434" s="208"/>
      <c r="N3434" s="208"/>
      <c r="O3434" s="208"/>
      <c r="P3434" s="208"/>
      <c r="Q3434" s="208"/>
      <c r="R3434" s="208"/>
      <c r="S3434" s="208"/>
      <c r="T3434" s="208"/>
    </row>
    <row r="3435" spans="1:20" s="206" customFormat="1" ht="15" hidden="1" customHeight="1">
      <c r="A3435" s="468">
        <v>45461</v>
      </c>
      <c r="B3435" s="81" t="s">
        <v>2655</v>
      </c>
      <c r="C3435" s="208" t="s">
        <v>269</v>
      </c>
      <c r="D3435" s="592">
        <v>-6000</v>
      </c>
      <c r="E3435" s="212">
        <v>45444</v>
      </c>
      <c r="F3435" s="208" t="s">
        <v>109</v>
      </c>
      <c r="G3435" s="201" t="s">
        <v>1261</v>
      </c>
      <c r="H3435" s="208" t="s">
        <v>138</v>
      </c>
      <c r="I3435" s="208"/>
      <c r="J3435" s="208"/>
      <c r="K3435" s="208"/>
      <c r="L3435" s="208"/>
      <c r="M3435" s="208"/>
      <c r="N3435" s="208"/>
      <c r="O3435" s="208"/>
      <c r="P3435" s="208"/>
      <c r="Q3435" s="208"/>
      <c r="R3435" s="208"/>
      <c r="S3435" s="208"/>
      <c r="T3435" s="208"/>
    </row>
    <row r="3436" spans="1:20" s="206" customFormat="1" ht="15" hidden="1" customHeight="1">
      <c r="A3436" s="468">
        <v>45461</v>
      </c>
      <c r="B3436" s="81" t="s">
        <v>2655</v>
      </c>
      <c r="C3436" s="208" t="s">
        <v>269</v>
      </c>
      <c r="D3436" s="592">
        <v>-133184</v>
      </c>
      <c r="E3436" s="212">
        <v>45444</v>
      </c>
      <c r="F3436" s="208" t="s">
        <v>207</v>
      </c>
      <c r="G3436" s="223"/>
      <c r="H3436" s="208"/>
      <c r="I3436" s="208"/>
      <c r="J3436" s="208"/>
      <c r="K3436" s="208"/>
      <c r="L3436" s="208"/>
      <c r="M3436" s="208"/>
      <c r="N3436" s="208"/>
      <c r="O3436" s="208"/>
      <c r="P3436" s="208"/>
      <c r="Q3436" s="208"/>
      <c r="R3436" s="208"/>
      <c r="S3436" s="208"/>
      <c r="T3436" s="208"/>
    </row>
    <row r="3437" spans="1:20" s="206" customFormat="1" ht="15" hidden="1" customHeight="1">
      <c r="A3437" s="468">
        <v>45461</v>
      </c>
      <c r="B3437" s="81" t="s">
        <v>3027</v>
      </c>
      <c r="C3437" s="208" t="s">
        <v>133</v>
      </c>
      <c r="D3437" s="592">
        <v>-1806</v>
      </c>
      <c r="E3437" s="212">
        <v>45444</v>
      </c>
      <c r="F3437" s="208" t="s">
        <v>109</v>
      </c>
      <c r="G3437" s="201" t="s">
        <v>1261</v>
      </c>
      <c r="H3437" s="208" t="s">
        <v>138</v>
      </c>
      <c r="I3437" s="208"/>
      <c r="J3437" s="208"/>
      <c r="K3437" s="208"/>
      <c r="L3437" s="208"/>
      <c r="M3437" s="208"/>
      <c r="N3437" s="208"/>
      <c r="O3437" s="208"/>
      <c r="P3437" s="208"/>
      <c r="Q3437" s="208"/>
      <c r="R3437" s="208"/>
      <c r="S3437" s="208"/>
      <c r="T3437" s="208"/>
    </row>
    <row r="3438" spans="1:20" s="206" customFormat="1" ht="15" hidden="1" customHeight="1">
      <c r="A3438" s="468">
        <v>45461</v>
      </c>
      <c r="B3438" s="81" t="s">
        <v>2886</v>
      </c>
      <c r="C3438" s="208" t="s">
        <v>133</v>
      </c>
      <c r="D3438" s="592">
        <v>-3010</v>
      </c>
      <c r="E3438" s="212">
        <v>45444</v>
      </c>
      <c r="F3438" s="208" t="s">
        <v>109</v>
      </c>
      <c r="G3438" s="201" t="s">
        <v>1261</v>
      </c>
      <c r="H3438" s="208" t="s">
        <v>138</v>
      </c>
      <c r="I3438" s="208"/>
      <c r="J3438" s="208"/>
      <c r="K3438" s="208"/>
      <c r="L3438" s="208"/>
      <c r="M3438" s="208"/>
      <c r="N3438" s="208"/>
      <c r="O3438" s="208"/>
      <c r="P3438" s="208"/>
      <c r="Q3438" s="208"/>
      <c r="R3438" s="208"/>
      <c r="S3438" s="208"/>
      <c r="T3438" s="208"/>
    </row>
    <row r="3439" spans="1:20" s="206" customFormat="1" ht="15" hidden="1" customHeight="1">
      <c r="A3439" s="468">
        <v>45463</v>
      </c>
      <c r="B3439" s="81" t="s">
        <v>3028</v>
      </c>
      <c r="C3439" s="208" t="s">
        <v>269</v>
      </c>
      <c r="D3439" s="592">
        <v>-42000</v>
      </c>
      <c r="E3439" s="212">
        <v>45444</v>
      </c>
      <c r="F3439" s="208" t="s">
        <v>109</v>
      </c>
      <c r="G3439" s="201" t="s">
        <v>1261</v>
      </c>
      <c r="H3439" s="208" t="s">
        <v>138</v>
      </c>
      <c r="I3439" s="208"/>
      <c r="J3439" s="208"/>
      <c r="K3439" s="208"/>
      <c r="L3439" s="208"/>
      <c r="M3439" s="208"/>
      <c r="N3439" s="208"/>
      <c r="O3439" s="208"/>
      <c r="P3439" s="208"/>
      <c r="Q3439" s="208"/>
      <c r="R3439" s="208"/>
      <c r="S3439" s="208"/>
      <c r="T3439" s="208"/>
    </row>
    <row r="3440" spans="1:20" s="206" customFormat="1" ht="15" hidden="1" customHeight="1">
      <c r="A3440" s="468">
        <v>45463</v>
      </c>
      <c r="B3440" s="81" t="s">
        <v>3028</v>
      </c>
      <c r="C3440" s="208" t="s">
        <v>269</v>
      </c>
      <c r="D3440" s="592">
        <v>-21000</v>
      </c>
      <c r="E3440" s="212">
        <v>45444</v>
      </c>
      <c r="F3440" s="208" t="s">
        <v>109</v>
      </c>
      <c r="G3440" s="208" t="s">
        <v>125</v>
      </c>
      <c r="H3440" s="208" t="s">
        <v>138</v>
      </c>
      <c r="I3440" s="208"/>
      <c r="J3440" s="208"/>
      <c r="K3440" s="208"/>
      <c r="L3440" s="208"/>
      <c r="M3440" s="208"/>
      <c r="N3440" s="208"/>
      <c r="O3440" s="208"/>
      <c r="P3440" s="208"/>
      <c r="Q3440" s="208"/>
      <c r="R3440" s="208"/>
      <c r="S3440" s="208"/>
      <c r="T3440" s="208"/>
    </row>
    <row r="3441" spans="1:20" s="206" customFormat="1" ht="15" hidden="1" customHeight="1">
      <c r="A3441" s="468">
        <v>45463</v>
      </c>
      <c r="B3441" s="81" t="s">
        <v>3028</v>
      </c>
      <c r="C3441" s="208" t="s">
        <v>269</v>
      </c>
      <c r="D3441" s="592">
        <v>-14000</v>
      </c>
      <c r="E3441" s="212">
        <v>45444</v>
      </c>
      <c r="F3441" s="201" t="s">
        <v>110</v>
      </c>
      <c r="G3441" s="208" t="s">
        <v>774</v>
      </c>
      <c r="H3441" s="208" t="s">
        <v>138</v>
      </c>
      <c r="I3441" s="208"/>
      <c r="J3441" s="208"/>
      <c r="K3441" s="208"/>
      <c r="L3441" s="208"/>
      <c r="M3441" s="208"/>
      <c r="N3441" s="208"/>
      <c r="O3441" s="208"/>
      <c r="P3441" s="208"/>
      <c r="Q3441" s="208"/>
      <c r="R3441" s="208"/>
      <c r="S3441" s="208"/>
      <c r="T3441" s="208"/>
    </row>
    <row r="3442" spans="1:20" s="206" customFormat="1" ht="15" hidden="1" customHeight="1">
      <c r="A3442" s="468">
        <v>45463</v>
      </c>
      <c r="B3442" s="81" t="s">
        <v>3028</v>
      </c>
      <c r="C3442" s="208" t="s">
        <v>269</v>
      </c>
      <c r="D3442" s="592">
        <v>-38000</v>
      </c>
      <c r="E3442" s="212">
        <v>45444</v>
      </c>
      <c r="F3442" s="208" t="s">
        <v>130</v>
      </c>
      <c r="G3442" s="223" t="s">
        <v>130</v>
      </c>
      <c r="H3442" s="208" t="s">
        <v>138</v>
      </c>
      <c r="I3442" s="208"/>
      <c r="J3442" s="208"/>
      <c r="K3442" s="208"/>
      <c r="L3442" s="208"/>
      <c r="M3442" s="208"/>
      <c r="N3442" s="208"/>
      <c r="O3442" s="208"/>
      <c r="P3442" s="208"/>
      <c r="Q3442" s="208"/>
      <c r="R3442" s="208"/>
      <c r="S3442" s="208"/>
      <c r="T3442" s="208"/>
    </row>
    <row r="3443" spans="1:20" s="206" customFormat="1" ht="15" hidden="1" customHeight="1">
      <c r="A3443" s="468">
        <v>45463</v>
      </c>
      <c r="B3443" s="81" t="s">
        <v>3028</v>
      </c>
      <c r="C3443" s="208" t="s">
        <v>269</v>
      </c>
      <c r="D3443" s="592">
        <v>-49000</v>
      </c>
      <c r="E3443" s="212">
        <v>45444</v>
      </c>
      <c r="F3443" s="208" t="s">
        <v>109</v>
      </c>
      <c r="G3443" s="208" t="s">
        <v>120</v>
      </c>
      <c r="H3443" s="208" t="s">
        <v>138</v>
      </c>
      <c r="I3443" s="208"/>
      <c r="J3443" s="208"/>
      <c r="K3443" s="208"/>
      <c r="L3443" s="208"/>
      <c r="M3443" s="208"/>
      <c r="N3443" s="208"/>
      <c r="O3443" s="208"/>
      <c r="P3443" s="208"/>
      <c r="Q3443" s="208"/>
      <c r="R3443" s="208"/>
      <c r="S3443" s="208"/>
      <c r="T3443" s="208"/>
    </row>
    <row r="3444" spans="1:20" s="206" customFormat="1" ht="15" hidden="1" customHeight="1">
      <c r="A3444" s="468">
        <v>45463</v>
      </c>
      <c r="B3444" s="81" t="s">
        <v>3028</v>
      </c>
      <c r="C3444" s="208" t="s">
        <v>269</v>
      </c>
      <c r="D3444" s="592">
        <v>-24928</v>
      </c>
      <c r="E3444" s="212">
        <v>45444</v>
      </c>
      <c r="F3444" s="208" t="s">
        <v>130</v>
      </c>
      <c r="G3444" s="223" t="s">
        <v>130</v>
      </c>
      <c r="H3444" s="208" t="s">
        <v>138</v>
      </c>
      <c r="I3444" s="208"/>
      <c r="J3444" s="208"/>
      <c r="K3444" s="208"/>
      <c r="L3444" s="208"/>
      <c r="M3444" s="208"/>
      <c r="N3444" s="208"/>
      <c r="O3444" s="208"/>
      <c r="P3444" s="208"/>
      <c r="Q3444" s="208"/>
      <c r="R3444" s="208"/>
      <c r="S3444" s="208"/>
      <c r="T3444" s="208"/>
    </row>
    <row r="3445" spans="1:20" s="206" customFormat="1" ht="15" hidden="1" customHeight="1">
      <c r="A3445" s="468">
        <v>45463</v>
      </c>
      <c r="B3445" s="81" t="s">
        <v>3029</v>
      </c>
      <c r="C3445" s="208" t="s">
        <v>133</v>
      </c>
      <c r="D3445" s="592">
        <v>-1920</v>
      </c>
      <c r="E3445" s="212">
        <v>45444</v>
      </c>
      <c r="F3445" s="208" t="s">
        <v>130</v>
      </c>
      <c r="G3445" s="223" t="s">
        <v>130</v>
      </c>
      <c r="H3445" s="208" t="s">
        <v>138</v>
      </c>
      <c r="I3445" s="208"/>
      <c r="J3445" s="208"/>
      <c r="K3445" s="208"/>
      <c r="L3445" s="208"/>
      <c r="M3445" s="208"/>
      <c r="N3445" s="208"/>
      <c r="O3445" s="208"/>
      <c r="P3445" s="208"/>
      <c r="Q3445" s="208"/>
      <c r="R3445" s="208"/>
      <c r="S3445" s="208"/>
      <c r="T3445" s="208"/>
    </row>
    <row r="3446" spans="1:20" s="206" customFormat="1" ht="15" hidden="1" customHeight="1">
      <c r="A3446" s="468">
        <v>45463</v>
      </c>
      <c r="B3446" s="81" t="s">
        <v>3030</v>
      </c>
      <c r="C3446" s="208" t="s">
        <v>133</v>
      </c>
      <c r="D3446" s="592">
        <v>-1152</v>
      </c>
      <c r="E3446" s="212">
        <v>45444</v>
      </c>
      <c r="F3446" s="208" t="s">
        <v>130</v>
      </c>
      <c r="G3446" s="223" t="s">
        <v>130</v>
      </c>
      <c r="H3446" s="208" t="s">
        <v>138</v>
      </c>
      <c r="I3446" s="208"/>
      <c r="J3446" s="208"/>
      <c r="K3446" s="208"/>
      <c r="L3446" s="208"/>
      <c r="M3446" s="208"/>
      <c r="N3446" s="208"/>
      <c r="O3446" s="208"/>
      <c r="P3446" s="208"/>
      <c r="Q3446" s="208"/>
      <c r="R3446" s="208"/>
      <c r="S3446" s="208"/>
      <c r="T3446" s="208"/>
    </row>
    <row r="3447" spans="1:20" s="206" customFormat="1" ht="15" hidden="1" customHeight="1">
      <c r="A3447" s="468">
        <v>45461</v>
      </c>
      <c r="B3447" s="81" t="s">
        <v>3031</v>
      </c>
      <c r="C3447" s="208" t="s">
        <v>269</v>
      </c>
      <c r="D3447" s="592">
        <v>-6000</v>
      </c>
      <c r="E3447" s="212">
        <v>45444</v>
      </c>
      <c r="F3447" s="208" t="s">
        <v>130</v>
      </c>
      <c r="G3447" s="223" t="s">
        <v>130</v>
      </c>
      <c r="H3447" s="208" t="s">
        <v>138</v>
      </c>
      <c r="I3447" s="208"/>
      <c r="J3447" s="208"/>
      <c r="K3447" s="208"/>
      <c r="L3447" s="208"/>
      <c r="M3447" s="208"/>
      <c r="N3447" s="208"/>
      <c r="O3447" s="208"/>
      <c r="P3447" s="208"/>
      <c r="Q3447" s="208"/>
      <c r="R3447" s="208"/>
      <c r="S3447" s="208"/>
      <c r="T3447" s="208"/>
    </row>
    <row r="3448" spans="1:20" s="206" customFormat="1" ht="15" hidden="1" customHeight="1">
      <c r="A3448" s="468">
        <v>45461</v>
      </c>
      <c r="B3448" s="81" t="s">
        <v>3032</v>
      </c>
      <c r="C3448" s="208" t="s">
        <v>269</v>
      </c>
      <c r="D3448" s="592">
        <v>-30000</v>
      </c>
      <c r="E3448" s="212">
        <v>45444</v>
      </c>
      <c r="F3448" s="208" t="s">
        <v>130</v>
      </c>
      <c r="G3448" s="223" t="s">
        <v>130</v>
      </c>
      <c r="H3448" s="208" t="s">
        <v>2590</v>
      </c>
      <c r="I3448" s="208"/>
      <c r="J3448" s="208"/>
      <c r="K3448" s="208"/>
      <c r="L3448" s="208"/>
      <c r="M3448" s="208"/>
      <c r="N3448" s="208"/>
      <c r="O3448" s="208"/>
      <c r="P3448" s="208"/>
      <c r="Q3448" s="208"/>
      <c r="R3448" s="208"/>
      <c r="S3448" s="208"/>
      <c r="T3448" s="208"/>
    </row>
    <row r="3449" spans="1:20" s="206" customFormat="1" ht="15" hidden="1" customHeight="1">
      <c r="A3449" s="468">
        <v>45461</v>
      </c>
      <c r="B3449" s="81" t="s">
        <v>3033</v>
      </c>
      <c r="C3449" s="208" t="s">
        <v>269</v>
      </c>
      <c r="D3449" s="592">
        <v>-231300</v>
      </c>
      <c r="E3449" s="212">
        <v>45444</v>
      </c>
      <c r="F3449" s="208" t="s">
        <v>130</v>
      </c>
      <c r="G3449" s="223" t="s">
        <v>130</v>
      </c>
      <c r="H3449" s="208" t="s">
        <v>2590</v>
      </c>
      <c r="I3449" s="208"/>
      <c r="J3449" s="208"/>
      <c r="K3449" s="208"/>
      <c r="L3449" s="208"/>
      <c r="M3449" s="208"/>
      <c r="N3449" s="208"/>
      <c r="O3449" s="208"/>
      <c r="P3449" s="208"/>
      <c r="Q3449" s="208"/>
      <c r="R3449" s="208"/>
      <c r="S3449" s="208"/>
      <c r="T3449" s="208"/>
    </row>
    <row r="3450" spans="1:20" s="206" customFormat="1" ht="15" hidden="1" customHeight="1">
      <c r="A3450" s="468">
        <v>45461</v>
      </c>
      <c r="B3450" s="81" t="s">
        <v>3033</v>
      </c>
      <c r="C3450" s="208" t="s">
        <v>269</v>
      </c>
      <c r="D3450" s="592">
        <v>-462600</v>
      </c>
      <c r="E3450" s="212">
        <v>45444</v>
      </c>
      <c r="F3450" s="208" t="s">
        <v>130</v>
      </c>
      <c r="G3450" s="223" t="s">
        <v>130</v>
      </c>
      <c r="H3450" s="208" t="s">
        <v>2590</v>
      </c>
      <c r="I3450" s="208"/>
      <c r="J3450" s="208"/>
      <c r="K3450" s="208"/>
      <c r="L3450" s="208"/>
      <c r="M3450" s="208"/>
      <c r="N3450" s="208"/>
      <c r="O3450" s="208"/>
      <c r="P3450" s="208"/>
      <c r="Q3450" s="208"/>
      <c r="R3450" s="208"/>
      <c r="S3450" s="208"/>
      <c r="T3450" s="208"/>
    </row>
    <row r="3451" spans="1:20" s="206" customFormat="1" ht="15" hidden="1" customHeight="1">
      <c r="A3451" s="468">
        <v>45461</v>
      </c>
      <c r="B3451" s="81" t="s">
        <v>2209</v>
      </c>
      <c r="C3451" s="208" t="s">
        <v>269</v>
      </c>
      <c r="D3451" s="592">
        <v>-6500</v>
      </c>
      <c r="E3451" s="212">
        <v>45444</v>
      </c>
      <c r="F3451" s="201" t="s">
        <v>110</v>
      </c>
      <c r="G3451" s="208" t="s">
        <v>774</v>
      </c>
      <c r="H3451" s="208" t="s">
        <v>138</v>
      </c>
      <c r="I3451" s="208"/>
      <c r="J3451" s="208"/>
      <c r="K3451" s="208"/>
      <c r="L3451" s="208"/>
      <c r="M3451" s="208"/>
      <c r="N3451" s="208"/>
      <c r="O3451" s="208"/>
      <c r="P3451" s="208"/>
      <c r="Q3451" s="208"/>
      <c r="R3451" s="208"/>
      <c r="S3451" s="208"/>
      <c r="T3451" s="208"/>
    </row>
    <row r="3452" spans="1:20" s="206" customFormat="1" ht="15" hidden="1" customHeight="1">
      <c r="A3452" s="468">
        <v>45462</v>
      </c>
      <c r="B3452" s="81" t="s">
        <v>3034</v>
      </c>
      <c r="C3452" s="208" t="s">
        <v>269</v>
      </c>
      <c r="D3452" s="592">
        <v>-320100</v>
      </c>
      <c r="E3452" s="212">
        <v>45444</v>
      </c>
      <c r="F3452" s="208" t="s">
        <v>130</v>
      </c>
      <c r="G3452" s="223" t="s">
        <v>130</v>
      </c>
      <c r="H3452" s="208" t="s">
        <v>2590</v>
      </c>
      <c r="I3452" s="208"/>
      <c r="J3452" s="208"/>
      <c r="K3452" s="208"/>
      <c r="L3452" s="208"/>
      <c r="M3452" s="208"/>
      <c r="N3452" s="208"/>
      <c r="O3452" s="208"/>
      <c r="P3452" s="208"/>
      <c r="Q3452" s="208"/>
      <c r="R3452" s="208"/>
      <c r="S3452" s="208"/>
      <c r="T3452" s="208"/>
    </row>
    <row r="3453" spans="1:20" s="206" customFormat="1" ht="15" hidden="1" customHeight="1">
      <c r="A3453" s="468">
        <v>45462</v>
      </c>
      <c r="B3453" s="81" t="s">
        <v>3035</v>
      </c>
      <c r="C3453" s="208" t="s">
        <v>269</v>
      </c>
      <c r="D3453" s="592">
        <v>40000</v>
      </c>
      <c r="E3453" s="212">
        <v>45444</v>
      </c>
      <c r="F3453" s="208" t="s">
        <v>130</v>
      </c>
      <c r="G3453" s="223" t="s">
        <v>2657</v>
      </c>
      <c r="H3453" s="208" t="s">
        <v>138</v>
      </c>
      <c r="I3453" s="208"/>
      <c r="J3453" s="208"/>
      <c r="K3453" s="208"/>
      <c r="L3453" s="208"/>
      <c r="M3453" s="208"/>
      <c r="N3453" s="208"/>
      <c r="O3453" s="208"/>
      <c r="P3453" s="208"/>
      <c r="Q3453" s="208"/>
      <c r="R3453" s="208"/>
      <c r="S3453" s="208"/>
      <c r="T3453" s="208"/>
    </row>
    <row r="3454" spans="1:20" s="206" customFormat="1" ht="15" hidden="1" customHeight="1">
      <c r="A3454" s="468">
        <v>45462</v>
      </c>
      <c r="B3454" s="81" t="s">
        <v>3036</v>
      </c>
      <c r="C3454" s="208" t="s">
        <v>269</v>
      </c>
      <c r="D3454" s="592">
        <v>-6500</v>
      </c>
      <c r="E3454" s="212">
        <v>45444</v>
      </c>
      <c r="F3454" s="208" t="s">
        <v>130</v>
      </c>
      <c r="G3454" s="223" t="s">
        <v>130</v>
      </c>
      <c r="H3454" s="208" t="s">
        <v>138</v>
      </c>
      <c r="I3454" s="208"/>
      <c r="J3454" s="208"/>
      <c r="K3454" s="208"/>
      <c r="L3454" s="208"/>
      <c r="M3454" s="208"/>
      <c r="N3454" s="208"/>
      <c r="O3454" s="208"/>
      <c r="P3454" s="208"/>
      <c r="Q3454" s="208"/>
      <c r="R3454" s="208"/>
      <c r="S3454" s="208"/>
      <c r="T3454" s="208"/>
    </row>
    <row r="3455" spans="1:20" s="206" customFormat="1" ht="15" hidden="1" customHeight="1">
      <c r="A3455" s="468">
        <v>45462</v>
      </c>
      <c r="B3455" s="81" t="s">
        <v>3037</v>
      </c>
      <c r="C3455" s="208" t="s">
        <v>269</v>
      </c>
      <c r="D3455" s="592">
        <v>-14000</v>
      </c>
      <c r="E3455" s="212">
        <v>45444</v>
      </c>
      <c r="F3455" s="208" t="s">
        <v>207</v>
      </c>
      <c r="G3455" s="223" t="s">
        <v>2963</v>
      </c>
      <c r="H3455" s="208" t="s">
        <v>138</v>
      </c>
      <c r="I3455" s="208"/>
      <c r="J3455" s="208"/>
      <c r="K3455" s="208"/>
      <c r="L3455" s="208"/>
      <c r="M3455" s="208"/>
      <c r="N3455" s="208"/>
      <c r="O3455" s="208"/>
      <c r="P3455" s="208"/>
      <c r="Q3455" s="208"/>
      <c r="R3455" s="208"/>
      <c r="S3455" s="208"/>
      <c r="T3455" s="208"/>
    </row>
    <row r="3456" spans="1:20" s="206" customFormat="1" ht="15" hidden="1" customHeight="1">
      <c r="A3456" s="468">
        <v>45462</v>
      </c>
      <c r="B3456" s="81" t="s">
        <v>3038</v>
      </c>
      <c r="C3456" s="208" t="s">
        <v>269</v>
      </c>
      <c r="D3456" s="592">
        <v>-7000</v>
      </c>
      <c r="E3456" s="212">
        <v>45444</v>
      </c>
      <c r="F3456" s="208" t="s">
        <v>109</v>
      </c>
      <c r="G3456" s="201" t="s">
        <v>1261</v>
      </c>
      <c r="H3456" s="208" t="s">
        <v>138</v>
      </c>
      <c r="I3456" s="208"/>
      <c r="J3456" s="208"/>
      <c r="K3456" s="208"/>
      <c r="L3456" s="208"/>
      <c r="M3456" s="208"/>
      <c r="N3456" s="208"/>
      <c r="O3456" s="208"/>
      <c r="P3456" s="208"/>
      <c r="Q3456" s="208"/>
      <c r="R3456" s="208"/>
      <c r="S3456" s="208"/>
      <c r="T3456" s="208"/>
    </row>
    <row r="3457" spans="1:20" s="206" customFormat="1" ht="15" hidden="1" customHeight="1">
      <c r="A3457" s="468">
        <v>45462</v>
      </c>
      <c r="B3457" s="81" t="s">
        <v>3039</v>
      </c>
      <c r="C3457" s="208" t="s">
        <v>269</v>
      </c>
      <c r="D3457" s="592">
        <v>-7000</v>
      </c>
      <c r="E3457" s="212">
        <v>45444</v>
      </c>
      <c r="F3457" s="201" t="s">
        <v>110</v>
      </c>
      <c r="G3457" s="208" t="s">
        <v>774</v>
      </c>
      <c r="H3457" s="208" t="s">
        <v>138</v>
      </c>
      <c r="I3457" s="208"/>
      <c r="J3457" s="208"/>
      <c r="K3457" s="208"/>
      <c r="L3457" s="208"/>
      <c r="M3457" s="208"/>
      <c r="N3457" s="208"/>
      <c r="O3457" s="208"/>
      <c r="P3457" s="208"/>
      <c r="Q3457" s="208"/>
      <c r="R3457" s="208"/>
      <c r="S3457" s="208"/>
      <c r="T3457" s="208"/>
    </row>
    <row r="3458" spans="1:20" s="206" customFormat="1" ht="15" hidden="1" customHeight="1">
      <c r="A3458" s="468">
        <v>45462</v>
      </c>
      <c r="B3458" s="81" t="s">
        <v>3032</v>
      </c>
      <c r="C3458" s="208" t="s">
        <v>269</v>
      </c>
      <c r="D3458" s="800">
        <v>-59100</v>
      </c>
      <c r="E3458" s="212">
        <v>45444</v>
      </c>
      <c r="F3458" s="208" t="s">
        <v>109</v>
      </c>
      <c r="G3458" s="201" t="s">
        <v>581</v>
      </c>
      <c r="H3458" s="208"/>
      <c r="I3458" s="208"/>
      <c r="J3458" s="208"/>
      <c r="K3458" s="208"/>
      <c r="L3458" s="208"/>
      <c r="M3458" s="208"/>
      <c r="N3458" s="208"/>
      <c r="O3458" s="208"/>
      <c r="P3458" s="208"/>
      <c r="Q3458" s="208"/>
      <c r="R3458" s="208"/>
      <c r="S3458" s="208"/>
      <c r="T3458" s="208"/>
    </row>
    <row r="3459" spans="1:20" s="206" customFormat="1" ht="15" hidden="1" customHeight="1">
      <c r="A3459" s="468">
        <v>45462</v>
      </c>
      <c r="B3459" s="81" t="s">
        <v>3040</v>
      </c>
      <c r="C3459" s="208" t="s">
        <v>269</v>
      </c>
      <c r="D3459" s="592">
        <v>-12000</v>
      </c>
      <c r="E3459" s="212">
        <v>45444</v>
      </c>
      <c r="F3459" s="208" t="s">
        <v>109</v>
      </c>
      <c r="G3459" s="208" t="s">
        <v>414</v>
      </c>
      <c r="H3459" s="208" t="s">
        <v>138</v>
      </c>
      <c r="I3459" s="208"/>
      <c r="J3459" s="208"/>
      <c r="K3459" s="208"/>
      <c r="L3459" s="208"/>
      <c r="M3459" s="208"/>
      <c r="N3459" s="208"/>
      <c r="O3459" s="208"/>
      <c r="P3459" s="208"/>
      <c r="Q3459" s="208"/>
      <c r="R3459" s="208"/>
      <c r="S3459" s="208"/>
      <c r="T3459" s="208"/>
    </row>
    <row r="3460" spans="1:20" s="206" customFormat="1" ht="15" hidden="1" customHeight="1">
      <c r="A3460" s="468">
        <v>45463</v>
      </c>
      <c r="B3460" s="81" t="s">
        <v>3041</v>
      </c>
      <c r="C3460" s="208" t="s">
        <v>269</v>
      </c>
      <c r="D3460" s="592">
        <v>-6000</v>
      </c>
      <c r="E3460" s="212">
        <v>45444</v>
      </c>
      <c r="F3460" s="208" t="s">
        <v>207</v>
      </c>
      <c r="G3460" s="223"/>
      <c r="H3460" s="208"/>
      <c r="I3460" s="208"/>
      <c r="J3460" s="208"/>
      <c r="K3460" s="208"/>
      <c r="L3460" s="208"/>
      <c r="M3460" s="208"/>
      <c r="N3460" s="208"/>
      <c r="O3460" s="208"/>
      <c r="P3460" s="208"/>
      <c r="Q3460" s="208"/>
      <c r="R3460" s="208"/>
      <c r="S3460" s="208"/>
      <c r="T3460" s="208"/>
    </row>
    <row r="3461" spans="1:20" s="206" customFormat="1" ht="15" hidden="1" customHeight="1">
      <c r="A3461" s="468">
        <v>45463</v>
      </c>
      <c r="B3461" s="81" t="s">
        <v>3024</v>
      </c>
      <c r="C3461" s="208" t="s">
        <v>269</v>
      </c>
      <c r="D3461" s="592">
        <v>-37000</v>
      </c>
      <c r="E3461" s="212">
        <v>45444</v>
      </c>
      <c r="F3461" s="208" t="s">
        <v>109</v>
      </c>
      <c r="G3461" s="208" t="s">
        <v>125</v>
      </c>
      <c r="H3461" s="208" t="s">
        <v>138</v>
      </c>
      <c r="I3461" s="208"/>
      <c r="J3461" s="208"/>
      <c r="K3461" s="208"/>
      <c r="L3461" s="208"/>
      <c r="M3461" s="208"/>
      <c r="N3461" s="208"/>
      <c r="O3461" s="208"/>
      <c r="P3461" s="208"/>
      <c r="Q3461" s="208"/>
      <c r="R3461" s="208"/>
      <c r="S3461" s="208"/>
      <c r="T3461" s="208"/>
    </row>
    <row r="3462" spans="1:20" s="206" customFormat="1" ht="15" hidden="1" customHeight="1">
      <c r="A3462" s="468">
        <v>45463</v>
      </c>
      <c r="B3462" s="81" t="s">
        <v>3024</v>
      </c>
      <c r="C3462" s="208" t="s">
        <v>269</v>
      </c>
      <c r="D3462" s="592">
        <v>-42000</v>
      </c>
      <c r="E3462" s="212">
        <v>45444</v>
      </c>
      <c r="F3462" s="208" t="s">
        <v>207</v>
      </c>
      <c r="G3462" s="223"/>
      <c r="H3462" s="208"/>
      <c r="I3462" s="208"/>
      <c r="J3462" s="208"/>
      <c r="K3462" s="208"/>
      <c r="L3462" s="208"/>
      <c r="M3462" s="208"/>
      <c r="N3462" s="208"/>
      <c r="O3462" s="208"/>
      <c r="P3462" s="208"/>
      <c r="Q3462" s="208"/>
      <c r="R3462" s="208"/>
      <c r="S3462" s="208"/>
      <c r="T3462" s="208"/>
    </row>
    <row r="3463" spans="1:20" s="206" customFormat="1" ht="15" hidden="1" customHeight="1">
      <c r="A3463" s="468">
        <v>45463</v>
      </c>
      <c r="B3463" s="81" t="s">
        <v>3024</v>
      </c>
      <c r="C3463" s="208" t="s">
        <v>269</v>
      </c>
      <c r="D3463" s="592">
        <v>-14000</v>
      </c>
      <c r="E3463" s="212">
        <v>45444</v>
      </c>
      <c r="F3463" s="208" t="s">
        <v>109</v>
      </c>
      <c r="G3463" s="201" t="s">
        <v>1261</v>
      </c>
      <c r="H3463" s="208" t="s">
        <v>138</v>
      </c>
      <c r="I3463" s="208"/>
      <c r="J3463" s="208"/>
      <c r="K3463" s="208"/>
      <c r="L3463" s="208"/>
      <c r="M3463" s="208"/>
      <c r="N3463" s="208"/>
      <c r="O3463" s="208"/>
      <c r="P3463" s="208"/>
      <c r="Q3463" s="208"/>
      <c r="R3463" s="208"/>
      <c r="S3463" s="208"/>
      <c r="T3463" s="208"/>
    </row>
    <row r="3464" spans="1:20" s="206" customFormat="1" ht="15" hidden="1" customHeight="1">
      <c r="A3464" s="468">
        <v>45463</v>
      </c>
      <c r="B3464" s="81" t="s">
        <v>3024</v>
      </c>
      <c r="C3464" s="208" t="s">
        <v>269</v>
      </c>
      <c r="D3464" s="592">
        <v>-35000</v>
      </c>
      <c r="E3464" s="212">
        <v>45444</v>
      </c>
      <c r="F3464" s="208" t="s">
        <v>109</v>
      </c>
      <c r="G3464" s="208" t="s">
        <v>120</v>
      </c>
      <c r="H3464" s="208" t="s">
        <v>138</v>
      </c>
      <c r="I3464" s="208"/>
      <c r="J3464" s="208"/>
      <c r="K3464" s="208"/>
      <c r="L3464" s="208"/>
      <c r="M3464" s="208"/>
      <c r="N3464" s="208"/>
      <c r="O3464" s="208"/>
      <c r="P3464" s="208"/>
      <c r="Q3464" s="208"/>
      <c r="R3464" s="208"/>
      <c r="S3464" s="208"/>
      <c r="T3464" s="208"/>
    </row>
    <row r="3465" spans="1:20" s="206" customFormat="1" ht="15" hidden="1" customHeight="1">
      <c r="A3465" s="468">
        <v>45463</v>
      </c>
      <c r="B3465" s="81" t="s">
        <v>3024</v>
      </c>
      <c r="C3465" s="208" t="s">
        <v>269</v>
      </c>
      <c r="D3465" s="592">
        <v>-14000</v>
      </c>
      <c r="E3465" s="212">
        <v>45444</v>
      </c>
      <c r="F3465" s="208" t="s">
        <v>110</v>
      </c>
      <c r="G3465" s="208" t="s">
        <v>122</v>
      </c>
      <c r="H3465" s="208" t="s">
        <v>138</v>
      </c>
      <c r="I3465" s="208"/>
      <c r="J3465" s="208"/>
      <c r="K3465" s="208"/>
      <c r="L3465" s="208"/>
      <c r="M3465" s="208"/>
      <c r="N3465" s="208"/>
      <c r="O3465" s="208"/>
      <c r="P3465" s="208"/>
      <c r="Q3465" s="208"/>
      <c r="R3465" s="208"/>
      <c r="S3465" s="208"/>
      <c r="T3465" s="208"/>
    </row>
    <row r="3466" spans="1:20" s="206" customFormat="1" ht="15" hidden="1" customHeight="1">
      <c r="A3466" s="468">
        <v>45463</v>
      </c>
      <c r="B3466" s="81" t="s">
        <v>3024</v>
      </c>
      <c r="C3466" s="208" t="s">
        <v>269</v>
      </c>
      <c r="D3466" s="592">
        <v>-21000</v>
      </c>
      <c r="E3466" s="212">
        <v>45444</v>
      </c>
      <c r="F3466" s="208" t="s">
        <v>109</v>
      </c>
      <c r="G3466" s="208" t="s">
        <v>414</v>
      </c>
      <c r="H3466" s="208" t="s">
        <v>138</v>
      </c>
      <c r="I3466" s="208"/>
      <c r="J3466" s="208"/>
      <c r="K3466" s="208"/>
      <c r="L3466" s="208"/>
      <c r="M3466" s="208"/>
      <c r="N3466" s="208"/>
      <c r="O3466" s="208"/>
      <c r="P3466" s="208"/>
      <c r="Q3466" s="208"/>
      <c r="R3466" s="208"/>
      <c r="S3466" s="208"/>
      <c r="T3466" s="208"/>
    </row>
    <row r="3467" spans="1:20" s="206" customFormat="1" ht="15" hidden="1" customHeight="1">
      <c r="A3467" s="468">
        <v>45463</v>
      </c>
      <c r="B3467" s="81" t="s">
        <v>3024</v>
      </c>
      <c r="C3467" s="208" t="s">
        <v>269</v>
      </c>
      <c r="D3467" s="592">
        <v>-7000</v>
      </c>
      <c r="E3467" s="212">
        <v>45444</v>
      </c>
      <c r="F3467" s="201" t="s">
        <v>110</v>
      </c>
      <c r="G3467" s="208" t="s">
        <v>774</v>
      </c>
      <c r="H3467" s="208" t="s">
        <v>138</v>
      </c>
      <c r="I3467" s="208"/>
      <c r="J3467" s="208"/>
      <c r="K3467" s="208"/>
      <c r="L3467" s="208"/>
      <c r="M3467" s="208"/>
      <c r="N3467" s="208"/>
      <c r="O3467" s="208"/>
      <c r="P3467" s="208"/>
      <c r="Q3467" s="208"/>
      <c r="R3467" s="208"/>
      <c r="S3467" s="208"/>
      <c r="T3467" s="208"/>
    </row>
    <row r="3468" spans="1:20" s="206" customFormat="1" ht="15" hidden="1" customHeight="1">
      <c r="A3468" s="468">
        <v>45456</v>
      </c>
      <c r="B3468" s="81" t="s">
        <v>3042</v>
      </c>
      <c r="C3468" s="208" t="s">
        <v>269</v>
      </c>
      <c r="D3468" s="592">
        <v>-34100</v>
      </c>
      <c r="E3468" s="212">
        <v>45444</v>
      </c>
      <c r="F3468" s="208" t="s">
        <v>109</v>
      </c>
      <c r="G3468" s="208" t="s">
        <v>125</v>
      </c>
      <c r="H3468" s="208" t="s">
        <v>175</v>
      </c>
      <c r="I3468" s="208" t="s">
        <v>3043</v>
      </c>
      <c r="J3468" s="208"/>
      <c r="K3468" s="208"/>
      <c r="L3468" s="208"/>
      <c r="M3468" s="208"/>
      <c r="N3468" s="208"/>
      <c r="O3468" s="208"/>
      <c r="P3468" s="208"/>
      <c r="Q3468" s="208"/>
      <c r="R3468" s="208"/>
      <c r="S3468" s="208"/>
      <c r="T3468" s="208"/>
    </row>
    <row r="3469" spans="1:20" s="206" customFormat="1" ht="15" hidden="1" customHeight="1">
      <c r="A3469" s="468">
        <v>45456</v>
      </c>
      <c r="B3469" s="81" t="s">
        <v>3044</v>
      </c>
      <c r="C3469" s="208" t="s">
        <v>269</v>
      </c>
      <c r="D3469" s="592">
        <v>-25000</v>
      </c>
      <c r="E3469" s="212">
        <v>45444</v>
      </c>
      <c r="F3469" s="208" t="s">
        <v>109</v>
      </c>
      <c r="G3469" s="208" t="s">
        <v>120</v>
      </c>
      <c r="H3469" s="208" t="s">
        <v>175</v>
      </c>
      <c r="I3469" s="208" t="s">
        <v>3043</v>
      </c>
      <c r="J3469" s="208"/>
      <c r="K3469" s="208"/>
      <c r="L3469" s="208"/>
      <c r="M3469" s="208"/>
      <c r="N3469" s="208"/>
      <c r="O3469" s="208"/>
      <c r="P3469" s="208"/>
      <c r="Q3469" s="208"/>
      <c r="R3469" s="208"/>
      <c r="S3469" s="208"/>
      <c r="T3469" s="208"/>
    </row>
    <row r="3470" spans="1:20" s="206" customFormat="1" ht="15" hidden="1" customHeight="1">
      <c r="A3470" s="468">
        <v>45456</v>
      </c>
      <c r="B3470" s="81" t="s">
        <v>3045</v>
      </c>
      <c r="C3470" s="208" t="s">
        <v>269</v>
      </c>
      <c r="D3470" s="592">
        <v>-35000</v>
      </c>
      <c r="E3470" s="212">
        <v>45444</v>
      </c>
      <c r="F3470" s="208" t="s">
        <v>109</v>
      </c>
      <c r="G3470" s="208" t="s">
        <v>120</v>
      </c>
      <c r="H3470" s="208" t="s">
        <v>175</v>
      </c>
      <c r="I3470" s="208" t="s">
        <v>3043</v>
      </c>
      <c r="J3470" s="208"/>
      <c r="K3470" s="208"/>
      <c r="L3470" s="208"/>
      <c r="M3470" s="208"/>
      <c r="N3470" s="208"/>
      <c r="O3470" s="208"/>
      <c r="P3470" s="208"/>
      <c r="Q3470" s="208"/>
      <c r="R3470" s="208"/>
      <c r="S3470" s="208"/>
      <c r="T3470" s="208"/>
    </row>
    <row r="3471" spans="1:20" s="206" customFormat="1" ht="15" hidden="1" customHeight="1">
      <c r="A3471" s="468">
        <v>45456</v>
      </c>
      <c r="B3471" s="81" t="s">
        <v>3046</v>
      </c>
      <c r="C3471" s="208" t="s">
        <v>269</v>
      </c>
      <c r="D3471" s="592">
        <v>-28500</v>
      </c>
      <c r="E3471" s="212">
        <v>45444</v>
      </c>
      <c r="F3471" s="208" t="s">
        <v>109</v>
      </c>
      <c r="G3471" s="208" t="s">
        <v>125</v>
      </c>
      <c r="H3471" s="208" t="s">
        <v>175</v>
      </c>
      <c r="I3471" s="208" t="s">
        <v>3043</v>
      </c>
      <c r="J3471" s="208"/>
      <c r="K3471" s="208"/>
      <c r="L3471" s="208"/>
      <c r="M3471" s="208"/>
      <c r="N3471" s="208"/>
      <c r="O3471" s="208"/>
      <c r="P3471" s="208"/>
      <c r="Q3471" s="208"/>
      <c r="R3471" s="208"/>
      <c r="S3471" s="208"/>
      <c r="T3471" s="208"/>
    </row>
    <row r="3472" spans="1:20" s="206" customFormat="1" ht="15" hidden="1" customHeight="1">
      <c r="A3472" s="468">
        <v>45456</v>
      </c>
      <c r="B3472" s="81" t="s">
        <v>3047</v>
      </c>
      <c r="C3472" s="208" t="s">
        <v>269</v>
      </c>
      <c r="D3472" s="592">
        <v>-42500</v>
      </c>
      <c r="E3472" s="212">
        <v>45444</v>
      </c>
      <c r="F3472" s="208" t="s">
        <v>109</v>
      </c>
      <c r="G3472" s="201" t="s">
        <v>1261</v>
      </c>
      <c r="H3472" s="208" t="s">
        <v>175</v>
      </c>
      <c r="I3472" s="208" t="s">
        <v>3043</v>
      </c>
      <c r="J3472" s="208"/>
      <c r="K3472" s="208"/>
      <c r="L3472" s="208"/>
      <c r="M3472" s="208"/>
      <c r="N3472" s="208"/>
      <c r="O3472" s="208"/>
      <c r="P3472" s="208"/>
      <c r="Q3472" s="208"/>
      <c r="R3472" s="208"/>
      <c r="S3472" s="208"/>
      <c r="T3472" s="208"/>
    </row>
    <row r="3473" spans="1:20" s="206" customFormat="1" ht="15" hidden="1" customHeight="1">
      <c r="A3473" s="468">
        <v>45456</v>
      </c>
      <c r="B3473" s="81" t="s">
        <v>3048</v>
      </c>
      <c r="C3473" s="208" t="s">
        <v>269</v>
      </c>
      <c r="D3473" s="592">
        <v>-60000</v>
      </c>
      <c r="E3473" s="212">
        <v>45444</v>
      </c>
      <c r="F3473" s="208" t="s">
        <v>109</v>
      </c>
      <c r="G3473" s="208" t="s">
        <v>125</v>
      </c>
      <c r="H3473" s="208" t="s">
        <v>175</v>
      </c>
      <c r="I3473" s="208" t="s">
        <v>3043</v>
      </c>
      <c r="J3473" s="208"/>
      <c r="K3473" s="208"/>
      <c r="L3473" s="208"/>
      <c r="M3473" s="208"/>
      <c r="N3473" s="208"/>
      <c r="O3473" s="208"/>
      <c r="P3473" s="208"/>
      <c r="Q3473" s="208"/>
      <c r="R3473" s="208"/>
      <c r="S3473" s="208"/>
      <c r="T3473" s="208"/>
    </row>
    <row r="3474" spans="1:20" s="206" customFormat="1" ht="15" hidden="1" customHeight="1">
      <c r="A3474" s="468">
        <v>45457</v>
      </c>
      <c r="B3474" s="81" t="s">
        <v>3049</v>
      </c>
      <c r="C3474" s="208" t="s">
        <v>269</v>
      </c>
      <c r="D3474" s="592">
        <v>-60000</v>
      </c>
      <c r="E3474" s="212">
        <v>45444</v>
      </c>
      <c r="F3474" s="208" t="s">
        <v>110</v>
      </c>
      <c r="G3474" s="201" t="s">
        <v>1489</v>
      </c>
      <c r="H3474" s="208" t="s">
        <v>2941</v>
      </c>
      <c r="I3474" s="208" t="s">
        <v>3043</v>
      </c>
      <c r="J3474" s="208"/>
      <c r="K3474" s="208"/>
      <c r="L3474" s="208"/>
      <c r="M3474" s="208"/>
      <c r="N3474" s="208"/>
      <c r="O3474" s="208"/>
      <c r="P3474" s="208"/>
      <c r="Q3474" s="208"/>
      <c r="R3474" s="208"/>
      <c r="S3474" s="208"/>
      <c r="T3474" s="208"/>
    </row>
    <row r="3475" spans="1:20" s="206" customFormat="1" ht="15" hidden="1" customHeight="1">
      <c r="A3475" s="468">
        <v>45457</v>
      </c>
      <c r="B3475" s="81" t="s">
        <v>3050</v>
      </c>
      <c r="C3475" s="208" t="s">
        <v>269</v>
      </c>
      <c r="D3475" s="592">
        <v>-48000</v>
      </c>
      <c r="E3475" s="212">
        <v>45444</v>
      </c>
      <c r="F3475" s="201" t="s">
        <v>110</v>
      </c>
      <c r="G3475" s="208" t="s">
        <v>774</v>
      </c>
      <c r="H3475" s="208" t="s">
        <v>175</v>
      </c>
      <c r="I3475" s="208" t="s">
        <v>3043</v>
      </c>
      <c r="J3475" s="208"/>
      <c r="K3475" s="208"/>
      <c r="L3475" s="208"/>
      <c r="M3475" s="208"/>
      <c r="N3475" s="208"/>
      <c r="O3475" s="208"/>
      <c r="P3475" s="208"/>
      <c r="Q3475" s="208"/>
      <c r="R3475" s="208"/>
      <c r="S3475" s="208"/>
      <c r="T3475" s="208"/>
    </row>
    <row r="3476" spans="1:20" s="458" customFormat="1" ht="15" hidden="1" customHeight="1">
      <c r="A3476" s="468">
        <v>45457</v>
      </c>
      <c r="B3476" s="81" t="s">
        <v>3051</v>
      </c>
      <c r="C3476" s="208" t="s">
        <v>269</v>
      </c>
      <c r="D3476" s="592">
        <v>-6500</v>
      </c>
      <c r="E3476" s="212">
        <v>45444</v>
      </c>
      <c r="F3476" s="638" t="s">
        <v>109</v>
      </c>
      <c r="G3476" s="208" t="s">
        <v>120</v>
      </c>
      <c r="H3476" s="208" t="s">
        <v>175</v>
      </c>
      <c r="I3476" s="208" t="s">
        <v>3043</v>
      </c>
      <c r="J3476" s="638"/>
      <c r="K3476" s="638"/>
      <c r="L3476" s="638"/>
      <c r="M3476" s="638"/>
      <c r="N3476" s="638"/>
      <c r="O3476" s="638"/>
      <c r="P3476" s="638"/>
      <c r="Q3476" s="638"/>
      <c r="R3476" s="638"/>
      <c r="S3476" s="638"/>
      <c r="T3476" s="638"/>
    </row>
    <row r="3477" spans="1:20" s="206" customFormat="1" ht="15" hidden="1" customHeight="1">
      <c r="A3477" s="468">
        <v>45457</v>
      </c>
      <c r="B3477" s="81" t="s">
        <v>3052</v>
      </c>
      <c r="C3477" s="208" t="s">
        <v>269</v>
      </c>
      <c r="D3477" s="592">
        <v>-76000</v>
      </c>
      <c r="E3477" s="212">
        <v>45444</v>
      </c>
      <c r="F3477" s="201" t="s">
        <v>110</v>
      </c>
      <c r="G3477" s="208" t="s">
        <v>774</v>
      </c>
      <c r="H3477" s="208" t="s">
        <v>175</v>
      </c>
      <c r="I3477" s="208" t="s">
        <v>3043</v>
      </c>
      <c r="J3477" s="208"/>
      <c r="K3477" s="208"/>
      <c r="L3477" s="208"/>
      <c r="M3477" s="208"/>
      <c r="N3477" s="208"/>
      <c r="O3477" s="208"/>
      <c r="P3477" s="208"/>
      <c r="Q3477" s="208"/>
      <c r="R3477" s="208"/>
      <c r="S3477" s="208"/>
      <c r="T3477" s="208"/>
    </row>
    <row r="3478" spans="1:20" s="206" customFormat="1" ht="15" hidden="1" customHeight="1">
      <c r="A3478" s="468">
        <v>45457</v>
      </c>
      <c r="B3478" s="81" t="s">
        <v>3053</v>
      </c>
      <c r="C3478" s="208" t="s">
        <v>269</v>
      </c>
      <c r="D3478" s="592">
        <v>-141266</v>
      </c>
      <c r="E3478" s="212">
        <v>45444</v>
      </c>
      <c r="F3478" s="208" t="s">
        <v>109</v>
      </c>
      <c r="G3478" s="201" t="s">
        <v>1261</v>
      </c>
      <c r="H3478" s="208" t="s">
        <v>175</v>
      </c>
      <c r="I3478" s="208"/>
      <c r="J3478" s="208"/>
      <c r="K3478" s="208"/>
      <c r="L3478" s="208"/>
      <c r="M3478" s="208"/>
      <c r="N3478" s="208"/>
      <c r="O3478" s="208"/>
      <c r="P3478" s="208"/>
      <c r="Q3478" s="208"/>
      <c r="R3478" s="208"/>
      <c r="S3478" s="208"/>
      <c r="T3478" s="208"/>
    </row>
    <row r="3479" spans="1:20" s="206" customFormat="1" ht="15" hidden="1" customHeight="1">
      <c r="A3479" s="468">
        <v>45457</v>
      </c>
      <c r="B3479" s="81" t="s">
        <v>3054</v>
      </c>
      <c r="C3479" s="208" t="s">
        <v>269</v>
      </c>
      <c r="D3479" s="592">
        <v>-65400</v>
      </c>
      <c r="E3479" s="212">
        <v>45444</v>
      </c>
      <c r="F3479" s="208" t="s">
        <v>207</v>
      </c>
      <c r="G3479" s="223"/>
      <c r="H3479" s="208"/>
      <c r="I3479" s="208" t="s">
        <v>3043</v>
      </c>
      <c r="J3479" s="208"/>
      <c r="K3479" s="208"/>
      <c r="L3479" s="208"/>
      <c r="M3479" s="208"/>
      <c r="N3479" s="208"/>
      <c r="O3479" s="208"/>
      <c r="P3479" s="208"/>
      <c r="Q3479" s="208"/>
      <c r="R3479" s="208"/>
      <c r="S3479" s="208"/>
      <c r="T3479" s="208"/>
    </row>
    <row r="3480" spans="1:20" s="206" customFormat="1" ht="15" hidden="1" customHeight="1">
      <c r="A3480" s="468">
        <v>45457</v>
      </c>
      <c r="B3480" s="81" t="s">
        <v>3055</v>
      </c>
      <c r="C3480" s="208" t="s">
        <v>269</v>
      </c>
      <c r="D3480" s="592">
        <v>-50700</v>
      </c>
      <c r="E3480" s="212">
        <v>45444</v>
      </c>
      <c r="F3480" s="201" t="s">
        <v>110</v>
      </c>
      <c r="G3480" s="208" t="s">
        <v>774</v>
      </c>
      <c r="H3480" s="208" t="s">
        <v>175</v>
      </c>
      <c r="I3480" s="208" t="s">
        <v>3043</v>
      </c>
      <c r="J3480" s="208"/>
      <c r="K3480" s="208"/>
      <c r="L3480" s="208"/>
      <c r="M3480" s="208"/>
      <c r="N3480" s="208"/>
      <c r="O3480" s="208"/>
      <c r="P3480" s="208"/>
      <c r="Q3480" s="208"/>
      <c r="R3480" s="208"/>
      <c r="S3480" s="208"/>
      <c r="T3480" s="208"/>
    </row>
    <row r="3481" spans="1:20" s="206" customFormat="1" ht="15" hidden="1" customHeight="1">
      <c r="A3481" s="468">
        <v>45457</v>
      </c>
      <c r="B3481" s="81" t="s">
        <v>3056</v>
      </c>
      <c r="C3481" s="208" t="s">
        <v>269</v>
      </c>
      <c r="D3481" s="592">
        <v>-31600</v>
      </c>
      <c r="E3481" s="212">
        <v>45444</v>
      </c>
      <c r="F3481" s="201" t="s">
        <v>110</v>
      </c>
      <c r="G3481" s="208" t="s">
        <v>774</v>
      </c>
      <c r="H3481" s="208" t="s">
        <v>175</v>
      </c>
      <c r="I3481" s="208" t="s">
        <v>3043</v>
      </c>
      <c r="J3481" s="208"/>
      <c r="K3481" s="208"/>
      <c r="L3481" s="208"/>
      <c r="M3481" s="208"/>
      <c r="N3481" s="208"/>
      <c r="O3481" s="208"/>
      <c r="P3481" s="208"/>
      <c r="Q3481" s="208"/>
      <c r="R3481" s="208"/>
      <c r="S3481" s="208"/>
      <c r="T3481" s="208"/>
    </row>
    <row r="3482" spans="1:20" s="206" customFormat="1" ht="15" hidden="1" customHeight="1">
      <c r="A3482" s="468">
        <v>45457</v>
      </c>
      <c r="B3482" s="81" t="s">
        <v>3057</v>
      </c>
      <c r="C3482" s="208" t="s">
        <v>269</v>
      </c>
      <c r="D3482" s="592">
        <v>-40000</v>
      </c>
      <c r="E3482" s="212">
        <v>45444</v>
      </c>
      <c r="F3482" s="208" t="s">
        <v>109</v>
      </c>
      <c r="G3482" s="208" t="s">
        <v>120</v>
      </c>
      <c r="H3482" s="208" t="s">
        <v>175</v>
      </c>
      <c r="I3482" s="208" t="s">
        <v>3043</v>
      </c>
      <c r="J3482" s="208"/>
      <c r="K3482" s="208"/>
      <c r="L3482" s="208"/>
      <c r="M3482" s="208"/>
      <c r="N3482" s="208"/>
      <c r="O3482" s="208"/>
      <c r="P3482" s="208"/>
      <c r="Q3482" s="208"/>
      <c r="R3482" s="208"/>
      <c r="S3482" s="208"/>
      <c r="T3482" s="208"/>
    </row>
    <row r="3483" spans="1:20" s="206" customFormat="1" ht="15" hidden="1" customHeight="1">
      <c r="A3483" s="468">
        <v>45460</v>
      </c>
      <c r="B3483" s="81" t="s">
        <v>3058</v>
      </c>
      <c r="C3483" s="208" t="s">
        <v>181</v>
      </c>
      <c r="D3483" s="592">
        <v>-380644</v>
      </c>
      <c r="E3483" s="212">
        <v>45444</v>
      </c>
      <c r="F3483" s="208" t="s">
        <v>110</v>
      </c>
      <c r="G3483" s="201" t="s">
        <v>1489</v>
      </c>
      <c r="H3483" s="208" t="s">
        <v>1463</v>
      </c>
      <c r="I3483" s="208"/>
      <c r="J3483" s="208"/>
      <c r="K3483" s="208"/>
      <c r="L3483" s="208"/>
      <c r="M3483" s="208"/>
      <c r="N3483" s="208"/>
      <c r="O3483" s="208"/>
      <c r="P3483" s="208"/>
      <c r="Q3483" s="208"/>
      <c r="R3483" s="208"/>
      <c r="S3483" s="208"/>
      <c r="T3483" s="208"/>
    </row>
    <row r="3484" spans="1:20" s="206" customFormat="1" ht="15" hidden="1" customHeight="1">
      <c r="A3484" s="468">
        <v>45429</v>
      </c>
      <c r="B3484" s="81" t="s">
        <v>2980</v>
      </c>
      <c r="C3484" s="208" t="s">
        <v>181</v>
      </c>
      <c r="D3484" s="592">
        <v>-336890</v>
      </c>
      <c r="E3484" s="212">
        <v>45444</v>
      </c>
      <c r="F3484" s="208" t="s">
        <v>109</v>
      </c>
      <c r="G3484" s="208" t="s">
        <v>120</v>
      </c>
      <c r="H3484" s="208"/>
      <c r="I3484" s="208"/>
      <c r="J3484" s="208"/>
      <c r="K3484" s="208"/>
      <c r="L3484" s="208"/>
      <c r="M3484" s="208"/>
      <c r="N3484" s="208"/>
      <c r="O3484" s="208"/>
      <c r="P3484" s="208"/>
      <c r="Q3484" s="208"/>
      <c r="R3484" s="208"/>
      <c r="S3484" s="208"/>
      <c r="T3484" s="208"/>
    </row>
    <row r="3485" spans="1:20" s="206" customFormat="1" ht="15" hidden="1" customHeight="1">
      <c r="A3485" s="468">
        <v>45460</v>
      </c>
      <c r="B3485" s="81" t="s">
        <v>3059</v>
      </c>
      <c r="C3485" s="208" t="s">
        <v>181</v>
      </c>
      <c r="D3485" s="592">
        <v>-400000</v>
      </c>
      <c r="E3485" s="212">
        <v>45444</v>
      </c>
      <c r="F3485" s="208" t="s">
        <v>109</v>
      </c>
      <c r="G3485" s="201" t="s">
        <v>1306</v>
      </c>
      <c r="H3485" s="208" t="s">
        <v>175</v>
      </c>
      <c r="I3485" s="208"/>
      <c r="J3485" s="208"/>
      <c r="K3485" s="208"/>
      <c r="L3485" s="208"/>
      <c r="M3485" s="208"/>
      <c r="N3485" s="208"/>
      <c r="O3485" s="208"/>
      <c r="P3485" s="208"/>
      <c r="Q3485" s="208"/>
      <c r="R3485" s="208"/>
      <c r="S3485" s="208"/>
      <c r="T3485" s="208"/>
    </row>
    <row r="3486" spans="1:20" s="206" customFormat="1" ht="15" hidden="1" customHeight="1">
      <c r="A3486" s="468">
        <v>45460</v>
      </c>
      <c r="B3486" s="81" t="s">
        <v>3060</v>
      </c>
      <c r="C3486" s="208" t="s">
        <v>181</v>
      </c>
      <c r="D3486" s="592">
        <v>-689844</v>
      </c>
      <c r="E3486" s="212">
        <v>45444</v>
      </c>
      <c r="F3486" s="208" t="s">
        <v>109</v>
      </c>
      <c r="G3486" s="208" t="s">
        <v>120</v>
      </c>
      <c r="H3486" s="208"/>
      <c r="I3486" s="208"/>
      <c r="J3486" s="208"/>
      <c r="K3486" s="208"/>
      <c r="L3486" s="208"/>
      <c r="M3486" s="208"/>
      <c r="N3486" s="208"/>
      <c r="O3486" s="208"/>
      <c r="P3486" s="208"/>
      <c r="Q3486" s="208"/>
      <c r="R3486" s="208"/>
      <c r="S3486" s="208"/>
      <c r="T3486" s="208"/>
    </row>
    <row r="3487" spans="1:20" s="206" customFormat="1" ht="15" hidden="1" customHeight="1">
      <c r="A3487" s="468">
        <v>45460</v>
      </c>
      <c r="B3487" s="81" t="s">
        <v>2601</v>
      </c>
      <c r="C3487" s="208" t="s">
        <v>181</v>
      </c>
      <c r="D3487" s="592">
        <v>-429000</v>
      </c>
      <c r="E3487" s="212">
        <v>45444</v>
      </c>
      <c r="F3487" s="208" t="s">
        <v>109</v>
      </c>
      <c r="G3487" s="208" t="s">
        <v>120</v>
      </c>
      <c r="H3487" s="208"/>
      <c r="I3487" s="208"/>
      <c r="J3487" s="208"/>
      <c r="K3487" s="208"/>
      <c r="L3487" s="208"/>
      <c r="M3487" s="208"/>
      <c r="N3487" s="208"/>
      <c r="O3487" s="208"/>
      <c r="P3487" s="208"/>
      <c r="Q3487" s="208"/>
      <c r="R3487" s="208"/>
      <c r="S3487" s="208"/>
      <c r="T3487" s="208"/>
    </row>
    <row r="3488" spans="1:20" s="206" customFormat="1" ht="15" hidden="1" customHeight="1">
      <c r="A3488" s="468">
        <v>45460</v>
      </c>
      <c r="B3488" s="81" t="s">
        <v>3061</v>
      </c>
      <c r="C3488" s="208" t="s">
        <v>181</v>
      </c>
      <c r="D3488" s="592">
        <v>-173000</v>
      </c>
      <c r="E3488" s="212">
        <v>45444</v>
      </c>
      <c r="F3488" s="208" t="s">
        <v>207</v>
      </c>
      <c r="G3488" s="223" t="s">
        <v>2963</v>
      </c>
      <c r="H3488" s="208"/>
      <c r="I3488" s="208"/>
      <c r="J3488" s="208"/>
      <c r="K3488" s="208"/>
      <c r="L3488" s="208"/>
      <c r="M3488" s="208"/>
      <c r="N3488" s="208"/>
      <c r="O3488" s="208"/>
      <c r="P3488" s="208"/>
      <c r="Q3488" s="208"/>
      <c r="R3488" s="208"/>
      <c r="S3488" s="208"/>
      <c r="T3488" s="208"/>
    </row>
    <row r="3489" spans="1:20" s="206" customFormat="1" ht="15" hidden="1" customHeight="1">
      <c r="A3489" s="468">
        <v>45460</v>
      </c>
      <c r="B3489" s="81" t="s">
        <v>3062</v>
      </c>
      <c r="C3489" s="208" t="s">
        <v>181</v>
      </c>
      <c r="D3489" s="592">
        <v>-525000</v>
      </c>
      <c r="E3489" s="212">
        <v>45444</v>
      </c>
      <c r="F3489" s="208" t="s">
        <v>130</v>
      </c>
      <c r="G3489" s="223" t="s">
        <v>130</v>
      </c>
      <c r="H3489" s="208" t="s">
        <v>1156</v>
      </c>
      <c r="I3489" s="208"/>
      <c r="J3489" s="208"/>
      <c r="K3489" s="208"/>
      <c r="L3489" s="208"/>
      <c r="M3489" s="208"/>
      <c r="N3489" s="208"/>
      <c r="O3489" s="208"/>
      <c r="P3489" s="208"/>
      <c r="Q3489" s="208"/>
      <c r="R3489" s="208"/>
      <c r="S3489" s="208"/>
      <c r="T3489" s="208"/>
    </row>
    <row r="3490" spans="1:20" s="206" customFormat="1" ht="15" hidden="1" customHeight="1">
      <c r="A3490" s="468">
        <v>45460</v>
      </c>
      <c r="B3490" s="81" t="s">
        <v>3063</v>
      </c>
      <c r="C3490" s="208" t="s">
        <v>181</v>
      </c>
      <c r="D3490" s="592">
        <v>-779000</v>
      </c>
      <c r="E3490" s="212">
        <v>45444</v>
      </c>
      <c r="F3490" s="208" t="s">
        <v>130</v>
      </c>
      <c r="G3490" s="223" t="s">
        <v>130</v>
      </c>
      <c r="H3490" s="208" t="s">
        <v>1156</v>
      </c>
      <c r="I3490" s="208"/>
      <c r="J3490" s="208"/>
      <c r="K3490" s="208"/>
      <c r="L3490" s="208"/>
      <c r="M3490" s="208"/>
      <c r="N3490" s="208"/>
      <c r="O3490" s="208"/>
      <c r="P3490" s="208"/>
      <c r="Q3490" s="208"/>
      <c r="R3490" s="208"/>
      <c r="S3490" s="208"/>
      <c r="T3490" s="208"/>
    </row>
    <row r="3491" spans="1:20" s="206" customFormat="1" ht="15" hidden="1" customHeight="1">
      <c r="A3491" s="468">
        <v>45450</v>
      </c>
      <c r="B3491" s="208" t="s">
        <v>2828</v>
      </c>
      <c r="C3491" s="208" t="s">
        <v>27</v>
      </c>
      <c r="D3491" s="592">
        <v>-3710250</v>
      </c>
      <c r="E3491" s="212">
        <v>45444</v>
      </c>
      <c r="F3491" s="208" t="s">
        <v>118</v>
      </c>
      <c r="G3491" s="223"/>
      <c r="H3491" s="208"/>
      <c r="I3491" s="208"/>
      <c r="J3491" s="208"/>
      <c r="K3491" s="208"/>
      <c r="L3491" s="208"/>
      <c r="M3491" s="208"/>
      <c r="N3491" s="208"/>
      <c r="O3491" s="208"/>
      <c r="P3491" s="208"/>
      <c r="Q3491" s="208"/>
      <c r="R3491" s="208"/>
      <c r="S3491" s="208"/>
      <c r="T3491" s="208"/>
    </row>
    <row r="3492" spans="1:20" s="206" customFormat="1" ht="15" hidden="1" customHeight="1">
      <c r="A3492" s="468">
        <v>45460</v>
      </c>
      <c r="B3492" s="81" t="s">
        <v>1944</v>
      </c>
      <c r="C3492" s="208" t="s">
        <v>181</v>
      </c>
      <c r="D3492" s="592">
        <f>-4166533-D3493</f>
        <v>-1563394.1800000002</v>
      </c>
      <c r="E3492" s="212">
        <v>45444</v>
      </c>
      <c r="F3492" s="84" t="s">
        <v>111</v>
      </c>
      <c r="G3492" s="223"/>
      <c r="H3492" s="208"/>
      <c r="I3492" s="208"/>
      <c r="J3492" s="208"/>
      <c r="K3492" s="208"/>
      <c r="L3492" s="208"/>
      <c r="M3492" s="208"/>
      <c r="N3492" s="208"/>
      <c r="O3492" s="208"/>
      <c r="P3492" s="208"/>
      <c r="Q3492" s="208"/>
      <c r="R3492" s="208"/>
      <c r="S3492" s="208"/>
      <c r="T3492" s="208"/>
    </row>
    <row r="3493" spans="1:20" s="206" customFormat="1" ht="15" hidden="1" customHeight="1">
      <c r="A3493" s="468">
        <v>45460</v>
      </c>
      <c r="B3493" s="81" t="s">
        <v>1944</v>
      </c>
      <c r="C3493" s="208" t="s">
        <v>181</v>
      </c>
      <c r="D3493" s="592">
        <v>-2603138.8199999998</v>
      </c>
      <c r="E3493" s="212">
        <v>45444</v>
      </c>
      <c r="F3493" s="208" t="s">
        <v>118</v>
      </c>
      <c r="G3493" s="223"/>
      <c r="H3493" s="208"/>
      <c r="I3493" s="208"/>
      <c r="J3493" s="208"/>
      <c r="K3493" s="208"/>
      <c r="L3493" s="208"/>
      <c r="M3493" s="208"/>
      <c r="N3493" s="208"/>
      <c r="O3493" s="208"/>
      <c r="P3493" s="208"/>
      <c r="Q3493" s="208"/>
      <c r="R3493" s="208"/>
      <c r="S3493" s="208"/>
      <c r="T3493" s="208"/>
    </row>
    <row r="3494" spans="1:20" s="206" customFormat="1" ht="15" hidden="1" customHeight="1">
      <c r="A3494" s="468">
        <v>45460</v>
      </c>
      <c r="B3494" s="81" t="s">
        <v>3064</v>
      </c>
      <c r="C3494" s="208" t="s">
        <v>181</v>
      </c>
      <c r="D3494" s="592">
        <v>-1045079.43</v>
      </c>
      <c r="E3494" s="212">
        <v>45444</v>
      </c>
      <c r="F3494" s="208" t="s">
        <v>118</v>
      </c>
      <c r="G3494" s="223"/>
      <c r="H3494" s="208"/>
      <c r="I3494" s="208"/>
      <c r="J3494" s="208"/>
      <c r="K3494" s="208"/>
      <c r="L3494" s="208"/>
      <c r="M3494" s="208"/>
      <c r="N3494" s="208"/>
      <c r="O3494" s="208"/>
      <c r="P3494" s="208"/>
      <c r="Q3494" s="208"/>
      <c r="R3494" s="208"/>
      <c r="S3494" s="208"/>
      <c r="T3494" s="208"/>
    </row>
    <row r="3495" spans="1:20" s="206" customFormat="1" ht="15" hidden="1" customHeight="1">
      <c r="A3495" s="468">
        <v>45460</v>
      </c>
      <c r="B3495" s="81" t="s">
        <v>3064</v>
      </c>
      <c r="C3495" s="208" t="s">
        <v>181</v>
      </c>
      <c r="D3495" s="592">
        <f>-3954028.43-D3494</f>
        <v>-2908949</v>
      </c>
      <c r="E3495" s="212">
        <v>45444</v>
      </c>
      <c r="F3495" s="84" t="s">
        <v>111</v>
      </c>
      <c r="G3495" s="223"/>
      <c r="H3495" s="208"/>
      <c r="I3495" s="208"/>
      <c r="J3495" s="208"/>
      <c r="K3495" s="208"/>
      <c r="L3495" s="208"/>
      <c r="M3495" s="208"/>
      <c r="N3495" s="208"/>
      <c r="O3495" s="208"/>
      <c r="P3495" s="208"/>
      <c r="Q3495" s="208"/>
      <c r="R3495" s="208"/>
      <c r="S3495" s="208"/>
      <c r="T3495" s="208"/>
    </row>
    <row r="3496" spans="1:20" s="206" customFormat="1" ht="15" hidden="1" customHeight="1">
      <c r="A3496" s="468">
        <v>45460</v>
      </c>
      <c r="B3496" s="81" t="s">
        <v>2591</v>
      </c>
      <c r="C3496" s="208" t="s">
        <v>181</v>
      </c>
      <c r="D3496" s="592">
        <v>-2242500</v>
      </c>
      <c r="E3496" s="212">
        <v>45444</v>
      </c>
      <c r="F3496" s="208" t="s">
        <v>130</v>
      </c>
      <c r="G3496" s="223" t="s">
        <v>130</v>
      </c>
      <c r="H3496" s="208" t="s">
        <v>1038</v>
      </c>
      <c r="I3496" s="208"/>
      <c r="J3496" s="208"/>
      <c r="K3496" s="208"/>
      <c r="L3496" s="208"/>
      <c r="M3496" s="208"/>
      <c r="N3496" s="208"/>
      <c r="O3496" s="208"/>
      <c r="P3496" s="208"/>
      <c r="Q3496" s="208"/>
      <c r="R3496" s="208"/>
      <c r="S3496" s="208"/>
      <c r="T3496" s="208"/>
    </row>
    <row r="3497" spans="1:20" s="206" customFormat="1" ht="15" hidden="1" customHeight="1">
      <c r="A3497" s="468">
        <v>45460</v>
      </c>
      <c r="B3497" s="81" t="s">
        <v>3065</v>
      </c>
      <c r="C3497" s="208" t="s">
        <v>181</v>
      </c>
      <c r="D3497" s="592">
        <v>-15046360</v>
      </c>
      <c r="E3497" s="212">
        <v>45444</v>
      </c>
      <c r="F3497" s="208" t="s">
        <v>109</v>
      </c>
      <c r="G3497" s="208" t="s">
        <v>120</v>
      </c>
      <c r="H3497" s="208"/>
      <c r="I3497" s="208"/>
      <c r="J3497" s="208"/>
      <c r="K3497" s="208"/>
      <c r="L3497" s="208"/>
      <c r="M3497" s="208"/>
      <c r="N3497" s="208"/>
      <c r="O3497" s="208"/>
      <c r="P3497" s="208"/>
      <c r="Q3497" s="208"/>
      <c r="R3497" s="208"/>
      <c r="S3497" s="208"/>
      <c r="T3497" s="208"/>
    </row>
    <row r="3498" spans="1:20" s="206" customFormat="1" ht="15" hidden="1" customHeight="1">
      <c r="A3498" s="468">
        <v>45460</v>
      </c>
      <c r="B3498" s="81" t="s">
        <v>3066</v>
      </c>
      <c r="C3498" s="208" t="s">
        <v>181</v>
      </c>
      <c r="D3498" s="592">
        <v>-1065000</v>
      </c>
      <c r="E3498" s="212">
        <v>45444</v>
      </c>
      <c r="F3498" s="208" t="s">
        <v>109</v>
      </c>
      <c r="G3498" s="208" t="s">
        <v>120</v>
      </c>
      <c r="H3498" s="208"/>
      <c r="I3498" s="208"/>
      <c r="J3498" s="208"/>
      <c r="K3498" s="208"/>
      <c r="L3498" s="208"/>
      <c r="M3498" s="208"/>
      <c r="N3498" s="208"/>
      <c r="O3498" s="208"/>
      <c r="P3498" s="208"/>
      <c r="Q3498" s="208"/>
      <c r="R3498" s="208"/>
      <c r="S3498" s="208"/>
      <c r="T3498" s="208"/>
    </row>
    <row r="3499" spans="1:20" s="206" customFormat="1" ht="15" hidden="1" customHeight="1">
      <c r="A3499" s="468">
        <v>45460</v>
      </c>
      <c r="B3499" s="81" t="s">
        <v>3067</v>
      </c>
      <c r="C3499" s="208" t="s">
        <v>181</v>
      </c>
      <c r="D3499" s="592">
        <v>-980000</v>
      </c>
      <c r="E3499" s="212">
        <v>45444</v>
      </c>
      <c r="F3499" s="208" t="s">
        <v>109</v>
      </c>
      <c r="G3499" s="208" t="s">
        <v>120</v>
      </c>
      <c r="H3499" s="208"/>
      <c r="I3499" s="208"/>
      <c r="J3499" s="208"/>
      <c r="K3499" s="208"/>
      <c r="L3499" s="208"/>
      <c r="M3499" s="208"/>
      <c r="N3499" s="208"/>
      <c r="O3499" s="208"/>
      <c r="P3499" s="208"/>
      <c r="Q3499" s="208"/>
      <c r="R3499" s="208"/>
      <c r="S3499" s="208"/>
      <c r="T3499" s="208"/>
    </row>
    <row r="3500" spans="1:20" s="206" customFormat="1" ht="15" hidden="1" customHeight="1">
      <c r="A3500" s="468">
        <v>45461</v>
      </c>
      <c r="B3500" s="81" t="s">
        <v>2284</v>
      </c>
      <c r="C3500" s="208" t="s">
        <v>181</v>
      </c>
      <c r="D3500" s="592">
        <v>-63800</v>
      </c>
      <c r="E3500" s="212">
        <v>45444</v>
      </c>
      <c r="F3500" s="208" t="s">
        <v>130</v>
      </c>
      <c r="G3500" s="223" t="s">
        <v>130</v>
      </c>
      <c r="H3500" s="208" t="s">
        <v>1242</v>
      </c>
      <c r="I3500" s="208"/>
      <c r="J3500" s="208"/>
      <c r="K3500" s="208"/>
      <c r="L3500" s="208"/>
      <c r="M3500" s="208"/>
      <c r="N3500" s="208"/>
      <c r="O3500" s="208"/>
      <c r="P3500" s="208"/>
      <c r="Q3500" s="208"/>
      <c r="R3500" s="208"/>
      <c r="S3500" s="208"/>
      <c r="T3500" s="208"/>
    </row>
    <row r="3501" spans="1:20" s="206" customFormat="1" ht="15" hidden="1" customHeight="1">
      <c r="A3501" s="468">
        <v>45461</v>
      </c>
      <c r="B3501" s="84" t="s">
        <v>3068</v>
      </c>
      <c r="C3501" s="208" t="s">
        <v>181</v>
      </c>
      <c r="D3501" s="592">
        <v>-12797275</v>
      </c>
      <c r="E3501" s="212">
        <v>45444</v>
      </c>
      <c r="F3501" s="208" t="s">
        <v>109</v>
      </c>
      <c r="G3501" s="208" t="s">
        <v>125</v>
      </c>
      <c r="H3501" s="208" t="s">
        <v>418</v>
      </c>
      <c r="I3501" s="208"/>
      <c r="J3501" s="208"/>
      <c r="K3501" s="208"/>
      <c r="L3501" s="208"/>
      <c r="M3501" s="208"/>
      <c r="N3501" s="208"/>
      <c r="O3501" s="208"/>
      <c r="P3501" s="208"/>
      <c r="Q3501" s="208"/>
      <c r="R3501" s="208"/>
      <c r="S3501" s="208"/>
      <c r="T3501" s="208"/>
    </row>
    <row r="3502" spans="1:20" s="206" customFormat="1" ht="15" hidden="1" customHeight="1">
      <c r="A3502" s="468">
        <v>45461</v>
      </c>
      <c r="B3502" s="81" t="s">
        <v>3069</v>
      </c>
      <c r="C3502" s="208" t="s">
        <v>181</v>
      </c>
      <c r="D3502" s="592">
        <v>-225000</v>
      </c>
      <c r="E3502" s="212">
        <v>45444</v>
      </c>
      <c r="F3502" s="208" t="s">
        <v>130</v>
      </c>
      <c r="G3502" s="223" t="s">
        <v>130</v>
      </c>
      <c r="H3502" s="208" t="s">
        <v>2590</v>
      </c>
      <c r="I3502" s="208"/>
      <c r="J3502" s="208"/>
      <c r="K3502" s="208"/>
      <c r="L3502" s="208"/>
      <c r="M3502" s="208"/>
      <c r="N3502" s="208"/>
      <c r="O3502" s="208"/>
      <c r="P3502" s="208"/>
      <c r="Q3502" s="208"/>
      <c r="R3502" s="208"/>
      <c r="S3502" s="208"/>
      <c r="T3502" s="208"/>
    </row>
    <row r="3503" spans="1:20" s="206" customFormat="1" ht="15" hidden="1" customHeight="1">
      <c r="A3503" s="468">
        <v>45460</v>
      </c>
      <c r="B3503" s="81" t="s">
        <v>2615</v>
      </c>
      <c r="C3503" s="208" t="s">
        <v>181</v>
      </c>
      <c r="D3503" s="592">
        <v>-570000</v>
      </c>
      <c r="E3503" s="212">
        <v>45444</v>
      </c>
      <c r="F3503" s="208" t="s">
        <v>109</v>
      </c>
      <c r="G3503" s="208" t="s">
        <v>120</v>
      </c>
      <c r="H3503" s="208"/>
      <c r="I3503" s="208"/>
      <c r="J3503" s="208"/>
      <c r="K3503" s="208"/>
      <c r="L3503" s="208"/>
      <c r="M3503" s="208"/>
      <c r="N3503" s="208"/>
      <c r="O3503" s="208"/>
      <c r="P3503" s="208"/>
      <c r="Q3503" s="208"/>
      <c r="R3503" s="208"/>
      <c r="S3503" s="208"/>
      <c r="T3503" s="208"/>
    </row>
    <row r="3504" spans="1:20" s="206" customFormat="1" ht="15" hidden="1" customHeight="1">
      <c r="A3504" s="468">
        <v>45460</v>
      </c>
      <c r="B3504" s="81" t="s">
        <v>3070</v>
      </c>
      <c r="C3504" s="208" t="s">
        <v>181</v>
      </c>
      <c r="D3504" s="592">
        <v>-1907968</v>
      </c>
      <c r="E3504" s="212">
        <v>45444</v>
      </c>
      <c r="F3504" s="208" t="s">
        <v>109</v>
      </c>
      <c r="G3504" s="208" t="s">
        <v>120</v>
      </c>
      <c r="H3504" s="208"/>
      <c r="I3504" s="208"/>
      <c r="J3504" s="208"/>
      <c r="K3504" s="208"/>
      <c r="L3504" s="208"/>
      <c r="M3504" s="208"/>
      <c r="N3504" s="208"/>
      <c r="O3504" s="208"/>
      <c r="P3504" s="208"/>
      <c r="Q3504" s="208"/>
      <c r="R3504" s="208"/>
      <c r="S3504" s="208"/>
      <c r="T3504" s="208"/>
    </row>
    <row r="3505" spans="1:20" s="206" customFormat="1" ht="15" hidden="1" customHeight="1">
      <c r="A3505" s="468">
        <v>45460</v>
      </c>
      <c r="B3505" s="81" t="s">
        <v>1322</v>
      </c>
      <c r="C3505" s="208" t="s">
        <v>181</v>
      </c>
      <c r="D3505" s="592">
        <v>-1236250</v>
      </c>
      <c r="E3505" s="212">
        <v>45444</v>
      </c>
      <c r="F3505" s="208" t="s">
        <v>109</v>
      </c>
      <c r="G3505" s="208" t="s">
        <v>120</v>
      </c>
      <c r="H3505" s="208"/>
      <c r="I3505" s="208"/>
      <c r="J3505" s="208"/>
      <c r="K3505" s="208"/>
      <c r="L3505" s="208"/>
      <c r="M3505" s="208"/>
      <c r="N3505" s="208"/>
      <c r="O3505" s="208"/>
      <c r="P3505" s="208"/>
      <c r="Q3505" s="208"/>
      <c r="R3505" s="208"/>
      <c r="S3505" s="208"/>
      <c r="T3505" s="208"/>
    </row>
    <row r="3506" spans="1:20" s="206" customFormat="1" ht="15" hidden="1" customHeight="1">
      <c r="A3506" s="468">
        <v>45461</v>
      </c>
      <c r="B3506" s="81" t="s">
        <v>3071</v>
      </c>
      <c r="C3506" s="208" t="s">
        <v>181</v>
      </c>
      <c r="D3506" s="592">
        <v>-1079330</v>
      </c>
      <c r="E3506" s="212">
        <v>45444</v>
      </c>
      <c r="F3506" s="208" t="s">
        <v>109</v>
      </c>
      <c r="G3506" s="201" t="s">
        <v>1306</v>
      </c>
      <c r="H3506" s="208" t="s">
        <v>310</v>
      </c>
      <c r="I3506" s="208"/>
      <c r="J3506" s="208"/>
      <c r="K3506" s="208"/>
      <c r="L3506" s="208"/>
      <c r="M3506" s="208"/>
      <c r="N3506" s="208"/>
      <c r="O3506" s="208"/>
      <c r="P3506" s="208"/>
      <c r="Q3506" s="208"/>
      <c r="R3506" s="208"/>
      <c r="S3506" s="208"/>
      <c r="T3506" s="208"/>
    </row>
    <row r="3507" spans="1:20" ht="15" hidden="1" customHeight="1">
      <c r="A3507" s="468">
        <v>45461</v>
      </c>
      <c r="B3507" s="81" t="s">
        <v>3072</v>
      </c>
      <c r="C3507" s="208" t="s">
        <v>181</v>
      </c>
      <c r="D3507" s="592">
        <v>-1800000</v>
      </c>
      <c r="E3507" s="212">
        <v>45444</v>
      </c>
      <c r="F3507" s="638" t="s">
        <v>109</v>
      </c>
      <c r="G3507" s="208" t="s">
        <v>120</v>
      </c>
      <c r="H3507" s="208"/>
      <c r="I3507" s="638"/>
      <c r="J3507" s="209"/>
      <c r="K3507" s="209"/>
      <c r="L3507" s="209"/>
      <c r="M3507" s="209"/>
      <c r="N3507" s="209"/>
      <c r="O3507" s="209"/>
      <c r="P3507" s="209"/>
      <c r="Q3507" s="209"/>
      <c r="R3507" s="209"/>
      <c r="S3507" s="209"/>
      <c r="T3507" s="209"/>
    </row>
    <row r="3508" spans="1:20" ht="15" hidden="1" customHeight="1">
      <c r="A3508" s="468">
        <v>45461</v>
      </c>
      <c r="B3508" s="81" t="s">
        <v>3061</v>
      </c>
      <c r="C3508" s="208" t="s">
        <v>181</v>
      </c>
      <c r="D3508" s="592">
        <v>-685500</v>
      </c>
      <c r="E3508" s="212">
        <v>45444</v>
      </c>
      <c r="F3508" s="208" t="s">
        <v>130</v>
      </c>
      <c r="G3508" s="223" t="s">
        <v>130</v>
      </c>
      <c r="H3508" s="208" t="s">
        <v>1156</v>
      </c>
      <c r="I3508" s="208"/>
      <c r="J3508" s="209"/>
      <c r="K3508" s="209"/>
      <c r="L3508" s="209"/>
      <c r="M3508" s="209"/>
      <c r="N3508" s="209"/>
      <c r="O3508" s="209"/>
      <c r="P3508" s="209"/>
      <c r="Q3508" s="209"/>
      <c r="R3508" s="209"/>
      <c r="S3508" s="209"/>
      <c r="T3508" s="209"/>
    </row>
    <row r="3509" spans="1:20" ht="15" hidden="1" customHeight="1">
      <c r="A3509" s="468">
        <v>45461</v>
      </c>
      <c r="B3509" s="81" t="s">
        <v>3073</v>
      </c>
      <c r="C3509" s="208" t="s">
        <v>181</v>
      </c>
      <c r="D3509" s="592">
        <v>-210000</v>
      </c>
      <c r="E3509" s="212">
        <v>45444</v>
      </c>
      <c r="F3509" s="208" t="s">
        <v>110</v>
      </c>
      <c r="G3509" s="223" t="s">
        <v>184</v>
      </c>
      <c r="H3509" s="208"/>
      <c r="I3509" s="208"/>
      <c r="J3509" s="209"/>
      <c r="K3509" s="209"/>
      <c r="L3509" s="209"/>
      <c r="M3509" s="209"/>
      <c r="N3509" s="209"/>
      <c r="O3509" s="209"/>
      <c r="P3509" s="209"/>
      <c r="Q3509" s="209"/>
      <c r="R3509" s="209"/>
      <c r="S3509" s="209"/>
      <c r="T3509" s="209"/>
    </row>
    <row r="3510" spans="1:20" ht="15" hidden="1" customHeight="1">
      <c r="A3510" s="468">
        <v>45461</v>
      </c>
      <c r="B3510" s="81" t="s">
        <v>3074</v>
      </c>
      <c r="C3510" s="208" t="s">
        <v>181</v>
      </c>
      <c r="D3510" s="592">
        <v>-70000</v>
      </c>
      <c r="E3510" s="212">
        <v>45444</v>
      </c>
      <c r="F3510" s="208" t="s">
        <v>130</v>
      </c>
      <c r="G3510" s="223" t="s">
        <v>2657</v>
      </c>
      <c r="H3510" s="208" t="s">
        <v>663</v>
      </c>
      <c r="I3510" s="208"/>
      <c r="J3510" s="209"/>
      <c r="K3510" s="209"/>
      <c r="L3510" s="209"/>
      <c r="M3510" s="209"/>
      <c r="N3510" s="209"/>
      <c r="O3510" s="209"/>
      <c r="P3510" s="209"/>
      <c r="Q3510" s="209"/>
      <c r="R3510" s="209"/>
      <c r="S3510" s="209"/>
      <c r="T3510" s="209"/>
    </row>
    <row r="3511" spans="1:20" ht="15" hidden="1" customHeight="1">
      <c r="A3511" s="468">
        <v>45461</v>
      </c>
      <c r="B3511" s="81" t="s">
        <v>3075</v>
      </c>
      <c r="C3511" s="208" t="s">
        <v>181</v>
      </c>
      <c r="D3511" s="592">
        <v>-3058704</v>
      </c>
      <c r="E3511" s="212">
        <v>45444</v>
      </c>
      <c r="F3511" s="208" t="s">
        <v>110</v>
      </c>
      <c r="G3511" s="223" t="s">
        <v>184</v>
      </c>
      <c r="H3511" s="208"/>
      <c r="I3511" s="208"/>
      <c r="J3511" s="209"/>
      <c r="K3511" s="209"/>
      <c r="L3511" s="209"/>
      <c r="M3511" s="209"/>
      <c r="N3511" s="209"/>
      <c r="O3511" s="209"/>
      <c r="P3511" s="209"/>
      <c r="Q3511" s="209"/>
      <c r="R3511" s="209"/>
      <c r="S3511" s="209"/>
      <c r="T3511" s="209"/>
    </row>
    <row r="3512" spans="1:20" ht="15" hidden="1" customHeight="1">
      <c r="A3512" s="468">
        <v>45461</v>
      </c>
      <c r="B3512" s="81" t="s">
        <v>2432</v>
      </c>
      <c r="C3512" s="208" t="s">
        <v>181</v>
      </c>
      <c r="D3512" s="592">
        <v>-6800</v>
      </c>
      <c r="E3512" s="212">
        <v>45444</v>
      </c>
      <c r="F3512" s="208" t="s">
        <v>130</v>
      </c>
      <c r="G3512" s="223" t="s">
        <v>130</v>
      </c>
      <c r="H3512" s="208" t="s">
        <v>1175</v>
      </c>
      <c r="I3512" s="208"/>
      <c r="J3512" s="209"/>
      <c r="K3512" s="209"/>
      <c r="L3512" s="209"/>
      <c r="M3512" s="209"/>
      <c r="N3512" s="209"/>
      <c r="O3512" s="209"/>
      <c r="P3512" s="209"/>
      <c r="Q3512" s="209"/>
      <c r="R3512" s="209"/>
      <c r="S3512" s="209"/>
      <c r="T3512" s="209"/>
    </row>
    <row r="3513" spans="1:20" ht="15" hidden="1" customHeight="1">
      <c r="A3513" s="468">
        <v>45461</v>
      </c>
      <c r="B3513" s="81" t="s">
        <v>3076</v>
      </c>
      <c r="C3513" s="208" t="s">
        <v>181</v>
      </c>
      <c r="D3513" s="592">
        <f>-12535100*55%</f>
        <v>-6894305.0000000009</v>
      </c>
      <c r="E3513" s="212">
        <v>45444</v>
      </c>
      <c r="F3513" s="208" t="s">
        <v>130</v>
      </c>
      <c r="G3513" s="223" t="s">
        <v>130</v>
      </c>
      <c r="H3513" s="208" t="s">
        <v>1175</v>
      </c>
      <c r="I3513" s="208"/>
      <c r="J3513" s="209"/>
      <c r="K3513" s="209"/>
      <c r="L3513" s="209"/>
      <c r="M3513" s="209"/>
      <c r="N3513" s="209"/>
      <c r="O3513" s="209"/>
      <c r="P3513" s="209"/>
      <c r="Q3513" s="209"/>
      <c r="R3513" s="209"/>
      <c r="S3513" s="209"/>
      <c r="T3513" s="209"/>
    </row>
    <row r="3514" spans="1:20" ht="15" hidden="1" customHeight="1">
      <c r="A3514" s="468">
        <v>45461</v>
      </c>
      <c r="B3514" s="81" t="s">
        <v>3076</v>
      </c>
      <c r="C3514" s="208" t="s">
        <v>181</v>
      </c>
      <c r="D3514" s="592">
        <f>-12535100*25%</f>
        <v>-3133775</v>
      </c>
      <c r="E3514" s="212">
        <v>45444</v>
      </c>
      <c r="F3514" s="201" t="s">
        <v>110</v>
      </c>
      <c r="G3514" s="208" t="s">
        <v>774</v>
      </c>
      <c r="H3514" s="208" t="s">
        <v>508</v>
      </c>
      <c r="I3514" s="208"/>
      <c r="J3514" s="209"/>
      <c r="K3514" s="209"/>
      <c r="L3514" s="209"/>
      <c r="M3514" s="209"/>
      <c r="N3514" s="209"/>
      <c r="O3514" s="209"/>
      <c r="P3514" s="209"/>
      <c r="Q3514" s="209"/>
      <c r="R3514" s="209"/>
      <c r="S3514" s="209"/>
      <c r="T3514" s="209"/>
    </row>
    <row r="3515" spans="1:20" ht="15" hidden="1" customHeight="1">
      <c r="A3515" s="468">
        <v>45461</v>
      </c>
      <c r="B3515" s="81" t="s">
        <v>3076</v>
      </c>
      <c r="C3515" s="208" t="s">
        <v>181</v>
      </c>
      <c r="D3515" s="592">
        <f>-12535100*20%</f>
        <v>-2507020</v>
      </c>
      <c r="E3515" s="212">
        <v>45444</v>
      </c>
      <c r="F3515" s="208" t="s">
        <v>109</v>
      </c>
      <c r="G3515" s="201" t="s">
        <v>1306</v>
      </c>
      <c r="H3515" s="208" t="s">
        <v>508</v>
      </c>
      <c r="I3515" s="208"/>
      <c r="J3515" s="209"/>
      <c r="K3515" s="209"/>
      <c r="L3515" s="209"/>
      <c r="M3515" s="209"/>
      <c r="N3515" s="209"/>
      <c r="O3515" s="209"/>
      <c r="P3515" s="209"/>
      <c r="Q3515" s="209"/>
      <c r="R3515" s="209"/>
      <c r="S3515" s="209"/>
      <c r="T3515" s="209"/>
    </row>
    <row r="3516" spans="1:20" ht="15" hidden="1" customHeight="1">
      <c r="A3516" s="468">
        <v>45461</v>
      </c>
      <c r="B3516" s="81" t="s">
        <v>3077</v>
      </c>
      <c r="C3516" s="208" t="s">
        <v>181</v>
      </c>
      <c r="D3516" s="800">
        <f>-14711000*50%</f>
        <v>-7355500</v>
      </c>
      <c r="E3516" s="212">
        <v>45444</v>
      </c>
      <c r="F3516" s="208" t="s">
        <v>109</v>
      </c>
      <c r="G3516" s="201" t="s">
        <v>581</v>
      </c>
      <c r="H3516" s="208"/>
      <c r="I3516" s="208"/>
      <c r="J3516" s="209"/>
      <c r="K3516" s="209"/>
      <c r="L3516" s="209"/>
      <c r="M3516" s="209"/>
      <c r="N3516" s="209"/>
      <c r="O3516" s="209"/>
      <c r="P3516" s="209"/>
      <c r="Q3516" s="209"/>
      <c r="R3516" s="209"/>
      <c r="S3516" s="209"/>
      <c r="T3516" s="209"/>
    </row>
    <row r="3517" spans="1:20" ht="15" hidden="1" customHeight="1">
      <c r="A3517" s="468">
        <v>45461</v>
      </c>
      <c r="B3517" s="81" t="s">
        <v>3077</v>
      </c>
      <c r="C3517" s="208" t="s">
        <v>181</v>
      </c>
      <c r="D3517" s="592">
        <f>-7355500*50%</f>
        <v>-3677750</v>
      </c>
      <c r="E3517" s="212">
        <v>45444</v>
      </c>
      <c r="F3517" s="201" t="s">
        <v>110</v>
      </c>
      <c r="G3517" s="208" t="s">
        <v>774</v>
      </c>
      <c r="H3517" s="208" t="s">
        <v>147</v>
      </c>
      <c r="I3517" s="208"/>
      <c r="J3517" s="209"/>
      <c r="K3517" s="209"/>
      <c r="L3517" s="209"/>
      <c r="M3517" s="209"/>
      <c r="N3517" s="209"/>
      <c r="O3517" s="209"/>
      <c r="P3517" s="209"/>
      <c r="Q3517" s="209"/>
      <c r="R3517" s="209"/>
      <c r="S3517" s="209"/>
      <c r="T3517" s="209"/>
    </row>
    <row r="3518" spans="1:20" ht="15" hidden="1" customHeight="1">
      <c r="A3518" s="468">
        <v>45461</v>
      </c>
      <c r="B3518" s="81" t="s">
        <v>3077</v>
      </c>
      <c r="C3518" s="208" t="s">
        <v>181</v>
      </c>
      <c r="D3518" s="592">
        <f>-7355500*35%</f>
        <v>-2574425</v>
      </c>
      <c r="E3518" s="212">
        <v>45444</v>
      </c>
      <c r="F3518" s="208" t="s">
        <v>109</v>
      </c>
      <c r="G3518" s="201" t="s">
        <v>1306</v>
      </c>
      <c r="H3518" s="208" t="s">
        <v>147</v>
      </c>
      <c r="I3518" s="208"/>
      <c r="J3518" s="209"/>
      <c r="K3518" s="209"/>
      <c r="L3518" s="209"/>
      <c r="M3518" s="209"/>
      <c r="N3518" s="209"/>
      <c r="O3518" s="209"/>
      <c r="P3518" s="209"/>
      <c r="Q3518" s="209"/>
      <c r="R3518" s="209"/>
      <c r="S3518" s="209"/>
      <c r="T3518" s="209"/>
    </row>
    <row r="3519" spans="1:20" ht="15" hidden="1" customHeight="1">
      <c r="A3519" s="468">
        <v>45461</v>
      </c>
      <c r="B3519" s="81" t="s">
        <v>3077</v>
      </c>
      <c r="C3519" s="208" t="s">
        <v>181</v>
      </c>
      <c r="D3519" s="592">
        <f>-7355500*15%</f>
        <v>-1103325</v>
      </c>
      <c r="E3519" s="212">
        <v>45444</v>
      </c>
      <c r="F3519" s="208" t="s">
        <v>207</v>
      </c>
      <c r="G3519" s="223"/>
      <c r="H3519" s="208"/>
      <c r="I3519" s="208"/>
      <c r="J3519" s="209"/>
      <c r="K3519" s="209"/>
      <c r="L3519" s="209"/>
      <c r="M3519" s="209"/>
      <c r="N3519" s="209"/>
      <c r="O3519" s="209"/>
      <c r="P3519" s="209"/>
      <c r="Q3519" s="209"/>
      <c r="R3519" s="209"/>
      <c r="S3519" s="209"/>
      <c r="T3519" s="209"/>
    </row>
    <row r="3520" spans="1:20" ht="15" hidden="1" customHeight="1">
      <c r="A3520" s="468">
        <v>45461</v>
      </c>
      <c r="B3520" s="81" t="s">
        <v>3078</v>
      </c>
      <c r="C3520" s="208" t="s">
        <v>181</v>
      </c>
      <c r="D3520" s="592">
        <v>-403209</v>
      </c>
      <c r="E3520" s="212">
        <v>45444</v>
      </c>
      <c r="F3520" s="208" t="s">
        <v>130</v>
      </c>
      <c r="G3520" s="223" t="s">
        <v>130</v>
      </c>
      <c r="H3520" s="208" t="s">
        <v>2590</v>
      </c>
      <c r="I3520" s="208"/>
      <c r="J3520" s="209"/>
      <c r="K3520" s="209"/>
      <c r="L3520" s="209"/>
      <c r="M3520" s="209"/>
      <c r="N3520" s="209"/>
      <c r="O3520" s="209"/>
      <c r="P3520" s="209"/>
      <c r="Q3520" s="209"/>
      <c r="R3520" s="209"/>
      <c r="S3520" s="209"/>
      <c r="T3520" s="209"/>
    </row>
    <row r="3521" spans="1:20" ht="15" hidden="1" customHeight="1">
      <c r="A3521" s="468">
        <v>45462</v>
      </c>
      <c r="B3521" s="81" t="s">
        <v>359</v>
      </c>
      <c r="C3521" s="208" t="s">
        <v>181</v>
      </c>
      <c r="D3521" s="592">
        <v>-3252200</v>
      </c>
      <c r="E3521" s="212">
        <v>45444</v>
      </c>
      <c r="F3521" s="208" t="s">
        <v>109</v>
      </c>
      <c r="G3521" s="208" t="s">
        <v>10</v>
      </c>
      <c r="H3521" s="208"/>
      <c r="I3521" s="208"/>
      <c r="J3521" s="209"/>
      <c r="K3521" s="209"/>
      <c r="L3521" s="209"/>
      <c r="M3521" s="209"/>
      <c r="N3521" s="209"/>
      <c r="O3521" s="209"/>
      <c r="P3521" s="209"/>
      <c r="Q3521" s="209"/>
      <c r="R3521" s="209"/>
      <c r="S3521" s="209"/>
      <c r="T3521" s="209"/>
    </row>
    <row r="3522" spans="1:20" ht="15" hidden="1" customHeight="1">
      <c r="A3522" s="468">
        <v>45462</v>
      </c>
      <c r="B3522" s="81" t="s">
        <v>3079</v>
      </c>
      <c r="C3522" s="208" t="s">
        <v>181</v>
      </c>
      <c r="D3522" s="592">
        <v>-400000</v>
      </c>
      <c r="E3522" s="212">
        <v>45444</v>
      </c>
      <c r="F3522" s="208" t="s">
        <v>109</v>
      </c>
      <c r="G3522" s="208" t="s">
        <v>317</v>
      </c>
      <c r="H3522" s="208" t="s">
        <v>663</v>
      </c>
      <c r="I3522" s="208"/>
      <c r="J3522" s="209"/>
      <c r="K3522" s="209"/>
      <c r="L3522" s="209"/>
      <c r="M3522" s="209"/>
      <c r="N3522" s="209"/>
      <c r="O3522" s="209"/>
      <c r="P3522" s="209"/>
      <c r="Q3522" s="209"/>
      <c r="R3522" s="209"/>
      <c r="S3522" s="209"/>
      <c r="T3522" s="209"/>
    </row>
    <row r="3523" spans="1:20" ht="15" hidden="1" customHeight="1">
      <c r="A3523" s="468">
        <v>45462</v>
      </c>
      <c r="B3523" s="81" t="s">
        <v>3080</v>
      </c>
      <c r="C3523" s="208" t="s">
        <v>181</v>
      </c>
      <c r="D3523" s="800">
        <v>-1190814</v>
      </c>
      <c r="E3523" s="212">
        <v>45444</v>
      </c>
      <c r="F3523" s="208" t="s">
        <v>109</v>
      </c>
      <c r="G3523" s="201" t="s">
        <v>581</v>
      </c>
      <c r="H3523" s="208"/>
      <c r="I3523" s="208"/>
      <c r="J3523" s="209"/>
      <c r="K3523" s="209"/>
      <c r="L3523" s="209"/>
      <c r="M3523" s="209"/>
      <c r="N3523" s="209"/>
      <c r="O3523" s="209"/>
      <c r="P3523" s="209"/>
      <c r="Q3523" s="209"/>
      <c r="R3523" s="209"/>
      <c r="S3523" s="209"/>
      <c r="T3523" s="209"/>
    </row>
    <row r="3524" spans="1:20" ht="15" hidden="1" customHeight="1">
      <c r="A3524" s="468">
        <v>45442</v>
      </c>
      <c r="B3524" s="208" t="s">
        <v>2751</v>
      </c>
      <c r="C3524" s="208" t="s">
        <v>27</v>
      </c>
      <c r="D3524" s="592">
        <v>-2591586.4700000002</v>
      </c>
      <c r="E3524" s="212">
        <v>45413</v>
      </c>
      <c r="F3524" s="208" t="s">
        <v>130</v>
      </c>
      <c r="G3524" s="208" t="s">
        <v>257</v>
      </c>
      <c r="H3524" s="208" t="s">
        <v>1145</v>
      </c>
      <c r="I3524" s="208"/>
      <c r="J3524" s="209"/>
      <c r="K3524" s="209"/>
      <c r="L3524" s="209"/>
      <c r="M3524" s="209"/>
      <c r="N3524" s="209"/>
      <c r="O3524" s="209"/>
      <c r="P3524" s="209"/>
      <c r="Q3524" s="209"/>
      <c r="R3524" s="209"/>
      <c r="S3524" s="209"/>
      <c r="T3524" s="209"/>
    </row>
    <row r="3525" spans="1:20" ht="15" hidden="1" customHeight="1">
      <c r="A3525" s="468">
        <v>45463</v>
      </c>
      <c r="B3525" s="81" t="s">
        <v>3081</v>
      </c>
      <c r="C3525" s="208" t="s">
        <v>181</v>
      </c>
      <c r="D3525" s="592">
        <v>-298750</v>
      </c>
      <c r="E3525" s="212">
        <v>45444</v>
      </c>
      <c r="F3525" s="208" t="s">
        <v>130</v>
      </c>
      <c r="G3525" s="223" t="s">
        <v>2657</v>
      </c>
      <c r="H3525" s="208" t="s">
        <v>2272</v>
      </c>
      <c r="I3525" s="208"/>
      <c r="J3525" s="209"/>
      <c r="K3525" s="209"/>
      <c r="L3525" s="209"/>
      <c r="M3525" s="209"/>
      <c r="N3525" s="209"/>
      <c r="O3525" s="209"/>
      <c r="P3525" s="209"/>
      <c r="Q3525" s="209"/>
      <c r="R3525" s="209"/>
      <c r="S3525" s="209"/>
      <c r="T3525" s="209"/>
    </row>
    <row r="3526" spans="1:20" ht="15" hidden="1" customHeight="1">
      <c r="A3526" s="468">
        <v>45463</v>
      </c>
      <c r="B3526" s="81" t="s">
        <v>3082</v>
      </c>
      <c r="C3526" s="208" t="s">
        <v>181</v>
      </c>
      <c r="D3526" s="592">
        <v>-1591200</v>
      </c>
      <c r="E3526" s="212">
        <v>45444</v>
      </c>
      <c r="F3526" s="208" t="s">
        <v>130</v>
      </c>
      <c r="G3526" s="223" t="s">
        <v>130</v>
      </c>
      <c r="H3526" s="208" t="s">
        <v>1156</v>
      </c>
      <c r="I3526" s="208"/>
      <c r="J3526" s="209"/>
      <c r="K3526" s="209"/>
      <c r="L3526" s="209"/>
      <c r="M3526" s="209"/>
      <c r="N3526" s="209"/>
      <c r="O3526" s="209"/>
      <c r="P3526" s="209"/>
      <c r="Q3526" s="209"/>
      <c r="R3526" s="209"/>
      <c r="S3526" s="209"/>
      <c r="T3526" s="209"/>
    </row>
    <row r="3527" spans="1:20" ht="15" hidden="1" customHeight="1">
      <c r="A3527" s="468">
        <v>45464</v>
      </c>
      <c r="B3527" s="81" t="s">
        <v>1679</v>
      </c>
      <c r="C3527" s="208" t="s">
        <v>181</v>
      </c>
      <c r="D3527" s="592">
        <v>-1188000</v>
      </c>
      <c r="E3527" s="212">
        <v>45444</v>
      </c>
      <c r="F3527" s="638" t="s">
        <v>109</v>
      </c>
      <c r="G3527" s="208" t="s">
        <v>120</v>
      </c>
      <c r="H3527" s="208"/>
      <c r="I3527" s="208"/>
      <c r="J3527" s="209"/>
      <c r="K3527" s="209"/>
      <c r="L3527" s="209"/>
      <c r="M3527" s="209"/>
      <c r="N3527" s="209"/>
      <c r="O3527" s="209"/>
      <c r="P3527" s="209"/>
      <c r="Q3527" s="209"/>
      <c r="R3527" s="209"/>
      <c r="S3527" s="209"/>
      <c r="T3527" s="209"/>
    </row>
    <row r="3528" spans="1:20" ht="15" hidden="1" customHeight="1">
      <c r="A3528" s="468">
        <v>45464</v>
      </c>
      <c r="B3528" s="81" t="s">
        <v>3083</v>
      </c>
      <c r="C3528" s="208" t="s">
        <v>181</v>
      </c>
      <c r="D3528" s="592">
        <v>-19302014</v>
      </c>
      <c r="E3528" s="212">
        <v>45444</v>
      </c>
      <c r="F3528" s="638" t="s">
        <v>109</v>
      </c>
      <c r="G3528" s="208" t="s">
        <v>120</v>
      </c>
      <c r="H3528" s="208"/>
      <c r="I3528" s="208"/>
      <c r="J3528" s="209"/>
      <c r="K3528" s="209"/>
      <c r="L3528" s="209"/>
      <c r="M3528" s="209"/>
      <c r="N3528" s="209"/>
      <c r="O3528" s="209"/>
      <c r="P3528" s="209"/>
      <c r="Q3528" s="209"/>
      <c r="R3528" s="209"/>
      <c r="S3528" s="209"/>
      <c r="T3528" s="209"/>
    </row>
    <row r="3529" spans="1:20" ht="15" hidden="1" customHeight="1">
      <c r="A3529" s="468">
        <v>45464</v>
      </c>
      <c r="B3529" s="81" t="s">
        <v>3084</v>
      </c>
      <c r="C3529" s="208" t="s">
        <v>181</v>
      </c>
      <c r="D3529" s="592">
        <v>-3500000</v>
      </c>
      <c r="E3529" s="212">
        <v>45444</v>
      </c>
      <c r="F3529" s="638" t="s">
        <v>109</v>
      </c>
      <c r="G3529" s="208" t="s">
        <v>120</v>
      </c>
      <c r="H3529" s="208"/>
      <c r="I3529" s="208"/>
      <c r="J3529" s="209"/>
      <c r="K3529" s="209"/>
      <c r="L3529" s="209"/>
      <c r="M3529" s="209"/>
      <c r="N3529" s="209"/>
      <c r="O3529" s="209"/>
      <c r="P3529" s="209"/>
      <c r="Q3529" s="209"/>
      <c r="R3529" s="209"/>
      <c r="S3529" s="209"/>
      <c r="T3529" s="209"/>
    </row>
    <row r="3530" spans="1:20" ht="15" hidden="1" customHeight="1">
      <c r="A3530" s="468">
        <v>45463</v>
      </c>
      <c r="B3530" s="81" t="s">
        <v>3085</v>
      </c>
      <c r="C3530" s="208" t="s">
        <v>181</v>
      </c>
      <c r="D3530" s="592">
        <v>-105000</v>
      </c>
      <c r="E3530" s="212">
        <v>45444</v>
      </c>
      <c r="F3530" s="208" t="s">
        <v>130</v>
      </c>
      <c r="G3530" s="223" t="s">
        <v>2657</v>
      </c>
      <c r="H3530" s="208" t="s">
        <v>663</v>
      </c>
      <c r="I3530" s="208"/>
      <c r="J3530" s="209"/>
      <c r="K3530" s="209"/>
      <c r="L3530" s="209"/>
      <c r="M3530" s="209"/>
      <c r="N3530" s="209"/>
      <c r="O3530" s="209"/>
      <c r="P3530" s="209"/>
      <c r="Q3530" s="209"/>
      <c r="R3530" s="209"/>
      <c r="S3530" s="209"/>
      <c r="T3530" s="209"/>
    </row>
    <row r="3531" spans="1:20" ht="15" hidden="1" customHeight="1">
      <c r="A3531" s="468">
        <v>45463</v>
      </c>
      <c r="B3531" s="81" t="s">
        <v>2432</v>
      </c>
      <c r="C3531" s="208" t="s">
        <v>181</v>
      </c>
      <c r="D3531" s="592">
        <v>-4953400</v>
      </c>
      <c r="E3531" s="212">
        <v>45444</v>
      </c>
      <c r="F3531" s="208" t="s">
        <v>130</v>
      </c>
      <c r="G3531" s="223" t="s">
        <v>130</v>
      </c>
      <c r="H3531" s="208" t="s">
        <v>1175</v>
      </c>
      <c r="I3531" s="208"/>
      <c r="J3531" s="209"/>
      <c r="K3531" s="209"/>
      <c r="L3531" s="209"/>
      <c r="M3531" s="209"/>
      <c r="N3531" s="209"/>
      <c r="O3531" s="209"/>
      <c r="P3531" s="209"/>
      <c r="Q3531" s="209"/>
      <c r="R3531" s="209"/>
      <c r="S3531" s="209"/>
      <c r="T3531" s="209"/>
    </row>
    <row r="3532" spans="1:20" ht="15" hidden="1" customHeight="1">
      <c r="A3532" s="468">
        <v>45463</v>
      </c>
      <c r="B3532" s="81" t="s">
        <v>2606</v>
      </c>
      <c r="C3532" s="208" t="s">
        <v>181</v>
      </c>
      <c r="D3532" s="592">
        <v>-234700</v>
      </c>
      <c r="E3532" s="212">
        <v>45444</v>
      </c>
      <c r="F3532" s="208" t="s">
        <v>130</v>
      </c>
      <c r="G3532" s="223" t="s">
        <v>130</v>
      </c>
      <c r="H3532" s="208" t="s">
        <v>2590</v>
      </c>
      <c r="I3532" s="208"/>
      <c r="J3532" s="209"/>
      <c r="K3532" s="209"/>
      <c r="L3532" s="209"/>
      <c r="M3532" s="209"/>
      <c r="N3532" s="209"/>
      <c r="O3532" s="209"/>
      <c r="P3532" s="209"/>
      <c r="Q3532" s="209"/>
      <c r="R3532" s="209"/>
      <c r="S3532" s="209"/>
      <c r="T3532" s="209"/>
    </row>
    <row r="3533" spans="1:20" ht="15" hidden="1" customHeight="1">
      <c r="A3533" s="468">
        <v>45463</v>
      </c>
      <c r="B3533" s="81" t="s">
        <v>3086</v>
      </c>
      <c r="C3533" s="208" t="s">
        <v>181</v>
      </c>
      <c r="D3533" s="592">
        <v>-245500</v>
      </c>
      <c r="E3533" s="212">
        <v>45444</v>
      </c>
      <c r="F3533" s="208" t="s">
        <v>109</v>
      </c>
      <c r="G3533" s="208" t="s">
        <v>120</v>
      </c>
      <c r="H3533" s="208"/>
      <c r="I3533" s="208"/>
      <c r="J3533" s="209"/>
      <c r="K3533" s="209"/>
      <c r="L3533" s="209"/>
      <c r="M3533" s="209"/>
      <c r="N3533" s="209"/>
      <c r="O3533" s="209"/>
      <c r="P3533" s="209"/>
      <c r="Q3533" s="209"/>
      <c r="R3533" s="209"/>
      <c r="S3533" s="209"/>
      <c r="T3533" s="209"/>
    </row>
    <row r="3534" spans="1:20" ht="15" hidden="1" customHeight="1">
      <c r="A3534" s="468">
        <v>45461</v>
      </c>
      <c r="B3534" s="81" t="s">
        <v>3087</v>
      </c>
      <c r="C3534" s="208" t="s">
        <v>27</v>
      </c>
      <c r="D3534" s="592">
        <v>2298528</v>
      </c>
      <c r="E3534" s="212">
        <v>45444</v>
      </c>
      <c r="F3534" s="208" t="s">
        <v>108</v>
      </c>
      <c r="G3534" s="208"/>
      <c r="H3534" s="208"/>
      <c r="I3534" s="208"/>
      <c r="J3534" s="209"/>
      <c r="K3534" s="209"/>
      <c r="L3534" s="209"/>
      <c r="M3534" s="209"/>
      <c r="N3534" s="209"/>
      <c r="O3534" s="209"/>
      <c r="P3534" s="209"/>
      <c r="Q3534" s="209"/>
      <c r="R3534" s="209"/>
      <c r="S3534" s="209"/>
      <c r="T3534" s="209"/>
    </row>
    <row r="3535" spans="1:20" ht="15" hidden="1" customHeight="1">
      <c r="A3535" s="468">
        <v>45463</v>
      </c>
      <c r="B3535" s="81" t="s">
        <v>3088</v>
      </c>
      <c r="C3535" s="208" t="s">
        <v>27</v>
      </c>
      <c r="D3535" s="592">
        <v>3634520</v>
      </c>
      <c r="E3535" s="212">
        <v>45444</v>
      </c>
      <c r="F3535" s="208" t="s">
        <v>108</v>
      </c>
      <c r="G3535" s="208"/>
      <c r="H3535" s="208"/>
      <c r="I3535" s="208"/>
      <c r="J3535" s="209"/>
      <c r="K3535" s="209"/>
      <c r="L3535" s="209"/>
      <c r="M3535" s="209"/>
      <c r="N3535" s="209"/>
      <c r="O3535" s="209"/>
      <c r="P3535" s="209"/>
      <c r="Q3535" s="209"/>
      <c r="R3535" s="209"/>
      <c r="S3535" s="209"/>
      <c r="T3535" s="209"/>
    </row>
    <row r="3536" spans="1:20" ht="15" hidden="1" customHeight="1">
      <c r="A3536" s="468">
        <v>45463</v>
      </c>
      <c r="B3536" s="81" t="s">
        <v>3089</v>
      </c>
      <c r="C3536" s="208" t="s">
        <v>27</v>
      </c>
      <c r="D3536" s="592">
        <v>1230913</v>
      </c>
      <c r="E3536" s="212">
        <v>45444</v>
      </c>
      <c r="F3536" s="208" t="s">
        <v>108</v>
      </c>
      <c r="G3536" s="208"/>
      <c r="H3536" s="208"/>
      <c r="I3536" s="208"/>
      <c r="J3536" s="209"/>
      <c r="K3536" s="209"/>
      <c r="L3536" s="209"/>
      <c r="M3536" s="209"/>
      <c r="N3536" s="209"/>
      <c r="O3536" s="209"/>
      <c r="P3536" s="209"/>
      <c r="Q3536" s="209"/>
      <c r="R3536" s="209"/>
      <c r="S3536" s="209"/>
      <c r="T3536" s="209"/>
    </row>
    <row r="3537" spans="1:20" ht="15" hidden="1" customHeight="1">
      <c r="A3537" s="468">
        <v>45463</v>
      </c>
      <c r="B3537" s="81" t="s">
        <v>1612</v>
      </c>
      <c r="C3537" s="208" t="s">
        <v>27</v>
      </c>
      <c r="D3537" s="592">
        <v>15960427.289999999</v>
      </c>
      <c r="E3537" s="212">
        <v>45444</v>
      </c>
      <c r="F3537" s="208" t="s">
        <v>108</v>
      </c>
      <c r="G3537" s="208"/>
      <c r="H3537" s="208"/>
      <c r="I3537" s="208"/>
      <c r="J3537" s="209"/>
      <c r="K3537" s="209"/>
      <c r="L3537" s="209"/>
      <c r="M3537" s="209"/>
      <c r="N3537" s="209"/>
      <c r="O3537" s="209"/>
      <c r="P3537" s="209"/>
      <c r="Q3537" s="209"/>
      <c r="R3537" s="209"/>
      <c r="S3537" s="209"/>
      <c r="T3537" s="209"/>
    </row>
    <row r="3538" spans="1:20" ht="15" hidden="1" customHeight="1">
      <c r="A3538" s="468">
        <v>45457</v>
      </c>
      <c r="B3538" s="655" t="s">
        <v>3015</v>
      </c>
      <c r="C3538" s="208" t="s">
        <v>27</v>
      </c>
      <c r="D3538" s="592">
        <f>-9718551*30%</f>
        <v>-2915565.3</v>
      </c>
      <c r="E3538" s="212">
        <v>45444</v>
      </c>
      <c r="F3538" s="208" t="s">
        <v>109</v>
      </c>
      <c r="G3538" s="208" t="s">
        <v>125</v>
      </c>
      <c r="H3538" s="208" t="s">
        <v>147</v>
      </c>
      <c r="I3538" s="208"/>
      <c r="J3538" s="209"/>
      <c r="K3538" s="209"/>
      <c r="L3538" s="209"/>
      <c r="M3538" s="209"/>
      <c r="N3538" s="209"/>
      <c r="O3538" s="209"/>
      <c r="P3538" s="209"/>
      <c r="Q3538" s="209"/>
      <c r="R3538" s="209"/>
      <c r="S3538" s="209"/>
      <c r="T3538" s="209"/>
    </row>
    <row r="3539" spans="1:20" ht="15" hidden="1" customHeight="1">
      <c r="A3539" s="468">
        <v>45457</v>
      </c>
      <c r="B3539" s="655" t="s">
        <v>3015</v>
      </c>
      <c r="C3539" s="208" t="s">
        <v>27</v>
      </c>
      <c r="D3539" s="592">
        <f>-9718551*20%</f>
        <v>-1943710.2000000002</v>
      </c>
      <c r="E3539" s="212">
        <v>45444</v>
      </c>
      <c r="F3539" s="208" t="s">
        <v>109</v>
      </c>
      <c r="G3539" s="201" t="s">
        <v>1306</v>
      </c>
      <c r="H3539" s="208" t="s">
        <v>147</v>
      </c>
      <c r="I3539" s="208"/>
      <c r="J3539" s="209"/>
      <c r="K3539" s="209"/>
      <c r="L3539" s="209"/>
      <c r="M3539" s="209"/>
      <c r="N3539" s="209"/>
      <c r="O3539" s="209"/>
      <c r="P3539" s="209"/>
      <c r="Q3539" s="209"/>
      <c r="R3539" s="209"/>
      <c r="S3539" s="209"/>
      <c r="T3539" s="209"/>
    </row>
    <row r="3540" spans="1:20" ht="15" hidden="1" customHeight="1">
      <c r="A3540" s="468">
        <v>45457</v>
      </c>
      <c r="B3540" s="655" t="s">
        <v>3015</v>
      </c>
      <c r="C3540" s="208" t="s">
        <v>27</v>
      </c>
      <c r="D3540" s="592">
        <f>-9718551*30%</f>
        <v>-2915565.3</v>
      </c>
      <c r="E3540" s="212">
        <v>45444</v>
      </c>
      <c r="F3540" s="208" t="s">
        <v>109</v>
      </c>
      <c r="G3540" s="201" t="s">
        <v>1261</v>
      </c>
      <c r="H3540" s="208" t="s">
        <v>147</v>
      </c>
      <c r="I3540" s="208"/>
      <c r="J3540" s="209"/>
      <c r="K3540" s="209"/>
      <c r="L3540" s="209"/>
      <c r="M3540" s="209"/>
      <c r="N3540" s="209"/>
      <c r="O3540" s="209"/>
      <c r="P3540" s="209"/>
      <c r="Q3540" s="209"/>
      <c r="R3540" s="209"/>
      <c r="S3540" s="209"/>
      <c r="T3540" s="209"/>
    </row>
    <row r="3541" spans="1:20" ht="15" hidden="1" customHeight="1">
      <c r="A3541" s="468">
        <v>45457</v>
      </c>
      <c r="B3541" s="655" t="s">
        <v>3015</v>
      </c>
      <c r="C3541" s="208" t="s">
        <v>27</v>
      </c>
      <c r="D3541" s="592">
        <f>-9718551*20%</f>
        <v>-1943710.2000000002</v>
      </c>
      <c r="E3541" s="212">
        <v>45444</v>
      </c>
      <c r="F3541" s="208" t="s">
        <v>109</v>
      </c>
      <c r="G3541" s="208" t="s">
        <v>317</v>
      </c>
      <c r="H3541" s="208" t="s">
        <v>147</v>
      </c>
      <c r="I3541" s="208"/>
      <c r="J3541" s="209"/>
      <c r="K3541" s="209"/>
      <c r="L3541" s="209"/>
      <c r="M3541" s="209"/>
      <c r="N3541" s="209"/>
      <c r="O3541" s="209"/>
      <c r="P3541" s="209"/>
      <c r="Q3541" s="209"/>
      <c r="R3541" s="209"/>
      <c r="S3541" s="209"/>
      <c r="T3541" s="209"/>
    </row>
    <row r="3542" spans="1:20" ht="15" hidden="1" customHeight="1">
      <c r="A3542" s="468">
        <v>45457</v>
      </c>
      <c r="B3542" s="655" t="s">
        <v>3015</v>
      </c>
      <c r="C3542" s="208" t="s">
        <v>27</v>
      </c>
      <c r="D3542" s="592">
        <f>-9718551*50%</f>
        <v>-4859275.5</v>
      </c>
      <c r="E3542" s="212">
        <v>45444</v>
      </c>
      <c r="F3542" s="201" t="s">
        <v>110</v>
      </c>
      <c r="G3542" s="208" t="s">
        <v>774</v>
      </c>
      <c r="H3542" s="208" t="s">
        <v>147</v>
      </c>
      <c r="I3542" s="208"/>
      <c r="J3542" s="209"/>
      <c r="K3542" s="209"/>
      <c r="L3542" s="209"/>
      <c r="M3542" s="209"/>
      <c r="N3542" s="209"/>
      <c r="O3542" s="209"/>
      <c r="P3542" s="209"/>
      <c r="Q3542" s="209"/>
      <c r="R3542" s="209"/>
      <c r="S3542" s="209"/>
      <c r="T3542" s="209"/>
    </row>
    <row r="3543" spans="1:20" ht="15" hidden="1" customHeight="1">
      <c r="A3543" s="468">
        <v>45464</v>
      </c>
      <c r="B3543" s="81" t="s">
        <v>3090</v>
      </c>
      <c r="C3543" s="208" t="s">
        <v>27</v>
      </c>
      <c r="D3543" s="592">
        <v>40000</v>
      </c>
      <c r="E3543" s="212">
        <v>45444</v>
      </c>
      <c r="F3543" s="208" t="s">
        <v>130</v>
      </c>
      <c r="G3543" s="208" t="s">
        <v>2657</v>
      </c>
      <c r="H3543" s="208" t="s">
        <v>2032</v>
      </c>
      <c r="I3543" s="208"/>
      <c r="J3543" s="209"/>
      <c r="K3543" s="209"/>
      <c r="L3543" s="209"/>
      <c r="M3543" s="209"/>
      <c r="N3543" s="209"/>
      <c r="O3543" s="209"/>
      <c r="P3543" s="209"/>
      <c r="Q3543" s="209"/>
      <c r="R3543" s="209"/>
      <c r="S3543" s="209"/>
      <c r="T3543" s="209"/>
    </row>
    <row r="3544" spans="1:20" ht="15" hidden="1" customHeight="1">
      <c r="A3544" s="468">
        <v>45461</v>
      </c>
      <c r="B3544" s="81" t="s">
        <v>3068</v>
      </c>
      <c r="C3544" s="208" t="s">
        <v>181</v>
      </c>
      <c r="D3544" s="592">
        <v>-9897800</v>
      </c>
      <c r="E3544" s="212">
        <v>45444</v>
      </c>
      <c r="F3544" s="208" t="s">
        <v>109</v>
      </c>
      <c r="G3544" s="201" t="s">
        <v>1261</v>
      </c>
      <c r="H3544" s="208" t="s">
        <v>418</v>
      </c>
      <c r="I3544" s="208"/>
      <c r="J3544" s="209"/>
      <c r="K3544" s="209"/>
      <c r="L3544" s="209"/>
      <c r="M3544" s="209"/>
      <c r="N3544" s="209"/>
      <c r="O3544" s="209"/>
      <c r="P3544" s="209"/>
      <c r="Q3544" s="209"/>
      <c r="R3544" s="209"/>
      <c r="S3544" s="209"/>
      <c r="T3544" s="209"/>
    </row>
    <row r="3545" spans="1:20" ht="15" hidden="1" customHeight="1">
      <c r="A3545" s="468">
        <v>45464</v>
      </c>
      <c r="B3545" s="84" t="s">
        <v>1834</v>
      </c>
      <c r="C3545" s="208" t="s">
        <v>181</v>
      </c>
      <c r="D3545" s="592">
        <v>4289101</v>
      </c>
      <c r="E3545" s="212">
        <v>45444</v>
      </c>
      <c r="F3545" s="635" t="s">
        <v>108</v>
      </c>
      <c r="G3545" s="635"/>
      <c r="H3545" s="208"/>
      <c r="I3545" s="208"/>
      <c r="J3545" s="209"/>
      <c r="K3545" s="209"/>
      <c r="L3545" s="209"/>
      <c r="M3545" s="209"/>
      <c r="N3545" s="209"/>
      <c r="O3545" s="209"/>
      <c r="P3545" s="209"/>
      <c r="Q3545" s="209"/>
      <c r="R3545" s="209"/>
      <c r="S3545" s="209"/>
      <c r="T3545" s="209"/>
    </row>
    <row r="3546" spans="1:20" ht="15" hidden="1" customHeight="1">
      <c r="A3546" s="468">
        <v>45462</v>
      </c>
      <c r="B3546" s="84" t="s">
        <v>3091</v>
      </c>
      <c r="C3546" s="208" t="s">
        <v>181</v>
      </c>
      <c r="D3546" s="592">
        <v>2381490</v>
      </c>
      <c r="E3546" s="212">
        <v>45444</v>
      </c>
      <c r="F3546" s="635" t="s">
        <v>108</v>
      </c>
      <c r="G3546" s="635"/>
      <c r="H3546" s="208"/>
      <c r="I3546" s="208"/>
      <c r="J3546" s="209"/>
      <c r="K3546" s="209"/>
      <c r="L3546" s="209"/>
      <c r="M3546" s="209"/>
      <c r="N3546" s="209"/>
      <c r="O3546" s="209"/>
      <c r="P3546" s="209"/>
      <c r="Q3546" s="209"/>
      <c r="R3546" s="209"/>
      <c r="S3546" s="209"/>
      <c r="T3546" s="209"/>
    </row>
    <row r="3547" spans="1:20" ht="15" hidden="1" customHeight="1">
      <c r="A3547" s="468">
        <v>45464</v>
      </c>
      <c r="B3547" s="81" t="s">
        <v>3092</v>
      </c>
      <c r="C3547" s="208" t="s">
        <v>643</v>
      </c>
      <c r="D3547" s="592">
        <v>-90580</v>
      </c>
      <c r="E3547" s="212">
        <v>45444</v>
      </c>
      <c r="F3547" s="208" t="s">
        <v>130</v>
      </c>
      <c r="G3547" s="208" t="s">
        <v>2657</v>
      </c>
      <c r="H3547" s="208" t="s">
        <v>1138</v>
      </c>
      <c r="I3547" s="208"/>
      <c r="J3547" s="209"/>
      <c r="K3547" s="209"/>
      <c r="L3547" s="209"/>
      <c r="M3547" s="209"/>
      <c r="N3547" s="209"/>
      <c r="O3547" s="209"/>
      <c r="P3547" s="209"/>
      <c r="Q3547" s="209"/>
      <c r="R3547" s="209"/>
      <c r="S3547" s="209"/>
      <c r="T3547" s="209"/>
    </row>
    <row r="3548" spans="1:20" ht="15" hidden="1" customHeight="1">
      <c r="A3548" s="468">
        <v>45463</v>
      </c>
      <c r="B3548" s="81" t="s">
        <v>3093</v>
      </c>
      <c r="C3548" s="208" t="s">
        <v>643</v>
      </c>
      <c r="D3548" s="592">
        <v>2716066.44</v>
      </c>
      <c r="E3548" s="212">
        <v>45444</v>
      </c>
      <c r="F3548" s="208" t="s">
        <v>108</v>
      </c>
      <c r="G3548" s="208"/>
      <c r="H3548" s="208"/>
      <c r="I3548" s="208"/>
      <c r="J3548" s="209"/>
      <c r="K3548" s="209"/>
      <c r="L3548" s="209"/>
      <c r="M3548" s="209"/>
      <c r="N3548" s="209"/>
      <c r="O3548" s="209"/>
      <c r="P3548" s="209"/>
      <c r="Q3548" s="209"/>
      <c r="R3548" s="209"/>
      <c r="S3548" s="209"/>
      <c r="T3548" s="209"/>
    </row>
    <row r="3549" spans="1:20" ht="15" hidden="1" customHeight="1">
      <c r="A3549" s="468">
        <v>45463</v>
      </c>
      <c r="B3549" s="81" t="s">
        <v>3094</v>
      </c>
      <c r="C3549" s="208" t="s">
        <v>643</v>
      </c>
      <c r="D3549" s="592">
        <v>-34600</v>
      </c>
      <c r="E3549" s="212">
        <v>45444</v>
      </c>
      <c r="F3549" s="208" t="s">
        <v>130</v>
      </c>
      <c r="G3549" s="208" t="s">
        <v>2657</v>
      </c>
      <c r="H3549" s="208" t="s">
        <v>1138</v>
      </c>
      <c r="I3549" s="208"/>
      <c r="J3549" s="209"/>
      <c r="K3549" s="209"/>
      <c r="L3549" s="209"/>
      <c r="M3549" s="209"/>
      <c r="N3549" s="209"/>
      <c r="O3549" s="209"/>
      <c r="P3549" s="209"/>
      <c r="Q3549" s="209"/>
      <c r="R3549" s="209"/>
      <c r="S3549" s="209"/>
      <c r="T3549" s="209"/>
    </row>
    <row r="3550" spans="1:20" ht="15" hidden="1" customHeight="1">
      <c r="A3550" s="468">
        <v>45463</v>
      </c>
      <c r="B3550" s="81" t="s">
        <v>3095</v>
      </c>
      <c r="C3550" s="208" t="s">
        <v>643</v>
      </c>
      <c r="D3550" s="592">
        <v>-36500</v>
      </c>
      <c r="E3550" s="212">
        <v>45444</v>
      </c>
      <c r="F3550" s="208" t="s">
        <v>130</v>
      </c>
      <c r="G3550" s="208" t="s">
        <v>2657</v>
      </c>
      <c r="H3550" s="208" t="s">
        <v>1138</v>
      </c>
      <c r="I3550" s="208"/>
      <c r="J3550" s="209"/>
      <c r="K3550" s="209"/>
      <c r="L3550" s="209"/>
      <c r="M3550" s="209"/>
      <c r="N3550" s="209"/>
      <c r="O3550" s="209"/>
      <c r="P3550" s="209"/>
      <c r="Q3550" s="209"/>
      <c r="R3550" s="209"/>
      <c r="S3550" s="209"/>
      <c r="T3550" s="209"/>
    </row>
    <row r="3551" spans="1:20" ht="15" hidden="1" customHeight="1">
      <c r="A3551" s="468">
        <v>45462</v>
      </c>
      <c r="B3551" s="81" t="s">
        <v>3096</v>
      </c>
      <c r="C3551" s="208" t="s">
        <v>643</v>
      </c>
      <c r="D3551" s="592">
        <v>-68090</v>
      </c>
      <c r="E3551" s="212">
        <v>45444</v>
      </c>
      <c r="F3551" s="208" t="s">
        <v>130</v>
      </c>
      <c r="G3551" s="208" t="s">
        <v>2657</v>
      </c>
      <c r="H3551" s="208" t="s">
        <v>1138</v>
      </c>
      <c r="I3551" s="208"/>
      <c r="J3551" s="209"/>
      <c r="K3551" s="209"/>
      <c r="L3551" s="209"/>
      <c r="M3551" s="209"/>
      <c r="N3551" s="209"/>
      <c r="O3551" s="209"/>
      <c r="P3551" s="209"/>
      <c r="Q3551" s="209"/>
      <c r="R3551" s="209"/>
      <c r="S3551" s="209"/>
      <c r="T3551" s="209"/>
    </row>
    <row r="3552" spans="1:20" ht="15" hidden="1" customHeight="1">
      <c r="A3552" s="468">
        <v>45462</v>
      </c>
      <c r="B3552" s="81" t="s">
        <v>3097</v>
      </c>
      <c r="C3552" s="208" t="s">
        <v>643</v>
      </c>
      <c r="D3552" s="592">
        <v>-59000</v>
      </c>
      <c r="E3552" s="212">
        <v>45444</v>
      </c>
      <c r="F3552" s="208" t="s">
        <v>130</v>
      </c>
      <c r="G3552" s="208" t="s">
        <v>2657</v>
      </c>
      <c r="H3552" s="208" t="s">
        <v>1138</v>
      </c>
      <c r="I3552" s="208"/>
      <c r="J3552" s="209"/>
      <c r="K3552" s="209"/>
      <c r="L3552" s="209"/>
      <c r="M3552" s="209"/>
      <c r="N3552" s="209"/>
      <c r="O3552" s="209"/>
      <c r="P3552" s="209"/>
      <c r="Q3552" s="209"/>
      <c r="R3552" s="209"/>
      <c r="S3552" s="209"/>
      <c r="T3552" s="209"/>
    </row>
    <row r="3553" spans="1:20" ht="15" hidden="1" customHeight="1">
      <c r="A3553" s="468">
        <v>45462</v>
      </c>
      <c r="B3553" s="81" t="s">
        <v>3098</v>
      </c>
      <c r="C3553" s="208" t="s">
        <v>643</v>
      </c>
      <c r="D3553" s="592">
        <v>-21000</v>
      </c>
      <c r="E3553" s="212">
        <v>45444</v>
      </c>
      <c r="F3553" s="208" t="s">
        <v>130</v>
      </c>
      <c r="G3553" s="208" t="s">
        <v>2657</v>
      </c>
      <c r="H3553" s="208" t="s">
        <v>1138</v>
      </c>
      <c r="I3553" s="208"/>
      <c r="J3553" s="209"/>
      <c r="K3553" s="209"/>
      <c r="L3553" s="209"/>
      <c r="M3553" s="209"/>
      <c r="N3553" s="209"/>
      <c r="O3553" s="209"/>
      <c r="P3553" s="209"/>
      <c r="Q3553" s="209"/>
      <c r="R3553" s="209"/>
      <c r="S3553" s="209"/>
      <c r="T3553" s="209"/>
    </row>
    <row r="3554" spans="1:20" ht="15" hidden="1" customHeight="1">
      <c r="A3554" s="468">
        <v>45462</v>
      </c>
      <c r="B3554" s="81" t="s">
        <v>3099</v>
      </c>
      <c r="C3554" s="208" t="s">
        <v>643</v>
      </c>
      <c r="D3554" s="592">
        <v>-41223.79</v>
      </c>
      <c r="E3554" s="212">
        <v>45444</v>
      </c>
      <c r="F3554" s="208" t="s">
        <v>130</v>
      </c>
      <c r="G3554" s="208" t="s">
        <v>130</v>
      </c>
      <c r="H3554" s="208" t="s">
        <v>143</v>
      </c>
      <c r="I3554" s="208"/>
      <c r="J3554" s="209"/>
      <c r="K3554" s="209"/>
      <c r="L3554" s="209"/>
      <c r="M3554" s="209"/>
      <c r="N3554" s="209"/>
      <c r="O3554" s="209"/>
      <c r="P3554" s="209"/>
      <c r="Q3554" s="209"/>
      <c r="R3554" s="209"/>
      <c r="S3554" s="209"/>
      <c r="T3554" s="209"/>
    </row>
    <row r="3555" spans="1:20" ht="15" hidden="1" customHeight="1">
      <c r="A3555" s="468">
        <v>45462</v>
      </c>
      <c r="B3555" s="81" t="s">
        <v>3100</v>
      </c>
      <c r="C3555" s="208" t="s">
        <v>643</v>
      </c>
      <c r="D3555" s="592">
        <v>-1199550.8600000001</v>
      </c>
      <c r="E3555" s="212">
        <v>45444</v>
      </c>
      <c r="F3555" s="208" t="s">
        <v>130</v>
      </c>
      <c r="G3555" s="208" t="s">
        <v>130</v>
      </c>
      <c r="H3555" s="208" t="s">
        <v>143</v>
      </c>
      <c r="I3555" s="208"/>
      <c r="J3555" s="209"/>
      <c r="K3555" s="209"/>
      <c r="L3555" s="209"/>
      <c r="M3555" s="209"/>
      <c r="N3555" s="209"/>
      <c r="O3555" s="209"/>
      <c r="P3555" s="209"/>
      <c r="Q3555" s="209"/>
      <c r="R3555" s="209"/>
      <c r="S3555" s="209"/>
      <c r="T3555" s="209"/>
    </row>
    <row r="3556" spans="1:20" ht="15" hidden="1" customHeight="1">
      <c r="A3556" s="468">
        <v>45461</v>
      </c>
      <c r="B3556" s="81" t="s">
        <v>3101</v>
      </c>
      <c r="C3556" s="208" t="s">
        <v>643</v>
      </c>
      <c r="D3556" s="592">
        <v>-70000</v>
      </c>
      <c r="E3556" s="212">
        <v>45444</v>
      </c>
      <c r="F3556" s="208" t="s">
        <v>130</v>
      </c>
      <c r="G3556" s="208" t="s">
        <v>2657</v>
      </c>
      <c r="H3556" s="208" t="s">
        <v>1138</v>
      </c>
      <c r="I3556" s="208"/>
      <c r="J3556" s="209"/>
      <c r="K3556" s="209"/>
      <c r="L3556" s="209"/>
      <c r="M3556" s="209"/>
      <c r="N3556" s="209"/>
      <c r="O3556" s="209"/>
      <c r="P3556" s="209"/>
      <c r="Q3556" s="209"/>
      <c r="R3556" s="209"/>
      <c r="S3556" s="209"/>
      <c r="T3556" s="209"/>
    </row>
    <row r="3557" spans="1:20" ht="15" hidden="1" customHeight="1">
      <c r="A3557" s="468">
        <v>45461</v>
      </c>
      <c r="B3557" s="81" t="s">
        <v>3018</v>
      </c>
      <c r="C3557" s="208" t="s">
        <v>643</v>
      </c>
      <c r="D3557" s="592">
        <v>-632900</v>
      </c>
      <c r="E3557" s="212">
        <v>45444</v>
      </c>
      <c r="F3557" s="208" t="s">
        <v>130</v>
      </c>
      <c r="G3557" s="208" t="s">
        <v>2657</v>
      </c>
      <c r="H3557" s="208" t="s">
        <v>2272</v>
      </c>
      <c r="I3557" s="208"/>
      <c r="J3557" s="209"/>
      <c r="K3557" s="209"/>
      <c r="L3557" s="209"/>
      <c r="M3557" s="209"/>
      <c r="N3557" s="209"/>
      <c r="O3557" s="209"/>
      <c r="P3557" s="209"/>
      <c r="Q3557" s="209"/>
      <c r="R3557" s="209"/>
      <c r="S3557" s="209"/>
      <c r="T3557" s="209"/>
    </row>
    <row r="3558" spans="1:20" ht="15" hidden="1" customHeight="1">
      <c r="A3558" s="468">
        <v>45461</v>
      </c>
      <c r="B3558" s="81" t="s">
        <v>3102</v>
      </c>
      <c r="C3558" s="208" t="s">
        <v>643</v>
      </c>
      <c r="D3558" s="592">
        <v>-84400</v>
      </c>
      <c r="E3558" s="212">
        <v>45444</v>
      </c>
      <c r="F3558" s="208" t="s">
        <v>130</v>
      </c>
      <c r="G3558" s="208" t="s">
        <v>2657</v>
      </c>
      <c r="H3558" s="208" t="s">
        <v>1138</v>
      </c>
      <c r="I3558" s="208"/>
      <c r="J3558" s="209"/>
      <c r="K3558" s="209"/>
      <c r="L3558" s="209"/>
      <c r="M3558" s="209"/>
      <c r="N3558" s="209"/>
      <c r="O3558" s="209"/>
      <c r="P3558" s="209"/>
      <c r="Q3558" s="209"/>
      <c r="R3558" s="209"/>
      <c r="S3558" s="209"/>
      <c r="T3558" s="209"/>
    </row>
    <row r="3559" spans="1:20" ht="15" hidden="1" customHeight="1">
      <c r="A3559" s="468">
        <v>45461</v>
      </c>
      <c r="B3559" s="81" t="s">
        <v>3103</v>
      </c>
      <c r="C3559" s="208" t="s">
        <v>643</v>
      </c>
      <c r="D3559" s="592">
        <v>-50800</v>
      </c>
      <c r="E3559" s="212">
        <v>45444</v>
      </c>
      <c r="F3559" s="208" t="s">
        <v>130</v>
      </c>
      <c r="G3559" s="208" t="s">
        <v>2657</v>
      </c>
      <c r="H3559" s="208" t="s">
        <v>1138</v>
      </c>
      <c r="I3559" s="208"/>
      <c r="J3559" s="209"/>
      <c r="K3559" s="209"/>
      <c r="L3559" s="209"/>
      <c r="M3559" s="209"/>
      <c r="N3559" s="209"/>
      <c r="O3559" s="209"/>
      <c r="P3559" s="209"/>
      <c r="Q3559" s="209"/>
      <c r="R3559" s="209"/>
      <c r="S3559" s="209"/>
      <c r="T3559" s="209"/>
    </row>
    <row r="3560" spans="1:20" ht="15" hidden="1" customHeight="1">
      <c r="A3560" s="468">
        <v>45460</v>
      </c>
      <c r="B3560" s="81" t="s">
        <v>3104</v>
      </c>
      <c r="C3560" s="208" t="s">
        <v>643</v>
      </c>
      <c r="D3560" s="592">
        <v>-12500</v>
      </c>
      <c r="E3560" s="212">
        <v>45444</v>
      </c>
      <c r="F3560" s="208" t="s">
        <v>130</v>
      </c>
      <c r="G3560" s="208" t="s">
        <v>2657</v>
      </c>
      <c r="H3560" s="208" t="s">
        <v>1138</v>
      </c>
      <c r="I3560" s="208"/>
      <c r="J3560" s="209"/>
      <c r="K3560" s="209"/>
      <c r="L3560" s="209"/>
      <c r="M3560" s="209"/>
      <c r="N3560" s="209"/>
      <c r="O3560" s="209"/>
      <c r="P3560" s="209"/>
      <c r="Q3560" s="209"/>
      <c r="R3560" s="209"/>
      <c r="S3560" s="209"/>
      <c r="T3560" s="209"/>
    </row>
    <row r="3561" spans="1:20" ht="15" hidden="1" customHeight="1">
      <c r="A3561" s="468">
        <v>45460</v>
      </c>
      <c r="B3561" s="81" t="s">
        <v>3105</v>
      </c>
      <c r="C3561" s="208" t="s">
        <v>643</v>
      </c>
      <c r="D3561" s="592">
        <v>-74000</v>
      </c>
      <c r="E3561" s="212">
        <v>45444</v>
      </c>
      <c r="F3561" s="208" t="s">
        <v>130</v>
      </c>
      <c r="G3561" s="208" t="s">
        <v>2657</v>
      </c>
      <c r="H3561" s="208" t="s">
        <v>1138</v>
      </c>
      <c r="I3561" s="208"/>
      <c r="J3561" s="209"/>
      <c r="K3561" s="209"/>
      <c r="L3561" s="209"/>
      <c r="M3561" s="209"/>
      <c r="N3561" s="209"/>
      <c r="O3561" s="209"/>
      <c r="P3561" s="209"/>
      <c r="Q3561" s="209"/>
      <c r="R3561" s="209"/>
      <c r="S3561" s="209"/>
      <c r="T3561" s="209"/>
    </row>
    <row r="3562" spans="1:20" ht="15" hidden="1" customHeight="1">
      <c r="A3562" s="468">
        <v>45460</v>
      </c>
      <c r="B3562" s="81" t="s">
        <v>3106</v>
      </c>
      <c r="C3562" s="208" t="s">
        <v>643</v>
      </c>
      <c r="D3562" s="592">
        <v>-129694.42</v>
      </c>
      <c r="E3562" s="212">
        <v>45444</v>
      </c>
      <c r="F3562" s="208" t="s">
        <v>130</v>
      </c>
      <c r="G3562" s="208" t="s">
        <v>3107</v>
      </c>
      <c r="H3562" s="208" t="s">
        <v>663</v>
      </c>
      <c r="I3562" s="208"/>
      <c r="J3562" s="209"/>
      <c r="K3562" s="209"/>
      <c r="L3562" s="209"/>
      <c r="M3562" s="209"/>
      <c r="N3562" s="209"/>
      <c r="O3562" s="209"/>
      <c r="P3562" s="209"/>
      <c r="Q3562" s="209"/>
      <c r="R3562" s="209"/>
      <c r="S3562" s="209"/>
      <c r="T3562" s="209"/>
    </row>
    <row r="3563" spans="1:20" ht="15" hidden="1" customHeight="1">
      <c r="A3563" s="468">
        <v>45461</v>
      </c>
      <c r="B3563" s="208" t="s">
        <v>3108</v>
      </c>
      <c r="C3563" s="208" t="s">
        <v>146</v>
      </c>
      <c r="D3563" s="592">
        <v>-14000</v>
      </c>
      <c r="E3563" s="212">
        <v>45444</v>
      </c>
      <c r="F3563" s="208" t="s">
        <v>130</v>
      </c>
      <c r="G3563" s="656" t="s">
        <v>130</v>
      </c>
      <c r="H3563" s="208" t="s">
        <v>2590</v>
      </c>
      <c r="I3563" s="208" t="s">
        <v>3043</v>
      </c>
      <c r="J3563" s="209"/>
      <c r="K3563" s="209"/>
      <c r="L3563" s="209"/>
      <c r="M3563" s="209"/>
      <c r="N3563" s="209"/>
      <c r="O3563" s="209"/>
      <c r="P3563" s="209"/>
      <c r="Q3563" s="209"/>
      <c r="R3563" s="209"/>
      <c r="S3563" s="209"/>
      <c r="T3563" s="209"/>
    </row>
    <row r="3564" spans="1:20" ht="15" hidden="1" customHeight="1">
      <c r="A3564" s="468">
        <v>45461</v>
      </c>
      <c r="B3564" s="208" t="s">
        <v>3109</v>
      </c>
      <c r="C3564" s="208" t="s">
        <v>146</v>
      </c>
      <c r="D3564" s="592">
        <v>-11599</v>
      </c>
      <c r="E3564" s="212">
        <v>45444</v>
      </c>
      <c r="F3564" s="208" t="s">
        <v>109</v>
      </c>
      <c r="G3564" s="208" t="s">
        <v>120</v>
      </c>
      <c r="H3564" s="208" t="s">
        <v>175</v>
      </c>
      <c r="I3564" s="208" t="s">
        <v>3043</v>
      </c>
      <c r="J3564" s="209"/>
      <c r="K3564" s="209"/>
      <c r="L3564" s="209"/>
      <c r="M3564" s="209"/>
      <c r="N3564" s="209"/>
      <c r="O3564" s="209"/>
      <c r="P3564" s="209"/>
      <c r="Q3564" s="209"/>
      <c r="R3564" s="209"/>
      <c r="S3564" s="209"/>
      <c r="T3564" s="209"/>
    </row>
    <row r="3565" spans="1:20" ht="15" hidden="1" customHeight="1">
      <c r="A3565" s="468">
        <v>45461</v>
      </c>
      <c r="B3565" s="208" t="s">
        <v>3110</v>
      </c>
      <c r="C3565" s="208" t="s">
        <v>146</v>
      </c>
      <c r="D3565" s="592">
        <v>-30000</v>
      </c>
      <c r="E3565" s="212">
        <v>45444</v>
      </c>
      <c r="F3565" s="208" t="s">
        <v>109</v>
      </c>
      <c r="G3565" s="208" t="s">
        <v>120</v>
      </c>
      <c r="H3565" s="208" t="s">
        <v>175</v>
      </c>
      <c r="I3565" s="208" t="s">
        <v>3043</v>
      </c>
      <c r="J3565" s="209"/>
      <c r="K3565" s="209"/>
      <c r="L3565" s="209"/>
      <c r="M3565" s="209"/>
      <c r="N3565" s="209"/>
      <c r="O3565" s="209"/>
      <c r="P3565" s="209"/>
      <c r="Q3565" s="209"/>
      <c r="R3565" s="209"/>
      <c r="S3565" s="209"/>
      <c r="T3565" s="209"/>
    </row>
    <row r="3566" spans="1:20" ht="15" hidden="1" customHeight="1">
      <c r="A3566" s="468">
        <v>45461</v>
      </c>
      <c r="B3566" s="208" t="s">
        <v>3111</v>
      </c>
      <c r="C3566" s="208" t="s">
        <v>146</v>
      </c>
      <c r="D3566" s="592">
        <v>-95000</v>
      </c>
      <c r="E3566" s="212">
        <v>45444</v>
      </c>
      <c r="F3566" s="208" t="s">
        <v>109</v>
      </c>
      <c r="G3566" s="208" t="s">
        <v>120</v>
      </c>
      <c r="H3566" s="208" t="s">
        <v>175</v>
      </c>
      <c r="I3566" s="208" t="s">
        <v>3043</v>
      </c>
      <c r="J3566" s="209"/>
      <c r="K3566" s="209"/>
      <c r="L3566" s="209"/>
      <c r="M3566" s="209"/>
      <c r="N3566" s="209"/>
      <c r="O3566" s="209"/>
      <c r="P3566" s="209"/>
      <c r="Q3566" s="209"/>
      <c r="R3566" s="209"/>
      <c r="S3566" s="209"/>
      <c r="T3566" s="209"/>
    </row>
    <row r="3567" spans="1:20" ht="15" hidden="1" customHeight="1">
      <c r="A3567" s="468">
        <v>45462</v>
      </c>
      <c r="B3567" s="208" t="s">
        <v>3112</v>
      </c>
      <c r="C3567" s="208" t="s">
        <v>269</v>
      </c>
      <c r="D3567" s="592">
        <v>-2000</v>
      </c>
      <c r="E3567" s="212">
        <v>45444</v>
      </c>
      <c r="F3567" s="208" t="s">
        <v>130</v>
      </c>
      <c r="G3567" s="657" t="s">
        <v>130</v>
      </c>
      <c r="H3567" s="208" t="s">
        <v>2590</v>
      </c>
      <c r="I3567" s="208" t="s">
        <v>3043</v>
      </c>
      <c r="J3567" s="209"/>
      <c r="K3567" s="209"/>
      <c r="L3567" s="209"/>
      <c r="M3567" s="209"/>
      <c r="N3567" s="209"/>
      <c r="O3567" s="209"/>
      <c r="P3567" s="209"/>
      <c r="Q3567" s="209"/>
      <c r="R3567" s="209"/>
      <c r="S3567" s="209"/>
      <c r="T3567" s="209"/>
    </row>
    <row r="3568" spans="1:20" ht="15" hidden="1" customHeight="1">
      <c r="A3568" s="468">
        <v>45462</v>
      </c>
      <c r="B3568" s="208" t="s">
        <v>3113</v>
      </c>
      <c r="C3568" s="208" t="s">
        <v>269</v>
      </c>
      <c r="D3568" s="592">
        <v>-33500</v>
      </c>
      <c r="E3568" s="212">
        <v>45444</v>
      </c>
      <c r="F3568" s="208" t="s">
        <v>130</v>
      </c>
      <c r="G3568" s="590" t="s">
        <v>130</v>
      </c>
      <c r="H3568" s="208" t="s">
        <v>2590</v>
      </c>
      <c r="I3568" s="208" t="s">
        <v>3043</v>
      </c>
      <c r="J3568" s="209"/>
      <c r="K3568" s="209"/>
      <c r="L3568" s="209"/>
      <c r="M3568" s="209"/>
      <c r="N3568" s="209"/>
      <c r="O3568" s="209"/>
      <c r="P3568" s="209"/>
      <c r="Q3568" s="209"/>
      <c r="R3568" s="209"/>
      <c r="S3568" s="209"/>
      <c r="T3568" s="209"/>
    </row>
    <row r="3569" spans="1:20" ht="15" hidden="1" customHeight="1">
      <c r="A3569" s="468">
        <v>45462</v>
      </c>
      <c r="B3569" s="208" t="s">
        <v>3114</v>
      </c>
      <c r="C3569" s="208" t="s">
        <v>269</v>
      </c>
      <c r="D3569" s="592">
        <v>-40500</v>
      </c>
      <c r="E3569" s="212">
        <v>45444</v>
      </c>
      <c r="F3569" s="208" t="s">
        <v>109</v>
      </c>
      <c r="G3569" s="208" t="s">
        <v>120</v>
      </c>
      <c r="H3569" s="208" t="s">
        <v>175</v>
      </c>
      <c r="I3569" s="208" t="s">
        <v>3043</v>
      </c>
      <c r="J3569" s="209"/>
      <c r="K3569" s="209"/>
      <c r="L3569" s="209"/>
      <c r="M3569" s="209"/>
      <c r="N3569" s="209"/>
      <c r="O3569" s="209"/>
      <c r="P3569" s="209"/>
      <c r="Q3569" s="209"/>
      <c r="R3569" s="209"/>
      <c r="S3569" s="209"/>
      <c r="T3569" s="209"/>
    </row>
    <row r="3570" spans="1:20" ht="15" hidden="1" customHeight="1">
      <c r="A3570" s="468">
        <v>45462</v>
      </c>
      <c r="B3570" s="208" t="s">
        <v>3115</v>
      </c>
      <c r="C3570" s="208" t="s">
        <v>269</v>
      </c>
      <c r="D3570" s="592">
        <v>-43000</v>
      </c>
      <c r="E3570" s="212">
        <v>45444</v>
      </c>
      <c r="F3570" s="208" t="s">
        <v>207</v>
      </c>
      <c r="G3570" s="223"/>
      <c r="H3570" s="208"/>
      <c r="I3570" s="208" t="s">
        <v>3043</v>
      </c>
      <c r="J3570" s="209"/>
      <c r="K3570" s="209"/>
      <c r="L3570" s="209"/>
      <c r="M3570" s="209"/>
      <c r="N3570" s="209"/>
      <c r="O3570" s="209"/>
      <c r="P3570" s="209"/>
      <c r="Q3570" s="209"/>
      <c r="R3570" s="209"/>
      <c r="S3570" s="209"/>
      <c r="T3570" s="209"/>
    </row>
    <row r="3571" spans="1:20" ht="15" hidden="1" customHeight="1">
      <c r="A3571" s="468">
        <v>45462</v>
      </c>
      <c r="B3571" s="208" t="s">
        <v>3116</v>
      </c>
      <c r="C3571" s="208" t="s">
        <v>269</v>
      </c>
      <c r="D3571" s="592">
        <v>-2000</v>
      </c>
      <c r="E3571" s="212">
        <v>45444</v>
      </c>
      <c r="F3571" s="208" t="s">
        <v>207</v>
      </c>
      <c r="G3571" s="223"/>
      <c r="H3571" s="208"/>
      <c r="I3571" s="208" t="s">
        <v>3043</v>
      </c>
      <c r="J3571" s="209"/>
      <c r="K3571" s="209"/>
      <c r="L3571" s="209"/>
      <c r="M3571" s="209"/>
      <c r="N3571" s="209"/>
      <c r="O3571" s="209"/>
      <c r="P3571" s="209"/>
      <c r="Q3571" s="209"/>
      <c r="R3571" s="209"/>
      <c r="S3571" s="209"/>
      <c r="T3571" s="209"/>
    </row>
    <row r="3572" spans="1:20" ht="15" hidden="1" customHeight="1">
      <c r="A3572" s="468">
        <v>45462</v>
      </c>
      <c r="B3572" s="208" t="s">
        <v>3117</v>
      </c>
      <c r="C3572" s="208" t="s">
        <v>269</v>
      </c>
      <c r="D3572" s="592">
        <v>-15000</v>
      </c>
      <c r="E3572" s="212">
        <v>45444</v>
      </c>
      <c r="F3572" s="208" t="s">
        <v>109</v>
      </c>
      <c r="G3572" s="208" t="s">
        <v>120</v>
      </c>
      <c r="H3572" s="208"/>
      <c r="I3572" s="208" t="s">
        <v>3043</v>
      </c>
      <c r="J3572" s="209"/>
      <c r="K3572" s="209"/>
      <c r="L3572" s="209"/>
      <c r="M3572" s="209"/>
      <c r="N3572" s="209"/>
      <c r="O3572" s="209"/>
      <c r="P3572" s="209"/>
      <c r="Q3572" s="209"/>
      <c r="R3572" s="209"/>
      <c r="S3572" s="209"/>
      <c r="T3572" s="209"/>
    </row>
    <row r="3573" spans="1:20" ht="15" hidden="1" customHeight="1">
      <c r="A3573" s="468">
        <v>45462</v>
      </c>
      <c r="B3573" s="208" t="s">
        <v>3118</v>
      </c>
      <c r="C3573" s="208" t="s">
        <v>269</v>
      </c>
      <c r="D3573" s="592">
        <v>-6000</v>
      </c>
      <c r="E3573" s="212">
        <v>45444</v>
      </c>
      <c r="F3573" s="201" t="s">
        <v>110</v>
      </c>
      <c r="G3573" s="208" t="s">
        <v>774</v>
      </c>
      <c r="H3573" s="208" t="s">
        <v>175</v>
      </c>
      <c r="I3573" s="208" t="s">
        <v>3043</v>
      </c>
      <c r="J3573" s="209"/>
      <c r="K3573" s="209"/>
      <c r="L3573" s="209"/>
      <c r="M3573" s="209"/>
      <c r="N3573" s="209"/>
      <c r="O3573" s="209"/>
      <c r="P3573" s="209"/>
      <c r="Q3573" s="209"/>
      <c r="R3573" s="209"/>
      <c r="S3573" s="209"/>
      <c r="T3573" s="209"/>
    </row>
    <row r="3574" spans="1:20" ht="15" hidden="1" customHeight="1">
      <c r="A3574" s="468">
        <v>45463</v>
      </c>
      <c r="B3574" s="208" t="s">
        <v>3119</v>
      </c>
      <c r="C3574" s="208" t="s">
        <v>269</v>
      </c>
      <c r="D3574" s="592">
        <v>-6900</v>
      </c>
      <c r="E3574" s="212">
        <v>45444</v>
      </c>
      <c r="F3574" s="208" t="s">
        <v>109</v>
      </c>
      <c r="G3574" s="208" t="s">
        <v>120</v>
      </c>
      <c r="H3574" s="208" t="s">
        <v>175</v>
      </c>
      <c r="I3574" s="208" t="s">
        <v>3043</v>
      </c>
      <c r="J3574" s="209"/>
      <c r="K3574" s="209"/>
      <c r="L3574" s="209"/>
      <c r="M3574" s="209"/>
      <c r="N3574" s="209"/>
      <c r="O3574" s="209"/>
      <c r="P3574" s="209"/>
      <c r="Q3574" s="209"/>
      <c r="R3574" s="209"/>
      <c r="S3574" s="209"/>
      <c r="T3574" s="209"/>
    </row>
    <row r="3575" spans="1:20" ht="15" hidden="1" customHeight="1">
      <c r="A3575" s="468">
        <v>45463</v>
      </c>
      <c r="B3575" s="208" t="s">
        <v>3120</v>
      </c>
      <c r="C3575" s="208" t="s">
        <v>269</v>
      </c>
      <c r="D3575" s="592">
        <v>-10000</v>
      </c>
      <c r="E3575" s="212">
        <v>45444</v>
      </c>
      <c r="F3575" s="208" t="s">
        <v>109</v>
      </c>
      <c r="G3575" s="208" t="s">
        <v>120</v>
      </c>
      <c r="H3575" s="208" t="s">
        <v>175</v>
      </c>
      <c r="I3575" s="208" t="s">
        <v>3043</v>
      </c>
      <c r="J3575" s="209"/>
      <c r="K3575" s="209"/>
      <c r="L3575" s="209"/>
      <c r="M3575" s="209"/>
      <c r="N3575" s="209"/>
      <c r="O3575" s="209"/>
      <c r="P3575" s="209"/>
      <c r="Q3575" s="209"/>
      <c r="R3575" s="209"/>
      <c r="S3575" s="209"/>
      <c r="T3575" s="209"/>
    </row>
    <row r="3576" spans="1:20" ht="15" hidden="1" customHeight="1">
      <c r="A3576" s="468">
        <v>45463</v>
      </c>
      <c r="B3576" s="208" t="s">
        <v>3121</v>
      </c>
      <c r="C3576" s="208" t="s">
        <v>269</v>
      </c>
      <c r="D3576" s="592">
        <v>-6000</v>
      </c>
      <c r="E3576" s="212">
        <v>45444</v>
      </c>
      <c r="F3576" s="208" t="s">
        <v>109</v>
      </c>
      <c r="G3576" s="208" t="s">
        <v>120</v>
      </c>
      <c r="H3576" s="208" t="s">
        <v>138</v>
      </c>
      <c r="I3576" s="208" t="s">
        <v>3043</v>
      </c>
      <c r="J3576" s="209"/>
      <c r="K3576" s="209"/>
      <c r="L3576" s="209"/>
      <c r="M3576" s="209"/>
      <c r="N3576" s="209"/>
      <c r="O3576" s="209"/>
      <c r="P3576" s="209"/>
      <c r="Q3576" s="209"/>
      <c r="R3576" s="209"/>
      <c r="S3576" s="209"/>
      <c r="T3576" s="209"/>
    </row>
    <row r="3577" spans="1:20" ht="15" hidden="1" customHeight="1">
      <c r="A3577" s="468">
        <v>45463</v>
      </c>
      <c r="B3577" s="208" t="s">
        <v>3122</v>
      </c>
      <c r="C3577" s="208" t="s">
        <v>269</v>
      </c>
      <c r="D3577" s="592">
        <v>-50000</v>
      </c>
      <c r="E3577" s="212">
        <v>45444</v>
      </c>
      <c r="F3577" s="201" t="s">
        <v>110</v>
      </c>
      <c r="G3577" s="208" t="s">
        <v>774</v>
      </c>
      <c r="H3577" s="208" t="s">
        <v>175</v>
      </c>
      <c r="I3577" s="208" t="s">
        <v>3043</v>
      </c>
      <c r="J3577" s="209"/>
      <c r="K3577" s="209"/>
      <c r="L3577" s="209"/>
      <c r="M3577" s="209"/>
      <c r="N3577" s="209"/>
      <c r="O3577" s="209"/>
      <c r="P3577" s="209"/>
      <c r="Q3577" s="209"/>
      <c r="R3577" s="209"/>
      <c r="S3577" s="209"/>
      <c r="T3577" s="209"/>
    </row>
    <row r="3578" spans="1:20" ht="15" hidden="1" customHeight="1">
      <c r="A3578" s="468">
        <v>45463</v>
      </c>
      <c r="B3578" s="208" t="s">
        <v>3123</v>
      </c>
      <c r="C3578" s="208" t="s">
        <v>269</v>
      </c>
      <c r="D3578" s="592">
        <v>-25833</v>
      </c>
      <c r="E3578" s="212">
        <v>45444</v>
      </c>
      <c r="F3578" s="208" t="s">
        <v>109</v>
      </c>
      <c r="G3578" s="201" t="s">
        <v>1261</v>
      </c>
      <c r="H3578" s="208" t="s">
        <v>175</v>
      </c>
      <c r="I3578" s="208" t="s">
        <v>3043</v>
      </c>
      <c r="J3578" s="209"/>
      <c r="K3578" s="209"/>
      <c r="L3578" s="209"/>
      <c r="M3578" s="209"/>
      <c r="N3578" s="209"/>
      <c r="O3578" s="209"/>
      <c r="P3578" s="209"/>
      <c r="Q3578" s="209"/>
      <c r="R3578" s="209"/>
      <c r="S3578" s="209"/>
      <c r="T3578" s="209"/>
    </row>
    <row r="3579" spans="1:20" ht="15" hidden="1" customHeight="1">
      <c r="A3579" s="468">
        <v>45463</v>
      </c>
      <c r="B3579" s="208" t="s">
        <v>3124</v>
      </c>
      <c r="C3579" s="208" t="s">
        <v>269</v>
      </c>
      <c r="D3579" s="592">
        <v>-32800</v>
      </c>
      <c r="E3579" s="212">
        <v>45444</v>
      </c>
      <c r="F3579" s="201" t="s">
        <v>110</v>
      </c>
      <c r="G3579" s="208" t="s">
        <v>774</v>
      </c>
      <c r="H3579" s="208" t="s">
        <v>175</v>
      </c>
      <c r="I3579" s="208" t="s">
        <v>3043</v>
      </c>
      <c r="J3579" s="209"/>
      <c r="K3579" s="209"/>
      <c r="L3579" s="209"/>
      <c r="M3579" s="209"/>
      <c r="N3579" s="209"/>
      <c r="O3579" s="209"/>
      <c r="P3579" s="209"/>
      <c r="Q3579" s="209"/>
      <c r="R3579" s="209"/>
      <c r="S3579" s="209"/>
      <c r="T3579" s="209"/>
    </row>
    <row r="3580" spans="1:20" ht="15" hidden="1" customHeight="1">
      <c r="A3580" s="468">
        <v>45463</v>
      </c>
      <c r="B3580" s="208" t="s">
        <v>3125</v>
      </c>
      <c r="C3580" s="208" t="s">
        <v>269</v>
      </c>
      <c r="D3580" s="592">
        <v>-24000</v>
      </c>
      <c r="E3580" s="212">
        <v>45444</v>
      </c>
      <c r="F3580" s="208" t="s">
        <v>109</v>
      </c>
      <c r="G3580" s="208" t="s">
        <v>120</v>
      </c>
      <c r="H3580" s="208"/>
      <c r="I3580" s="208" t="s">
        <v>3043</v>
      </c>
      <c r="J3580" s="209"/>
      <c r="K3580" s="209"/>
      <c r="L3580" s="209"/>
      <c r="M3580" s="209"/>
      <c r="N3580" s="209"/>
      <c r="O3580" s="209"/>
      <c r="P3580" s="209"/>
      <c r="Q3580" s="209"/>
      <c r="R3580" s="209"/>
      <c r="S3580" s="209"/>
      <c r="T3580" s="209"/>
    </row>
    <row r="3581" spans="1:20" ht="15" hidden="1" customHeight="1">
      <c r="A3581" s="468">
        <v>45402</v>
      </c>
      <c r="B3581" s="208" t="s">
        <v>3126</v>
      </c>
      <c r="C3581" s="208" t="s">
        <v>146</v>
      </c>
      <c r="D3581" s="592">
        <v>-9963</v>
      </c>
      <c r="E3581" s="212">
        <v>45444</v>
      </c>
      <c r="F3581" s="208" t="s">
        <v>109</v>
      </c>
      <c r="G3581" s="201" t="s">
        <v>1261</v>
      </c>
      <c r="H3581" s="208" t="s">
        <v>175</v>
      </c>
      <c r="I3581" s="208" t="s">
        <v>3043</v>
      </c>
      <c r="J3581" s="209"/>
      <c r="K3581" s="209"/>
      <c r="L3581" s="209"/>
      <c r="M3581" s="209"/>
      <c r="N3581" s="209"/>
      <c r="O3581" s="209"/>
      <c r="P3581" s="209"/>
      <c r="Q3581" s="209"/>
      <c r="R3581" s="209"/>
      <c r="S3581" s="209"/>
      <c r="T3581" s="209"/>
    </row>
    <row r="3582" spans="1:20" ht="15" hidden="1" customHeight="1">
      <c r="A3582" s="468">
        <v>45402</v>
      </c>
      <c r="B3582" s="208" t="s">
        <v>3127</v>
      </c>
      <c r="C3582" s="208" t="s">
        <v>146</v>
      </c>
      <c r="D3582" s="592">
        <v>-30000</v>
      </c>
      <c r="E3582" s="212">
        <v>45444</v>
      </c>
      <c r="F3582" s="208" t="s">
        <v>109</v>
      </c>
      <c r="G3582" s="208" t="s">
        <v>120</v>
      </c>
      <c r="H3582" s="208"/>
      <c r="I3582" s="208" t="s">
        <v>3043</v>
      </c>
      <c r="J3582" s="209"/>
      <c r="K3582" s="209"/>
      <c r="L3582" s="209"/>
      <c r="M3582" s="209"/>
      <c r="N3582" s="209"/>
      <c r="O3582" s="209"/>
      <c r="P3582" s="209"/>
      <c r="Q3582" s="209"/>
      <c r="R3582" s="209"/>
      <c r="S3582" s="209"/>
      <c r="T3582" s="209"/>
    </row>
    <row r="3583" spans="1:20" ht="15" hidden="1" customHeight="1">
      <c r="A3583" s="468">
        <v>45460</v>
      </c>
      <c r="B3583" s="208" t="s">
        <v>3128</v>
      </c>
      <c r="C3583" s="208" t="s">
        <v>269</v>
      </c>
      <c r="D3583" s="592">
        <v>-122322</v>
      </c>
      <c r="E3583" s="212">
        <v>45444</v>
      </c>
      <c r="F3583" s="208" t="s">
        <v>109</v>
      </c>
      <c r="G3583" s="208" t="s">
        <v>120</v>
      </c>
      <c r="H3583" s="208" t="s">
        <v>175</v>
      </c>
      <c r="I3583" s="208" t="s">
        <v>3043</v>
      </c>
      <c r="J3583" s="209"/>
      <c r="K3583" s="209"/>
      <c r="L3583" s="209"/>
      <c r="M3583" s="209"/>
      <c r="N3583" s="209"/>
      <c r="O3583" s="209"/>
      <c r="P3583" s="209"/>
      <c r="Q3583" s="209"/>
      <c r="R3583" s="209"/>
      <c r="S3583" s="209"/>
      <c r="T3583" s="209"/>
    </row>
    <row r="3584" spans="1:20" ht="15" hidden="1" customHeight="1">
      <c r="A3584" s="468">
        <v>45460</v>
      </c>
      <c r="B3584" s="208" t="s">
        <v>3129</v>
      </c>
      <c r="C3584" s="208" t="s">
        <v>269</v>
      </c>
      <c r="D3584" s="592">
        <v>-32000</v>
      </c>
      <c r="E3584" s="212">
        <v>45444</v>
      </c>
      <c r="F3584" s="208" t="s">
        <v>109</v>
      </c>
      <c r="G3584" s="208" t="s">
        <v>120</v>
      </c>
      <c r="H3584" s="208" t="s">
        <v>175</v>
      </c>
      <c r="I3584" s="208" t="s">
        <v>3043</v>
      </c>
      <c r="J3584" s="209"/>
      <c r="K3584" s="209"/>
      <c r="L3584" s="209"/>
      <c r="M3584" s="209"/>
      <c r="N3584" s="209"/>
      <c r="O3584" s="209"/>
      <c r="P3584" s="209"/>
      <c r="Q3584" s="209"/>
      <c r="R3584" s="209"/>
      <c r="S3584" s="209"/>
      <c r="T3584" s="209"/>
    </row>
    <row r="3585" spans="1:20" ht="15" hidden="1" customHeight="1">
      <c r="A3585" s="468">
        <v>45460</v>
      </c>
      <c r="B3585" s="208" t="s">
        <v>3130</v>
      </c>
      <c r="C3585" s="208" t="s">
        <v>269</v>
      </c>
      <c r="D3585" s="592">
        <v>-41500</v>
      </c>
      <c r="E3585" s="212">
        <v>45444</v>
      </c>
      <c r="F3585" s="201" t="s">
        <v>110</v>
      </c>
      <c r="G3585" s="208" t="s">
        <v>774</v>
      </c>
      <c r="H3585" s="208" t="s">
        <v>175</v>
      </c>
      <c r="I3585" s="208" t="s">
        <v>3043</v>
      </c>
      <c r="J3585" s="209"/>
      <c r="K3585" s="209"/>
      <c r="L3585" s="209"/>
      <c r="M3585" s="209"/>
      <c r="N3585" s="209"/>
      <c r="O3585" s="209"/>
      <c r="P3585" s="209"/>
      <c r="Q3585" s="209"/>
      <c r="R3585" s="209"/>
      <c r="S3585" s="209"/>
      <c r="T3585" s="209"/>
    </row>
    <row r="3586" spans="1:20" ht="15" hidden="1" customHeight="1">
      <c r="A3586" s="468">
        <v>45460</v>
      </c>
      <c r="B3586" s="208" t="s">
        <v>3131</v>
      </c>
      <c r="C3586" s="208" t="s">
        <v>269</v>
      </c>
      <c r="D3586" s="592">
        <v>-37316</v>
      </c>
      <c r="E3586" s="212">
        <v>45444</v>
      </c>
      <c r="F3586" s="208" t="s">
        <v>207</v>
      </c>
      <c r="G3586" s="590" t="s">
        <v>2963</v>
      </c>
      <c r="H3586" s="208" t="s">
        <v>175</v>
      </c>
      <c r="I3586" s="208" t="s">
        <v>3043</v>
      </c>
      <c r="J3586" s="209"/>
      <c r="K3586" s="209"/>
      <c r="L3586" s="209"/>
      <c r="M3586" s="209"/>
      <c r="N3586" s="209"/>
      <c r="O3586" s="209"/>
      <c r="P3586" s="209"/>
      <c r="Q3586" s="209"/>
      <c r="R3586" s="209"/>
      <c r="S3586" s="209"/>
      <c r="T3586" s="209"/>
    </row>
    <row r="3587" spans="1:20" ht="15" hidden="1" customHeight="1">
      <c r="A3587" s="468">
        <v>45460</v>
      </c>
      <c r="B3587" s="208" t="s">
        <v>3132</v>
      </c>
      <c r="C3587" s="208" t="s">
        <v>269</v>
      </c>
      <c r="D3587" s="592">
        <v>-188400</v>
      </c>
      <c r="E3587" s="212">
        <v>45444</v>
      </c>
      <c r="F3587" s="208" t="s">
        <v>207</v>
      </c>
      <c r="G3587" s="590" t="s">
        <v>2963</v>
      </c>
      <c r="H3587" s="208" t="s">
        <v>175</v>
      </c>
      <c r="I3587" s="208" t="s">
        <v>3043</v>
      </c>
      <c r="J3587" s="209"/>
      <c r="K3587" s="209"/>
      <c r="L3587" s="209"/>
      <c r="M3587" s="209"/>
      <c r="N3587" s="209"/>
      <c r="O3587" s="209"/>
      <c r="P3587" s="209"/>
      <c r="Q3587" s="209"/>
      <c r="R3587" s="209"/>
      <c r="S3587" s="209"/>
      <c r="T3587" s="209"/>
    </row>
    <row r="3588" spans="1:20" ht="15" hidden="1" customHeight="1">
      <c r="A3588" s="468">
        <v>45460</v>
      </c>
      <c r="B3588" s="208" t="s">
        <v>3133</v>
      </c>
      <c r="C3588" s="208" t="s">
        <v>269</v>
      </c>
      <c r="D3588" s="592">
        <v>-70000</v>
      </c>
      <c r="E3588" s="212">
        <v>45444</v>
      </c>
      <c r="F3588" s="208" t="s">
        <v>109</v>
      </c>
      <c r="G3588" s="208" t="s">
        <v>120</v>
      </c>
      <c r="H3588" s="208" t="s">
        <v>175</v>
      </c>
      <c r="I3588" s="208" t="s">
        <v>3043</v>
      </c>
      <c r="J3588" s="209"/>
      <c r="K3588" s="209"/>
      <c r="L3588" s="209"/>
      <c r="M3588" s="209"/>
      <c r="N3588" s="209"/>
      <c r="O3588" s="209"/>
      <c r="P3588" s="209"/>
      <c r="Q3588" s="209"/>
      <c r="R3588" s="209"/>
      <c r="S3588" s="209"/>
      <c r="T3588" s="209"/>
    </row>
    <row r="3589" spans="1:20" ht="15" hidden="1" customHeight="1">
      <c r="A3589" s="468">
        <v>45460</v>
      </c>
      <c r="B3589" s="208" t="s">
        <v>3134</v>
      </c>
      <c r="C3589" s="208" t="s">
        <v>269</v>
      </c>
      <c r="D3589" s="592">
        <v>-14600</v>
      </c>
      <c r="E3589" s="212">
        <v>45444</v>
      </c>
      <c r="F3589" s="208" t="s">
        <v>109</v>
      </c>
      <c r="G3589" s="208" t="s">
        <v>120</v>
      </c>
      <c r="H3589" s="208" t="s">
        <v>175</v>
      </c>
      <c r="I3589" s="208" t="s">
        <v>3043</v>
      </c>
      <c r="J3589" s="209"/>
      <c r="K3589" s="209"/>
      <c r="L3589" s="209"/>
      <c r="M3589" s="209"/>
      <c r="N3589" s="209"/>
      <c r="O3589" s="209"/>
      <c r="P3589" s="209"/>
      <c r="Q3589" s="209"/>
      <c r="R3589" s="209"/>
      <c r="S3589" s="209"/>
      <c r="T3589" s="209"/>
    </row>
    <row r="3590" spans="1:20" ht="15" hidden="1" customHeight="1">
      <c r="A3590" s="468">
        <v>45460</v>
      </c>
      <c r="B3590" s="208" t="s">
        <v>3135</v>
      </c>
      <c r="C3590" s="208" t="s">
        <v>269</v>
      </c>
      <c r="D3590" s="592">
        <v>-40000</v>
      </c>
      <c r="E3590" s="212">
        <v>45444</v>
      </c>
      <c r="F3590" s="208" t="s">
        <v>109</v>
      </c>
      <c r="G3590" s="208" t="s">
        <v>120</v>
      </c>
      <c r="H3590" s="208" t="s">
        <v>175</v>
      </c>
      <c r="I3590" s="208" t="s">
        <v>3043</v>
      </c>
      <c r="J3590" s="209"/>
      <c r="K3590" s="209"/>
      <c r="L3590" s="209"/>
      <c r="M3590" s="209"/>
      <c r="N3590" s="209"/>
      <c r="O3590" s="209"/>
      <c r="P3590" s="209"/>
      <c r="Q3590" s="209"/>
      <c r="R3590" s="209"/>
      <c r="S3590" s="209"/>
      <c r="T3590" s="209"/>
    </row>
    <row r="3591" spans="1:20" ht="15" hidden="1" customHeight="1">
      <c r="A3591" s="468">
        <v>45460</v>
      </c>
      <c r="B3591" s="208" t="s">
        <v>3136</v>
      </c>
      <c r="C3591" s="208" t="s">
        <v>269</v>
      </c>
      <c r="D3591" s="592">
        <v>-74962</v>
      </c>
      <c r="E3591" s="212">
        <v>45444</v>
      </c>
      <c r="F3591" s="208" t="s">
        <v>207</v>
      </c>
      <c r="G3591" s="590"/>
      <c r="H3591" s="208"/>
      <c r="I3591" s="208"/>
      <c r="J3591" s="209"/>
      <c r="K3591" s="209"/>
      <c r="L3591" s="209"/>
      <c r="M3591" s="209"/>
      <c r="N3591" s="209"/>
      <c r="O3591" s="209"/>
      <c r="P3591" s="209"/>
      <c r="Q3591" s="209"/>
      <c r="R3591" s="209"/>
      <c r="S3591" s="209"/>
      <c r="T3591" s="209"/>
    </row>
    <row r="3592" spans="1:20" ht="15" hidden="1" customHeight="1">
      <c r="A3592" s="468">
        <v>45399</v>
      </c>
      <c r="B3592" s="208" t="s">
        <v>3137</v>
      </c>
      <c r="C3592" s="208" t="s">
        <v>146</v>
      </c>
      <c r="D3592" s="592">
        <v>-40000</v>
      </c>
      <c r="E3592" s="212">
        <v>45444</v>
      </c>
      <c r="F3592" s="208" t="s">
        <v>207</v>
      </c>
      <c r="G3592" s="590"/>
      <c r="H3592" s="208"/>
      <c r="I3592" s="208"/>
      <c r="J3592" s="209"/>
      <c r="K3592" s="209"/>
      <c r="L3592" s="209"/>
      <c r="M3592" s="209"/>
      <c r="N3592" s="209"/>
      <c r="O3592" s="209"/>
      <c r="P3592" s="209"/>
      <c r="Q3592" s="209"/>
      <c r="R3592" s="209"/>
      <c r="S3592" s="209"/>
      <c r="T3592" s="209"/>
    </row>
    <row r="3593" spans="1:20" ht="15" hidden="1" customHeight="1">
      <c r="A3593" s="468">
        <v>45460</v>
      </c>
      <c r="B3593" s="208" t="s">
        <v>3138</v>
      </c>
      <c r="C3593" s="208" t="s">
        <v>269</v>
      </c>
      <c r="D3593" s="592">
        <v>-10000</v>
      </c>
      <c r="E3593" s="212">
        <v>45444</v>
      </c>
      <c r="F3593" s="208" t="s">
        <v>109</v>
      </c>
      <c r="G3593" s="208" t="s">
        <v>120</v>
      </c>
      <c r="H3593" s="208" t="s">
        <v>175</v>
      </c>
      <c r="I3593" s="208" t="s">
        <v>3043</v>
      </c>
      <c r="J3593" s="209"/>
      <c r="K3593" s="209"/>
      <c r="L3593" s="209"/>
      <c r="M3593" s="209"/>
      <c r="N3593" s="209"/>
      <c r="O3593" s="209"/>
      <c r="P3593" s="209"/>
      <c r="Q3593" s="209"/>
      <c r="R3593" s="209"/>
      <c r="S3593" s="209"/>
      <c r="T3593" s="209"/>
    </row>
    <row r="3594" spans="1:20" ht="15" hidden="1" customHeight="1">
      <c r="A3594" s="468">
        <v>45463</v>
      </c>
      <c r="B3594" s="208" t="s">
        <v>3139</v>
      </c>
      <c r="C3594" s="208" t="s">
        <v>269</v>
      </c>
      <c r="D3594" s="592">
        <v>-28000</v>
      </c>
      <c r="E3594" s="212">
        <v>45444</v>
      </c>
      <c r="F3594" s="201" t="s">
        <v>110</v>
      </c>
      <c r="G3594" s="81" t="s">
        <v>1621</v>
      </c>
      <c r="H3594" s="208" t="s">
        <v>138</v>
      </c>
      <c r="I3594" s="208"/>
      <c r="J3594" s="209"/>
      <c r="K3594" s="209"/>
      <c r="L3594" s="209"/>
      <c r="M3594" s="209"/>
      <c r="N3594" s="209"/>
      <c r="O3594" s="209"/>
      <c r="P3594" s="209"/>
      <c r="Q3594" s="209"/>
      <c r="R3594" s="209"/>
      <c r="S3594" s="209"/>
      <c r="T3594" s="209"/>
    </row>
    <row r="3595" spans="1:20" ht="15" hidden="1" customHeight="1">
      <c r="A3595" s="468">
        <v>45463</v>
      </c>
      <c r="B3595" s="208" t="s">
        <v>3139</v>
      </c>
      <c r="C3595" s="208" t="s">
        <v>269</v>
      </c>
      <c r="D3595" s="592">
        <v>-21800</v>
      </c>
      <c r="E3595" s="212">
        <v>45444</v>
      </c>
      <c r="F3595" s="208" t="s">
        <v>109</v>
      </c>
      <c r="G3595" s="208" t="s">
        <v>414</v>
      </c>
      <c r="H3595" s="208" t="s">
        <v>138</v>
      </c>
      <c r="I3595" s="208"/>
      <c r="J3595" s="209"/>
      <c r="K3595" s="209"/>
      <c r="L3595" s="209"/>
      <c r="M3595" s="209"/>
      <c r="N3595" s="209"/>
      <c r="O3595" s="209"/>
      <c r="P3595" s="209"/>
      <c r="Q3595" s="209"/>
      <c r="R3595" s="209"/>
      <c r="S3595" s="209"/>
      <c r="T3595" s="209"/>
    </row>
    <row r="3596" spans="1:20" ht="15" hidden="1" customHeight="1">
      <c r="A3596" s="468">
        <v>45463</v>
      </c>
      <c r="B3596" s="208" t="s">
        <v>3139</v>
      </c>
      <c r="C3596" s="208" t="s">
        <v>269</v>
      </c>
      <c r="D3596" s="592">
        <v>-13000</v>
      </c>
      <c r="E3596" s="212">
        <v>45444</v>
      </c>
      <c r="F3596" s="208" t="s">
        <v>130</v>
      </c>
      <c r="G3596" s="208" t="s">
        <v>130</v>
      </c>
      <c r="H3596" s="208" t="s">
        <v>138</v>
      </c>
      <c r="I3596" s="208"/>
      <c r="J3596" s="209"/>
      <c r="K3596" s="209"/>
      <c r="L3596" s="209"/>
      <c r="M3596" s="209"/>
      <c r="N3596" s="209"/>
      <c r="O3596" s="209"/>
      <c r="P3596" s="209"/>
      <c r="Q3596" s="209"/>
      <c r="R3596" s="209"/>
      <c r="S3596" s="209"/>
      <c r="T3596" s="209"/>
    </row>
    <row r="3597" spans="1:20" ht="15" hidden="1" customHeight="1">
      <c r="A3597" s="468">
        <v>45471</v>
      </c>
      <c r="B3597" s="208" t="s">
        <v>3140</v>
      </c>
      <c r="C3597" s="208" t="s">
        <v>27</v>
      </c>
      <c r="D3597" s="592">
        <f>265090591.2*0.4896240234375</f>
        <v>129794721.83876953</v>
      </c>
      <c r="E3597" s="212">
        <v>45444</v>
      </c>
      <c r="F3597" s="883" t="s">
        <v>707</v>
      </c>
      <c r="G3597" s="201" t="s">
        <v>581</v>
      </c>
      <c r="H3597" s="208"/>
      <c r="I3597" s="208"/>
      <c r="J3597" s="209"/>
      <c r="K3597" s="209"/>
      <c r="L3597" s="209"/>
      <c r="M3597" s="209"/>
      <c r="N3597" s="209"/>
      <c r="O3597" s="209"/>
      <c r="P3597" s="209"/>
      <c r="Q3597" s="209"/>
      <c r="R3597" s="209"/>
      <c r="S3597" s="209"/>
      <c r="T3597" s="209"/>
    </row>
    <row r="3598" spans="1:20" s="451" customFormat="1" ht="15" hidden="1" customHeight="1">
      <c r="A3598" s="468">
        <v>45471</v>
      </c>
      <c r="B3598" s="208" t="s">
        <v>3141</v>
      </c>
      <c r="C3598" s="208" t="s">
        <v>27</v>
      </c>
      <c r="D3598" s="592">
        <f>265090591.2*0.5103759765625</f>
        <v>135295869.36123046</v>
      </c>
      <c r="E3598" s="212">
        <v>45444</v>
      </c>
      <c r="F3598" s="883" t="s">
        <v>707</v>
      </c>
      <c r="G3598" s="201" t="s">
        <v>583</v>
      </c>
      <c r="H3598" s="208"/>
      <c r="I3598" s="208"/>
      <c r="J3598" s="209"/>
      <c r="K3598" s="209"/>
      <c r="L3598" s="209"/>
      <c r="M3598" s="209"/>
      <c r="N3598" s="209"/>
      <c r="O3598" s="209"/>
      <c r="P3598" s="209"/>
      <c r="Q3598" s="209"/>
      <c r="R3598" s="209"/>
      <c r="S3598" s="209"/>
      <c r="T3598" s="209"/>
    </row>
    <row r="3599" spans="1:20" ht="14.25" hidden="1" customHeight="1">
      <c r="A3599" s="468">
        <v>45458</v>
      </c>
      <c r="B3599" s="208" t="s">
        <v>3142</v>
      </c>
      <c r="C3599" s="208" t="s">
        <v>643</v>
      </c>
      <c r="D3599" s="592">
        <v>-123500</v>
      </c>
      <c r="E3599" s="212">
        <v>45444</v>
      </c>
      <c r="F3599" s="208" t="s">
        <v>130</v>
      </c>
      <c r="G3599" s="208" t="s">
        <v>2657</v>
      </c>
      <c r="H3599" s="208" t="s">
        <v>663</v>
      </c>
      <c r="I3599" s="208"/>
      <c r="J3599" s="209"/>
      <c r="K3599" s="209"/>
      <c r="L3599" s="209"/>
      <c r="M3599" s="209"/>
      <c r="N3599" s="209"/>
      <c r="O3599" s="209"/>
      <c r="P3599" s="209"/>
      <c r="Q3599" s="209"/>
      <c r="R3599" s="209"/>
      <c r="S3599" s="209"/>
      <c r="T3599" s="209"/>
    </row>
    <row r="3600" spans="1:20" ht="15" hidden="1" customHeight="1">
      <c r="A3600" s="468">
        <v>45460</v>
      </c>
      <c r="B3600" s="208" t="s">
        <v>3143</v>
      </c>
      <c r="C3600" s="208" t="s">
        <v>269</v>
      </c>
      <c r="D3600" s="592">
        <v>-12000</v>
      </c>
      <c r="E3600" s="212">
        <v>45444</v>
      </c>
      <c r="F3600" s="208" t="s">
        <v>130</v>
      </c>
      <c r="G3600" s="208" t="s">
        <v>257</v>
      </c>
      <c r="H3600" s="208" t="s">
        <v>138</v>
      </c>
      <c r="I3600" s="209"/>
      <c r="J3600" s="209"/>
      <c r="K3600" s="209"/>
      <c r="L3600" s="209"/>
      <c r="M3600" s="209"/>
      <c r="N3600" s="209"/>
      <c r="O3600" s="209"/>
      <c r="P3600" s="209"/>
      <c r="Q3600" s="209"/>
      <c r="R3600" s="209"/>
      <c r="S3600" s="209"/>
      <c r="T3600" s="209"/>
    </row>
    <row r="3601" spans="1:20" ht="15" hidden="1" customHeight="1">
      <c r="A3601" s="468">
        <v>45461</v>
      </c>
      <c r="B3601" s="208" t="s">
        <v>3144</v>
      </c>
      <c r="C3601" s="208" t="s">
        <v>269</v>
      </c>
      <c r="D3601" s="592">
        <v>-45000</v>
      </c>
      <c r="E3601" s="212">
        <v>45444</v>
      </c>
      <c r="F3601" s="208" t="s">
        <v>130</v>
      </c>
      <c r="G3601" s="208" t="s">
        <v>257</v>
      </c>
      <c r="H3601" s="208" t="s">
        <v>138</v>
      </c>
      <c r="I3601" s="208"/>
      <c r="J3601" s="209"/>
      <c r="K3601" s="209"/>
      <c r="L3601" s="209"/>
      <c r="M3601" s="209"/>
      <c r="N3601" s="209"/>
      <c r="O3601" s="209"/>
      <c r="P3601" s="209"/>
      <c r="Q3601" s="209"/>
      <c r="R3601" s="209"/>
      <c r="S3601" s="209"/>
      <c r="T3601" s="209"/>
    </row>
    <row r="3602" spans="1:20" s="451" customFormat="1" ht="15" hidden="1" customHeight="1">
      <c r="A3602" s="468">
        <v>45471</v>
      </c>
      <c r="B3602" s="208" t="s">
        <v>3145</v>
      </c>
      <c r="C3602" s="208" t="s">
        <v>27</v>
      </c>
      <c r="D3602" s="592">
        <v>-2360000</v>
      </c>
      <c r="E3602" s="212">
        <v>45444</v>
      </c>
      <c r="F3602" s="208" t="s">
        <v>109</v>
      </c>
      <c r="G3602" s="208" t="s">
        <v>3146</v>
      </c>
      <c r="H3602" s="208" t="s">
        <v>418</v>
      </c>
      <c r="I3602" s="208"/>
      <c r="J3602" s="209"/>
      <c r="K3602" s="209"/>
      <c r="L3602" s="209"/>
      <c r="M3602" s="209"/>
      <c r="N3602" s="209"/>
      <c r="O3602" s="209"/>
      <c r="P3602" s="209"/>
      <c r="Q3602" s="209"/>
      <c r="R3602" s="209"/>
      <c r="S3602" s="209"/>
      <c r="T3602" s="209"/>
    </row>
    <row r="3603" spans="1:20" s="451" customFormat="1" ht="15" hidden="1" customHeight="1">
      <c r="A3603" s="468">
        <v>45471</v>
      </c>
      <c r="B3603" s="208" t="s">
        <v>3145</v>
      </c>
      <c r="C3603" s="208" t="s">
        <v>27</v>
      </c>
      <c r="D3603" s="592">
        <v>-309400</v>
      </c>
      <c r="E3603" s="212">
        <v>45444</v>
      </c>
      <c r="F3603" s="208" t="s">
        <v>109</v>
      </c>
      <c r="G3603" s="208" t="s">
        <v>3146</v>
      </c>
      <c r="H3603" s="208" t="s">
        <v>418</v>
      </c>
      <c r="I3603" s="208"/>
      <c r="J3603" s="209"/>
      <c r="K3603" s="209"/>
      <c r="L3603" s="209"/>
      <c r="M3603" s="209"/>
      <c r="N3603" s="209"/>
      <c r="O3603" s="209"/>
      <c r="P3603" s="209"/>
      <c r="Q3603" s="209"/>
      <c r="R3603" s="209"/>
      <c r="S3603" s="209"/>
      <c r="T3603" s="209"/>
    </row>
    <row r="3604" spans="1:20" s="451" customFormat="1" ht="15" hidden="1" customHeight="1">
      <c r="A3604" s="468">
        <v>45471</v>
      </c>
      <c r="B3604" s="208" t="s">
        <v>3145</v>
      </c>
      <c r="C3604" s="208" t="s">
        <v>27</v>
      </c>
      <c r="D3604" s="592">
        <v>-2287894</v>
      </c>
      <c r="E3604" s="212">
        <v>45444</v>
      </c>
      <c r="F3604" s="208" t="s">
        <v>109</v>
      </c>
      <c r="G3604" s="208" t="s">
        <v>3146</v>
      </c>
      <c r="H3604" s="208" t="s">
        <v>310</v>
      </c>
      <c r="I3604" s="208"/>
      <c r="J3604" s="209"/>
      <c r="K3604" s="209"/>
      <c r="L3604" s="209"/>
      <c r="M3604" s="209"/>
      <c r="N3604" s="209"/>
      <c r="O3604" s="209"/>
      <c r="P3604" s="209"/>
      <c r="Q3604" s="209"/>
      <c r="R3604" s="209"/>
      <c r="S3604" s="209"/>
      <c r="T3604" s="209"/>
    </row>
    <row r="3605" spans="1:20" s="451" customFormat="1" ht="15" hidden="1" customHeight="1">
      <c r="A3605" s="468">
        <v>45471</v>
      </c>
      <c r="B3605" s="208" t="s">
        <v>3145</v>
      </c>
      <c r="C3605" s="208" t="s">
        <v>27</v>
      </c>
      <c r="D3605" s="592">
        <v>-928200</v>
      </c>
      <c r="E3605" s="212">
        <v>45444</v>
      </c>
      <c r="F3605" s="201" t="s">
        <v>110</v>
      </c>
      <c r="G3605" s="208" t="s">
        <v>774</v>
      </c>
      <c r="H3605" s="208" t="s">
        <v>421</v>
      </c>
      <c r="I3605" s="208"/>
      <c r="J3605" s="209"/>
      <c r="K3605" s="209"/>
      <c r="L3605" s="209"/>
      <c r="M3605" s="209"/>
      <c r="N3605" s="209"/>
      <c r="O3605" s="209"/>
      <c r="P3605" s="209"/>
      <c r="Q3605" s="209"/>
      <c r="R3605" s="209"/>
      <c r="S3605" s="209"/>
      <c r="T3605" s="209"/>
    </row>
    <row r="3606" spans="1:20" s="451" customFormat="1" ht="15" hidden="1" customHeight="1">
      <c r="A3606" s="468">
        <v>45471</v>
      </c>
      <c r="B3606" s="208" t="s">
        <v>3145</v>
      </c>
      <c r="C3606" s="208" t="s">
        <v>27</v>
      </c>
      <c r="D3606" s="592">
        <v>-928200</v>
      </c>
      <c r="E3606" s="212">
        <v>45444</v>
      </c>
      <c r="F3606" s="201" t="s">
        <v>110</v>
      </c>
      <c r="G3606" s="208" t="s">
        <v>774</v>
      </c>
      <c r="H3606" s="208" t="s">
        <v>418</v>
      </c>
      <c r="I3606" s="208"/>
      <c r="J3606" s="209"/>
      <c r="K3606" s="209"/>
      <c r="L3606" s="209"/>
      <c r="M3606" s="209"/>
      <c r="N3606" s="209"/>
      <c r="O3606" s="209"/>
      <c r="P3606" s="209"/>
      <c r="Q3606" s="209"/>
      <c r="R3606" s="209"/>
      <c r="S3606" s="209"/>
      <c r="T3606" s="209"/>
    </row>
    <row r="3607" spans="1:20" s="451" customFormat="1" ht="15" hidden="1" customHeight="1">
      <c r="A3607" s="468">
        <v>45471</v>
      </c>
      <c r="B3607" s="208" t="s">
        <v>3145</v>
      </c>
      <c r="C3607" s="208" t="s">
        <v>27</v>
      </c>
      <c r="D3607" s="592">
        <v>-3367700</v>
      </c>
      <c r="E3607" s="212">
        <v>45444</v>
      </c>
      <c r="F3607" s="208" t="s">
        <v>109</v>
      </c>
      <c r="G3607" s="201" t="s">
        <v>1261</v>
      </c>
      <c r="H3607" s="208" t="s">
        <v>421</v>
      </c>
      <c r="I3607" s="208"/>
      <c r="J3607" s="209"/>
      <c r="K3607" s="209"/>
      <c r="L3607" s="209"/>
      <c r="M3607" s="209"/>
      <c r="N3607" s="209"/>
      <c r="O3607" s="209"/>
      <c r="P3607" s="209"/>
      <c r="Q3607" s="209"/>
      <c r="R3607" s="209"/>
      <c r="S3607" s="209"/>
      <c r="T3607" s="209"/>
    </row>
    <row r="3608" spans="1:20" s="451" customFormat="1" ht="15" hidden="1" customHeight="1">
      <c r="A3608" s="468">
        <v>45471</v>
      </c>
      <c r="B3608" s="208" t="s">
        <v>3145</v>
      </c>
      <c r="C3608" s="208" t="s">
        <v>27</v>
      </c>
      <c r="D3608" s="592">
        <v>-16290000</v>
      </c>
      <c r="E3608" s="212">
        <v>45444</v>
      </c>
      <c r="F3608" s="208" t="s">
        <v>109</v>
      </c>
      <c r="G3608" s="201" t="s">
        <v>1261</v>
      </c>
      <c r="H3608" s="208" t="s">
        <v>418</v>
      </c>
      <c r="I3608" s="208"/>
      <c r="J3608" s="209"/>
      <c r="K3608" s="209"/>
      <c r="L3608" s="209"/>
      <c r="M3608" s="209"/>
      <c r="N3608" s="209"/>
      <c r="O3608" s="209"/>
      <c r="P3608" s="209"/>
      <c r="Q3608" s="209"/>
      <c r="R3608" s="209"/>
      <c r="S3608" s="209"/>
      <c r="T3608" s="209"/>
    </row>
    <row r="3609" spans="1:20" s="451" customFormat="1" ht="15" hidden="1" customHeight="1">
      <c r="A3609" s="468">
        <v>45471</v>
      </c>
      <c r="B3609" s="208" t="s">
        <v>3145</v>
      </c>
      <c r="C3609" s="208" t="s">
        <v>27</v>
      </c>
      <c r="D3609" s="592">
        <v>-23009364</v>
      </c>
      <c r="E3609" s="212">
        <v>45444</v>
      </c>
      <c r="F3609" s="201" t="s">
        <v>110</v>
      </c>
      <c r="G3609" s="208" t="s">
        <v>774</v>
      </c>
      <c r="H3609" s="208" t="s">
        <v>416</v>
      </c>
      <c r="I3609" s="208"/>
      <c r="J3609" s="209"/>
      <c r="K3609" s="209"/>
      <c r="L3609" s="209"/>
      <c r="M3609" s="209"/>
      <c r="N3609" s="209"/>
      <c r="O3609" s="209"/>
      <c r="P3609" s="209"/>
      <c r="Q3609" s="209"/>
      <c r="R3609" s="209"/>
      <c r="S3609" s="209"/>
      <c r="T3609" s="209"/>
    </row>
    <row r="3610" spans="1:20" s="451" customFormat="1" ht="15" hidden="1" customHeight="1">
      <c r="A3610" s="468">
        <v>45471</v>
      </c>
      <c r="B3610" s="208" t="s">
        <v>3145</v>
      </c>
      <c r="C3610" s="208" t="s">
        <v>27</v>
      </c>
      <c r="D3610" s="592">
        <v>-1606500</v>
      </c>
      <c r="E3610" s="212">
        <v>45444</v>
      </c>
      <c r="F3610" s="208" t="s">
        <v>109</v>
      </c>
      <c r="G3610" s="208" t="s">
        <v>120</v>
      </c>
      <c r="H3610" s="208" t="s">
        <v>416</v>
      </c>
      <c r="I3610" s="208"/>
      <c r="J3610" s="209"/>
      <c r="K3610" s="209"/>
      <c r="L3610" s="209"/>
      <c r="M3610" s="209"/>
      <c r="N3610" s="209"/>
      <c r="O3610" s="209"/>
      <c r="P3610" s="209"/>
      <c r="Q3610" s="209"/>
      <c r="R3610" s="209"/>
      <c r="S3610" s="209"/>
      <c r="T3610" s="209"/>
    </row>
    <row r="3611" spans="1:20" s="451" customFormat="1" ht="15" hidden="1" customHeight="1">
      <c r="A3611" s="468">
        <v>45471</v>
      </c>
      <c r="B3611" s="208" t="s">
        <v>3145</v>
      </c>
      <c r="C3611" s="208" t="s">
        <v>27</v>
      </c>
      <c r="D3611" s="592">
        <v>-189924</v>
      </c>
      <c r="E3611" s="212">
        <v>45444</v>
      </c>
      <c r="F3611" s="208" t="s">
        <v>109</v>
      </c>
      <c r="G3611" s="208" t="s">
        <v>125</v>
      </c>
      <c r="H3611" s="208" t="s">
        <v>212</v>
      </c>
      <c r="I3611" s="208"/>
      <c r="J3611" s="209"/>
      <c r="K3611" s="209"/>
      <c r="L3611" s="209"/>
      <c r="M3611" s="209"/>
      <c r="N3611" s="209"/>
      <c r="O3611" s="209"/>
      <c r="P3611" s="209"/>
      <c r="Q3611" s="209"/>
      <c r="R3611" s="209"/>
      <c r="S3611" s="209"/>
      <c r="T3611" s="209"/>
    </row>
    <row r="3612" spans="1:20" s="451" customFormat="1" ht="15" hidden="1" customHeight="1">
      <c r="A3612" s="468">
        <v>45471</v>
      </c>
      <c r="B3612" s="208" t="s">
        <v>3145</v>
      </c>
      <c r="C3612" s="208" t="s">
        <v>27</v>
      </c>
      <c r="D3612" s="592">
        <v>-9782574</v>
      </c>
      <c r="E3612" s="212">
        <v>45444</v>
      </c>
      <c r="F3612" s="208" t="s">
        <v>109</v>
      </c>
      <c r="G3612" s="208" t="s">
        <v>125</v>
      </c>
      <c r="H3612" s="208" t="s">
        <v>310</v>
      </c>
      <c r="I3612" s="208"/>
      <c r="J3612" s="209"/>
      <c r="K3612" s="209"/>
      <c r="L3612" s="209"/>
      <c r="M3612" s="209"/>
      <c r="N3612" s="209"/>
      <c r="O3612" s="209"/>
      <c r="P3612" s="209"/>
      <c r="Q3612" s="209"/>
      <c r="R3612" s="209"/>
      <c r="S3612" s="209"/>
      <c r="T3612" s="209"/>
    </row>
    <row r="3613" spans="1:20" s="451" customFormat="1" ht="15" hidden="1" customHeight="1">
      <c r="A3613" s="468">
        <v>45471</v>
      </c>
      <c r="B3613" s="208" t="s">
        <v>3145</v>
      </c>
      <c r="C3613" s="208" t="s">
        <v>27</v>
      </c>
      <c r="D3613" s="592">
        <v>-2118200</v>
      </c>
      <c r="E3613" s="212">
        <v>45444</v>
      </c>
      <c r="F3613" s="201" t="s">
        <v>110</v>
      </c>
      <c r="G3613" s="81" t="s">
        <v>1621</v>
      </c>
      <c r="H3613" s="208" t="s">
        <v>418</v>
      </c>
      <c r="I3613" s="208"/>
      <c r="J3613" s="209"/>
      <c r="K3613" s="209"/>
      <c r="L3613" s="209"/>
      <c r="M3613" s="209"/>
      <c r="N3613" s="209"/>
      <c r="O3613" s="209"/>
      <c r="P3613" s="209"/>
      <c r="Q3613" s="209"/>
      <c r="R3613" s="209"/>
      <c r="S3613" s="209"/>
      <c r="T3613" s="209"/>
    </row>
    <row r="3614" spans="1:20" s="451" customFormat="1" ht="15" hidden="1" customHeight="1">
      <c r="A3614" s="468">
        <v>45471</v>
      </c>
      <c r="B3614" s="208" t="s">
        <v>3145</v>
      </c>
      <c r="C3614" s="208" t="s">
        <v>27</v>
      </c>
      <c r="D3614" s="592">
        <v>-83300</v>
      </c>
      <c r="E3614" s="212">
        <v>45444</v>
      </c>
      <c r="F3614" s="201" t="s">
        <v>110</v>
      </c>
      <c r="G3614" s="81" t="s">
        <v>1621</v>
      </c>
      <c r="H3614" s="208" t="s">
        <v>418</v>
      </c>
      <c r="I3614" s="208"/>
      <c r="J3614" s="209"/>
      <c r="K3614" s="209"/>
      <c r="L3614" s="209"/>
      <c r="M3614" s="209"/>
      <c r="N3614" s="209"/>
      <c r="O3614" s="209"/>
      <c r="P3614" s="209"/>
      <c r="Q3614" s="209"/>
      <c r="R3614" s="209"/>
      <c r="S3614" s="209"/>
      <c r="T3614" s="209"/>
    </row>
    <row r="3615" spans="1:20" s="451" customFormat="1" ht="15" hidden="1" customHeight="1">
      <c r="A3615" s="468">
        <v>45471</v>
      </c>
      <c r="B3615" s="208" t="s">
        <v>3145</v>
      </c>
      <c r="C3615" s="208" t="s">
        <v>27</v>
      </c>
      <c r="D3615" s="592">
        <v>-213010</v>
      </c>
      <c r="E3615" s="212">
        <v>45444</v>
      </c>
      <c r="F3615" s="201" t="s">
        <v>110</v>
      </c>
      <c r="G3615" s="81" t="s">
        <v>1621</v>
      </c>
      <c r="H3615" s="208" t="s">
        <v>418</v>
      </c>
      <c r="I3615" s="208"/>
      <c r="J3615" s="209"/>
      <c r="K3615" s="209"/>
      <c r="L3615" s="209"/>
      <c r="M3615" s="209"/>
      <c r="N3615" s="209"/>
      <c r="O3615" s="209"/>
      <c r="P3615" s="209"/>
      <c r="Q3615" s="209"/>
      <c r="R3615" s="209"/>
      <c r="S3615" s="209"/>
      <c r="T3615" s="209"/>
    </row>
    <row r="3616" spans="1:20" s="451" customFormat="1" ht="15" hidden="1" customHeight="1">
      <c r="A3616" s="468">
        <v>45471</v>
      </c>
      <c r="B3616" s="208" t="s">
        <v>3145</v>
      </c>
      <c r="C3616" s="208" t="s">
        <v>27</v>
      </c>
      <c r="D3616" s="592">
        <v>-7780000</v>
      </c>
      <c r="E3616" s="212">
        <v>45444</v>
      </c>
      <c r="F3616" s="208" t="s">
        <v>109</v>
      </c>
      <c r="G3616" s="201" t="s">
        <v>1306</v>
      </c>
      <c r="H3616" s="208" t="s">
        <v>418</v>
      </c>
      <c r="I3616" s="208"/>
      <c r="J3616" s="209"/>
      <c r="K3616" s="209"/>
      <c r="L3616" s="209"/>
      <c r="M3616" s="209"/>
      <c r="N3616" s="209"/>
      <c r="O3616" s="209"/>
      <c r="P3616" s="209"/>
      <c r="Q3616" s="209"/>
      <c r="R3616" s="209"/>
      <c r="S3616" s="209"/>
      <c r="T3616" s="209"/>
    </row>
    <row r="3617" spans="1:20" s="451" customFormat="1" ht="15" hidden="1" customHeight="1">
      <c r="A3617" s="468">
        <v>45471</v>
      </c>
      <c r="B3617" s="208" t="s">
        <v>3145</v>
      </c>
      <c r="C3617" s="208" t="s">
        <v>27</v>
      </c>
      <c r="D3617" s="592">
        <v>-309400</v>
      </c>
      <c r="E3617" s="212">
        <v>45444</v>
      </c>
      <c r="F3617" s="208" t="s">
        <v>109</v>
      </c>
      <c r="G3617" s="201" t="s">
        <v>1306</v>
      </c>
      <c r="H3617" s="208" t="s">
        <v>421</v>
      </c>
      <c r="I3617" s="208"/>
      <c r="J3617" s="209"/>
      <c r="K3617" s="209"/>
      <c r="L3617" s="209"/>
      <c r="M3617" s="209"/>
      <c r="N3617" s="209"/>
      <c r="O3617" s="209"/>
      <c r="P3617" s="209"/>
      <c r="Q3617" s="209"/>
      <c r="R3617" s="209"/>
      <c r="S3617" s="209"/>
      <c r="T3617" s="209"/>
    </row>
    <row r="3618" spans="1:20" s="451" customFormat="1" ht="15" hidden="1" customHeight="1">
      <c r="A3618" s="468">
        <v>45471</v>
      </c>
      <c r="B3618" s="208" t="s">
        <v>3145</v>
      </c>
      <c r="C3618" s="208" t="s">
        <v>27</v>
      </c>
      <c r="D3618" s="592">
        <v>79675550</v>
      </c>
      <c r="E3618" s="212">
        <v>45444</v>
      </c>
      <c r="F3618" s="208" t="s">
        <v>109</v>
      </c>
      <c r="G3618" s="208" t="s">
        <v>120</v>
      </c>
      <c r="H3618" s="208" t="s">
        <v>212</v>
      </c>
      <c r="I3618" s="208"/>
      <c r="J3618" s="209"/>
      <c r="K3618" s="209"/>
      <c r="L3618" s="209"/>
      <c r="M3618" s="209"/>
      <c r="N3618" s="209"/>
      <c r="O3618" s="209"/>
      <c r="P3618" s="209"/>
      <c r="Q3618" s="209"/>
      <c r="R3618" s="209"/>
      <c r="S3618" s="209"/>
      <c r="T3618" s="209"/>
    </row>
    <row r="3619" spans="1:20" s="451" customFormat="1" ht="15" hidden="1" customHeight="1">
      <c r="A3619" s="468">
        <v>45471</v>
      </c>
      <c r="B3619" s="208" t="s">
        <v>3145</v>
      </c>
      <c r="C3619" s="208" t="s">
        <v>27</v>
      </c>
      <c r="D3619" s="592">
        <v>-208250</v>
      </c>
      <c r="E3619" s="212">
        <v>45444</v>
      </c>
      <c r="F3619" s="201" t="s">
        <v>110</v>
      </c>
      <c r="G3619" s="81" t="s">
        <v>1621</v>
      </c>
      <c r="H3619" s="208" t="s">
        <v>418</v>
      </c>
      <c r="I3619" s="208"/>
      <c r="J3619" s="209"/>
      <c r="K3619" s="209"/>
      <c r="L3619" s="209"/>
      <c r="M3619" s="209"/>
      <c r="N3619" s="209"/>
      <c r="O3619" s="209"/>
      <c r="P3619" s="209"/>
      <c r="Q3619" s="209"/>
      <c r="R3619" s="209"/>
      <c r="S3619" s="209"/>
      <c r="T3619" s="209"/>
    </row>
    <row r="3620" spans="1:20" s="451" customFormat="1" ht="15" hidden="1" customHeight="1">
      <c r="A3620" s="468">
        <v>45471</v>
      </c>
      <c r="B3620" s="208" t="s">
        <v>3145</v>
      </c>
      <c r="C3620" s="208" t="s">
        <v>27</v>
      </c>
      <c r="D3620" s="592">
        <v>-4081105</v>
      </c>
      <c r="E3620" s="212">
        <v>45444</v>
      </c>
      <c r="F3620" s="208" t="s">
        <v>109</v>
      </c>
      <c r="G3620" s="201" t="s">
        <v>1306</v>
      </c>
      <c r="H3620" s="208" t="s">
        <v>421</v>
      </c>
      <c r="I3620" s="208"/>
      <c r="J3620" s="209"/>
      <c r="K3620" s="209"/>
      <c r="L3620" s="209"/>
      <c r="M3620" s="209"/>
      <c r="N3620" s="209"/>
      <c r="O3620" s="209"/>
      <c r="P3620" s="209"/>
      <c r="Q3620" s="209"/>
      <c r="R3620" s="209"/>
      <c r="S3620" s="209"/>
      <c r="T3620" s="209"/>
    </row>
    <row r="3621" spans="1:20" s="451" customFormat="1" ht="15" hidden="1" customHeight="1">
      <c r="A3621" s="468">
        <v>45471</v>
      </c>
      <c r="B3621" s="208" t="s">
        <v>3145</v>
      </c>
      <c r="C3621" s="208" t="s">
        <v>27</v>
      </c>
      <c r="D3621" s="592">
        <v>-3511690</v>
      </c>
      <c r="E3621" s="212">
        <v>45444</v>
      </c>
      <c r="F3621" s="201" t="s">
        <v>110</v>
      </c>
      <c r="G3621" s="201" t="s">
        <v>1489</v>
      </c>
      <c r="H3621" s="208" t="s">
        <v>421</v>
      </c>
      <c r="I3621" s="208"/>
      <c r="J3621" s="209"/>
      <c r="K3621" s="209"/>
      <c r="L3621" s="209"/>
      <c r="M3621" s="209"/>
      <c r="N3621" s="209"/>
      <c r="O3621" s="209"/>
      <c r="P3621" s="209"/>
      <c r="Q3621" s="209"/>
      <c r="R3621" s="209"/>
      <c r="S3621" s="209"/>
      <c r="T3621" s="209"/>
    </row>
    <row r="3622" spans="1:20" s="451" customFormat="1" ht="15" hidden="1" customHeight="1">
      <c r="A3622" s="468">
        <v>45471</v>
      </c>
      <c r="B3622" s="208" t="s">
        <v>3147</v>
      </c>
      <c r="C3622" s="208" t="s">
        <v>27</v>
      </c>
      <c r="D3622" s="800">
        <f>-209949031-10361808</f>
        <v>-220310839</v>
      </c>
      <c r="E3622" s="212">
        <v>45444</v>
      </c>
      <c r="F3622" s="208" t="s">
        <v>109</v>
      </c>
      <c r="G3622" s="201" t="s">
        <v>581</v>
      </c>
      <c r="H3622" s="208" t="s">
        <v>212</v>
      </c>
      <c r="I3622" s="208"/>
      <c r="J3622" s="209"/>
      <c r="K3622" s="209"/>
      <c r="L3622" s="209"/>
      <c r="M3622" s="209"/>
      <c r="N3622" s="209"/>
      <c r="O3622" s="209"/>
      <c r="P3622" s="209"/>
      <c r="Q3622" s="209"/>
      <c r="R3622" s="209"/>
      <c r="S3622" s="209"/>
      <c r="T3622" s="209"/>
    </row>
    <row r="3623" spans="1:20" s="467" customFormat="1" ht="15" hidden="1" customHeight="1">
      <c r="A3623" s="468">
        <v>45471</v>
      </c>
      <c r="B3623" s="208" t="s">
        <v>3148</v>
      </c>
      <c r="C3623" s="208" t="s">
        <v>181</v>
      </c>
      <c r="D3623" s="800">
        <v>-127400669</v>
      </c>
      <c r="E3623" s="212">
        <v>45444</v>
      </c>
      <c r="F3623" s="658" t="s">
        <v>109</v>
      </c>
      <c r="G3623" s="201" t="s">
        <v>581</v>
      </c>
      <c r="H3623" s="208"/>
      <c r="I3623" s="208"/>
      <c r="J3623" s="209"/>
      <c r="K3623" s="209"/>
      <c r="L3623" s="209"/>
      <c r="M3623" s="209"/>
      <c r="N3623" s="209"/>
      <c r="O3623" s="209"/>
      <c r="P3623" s="209"/>
      <c r="Q3623" s="209"/>
      <c r="R3623" s="209"/>
      <c r="S3623" s="209"/>
      <c r="T3623" s="209"/>
    </row>
    <row r="3624" spans="1:20" s="451" customFormat="1" ht="15" hidden="1" customHeight="1">
      <c r="A3624" s="468">
        <v>45471</v>
      </c>
      <c r="B3624" s="208" t="s">
        <v>3149</v>
      </c>
      <c r="C3624" s="208" t="s">
        <v>27</v>
      </c>
      <c r="D3624" s="592">
        <v>5731480</v>
      </c>
      <c r="E3624" s="212">
        <v>45444</v>
      </c>
      <c r="F3624" s="208" t="s">
        <v>109</v>
      </c>
      <c r="G3624" s="208" t="s">
        <v>120</v>
      </c>
      <c r="H3624" s="208"/>
      <c r="I3624" s="208"/>
      <c r="J3624" s="209"/>
      <c r="K3624" s="209"/>
      <c r="L3624" s="209"/>
      <c r="M3624" s="209"/>
      <c r="N3624" s="209"/>
      <c r="O3624" s="209"/>
      <c r="P3624" s="209"/>
      <c r="Q3624" s="209"/>
      <c r="R3624" s="209"/>
      <c r="S3624" s="209"/>
      <c r="T3624" s="209"/>
    </row>
    <row r="3625" spans="1:20" s="451" customFormat="1" ht="15" hidden="1" customHeight="1">
      <c r="A3625" s="468">
        <v>45471</v>
      </c>
      <c r="B3625" s="208" t="s">
        <v>3150</v>
      </c>
      <c r="C3625" s="208" t="s">
        <v>27</v>
      </c>
      <c r="D3625" s="592">
        <v>-59770258</v>
      </c>
      <c r="E3625" s="212">
        <v>45444</v>
      </c>
      <c r="F3625" s="208" t="s">
        <v>109</v>
      </c>
      <c r="G3625" s="654" t="s">
        <v>2585</v>
      </c>
      <c r="H3625" s="208" t="s">
        <v>123</v>
      </c>
      <c r="I3625" s="208"/>
      <c r="J3625" s="209"/>
      <c r="K3625" s="209"/>
      <c r="L3625" s="209"/>
      <c r="M3625" s="209"/>
      <c r="N3625" s="209"/>
      <c r="O3625" s="209"/>
      <c r="P3625" s="209"/>
      <c r="Q3625" s="209"/>
      <c r="R3625" s="209"/>
      <c r="S3625" s="209"/>
      <c r="T3625" s="209"/>
    </row>
    <row r="3626" spans="1:20" s="464" customFormat="1" ht="15" hidden="1" customHeight="1">
      <c r="A3626" s="468">
        <v>45467</v>
      </c>
      <c r="B3626" s="208" t="s">
        <v>1021</v>
      </c>
      <c r="C3626" s="208" t="s">
        <v>269</v>
      </c>
      <c r="D3626" s="592">
        <v>-14000</v>
      </c>
      <c r="E3626" s="212">
        <v>45444</v>
      </c>
      <c r="F3626" s="208" t="s">
        <v>109</v>
      </c>
      <c r="G3626" s="201" t="s">
        <v>1306</v>
      </c>
      <c r="H3626" s="208" t="s">
        <v>175</v>
      </c>
      <c r="I3626" s="208" t="s">
        <v>173</v>
      </c>
      <c r="J3626" s="209"/>
      <c r="K3626" s="209"/>
      <c r="L3626" s="209"/>
      <c r="M3626" s="209"/>
      <c r="N3626" s="209"/>
      <c r="O3626" s="209"/>
      <c r="P3626" s="209"/>
      <c r="Q3626" s="209"/>
      <c r="R3626" s="209"/>
      <c r="S3626" s="209"/>
      <c r="T3626" s="209"/>
    </row>
    <row r="3627" spans="1:20" ht="15" hidden="1" customHeight="1">
      <c r="A3627" s="468">
        <v>45467</v>
      </c>
      <c r="B3627" s="208" t="s">
        <v>3151</v>
      </c>
      <c r="C3627" s="208" t="s">
        <v>269</v>
      </c>
      <c r="D3627" s="592">
        <v>-10000</v>
      </c>
      <c r="E3627" s="212">
        <v>45444</v>
      </c>
      <c r="F3627" s="208" t="s">
        <v>109</v>
      </c>
      <c r="G3627" s="208" t="s">
        <v>120</v>
      </c>
      <c r="H3627" s="208" t="s">
        <v>175</v>
      </c>
      <c r="I3627" s="208" t="s">
        <v>173</v>
      </c>
      <c r="J3627" s="209"/>
      <c r="K3627" s="209"/>
      <c r="L3627" s="209"/>
      <c r="M3627" s="209"/>
      <c r="N3627" s="209"/>
      <c r="O3627" s="209"/>
      <c r="P3627" s="209"/>
      <c r="Q3627" s="209"/>
      <c r="R3627" s="209"/>
      <c r="S3627" s="209"/>
      <c r="T3627" s="209"/>
    </row>
    <row r="3628" spans="1:20" ht="15" hidden="1" customHeight="1">
      <c r="A3628" s="468">
        <v>45467</v>
      </c>
      <c r="B3628" s="208" t="s">
        <v>3152</v>
      </c>
      <c r="C3628" s="208" t="s">
        <v>269</v>
      </c>
      <c r="D3628" s="592">
        <v>-76200</v>
      </c>
      <c r="E3628" s="212">
        <v>45444</v>
      </c>
      <c r="F3628" s="208" t="s">
        <v>207</v>
      </c>
      <c r="G3628" s="649" t="s">
        <v>3153</v>
      </c>
      <c r="H3628" s="208" t="s">
        <v>175</v>
      </c>
      <c r="I3628" s="208" t="s">
        <v>173</v>
      </c>
      <c r="J3628" s="209"/>
      <c r="K3628" s="209"/>
      <c r="L3628" s="209"/>
      <c r="M3628" s="209"/>
      <c r="N3628" s="209"/>
      <c r="O3628" s="209"/>
      <c r="P3628" s="209"/>
      <c r="Q3628" s="209"/>
      <c r="R3628" s="209"/>
      <c r="S3628" s="209"/>
      <c r="T3628" s="209"/>
    </row>
    <row r="3629" spans="1:20" ht="15" hidden="1" customHeight="1">
      <c r="A3629" s="468">
        <v>45468</v>
      </c>
      <c r="B3629" s="208" t="s">
        <v>3154</v>
      </c>
      <c r="C3629" s="208" t="s">
        <v>269</v>
      </c>
      <c r="D3629" s="592">
        <v>-34000</v>
      </c>
      <c r="E3629" s="212">
        <v>45444</v>
      </c>
      <c r="F3629" s="208" t="s">
        <v>207</v>
      </c>
      <c r="G3629" s="649" t="s">
        <v>3153</v>
      </c>
      <c r="H3629" s="208" t="s">
        <v>175</v>
      </c>
      <c r="I3629" s="208" t="s">
        <v>173</v>
      </c>
      <c r="J3629" s="209"/>
      <c r="K3629" s="209"/>
      <c r="L3629" s="209"/>
      <c r="M3629" s="209"/>
      <c r="N3629" s="209"/>
      <c r="O3629" s="209"/>
      <c r="P3629" s="209"/>
      <c r="Q3629" s="209"/>
      <c r="R3629" s="209"/>
      <c r="S3629" s="209"/>
      <c r="T3629" s="209"/>
    </row>
    <row r="3630" spans="1:20" ht="15" hidden="1" customHeight="1">
      <c r="A3630" s="468">
        <v>45468</v>
      </c>
      <c r="B3630" s="208" t="s">
        <v>3155</v>
      </c>
      <c r="C3630" s="208" t="s">
        <v>269</v>
      </c>
      <c r="D3630" s="592">
        <v>-73766</v>
      </c>
      <c r="E3630" s="212">
        <v>45444</v>
      </c>
      <c r="F3630" s="208" t="s">
        <v>207</v>
      </c>
      <c r="G3630" s="649" t="s">
        <v>3153</v>
      </c>
      <c r="H3630" s="208" t="s">
        <v>175</v>
      </c>
      <c r="I3630" s="208" t="s">
        <v>173</v>
      </c>
      <c r="J3630" s="209"/>
      <c r="K3630" s="209"/>
      <c r="L3630" s="209"/>
      <c r="M3630" s="209"/>
      <c r="N3630" s="209"/>
      <c r="O3630" s="209"/>
      <c r="P3630" s="209"/>
      <c r="Q3630" s="209"/>
      <c r="R3630" s="209"/>
      <c r="S3630" s="209"/>
      <c r="T3630" s="209"/>
    </row>
    <row r="3631" spans="1:20" ht="15" hidden="1" customHeight="1">
      <c r="A3631" s="468">
        <v>45468</v>
      </c>
      <c r="B3631" s="208" t="s">
        <v>3156</v>
      </c>
      <c r="C3631" s="208" t="s">
        <v>269</v>
      </c>
      <c r="D3631" s="592">
        <v>-56000</v>
      </c>
      <c r="E3631" s="212">
        <v>45444</v>
      </c>
      <c r="F3631" s="208" t="s">
        <v>109</v>
      </c>
      <c r="G3631" s="201" t="s">
        <v>1306</v>
      </c>
      <c r="H3631" s="208" t="s">
        <v>175</v>
      </c>
      <c r="I3631" s="208" t="s">
        <v>173</v>
      </c>
      <c r="J3631" s="209"/>
      <c r="K3631" s="209"/>
      <c r="L3631" s="209"/>
      <c r="M3631" s="209"/>
      <c r="N3631" s="209"/>
      <c r="O3631" s="209"/>
      <c r="P3631" s="209"/>
      <c r="Q3631" s="209"/>
      <c r="R3631" s="209"/>
      <c r="S3631" s="209"/>
      <c r="T3631" s="209"/>
    </row>
    <row r="3632" spans="1:20" ht="15" hidden="1" customHeight="1">
      <c r="A3632" s="468">
        <v>45468</v>
      </c>
      <c r="B3632" s="208" t="s">
        <v>3157</v>
      </c>
      <c r="C3632" s="208" t="s">
        <v>269</v>
      </c>
      <c r="D3632" s="592">
        <v>-54999</v>
      </c>
      <c r="E3632" s="212">
        <v>45444</v>
      </c>
      <c r="F3632" s="208" t="s">
        <v>207</v>
      </c>
      <c r="G3632" s="649" t="s">
        <v>3153</v>
      </c>
      <c r="H3632" s="208" t="s">
        <v>175</v>
      </c>
      <c r="I3632" s="208" t="s">
        <v>173</v>
      </c>
      <c r="J3632" s="209"/>
      <c r="K3632" s="209"/>
      <c r="L3632" s="209"/>
      <c r="M3632" s="209"/>
      <c r="N3632" s="209"/>
      <c r="O3632" s="209"/>
      <c r="P3632" s="209"/>
      <c r="Q3632" s="209"/>
      <c r="R3632" s="209"/>
      <c r="S3632" s="209"/>
      <c r="T3632" s="209"/>
    </row>
    <row r="3633" spans="1:20" ht="15" hidden="1" customHeight="1">
      <c r="A3633" s="468">
        <v>45468</v>
      </c>
      <c r="B3633" s="208" t="s">
        <v>3158</v>
      </c>
      <c r="C3633" s="208" t="s">
        <v>269</v>
      </c>
      <c r="D3633" s="592">
        <v>-127567</v>
      </c>
      <c r="E3633" s="212">
        <v>45444</v>
      </c>
      <c r="F3633" s="201" t="s">
        <v>110</v>
      </c>
      <c r="G3633" s="208" t="s">
        <v>774</v>
      </c>
      <c r="H3633" s="208" t="s">
        <v>175</v>
      </c>
      <c r="I3633" s="208" t="s">
        <v>173</v>
      </c>
      <c r="J3633" s="209"/>
      <c r="K3633" s="209"/>
      <c r="L3633" s="209"/>
      <c r="M3633" s="209"/>
      <c r="N3633" s="209"/>
      <c r="O3633" s="209"/>
      <c r="P3633" s="209"/>
      <c r="Q3633" s="209"/>
      <c r="R3633" s="209"/>
      <c r="S3633" s="209"/>
      <c r="T3633" s="209"/>
    </row>
    <row r="3634" spans="1:20" ht="15" hidden="1" customHeight="1">
      <c r="A3634" s="468">
        <v>45468</v>
      </c>
      <c r="B3634" s="208" t="s">
        <v>3159</v>
      </c>
      <c r="C3634" s="208" t="s">
        <v>269</v>
      </c>
      <c r="D3634" s="592">
        <v>-73600</v>
      </c>
      <c r="E3634" s="212">
        <v>45444</v>
      </c>
      <c r="F3634" s="208" t="s">
        <v>109</v>
      </c>
      <c r="G3634" s="201" t="s">
        <v>1306</v>
      </c>
      <c r="H3634" s="208" t="s">
        <v>175</v>
      </c>
      <c r="I3634" s="208" t="s">
        <v>173</v>
      </c>
      <c r="J3634" s="209"/>
      <c r="K3634" s="209"/>
      <c r="L3634" s="209"/>
      <c r="M3634" s="209"/>
      <c r="N3634" s="209"/>
      <c r="O3634" s="209"/>
      <c r="P3634" s="209"/>
      <c r="Q3634" s="209"/>
      <c r="R3634" s="209"/>
      <c r="S3634" s="209"/>
      <c r="T3634" s="209"/>
    </row>
    <row r="3635" spans="1:20" ht="15" hidden="1" customHeight="1">
      <c r="A3635" s="468">
        <v>45468</v>
      </c>
      <c r="B3635" s="208" t="s">
        <v>3160</v>
      </c>
      <c r="C3635" s="208" t="s">
        <v>269</v>
      </c>
      <c r="D3635" s="592">
        <v>-18000</v>
      </c>
      <c r="E3635" s="212">
        <v>45444</v>
      </c>
      <c r="F3635" s="201" t="s">
        <v>110</v>
      </c>
      <c r="G3635" s="208" t="s">
        <v>774</v>
      </c>
      <c r="H3635" s="208" t="s">
        <v>175</v>
      </c>
      <c r="I3635" s="208" t="s">
        <v>173</v>
      </c>
      <c r="J3635" s="209"/>
      <c r="K3635" s="209"/>
      <c r="L3635" s="209"/>
      <c r="M3635" s="209"/>
      <c r="N3635" s="209"/>
      <c r="O3635" s="209"/>
      <c r="P3635" s="209"/>
      <c r="Q3635" s="209"/>
      <c r="R3635" s="209"/>
      <c r="S3635" s="209"/>
      <c r="T3635" s="209"/>
    </row>
    <row r="3636" spans="1:20" ht="15" hidden="1" customHeight="1">
      <c r="A3636" s="468">
        <v>45468</v>
      </c>
      <c r="B3636" s="208" t="s">
        <v>3161</v>
      </c>
      <c r="C3636" s="208" t="s">
        <v>269</v>
      </c>
      <c r="D3636" s="592">
        <v>-14000</v>
      </c>
      <c r="E3636" s="212">
        <v>45444</v>
      </c>
      <c r="F3636" s="201" t="s">
        <v>110</v>
      </c>
      <c r="G3636" s="208" t="s">
        <v>774</v>
      </c>
      <c r="H3636" s="208" t="s">
        <v>175</v>
      </c>
      <c r="I3636" s="208" t="s">
        <v>173</v>
      </c>
      <c r="J3636" s="209"/>
      <c r="K3636" s="209"/>
      <c r="L3636" s="209"/>
      <c r="M3636" s="209"/>
      <c r="N3636" s="209"/>
      <c r="O3636" s="209"/>
      <c r="P3636" s="209"/>
      <c r="Q3636" s="209"/>
      <c r="R3636" s="209"/>
      <c r="S3636" s="209"/>
      <c r="T3636" s="209"/>
    </row>
    <row r="3637" spans="1:20" ht="15" hidden="1" customHeight="1">
      <c r="A3637" s="468">
        <v>45468</v>
      </c>
      <c r="B3637" s="208" t="s">
        <v>3162</v>
      </c>
      <c r="C3637" s="208" t="s">
        <v>269</v>
      </c>
      <c r="D3637" s="592">
        <v>-55000</v>
      </c>
      <c r="E3637" s="212">
        <v>45444</v>
      </c>
      <c r="F3637" s="208" t="s">
        <v>109</v>
      </c>
      <c r="G3637" s="201" t="s">
        <v>1306</v>
      </c>
      <c r="H3637" s="208" t="s">
        <v>175</v>
      </c>
      <c r="I3637" s="208" t="s">
        <v>173</v>
      </c>
      <c r="J3637" s="209"/>
      <c r="K3637" s="209"/>
      <c r="L3637" s="209"/>
      <c r="M3637" s="209"/>
      <c r="N3637" s="209"/>
      <c r="O3637" s="209"/>
      <c r="P3637" s="209"/>
      <c r="Q3637" s="209"/>
      <c r="R3637" s="209"/>
      <c r="S3637" s="209"/>
      <c r="T3637" s="209"/>
    </row>
    <row r="3638" spans="1:20" ht="15" hidden="1" customHeight="1">
      <c r="A3638" s="468">
        <v>45469</v>
      </c>
      <c r="B3638" s="208" t="s">
        <v>3163</v>
      </c>
      <c r="C3638" s="208" t="s">
        <v>269</v>
      </c>
      <c r="D3638" s="592">
        <v>-36000</v>
      </c>
      <c r="E3638" s="212">
        <v>45444</v>
      </c>
      <c r="F3638" s="208" t="s">
        <v>109</v>
      </c>
      <c r="G3638" s="208" t="s">
        <v>120</v>
      </c>
      <c r="H3638" s="208" t="s">
        <v>175</v>
      </c>
      <c r="I3638" s="208" t="s">
        <v>173</v>
      </c>
      <c r="J3638" s="209"/>
      <c r="K3638" s="209"/>
      <c r="L3638" s="209"/>
      <c r="M3638" s="209"/>
      <c r="N3638" s="209"/>
      <c r="O3638" s="209"/>
      <c r="P3638" s="209"/>
      <c r="Q3638" s="209"/>
      <c r="R3638" s="209"/>
      <c r="S3638" s="209"/>
      <c r="T3638" s="209"/>
    </row>
    <row r="3639" spans="1:20" ht="15" hidden="1" customHeight="1">
      <c r="A3639" s="468">
        <v>45463</v>
      </c>
      <c r="B3639" s="208" t="s">
        <v>3164</v>
      </c>
      <c r="C3639" s="208" t="s">
        <v>269</v>
      </c>
      <c r="D3639" s="592">
        <v>-50000</v>
      </c>
      <c r="E3639" s="212">
        <v>45444</v>
      </c>
      <c r="F3639" s="201" t="s">
        <v>110</v>
      </c>
      <c r="G3639" s="208" t="s">
        <v>774</v>
      </c>
      <c r="H3639" s="208" t="s">
        <v>175</v>
      </c>
      <c r="I3639" s="208"/>
      <c r="J3639" s="209"/>
      <c r="K3639" s="209"/>
      <c r="L3639" s="209"/>
      <c r="M3639" s="209"/>
      <c r="N3639" s="209"/>
      <c r="O3639" s="209"/>
      <c r="P3639" s="209"/>
      <c r="Q3639" s="209"/>
      <c r="R3639" s="209"/>
      <c r="S3639" s="209"/>
      <c r="T3639" s="209"/>
    </row>
    <row r="3640" spans="1:20" ht="15" hidden="1" customHeight="1">
      <c r="A3640" s="468">
        <v>45463</v>
      </c>
      <c r="B3640" s="208" t="s">
        <v>3165</v>
      </c>
      <c r="C3640" s="208" t="s">
        <v>269</v>
      </c>
      <c r="D3640" s="592">
        <v>-75000</v>
      </c>
      <c r="E3640" s="212">
        <v>45444</v>
      </c>
      <c r="F3640" s="208" t="s">
        <v>109</v>
      </c>
      <c r="G3640" s="208" t="s">
        <v>120</v>
      </c>
      <c r="H3640" s="208" t="s">
        <v>175</v>
      </c>
      <c r="I3640" s="208"/>
      <c r="J3640" s="209"/>
      <c r="K3640" s="209"/>
      <c r="L3640" s="209"/>
      <c r="M3640" s="209"/>
      <c r="N3640" s="209"/>
      <c r="O3640" s="209"/>
      <c r="P3640" s="209"/>
      <c r="Q3640" s="209"/>
      <c r="R3640" s="209"/>
      <c r="S3640" s="209"/>
      <c r="T3640" s="209"/>
    </row>
    <row r="3641" spans="1:20" ht="15" hidden="1" customHeight="1">
      <c r="A3641" s="468">
        <v>45464</v>
      </c>
      <c r="B3641" s="208" t="s">
        <v>3166</v>
      </c>
      <c r="C3641" s="208" t="s">
        <v>269</v>
      </c>
      <c r="D3641" s="592">
        <v>-36000</v>
      </c>
      <c r="E3641" s="212">
        <v>45444</v>
      </c>
      <c r="F3641" s="208" t="s">
        <v>207</v>
      </c>
      <c r="G3641" s="81" t="s">
        <v>2226</v>
      </c>
      <c r="H3641" s="208" t="s">
        <v>175</v>
      </c>
      <c r="I3641" s="208"/>
      <c r="J3641" s="209"/>
      <c r="K3641" s="209"/>
      <c r="L3641" s="209"/>
      <c r="M3641" s="209"/>
      <c r="N3641" s="209"/>
      <c r="O3641" s="209"/>
      <c r="P3641" s="209"/>
      <c r="Q3641" s="209"/>
      <c r="R3641" s="209"/>
      <c r="S3641" s="209"/>
      <c r="T3641" s="209"/>
    </row>
    <row r="3642" spans="1:20" ht="15" hidden="1" customHeight="1">
      <c r="A3642" s="468">
        <v>45464</v>
      </c>
      <c r="B3642" s="208" t="s">
        <v>3167</v>
      </c>
      <c r="C3642" s="208" t="s">
        <v>269</v>
      </c>
      <c r="D3642" s="592">
        <v>-18000</v>
      </c>
      <c r="E3642" s="212">
        <v>45444</v>
      </c>
      <c r="F3642" s="208" t="s">
        <v>207</v>
      </c>
      <c r="G3642" s="81" t="s">
        <v>2226</v>
      </c>
      <c r="H3642" s="208" t="s">
        <v>175</v>
      </c>
      <c r="I3642" s="208"/>
      <c r="J3642" s="209"/>
      <c r="K3642" s="209"/>
      <c r="L3642" s="209"/>
      <c r="M3642" s="209"/>
      <c r="N3642" s="209"/>
      <c r="O3642" s="209"/>
      <c r="P3642" s="209"/>
      <c r="Q3642" s="209"/>
      <c r="R3642" s="209"/>
      <c r="S3642" s="209"/>
      <c r="T3642" s="209"/>
    </row>
    <row r="3643" spans="1:20" ht="15" hidden="1" customHeight="1">
      <c r="A3643" s="468">
        <v>45464</v>
      </c>
      <c r="B3643" s="208" t="s">
        <v>3168</v>
      </c>
      <c r="C3643" s="208" t="s">
        <v>269</v>
      </c>
      <c r="D3643" s="592">
        <v>-10000</v>
      </c>
      <c r="E3643" s="212">
        <v>45444</v>
      </c>
      <c r="F3643" s="208" t="s">
        <v>109</v>
      </c>
      <c r="G3643" s="208" t="s">
        <v>120</v>
      </c>
      <c r="H3643" s="208"/>
      <c r="I3643" s="208"/>
      <c r="J3643" s="209"/>
      <c r="K3643" s="209"/>
      <c r="L3643" s="209"/>
      <c r="M3643" s="209"/>
      <c r="N3643" s="209"/>
      <c r="O3643" s="209"/>
      <c r="P3643" s="209"/>
      <c r="Q3643" s="209"/>
      <c r="R3643" s="209"/>
      <c r="S3643" s="209"/>
      <c r="T3643" s="209"/>
    </row>
    <row r="3644" spans="1:20" ht="15" hidden="1" customHeight="1">
      <c r="A3644" s="468">
        <v>45464</v>
      </c>
      <c r="B3644" s="208" t="s">
        <v>3169</v>
      </c>
      <c r="C3644" s="208" t="s">
        <v>269</v>
      </c>
      <c r="D3644" s="592">
        <v>-21600</v>
      </c>
      <c r="E3644" s="212">
        <v>45444</v>
      </c>
      <c r="F3644" s="208" t="s">
        <v>109</v>
      </c>
      <c r="G3644" s="208" t="s">
        <v>120</v>
      </c>
      <c r="H3644" s="208" t="s">
        <v>175</v>
      </c>
      <c r="I3644" s="208"/>
      <c r="J3644" s="209"/>
      <c r="K3644" s="209"/>
      <c r="L3644" s="209"/>
      <c r="M3644" s="209"/>
      <c r="N3644" s="209"/>
      <c r="O3644" s="209"/>
      <c r="P3644" s="209"/>
      <c r="Q3644" s="209"/>
      <c r="R3644" s="209"/>
      <c r="S3644" s="209"/>
      <c r="T3644" s="209"/>
    </row>
    <row r="3645" spans="1:20" ht="15" hidden="1" customHeight="1">
      <c r="A3645" s="468">
        <v>45464</v>
      </c>
      <c r="B3645" s="208" t="s">
        <v>3170</v>
      </c>
      <c r="C3645" s="208" t="s">
        <v>269</v>
      </c>
      <c r="D3645" s="592">
        <v>-103700</v>
      </c>
      <c r="E3645" s="212">
        <v>45444</v>
      </c>
      <c r="F3645" s="208" t="s">
        <v>109</v>
      </c>
      <c r="G3645" s="208" t="s">
        <v>120</v>
      </c>
      <c r="H3645" s="208" t="s">
        <v>175</v>
      </c>
      <c r="I3645" s="208"/>
      <c r="J3645" s="209"/>
      <c r="K3645" s="209"/>
      <c r="L3645" s="209"/>
      <c r="M3645" s="209"/>
      <c r="N3645" s="209"/>
      <c r="O3645" s="209"/>
      <c r="P3645" s="209"/>
      <c r="Q3645" s="209"/>
      <c r="R3645" s="209"/>
      <c r="S3645" s="209"/>
      <c r="T3645" s="209"/>
    </row>
    <row r="3646" spans="1:20" ht="15" hidden="1" customHeight="1">
      <c r="A3646" s="468">
        <v>45464</v>
      </c>
      <c r="B3646" s="208" t="s">
        <v>3171</v>
      </c>
      <c r="C3646" s="208" t="s">
        <v>269</v>
      </c>
      <c r="D3646" s="592">
        <v>-148100</v>
      </c>
      <c r="E3646" s="212">
        <v>45444</v>
      </c>
      <c r="F3646" s="208" t="s">
        <v>109</v>
      </c>
      <c r="G3646" s="208" t="s">
        <v>120</v>
      </c>
      <c r="H3646" s="208" t="s">
        <v>175</v>
      </c>
      <c r="I3646" s="208"/>
      <c r="J3646" s="209"/>
      <c r="K3646" s="209"/>
      <c r="L3646" s="209"/>
      <c r="M3646" s="209"/>
      <c r="N3646" s="209"/>
      <c r="O3646" s="209"/>
      <c r="P3646" s="209"/>
      <c r="Q3646" s="209"/>
      <c r="R3646" s="209"/>
      <c r="S3646" s="209"/>
      <c r="T3646" s="209"/>
    </row>
    <row r="3647" spans="1:20" ht="15" hidden="1" customHeight="1">
      <c r="A3647" s="468">
        <v>45464</v>
      </c>
      <c r="B3647" s="208" t="s">
        <v>3172</v>
      </c>
      <c r="C3647" s="208" t="s">
        <v>269</v>
      </c>
      <c r="D3647" s="592">
        <v>-34100</v>
      </c>
      <c r="E3647" s="212">
        <v>45444</v>
      </c>
      <c r="F3647" s="208" t="s">
        <v>207</v>
      </c>
      <c r="G3647" s="81" t="s">
        <v>2226</v>
      </c>
      <c r="H3647" s="208" t="s">
        <v>175</v>
      </c>
      <c r="I3647" s="208"/>
      <c r="J3647" s="209"/>
      <c r="K3647" s="209"/>
      <c r="L3647" s="209"/>
      <c r="M3647" s="209"/>
      <c r="N3647" s="209"/>
      <c r="O3647" s="209"/>
      <c r="P3647" s="209"/>
      <c r="Q3647" s="209"/>
      <c r="R3647" s="209"/>
      <c r="S3647" s="209"/>
      <c r="T3647" s="209"/>
    </row>
    <row r="3648" spans="1:20" ht="15" hidden="1" customHeight="1">
      <c r="A3648" s="468">
        <v>45433</v>
      </c>
      <c r="B3648" s="208" t="s">
        <v>3173</v>
      </c>
      <c r="C3648" s="590" t="s">
        <v>146</v>
      </c>
      <c r="D3648" s="592">
        <v>-21527</v>
      </c>
      <c r="E3648" s="212">
        <v>45444</v>
      </c>
      <c r="F3648" s="208" t="s">
        <v>109</v>
      </c>
      <c r="G3648" s="208" t="s">
        <v>120</v>
      </c>
      <c r="H3648" s="208" t="s">
        <v>175</v>
      </c>
      <c r="I3648" s="208"/>
      <c r="J3648" s="209"/>
      <c r="K3648" s="209"/>
      <c r="L3648" s="209"/>
      <c r="M3648" s="209"/>
      <c r="N3648" s="209"/>
      <c r="O3648" s="209"/>
      <c r="P3648" s="209"/>
      <c r="Q3648" s="209"/>
      <c r="R3648" s="209"/>
      <c r="S3648" s="209"/>
      <c r="T3648" s="209"/>
    </row>
    <row r="3649" spans="1:20" ht="15" hidden="1" customHeight="1">
      <c r="A3649" s="468">
        <v>45464</v>
      </c>
      <c r="B3649" s="208" t="s">
        <v>3174</v>
      </c>
      <c r="C3649" s="208" t="s">
        <v>269</v>
      </c>
      <c r="D3649" s="592">
        <v>-54000</v>
      </c>
      <c r="E3649" s="212">
        <v>45444</v>
      </c>
      <c r="F3649" s="208" t="s">
        <v>109</v>
      </c>
      <c r="G3649" s="208" t="s">
        <v>120</v>
      </c>
      <c r="H3649" s="208" t="s">
        <v>175</v>
      </c>
      <c r="I3649" s="208"/>
      <c r="J3649" s="209"/>
      <c r="K3649" s="209"/>
      <c r="L3649" s="209"/>
      <c r="M3649" s="209"/>
      <c r="N3649" s="209"/>
      <c r="O3649" s="209"/>
      <c r="P3649" s="209"/>
      <c r="Q3649" s="209"/>
      <c r="R3649" s="209"/>
      <c r="S3649" s="209"/>
      <c r="T3649" s="209"/>
    </row>
    <row r="3650" spans="1:20" ht="15" hidden="1" customHeight="1">
      <c r="A3650" s="468">
        <v>45465</v>
      </c>
      <c r="B3650" s="208" t="s">
        <v>3175</v>
      </c>
      <c r="C3650" s="208" t="s">
        <v>269</v>
      </c>
      <c r="D3650" s="592">
        <v>-12000</v>
      </c>
      <c r="E3650" s="212">
        <v>45444</v>
      </c>
      <c r="F3650" s="208" t="s">
        <v>109</v>
      </c>
      <c r="G3650" s="208" t="s">
        <v>120</v>
      </c>
      <c r="H3650" s="208" t="s">
        <v>175</v>
      </c>
      <c r="I3650" s="208"/>
      <c r="J3650" s="209"/>
      <c r="K3650" s="209"/>
      <c r="L3650" s="209"/>
      <c r="M3650" s="209"/>
      <c r="N3650" s="209"/>
      <c r="O3650" s="209"/>
      <c r="P3650" s="209"/>
      <c r="Q3650" s="209"/>
      <c r="R3650" s="209"/>
      <c r="S3650" s="209"/>
      <c r="T3650" s="209"/>
    </row>
    <row r="3651" spans="1:20" ht="15" hidden="1" customHeight="1">
      <c r="A3651" s="468">
        <v>45467</v>
      </c>
      <c r="B3651" s="208" t="s">
        <v>3176</v>
      </c>
      <c r="C3651" s="208" t="s">
        <v>269</v>
      </c>
      <c r="D3651" s="592">
        <v>-19099</v>
      </c>
      <c r="E3651" s="212">
        <v>45444</v>
      </c>
      <c r="F3651" s="208" t="s">
        <v>109</v>
      </c>
      <c r="G3651" s="208" t="s">
        <v>120</v>
      </c>
      <c r="H3651" s="208" t="s">
        <v>175</v>
      </c>
      <c r="I3651" s="208"/>
      <c r="J3651" s="209"/>
      <c r="K3651" s="209"/>
      <c r="L3651" s="209"/>
      <c r="M3651" s="209"/>
      <c r="N3651" s="209"/>
      <c r="O3651" s="209"/>
      <c r="P3651" s="209"/>
      <c r="Q3651" s="209"/>
      <c r="R3651" s="209"/>
      <c r="S3651" s="209"/>
      <c r="T3651" s="209"/>
    </row>
    <row r="3652" spans="1:20" ht="15" hidden="1" customHeight="1">
      <c r="A3652" s="468">
        <v>45467</v>
      </c>
      <c r="B3652" s="208" t="s">
        <v>3177</v>
      </c>
      <c r="C3652" s="208" t="s">
        <v>269</v>
      </c>
      <c r="D3652" s="592">
        <v>-50000</v>
      </c>
      <c r="E3652" s="212">
        <v>45444</v>
      </c>
      <c r="F3652" s="208" t="s">
        <v>130</v>
      </c>
      <c r="G3652" s="208" t="s">
        <v>130</v>
      </c>
      <c r="H3652" s="208" t="s">
        <v>2444</v>
      </c>
      <c r="I3652" s="208"/>
      <c r="J3652" s="209"/>
      <c r="K3652" s="209"/>
      <c r="L3652" s="209"/>
      <c r="M3652" s="209"/>
      <c r="N3652" s="209"/>
      <c r="O3652" s="209"/>
      <c r="P3652" s="209"/>
      <c r="Q3652" s="209"/>
      <c r="R3652" s="209"/>
      <c r="S3652" s="209"/>
      <c r="T3652" s="209"/>
    </row>
    <row r="3653" spans="1:20" ht="15" hidden="1" customHeight="1">
      <c r="A3653" s="468">
        <v>45468</v>
      </c>
      <c r="B3653" s="208" t="s">
        <v>3178</v>
      </c>
      <c r="C3653" s="208" t="s">
        <v>269</v>
      </c>
      <c r="D3653" s="592">
        <v>-13000</v>
      </c>
      <c r="E3653" s="212">
        <v>45444</v>
      </c>
      <c r="F3653" s="208" t="s">
        <v>130</v>
      </c>
      <c r="G3653" s="208" t="s">
        <v>257</v>
      </c>
      <c r="H3653" s="208" t="s">
        <v>138</v>
      </c>
      <c r="I3653" s="208"/>
      <c r="J3653" s="209"/>
      <c r="K3653" s="209"/>
      <c r="L3653" s="209"/>
      <c r="M3653" s="209"/>
      <c r="N3653" s="209"/>
      <c r="O3653" s="209"/>
      <c r="P3653" s="209"/>
      <c r="Q3653" s="209"/>
      <c r="R3653" s="209"/>
      <c r="S3653" s="209"/>
      <c r="T3653" s="209"/>
    </row>
    <row r="3654" spans="1:20" ht="15" hidden="1" customHeight="1">
      <c r="A3654" s="468">
        <v>45469</v>
      </c>
      <c r="B3654" s="208" t="s">
        <v>3179</v>
      </c>
      <c r="C3654" s="208" t="s">
        <v>269</v>
      </c>
      <c r="D3654" s="592">
        <v>-48800</v>
      </c>
      <c r="E3654" s="212">
        <v>45444</v>
      </c>
      <c r="F3654" s="208" t="s">
        <v>130</v>
      </c>
      <c r="G3654" s="208" t="s">
        <v>130</v>
      </c>
      <c r="H3654" s="208" t="s">
        <v>138</v>
      </c>
      <c r="I3654" s="208"/>
      <c r="J3654" s="209"/>
      <c r="K3654" s="209"/>
      <c r="L3654" s="209"/>
      <c r="M3654" s="209"/>
      <c r="N3654" s="209"/>
      <c r="O3654" s="209"/>
      <c r="P3654" s="209"/>
      <c r="Q3654" s="209"/>
      <c r="R3654" s="209"/>
      <c r="S3654" s="209"/>
      <c r="T3654" s="209"/>
    </row>
    <row r="3655" spans="1:20" ht="15" hidden="1" customHeight="1">
      <c r="A3655" s="468">
        <v>45469</v>
      </c>
      <c r="B3655" s="208" t="s">
        <v>3180</v>
      </c>
      <c r="C3655" s="208" t="s">
        <v>269</v>
      </c>
      <c r="D3655" s="592">
        <v>-8500</v>
      </c>
      <c r="E3655" s="212">
        <v>45444</v>
      </c>
      <c r="F3655" s="208" t="s">
        <v>207</v>
      </c>
      <c r="G3655" s="649" t="s">
        <v>3153</v>
      </c>
      <c r="H3655" s="208"/>
      <c r="I3655" s="208"/>
      <c r="J3655" s="209"/>
      <c r="K3655" s="209"/>
      <c r="L3655" s="209"/>
      <c r="M3655" s="209"/>
      <c r="N3655" s="209"/>
      <c r="O3655" s="209"/>
      <c r="P3655" s="209"/>
      <c r="Q3655" s="209"/>
      <c r="R3655" s="209"/>
      <c r="S3655" s="209"/>
      <c r="T3655" s="209"/>
    </row>
    <row r="3656" spans="1:20" ht="15" hidden="1" customHeight="1">
      <c r="A3656" s="468">
        <v>45457</v>
      </c>
      <c r="B3656" s="655" t="s">
        <v>3015</v>
      </c>
      <c r="C3656" s="208" t="s">
        <v>27</v>
      </c>
      <c r="D3656" s="592">
        <f>-9718551*30%</f>
        <v>-2915565.3</v>
      </c>
      <c r="E3656" s="212">
        <v>45444</v>
      </c>
      <c r="F3656" s="201" t="s">
        <v>110</v>
      </c>
      <c r="G3656" s="208" t="s">
        <v>122</v>
      </c>
      <c r="H3656" s="208" t="s">
        <v>147</v>
      </c>
      <c r="I3656" s="208"/>
      <c r="J3656" s="209"/>
      <c r="K3656" s="209"/>
      <c r="L3656" s="209"/>
      <c r="M3656" s="209"/>
      <c r="N3656" s="209"/>
      <c r="O3656" s="209"/>
      <c r="P3656" s="209"/>
      <c r="Q3656" s="209"/>
      <c r="R3656" s="209"/>
      <c r="S3656" s="209"/>
      <c r="T3656" s="209"/>
    </row>
    <row r="3657" spans="1:20" ht="15" hidden="1" customHeight="1">
      <c r="A3657" s="468">
        <v>45457</v>
      </c>
      <c r="B3657" s="655" t="s">
        <v>3015</v>
      </c>
      <c r="C3657" s="208" t="s">
        <v>27</v>
      </c>
      <c r="D3657" s="592">
        <f>-9718551*20%</f>
        <v>-1943710.2000000002</v>
      </c>
      <c r="E3657" s="212">
        <v>45444</v>
      </c>
      <c r="F3657" s="201" t="s">
        <v>110</v>
      </c>
      <c r="G3657" s="81" t="s">
        <v>1621</v>
      </c>
      <c r="H3657" s="208" t="s">
        <v>147</v>
      </c>
      <c r="I3657" s="208"/>
      <c r="J3657" s="209"/>
      <c r="K3657" s="209"/>
      <c r="L3657" s="209"/>
      <c r="M3657" s="209"/>
      <c r="N3657" s="209"/>
      <c r="O3657" s="209"/>
      <c r="P3657" s="209"/>
      <c r="Q3657" s="209"/>
      <c r="R3657" s="209"/>
      <c r="S3657" s="209"/>
      <c r="T3657" s="209"/>
    </row>
    <row r="3658" spans="1:20" ht="15" hidden="1" customHeight="1">
      <c r="A3658" s="468">
        <v>45469</v>
      </c>
      <c r="B3658" s="208" t="s">
        <v>3181</v>
      </c>
      <c r="C3658" s="208" t="s">
        <v>269</v>
      </c>
      <c r="D3658" s="592">
        <v>-6500</v>
      </c>
      <c r="E3658" s="212">
        <v>45444</v>
      </c>
      <c r="F3658" s="208" t="s">
        <v>109</v>
      </c>
      <c r="G3658" s="201" t="s">
        <v>1306</v>
      </c>
      <c r="H3658" s="208" t="s">
        <v>175</v>
      </c>
      <c r="I3658" s="208"/>
      <c r="J3658" s="209"/>
      <c r="K3658" s="209"/>
      <c r="L3658" s="209"/>
      <c r="M3658" s="209"/>
      <c r="N3658" s="209"/>
      <c r="O3658" s="209"/>
      <c r="P3658" s="209"/>
      <c r="Q3658" s="209"/>
      <c r="R3658" s="209"/>
      <c r="S3658" s="209"/>
      <c r="T3658" s="209"/>
    </row>
    <row r="3659" spans="1:20" ht="15" hidden="1" customHeight="1">
      <c r="A3659" s="468">
        <v>45469</v>
      </c>
      <c r="B3659" s="208" t="s">
        <v>3182</v>
      </c>
      <c r="C3659" s="208" t="s">
        <v>269</v>
      </c>
      <c r="D3659" s="592">
        <v>-5800</v>
      </c>
      <c r="E3659" s="212">
        <v>45444</v>
      </c>
      <c r="F3659" s="208" t="s">
        <v>130</v>
      </c>
      <c r="G3659" s="208" t="s">
        <v>257</v>
      </c>
      <c r="H3659" s="208" t="s">
        <v>138</v>
      </c>
      <c r="I3659" s="208"/>
      <c r="J3659" s="209"/>
      <c r="K3659" s="209"/>
      <c r="L3659" s="209"/>
      <c r="M3659" s="209"/>
      <c r="N3659" s="209"/>
      <c r="O3659" s="209"/>
      <c r="P3659" s="209"/>
      <c r="Q3659" s="209"/>
      <c r="R3659" s="209"/>
      <c r="S3659" s="209"/>
      <c r="T3659" s="209"/>
    </row>
    <row r="3660" spans="1:20" ht="15" hidden="1" customHeight="1">
      <c r="A3660" s="468">
        <v>45470</v>
      </c>
      <c r="B3660" s="208" t="s">
        <v>3183</v>
      </c>
      <c r="C3660" s="208" t="s">
        <v>269</v>
      </c>
      <c r="D3660" s="592">
        <v>-97500</v>
      </c>
      <c r="E3660" s="212">
        <v>45444</v>
      </c>
      <c r="F3660" s="208" t="s">
        <v>109</v>
      </c>
      <c r="G3660" s="201" t="s">
        <v>1261</v>
      </c>
      <c r="H3660" s="208" t="s">
        <v>310</v>
      </c>
      <c r="I3660" s="208"/>
      <c r="J3660" s="209"/>
      <c r="K3660" s="209"/>
      <c r="L3660" s="209"/>
      <c r="M3660" s="209"/>
      <c r="N3660" s="209"/>
      <c r="O3660" s="209"/>
      <c r="P3660" s="209"/>
      <c r="Q3660" s="209"/>
      <c r="R3660" s="209"/>
      <c r="S3660" s="209"/>
      <c r="T3660" s="209"/>
    </row>
    <row r="3661" spans="1:20" ht="15" hidden="1" customHeight="1">
      <c r="A3661" s="468">
        <v>45470</v>
      </c>
      <c r="B3661" s="208" t="s">
        <v>3184</v>
      </c>
      <c r="C3661" s="208" t="s">
        <v>269</v>
      </c>
      <c r="D3661" s="592">
        <v>-55000</v>
      </c>
      <c r="E3661" s="212">
        <v>45444</v>
      </c>
      <c r="F3661" s="208" t="s">
        <v>130</v>
      </c>
      <c r="G3661" s="208" t="s">
        <v>130</v>
      </c>
      <c r="H3661" s="208" t="s">
        <v>2444</v>
      </c>
      <c r="I3661" s="208"/>
      <c r="J3661" s="209"/>
      <c r="K3661" s="209"/>
      <c r="L3661" s="209"/>
      <c r="M3661" s="209"/>
      <c r="N3661" s="209"/>
      <c r="O3661" s="209"/>
      <c r="P3661" s="209"/>
      <c r="Q3661" s="209"/>
      <c r="R3661" s="209"/>
      <c r="S3661" s="209"/>
      <c r="T3661" s="209"/>
    </row>
    <row r="3662" spans="1:20" ht="15" hidden="1" customHeight="1">
      <c r="A3662" s="468">
        <v>45469</v>
      </c>
      <c r="B3662" s="208" t="s">
        <v>3185</v>
      </c>
      <c r="C3662" s="208" t="s">
        <v>269</v>
      </c>
      <c r="D3662" s="592">
        <v>-7000</v>
      </c>
      <c r="E3662" s="212">
        <v>45444</v>
      </c>
      <c r="F3662" s="201" t="s">
        <v>110</v>
      </c>
      <c r="G3662" s="208" t="s">
        <v>774</v>
      </c>
      <c r="H3662" s="208" t="s">
        <v>138</v>
      </c>
      <c r="I3662" s="208"/>
      <c r="J3662" s="209"/>
      <c r="K3662" s="209"/>
      <c r="L3662" s="209"/>
      <c r="M3662" s="209"/>
      <c r="N3662" s="209"/>
      <c r="O3662" s="209"/>
      <c r="P3662" s="209"/>
      <c r="Q3662" s="209"/>
      <c r="R3662" s="209"/>
      <c r="S3662" s="209"/>
      <c r="T3662" s="209"/>
    </row>
    <row r="3663" spans="1:20" ht="15" hidden="1" customHeight="1">
      <c r="A3663" s="468">
        <v>45469</v>
      </c>
      <c r="B3663" s="208" t="s">
        <v>3185</v>
      </c>
      <c r="C3663" s="208" t="s">
        <v>269</v>
      </c>
      <c r="D3663" s="592">
        <v>-7000</v>
      </c>
      <c r="E3663" s="212">
        <v>45444</v>
      </c>
      <c r="F3663" s="208" t="s">
        <v>109</v>
      </c>
      <c r="G3663" s="208" t="s">
        <v>414</v>
      </c>
      <c r="H3663" s="208" t="s">
        <v>138</v>
      </c>
      <c r="I3663" s="208"/>
      <c r="J3663" s="209"/>
      <c r="K3663" s="209"/>
      <c r="L3663" s="209"/>
      <c r="M3663" s="209"/>
      <c r="N3663" s="209"/>
      <c r="O3663" s="209"/>
      <c r="P3663" s="209"/>
      <c r="Q3663" s="209"/>
      <c r="R3663" s="209"/>
      <c r="S3663" s="209"/>
      <c r="T3663" s="209"/>
    </row>
    <row r="3664" spans="1:20" ht="15" hidden="1" customHeight="1">
      <c r="A3664" s="468">
        <v>45469</v>
      </c>
      <c r="B3664" s="208" t="s">
        <v>3185</v>
      </c>
      <c r="C3664" s="208" t="s">
        <v>269</v>
      </c>
      <c r="D3664" s="592">
        <v>-71000</v>
      </c>
      <c r="E3664" s="212">
        <v>45444</v>
      </c>
      <c r="F3664" s="208" t="s">
        <v>109</v>
      </c>
      <c r="G3664" s="201" t="s">
        <v>1306</v>
      </c>
      <c r="H3664" s="208" t="s">
        <v>138</v>
      </c>
      <c r="I3664" s="208"/>
      <c r="J3664" s="209"/>
      <c r="K3664" s="209"/>
      <c r="L3664" s="209"/>
      <c r="M3664" s="209"/>
      <c r="N3664" s="209"/>
      <c r="O3664" s="209"/>
      <c r="P3664" s="209"/>
      <c r="Q3664" s="209"/>
      <c r="R3664" s="209"/>
      <c r="S3664" s="209"/>
      <c r="T3664" s="209"/>
    </row>
    <row r="3665" spans="1:20" ht="15" hidden="1" customHeight="1">
      <c r="A3665" s="468">
        <v>45469</v>
      </c>
      <c r="B3665" s="208" t="s">
        <v>3185</v>
      </c>
      <c r="C3665" s="208" t="s">
        <v>269</v>
      </c>
      <c r="D3665" s="592">
        <v>-7000</v>
      </c>
      <c r="E3665" s="212">
        <v>45444</v>
      </c>
      <c r="F3665" s="208" t="s">
        <v>207</v>
      </c>
      <c r="G3665" s="649" t="s">
        <v>3153</v>
      </c>
      <c r="H3665" s="208" t="s">
        <v>138</v>
      </c>
      <c r="I3665" s="208"/>
      <c r="J3665" s="209"/>
      <c r="K3665" s="209"/>
      <c r="L3665" s="209"/>
      <c r="M3665" s="209"/>
      <c r="N3665" s="209"/>
      <c r="O3665" s="209"/>
      <c r="P3665" s="209"/>
      <c r="Q3665" s="209"/>
      <c r="R3665" s="209"/>
      <c r="S3665" s="209"/>
      <c r="T3665" s="209"/>
    </row>
    <row r="3666" spans="1:20" ht="15" hidden="1" customHeight="1">
      <c r="A3666" s="468">
        <v>45470</v>
      </c>
      <c r="B3666" s="208" t="s">
        <v>3186</v>
      </c>
      <c r="C3666" s="208" t="s">
        <v>269</v>
      </c>
      <c r="D3666" s="592">
        <v>-56666</v>
      </c>
      <c r="E3666" s="212">
        <v>45444</v>
      </c>
      <c r="F3666" s="208" t="s">
        <v>109</v>
      </c>
      <c r="G3666" s="201" t="s">
        <v>1306</v>
      </c>
      <c r="H3666" s="208" t="s">
        <v>138</v>
      </c>
      <c r="I3666" s="208"/>
      <c r="J3666" s="209"/>
      <c r="K3666" s="209"/>
      <c r="L3666" s="209"/>
      <c r="M3666" s="209"/>
      <c r="N3666" s="209"/>
      <c r="O3666" s="209"/>
      <c r="P3666" s="209"/>
      <c r="Q3666" s="209"/>
      <c r="R3666" s="209"/>
      <c r="S3666" s="209"/>
      <c r="T3666" s="209"/>
    </row>
    <row r="3667" spans="1:20" ht="15" hidden="1" customHeight="1">
      <c r="A3667" s="468">
        <v>45470</v>
      </c>
      <c r="B3667" s="208" t="s">
        <v>3186</v>
      </c>
      <c r="C3667" s="208" t="s">
        <v>269</v>
      </c>
      <c r="D3667" s="592">
        <v>-56666</v>
      </c>
      <c r="E3667" s="212">
        <v>45444</v>
      </c>
      <c r="F3667" s="208" t="s">
        <v>207</v>
      </c>
      <c r="G3667" s="649" t="s">
        <v>3153</v>
      </c>
      <c r="H3667" s="208" t="s">
        <v>138</v>
      </c>
      <c r="I3667" s="208"/>
      <c r="J3667" s="209"/>
      <c r="K3667" s="209"/>
      <c r="L3667" s="209"/>
      <c r="M3667" s="209"/>
      <c r="N3667" s="209"/>
      <c r="O3667" s="209"/>
      <c r="P3667" s="209"/>
      <c r="Q3667" s="209"/>
      <c r="R3667" s="209"/>
      <c r="S3667" s="209"/>
      <c r="T3667" s="209"/>
    </row>
    <row r="3668" spans="1:20" ht="15" hidden="1" customHeight="1">
      <c r="A3668" s="468">
        <v>45470</v>
      </c>
      <c r="B3668" s="208" t="s">
        <v>3186</v>
      </c>
      <c r="C3668" s="208" t="s">
        <v>269</v>
      </c>
      <c r="D3668" s="592">
        <v>-56668</v>
      </c>
      <c r="E3668" s="212">
        <v>45444</v>
      </c>
      <c r="F3668" s="201" t="s">
        <v>110</v>
      </c>
      <c r="G3668" s="208" t="s">
        <v>774</v>
      </c>
      <c r="H3668" s="208" t="s">
        <v>138</v>
      </c>
      <c r="I3668" s="208"/>
      <c r="J3668" s="209"/>
      <c r="K3668" s="209"/>
      <c r="L3668" s="209"/>
      <c r="M3668" s="209"/>
      <c r="N3668" s="209"/>
      <c r="O3668" s="209"/>
      <c r="P3668" s="209"/>
      <c r="Q3668" s="209"/>
      <c r="R3668" s="209"/>
      <c r="S3668" s="209"/>
      <c r="T3668" s="209"/>
    </row>
    <row r="3669" spans="1:20" ht="15" hidden="1" customHeight="1">
      <c r="A3669" s="468">
        <v>45468</v>
      </c>
      <c r="B3669" s="208" t="s">
        <v>2663</v>
      </c>
      <c r="C3669" s="208" t="s">
        <v>269</v>
      </c>
      <c r="D3669" s="592">
        <v>-14000</v>
      </c>
      <c r="E3669" s="212">
        <v>45444</v>
      </c>
      <c r="F3669" s="208" t="s">
        <v>109</v>
      </c>
      <c r="G3669" s="201" t="s">
        <v>1306</v>
      </c>
      <c r="H3669" s="208" t="s">
        <v>138</v>
      </c>
      <c r="I3669" s="208"/>
      <c r="J3669" s="209"/>
      <c r="K3669" s="209"/>
      <c r="L3669" s="209"/>
      <c r="M3669" s="209"/>
      <c r="N3669" s="209"/>
      <c r="O3669" s="209"/>
      <c r="P3669" s="209"/>
      <c r="Q3669" s="209"/>
      <c r="R3669" s="209"/>
      <c r="S3669" s="209"/>
      <c r="T3669" s="209"/>
    </row>
    <row r="3670" spans="1:20" ht="15" hidden="1" customHeight="1">
      <c r="A3670" s="468">
        <v>45468</v>
      </c>
      <c r="B3670" s="208" t="s">
        <v>2663</v>
      </c>
      <c r="C3670" s="208" t="s">
        <v>269</v>
      </c>
      <c r="D3670" s="592">
        <v>-70000</v>
      </c>
      <c r="E3670" s="212">
        <v>45444</v>
      </c>
      <c r="F3670" s="208" t="s">
        <v>109</v>
      </c>
      <c r="G3670" s="208" t="s">
        <v>120</v>
      </c>
      <c r="H3670" s="208" t="s">
        <v>138</v>
      </c>
      <c r="I3670" s="208"/>
      <c r="J3670" s="209"/>
      <c r="K3670" s="209"/>
      <c r="L3670" s="209"/>
      <c r="M3670" s="209"/>
      <c r="N3670" s="209"/>
      <c r="O3670" s="209"/>
      <c r="P3670" s="209"/>
      <c r="Q3670" s="209"/>
      <c r="R3670" s="209"/>
      <c r="S3670" s="209"/>
      <c r="T3670" s="209"/>
    </row>
    <row r="3671" spans="1:20" ht="15" hidden="1" customHeight="1">
      <c r="A3671" s="468">
        <v>45468</v>
      </c>
      <c r="B3671" s="208" t="s">
        <v>2663</v>
      </c>
      <c r="C3671" s="208" t="s">
        <v>269</v>
      </c>
      <c r="D3671" s="592">
        <v>-30000</v>
      </c>
      <c r="E3671" s="212">
        <v>45444</v>
      </c>
      <c r="F3671" s="208" t="s">
        <v>109</v>
      </c>
      <c r="G3671" s="208" t="s">
        <v>125</v>
      </c>
      <c r="H3671" s="208" t="s">
        <v>138</v>
      </c>
      <c r="I3671" s="208"/>
      <c r="J3671" s="209"/>
      <c r="K3671" s="209"/>
      <c r="L3671" s="209"/>
      <c r="M3671" s="209"/>
      <c r="N3671" s="209"/>
      <c r="O3671" s="209"/>
      <c r="P3671" s="209"/>
      <c r="Q3671" s="209"/>
      <c r="R3671" s="209"/>
      <c r="S3671" s="209"/>
      <c r="T3671" s="209"/>
    </row>
    <row r="3672" spans="1:20" ht="15" hidden="1" customHeight="1">
      <c r="A3672" s="468">
        <v>45468</v>
      </c>
      <c r="B3672" s="208" t="s">
        <v>2663</v>
      </c>
      <c r="C3672" s="208" t="s">
        <v>269</v>
      </c>
      <c r="D3672" s="592">
        <v>-7000</v>
      </c>
      <c r="E3672" s="212">
        <v>45444</v>
      </c>
      <c r="F3672" s="208" t="s">
        <v>109</v>
      </c>
      <c r="G3672" s="208" t="s">
        <v>414</v>
      </c>
      <c r="H3672" s="208" t="s">
        <v>138</v>
      </c>
      <c r="I3672" s="208"/>
      <c r="J3672" s="209"/>
      <c r="K3672" s="209"/>
      <c r="L3672" s="209"/>
      <c r="M3672" s="209"/>
      <c r="N3672" s="209"/>
      <c r="O3672" s="209"/>
      <c r="P3672" s="209"/>
      <c r="Q3672" s="209"/>
      <c r="R3672" s="209"/>
      <c r="S3672" s="209"/>
      <c r="T3672" s="209"/>
    </row>
    <row r="3673" spans="1:20" ht="15" hidden="1" customHeight="1">
      <c r="A3673" s="468">
        <v>45468</v>
      </c>
      <c r="B3673" s="208" t="s">
        <v>2663</v>
      </c>
      <c r="C3673" s="208" t="s">
        <v>269</v>
      </c>
      <c r="D3673" s="592">
        <v>-42000</v>
      </c>
      <c r="E3673" s="212">
        <v>45444</v>
      </c>
      <c r="F3673" s="208" t="s">
        <v>207</v>
      </c>
      <c r="G3673" s="81" t="s">
        <v>2226</v>
      </c>
      <c r="H3673" s="208" t="s">
        <v>138</v>
      </c>
      <c r="I3673" s="208"/>
      <c r="J3673" s="209"/>
      <c r="K3673" s="209"/>
      <c r="L3673" s="209"/>
      <c r="M3673" s="209"/>
      <c r="N3673" s="209"/>
      <c r="O3673" s="209"/>
      <c r="P3673" s="209"/>
      <c r="Q3673" s="209"/>
      <c r="R3673" s="209"/>
      <c r="S3673" s="209"/>
      <c r="T3673" s="209"/>
    </row>
    <row r="3674" spans="1:20" ht="15" hidden="1" customHeight="1">
      <c r="A3674" s="468">
        <v>45468</v>
      </c>
      <c r="B3674" s="208" t="s">
        <v>2663</v>
      </c>
      <c r="C3674" s="208" t="s">
        <v>269</v>
      </c>
      <c r="D3674" s="592">
        <v>-24832</v>
      </c>
      <c r="E3674" s="212">
        <v>45444</v>
      </c>
      <c r="F3674" s="208" t="s">
        <v>109</v>
      </c>
      <c r="G3674" s="201" t="s">
        <v>1261</v>
      </c>
      <c r="H3674" s="208" t="s">
        <v>138</v>
      </c>
      <c r="I3674" s="208"/>
      <c r="J3674" s="209"/>
      <c r="K3674" s="209"/>
      <c r="L3674" s="209"/>
      <c r="M3674" s="209"/>
      <c r="N3674" s="209"/>
      <c r="O3674" s="209"/>
      <c r="P3674" s="209"/>
      <c r="Q3674" s="209"/>
      <c r="R3674" s="209"/>
      <c r="S3674" s="209"/>
      <c r="T3674" s="209"/>
    </row>
    <row r="3675" spans="1:20" ht="15" hidden="1" customHeight="1">
      <c r="A3675" s="468">
        <v>45468</v>
      </c>
      <c r="B3675" s="208" t="s">
        <v>2663</v>
      </c>
      <c r="C3675" s="208" t="s">
        <v>269</v>
      </c>
      <c r="D3675" s="592">
        <v>-7000</v>
      </c>
      <c r="E3675" s="212">
        <v>45444</v>
      </c>
      <c r="F3675" s="201" t="s">
        <v>110</v>
      </c>
      <c r="G3675" s="208" t="s">
        <v>774</v>
      </c>
      <c r="H3675" s="208" t="s">
        <v>138</v>
      </c>
      <c r="I3675" s="208"/>
      <c r="J3675" s="209"/>
      <c r="K3675" s="209"/>
      <c r="L3675" s="209"/>
      <c r="M3675" s="209"/>
      <c r="N3675" s="209"/>
      <c r="O3675" s="209"/>
      <c r="P3675" s="209"/>
      <c r="Q3675" s="209"/>
      <c r="R3675" s="209"/>
      <c r="S3675" s="209"/>
      <c r="T3675" s="209"/>
    </row>
    <row r="3676" spans="1:20" ht="15" hidden="1" customHeight="1">
      <c r="A3676" s="468">
        <v>45468</v>
      </c>
      <c r="B3676" s="208" t="s">
        <v>3187</v>
      </c>
      <c r="C3676" s="208" t="s">
        <v>133</v>
      </c>
      <c r="D3676" s="592">
        <v>-1980</v>
      </c>
      <c r="E3676" s="212">
        <v>45444</v>
      </c>
      <c r="F3676" s="201" t="s">
        <v>110</v>
      </c>
      <c r="G3676" s="208" t="s">
        <v>774</v>
      </c>
      <c r="H3676" s="208" t="s">
        <v>138</v>
      </c>
      <c r="I3676" s="208"/>
      <c r="J3676" s="209"/>
      <c r="K3676" s="209"/>
      <c r="L3676" s="209"/>
      <c r="M3676" s="209"/>
      <c r="N3676" s="209"/>
      <c r="O3676" s="209"/>
      <c r="P3676" s="209"/>
      <c r="Q3676" s="209"/>
      <c r="R3676" s="209"/>
      <c r="S3676" s="209"/>
      <c r="T3676" s="209"/>
    </row>
    <row r="3677" spans="1:20" ht="15" hidden="1" customHeight="1">
      <c r="A3677" s="468">
        <v>45468</v>
      </c>
      <c r="B3677" s="208" t="s">
        <v>3188</v>
      </c>
      <c r="C3677" s="208" t="s">
        <v>133</v>
      </c>
      <c r="D3677" s="592">
        <v>-1188</v>
      </c>
      <c r="E3677" s="212">
        <v>45444</v>
      </c>
      <c r="F3677" s="201" t="s">
        <v>110</v>
      </c>
      <c r="G3677" s="208" t="s">
        <v>774</v>
      </c>
      <c r="H3677" s="208" t="s">
        <v>138</v>
      </c>
      <c r="I3677" s="208"/>
      <c r="J3677" s="209"/>
      <c r="K3677" s="209"/>
      <c r="L3677" s="209"/>
      <c r="M3677" s="209"/>
      <c r="N3677" s="209"/>
      <c r="O3677" s="209"/>
      <c r="P3677" s="209"/>
      <c r="Q3677" s="209"/>
      <c r="R3677" s="209"/>
      <c r="S3677" s="209"/>
      <c r="T3677" s="209"/>
    </row>
    <row r="3678" spans="1:20" ht="15" hidden="1" customHeight="1">
      <c r="A3678" s="468">
        <v>45471</v>
      </c>
      <c r="B3678" s="208" t="s">
        <v>3189</v>
      </c>
      <c r="C3678" s="208" t="s">
        <v>269</v>
      </c>
      <c r="D3678" s="592">
        <v>-90000</v>
      </c>
      <c r="E3678" s="212">
        <v>45444</v>
      </c>
      <c r="F3678" s="201" t="s">
        <v>110</v>
      </c>
      <c r="G3678" s="208" t="s">
        <v>774</v>
      </c>
      <c r="H3678" s="208" t="s">
        <v>138</v>
      </c>
      <c r="I3678" s="208"/>
      <c r="J3678" s="209"/>
      <c r="K3678" s="209"/>
      <c r="L3678" s="209"/>
      <c r="M3678" s="209"/>
      <c r="N3678" s="209"/>
      <c r="O3678" s="209"/>
      <c r="P3678" s="209"/>
      <c r="Q3678" s="209"/>
      <c r="R3678" s="209"/>
      <c r="S3678" s="209"/>
      <c r="T3678" s="209"/>
    </row>
    <row r="3679" spans="1:20" ht="15" hidden="1" customHeight="1">
      <c r="A3679" s="468">
        <v>45471</v>
      </c>
      <c r="B3679" s="208" t="s">
        <v>3189</v>
      </c>
      <c r="C3679" s="208" t="s">
        <v>269</v>
      </c>
      <c r="D3679" s="592">
        <v>-14000</v>
      </c>
      <c r="E3679" s="212">
        <v>45444</v>
      </c>
      <c r="F3679" s="208" t="s">
        <v>130</v>
      </c>
      <c r="G3679" s="208" t="s">
        <v>130</v>
      </c>
      <c r="H3679" s="208" t="s">
        <v>138</v>
      </c>
      <c r="I3679" s="208"/>
      <c r="J3679" s="209"/>
      <c r="K3679" s="209"/>
      <c r="L3679" s="209"/>
      <c r="M3679" s="209"/>
      <c r="N3679" s="209"/>
      <c r="O3679" s="209"/>
      <c r="P3679" s="209"/>
      <c r="Q3679" s="209"/>
      <c r="R3679" s="209"/>
      <c r="S3679" s="209"/>
      <c r="T3679" s="209"/>
    </row>
    <row r="3680" spans="1:20" ht="15" hidden="1" customHeight="1">
      <c r="A3680" s="468">
        <v>45471</v>
      </c>
      <c r="B3680" s="208" t="s">
        <v>3189</v>
      </c>
      <c r="C3680" s="208" t="s">
        <v>269</v>
      </c>
      <c r="D3680" s="592">
        <v>-30000</v>
      </c>
      <c r="E3680" s="212">
        <v>45444</v>
      </c>
      <c r="F3680" s="208" t="s">
        <v>207</v>
      </c>
      <c r="G3680" s="81" t="s">
        <v>2226</v>
      </c>
      <c r="H3680" s="208" t="s">
        <v>138</v>
      </c>
      <c r="I3680" s="208"/>
      <c r="J3680" s="209"/>
      <c r="K3680" s="209"/>
      <c r="L3680" s="209"/>
      <c r="M3680" s="209"/>
      <c r="N3680" s="209"/>
      <c r="O3680" s="209"/>
      <c r="P3680" s="209"/>
      <c r="Q3680" s="209"/>
      <c r="R3680" s="209"/>
      <c r="S3680" s="209"/>
      <c r="T3680" s="209"/>
    </row>
    <row r="3681" spans="1:20" ht="15" hidden="1" customHeight="1">
      <c r="A3681" s="468">
        <v>45471</v>
      </c>
      <c r="B3681" s="208" t="s">
        <v>3189</v>
      </c>
      <c r="C3681" s="208" t="s">
        <v>269</v>
      </c>
      <c r="D3681" s="592">
        <v>-115472</v>
      </c>
      <c r="E3681" s="212">
        <v>45444</v>
      </c>
      <c r="F3681" s="208" t="s">
        <v>109</v>
      </c>
      <c r="G3681" s="201" t="s">
        <v>1306</v>
      </c>
      <c r="H3681" s="208" t="s">
        <v>138</v>
      </c>
      <c r="I3681" s="208"/>
      <c r="J3681" s="209"/>
      <c r="K3681" s="209"/>
      <c r="L3681" s="209"/>
      <c r="M3681" s="209"/>
      <c r="N3681" s="209"/>
      <c r="O3681" s="209"/>
      <c r="P3681" s="209"/>
      <c r="Q3681" s="209"/>
      <c r="R3681" s="209"/>
      <c r="S3681" s="209"/>
      <c r="T3681" s="209"/>
    </row>
    <row r="3682" spans="1:20" ht="15" hidden="1" customHeight="1">
      <c r="A3682" s="468">
        <v>45471</v>
      </c>
      <c r="B3682" s="208" t="s">
        <v>3189</v>
      </c>
      <c r="C3682" s="208" t="s">
        <v>269</v>
      </c>
      <c r="D3682" s="592">
        <v>-15000</v>
      </c>
      <c r="E3682" s="212">
        <v>45444</v>
      </c>
      <c r="F3682" s="208" t="s">
        <v>207</v>
      </c>
      <c r="G3682" s="649" t="s">
        <v>3153</v>
      </c>
      <c r="H3682" s="208" t="s">
        <v>138</v>
      </c>
      <c r="I3682" s="208"/>
      <c r="J3682" s="209"/>
      <c r="K3682" s="209"/>
      <c r="L3682" s="209"/>
      <c r="M3682" s="209"/>
      <c r="N3682" s="209"/>
      <c r="O3682" s="209"/>
      <c r="P3682" s="209"/>
      <c r="Q3682" s="209"/>
      <c r="R3682" s="209"/>
      <c r="S3682" s="209"/>
      <c r="T3682" s="209"/>
    </row>
    <row r="3683" spans="1:20" ht="15" hidden="1" customHeight="1">
      <c r="A3683" s="468">
        <v>45471</v>
      </c>
      <c r="B3683" s="208" t="s">
        <v>3189</v>
      </c>
      <c r="C3683" s="208" t="s">
        <v>269</v>
      </c>
      <c r="D3683" s="592">
        <v>-14000</v>
      </c>
      <c r="E3683" s="212">
        <v>45444</v>
      </c>
      <c r="F3683" s="208" t="s">
        <v>109</v>
      </c>
      <c r="G3683" s="208" t="s">
        <v>120</v>
      </c>
      <c r="H3683" s="208" t="s">
        <v>138</v>
      </c>
      <c r="I3683" s="208"/>
      <c r="J3683" s="209"/>
      <c r="K3683" s="209"/>
      <c r="L3683" s="209"/>
      <c r="M3683" s="209"/>
      <c r="N3683" s="209"/>
      <c r="O3683" s="209"/>
      <c r="P3683" s="209"/>
      <c r="Q3683" s="209"/>
      <c r="R3683" s="209"/>
      <c r="S3683" s="209"/>
      <c r="T3683" s="209"/>
    </row>
    <row r="3684" spans="1:20" ht="15" hidden="1" customHeight="1">
      <c r="A3684" s="468">
        <v>45471</v>
      </c>
      <c r="B3684" s="208" t="s">
        <v>3190</v>
      </c>
      <c r="C3684" s="208" t="s">
        <v>133</v>
      </c>
      <c r="D3684" s="592">
        <v>-2830</v>
      </c>
      <c r="E3684" s="212">
        <v>45444</v>
      </c>
      <c r="F3684" s="208" t="s">
        <v>109</v>
      </c>
      <c r="G3684" s="201" t="s">
        <v>1306</v>
      </c>
      <c r="H3684" s="208" t="s">
        <v>138</v>
      </c>
      <c r="I3684" s="208"/>
      <c r="J3684" s="209"/>
      <c r="K3684" s="209"/>
      <c r="L3684" s="209"/>
      <c r="M3684" s="209"/>
      <c r="N3684" s="209"/>
      <c r="O3684" s="209"/>
      <c r="P3684" s="209"/>
      <c r="Q3684" s="209"/>
      <c r="R3684" s="209"/>
      <c r="S3684" s="209"/>
      <c r="T3684" s="209"/>
    </row>
    <row r="3685" spans="1:20" ht="15" hidden="1" customHeight="1">
      <c r="A3685" s="468">
        <v>45471</v>
      </c>
      <c r="B3685" s="208" t="s">
        <v>3191</v>
      </c>
      <c r="C3685" s="208" t="s">
        <v>133</v>
      </c>
      <c r="D3685" s="592">
        <v>-1698</v>
      </c>
      <c r="E3685" s="212">
        <v>45444</v>
      </c>
      <c r="F3685" s="208" t="s">
        <v>109</v>
      </c>
      <c r="G3685" s="201" t="s">
        <v>1306</v>
      </c>
      <c r="H3685" s="208" t="s">
        <v>138</v>
      </c>
      <c r="I3685" s="208"/>
      <c r="J3685" s="209"/>
      <c r="K3685" s="209"/>
      <c r="L3685" s="209"/>
      <c r="M3685" s="209"/>
      <c r="N3685" s="209"/>
      <c r="O3685" s="209"/>
      <c r="P3685" s="209"/>
      <c r="Q3685" s="209"/>
      <c r="R3685" s="209"/>
      <c r="S3685" s="209"/>
      <c r="T3685" s="209"/>
    </row>
    <row r="3686" spans="1:20" s="466" customFormat="1" ht="15" hidden="1" customHeight="1">
      <c r="A3686" s="468">
        <v>45468</v>
      </c>
      <c r="B3686" s="208" t="s">
        <v>3192</v>
      </c>
      <c r="C3686" s="208" t="s">
        <v>181</v>
      </c>
      <c r="D3686" s="592">
        <v>-3200000</v>
      </c>
      <c r="E3686" s="212">
        <v>45444</v>
      </c>
      <c r="F3686" s="208" t="s">
        <v>130</v>
      </c>
      <c r="G3686" s="208" t="s">
        <v>130</v>
      </c>
      <c r="H3686" s="208" t="s">
        <v>2176</v>
      </c>
      <c r="I3686" s="208"/>
      <c r="J3686" s="209"/>
      <c r="K3686" s="209"/>
      <c r="L3686" s="209"/>
      <c r="M3686" s="209"/>
      <c r="N3686" s="209"/>
      <c r="O3686" s="209"/>
      <c r="P3686" s="209"/>
      <c r="Q3686" s="209"/>
      <c r="R3686" s="209"/>
      <c r="S3686" s="209"/>
      <c r="T3686" s="209"/>
    </row>
    <row r="3687" spans="1:20" ht="15" hidden="1" customHeight="1">
      <c r="A3687" s="468">
        <v>45468</v>
      </c>
      <c r="B3687" s="208" t="s">
        <v>3193</v>
      </c>
      <c r="C3687" s="208" t="s">
        <v>181</v>
      </c>
      <c r="D3687" s="592">
        <v>-8100</v>
      </c>
      <c r="E3687" s="212">
        <v>45444</v>
      </c>
      <c r="F3687" s="208" t="s">
        <v>130</v>
      </c>
      <c r="G3687" s="208" t="s">
        <v>130</v>
      </c>
      <c r="H3687" s="208" t="s">
        <v>1175</v>
      </c>
      <c r="I3687" s="208"/>
      <c r="J3687" s="209"/>
      <c r="K3687" s="209"/>
      <c r="L3687" s="209"/>
      <c r="M3687" s="209"/>
      <c r="N3687" s="209"/>
      <c r="O3687" s="209"/>
      <c r="P3687" s="209"/>
      <c r="Q3687" s="209"/>
      <c r="R3687" s="209"/>
      <c r="S3687" s="209"/>
      <c r="T3687" s="209"/>
    </row>
    <row r="3688" spans="1:20" ht="15" hidden="1" customHeight="1">
      <c r="A3688" s="468">
        <v>45467</v>
      </c>
      <c r="B3688" s="208" t="s">
        <v>3194</v>
      </c>
      <c r="C3688" s="208" t="s">
        <v>181</v>
      </c>
      <c r="D3688" s="592">
        <v>-336900</v>
      </c>
      <c r="E3688" s="212">
        <v>45444</v>
      </c>
      <c r="F3688" s="208" t="s">
        <v>109</v>
      </c>
      <c r="G3688" s="201" t="s">
        <v>1306</v>
      </c>
      <c r="H3688" s="208" t="s">
        <v>175</v>
      </c>
      <c r="I3688" s="208"/>
      <c r="J3688" s="209"/>
      <c r="K3688" s="209"/>
      <c r="L3688" s="209"/>
      <c r="M3688" s="209"/>
      <c r="N3688" s="209"/>
      <c r="O3688" s="209"/>
      <c r="P3688" s="209"/>
      <c r="Q3688" s="209"/>
      <c r="R3688" s="209"/>
      <c r="S3688" s="209"/>
      <c r="T3688" s="209"/>
    </row>
    <row r="3689" spans="1:20" ht="15" hidden="1" customHeight="1">
      <c r="A3689" s="468">
        <v>45467</v>
      </c>
      <c r="B3689" s="208" t="s">
        <v>3195</v>
      </c>
      <c r="C3689" s="208" t="s">
        <v>181</v>
      </c>
      <c r="D3689" s="592">
        <v>-220000</v>
      </c>
      <c r="E3689" s="212">
        <v>45444</v>
      </c>
      <c r="F3689" s="208" t="s">
        <v>109</v>
      </c>
      <c r="G3689" s="201" t="s">
        <v>1306</v>
      </c>
      <c r="H3689" s="208" t="s">
        <v>175</v>
      </c>
      <c r="I3689" s="208"/>
      <c r="J3689" s="209"/>
      <c r="K3689" s="209"/>
      <c r="L3689" s="209"/>
      <c r="M3689" s="209"/>
      <c r="N3689" s="209"/>
      <c r="O3689" s="209"/>
      <c r="P3689" s="209"/>
      <c r="Q3689" s="209"/>
      <c r="R3689" s="209"/>
      <c r="S3689" s="209"/>
      <c r="T3689" s="209"/>
    </row>
    <row r="3690" spans="1:20" ht="15" hidden="1" customHeight="1">
      <c r="A3690" s="468">
        <v>45467</v>
      </c>
      <c r="B3690" s="208" t="s">
        <v>3196</v>
      </c>
      <c r="C3690" s="208" t="s">
        <v>181</v>
      </c>
      <c r="D3690" s="592">
        <v>-271490</v>
      </c>
      <c r="E3690" s="212">
        <v>45444</v>
      </c>
      <c r="F3690" s="208" t="s">
        <v>207</v>
      </c>
      <c r="G3690" s="649" t="s">
        <v>3153</v>
      </c>
      <c r="H3690" s="208"/>
      <c r="I3690" s="208"/>
      <c r="J3690" s="209"/>
      <c r="K3690" s="209"/>
      <c r="L3690" s="209"/>
      <c r="M3690" s="209"/>
      <c r="N3690" s="209"/>
      <c r="O3690" s="209"/>
      <c r="P3690" s="209"/>
      <c r="Q3690" s="209"/>
      <c r="R3690" s="209"/>
      <c r="S3690" s="209"/>
      <c r="T3690" s="209"/>
    </row>
    <row r="3691" spans="1:20" ht="15" hidden="1" customHeight="1">
      <c r="A3691" s="468">
        <v>45467</v>
      </c>
      <c r="B3691" s="208" t="s">
        <v>3197</v>
      </c>
      <c r="C3691" s="208" t="s">
        <v>181</v>
      </c>
      <c r="D3691" s="592">
        <v>-2559328</v>
      </c>
      <c r="E3691" s="212">
        <v>45444</v>
      </c>
      <c r="F3691" s="208" t="s">
        <v>130</v>
      </c>
      <c r="G3691" s="208" t="s">
        <v>130</v>
      </c>
      <c r="H3691" s="208" t="s">
        <v>2176</v>
      </c>
      <c r="I3691" s="208"/>
      <c r="J3691" s="209"/>
      <c r="K3691" s="209"/>
      <c r="L3691" s="209"/>
      <c r="M3691" s="209"/>
      <c r="N3691" s="209"/>
      <c r="O3691" s="209"/>
      <c r="P3691" s="209"/>
      <c r="Q3691" s="209"/>
      <c r="R3691" s="209"/>
      <c r="S3691" s="209"/>
      <c r="T3691" s="209"/>
    </row>
    <row r="3692" spans="1:20" ht="15" hidden="1" customHeight="1">
      <c r="A3692" s="468">
        <v>45467</v>
      </c>
      <c r="B3692" s="208" t="s">
        <v>3198</v>
      </c>
      <c r="C3692" s="208" t="s">
        <v>181</v>
      </c>
      <c r="D3692" s="592">
        <v>-2808000</v>
      </c>
      <c r="E3692" s="212">
        <v>45444</v>
      </c>
      <c r="F3692" s="208" t="s">
        <v>109</v>
      </c>
      <c r="G3692" s="208" t="s">
        <v>125</v>
      </c>
      <c r="H3692" s="208" t="s">
        <v>631</v>
      </c>
      <c r="I3692" s="208"/>
      <c r="J3692" s="209"/>
      <c r="K3692" s="209"/>
      <c r="L3692" s="209"/>
      <c r="M3692" s="209"/>
      <c r="N3692" s="209"/>
      <c r="O3692" s="209"/>
      <c r="P3692" s="209"/>
      <c r="Q3692" s="209"/>
      <c r="R3692" s="209"/>
      <c r="S3692" s="209"/>
      <c r="T3692" s="209"/>
    </row>
    <row r="3693" spans="1:20" ht="15" hidden="1" customHeight="1">
      <c r="A3693" s="468">
        <v>45468</v>
      </c>
      <c r="B3693" s="208" t="s">
        <v>3199</v>
      </c>
      <c r="C3693" s="208" t="s">
        <v>181</v>
      </c>
      <c r="D3693" s="592">
        <v>-4576000</v>
      </c>
      <c r="E3693" s="212">
        <v>45444</v>
      </c>
      <c r="F3693" s="208" t="s">
        <v>109</v>
      </c>
      <c r="G3693" s="208" t="s">
        <v>120</v>
      </c>
      <c r="H3693" s="208"/>
      <c r="I3693" s="208"/>
      <c r="J3693" s="209"/>
      <c r="K3693" s="209"/>
      <c r="L3693" s="209"/>
      <c r="M3693" s="209"/>
      <c r="N3693" s="209"/>
      <c r="O3693" s="209"/>
      <c r="P3693" s="209"/>
      <c r="Q3693" s="209"/>
      <c r="R3693" s="209"/>
      <c r="S3693" s="209"/>
      <c r="T3693" s="209"/>
    </row>
    <row r="3694" spans="1:20" ht="15" hidden="1" customHeight="1">
      <c r="A3694" s="468">
        <v>45468</v>
      </c>
      <c r="B3694" s="208" t="s">
        <v>3200</v>
      </c>
      <c r="C3694" s="208" t="s">
        <v>181</v>
      </c>
      <c r="D3694" s="592">
        <v>-340000</v>
      </c>
      <c r="E3694" s="212">
        <v>45444</v>
      </c>
      <c r="F3694" s="208" t="s">
        <v>109</v>
      </c>
      <c r="G3694" s="208" t="s">
        <v>120</v>
      </c>
      <c r="H3694" s="208"/>
      <c r="I3694" s="208"/>
      <c r="J3694" s="209"/>
      <c r="K3694" s="209"/>
      <c r="L3694" s="209"/>
      <c r="M3694" s="209"/>
      <c r="N3694" s="209"/>
      <c r="O3694" s="209"/>
      <c r="P3694" s="209"/>
      <c r="Q3694" s="209"/>
      <c r="R3694" s="209"/>
      <c r="S3694" s="209"/>
      <c r="T3694" s="209"/>
    </row>
    <row r="3695" spans="1:20" ht="15" hidden="1" customHeight="1">
      <c r="A3695" s="468">
        <v>45468</v>
      </c>
      <c r="B3695" s="208" t="s">
        <v>3201</v>
      </c>
      <c r="C3695" s="208" t="s">
        <v>181</v>
      </c>
      <c r="D3695" s="592">
        <v>-160000</v>
      </c>
      <c r="E3695" s="212">
        <v>45444</v>
      </c>
      <c r="F3695" s="208" t="s">
        <v>130</v>
      </c>
      <c r="G3695" s="208" t="s">
        <v>130</v>
      </c>
      <c r="H3695" s="208" t="s">
        <v>2444</v>
      </c>
      <c r="I3695" s="208"/>
      <c r="J3695" s="209"/>
      <c r="K3695" s="209"/>
      <c r="L3695" s="209"/>
      <c r="M3695" s="209"/>
      <c r="N3695" s="209"/>
      <c r="O3695" s="209"/>
      <c r="P3695" s="209"/>
      <c r="Q3695" s="209"/>
      <c r="R3695" s="209"/>
      <c r="S3695" s="209"/>
      <c r="T3695" s="209"/>
    </row>
    <row r="3696" spans="1:20" ht="15" hidden="1" customHeight="1">
      <c r="A3696" s="468">
        <v>45469</v>
      </c>
      <c r="B3696" s="208" t="s">
        <v>3202</v>
      </c>
      <c r="C3696" s="208" t="s">
        <v>181</v>
      </c>
      <c r="D3696" s="592">
        <v>-2574596</v>
      </c>
      <c r="E3696" s="212">
        <v>45444</v>
      </c>
      <c r="F3696" s="208" t="s">
        <v>118</v>
      </c>
      <c r="G3696" s="208"/>
      <c r="H3696" s="208"/>
      <c r="I3696" s="208"/>
      <c r="J3696" s="209"/>
      <c r="K3696" s="209"/>
      <c r="L3696" s="209"/>
      <c r="M3696" s="209"/>
      <c r="N3696" s="209"/>
      <c r="O3696" s="209"/>
      <c r="P3696" s="209"/>
      <c r="Q3696" s="209"/>
      <c r="R3696" s="209"/>
      <c r="S3696" s="209"/>
      <c r="T3696" s="209"/>
    </row>
    <row r="3697" spans="1:20" ht="15" hidden="1" customHeight="1">
      <c r="A3697" s="468">
        <v>45469</v>
      </c>
      <c r="B3697" s="208" t="s">
        <v>3203</v>
      </c>
      <c r="C3697" s="208" t="s">
        <v>181</v>
      </c>
      <c r="D3697" s="800">
        <v>-2500000</v>
      </c>
      <c r="E3697" s="212">
        <v>45444</v>
      </c>
      <c r="F3697" s="208" t="s">
        <v>109</v>
      </c>
      <c r="G3697" s="201" t="s">
        <v>581</v>
      </c>
      <c r="H3697" s="208"/>
      <c r="I3697" s="208"/>
      <c r="J3697" s="209"/>
      <c r="K3697" s="209"/>
      <c r="L3697" s="209"/>
      <c r="M3697" s="209"/>
      <c r="N3697" s="209"/>
      <c r="O3697" s="209"/>
      <c r="P3697" s="209"/>
      <c r="Q3697" s="209"/>
      <c r="R3697" s="209"/>
      <c r="S3697" s="209"/>
      <c r="T3697" s="209"/>
    </row>
    <row r="3698" spans="1:20" ht="15" hidden="1" customHeight="1">
      <c r="A3698" s="468">
        <v>45469</v>
      </c>
      <c r="B3698" s="208" t="s">
        <v>3204</v>
      </c>
      <c r="C3698" s="208" t="s">
        <v>181</v>
      </c>
      <c r="D3698" s="592">
        <v>-80000</v>
      </c>
      <c r="E3698" s="212">
        <v>45444</v>
      </c>
      <c r="F3698" s="208" t="s">
        <v>130</v>
      </c>
      <c r="G3698" s="208" t="s">
        <v>257</v>
      </c>
      <c r="H3698" s="208" t="s">
        <v>663</v>
      </c>
      <c r="I3698" s="208"/>
      <c r="J3698" s="209"/>
      <c r="K3698" s="209"/>
      <c r="L3698" s="209"/>
      <c r="M3698" s="209"/>
      <c r="N3698" s="209"/>
      <c r="O3698" s="209"/>
      <c r="P3698" s="209"/>
      <c r="Q3698" s="209"/>
      <c r="R3698" s="209"/>
      <c r="S3698" s="209"/>
      <c r="T3698" s="209"/>
    </row>
    <row r="3699" spans="1:20" ht="15" hidden="1" customHeight="1">
      <c r="A3699" s="468">
        <v>45469</v>
      </c>
      <c r="B3699" s="208" t="s">
        <v>3205</v>
      </c>
      <c r="C3699" s="208" t="s">
        <v>181</v>
      </c>
      <c r="D3699" s="592">
        <v>-40900</v>
      </c>
      <c r="E3699" s="212">
        <v>45444</v>
      </c>
      <c r="F3699" s="208" t="s">
        <v>130</v>
      </c>
      <c r="G3699" s="208" t="s">
        <v>130</v>
      </c>
      <c r="H3699" s="208" t="s">
        <v>1175</v>
      </c>
      <c r="I3699" s="208"/>
      <c r="J3699" s="209"/>
      <c r="K3699" s="209"/>
      <c r="L3699" s="209"/>
      <c r="M3699" s="209"/>
      <c r="N3699" s="209"/>
      <c r="O3699" s="209"/>
      <c r="P3699" s="209"/>
      <c r="Q3699" s="209"/>
      <c r="R3699" s="209"/>
      <c r="S3699" s="209"/>
      <c r="T3699" s="209"/>
    </row>
    <row r="3700" spans="1:20" ht="15" hidden="1" customHeight="1">
      <c r="A3700" s="468">
        <v>45468</v>
      </c>
      <c r="B3700" s="208" t="s">
        <v>1471</v>
      </c>
      <c r="C3700" s="208" t="s">
        <v>181</v>
      </c>
      <c r="D3700" s="592">
        <v>-41100</v>
      </c>
      <c r="E3700" s="212">
        <v>45444</v>
      </c>
      <c r="F3700" s="208" t="s">
        <v>130</v>
      </c>
      <c r="G3700" s="208" t="s">
        <v>130</v>
      </c>
      <c r="H3700" s="208" t="s">
        <v>1175</v>
      </c>
      <c r="I3700" s="208"/>
      <c r="J3700" s="209"/>
      <c r="K3700" s="209"/>
      <c r="L3700" s="209"/>
      <c r="M3700" s="209"/>
      <c r="N3700" s="209"/>
      <c r="O3700" s="209"/>
      <c r="P3700" s="209"/>
      <c r="Q3700" s="209"/>
      <c r="R3700" s="209"/>
      <c r="S3700" s="209"/>
      <c r="T3700" s="209"/>
    </row>
    <row r="3701" spans="1:20" ht="15" hidden="1" customHeight="1">
      <c r="A3701" s="468">
        <v>45468</v>
      </c>
      <c r="B3701" s="208" t="s">
        <v>3206</v>
      </c>
      <c r="C3701" s="208" t="s">
        <v>181</v>
      </c>
      <c r="D3701" s="592">
        <v>-1300000</v>
      </c>
      <c r="E3701" s="212">
        <v>45444</v>
      </c>
      <c r="F3701" s="208" t="s">
        <v>130</v>
      </c>
      <c r="G3701" s="208" t="s">
        <v>130</v>
      </c>
      <c r="H3701" s="208" t="s">
        <v>1175</v>
      </c>
      <c r="I3701" s="208"/>
      <c r="J3701" s="209"/>
      <c r="K3701" s="209"/>
      <c r="L3701" s="209"/>
      <c r="M3701" s="209"/>
      <c r="N3701" s="209"/>
      <c r="O3701" s="209"/>
      <c r="P3701" s="209"/>
      <c r="Q3701" s="209"/>
      <c r="R3701" s="209"/>
      <c r="S3701" s="209"/>
      <c r="T3701" s="209"/>
    </row>
    <row r="3702" spans="1:20" ht="15" hidden="1" customHeight="1">
      <c r="A3702" s="468">
        <v>45469</v>
      </c>
      <c r="B3702" s="208" t="s">
        <v>3207</v>
      </c>
      <c r="C3702" s="208" t="s">
        <v>181</v>
      </c>
      <c r="D3702" s="592">
        <v>-4494570</v>
      </c>
      <c r="E3702" s="212">
        <v>45444</v>
      </c>
      <c r="F3702" s="208" t="s">
        <v>110</v>
      </c>
      <c r="G3702" s="208" t="s">
        <v>122</v>
      </c>
      <c r="H3702" s="208" t="s">
        <v>421</v>
      </c>
      <c r="I3702" s="208"/>
      <c r="J3702" s="209"/>
      <c r="K3702" s="209"/>
      <c r="L3702" s="209"/>
      <c r="M3702" s="209"/>
      <c r="N3702" s="209"/>
      <c r="O3702" s="209"/>
      <c r="P3702" s="209"/>
      <c r="Q3702" s="209"/>
      <c r="R3702" s="209"/>
      <c r="S3702" s="209"/>
      <c r="T3702" s="209"/>
    </row>
    <row r="3703" spans="1:20" ht="15" hidden="1" customHeight="1">
      <c r="A3703" s="468">
        <v>45469</v>
      </c>
      <c r="B3703" s="208" t="s">
        <v>2595</v>
      </c>
      <c r="C3703" s="208" t="s">
        <v>181</v>
      </c>
      <c r="D3703" s="592">
        <v>-279287</v>
      </c>
      <c r="E3703" s="212">
        <v>45444</v>
      </c>
      <c r="F3703" s="208" t="s">
        <v>130</v>
      </c>
      <c r="G3703" s="208" t="s">
        <v>130</v>
      </c>
      <c r="H3703" s="208" t="s">
        <v>249</v>
      </c>
      <c r="I3703" s="208"/>
      <c r="J3703" s="209"/>
      <c r="K3703" s="209"/>
      <c r="L3703" s="209"/>
      <c r="M3703" s="209"/>
      <c r="N3703" s="209"/>
      <c r="O3703" s="209"/>
      <c r="P3703" s="209"/>
      <c r="Q3703" s="209"/>
      <c r="R3703" s="209"/>
      <c r="S3703" s="209"/>
      <c r="T3703" s="209"/>
    </row>
    <row r="3704" spans="1:20" s="451" customFormat="1" ht="15" hidden="1" customHeight="1">
      <c r="A3704" s="468">
        <v>45469</v>
      </c>
      <c r="B3704" s="208" t="s">
        <v>2554</v>
      </c>
      <c r="C3704" s="208" t="s">
        <v>27</v>
      </c>
      <c r="D3704" s="592">
        <v>-357000</v>
      </c>
      <c r="E3704" s="212">
        <v>45444</v>
      </c>
      <c r="F3704" s="208" t="s">
        <v>130</v>
      </c>
      <c r="G3704" s="208" t="s">
        <v>130</v>
      </c>
      <c r="H3704" s="208" t="s">
        <v>2444</v>
      </c>
      <c r="I3704" s="208"/>
      <c r="J3704" s="209"/>
      <c r="K3704" s="209"/>
      <c r="L3704" s="209"/>
      <c r="M3704" s="209"/>
      <c r="N3704" s="209"/>
      <c r="O3704" s="209"/>
      <c r="P3704" s="209"/>
      <c r="Q3704" s="209"/>
      <c r="R3704" s="209"/>
      <c r="S3704" s="209"/>
      <c r="T3704" s="209"/>
    </row>
    <row r="3705" spans="1:20" ht="15" hidden="1" customHeight="1">
      <c r="A3705" s="468">
        <v>45469</v>
      </c>
      <c r="B3705" s="208" t="s">
        <v>3208</v>
      </c>
      <c r="C3705" s="208" t="s">
        <v>181</v>
      </c>
      <c r="D3705" s="592">
        <v>-896329</v>
      </c>
      <c r="E3705" s="212">
        <v>45444</v>
      </c>
      <c r="F3705" s="208" t="s">
        <v>109</v>
      </c>
      <c r="G3705" s="201" t="s">
        <v>1306</v>
      </c>
      <c r="H3705" s="208" t="s">
        <v>1166</v>
      </c>
      <c r="I3705" s="208"/>
      <c r="J3705" s="209"/>
      <c r="K3705" s="209"/>
      <c r="L3705" s="209"/>
      <c r="M3705" s="209"/>
      <c r="N3705" s="209"/>
      <c r="O3705" s="209"/>
      <c r="P3705" s="209"/>
      <c r="Q3705" s="209"/>
      <c r="R3705" s="209"/>
      <c r="S3705" s="209"/>
      <c r="T3705" s="209"/>
    </row>
    <row r="3706" spans="1:20" ht="15" hidden="1" customHeight="1">
      <c r="A3706" s="468">
        <v>45470</v>
      </c>
      <c r="B3706" s="208" t="s">
        <v>3209</v>
      </c>
      <c r="C3706" s="208" t="s">
        <v>181</v>
      </c>
      <c r="D3706" s="592">
        <v>-446250</v>
      </c>
      <c r="E3706" s="212">
        <v>45444</v>
      </c>
      <c r="F3706" s="208" t="s">
        <v>110</v>
      </c>
      <c r="G3706" s="208" t="s">
        <v>774</v>
      </c>
      <c r="H3706" s="208" t="s">
        <v>1166</v>
      </c>
      <c r="I3706" s="208"/>
      <c r="J3706" s="209"/>
      <c r="K3706" s="209"/>
      <c r="L3706" s="209"/>
      <c r="M3706" s="209"/>
      <c r="N3706" s="209"/>
      <c r="O3706" s="209"/>
      <c r="P3706" s="209"/>
      <c r="Q3706" s="209"/>
      <c r="R3706" s="209"/>
      <c r="S3706" s="209"/>
      <c r="T3706" s="209"/>
    </row>
    <row r="3707" spans="1:20" ht="15" hidden="1" customHeight="1">
      <c r="A3707" s="468">
        <v>45470</v>
      </c>
      <c r="B3707" s="208" t="s">
        <v>3210</v>
      </c>
      <c r="C3707" s="208" t="s">
        <v>181</v>
      </c>
      <c r="D3707" s="592">
        <v>-679000</v>
      </c>
      <c r="E3707" s="212">
        <v>45444</v>
      </c>
      <c r="F3707" s="208" t="s">
        <v>130</v>
      </c>
      <c r="G3707" s="208" t="s">
        <v>130</v>
      </c>
      <c r="H3707" s="208" t="s">
        <v>1175</v>
      </c>
      <c r="I3707" s="208"/>
      <c r="J3707" s="209"/>
      <c r="K3707" s="209"/>
      <c r="L3707" s="209"/>
      <c r="M3707" s="209"/>
      <c r="N3707" s="209"/>
      <c r="O3707" s="209"/>
      <c r="P3707" s="209"/>
      <c r="Q3707" s="209"/>
      <c r="R3707" s="209"/>
      <c r="S3707" s="209"/>
      <c r="T3707" s="209"/>
    </row>
    <row r="3708" spans="1:20" ht="15" hidden="1" customHeight="1">
      <c r="A3708" s="468">
        <v>45470</v>
      </c>
      <c r="B3708" s="208" t="s">
        <v>3211</v>
      </c>
      <c r="C3708" s="208" t="s">
        <v>181</v>
      </c>
      <c r="D3708" s="800">
        <v>-685362</v>
      </c>
      <c r="E3708" s="212">
        <v>45444</v>
      </c>
      <c r="F3708" s="208" t="s">
        <v>109</v>
      </c>
      <c r="G3708" s="201" t="s">
        <v>581</v>
      </c>
      <c r="H3708" s="208"/>
      <c r="I3708" s="208"/>
      <c r="J3708" s="209"/>
      <c r="K3708" s="209"/>
      <c r="L3708" s="209"/>
      <c r="M3708" s="209"/>
      <c r="N3708" s="209"/>
      <c r="O3708" s="209"/>
      <c r="P3708" s="209"/>
      <c r="Q3708" s="209"/>
      <c r="R3708" s="209"/>
      <c r="S3708" s="209"/>
      <c r="T3708" s="209"/>
    </row>
    <row r="3709" spans="1:20" ht="15" hidden="1" customHeight="1">
      <c r="A3709" s="468">
        <v>45469</v>
      </c>
      <c r="B3709" s="208" t="s">
        <v>3212</v>
      </c>
      <c r="C3709" s="208" t="s">
        <v>181</v>
      </c>
      <c r="D3709" s="592">
        <v>-8400000</v>
      </c>
      <c r="E3709" s="212">
        <v>45444</v>
      </c>
      <c r="F3709" s="208" t="s">
        <v>109</v>
      </c>
      <c r="G3709" s="654" t="s">
        <v>2585</v>
      </c>
      <c r="H3709" s="208" t="s">
        <v>549</v>
      </c>
      <c r="I3709" s="208"/>
      <c r="J3709" s="209"/>
      <c r="K3709" s="209"/>
      <c r="L3709" s="209"/>
      <c r="M3709" s="209"/>
      <c r="N3709" s="209"/>
      <c r="O3709" s="209"/>
      <c r="P3709" s="209"/>
      <c r="Q3709" s="209"/>
      <c r="R3709" s="209"/>
      <c r="S3709" s="209"/>
      <c r="T3709" s="209"/>
    </row>
    <row r="3710" spans="1:20" ht="15" hidden="1" customHeight="1">
      <c r="A3710" s="468">
        <v>45469</v>
      </c>
      <c r="B3710" s="208" t="s">
        <v>3213</v>
      </c>
      <c r="C3710" s="208" t="s">
        <v>181</v>
      </c>
      <c r="D3710" s="592">
        <v>-170000</v>
      </c>
      <c r="E3710" s="212">
        <v>45444</v>
      </c>
      <c r="F3710" s="291" t="s">
        <v>109</v>
      </c>
      <c r="G3710" s="208" t="s">
        <v>525</v>
      </c>
      <c r="H3710" s="208" t="s">
        <v>310</v>
      </c>
      <c r="I3710" s="208"/>
      <c r="J3710" s="209"/>
      <c r="K3710" s="209"/>
      <c r="L3710" s="209"/>
      <c r="M3710" s="209"/>
      <c r="N3710" s="209"/>
      <c r="O3710" s="209"/>
      <c r="P3710" s="209"/>
      <c r="Q3710" s="209"/>
      <c r="R3710" s="209"/>
      <c r="S3710" s="209"/>
      <c r="T3710" s="209"/>
    </row>
    <row r="3711" spans="1:20" ht="15" hidden="1" customHeight="1">
      <c r="A3711" s="468">
        <v>45469</v>
      </c>
      <c r="B3711" s="208" t="s">
        <v>3214</v>
      </c>
      <c r="C3711" s="208" t="s">
        <v>181</v>
      </c>
      <c r="D3711" s="592">
        <v>-7900</v>
      </c>
      <c r="E3711" s="212">
        <v>45444</v>
      </c>
      <c r="F3711" s="208" t="s">
        <v>109</v>
      </c>
      <c r="G3711" s="208" t="s">
        <v>120</v>
      </c>
      <c r="H3711" s="208"/>
      <c r="I3711" s="208"/>
      <c r="J3711" s="209"/>
      <c r="K3711" s="209"/>
      <c r="L3711" s="209"/>
      <c r="M3711" s="209"/>
      <c r="N3711" s="209"/>
      <c r="O3711" s="209"/>
      <c r="P3711" s="209"/>
      <c r="Q3711" s="209"/>
      <c r="R3711" s="209"/>
      <c r="S3711" s="209"/>
      <c r="T3711" s="209"/>
    </row>
    <row r="3712" spans="1:20" ht="15" hidden="1" customHeight="1">
      <c r="A3712" s="468">
        <v>45470</v>
      </c>
      <c r="B3712" s="208" t="s">
        <v>3215</v>
      </c>
      <c r="C3712" s="208" t="s">
        <v>181</v>
      </c>
      <c r="D3712" s="592">
        <v>-2717280</v>
      </c>
      <c r="E3712" s="212">
        <v>45444</v>
      </c>
      <c r="F3712" s="208" t="s">
        <v>109</v>
      </c>
      <c r="G3712" s="201" t="s">
        <v>1261</v>
      </c>
      <c r="H3712" s="208" t="s">
        <v>631</v>
      </c>
      <c r="I3712" s="208"/>
      <c r="J3712" s="209"/>
      <c r="K3712" s="209"/>
      <c r="L3712" s="209"/>
      <c r="M3712" s="209"/>
      <c r="N3712" s="209"/>
      <c r="O3712" s="209"/>
      <c r="P3712" s="209"/>
      <c r="Q3712" s="209"/>
      <c r="R3712" s="209"/>
      <c r="S3712" s="209"/>
      <c r="T3712" s="209"/>
    </row>
    <row r="3713" spans="1:20" ht="15" hidden="1" customHeight="1">
      <c r="A3713" s="468">
        <v>45470</v>
      </c>
      <c r="B3713" s="208" t="s">
        <v>3216</v>
      </c>
      <c r="C3713" s="208" t="s">
        <v>181</v>
      </c>
      <c r="D3713" s="592">
        <v>-20900</v>
      </c>
      <c r="E3713" s="212">
        <v>45444</v>
      </c>
      <c r="F3713" s="208" t="s">
        <v>109</v>
      </c>
      <c r="G3713" s="208" t="s">
        <v>120</v>
      </c>
      <c r="H3713" s="208"/>
      <c r="I3713" s="208"/>
      <c r="J3713" s="209"/>
      <c r="K3713" s="209"/>
      <c r="L3713" s="209"/>
      <c r="M3713" s="209"/>
      <c r="N3713" s="209"/>
      <c r="O3713" s="209"/>
      <c r="P3713" s="209"/>
      <c r="Q3713" s="209"/>
      <c r="R3713" s="209"/>
      <c r="S3713" s="209"/>
      <c r="T3713" s="209"/>
    </row>
    <row r="3714" spans="1:20" ht="15" hidden="1" customHeight="1">
      <c r="A3714" s="468">
        <v>45470</v>
      </c>
      <c r="B3714" s="208" t="s">
        <v>3217</v>
      </c>
      <c r="C3714" s="208" t="s">
        <v>181</v>
      </c>
      <c r="D3714" s="592">
        <v>-383600</v>
      </c>
      <c r="E3714" s="212">
        <v>45444</v>
      </c>
      <c r="F3714" s="208" t="s">
        <v>130</v>
      </c>
      <c r="G3714" s="208" t="s">
        <v>130</v>
      </c>
      <c r="H3714" s="208" t="s">
        <v>2444</v>
      </c>
      <c r="I3714" s="208"/>
      <c r="J3714" s="209"/>
      <c r="K3714" s="209"/>
      <c r="L3714" s="209"/>
      <c r="M3714" s="209"/>
      <c r="N3714" s="209"/>
      <c r="O3714" s="209"/>
      <c r="P3714" s="209"/>
      <c r="Q3714" s="209"/>
      <c r="R3714" s="209"/>
      <c r="S3714" s="209"/>
      <c r="T3714" s="209"/>
    </row>
    <row r="3715" spans="1:20" ht="15" hidden="1" customHeight="1">
      <c r="A3715" s="468">
        <v>45470</v>
      </c>
      <c r="B3715" s="208" t="s">
        <v>3218</v>
      </c>
      <c r="C3715" s="208" t="s">
        <v>181</v>
      </c>
      <c r="D3715" s="592">
        <v>-2668000</v>
      </c>
      <c r="E3715" s="212">
        <v>45444</v>
      </c>
      <c r="F3715" s="208" t="s">
        <v>130</v>
      </c>
      <c r="G3715" s="208" t="s">
        <v>257</v>
      </c>
      <c r="H3715" s="208" t="s">
        <v>1175</v>
      </c>
      <c r="I3715" s="208"/>
      <c r="J3715" s="209"/>
      <c r="K3715" s="209"/>
      <c r="L3715" s="209"/>
      <c r="M3715" s="209"/>
      <c r="N3715" s="209"/>
      <c r="O3715" s="209"/>
      <c r="P3715" s="209"/>
      <c r="Q3715" s="209"/>
      <c r="R3715" s="209"/>
      <c r="S3715" s="209"/>
      <c r="T3715" s="209"/>
    </row>
    <row r="3716" spans="1:20" ht="15" hidden="1" customHeight="1">
      <c r="A3716" s="468">
        <v>45470</v>
      </c>
      <c r="B3716" s="208" t="s">
        <v>3219</v>
      </c>
      <c r="C3716" s="208" t="s">
        <v>181</v>
      </c>
      <c r="D3716" s="800">
        <v>-2815200</v>
      </c>
      <c r="E3716" s="212">
        <v>45444</v>
      </c>
      <c r="F3716" s="208" t="s">
        <v>109</v>
      </c>
      <c r="G3716" s="201" t="s">
        <v>581</v>
      </c>
      <c r="H3716" s="208"/>
      <c r="I3716" s="208"/>
      <c r="J3716" s="209"/>
      <c r="K3716" s="209"/>
      <c r="L3716" s="209"/>
      <c r="M3716" s="209"/>
      <c r="N3716" s="209"/>
      <c r="O3716" s="209"/>
      <c r="P3716" s="209"/>
      <c r="Q3716" s="209"/>
      <c r="R3716" s="209"/>
      <c r="S3716" s="209"/>
      <c r="T3716" s="209"/>
    </row>
    <row r="3717" spans="1:20" ht="15" hidden="1" customHeight="1">
      <c r="A3717" s="468">
        <v>45470</v>
      </c>
      <c r="B3717" s="208" t="s">
        <v>3220</v>
      </c>
      <c r="C3717" s="208" t="s">
        <v>181</v>
      </c>
      <c r="D3717" s="800">
        <v>-5842200</v>
      </c>
      <c r="E3717" s="212">
        <v>45444</v>
      </c>
      <c r="F3717" s="208" t="s">
        <v>109</v>
      </c>
      <c r="G3717" s="201" t="s">
        <v>581</v>
      </c>
      <c r="H3717" s="208"/>
      <c r="I3717" s="208"/>
      <c r="J3717" s="209"/>
      <c r="K3717" s="209"/>
      <c r="L3717" s="209"/>
      <c r="M3717" s="209"/>
      <c r="N3717" s="209"/>
      <c r="O3717" s="209"/>
      <c r="P3717" s="209"/>
      <c r="Q3717" s="209"/>
      <c r="R3717" s="209"/>
      <c r="S3717" s="209"/>
      <c r="T3717" s="209"/>
    </row>
    <row r="3718" spans="1:20" ht="15" hidden="1" customHeight="1">
      <c r="A3718" s="468">
        <v>45470</v>
      </c>
      <c r="B3718" s="208" t="s">
        <v>3221</v>
      </c>
      <c r="C3718" s="208" t="s">
        <v>181</v>
      </c>
      <c r="D3718" s="592">
        <v>-7665962</v>
      </c>
      <c r="E3718" s="212">
        <v>45444</v>
      </c>
      <c r="F3718" s="208" t="s">
        <v>130</v>
      </c>
      <c r="G3718" s="208" t="s">
        <v>130</v>
      </c>
      <c r="H3718" s="208" t="s">
        <v>1175</v>
      </c>
      <c r="I3718" s="208"/>
      <c r="J3718" s="209"/>
      <c r="K3718" s="209"/>
      <c r="L3718" s="209"/>
      <c r="M3718" s="209"/>
      <c r="N3718" s="209"/>
      <c r="O3718" s="209"/>
      <c r="P3718" s="209"/>
      <c r="Q3718" s="209"/>
      <c r="R3718" s="209"/>
      <c r="S3718" s="209"/>
      <c r="T3718" s="209"/>
    </row>
    <row r="3719" spans="1:20" ht="15" hidden="1" customHeight="1">
      <c r="A3719" s="468">
        <v>45470</v>
      </c>
      <c r="B3719" s="208" t="s">
        <v>3222</v>
      </c>
      <c r="C3719" s="208" t="s">
        <v>181</v>
      </c>
      <c r="D3719" s="800">
        <v>-2815200</v>
      </c>
      <c r="E3719" s="212">
        <v>45444</v>
      </c>
      <c r="F3719" s="208" t="s">
        <v>109</v>
      </c>
      <c r="G3719" s="201" t="s">
        <v>581</v>
      </c>
      <c r="H3719" s="208"/>
      <c r="I3719" s="208"/>
      <c r="J3719" s="209"/>
      <c r="K3719" s="209"/>
      <c r="L3719" s="209"/>
      <c r="M3719" s="209"/>
      <c r="N3719" s="209"/>
      <c r="O3719" s="209"/>
      <c r="P3719" s="209"/>
      <c r="Q3719" s="209"/>
      <c r="R3719" s="209"/>
      <c r="S3719" s="209"/>
      <c r="T3719" s="209"/>
    </row>
    <row r="3720" spans="1:20" ht="15" hidden="1" customHeight="1">
      <c r="A3720" s="468">
        <v>45470</v>
      </c>
      <c r="B3720" s="208" t="s">
        <v>3223</v>
      </c>
      <c r="C3720" s="208" t="s">
        <v>181</v>
      </c>
      <c r="D3720" s="800">
        <v>-679000</v>
      </c>
      <c r="E3720" s="212">
        <v>45444</v>
      </c>
      <c r="F3720" s="208" t="s">
        <v>109</v>
      </c>
      <c r="G3720" s="201" t="s">
        <v>581</v>
      </c>
      <c r="H3720" s="208"/>
      <c r="I3720" s="208"/>
      <c r="J3720" s="209"/>
      <c r="K3720" s="209"/>
      <c r="L3720" s="209"/>
      <c r="M3720" s="209"/>
      <c r="N3720" s="209"/>
      <c r="O3720" s="209"/>
      <c r="P3720" s="209"/>
      <c r="Q3720" s="209"/>
      <c r="R3720" s="209"/>
      <c r="S3720" s="209"/>
      <c r="T3720" s="209"/>
    </row>
    <row r="3721" spans="1:20" ht="15" hidden="1" customHeight="1">
      <c r="A3721" s="468">
        <v>45470</v>
      </c>
      <c r="B3721" s="208" t="s">
        <v>3224</v>
      </c>
      <c r="C3721" s="208" t="s">
        <v>181</v>
      </c>
      <c r="D3721" s="800">
        <v>-679000</v>
      </c>
      <c r="E3721" s="212">
        <v>45444</v>
      </c>
      <c r="F3721" s="208" t="s">
        <v>109</v>
      </c>
      <c r="G3721" s="201" t="s">
        <v>581</v>
      </c>
      <c r="H3721" s="208"/>
      <c r="I3721" s="208"/>
      <c r="J3721" s="209"/>
      <c r="K3721" s="209"/>
      <c r="L3721" s="209"/>
      <c r="M3721" s="209"/>
      <c r="N3721" s="209"/>
      <c r="O3721" s="209"/>
      <c r="P3721" s="209"/>
      <c r="Q3721" s="209"/>
      <c r="R3721" s="209"/>
      <c r="S3721" s="209"/>
      <c r="T3721" s="209"/>
    </row>
    <row r="3722" spans="1:20" ht="15" hidden="1" customHeight="1">
      <c r="A3722" s="468">
        <v>45470</v>
      </c>
      <c r="B3722" s="208" t="s">
        <v>3225</v>
      </c>
      <c r="C3722" s="208" t="s">
        <v>181</v>
      </c>
      <c r="D3722" s="800">
        <v>-679000</v>
      </c>
      <c r="E3722" s="212">
        <v>45444</v>
      </c>
      <c r="F3722" s="208" t="s">
        <v>109</v>
      </c>
      <c r="G3722" s="201" t="s">
        <v>581</v>
      </c>
      <c r="H3722" s="208"/>
      <c r="I3722" s="208"/>
      <c r="J3722" s="209"/>
      <c r="K3722" s="209"/>
      <c r="L3722" s="209"/>
      <c r="M3722" s="209"/>
      <c r="N3722" s="209"/>
      <c r="O3722" s="209"/>
      <c r="P3722" s="209"/>
      <c r="Q3722" s="209"/>
      <c r="R3722" s="209"/>
      <c r="S3722" s="209"/>
      <c r="T3722" s="209"/>
    </row>
    <row r="3723" spans="1:20" ht="15" hidden="1" customHeight="1">
      <c r="A3723" s="468">
        <v>45470</v>
      </c>
      <c r="B3723" s="208" t="s">
        <v>3226</v>
      </c>
      <c r="C3723" s="208" t="s">
        <v>181</v>
      </c>
      <c r="D3723" s="800">
        <v>-679000</v>
      </c>
      <c r="E3723" s="212">
        <v>45444</v>
      </c>
      <c r="F3723" s="208" t="s">
        <v>109</v>
      </c>
      <c r="G3723" s="201" t="s">
        <v>581</v>
      </c>
      <c r="H3723" s="208"/>
      <c r="I3723" s="208"/>
      <c r="J3723" s="209"/>
      <c r="K3723" s="209"/>
      <c r="L3723" s="209"/>
      <c r="M3723" s="209"/>
      <c r="N3723" s="209"/>
      <c r="O3723" s="209"/>
      <c r="P3723" s="209"/>
      <c r="Q3723" s="209"/>
      <c r="R3723" s="209"/>
      <c r="S3723" s="209"/>
      <c r="T3723" s="209"/>
    </row>
    <row r="3724" spans="1:20" ht="15" hidden="1" customHeight="1">
      <c r="A3724" s="468">
        <v>45470</v>
      </c>
      <c r="B3724" s="208" t="s">
        <v>3227</v>
      </c>
      <c r="C3724" s="208" t="s">
        <v>181</v>
      </c>
      <c r="D3724" s="592">
        <v>-679000</v>
      </c>
      <c r="E3724" s="212">
        <v>45444</v>
      </c>
      <c r="F3724" s="201" t="s">
        <v>110</v>
      </c>
      <c r="G3724" s="208" t="s">
        <v>774</v>
      </c>
      <c r="H3724" s="208" t="s">
        <v>147</v>
      </c>
      <c r="I3724" s="208"/>
      <c r="J3724" s="209"/>
      <c r="K3724" s="209"/>
      <c r="L3724" s="209"/>
      <c r="M3724" s="209"/>
      <c r="N3724" s="209"/>
      <c r="O3724" s="209"/>
      <c r="P3724" s="209"/>
      <c r="Q3724" s="209"/>
      <c r="R3724" s="209"/>
      <c r="S3724" s="209"/>
      <c r="T3724" s="209"/>
    </row>
    <row r="3725" spans="1:20" ht="15" hidden="1" customHeight="1">
      <c r="A3725" s="468">
        <v>45470</v>
      </c>
      <c r="B3725" s="208" t="s">
        <v>3228</v>
      </c>
      <c r="C3725" s="208" t="s">
        <v>181</v>
      </c>
      <c r="D3725" s="592">
        <v>-679000</v>
      </c>
      <c r="E3725" s="212">
        <v>45444</v>
      </c>
      <c r="F3725" s="201" t="s">
        <v>110</v>
      </c>
      <c r="G3725" s="208" t="s">
        <v>774</v>
      </c>
      <c r="H3725" s="208" t="s">
        <v>147</v>
      </c>
      <c r="I3725" s="208"/>
      <c r="J3725" s="209"/>
      <c r="K3725" s="209"/>
      <c r="L3725" s="209"/>
      <c r="M3725" s="209"/>
      <c r="N3725" s="209"/>
      <c r="O3725" s="209"/>
      <c r="P3725" s="209"/>
      <c r="Q3725" s="209"/>
      <c r="R3725" s="209"/>
      <c r="S3725" s="209"/>
      <c r="T3725" s="209"/>
    </row>
    <row r="3726" spans="1:20" ht="15" hidden="1" customHeight="1">
      <c r="A3726" s="468">
        <v>45470</v>
      </c>
      <c r="B3726" s="208" t="s">
        <v>3229</v>
      </c>
      <c r="C3726" s="208" t="s">
        <v>181</v>
      </c>
      <c r="D3726" s="592">
        <v>-7665962</v>
      </c>
      <c r="E3726" s="212">
        <v>45444</v>
      </c>
      <c r="F3726" s="208" t="s">
        <v>130</v>
      </c>
      <c r="G3726" s="208" t="s">
        <v>130</v>
      </c>
      <c r="H3726" s="208" t="s">
        <v>1175</v>
      </c>
      <c r="I3726" s="208"/>
      <c r="J3726" s="209"/>
      <c r="K3726" s="209"/>
      <c r="L3726" s="209"/>
      <c r="M3726" s="209"/>
      <c r="N3726" s="209"/>
      <c r="O3726" s="209"/>
      <c r="P3726" s="209"/>
      <c r="Q3726" s="209"/>
      <c r="R3726" s="209"/>
      <c r="S3726" s="209"/>
      <c r="T3726" s="209"/>
    </row>
    <row r="3727" spans="1:20" ht="15" hidden="1" customHeight="1">
      <c r="A3727" s="468">
        <v>45470</v>
      </c>
      <c r="B3727" s="208" t="s">
        <v>3230</v>
      </c>
      <c r="C3727" s="208" t="s">
        <v>181</v>
      </c>
      <c r="D3727" s="800">
        <v>-685362</v>
      </c>
      <c r="E3727" s="212">
        <v>45444</v>
      </c>
      <c r="F3727" s="208" t="s">
        <v>109</v>
      </c>
      <c r="G3727" s="201" t="s">
        <v>581</v>
      </c>
      <c r="H3727" s="208"/>
      <c r="I3727" s="208"/>
      <c r="J3727" s="209"/>
      <c r="K3727" s="209"/>
      <c r="L3727" s="209"/>
      <c r="M3727" s="209"/>
      <c r="N3727" s="209"/>
      <c r="O3727" s="209"/>
      <c r="P3727" s="209"/>
      <c r="Q3727" s="209"/>
      <c r="R3727" s="209"/>
      <c r="S3727" s="209"/>
      <c r="T3727" s="209"/>
    </row>
    <row r="3728" spans="1:20" ht="15" hidden="1" customHeight="1">
      <c r="A3728" s="468">
        <v>45470</v>
      </c>
      <c r="B3728" s="208" t="s">
        <v>3231</v>
      </c>
      <c r="C3728" s="208" t="s">
        <v>181</v>
      </c>
      <c r="D3728" s="800">
        <v>-679000</v>
      </c>
      <c r="E3728" s="212">
        <v>45444</v>
      </c>
      <c r="F3728" s="208" t="s">
        <v>109</v>
      </c>
      <c r="G3728" s="201" t="s">
        <v>581</v>
      </c>
      <c r="H3728" s="208"/>
      <c r="I3728" s="208"/>
      <c r="J3728" s="209"/>
      <c r="K3728" s="209"/>
      <c r="L3728" s="209"/>
      <c r="M3728" s="209"/>
      <c r="N3728" s="209"/>
      <c r="O3728" s="209"/>
      <c r="P3728" s="209"/>
      <c r="Q3728" s="209"/>
      <c r="R3728" s="209"/>
      <c r="S3728" s="209"/>
      <c r="T3728" s="209"/>
    </row>
    <row r="3729" spans="1:20" ht="15" hidden="1" customHeight="1">
      <c r="A3729" s="468">
        <v>45470</v>
      </c>
      <c r="B3729" s="208" t="s">
        <v>3232</v>
      </c>
      <c r="C3729" s="208" t="s">
        <v>181</v>
      </c>
      <c r="D3729" s="592">
        <v>-2024000</v>
      </c>
      <c r="E3729" s="212">
        <v>45444</v>
      </c>
      <c r="F3729" s="208" t="s">
        <v>130</v>
      </c>
      <c r="G3729" s="208" t="s">
        <v>130</v>
      </c>
      <c r="H3729" s="208" t="s">
        <v>1175</v>
      </c>
      <c r="I3729" s="208"/>
      <c r="J3729" s="209"/>
      <c r="K3729" s="209"/>
      <c r="L3729" s="209"/>
      <c r="M3729" s="209"/>
      <c r="N3729" s="209"/>
      <c r="O3729" s="209"/>
      <c r="P3729" s="209"/>
      <c r="Q3729" s="209"/>
      <c r="R3729" s="209"/>
      <c r="S3729" s="209"/>
      <c r="T3729" s="209"/>
    </row>
    <row r="3730" spans="1:20" ht="15" hidden="1" customHeight="1">
      <c r="A3730" s="468">
        <v>45470</v>
      </c>
      <c r="B3730" s="208" t="s">
        <v>3233</v>
      </c>
      <c r="C3730" s="208" t="s">
        <v>181</v>
      </c>
      <c r="D3730" s="592">
        <v>-650000</v>
      </c>
      <c r="E3730" s="212">
        <v>45444</v>
      </c>
      <c r="F3730" s="208" t="s">
        <v>130</v>
      </c>
      <c r="G3730" s="208" t="s">
        <v>130</v>
      </c>
      <c r="H3730" s="208" t="s">
        <v>1175</v>
      </c>
      <c r="I3730" s="208"/>
      <c r="J3730" s="209"/>
      <c r="K3730" s="209"/>
      <c r="L3730" s="209"/>
      <c r="M3730" s="209"/>
      <c r="N3730" s="209"/>
      <c r="O3730" s="209"/>
      <c r="P3730" s="209"/>
      <c r="Q3730" s="209"/>
      <c r="R3730" s="209"/>
      <c r="S3730" s="209"/>
      <c r="T3730" s="209"/>
    </row>
    <row r="3731" spans="1:20" ht="15" hidden="1" customHeight="1">
      <c r="A3731" s="468">
        <v>45470</v>
      </c>
      <c r="B3731" s="208" t="s">
        <v>3234</v>
      </c>
      <c r="C3731" s="208" t="s">
        <v>181</v>
      </c>
      <c r="D3731" s="800">
        <v>-685362</v>
      </c>
      <c r="E3731" s="212">
        <v>45444</v>
      </c>
      <c r="F3731" s="208" t="s">
        <v>109</v>
      </c>
      <c r="G3731" s="201" t="s">
        <v>581</v>
      </c>
      <c r="H3731" s="208"/>
      <c r="I3731" s="208"/>
      <c r="J3731" s="209"/>
      <c r="K3731" s="209"/>
      <c r="L3731" s="209"/>
      <c r="M3731" s="209"/>
      <c r="N3731" s="209"/>
      <c r="O3731" s="209"/>
      <c r="P3731" s="209"/>
      <c r="Q3731" s="209"/>
      <c r="R3731" s="209"/>
      <c r="S3731" s="209"/>
      <c r="T3731" s="209"/>
    </row>
    <row r="3732" spans="1:20" ht="15" hidden="1" customHeight="1">
      <c r="A3732" s="468">
        <v>45470</v>
      </c>
      <c r="B3732" s="208" t="s">
        <v>3235</v>
      </c>
      <c r="C3732" s="208" t="s">
        <v>181</v>
      </c>
      <c r="D3732" s="592">
        <v>-1240910</v>
      </c>
      <c r="E3732" s="212">
        <v>45444</v>
      </c>
      <c r="F3732" s="201" t="s">
        <v>110</v>
      </c>
      <c r="G3732" s="208" t="s">
        <v>774</v>
      </c>
      <c r="H3732" s="208" t="s">
        <v>147</v>
      </c>
      <c r="I3732" s="208"/>
      <c r="J3732" s="209"/>
      <c r="K3732" s="209"/>
      <c r="L3732" s="209"/>
      <c r="M3732" s="209"/>
      <c r="N3732" s="209"/>
      <c r="O3732" s="209"/>
      <c r="P3732" s="209"/>
      <c r="Q3732" s="209"/>
      <c r="R3732" s="209"/>
      <c r="S3732" s="209"/>
      <c r="T3732" s="209"/>
    </row>
    <row r="3733" spans="1:20" ht="15" hidden="1" customHeight="1">
      <c r="A3733" s="468">
        <v>45470</v>
      </c>
      <c r="B3733" s="208" t="s">
        <v>3236</v>
      </c>
      <c r="C3733" s="208" t="s">
        <v>181</v>
      </c>
      <c r="D3733" s="800">
        <v>-685362</v>
      </c>
      <c r="E3733" s="212">
        <v>45444</v>
      </c>
      <c r="F3733" s="208" t="s">
        <v>109</v>
      </c>
      <c r="G3733" s="201" t="s">
        <v>581</v>
      </c>
      <c r="H3733" s="208"/>
      <c r="I3733" s="208"/>
      <c r="J3733" s="209"/>
      <c r="K3733" s="209"/>
      <c r="L3733" s="209"/>
      <c r="M3733" s="209"/>
      <c r="N3733" s="209"/>
      <c r="O3733" s="209"/>
      <c r="P3733" s="209"/>
      <c r="Q3733" s="209"/>
      <c r="R3733" s="209"/>
      <c r="S3733" s="209"/>
      <c r="T3733" s="209"/>
    </row>
    <row r="3734" spans="1:20" ht="15" hidden="1" customHeight="1">
      <c r="A3734" s="468">
        <v>45470</v>
      </c>
      <c r="B3734" s="208" t="s">
        <v>3237</v>
      </c>
      <c r="C3734" s="208" t="s">
        <v>181</v>
      </c>
      <c r="D3734" s="592">
        <v>-691723</v>
      </c>
      <c r="E3734" s="212">
        <v>45444</v>
      </c>
      <c r="F3734" s="208" t="s">
        <v>109</v>
      </c>
      <c r="G3734" s="201" t="s">
        <v>1306</v>
      </c>
      <c r="H3734" s="208" t="s">
        <v>147</v>
      </c>
      <c r="I3734" s="208"/>
      <c r="J3734" s="209"/>
      <c r="K3734" s="209"/>
      <c r="L3734" s="209"/>
      <c r="M3734" s="209"/>
      <c r="N3734" s="209"/>
      <c r="O3734" s="209"/>
      <c r="P3734" s="209"/>
      <c r="Q3734" s="209"/>
      <c r="R3734" s="209"/>
      <c r="S3734" s="209"/>
      <c r="T3734" s="209"/>
    </row>
    <row r="3735" spans="1:20" ht="15" hidden="1" customHeight="1">
      <c r="A3735" s="468">
        <v>45470</v>
      </c>
      <c r="B3735" s="208" t="s">
        <v>3238</v>
      </c>
      <c r="C3735" s="208" t="s">
        <v>181</v>
      </c>
      <c r="D3735" s="592">
        <v>-698085</v>
      </c>
      <c r="E3735" s="212">
        <v>45444</v>
      </c>
      <c r="F3735" s="208" t="s">
        <v>207</v>
      </c>
      <c r="G3735" s="208"/>
      <c r="H3735" s="208"/>
      <c r="I3735" s="208"/>
      <c r="J3735" s="209"/>
      <c r="K3735" s="209"/>
      <c r="L3735" s="209"/>
      <c r="M3735" s="209"/>
      <c r="N3735" s="209"/>
      <c r="O3735" s="209"/>
      <c r="P3735" s="209"/>
      <c r="Q3735" s="209"/>
      <c r="R3735" s="209"/>
      <c r="S3735" s="209"/>
      <c r="T3735" s="209"/>
    </row>
    <row r="3736" spans="1:20" ht="15" hidden="1" customHeight="1">
      <c r="A3736" s="468">
        <v>45470</v>
      </c>
      <c r="B3736" s="208" t="s">
        <v>3239</v>
      </c>
      <c r="C3736" s="208" t="s">
        <v>181</v>
      </c>
      <c r="D3736" s="592">
        <v>-679000</v>
      </c>
      <c r="E3736" s="212">
        <v>45444</v>
      </c>
      <c r="F3736" s="208" t="s">
        <v>207</v>
      </c>
      <c r="G3736" s="208"/>
      <c r="H3736" s="208"/>
      <c r="I3736" s="208"/>
      <c r="J3736" s="209"/>
      <c r="K3736" s="209"/>
      <c r="L3736" s="209"/>
      <c r="M3736" s="209"/>
      <c r="N3736" s="209"/>
      <c r="O3736" s="209"/>
      <c r="P3736" s="209"/>
      <c r="Q3736" s="209"/>
      <c r="R3736" s="209"/>
      <c r="S3736" s="209"/>
      <c r="T3736" s="209"/>
    </row>
    <row r="3737" spans="1:20" ht="15" hidden="1" customHeight="1">
      <c r="A3737" s="468">
        <v>45470</v>
      </c>
      <c r="B3737" s="208" t="s">
        <v>3240</v>
      </c>
      <c r="C3737" s="208" t="s">
        <v>181</v>
      </c>
      <c r="D3737" s="592">
        <v>-559392</v>
      </c>
      <c r="E3737" s="212">
        <v>45444</v>
      </c>
      <c r="F3737" s="208" t="s">
        <v>130</v>
      </c>
      <c r="G3737" s="208" t="s">
        <v>130</v>
      </c>
      <c r="H3737" s="208" t="s">
        <v>1175</v>
      </c>
      <c r="I3737" s="208"/>
      <c r="J3737" s="209"/>
      <c r="K3737" s="209"/>
      <c r="L3737" s="209"/>
      <c r="M3737" s="209"/>
      <c r="N3737" s="209"/>
      <c r="O3737" s="209"/>
      <c r="P3737" s="209"/>
      <c r="Q3737" s="209"/>
      <c r="R3737" s="209"/>
      <c r="S3737" s="209"/>
      <c r="T3737" s="209"/>
    </row>
    <row r="3738" spans="1:20" ht="15" hidden="1" customHeight="1">
      <c r="A3738" s="468">
        <v>45470</v>
      </c>
      <c r="B3738" s="208" t="s">
        <v>3241</v>
      </c>
      <c r="C3738" s="208" t="s">
        <v>181</v>
      </c>
      <c r="D3738" s="592">
        <v>-679000</v>
      </c>
      <c r="E3738" s="212">
        <v>45444</v>
      </c>
      <c r="F3738" s="201" t="s">
        <v>110</v>
      </c>
      <c r="G3738" s="208" t="s">
        <v>774</v>
      </c>
      <c r="H3738" s="208" t="s">
        <v>147</v>
      </c>
      <c r="I3738" s="208"/>
      <c r="J3738" s="209"/>
      <c r="K3738" s="209"/>
      <c r="L3738" s="209"/>
      <c r="M3738" s="209"/>
      <c r="N3738" s="209"/>
      <c r="O3738" s="209"/>
      <c r="P3738" s="209"/>
      <c r="Q3738" s="209"/>
      <c r="R3738" s="209"/>
      <c r="S3738" s="209"/>
      <c r="T3738" s="209"/>
    </row>
    <row r="3739" spans="1:20" ht="15" hidden="1" customHeight="1">
      <c r="A3739" s="468">
        <v>45470</v>
      </c>
      <c r="B3739" s="208" t="s">
        <v>3242</v>
      </c>
      <c r="C3739" s="208" t="s">
        <v>181</v>
      </c>
      <c r="D3739" s="592">
        <v>-679000</v>
      </c>
      <c r="E3739" s="212">
        <v>45444</v>
      </c>
      <c r="F3739" s="208" t="s">
        <v>109</v>
      </c>
      <c r="G3739" s="208" t="s">
        <v>120</v>
      </c>
      <c r="H3739" s="208"/>
      <c r="I3739" s="208"/>
      <c r="J3739" s="209"/>
      <c r="K3739" s="209"/>
      <c r="L3739" s="209"/>
      <c r="M3739" s="209"/>
      <c r="N3739" s="209"/>
      <c r="O3739" s="209"/>
      <c r="P3739" s="209"/>
      <c r="Q3739" s="209"/>
      <c r="R3739" s="209"/>
      <c r="S3739" s="209"/>
      <c r="T3739" s="209"/>
    </row>
    <row r="3740" spans="1:20" ht="15" hidden="1" customHeight="1">
      <c r="A3740" s="468">
        <v>45470</v>
      </c>
      <c r="B3740" s="208" t="s">
        <v>3243</v>
      </c>
      <c r="C3740" s="208" t="s">
        <v>181</v>
      </c>
      <c r="D3740" s="592">
        <v>-679000</v>
      </c>
      <c r="E3740" s="212">
        <v>45444</v>
      </c>
      <c r="F3740" s="201" t="s">
        <v>110</v>
      </c>
      <c r="G3740" s="208" t="s">
        <v>774</v>
      </c>
      <c r="H3740" s="208" t="s">
        <v>147</v>
      </c>
      <c r="I3740" s="208"/>
      <c r="J3740" s="209"/>
      <c r="K3740" s="209"/>
      <c r="L3740" s="209"/>
      <c r="M3740" s="209"/>
      <c r="N3740" s="209"/>
      <c r="O3740" s="209"/>
      <c r="P3740" s="209"/>
      <c r="Q3740" s="209"/>
      <c r="R3740" s="209"/>
      <c r="S3740" s="209"/>
      <c r="T3740" s="209"/>
    </row>
    <row r="3741" spans="1:20" ht="15" hidden="1" customHeight="1">
      <c r="A3741" s="468">
        <v>45470</v>
      </c>
      <c r="B3741" s="208" t="s">
        <v>3244</v>
      </c>
      <c r="C3741" s="208" t="s">
        <v>181</v>
      </c>
      <c r="D3741" s="592">
        <v>-2024000</v>
      </c>
      <c r="E3741" s="212">
        <v>45444</v>
      </c>
      <c r="F3741" s="208" t="s">
        <v>110</v>
      </c>
      <c r="G3741" s="658" t="s">
        <v>3245</v>
      </c>
      <c r="H3741" s="208" t="s">
        <v>508</v>
      </c>
      <c r="I3741" s="208"/>
      <c r="J3741" s="209"/>
      <c r="K3741" s="209"/>
      <c r="L3741" s="209"/>
      <c r="M3741" s="209"/>
      <c r="N3741" s="209"/>
      <c r="O3741" s="209"/>
      <c r="P3741" s="209"/>
      <c r="Q3741" s="209"/>
      <c r="R3741" s="209"/>
      <c r="S3741" s="209"/>
      <c r="T3741" s="209"/>
    </row>
    <row r="3742" spans="1:20" ht="15" hidden="1" customHeight="1">
      <c r="A3742" s="468">
        <v>45470</v>
      </c>
      <c r="B3742" s="208" t="s">
        <v>3246</v>
      </c>
      <c r="C3742" s="208" t="s">
        <v>181</v>
      </c>
      <c r="D3742" s="800">
        <v>-1078994</v>
      </c>
      <c r="E3742" s="212">
        <v>45444</v>
      </c>
      <c r="F3742" s="208" t="s">
        <v>109</v>
      </c>
      <c r="G3742" s="201" t="s">
        <v>581</v>
      </c>
      <c r="H3742" s="208"/>
      <c r="I3742" s="208"/>
      <c r="J3742" s="209"/>
      <c r="K3742" s="209"/>
      <c r="L3742" s="209"/>
      <c r="M3742" s="209"/>
      <c r="N3742" s="209"/>
      <c r="O3742" s="209"/>
      <c r="P3742" s="209"/>
      <c r="Q3742" s="209"/>
      <c r="R3742" s="209"/>
      <c r="S3742" s="209"/>
      <c r="T3742" s="209"/>
    </row>
    <row r="3743" spans="1:20" ht="15" hidden="1" customHeight="1">
      <c r="A3743" s="468">
        <v>45470</v>
      </c>
      <c r="B3743" s="208" t="s">
        <v>3247</v>
      </c>
      <c r="C3743" s="208" t="s">
        <v>181</v>
      </c>
      <c r="D3743" s="592">
        <v>-679000</v>
      </c>
      <c r="E3743" s="212">
        <v>45444</v>
      </c>
      <c r="F3743" s="201" t="s">
        <v>110</v>
      </c>
      <c r="G3743" s="208" t="s">
        <v>774</v>
      </c>
      <c r="H3743" s="208" t="s">
        <v>147</v>
      </c>
      <c r="I3743" s="208"/>
      <c r="J3743" s="209"/>
      <c r="K3743" s="209"/>
      <c r="L3743" s="209"/>
      <c r="M3743" s="209"/>
      <c r="N3743" s="209"/>
      <c r="O3743" s="209"/>
      <c r="P3743" s="209"/>
      <c r="Q3743" s="209"/>
      <c r="R3743" s="209"/>
      <c r="S3743" s="209"/>
      <c r="T3743" s="209"/>
    </row>
    <row r="3744" spans="1:20" ht="15" hidden="1" customHeight="1">
      <c r="A3744" s="468">
        <v>45470</v>
      </c>
      <c r="B3744" s="208" t="s">
        <v>3248</v>
      </c>
      <c r="C3744" s="208" t="s">
        <v>181</v>
      </c>
      <c r="D3744" s="800">
        <v>-691723</v>
      </c>
      <c r="E3744" s="212">
        <v>45444</v>
      </c>
      <c r="F3744" s="208" t="s">
        <v>109</v>
      </c>
      <c r="G3744" s="201" t="s">
        <v>581</v>
      </c>
      <c r="H3744" s="208"/>
      <c r="I3744" s="208"/>
      <c r="J3744" s="209"/>
      <c r="K3744" s="209"/>
      <c r="L3744" s="209"/>
      <c r="M3744" s="209"/>
      <c r="N3744" s="209"/>
      <c r="O3744" s="209"/>
      <c r="P3744" s="209"/>
      <c r="Q3744" s="209"/>
      <c r="R3744" s="209"/>
      <c r="S3744" s="209"/>
      <c r="T3744" s="209"/>
    </row>
    <row r="3745" spans="1:20" ht="15" hidden="1" customHeight="1">
      <c r="A3745" s="468">
        <v>45470</v>
      </c>
      <c r="B3745" s="208" t="s">
        <v>3249</v>
      </c>
      <c r="C3745" s="208" t="s">
        <v>181</v>
      </c>
      <c r="D3745" s="800">
        <v>-1301957</v>
      </c>
      <c r="E3745" s="212">
        <v>45444</v>
      </c>
      <c r="F3745" s="208" t="s">
        <v>109</v>
      </c>
      <c r="G3745" s="201" t="s">
        <v>581</v>
      </c>
      <c r="H3745" s="208"/>
      <c r="I3745" s="208"/>
      <c r="J3745" s="209"/>
      <c r="K3745" s="209"/>
      <c r="L3745" s="209"/>
      <c r="M3745" s="209"/>
      <c r="N3745" s="209"/>
      <c r="O3745" s="209"/>
      <c r="P3745" s="209"/>
      <c r="Q3745" s="209"/>
      <c r="R3745" s="209"/>
      <c r="S3745" s="209"/>
      <c r="T3745" s="209"/>
    </row>
    <row r="3746" spans="1:20" ht="15" hidden="1" customHeight="1">
      <c r="A3746" s="468">
        <v>45470</v>
      </c>
      <c r="B3746" s="208" t="s">
        <v>3250</v>
      </c>
      <c r="C3746" s="208" t="s">
        <v>181</v>
      </c>
      <c r="D3746" s="592">
        <v>-699240</v>
      </c>
      <c r="E3746" s="212">
        <v>45444</v>
      </c>
      <c r="F3746" s="201" t="s">
        <v>110</v>
      </c>
      <c r="G3746" s="208" t="s">
        <v>774</v>
      </c>
      <c r="H3746" s="208" t="s">
        <v>147</v>
      </c>
      <c r="I3746" s="208"/>
      <c r="J3746" s="209"/>
      <c r="K3746" s="209"/>
      <c r="L3746" s="209"/>
      <c r="M3746" s="209"/>
      <c r="N3746" s="209"/>
      <c r="O3746" s="209"/>
      <c r="P3746" s="209"/>
      <c r="Q3746" s="209"/>
      <c r="R3746" s="209"/>
      <c r="S3746" s="209"/>
      <c r="T3746" s="209"/>
    </row>
    <row r="3747" spans="1:20" ht="15" hidden="1" customHeight="1">
      <c r="A3747" s="468">
        <v>45470</v>
      </c>
      <c r="B3747" s="208" t="s">
        <v>3251</v>
      </c>
      <c r="C3747" s="208" t="s">
        <v>181</v>
      </c>
      <c r="D3747" s="592">
        <v>-2548600</v>
      </c>
      <c r="E3747" s="212">
        <v>45444</v>
      </c>
      <c r="F3747" s="208" t="s">
        <v>130</v>
      </c>
      <c r="G3747" s="208" t="s">
        <v>130</v>
      </c>
      <c r="H3747" s="208" t="s">
        <v>1175</v>
      </c>
      <c r="I3747" s="208"/>
      <c r="J3747" s="209"/>
      <c r="K3747" s="209"/>
      <c r="L3747" s="209"/>
      <c r="M3747" s="209"/>
      <c r="N3747" s="209"/>
      <c r="O3747" s="209"/>
      <c r="P3747" s="209"/>
      <c r="Q3747" s="209"/>
      <c r="R3747" s="209"/>
      <c r="S3747" s="209"/>
      <c r="T3747" s="209"/>
    </row>
    <row r="3748" spans="1:20" ht="15" hidden="1" customHeight="1">
      <c r="A3748" s="468">
        <v>45470</v>
      </c>
      <c r="B3748" s="208" t="s">
        <v>3252</v>
      </c>
      <c r="C3748" s="208" t="s">
        <v>181</v>
      </c>
      <c r="D3748" s="592">
        <v>-1097325</v>
      </c>
      <c r="E3748" s="212">
        <v>45444</v>
      </c>
      <c r="F3748" s="201" t="s">
        <v>110</v>
      </c>
      <c r="G3748" s="208" t="s">
        <v>774</v>
      </c>
      <c r="H3748" s="208" t="s">
        <v>147</v>
      </c>
      <c r="I3748" s="208"/>
      <c r="J3748" s="209"/>
      <c r="K3748" s="209"/>
      <c r="L3748" s="209"/>
      <c r="M3748" s="209"/>
      <c r="N3748" s="209"/>
      <c r="O3748" s="209"/>
      <c r="P3748" s="209"/>
      <c r="Q3748" s="209"/>
      <c r="R3748" s="209"/>
      <c r="S3748" s="209"/>
      <c r="T3748" s="209"/>
    </row>
    <row r="3749" spans="1:20" ht="15" hidden="1" customHeight="1">
      <c r="A3749" s="468">
        <v>45470</v>
      </c>
      <c r="B3749" s="208" t="s">
        <v>3253</v>
      </c>
      <c r="C3749" s="208" t="s">
        <v>181</v>
      </c>
      <c r="D3749" s="592">
        <v>-487500</v>
      </c>
      <c r="E3749" s="212">
        <v>45444</v>
      </c>
      <c r="F3749" s="208" t="s">
        <v>130</v>
      </c>
      <c r="G3749" s="208" t="s">
        <v>130</v>
      </c>
      <c r="H3749" s="208" t="s">
        <v>1175</v>
      </c>
      <c r="I3749" s="208"/>
      <c r="J3749" s="209"/>
      <c r="K3749" s="209"/>
      <c r="L3749" s="209"/>
      <c r="M3749" s="209"/>
      <c r="N3749" s="209"/>
      <c r="O3749" s="209"/>
      <c r="P3749" s="209"/>
      <c r="Q3749" s="209"/>
      <c r="R3749" s="209"/>
      <c r="S3749" s="209"/>
      <c r="T3749" s="209"/>
    </row>
    <row r="3750" spans="1:20" ht="15" hidden="1" customHeight="1">
      <c r="A3750" s="468">
        <v>45470</v>
      </c>
      <c r="B3750" s="208" t="s">
        <v>3254</v>
      </c>
      <c r="C3750" s="208" t="s">
        <v>181</v>
      </c>
      <c r="D3750" s="592">
        <v>-500000</v>
      </c>
      <c r="E3750" s="212">
        <v>45444</v>
      </c>
      <c r="F3750" s="208" t="s">
        <v>130</v>
      </c>
      <c r="G3750" s="208" t="s">
        <v>130</v>
      </c>
      <c r="H3750" s="208" t="s">
        <v>1175</v>
      </c>
      <c r="I3750" s="208"/>
      <c r="J3750" s="209"/>
      <c r="K3750" s="209"/>
      <c r="L3750" s="209"/>
      <c r="M3750" s="209"/>
      <c r="N3750" s="209"/>
      <c r="O3750" s="209"/>
      <c r="P3750" s="209"/>
      <c r="Q3750" s="209"/>
      <c r="R3750" s="209"/>
      <c r="S3750" s="209"/>
      <c r="T3750" s="209"/>
    </row>
    <row r="3751" spans="1:20" ht="15" hidden="1" customHeight="1">
      <c r="A3751" s="468">
        <v>45470</v>
      </c>
      <c r="B3751" s="208" t="s">
        <v>3255</v>
      </c>
      <c r="C3751" s="208" t="s">
        <v>181</v>
      </c>
      <c r="D3751" s="592">
        <v>-673600</v>
      </c>
      <c r="E3751" s="212">
        <v>45444</v>
      </c>
      <c r="F3751" s="208" t="s">
        <v>130</v>
      </c>
      <c r="G3751" s="208" t="s">
        <v>130</v>
      </c>
      <c r="H3751" s="208" t="s">
        <v>1175</v>
      </c>
      <c r="I3751" s="208"/>
      <c r="J3751" s="209"/>
      <c r="K3751" s="209"/>
      <c r="L3751" s="209"/>
      <c r="M3751" s="209"/>
      <c r="N3751" s="209"/>
      <c r="O3751" s="209"/>
      <c r="P3751" s="209"/>
      <c r="Q3751" s="209"/>
      <c r="R3751" s="209"/>
      <c r="S3751" s="209"/>
      <c r="T3751" s="209"/>
    </row>
    <row r="3752" spans="1:20" ht="15" hidden="1" customHeight="1">
      <c r="A3752" s="468">
        <v>45470</v>
      </c>
      <c r="B3752" s="208" t="s">
        <v>3256</v>
      </c>
      <c r="C3752" s="208" t="s">
        <v>181</v>
      </c>
      <c r="D3752" s="592">
        <f>-2815200/3</f>
        <v>-938400</v>
      </c>
      <c r="E3752" s="212">
        <v>45444</v>
      </c>
      <c r="F3752" s="208" t="s">
        <v>109</v>
      </c>
      <c r="G3752" s="654" t="s">
        <v>2585</v>
      </c>
      <c r="H3752" s="208" t="s">
        <v>508</v>
      </c>
      <c r="I3752" s="208"/>
      <c r="J3752" s="209"/>
      <c r="K3752" s="209"/>
      <c r="L3752" s="209"/>
      <c r="M3752" s="209"/>
      <c r="N3752" s="209"/>
      <c r="O3752" s="209"/>
      <c r="P3752" s="209"/>
      <c r="Q3752" s="209"/>
      <c r="R3752" s="209"/>
      <c r="S3752" s="209"/>
      <c r="T3752" s="209"/>
    </row>
    <row r="3753" spans="1:20" ht="15" hidden="1" customHeight="1">
      <c r="A3753" s="468">
        <v>45470</v>
      </c>
      <c r="B3753" s="208" t="s">
        <v>3256</v>
      </c>
      <c r="C3753" s="208" t="s">
        <v>181</v>
      </c>
      <c r="D3753" s="592">
        <v>-938400</v>
      </c>
      <c r="E3753" s="212">
        <v>45444</v>
      </c>
      <c r="F3753" s="208" t="s">
        <v>110</v>
      </c>
      <c r="G3753" s="223" t="s">
        <v>2938</v>
      </c>
      <c r="H3753" s="208" t="s">
        <v>508</v>
      </c>
      <c r="I3753" s="208"/>
      <c r="J3753" s="209"/>
      <c r="K3753" s="209"/>
      <c r="L3753" s="209"/>
      <c r="M3753" s="209"/>
      <c r="N3753" s="209"/>
      <c r="O3753" s="209"/>
      <c r="P3753" s="209"/>
      <c r="Q3753" s="209"/>
      <c r="R3753" s="209"/>
      <c r="S3753" s="209"/>
      <c r="T3753" s="209"/>
    </row>
    <row r="3754" spans="1:20" ht="15" hidden="1" customHeight="1">
      <c r="A3754" s="468">
        <v>45470</v>
      </c>
      <c r="B3754" s="208" t="s">
        <v>3256</v>
      </c>
      <c r="C3754" s="208" t="s">
        <v>181</v>
      </c>
      <c r="D3754" s="592">
        <v>-938400</v>
      </c>
      <c r="E3754" s="212">
        <v>45444</v>
      </c>
      <c r="F3754" s="208" t="s">
        <v>110</v>
      </c>
      <c r="G3754" s="201" t="s">
        <v>1489</v>
      </c>
      <c r="H3754" s="208" t="s">
        <v>508</v>
      </c>
      <c r="I3754" s="208"/>
      <c r="J3754" s="209"/>
      <c r="K3754" s="209"/>
      <c r="L3754" s="209"/>
      <c r="M3754" s="209"/>
      <c r="N3754" s="209"/>
      <c r="O3754" s="209"/>
      <c r="P3754" s="209"/>
      <c r="Q3754" s="209"/>
      <c r="R3754" s="209"/>
      <c r="S3754" s="209"/>
      <c r="T3754" s="209"/>
    </row>
    <row r="3755" spans="1:20" ht="15" hidden="1" customHeight="1">
      <c r="A3755" s="468">
        <v>45470</v>
      </c>
      <c r="B3755" s="208" t="s">
        <v>3257</v>
      </c>
      <c r="C3755" s="208" t="s">
        <v>181</v>
      </c>
      <c r="D3755" s="592">
        <f>-2456600/2</f>
        <v>-1228300</v>
      </c>
      <c r="E3755" s="212">
        <v>45444</v>
      </c>
      <c r="F3755" s="208" t="s">
        <v>109</v>
      </c>
      <c r="G3755" s="208" t="s">
        <v>125</v>
      </c>
      <c r="H3755" s="208" t="s">
        <v>508</v>
      </c>
      <c r="I3755" s="208"/>
      <c r="J3755" s="209"/>
      <c r="K3755" s="209"/>
      <c r="L3755" s="209"/>
      <c r="M3755" s="209"/>
      <c r="N3755" s="209"/>
      <c r="O3755" s="209"/>
      <c r="P3755" s="209"/>
      <c r="Q3755" s="209"/>
      <c r="R3755" s="209"/>
      <c r="S3755" s="209"/>
      <c r="T3755" s="209"/>
    </row>
    <row r="3756" spans="1:20" ht="15" hidden="1" customHeight="1">
      <c r="A3756" s="468">
        <v>45470</v>
      </c>
      <c r="B3756" s="208" t="s">
        <v>3257</v>
      </c>
      <c r="C3756" s="208" t="s">
        <v>181</v>
      </c>
      <c r="D3756" s="592">
        <v>-1228300</v>
      </c>
      <c r="E3756" s="212">
        <v>45444</v>
      </c>
      <c r="F3756" s="201" t="s">
        <v>110</v>
      </c>
      <c r="G3756" s="208" t="s">
        <v>774</v>
      </c>
      <c r="H3756" s="208" t="s">
        <v>508</v>
      </c>
      <c r="I3756" s="208"/>
      <c r="J3756" s="209"/>
      <c r="K3756" s="209"/>
      <c r="L3756" s="209"/>
      <c r="M3756" s="209"/>
      <c r="N3756" s="209"/>
      <c r="O3756" s="209"/>
      <c r="P3756" s="209"/>
      <c r="Q3756" s="209"/>
      <c r="R3756" s="209"/>
      <c r="S3756" s="209"/>
      <c r="T3756" s="209"/>
    </row>
    <row r="3757" spans="1:20" ht="15" hidden="1" customHeight="1">
      <c r="A3757" s="468">
        <v>45470</v>
      </c>
      <c r="B3757" s="208" t="s">
        <v>3258</v>
      </c>
      <c r="C3757" s="208" t="s">
        <v>181</v>
      </c>
      <c r="D3757" s="592">
        <v>-705719</v>
      </c>
      <c r="E3757" s="212">
        <v>45444</v>
      </c>
      <c r="F3757" s="201" t="s">
        <v>110</v>
      </c>
      <c r="G3757" s="208" t="s">
        <v>774</v>
      </c>
      <c r="H3757" s="208" t="s">
        <v>147</v>
      </c>
      <c r="I3757" s="208"/>
      <c r="J3757" s="209"/>
      <c r="K3757" s="209"/>
      <c r="L3757" s="209"/>
      <c r="M3757" s="209"/>
      <c r="N3757" s="209"/>
      <c r="O3757" s="209"/>
      <c r="P3757" s="209"/>
      <c r="Q3757" s="209"/>
      <c r="R3757" s="209"/>
      <c r="S3757" s="209"/>
      <c r="T3757" s="209"/>
    </row>
    <row r="3758" spans="1:20" ht="15" hidden="1" customHeight="1">
      <c r="A3758" s="468">
        <v>45470</v>
      </c>
      <c r="B3758" s="208" t="s">
        <v>3259</v>
      </c>
      <c r="C3758" s="208" t="s">
        <v>181</v>
      </c>
      <c r="D3758" s="592">
        <v>-569919</v>
      </c>
      <c r="E3758" s="212">
        <v>45444</v>
      </c>
      <c r="F3758" s="208" t="s">
        <v>109</v>
      </c>
      <c r="G3758" s="201" t="s">
        <v>1306</v>
      </c>
      <c r="H3758" s="208" t="s">
        <v>147</v>
      </c>
      <c r="I3758" s="208"/>
      <c r="J3758" s="209"/>
      <c r="K3758" s="209"/>
      <c r="L3758" s="209"/>
      <c r="M3758" s="209"/>
      <c r="N3758" s="209"/>
      <c r="O3758" s="209"/>
      <c r="P3758" s="209"/>
      <c r="Q3758" s="209"/>
      <c r="R3758" s="209"/>
      <c r="S3758" s="209"/>
      <c r="T3758" s="209"/>
    </row>
    <row r="3759" spans="1:20" ht="15" hidden="1" customHeight="1">
      <c r="A3759" s="468">
        <v>45470</v>
      </c>
      <c r="B3759" s="208" t="s">
        <v>3260</v>
      </c>
      <c r="C3759" s="208" t="s">
        <v>181</v>
      </c>
      <c r="D3759" s="592">
        <v>-756740</v>
      </c>
      <c r="E3759" s="212">
        <v>45444</v>
      </c>
      <c r="F3759" s="208" t="s">
        <v>130</v>
      </c>
      <c r="G3759" s="208" t="s">
        <v>130</v>
      </c>
      <c r="H3759" s="208" t="s">
        <v>1175</v>
      </c>
      <c r="I3759" s="208"/>
      <c r="J3759" s="209"/>
      <c r="K3759" s="209"/>
      <c r="L3759" s="209"/>
      <c r="M3759" s="209"/>
      <c r="N3759" s="209"/>
      <c r="O3759" s="209"/>
      <c r="P3759" s="209"/>
      <c r="Q3759" s="209"/>
      <c r="R3759" s="209"/>
      <c r="S3759" s="209"/>
      <c r="T3759" s="209"/>
    </row>
    <row r="3760" spans="1:20" s="451" customFormat="1" ht="15" hidden="1" customHeight="1">
      <c r="A3760" s="468">
        <v>45470</v>
      </c>
      <c r="B3760" s="208" t="s">
        <v>3261</v>
      </c>
      <c r="C3760" s="208" t="s">
        <v>27</v>
      </c>
      <c r="D3760" s="592">
        <v>-543200</v>
      </c>
      <c r="E3760" s="212">
        <v>45444</v>
      </c>
      <c r="F3760" s="201" t="s">
        <v>110</v>
      </c>
      <c r="G3760" s="208" t="s">
        <v>774</v>
      </c>
      <c r="H3760" s="208" t="s">
        <v>147</v>
      </c>
      <c r="I3760" s="208"/>
      <c r="J3760" s="209"/>
      <c r="K3760" s="209"/>
      <c r="L3760" s="209"/>
      <c r="M3760" s="209"/>
      <c r="N3760" s="209"/>
      <c r="O3760" s="209"/>
      <c r="P3760" s="209"/>
      <c r="Q3760" s="209"/>
      <c r="R3760" s="209"/>
      <c r="S3760" s="209"/>
      <c r="T3760" s="209"/>
    </row>
    <row r="3761" spans="1:20" s="451" customFormat="1" ht="15" hidden="1" customHeight="1">
      <c r="A3761" s="468">
        <v>45470</v>
      </c>
      <c r="B3761" s="208" t="s">
        <v>3262</v>
      </c>
      <c r="C3761" s="208" t="s">
        <v>27</v>
      </c>
      <c r="D3761" s="592">
        <v>-715898</v>
      </c>
      <c r="E3761" s="212">
        <v>45444</v>
      </c>
      <c r="F3761" s="201" t="s">
        <v>110</v>
      </c>
      <c r="G3761" s="208" t="s">
        <v>774</v>
      </c>
      <c r="H3761" s="208" t="s">
        <v>147</v>
      </c>
      <c r="I3761" s="208"/>
      <c r="J3761" s="209"/>
      <c r="K3761" s="209"/>
      <c r="L3761" s="209"/>
      <c r="M3761" s="209"/>
      <c r="N3761" s="209"/>
      <c r="O3761" s="209"/>
      <c r="P3761" s="209"/>
      <c r="Q3761" s="209"/>
      <c r="R3761" s="209"/>
      <c r="S3761" s="209"/>
      <c r="T3761" s="209"/>
    </row>
    <row r="3762" spans="1:20" s="451" customFormat="1" ht="15" hidden="1" customHeight="1">
      <c r="A3762" s="468">
        <v>45470</v>
      </c>
      <c r="B3762" s="208" t="s">
        <v>3263</v>
      </c>
      <c r="C3762" s="208" t="s">
        <v>27</v>
      </c>
      <c r="D3762" s="592">
        <v>-7665962</v>
      </c>
      <c r="E3762" s="212">
        <v>45444</v>
      </c>
      <c r="F3762" s="208" t="s">
        <v>130</v>
      </c>
      <c r="G3762" s="208" t="s">
        <v>130</v>
      </c>
      <c r="H3762" s="208" t="s">
        <v>1175</v>
      </c>
      <c r="I3762" s="208"/>
      <c r="J3762" s="209"/>
      <c r="K3762" s="209"/>
      <c r="L3762" s="209"/>
      <c r="M3762" s="209"/>
      <c r="N3762" s="209"/>
      <c r="O3762" s="209"/>
      <c r="P3762" s="209"/>
      <c r="Q3762" s="209"/>
      <c r="R3762" s="209"/>
      <c r="S3762" s="209"/>
      <c r="T3762" s="209"/>
    </row>
    <row r="3763" spans="1:20" s="451" customFormat="1" ht="15" hidden="1" customHeight="1">
      <c r="A3763" s="468">
        <v>45470</v>
      </c>
      <c r="B3763" s="208" t="s">
        <v>3264</v>
      </c>
      <c r="C3763" s="208" t="s">
        <v>27</v>
      </c>
      <c r="D3763" s="592">
        <v>-5000000</v>
      </c>
      <c r="E3763" s="212">
        <v>45444</v>
      </c>
      <c r="F3763" s="208" t="s">
        <v>130</v>
      </c>
      <c r="G3763" s="208" t="s">
        <v>257</v>
      </c>
      <c r="H3763" s="208" t="s">
        <v>1175</v>
      </c>
      <c r="I3763" s="208"/>
      <c r="J3763" s="209"/>
      <c r="K3763" s="209"/>
      <c r="L3763" s="209"/>
      <c r="M3763" s="209"/>
      <c r="N3763" s="209"/>
      <c r="O3763" s="209"/>
      <c r="P3763" s="209"/>
      <c r="Q3763" s="209"/>
      <c r="R3763" s="209"/>
      <c r="S3763" s="209"/>
      <c r="T3763" s="209"/>
    </row>
    <row r="3764" spans="1:20" s="451" customFormat="1" ht="15" hidden="1" customHeight="1">
      <c r="A3764" s="468">
        <v>45470</v>
      </c>
      <c r="B3764" s="208" t="s">
        <v>3264</v>
      </c>
      <c r="C3764" s="208" t="s">
        <v>27</v>
      </c>
      <c r="D3764" s="592">
        <v>-1883920</v>
      </c>
      <c r="E3764" s="212">
        <v>45444</v>
      </c>
      <c r="F3764" s="208" t="s">
        <v>130</v>
      </c>
      <c r="G3764" s="208" t="s">
        <v>257</v>
      </c>
      <c r="H3764" s="208" t="s">
        <v>1031</v>
      </c>
      <c r="I3764" s="208"/>
      <c r="J3764" s="209"/>
      <c r="K3764" s="209"/>
      <c r="L3764" s="209"/>
      <c r="M3764" s="209"/>
      <c r="N3764" s="209"/>
      <c r="O3764" s="209"/>
      <c r="P3764" s="209"/>
      <c r="Q3764" s="209"/>
      <c r="R3764" s="209"/>
      <c r="S3764" s="209"/>
      <c r="T3764" s="209"/>
    </row>
    <row r="3765" spans="1:20" s="451" customFormat="1" ht="15.75" hidden="1" customHeight="1">
      <c r="A3765" s="468">
        <v>45470</v>
      </c>
      <c r="B3765" s="208" t="s">
        <v>3265</v>
      </c>
      <c r="C3765" s="208" t="s">
        <v>27</v>
      </c>
      <c r="D3765" s="592">
        <v>-715898</v>
      </c>
      <c r="E3765" s="212">
        <v>45444</v>
      </c>
      <c r="F3765" s="208" t="s">
        <v>207</v>
      </c>
      <c r="G3765" s="208"/>
      <c r="H3765" s="208"/>
      <c r="I3765" s="208"/>
      <c r="J3765" s="209"/>
      <c r="K3765" s="209"/>
      <c r="L3765" s="209"/>
      <c r="M3765" s="209"/>
      <c r="N3765" s="209"/>
      <c r="O3765" s="209"/>
      <c r="P3765" s="209"/>
      <c r="Q3765" s="209"/>
      <c r="R3765" s="209"/>
      <c r="S3765" s="209"/>
      <c r="T3765" s="209"/>
    </row>
    <row r="3766" spans="1:20" s="451" customFormat="1" ht="15" hidden="1" customHeight="1">
      <c r="A3766" s="468">
        <v>45470</v>
      </c>
      <c r="B3766" s="208" t="s">
        <v>3266</v>
      </c>
      <c r="C3766" s="208" t="s">
        <v>27</v>
      </c>
      <c r="D3766" s="592">
        <v>-715898</v>
      </c>
      <c r="E3766" s="212">
        <v>45444</v>
      </c>
      <c r="F3766" s="201" t="s">
        <v>110</v>
      </c>
      <c r="G3766" s="208" t="s">
        <v>774</v>
      </c>
      <c r="H3766" s="208" t="s">
        <v>147</v>
      </c>
      <c r="I3766" s="208"/>
      <c r="J3766" s="209"/>
      <c r="K3766" s="209"/>
      <c r="L3766" s="209"/>
      <c r="M3766" s="209"/>
      <c r="N3766" s="209"/>
      <c r="O3766" s="209"/>
      <c r="P3766" s="209"/>
      <c r="Q3766" s="209"/>
      <c r="R3766" s="209"/>
      <c r="S3766" s="209"/>
      <c r="T3766" s="209"/>
    </row>
    <row r="3767" spans="1:20" s="451" customFormat="1" ht="15" hidden="1" customHeight="1">
      <c r="A3767" s="468">
        <v>45470</v>
      </c>
      <c r="B3767" s="208" t="s">
        <v>3267</v>
      </c>
      <c r="C3767" s="208" t="s">
        <v>27</v>
      </c>
      <c r="D3767" s="592">
        <f>-1996600/3</f>
        <v>-665533.33333333337</v>
      </c>
      <c r="E3767" s="212">
        <v>45444</v>
      </c>
      <c r="F3767" s="208" t="s">
        <v>130</v>
      </c>
      <c r="G3767" s="208" t="s">
        <v>130</v>
      </c>
      <c r="H3767" s="208" t="s">
        <v>1175</v>
      </c>
      <c r="I3767" s="208"/>
      <c r="J3767" s="209"/>
      <c r="K3767" s="209"/>
      <c r="L3767" s="209"/>
      <c r="M3767" s="209"/>
      <c r="N3767" s="209"/>
      <c r="O3767" s="209"/>
      <c r="P3767" s="209"/>
      <c r="Q3767" s="209"/>
      <c r="R3767" s="209"/>
      <c r="S3767" s="209"/>
      <c r="T3767" s="209"/>
    </row>
    <row r="3768" spans="1:20" s="451" customFormat="1" ht="15" hidden="1" customHeight="1">
      <c r="A3768" s="468">
        <v>45470</v>
      </c>
      <c r="B3768" s="208" t="s">
        <v>3267</v>
      </c>
      <c r="C3768" s="208" t="s">
        <v>27</v>
      </c>
      <c r="D3768" s="592">
        <v>-665533.33333333337</v>
      </c>
      <c r="E3768" s="212">
        <v>45444</v>
      </c>
      <c r="F3768" s="201" t="s">
        <v>110</v>
      </c>
      <c r="G3768" s="208" t="s">
        <v>774</v>
      </c>
      <c r="H3768" s="208" t="s">
        <v>508</v>
      </c>
      <c r="I3768" s="208"/>
      <c r="J3768" s="209"/>
      <c r="K3768" s="209"/>
      <c r="L3768" s="209"/>
      <c r="M3768" s="209"/>
      <c r="N3768" s="209"/>
      <c r="O3768" s="209"/>
      <c r="P3768" s="209"/>
      <c r="Q3768" s="209"/>
      <c r="R3768" s="209"/>
      <c r="S3768" s="209"/>
      <c r="T3768" s="209"/>
    </row>
    <row r="3769" spans="1:20" s="451" customFormat="1" ht="15" hidden="1" customHeight="1">
      <c r="A3769" s="468">
        <v>45470</v>
      </c>
      <c r="B3769" s="208" t="s">
        <v>3267</v>
      </c>
      <c r="C3769" s="208" t="s">
        <v>27</v>
      </c>
      <c r="D3769" s="592">
        <v>-665533.33333333337</v>
      </c>
      <c r="E3769" s="212">
        <v>45444</v>
      </c>
      <c r="F3769" s="208" t="s">
        <v>109</v>
      </c>
      <c r="G3769" s="201" t="s">
        <v>1306</v>
      </c>
      <c r="H3769" s="208" t="s">
        <v>508</v>
      </c>
      <c r="I3769" s="208"/>
      <c r="J3769" s="209"/>
      <c r="K3769" s="209"/>
      <c r="L3769" s="209"/>
      <c r="M3769" s="209"/>
      <c r="N3769" s="209"/>
      <c r="O3769" s="209"/>
      <c r="P3769" s="209"/>
      <c r="Q3769" s="209"/>
      <c r="R3769" s="209"/>
      <c r="S3769" s="209"/>
      <c r="T3769" s="209"/>
    </row>
    <row r="3770" spans="1:20" s="451" customFormat="1" ht="15" hidden="1" customHeight="1">
      <c r="A3770" s="468">
        <v>45470</v>
      </c>
      <c r="B3770" s="208" t="s">
        <v>3268</v>
      </c>
      <c r="C3770" s="208" t="s">
        <v>27</v>
      </c>
      <c r="D3770" s="592">
        <v>-679000</v>
      </c>
      <c r="E3770" s="212">
        <v>45444</v>
      </c>
      <c r="F3770" s="208" t="s">
        <v>109</v>
      </c>
      <c r="G3770" s="201" t="s">
        <v>1306</v>
      </c>
      <c r="H3770" s="208" t="s">
        <v>147</v>
      </c>
      <c r="I3770" s="208"/>
      <c r="J3770" s="209"/>
      <c r="K3770" s="209"/>
      <c r="L3770" s="209"/>
      <c r="M3770" s="209"/>
      <c r="N3770" s="209"/>
      <c r="O3770" s="209"/>
      <c r="P3770" s="209"/>
      <c r="Q3770" s="209"/>
      <c r="R3770" s="209"/>
      <c r="S3770" s="209"/>
      <c r="T3770" s="209"/>
    </row>
    <row r="3771" spans="1:20" ht="15" hidden="1" customHeight="1">
      <c r="A3771" s="468">
        <v>45469</v>
      </c>
      <c r="B3771" s="208" t="s">
        <v>3269</v>
      </c>
      <c r="C3771" s="208" t="s">
        <v>181</v>
      </c>
      <c r="D3771" s="592">
        <v>4730234</v>
      </c>
      <c r="E3771" s="212">
        <v>45444</v>
      </c>
      <c r="F3771" s="208" t="s">
        <v>108</v>
      </c>
      <c r="G3771" s="208"/>
      <c r="H3771" s="208"/>
      <c r="I3771" s="208"/>
      <c r="J3771" s="209"/>
      <c r="K3771" s="209"/>
      <c r="L3771" s="209"/>
      <c r="M3771" s="209"/>
      <c r="N3771" s="209"/>
      <c r="O3771" s="209"/>
      <c r="P3771" s="209"/>
      <c r="Q3771" s="209"/>
      <c r="R3771" s="209"/>
      <c r="S3771" s="209"/>
      <c r="T3771" s="209"/>
    </row>
    <row r="3772" spans="1:20" ht="15" hidden="1" customHeight="1">
      <c r="A3772" s="468">
        <v>45469</v>
      </c>
      <c r="B3772" s="208" t="s">
        <v>3270</v>
      </c>
      <c r="C3772" s="208" t="s">
        <v>181</v>
      </c>
      <c r="D3772" s="592">
        <v>2070580</v>
      </c>
      <c r="E3772" s="212">
        <v>45444</v>
      </c>
      <c r="F3772" s="208" t="s">
        <v>108</v>
      </c>
      <c r="G3772" s="208"/>
      <c r="H3772" s="208"/>
      <c r="I3772" s="208"/>
      <c r="J3772" s="209"/>
      <c r="K3772" s="209"/>
      <c r="L3772" s="209"/>
      <c r="M3772" s="209"/>
      <c r="N3772" s="209"/>
      <c r="O3772" s="209"/>
      <c r="P3772" s="209"/>
      <c r="Q3772" s="209"/>
      <c r="R3772" s="209"/>
      <c r="S3772" s="209"/>
      <c r="T3772" s="209"/>
    </row>
    <row r="3773" spans="1:20" ht="15" hidden="1" customHeight="1">
      <c r="A3773" s="468">
        <v>45469</v>
      </c>
      <c r="B3773" s="208" t="s">
        <v>3271</v>
      </c>
      <c r="C3773" s="208" t="s">
        <v>181</v>
      </c>
      <c r="D3773" s="592">
        <v>830270</v>
      </c>
      <c r="E3773" s="212">
        <v>45444</v>
      </c>
      <c r="F3773" s="208" t="s">
        <v>108</v>
      </c>
      <c r="G3773" s="208"/>
      <c r="H3773" s="208"/>
      <c r="I3773" s="208"/>
      <c r="J3773" s="209"/>
      <c r="K3773" s="209"/>
      <c r="L3773" s="209"/>
      <c r="M3773" s="209"/>
      <c r="N3773" s="209"/>
      <c r="O3773" s="209"/>
      <c r="P3773" s="209"/>
      <c r="Q3773" s="209"/>
      <c r="R3773" s="209"/>
      <c r="S3773" s="209"/>
      <c r="T3773" s="209"/>
    </row>
    <row r="3774" spans="1:20" ht="15" hidden="1" customHeight="1">
      <c r="A3774" s="468">
        <v>45469</v>
      </c>
      <c r="B3774" s="208" t="s">
        <v>3272</v>
      </c>
      <c r="C3774" s="208" t="s">
        <v>181</v>
      </c>
      <c r="D3774" s="592">
        <v>3017845</v>
      </c>
      <c r="E3774" s="212">
        <v>45444</v>
      </c>
      <c r="F3774" s="208" t="s">
        <v>108</v>
      </c>
      <c r="G3774" s="208"/>
      <c r="H3774" s="208"/>
      <c r="I3774" s="208"/>
      <c r="J3774" s="209"/>
      <c r="K3774" s="209"/>
      <c r="L3774" s="209"/>
      <c r="M3774" s="209"/>
      <c r="N3774" s="209"/>
      <c r="O3774" s="209"/>
      <c r="P3774" s="209"/>
      <c r="Q3774" s="209"/>
      <c r="R3774" s="209"/>
      <c r="S3774" s="209"/>
      <c r="T3774" s="209"/>
    </row>
    <row r="3775" spans="1:20" ht="15" hidden="1" customHeight="1">
      <c r="A3775" s="468">
        <v>45469</v>
      </c>
      <c r="B3775" s="208" t="s">
        <v>2031</v>
      </c>
      <c r="C3775" s="208" t="s">
        <v>181</v>
      </c>
      <c r="D3775" s="592">
        <v>492966</v>
      </c>
      <c r="E3775" s="212">
        <v>45444</v>
      </c>
      <c r="F3775" s="208" t="s">
        <v>108</v>
      </c>
      <c r="G3775" s="208"/>
      <c r="H3775" s="208"/>
      <c r="I3775" s="208"/>
      <c r="J3775" s="209"/>
      <c r="K3775" s="209"/>
      <c r="L3775" s="209"/>
      <c r="M3775" s="209"/>
      <c r="N3775" s="209"/>
      <c r="O3775" s="209"/>
      <c r="P3775" s="209"/>
      <c r="Q3775" s="209"/>
      <c r="R3775" s="209"/>
      <c r="S3775" s="209"/>
      <c r="T3775" s="209"/>
    </row>
    <row r="3776" spans="1:20" ht="15" hidden="1" customHeight="1">
      <c r="A3776" s="468">
        <v>45469</v>
      </c>
      <c r="B3776" s="208" t="s">
        <v>3273</v>
      </c>
      <c r="C3776" s="208" t="s">
        <v>181</v>
      </c>
      <c r="D3776" s="592">
        <v>1102234</v>
      </c>
      <c r="E3776" s="212">
        <v>45444</v>
      </c>
      <c r="F3776" s="208" t="s">
        <v>130</v>
      </c>
      <c r="G3776" s="208" t="s">
        <v>130</v>
      </c>
      <c r="H3776" s="208" t="s">
        <v>1175</v>
      </c>
      <c r="I3776" s="208"/>
      <c r="J3776" s="209"/>
      <c r="K3776" s="209"/>
      <c r="L3776" s="209"/>
      <c r="M3776" s="209"/>
      <c r="N3776" s="209"/>
      <c r="O3776" s="209"/>
      <c r="P3776" s="209"/>
      <c r="Q3776" s="209"/>
      <c r="R3776" s="209"/>
      <c r="S3776" s="209"/>
      <c r="T3776" s="209"/>
    </row>
    <row r="3777" spans="1:20" ht="15" hidden="1" customHeight="1">
      <c r="A3777" s="468">
        <v>45468</v>
      </c>
      <c r="B3777" s="208" t="s">
        <v>3274</v>
      </c>
      <c r="C3777" s="208" t="s">
        <v>27</v>
      </c>
      <c r="D3777" s="592">
        <v>100000</v>
      </c>
      <c r="E3777" s="212">
        <v>45444</v>
      </c>
      <c r="F3777" s="654" t="s">
        <v>130</v>
      </c>
      <c r="G3777" s="654" t="s">
        <v>257</v>
      </c>
      <c r="H3777" s="208" t="s">
        <v>2032</v>
      </c>
      <c r="I3777" s="208"/>
      <c r="J3777" s="209"/>
      <c r="K3777" s="209"/>
      <c r="L3777" s="209"/>
      <c r="M3777" s="209"/>
      <c r="N3777" s="209"/>
      <c r="O3777" s="209"/>
      <c r="P3777" s="209"/>
      <c r="Q3777" s="209"/>
      <c r="R3777" s="209"/>
      <c r="S3777" s="209"/>
      <c r="T3777" s="209"/>
    </row>
    <row r="3778" spans="1:20" ht="15" hidden="1" customHeight="1">
      <c r="A3778" s="468">
        <v>45468</v>
      </c>
      <c r="B3778" s="208" t="s">
        <v>3022</v>
      </c>
      <c r="C3778" s="208" t="s">
        <v>27</v>
      </c>
      <c r="D3778" s="592">
        <v>1294000</v>
      </c>
      <c r="E3778" s="212">
        <v>45444</v>
      </c>
      <c r="F3778" s="654" t="s">
        <v>108</v>
      </c>
      <c r="G3778" s="635"/>
      <c r="H3778" s="208"/>
      <c r="I3778" s="208"/>
      <c r="J3778" s="209"/>
      <c r="K3778" s="209"/>
      <c r="L3778" s="209"/>
      <c r="M3778" s="209"/>
      <c r="N3778" s="209"/>
      <c r="O3778" s="209"/>
      <c r="P3778" s="209"/>
      <c r="Q3778" s="209"/>
      <c r="R3778" s="209"/>
      <c r="S3778" s="209"/>
      <c r="T3778" s="209"/>
    </row>
    <row r="3779" spans="1:20" ht="15" hidden="1" customHeight="1">
      <c r="A3779" s="468">
        <v>45410</v>
      </c>
      <c r="B3779" s="208" t="s">
        <v>3275</v>
      </c>
      <c r="C3779" s="208" t="s">
        <v>181</v>
      </c>
      <c r="D3779" s="592">
        <v>679000</v>
      </c>
      <c r="E3779" s="212">
        <v>45444</v>
      </c>
      <c r="F3779" s="654" t="s">
        <v>130</v>
      </c>
      <c r="G3779" s="654" t="s">
        <v>130</v>
      </c>
      <c r="H3779" s="208" t="s">
        <v>1175</v>
      </c>
      <c r="I3779" s="208"/>
      <c r="J3779" s="209"/>
      <c r="K3779" s="209"/>
      <c r="L3779" s="209"/>
      <c r="M3779" s="209"/>
      <c r="N3779" s="209"/>
      <c r="O3779" s="209"/>
      <c r="P3779" s="209"/>
      <c r="Q3779" s="209"/>
      <c r="R3779" s="209"/>
      <c r="S3779" s="209"/>
      <c r="T3779" s="209"/>
    </row>
    <row r="3780" spans="1:20" ht="15" hidden="1" customHeight="1">
      <c r="A3780" s="468">
        <v>45410</v>
      </c>
      <c r="B3780" s="208" t="s">
        <v>3275</v>
      </c>
      <c r="C3780" s="208" t="s">
        <v>181</v>
      </c>
      <c r="D3780" s="592">
        <v>698085</v>
      </c>
      <c r="E3780" s="212">
        <v>45444</v>
      </c>
      <c r="F3780" s="654" t="s">
        <v>130</v>
      </c>
      <c r="G3780" s="654" t="s">
        <v>130</v>
      </c>
      <c r="H3780" s="208" t="s">
        <v>1175</v>
      </c>
      <c r="I3780" s="208"/>
      <c r="J3780" s="209"/>
      <c r="K3780" s="209"/>
      <c r="L3780" s="209"/>
      <c r="M3780" s="209"/>
      <c r="N3780" s="209"/>
      <c r="O3780" s="209"/>
      <c r="P3780" s="209"/>
      <c r="Q3780" s="209"/>
      <c r="R3780" s="209"/>
      <c r="S3780" s="209"/>
      <c r="T3780" s="209"/>
    </row>
    <row r="3781" spans="1:20" ht="15" hidden="1" customHeight="1">
      <c r="A3781" s="468">
        <v>45471</v>
      </c>
      <c r="B3781" s="208" t="s">
        <v>3276</v>
      </c>
      <c r="C3781" s="208" t="s">
        <v>181</v>
      </c>
      <c r="D3781" s="592">
        <v>-881400</v>
      </c>
      <c r="E3781" s="212">
        <v>45444</v>
      </c>
      <c r="F3781" s="654" t="s">
        <v>130</v>
      </c>
      <c r="G3781" s="654" t="s">
        <v>130</v>
      </c>
      <c r="H3781" s="208" t="s">
        <v>1175</v>
      </c>
      <c r="I3781" s="208"/>
      <c r="J3781" s="209"/>
      <c r="K3781" s="209"/>
      <c r="L3781" s="209"/>
      <c r="M3781" s="209"/>
      <c r="N3781" s="209"/>
      <c r="O3781" s="209"/>
      <c r="P3781" s="209"/>
      <c r="Q3781" s="209"/>
      <c r="R3781" s="209"/>
      <c r="S3781" s="209"/>
      <c r="T3781" s="209"/>
    </row>
    <row r="3782" spans="1:20" ht="15" hidden="1" customHeight="1">
      <c r="A3782" s="468">
        <v>45471</v>
      </c>
      <c r="B3782" s="208" t="s">
        <v>3277</v>
      </c>
      <c r="C3782" s="208" t="s">
        <v>181</v>
      </c>
      <c r="D3782" s="800">
        <v>-666680</v>
      </c>
      <c r="E3782" s="212">
        <v>45444</v>
      </c>
      <c r="F3782" s="654" t="s">
        <v>109</v>
      </c>
      <c r="G3782" s="201" t="s">
        <v>581</v>
      </c>
      <c r="H3782" s="208"/>
      <c r="I3782" s="208"/>
      <c r="J3782" s="209"/>
      <c r="K3782" s="209"/>
      <c r="L3782" s="209"/>
      <c r="M3782" s="209"/>
      <c r="N3782" s="209"/>
      <c r="O3782" s="209"/>
      <c r="P3782" s="209"/>
      <c r="Q3782" s="209"/>
      <c r="R3782" s="209"/>
      <c r="S3782" s="209"/>
      <c r="T3782" s="209"/>
    </row>
    <row r="3783" spans="1:20" ht="15" hidden="1" customHeight="1">
      <c r="A3783" s="468">
        <v>45469</v>
      </c>
      <c r="B3783" s="208" t="s">
        <v>3278</v>
      </c>
      <c r="C3783" s="208" t="s">
        <v>181</v>
      </c>
      <c r="D3783" s="592">
        <v>-291300</v>
      </c>
      <c r="E3783" s="212">
        <v>45444</v>
      </c>
      <c r="F3783" s="208" t="s">
        <v>207</v>
      </c>
      <c r="G3783" s="81" t="s">
        <v>2226</v>
      </c>
      <c r="H3783" s="208" t="s">
        <v>175</v>
      </c>
      <c r="I3783" s="208"/>
      <c r="J3783" s="209"/>
      <c r="K3783" s="209"/>
      <c r="L3783" s="209"/>
      <c r="M3783" s="209"/>
      <c r="N3783" s="209"/>
      <c r="O3783" s="209"/>
      <c r="P3783" s="209"/>
      <c r="Q3783" s="209"/>
      <c r="R3783" s="209"/>
      <c r="S3783" s="209"/>
      <c r="T3783" s="209"/>
    </row>
    <row r="3784" spans="1:20" ht="15" hidden="1" customHeight="1">
      <c r="A3784" s="468">
        <v>45469</v>
      </c>
      <c r="B3784" s="208" t="s">
        <v>3279</v>
      </c>
      <c r="C3784" s="208" t="s">
        <v>181</v>
      </c>
      <c r="D3784" s="592">
        <v>-20900</v>
      </c>
      <c r="E3784" s="212">
        <v>45444</v>
      </c>
      <c r="F3784" s="654" t="s">
        <v>130</v>
      </c>
      <c r="G3784" s="659" t="s">
        <v>130</v>
      </c>
      <c r="H3784" s="208" t="s">
        <v>2444</v>
      </c>
      <c r="I3784" s="208"/>
      <c r="J3784" s="209"/>
      <c r="K3784" s="209"/>
      <c r="L3784" s="209"/>
      <c r="M3784" s="209"/>
      <c r="N3784" s="209"/>
      <c r="O3784" s="209"/>
      <c r="P3784" s="209"/>
      <c r="Q3784" s="209"/>
      <c r="R3784" s="209"/>
      <c r="S3784" s="209"/>
      <c r="T3784" s="209"/>
    </row>
    <row r="3785" spans="1:20" ht="15" hidden="1" customHeight="1">
      <c r="A3785" s="468">
        <v>45472</v>
      </c>
      <c r="B3785" s="208" t="s">
        <v>3280</v>
      </c>
      <c r="C3785" s="208" t="s">
        <v>643</v>
      </c>
      <c r="D3785" s="592">
        <v>-9522</v>
      </c>
      <c r="E3785" s="212">
        <v>45444</v>
      </c>
      <c r="F3785" s="208" t="s">
        <v>130</v>
      </c>
      <c r="G3785" s="208" t="s">
        <v>2657</v>
      </c>
      <c r="H3785" s="208" t="s">
        <v>663</v>
      </c>
      <c r="I3785" s="208"/>
      <c r="J3785" s="209"/>
      <c r="K3785" s="209"/>
      <c r="L3785" s="209"/>
      <c r="M3785" s="209"/>
      <c r="N3785" s="209"/>
      <c r="O3785" s="209"/>
      <c r="P3785" s="209"/>
      <c r="Q3785" s="209"/>
      <c r="R3785" s="209"/>
      <c r="S3785" s="209"/>
      <c r="T3785" s="209"/>
    </row>
    <row r="3786" spans="1:20" ht="15" hidden="1" customHeight="1">
      <c r="A3786" s="468">
        <v>45472</v>
      </c>
      <c r="B3786" s="208" t="s">
        <v>3281</v>
      </c>
      <c r="C3786" s="208" t="s">
        <v>643</v>
      </c>
      <c r="D3786" s="592">
        <v>-49814</v>
      </c>
      <c r="E3786" s="212">
        <v>45444</v>
      </c>
      <c r="F3786" s="208" t="s">
        <v>130</v>
      </c>
      <c r="G3786" s="208" t="s">
        <v>2657</v>
      </c>
      <c r="H3786" s="208" t="s">
        <v>663</v>
      </c>
      <c r="I3786" s="208"/>
      <c r="J3786" s="209"/>
      <c r="K3786" s="209"/>
      <c r="L3786" s="209"/>
      <c r="M3786" s="209"/>
      <c r="N3786" s="209"/>
      <c r="O3786" s="209"/>
      <c r="P3786" s="209"/>
      <c r="Q3786" s="209"/>
      <c r="R3786" s="209"/>
      <c r="S3786" s="209"/>
      <c r="T3786" s="209"/>
    </row>
    <row r="3787" spans="1:20" ht="15" hidden="1" customHeight="1">
      <c r="A3787" s="468">
        <v>45467</v>
      </c>
      <c r="B3787" s="208" t="s">
        <v>3282</v>
      </c>
      <c r="C3787" s="208" t="s">
        <v>643</v>
      </c>
      <c r="D3787" s="592">
        <v>-30800</v>
      </c>
      <c r="E3787" s="212">
        <v>45444</v>
      </c>
      <c r="F3787" s="208" t="s">
        <v>130</v>
      </c>
      <c r="G3787" s="208" t="s">
        <v>2657</v>
      </c>
      <c r="H3787" s="208" t="s">
        <v>663</v>
      </c>
      <c r="I3787" s="208"/>
      <c r="J3787" s="209"/>
      <c r="K3787" s="209"/>
      <c r="L3787" s="209"/>
      <c r="M3787" s="209"/>
      <c r="N3787" s="209"/>
      <c r="O3787" s="209"/>
      <c r="P3787" s="209"/>
      <c r="Q3787" s="209"/>
      <c r="R3787" s="209"/>
      <c r="S3787" s="209"/>
      <c r="T3787" s="209"/>
    </row>
    <row r="3788" spans="1:20" ht="15" hidden="1" customHeight="1">
      <c r="A3788" s="468">
        <v>45466</v>
      </c>
      <c r="B3788" s="208" t="s">
        <v>3283</v>
      </c>
      <c r="C3788" s="208" t="s">
        <v>643</v>
      </c>
      <c r="D3788" s="592">
        <v>-150042</v>
      </c>
      <c r="E3788" s="212">
        <v>45444</v>
      </c>
      <c r="F3788" s="208" t="s">
        <v>130</v>
      </c>
      <c r="G3788" s="208" t="s">
        <v>2657</v>
      </c>
      <c r="H3788" s="208" t="s">
        <v>663</v>
      </c>
      <c r="I3788" s="208"/>
      <c r="J3788" s="209"/>
      <c r="K3788" s="209"/>
      <c r="L3788" s="209"/>
      <c r="M3788" s="209"/>
      <c r="N3788" s="209"/>
      <c r="O3788" s="209"/>
      <c r="P3788" s="209"/>
      <c r="Q3788" s="209"/>
      <c r="R3788" s="209"/>
      <c r="S3788" s="209"/>
      <c r="T3788" s="209"/>
    </row>
    <row r="3789" spans="1:20" ht="15" hidden="1" customHeight="1">
      <c r="A3789" s="468">
        <v>45464</v>
      </c>
      <c r="B3789" s="208" t="s">
        <v>3284</v>
      </c>
      <c r="C3789" s="208" t="s">
        <v>269</v>
      </c>
      <c r="D3789" s="592">
        <v>-6200</v>
      </c>
      <c r="E3789" s="212">
        <v>45444</v>
      </c>
      <c r="F3789" s="208" t="s">
        <v>109</v>
      </c>
      <c r="G3789" s="201" t="s">
        <v>1306</v>
      </c>
      <c r="H3789" s="208" t="s">
        <v>138</v>
      </c>
      <c r="I3789" s="208"/>
      <c r="J3789" s="209"/>
      <c r="K3789" s="209"/>
      <c r="L3789" s="209"/>
      <c r="M3789" s="209"/>
      <c r="N3789" s="209"/>
      <c r="O3789" s="209"/>
      <c r="P3789" s="209"/>
      <c r="Q3789" s="209"/>
      <c r="R3789" s="209"/>
      <c r="S3789" s="209"/>
      <c r="T3789" s="209"/>
    </row>
    <row r="3790" spans="1:20" ht="15" hidden="1" customHeight="1">
      <c r="A3790" s="468">
        <v>45464</v>
      </c>
      <c r="B3790" s="208" t="s">
        <v>3285</v>
      </c>
      <c r="C3790" s="208" t="s">
        <v>269</v>
      </c>
      <c r="D3790" s="592">
        <v>-6200</v>
      </c>
      <c r="E3790" s="212">
        <v>45444</v>
      </c>
      <c r="F3790" s="208" t="s">
        <v>109</v>
      </c>
      <c r="G3790" s="201" t="s">
        <v>1306</v>
      </c>
      <c r="H3790" s="208" t="s">
        <v>138</v>
      </c>
      <c r="I3790" s="208"/>
      <c r="J3790" s="209"/>
      <c r="K3790" s="209"/>
      <c r="L3790" s="209"/>
      <c r="M3790" s="209"/>
      <c r="N3790" s="209"/>
      <c r="O3790" s="209"/>
      <c r="P3790" s="209"/>
      <c r="Q3790" s="209"/>
      <c r="R3790" s="209"/>
      <c r="S3790" s="209"/>
      <c r="T3790" s="209"/>
    </row>
    <row r="3791" spans="1:20" ht="15" hidden="1" customHeight="1">
      <c r="A3791" s="468">
        <v>45464</v>
      </c>
      <c r="B3791" s="208" t="s">
        <v>3286</v>
      </c>
      <c r="C3791" s="208" t="s">
        <v>269</v>
      </c>
      <c r="D3791" s="592">
        <v>-5300</v>
      </c>
      <c r="E3791" s="212">
        <v>45444</v>
      </c>
      <c r="F3791" s="208" t="s">
        <v>109</v>
      </c>
      <c r="G3791" s="201" t="s">
        <v>1306</v>
      </c>
      <c r="H3791" s="208" t="s">
        <v>138</v>
      </c>
      <c r="I3791" s="208"/>
      <c r="J3791" s="209"/>
      <c r="K3791" s="209"/>
      <c r="L3791" s="209"/>
      <c r="M3791" s="209"/>
      <c r="N3791" s="209"/>
      <c r="O3791" s="209"/>
      <c r="P3791" s="209"/>
      <c r="Q3791" s="209"/>
      <c r="R3791" s="209"/>
      <c r="S3791" s="209"/>
      <c r="T3791" s="209"/>
    </row>
    <row r="3792" spans="1:20" ht="15" hidden="1" customHeight="1">
      <c r="A3792" s="468">
        <v>45468</v>
      </c>
      <c r="B3792" s="208" t="s">
        <v>3287</v>
      </c>
      <c r="C3792" s="208" t="s">
        <v>269</v>
      </c>
      <c r="D3792" s="592">
        <v>-6200</v>
      </c>
      <c r="E3792" s="212">
        <v>45444</v>
      </c>
      <c r="F3792" s="208" t="s">
        <v>109</v>
      </c>
      <c r="G3792" s="201" t="s">
        <v>1306</v>
      </c>
      <c r="H3792" s="208" t="s">
        <v>138</v>
      </c>
      <c r="I3792" s="208"/>
      <c r="J3792" s="209"/>
      <c r="K3792" s="209"/>
      <c r="L3792" s="209"/>
      <c r="M3792" s="209"/>
      <c r="N3792" s="209"/>
      <c r="O3792" s="209"/>
      <c r="P3792" s="209"/>
      <c r="Q3792" s="209"/>
      <c r="R3792" s="209"/>
      <c r="S3792" s="209"/>
      <c r="T3792" s="209"/>
    </row>
    <row r="3793" spans="1:20" ht="15" hidden="1" customHeight="1">
      <c r="A3793" s="468">
        <v>45468</v>
      </c>
      <c r="B3793" s="208" t="s">
        <v>3285</v>
      </c>
      <c r="C3793" s="208" t="s">
        <v>269</v>
      </c>
      <c r="D3793" s="592">
        <v>-6200</v>
      </c>
      <c r="E3793" s="212">
        <v>45444</v>
      </c>
      <c r="F3793" s="208" t="s">
        <v>109</v>
      </c>
      <c r="G3793" s="201" t="s">
        <v>1306</v>
      </c>
      <c r="H3793" s="208" t="s">
        <v>138</v>
      </c>
      <c r="I3793" s="208"/>
      <c r="J3793" s="209"/>
      <c r="K3793" s="209"/>
      <c r="L3793" s="209"/>
      <c r="M3793" s="209"/>
      <c r="N3793" s="209"/>
      <c r="O3793" s="209"/>
      <c r="P3793" s="209"/>
      <c r="Q3793" s="209"/>
      <c r="R3793" s="209"/>
      <c r="S3793" s="209"/>
      <c r="T3793" s="209"/>
    </row>
    <row r="3794" spans="1:20" ht="15" hidden="1" customHeight="1">
      <c r="A3794" s="468">
        <v>45468</v>
      </c>
      <c r="B3794" s="208" t="s">
        <v>3288</v>
      </c>
      <c r="C3794" s="208" t="s">
        <v>269</v>
      </c>
      <c r="D3794" s="592">
        <v>-6200</v>
      </c>
      <c r="E3794" s="212">
        <v>45444</v>
      </c>
      <c r="F3794" s="208" t="s">
        <v>130</v>
      </c>
      <c r="G3794" s="223" t="s">
        <v>130</v>
      </c>
      <c r="H3794" s="208" t="s">
        <v>138</v>
      </c>
      <c r="I3794" s="208"/>
      <c r="J3794" s="209"/>
      <c r="K3794" s="209"/>
      <c r="L3794" s="209"/>
      <c r="M3794" s="209"/>
      <c r="N3794" s="209"/>
      <c r="O3794" s="209"/>
      <c r="P3794" s="209"/>
      <c r="Q3794" s="209"/>
      <c r="R3794" s="209"/>
      <c r="S3794" s="209"/>
      <c r="T3794" s="209"/>
    </row>
    <row r="3795" spans="1:20" ht="15" hidden="1" customHeight="1">
      <c r="A3795" s="468">
        <v>45468</v>
      </c>
      <c r="B3795" s="208" t="s">
        <v>3289</v>
      </c>
      <c r="C3795" s="208" t="s">
        <v>269</v>
      </c>
      <c r="D3795" s="592">
        <v>-6200</v>
      </c>
      <c r="E3795" s="212">
        <v>45444</v>
      </c>
      <c r="F3795" s="208" t="s">
        <v>130</v>
      </c>
      <c r="G3795" s="223" t="s">
        <v>130</v>
      </c>
      <c r="H3795" s="208" t="s">
        <v>138</v>
      </c>
      <c r="I3795" s="208"/>
      <c r="J3795" s="209"/>
      <c r="K3795" s="209"/>
      <c r="L3795" s="209"/>
      <c r="M3795" s="209"/>
      <c r="N3795" s="209"/>
      <c r="O3795" s="209"/>
      <c r="P3795" s="209"/>
      <c r="Q3795" s="209"/>
      <c r="R3795" s="209"/>
      <c r="S3795" s="209"/>
      <c r="T3795" s="209"/>
    </row>
    <row r="3796" spans="1:20" ht="15" hidden="1" customHeight="1">
      <c r="A3796" s="468">
        <v>45471</v>
      </c>
      <c r="B3796" s="208" t="s">
        <v>3287</v>
      </c>
      <c r="C3796" s="208" t="s">
        <v>269</v>
      </c>
      <c r="D3796" s="592">
        <v>-6500</v>
      </c>
      <c r="E3796" s="212">
        <v>45444</v>
      </c>
      <c r="F3796" s="208" t="s">
        <v>109</v>
      </c>
      <c r="G3796" s="201" t="s">
        <v>1306</v>
      </c>
      <c r="H3796" s="208" t="s">
        <v>138</v>
      </c>
      <c r="I3796" s="208"/>
      <c r="J3796" s="209"/>
      <c r="K3796" s="209"/>
      <c r="L3796" s="209"/>
      <c r="M3796" s="209"/>
      <c r="N3796" s="209"/>
      <c r="O3796" s="209"/>
      <c r="P3796" s="209"/>
      <c r="Q3796" s="209"/>
      <c r="R3796" s="209"/>
      <c r="S3796" s="209"/>
      <c r="T3796" s="209"/>
    </row>
    <row r="3797" spans="1:20" ht="15" hidden="1" customHeight="1">
      <c r="A3797" s="468">
        <v>45471</v>
      </c>
      <c r="B3797" s="208" t="s">
        <v>3285</v>
      </c>
      <c r="C3797" s="208" t="s">
        <v>269</v>
      </c>
      <c r="D3797" s="592">
        <v>-7000</v>
      </c>
      <c r="E3797" s="212">
        <v>45444</v>
      </c>
      <c r="F3797" s="208" t="s">
        <v>109</v>
      </c>
      <c r="G3797" s="201" t="s">
        <v>1306</v>
      </c>
      <c r="H3797" s="208" t="s">
        <v>138</v>
      </c>
      <c r="I3797" s="208"/>
      <c r="J3797" s="209"/>
      <c r="K3797" s="209"/>
      <c r="L3797" s="209"/>
      <c r="M3797" s="209"/>
      <c r="N3797" s="209"/>
      <c r="O3797" s="209"/>
      <c r="P3797" s="209"/>
      <c r="Q3797" s="209"/>
      <c r="R3797" s="209"/>
      <c r="S3797" s="209"/>
      <c r="T3797" s="209"/>
    </row>
    <row r="3798" spans="1:20" ht="15" hidden="1" customHeight="1">
      <c r="A3798" s="468">
        <v>45471</v>
      </c>
      <c r="B3798" s="208" t="s">
        <v>3287</v>
      </c>
      <c r="C3798" s="208" t="s">
        <v>269</v>
      </c>
      <c r="D3798" s="592">
        <v>-7000</v>
      </c>
      <c r="E3798" s="212">
        <v>45444</v>
      </c>
      <c r="F3798" s="208" t="s">
        <v>109</v>
      </c>
      <c r="G3798" s="201" t="s">
        <v>1306</v>
      </c>
      <c r="H3798" s="208" t="s">
        <v>138</v>
      </c>
      <c r="I3798" s="208"/>
      <c r="J3798" s="209"/>
      <c r="K3798" s="209"/>
      <c r="L3798" s="209"/>
      <c r="M3798" s="209"/>
      <c r="N3798" s="209"/>
      <c r="O3798" s="209"/>
      <c r="P3798" s="209"/>
      <c r="Q3798" s="209"/>
      <c r="R3798" s="209"/>
      <c r="S3798" s="209"/>
      <c r="T3798" s="209"/>
    </row>
    <row r="3799" spans="1:20" ht="15" hidden="1" customHeight="1">
      <c r="A3799" s="468">
        <v>45471</v>
      </c>
      <c r="B3799" s="208" t="s">
        <v>3285</v>
      </c>
      <c r="C3799" s="208" t="s">
        <v>269</v>
      </c>
      <c r="D3799" s="592">
        <v>-7000</v>
      </c>
      <c r="E3799" s="212">
        <v>45444</v>
      </c>
      <c r="F3799" s="208" t="s">
        <v>109</v>
      </c>
      <c r="G3799" s="201" t="s">
        <v>1306</v>
      </c>
      <c r="H3799" s="208" t="s">
        <v>138</v>
      </c>
      <c r="I3799" s="208"/>
      <c r="J3799" s="209"/>
      <c r="K3799" s="209"/>
      <c r="L3799" s="209"/>
      <c r="M3799" s="209"/>
      <c r="N3799" s="209"/>
      <c r="O3799" s="209"/>
      <c r="P3799" s="209"/>
      <c r="Q3799" s="209"/>
      <c r="R3799" s="209"/>
      <c r="S3799" s="209"/>
      <c r="T3799" s="209"/>
    </row>
    <row r="3800" spans="1:20" ht="15" hidden="1" customHeight="1">
      <c r="A3800" s="468">
        <v>45471</v>
      </c>
      <c r="B3800" s="208" t="s">
        <v>3290</v>
      </c>
      <c r="C3800" s="208" t="s">
        <v>146</v>
      </c>
      <c r="D3800" s="592">
        <v>15500</v>
      </c>
      <c r="E3800" s="212">
        <v>45444</v>
      </c>
      <c r="F3800" s="208" t="s">
        <v>130</v>
      </c>
      <c r="G3800" s="208" t="s">
        <v>257</v>
      </c>
      <c r="H3800" s="208" t="s">
        <v>2032</v>
      </c>
      <c r="I3800" s="208"/>
      <c r="J3800" s="209"/>
      <c r="K3800" s="209"/>
      <c r="L3800" s="209"/>
      <c r="M3800" s="209"/>
      <c r="N3800" s="209"/>
      <c r="O3800" s="209"/>
      <c r="P3800" s="209"/>
      <c r="Q3800" s="209"/>
      <c r="R3800" s="209"/>
      <c r="S3800" s="209"/>
      <c r="T3800" s="209"/>
    </row>
    <row r="3801" spans="1:20" ht="15" hidden="1" customHeight="1">
      <c r="A3801" s="468">
        <v>45461</v>
      </c>
      <c r="B3801" t="s">
        <v>3068</v>
      </c>
      <c r="C3801" s="208" t="s">
        <v>181</v>
      </c>
      <c r="D3801" s="592">
        <v>-24900000</v>
      </c>
      <c r="E3801" s="212">
        <v>45444</v>
      </c>
      <c r="F3801" s="601" t="s">
        <v>110</v>
      </c>
      <c r="G3801" s="208" t="s">
        <v>774</v>
      </c>
      <c r="H3801" s="208" t="s">
        <v>418</v>
      </c>
      <c r="I3801" s="208"/>
      <c r="J3801" s="209"/>
      <c r="K3801" s="209"/>
      <c r="L3801" s="209"/>
      <c r="M3801" s="209"/>
      <c r="N3801" s="209"/>
      <c r="O3801" s="209"/>
      <c r="P3801" s="209"/>
      <c r="Q3801" s="209"/>
      <c r="R3801" s="209"/>
      <c r="S3801" s="209"/>
      <c r="T3801" s="209"/>
    </row>
    <row r="3802" spans="1:20" ht="15" hidden="1" customHeight="1">
      <c r="A3802" s="468">
        <v>45461</v>
      </c>
      <c r="B3802" s="81" t="s">
        <v>3068</v>
      </c>
      <c r="C3802" s="208" t="s">
        <v>181</v>
      </c>
      <c r="D3802" s="592">
        <v>-9680000</v>
      </c>
      <c r="E3802" s="212">
        <v>45444</v>
      </c>
      <c r="F3802" s="601" t="s">
        <v>110</v>
      </c>
      <c r="G3802" s="208" t="s">
        <v>774</v>
      </c>
      <c r="H3802" s="208" t="s">
        <v>418</v>
      </c>
      <c r="I3802" s="208"/>
      <c r="J3802" s="209"/>
      <c r="K3802" s="209"/>
      <c r="L3802" s="209"/>
      <c r="M3802" s="209"/>
      <c r="N3802" s="209"/>
      <c r="O3802" s="209"/>
      <c r="P3802" s="209"/>
      <c r="Q3802" s="209"/>
      <c r="R3802" s="209"/>
      <c r="S3802" s="209"/>
      <c r="T3802" s="209"/>
    </row>
    <row r="3803" spans="1:20" ht="15" hidden="1" customHeight="1">
      <c r="A3803" s="468">
        <v>45471</v>
      </c>
      <c r="B3803" s="208" t="s">
        <v>3291</v>
      </c>
      <c r="C3803" s="208" t="s">
        <v>181</v>
      </c>
      <c r="D3803" s="592">
        <v>9680773</v>
      </c>
      <c r="E3803" s="212">
        <v>45444</v>
      </c>
      <c r="F3803" s="208" t="s">
        <v>108</v>
      </c>
      <c r="G3803" s="208"/>
      <c r="H3803" s="208"/>
      <c r="I3803" s="208"/>
      <c r="J3803" s="209"/>
      <c r="K3803" s="209"/>
      <c r="L3803" s="209"/>
      <c r="M3803" s="209"/>
      <c r="N3803" s="209"/>
      <c r="O3803" s="209"/>
      <c r="P3803" s="209"/>
      <c r="Q3803" s="209"/>
      <c r="R3803" s="209"/>
      <c r="S3803" s="209"/>
      <c r="T3803" s="209"/>
    </row>
    <row r="3804" spans="1:20" ht="15" hidden="1" customHeight="1">
      <c r="A3804" s="468">
        <v>45461</v>
      </c>
      <c r="B3804" s="81" t="s">
        <v>3068</v>
      </c>
      <c r="C3804" s="208" t="s">
        <v>181</v>
      </c>
      <c r="D3804" s="592">
        <f>-63361050-D3501-D3544-D3801-D3802</f>
        <v>-6085975</v>
      </c>
      <c r="E3804" s="619">
        <v>45444</v>
      </c>
      <c r="F3804" s="208" t="s">
        <v>109</v>
      </c>
      <c r="G3804" s="208" t="s">
        <v>125</v>
      </c>
      <c r="H3804" s="208" t="s">
        <v>418</v>
      </c>
      <c r="I3804" s="208"/>
      <c r="J3804" s="209"/>
      <c r="K3804" s="209"/>
      <c r="L3804" s="209"/>
      <c r="M3804" s="209"/>
      <c r="N3804" s="209"/>
      <c r="O3804" s="209"/>
      <c r="P3804" s="209"/>
      <c r="Q3804" s="209"/>
      <c r="R3804" s="209"/>
      <c r="S3804" s="209"/>
      <c r="T3804" s="209"/>
    </row>
    <row r="3805" spans="1:20" s="464" customFormat="1" ht="15" hidden="1" customHeight="1">
      <c r="A3805" s="468">
        <v>45477</v>
      </c>
      <c r="B3805" s="208" t="s">
        <v>2663</v>
      </c>
      <c r="C3805" s="208" t="s">
        <v>269</v>
      </c>
      <c r="D3805" s="592">
        <v>-42000</v>
      </c>
      <c r="E3805" s="212">
        <v>45474</v>
      </c>
      <c r="F3805" s="208" t="s">
        <v>110</v>
      </c>
      <c r="G3805" s="208" t="s">
        <v>774</v>
      </c>
      <c r="H3805" s="208" t="s">
        <v>138</v>
      </c>
      <c r="I3805" s="208"/>
      <c r="J3805" s="209"/>
      <c r="K3805" s="209"/>
      <c r="L3805" s="209"/>
      <c r="M3805" s="209"/>
      <c r="N3805" s="209"/>
      <c r="O3805" s="209"/>
      <c r="P3805" s="209"/>
      <c r="Q3805" s="209"/>
      <c r="R3805" s="209"/>
      <c r="S3805" s="209"/>
      <c r="T3805" s="209"/>
    </row>
    <row r="3806" spans="1:20" s="209" customFormat="1" ht="15" hidden="1" customHeight="1">
      <c r="A3806" s="468">
        <v>45477</v>
      </c>
      <c r="B3806" s="208" t="s">
        <v>2663</v>
      </c>
      <c r="C3806" s="208" t="s">
        <v>269</v>
      </c>
      <c r="D3806" s="592">
        <v>-28000</v>
      </c>
      <c r="E3806" s="212">
        <v>45474</v>
      </c>
      <c r="F3806" s="208" t="s">
        <v>207</v>
      </c>
      <c r="G3806" s="208" t="s">
        <v>2963</v>
      </c>
      <c r="H3806" s="208"/>
      <c r="I3806" s="208"/>
    </row>
    <row r="3807" spans="1:20" s="209" customFormat="1" ht="15" hidden="1" customHeight="1">
      <c r="A3807" s="468">
        <v>45477</v>
      </c>
      <c r="B3807" s="208" t="s">
        <v>2663</v>
      </c>
      <c r="C3807" s="208" t="s">
        <v>269</v>
      </c>
      <c r="D3807" s="592">
        <v>-14000</v>
      </c>
      <c r="E3807" s="212">
        <v>45474</v>
      </c>
      <c r="F3807" s="208" t="s">
        <v>110</v>
      </c>
      <c r="G3807" s="208" t="s">
        <v>2844</v>
      </c>
      <c r="H3807" s="208" t="s">
        <v>138</v>
      </c>
      <c r="I3807" s="208"/>
    </row>
    <row r="3808" spans="1:20" s="209" customFormat="1" ht="15" hidden="1" customHeight="1">
      <c r="A3808" s="468">
        <v>45477</v>
      </c>
      <c r="B3808" s="208" t="s">
        <v>2663</v>
      </c>
      <c r="C3808" s="208" t="s">
        <v>269</v>
      </c>
      <c r="D3808" s="800">
        <v>-28000</v>
      </c>
      <c r="E3808" s="212">
        <v>45474</v>
      </c>
      <c r="F3808" s="208" t="s">
        <v>109</v>
      </c>
      <c r="G3808" s="201" t="s">
        <v>581</v>
      </c>
      <c r="H3808" s="208" t="s">
        <v>138</v>
      </c>
      <c r="I3808" s="208"/>
    </row>
    <row r="3809" spans="1:20" s="209" customFormat="1" ht="15" hidden="1" customHeight="1">
      <c r="A3809" s="468">
        <v>45477</v>
      </c>
      <c r="B3809" s="208" t="s">
        <v>2663</v>
      </c>
      <c r="C3809" s="208" t="s">
        <v>269</v>
      </c>
      <c r="D3809" s="592">
        <v>-7000</v>
      </c>
      <c r="E3809" s="212">
        <v>45474</v>
      </c>
      <c r="F3809" s="208" t="s">
        <v>109</v>
      </c>
      <c r="G3809" s="201" t="s">
        <v>1261</v>
      </c>
      <c r="H3809" s="208" t="s">
        <v>138</v>
      </c>
      <c r="I3809" s="208"/>
    </row>
    <row r="3810" spans="1:20" s="209" customFormat="1" ht="15" hidden="1" customHeight="1">
      <c r="A3810" s="468">
        <v>45477</v>
      </c>
      <c r="B3810" s="208" t="s">
        <v>2663</v>
      </c>
      <c r="C3810" s="208" t="s">
        <v>269</v>
      </c>
      <c r="D3810" s="592">
        <v>-35000</v>
      </c>
      <c r="E3810" s="212">
        <v>45474</v>
      </c>
      <c r="F3810" s="208" t="s">
        <v>109</v>
      </c>
      <c r="G3810" s="201" t="s">
        <v>1306</v>
      </c>
      <c r="H3810" s="208" t="s">
        <v>138</v>
      </c>
      <c r="I3810" s="208"/>
    </row>
    <row r="3811" spans="1:20" s="209" customFormat="1" ht="15" hidden="1" customHeight="1">
      <c r="A3811" s="468">
        <v>45477</v>
      </c>
      <c r="B3811" s="208" t="s">
        <v>2663</v>
      </c>
      <c r="C3811" s="208" t="s">
        <v>269</v>
      </c>
      <c r="D3811" s="592">
        <v>-21000</v>
      </c>
      <c r="E3811" s="212">
        <v>45474</v>
      </c>
      <c r="F3811" s="208" t="s">
        <v>207</v>
      </c>
      <c r="G3811" s="81" t="s">
        <v>2226</v>
      </c>
      <c r="H3811" s="208" t="s">
        <v>138</v>
      </c>
      <c r="I3811" s="208"/>
    </row>
    <row r="3812" spans="1:20" ht="15" hidden="1" customHeight="1">
      <c r="A3812" s="468">
        <v>45477</v>
      </c>
      <c r="B3812" s="208" t="s">
        <v>2663</v>
      </c>
      <c r="C3812" s="208" t="s">
        <v>269</v>
      </c>
      <c r="D3812" s="592">
        <v>-35000</v>
      </c>
      <c r="E3812" s="212">
        <v>45474</v>
      </c>
      <c r="F3812" s="208" t="s">
        <v>109</v>
      </c>
      <c r="G3812" s="208" t="s">
        <v>125</v>
      </c>
      <c r="H3812" s="208" t="s">
        <v>138</v>
      </c>
      <c r="I3812" s="208"/>
      <c r="J3812" s="209"/>
      <c r="K3812" s="209"/>
      <c r="L3812" s="209"/>
      <c r="M3812" s="209"/>
      <c r="N3812" s="209"/>
      <c r="O3812" s="209"/>
      <c r="P3812" s="209"/>
      <c r="Q3812" s="209"/>
      <c r="R3812" s="209"/>
      <c r="S3812" s="209"/>
      <c r="T3812" s="209"/>
    </row>
    <row r="3813" spans="1:20" ht="15" hidden="1" customHeight="1">
      <c r="A3813" s="468">
        <v>45477</v>
      </c>
      <c r="B3813" s="208" t="s">
        <v>2663</v>
      </c>
      <c r="C3813" s="208" t="s">
        <v>269</v>
      </c>
      <c r="D3813" s="592">
        <v>-40000</v>
      </c>
      <c r="E3813" s="212">
        <v>45474</v>
      </c>
      <c r="F3813" s="208" t="s">
        <v>109</v>
      </c>
      <c r="G3813" s="201" t="s">
        <v>1261</v>
      </c>
      <c r="H3813" s="208" t="s">
        <v>138</v>
      </c>
      <c r="I3813" s="208"/>
      <c r="J3813" s="209"/>
      <c r="K3813" s="209"/>
      <c r="L3813" s="209"/>
      <c r="M3813" s="209"/>
      <c r="N3813" s="209"/>
      <c r="O3813" s="209"/>
      <c r="P3813" s="209"/>
      <c r="Q3813" s="209"/>
      <c r="R3813" s="209"/>
      <c r="S3813" s="209"/>
      <c r="T3813" s="209"/>
    </row>
    <row r="3814" spans="1:20" ht="15" hidden="1" customHeight="1">
      <c r="A3814" s="468">
        <v>45477</v>
      </c>
      <c r="B3814" s="208" t="s">
        <v>2663</v>
      </c>
      <c r="C3814" s="208" t="s">
        <v>269</v>
      </c>
      <c r="D3814" s="592">
        <v>-56000</v>
      </c>
      <c r="E3814" s="212">
        <v>45474</v>
      </c>
      <c r="F3814" s="208" t="s">
        <v>110</v>
      </c>
      <c r="G3814" s="208" t="s">
        <v>774</v>
      </c>
      <c r="H3814" s="208" t="s">
        <v>138</v>
      </c>
      <c r="I3814" s="208"/>
      <c r="J3814" s="209"/>
      <c r="K3814" s="209"/>
      <c r="L3814" s="209"/>
      <c r="M3814" s="209"/>
      <c r="N3814" s="209"/>
      <c r="O3814" s="209"/>
      <c r="P3814" s="209"/>
      <c r="Q3814" s="209"/>
      <c r="R3814" s="209"/>
      <c r="S3814" s="209"/>
      <c r="T3814" s="209"/>
    </row>
    <row r="3815" spans="1:20" ht="15" hidden="1" customHeight="1">
      <c r="A3815" s="468">
        <v>45477</v>
      </c>
      <c r="B3815" s="208" t="s">
        <v>2663</v>
      </c>
      <c r="C3815" s="208" t="s">
        <v>269</v>
      </c>
      <c r="D3815" s="592">
        <v>-14000</v>
      </c>
      <c r="E3815" s="212">
        <v>45474</v>
      </c>
      <c r="F3815" s="201" t="s">
        <v>207</v>
      </c>
      <c r="G3815" s="208" t="s">
        <v>494</v>
      </c>
      <c r="H3815" s="208" t="s">
        <v>138</v>
      </c>
      <c r="I3815" s="208"/>
      <c r="J3815" s="209"/>
      <c r="K3815" s="209"/>
      <c r="L3815" s="209"/>
      <c r="M3815" s="209"/>
      <c r="N3815" s="209"/>
      <c r="O3815" s="209"/>
      <c r="P3815" s="209"/>
      <c r="Q3815" s="209"/>
      <c r="R3815" s="209"/>
      <c r="S3815" s="209"/>
      <c r="T3815" s="209"/>
    </row>
    <row r="3816" spans="1:20" ht="15" hidden="1" customHeight="1">
      <c r="A3816" s="468">
        <v>45477</v>
      </c>
      <c r="B3816" s="208" t="s">
        <v>2663</v>
      </c>
      <c r="C3816" s="208" t="s">
        <v>269</v>
      </c>
      <c r="D3816" s="592">
        <v>-7000</v>
      </c>
      <c r="E3816" s="212">
        <v>45474</v>
      </c>
      <c r="F3816" s="208" t="s">
        <v>110</v>
      </c>
      <c r="G3816" s="208" t="s">
        <v>453</v>
      </c>
      <c r="H3816" s="208" t="s">
        <v>138</v>
      </c>
      <c r="I3816" s="208"/>
      <c r="J3816" s="209"/>
      <c r="K3816" s="209"/>
      <c r="L3816" s="209"/>
      <c r="M3816" s="209"/>
      <c r="N3816" s="209"/>
      <c r="O3816" s="209"/>
      <c r="P3816" s="209"/>
      <c r="Q3816" s="209"/>
      <c r="R3816" s="209"/>
      <c r="S3816" s="209"/>
      <c r="T3816" s="209"/>
    </row>
    <row r="3817" spans="1:20" ht="15" hidden="1" customHeight="1">
      <c r="A3817" s="468">
        <v>45477</v>
      </c>
      <c r="B3817" s="208" t="s">
        <v>2663</v>
      </c>
      <c r="C3817" s="208" t="s">
        <v>269</v>
      </c>
      <c r="D3817" s="800">
        <v>-21000</v>
      </c>
      <c r="E3817" s="212">
        <v>45474</v>
      </c>
      <c r="F3817" s="208" t="s">
        <v>109</v>
      </c>
      <c r="G3817" s="201" t="s">
        <v>581</v>
      </c>
      <c r="H3817" s="208" t="s">
        <v>138</v>
      </c>
      <c r="I3817" s="208"/>
      <c r="J3817" s="209"/>
      <c r="K3817" s="209"/>
      <c r="L3817" s="209"/>
      <c r="M3817" s="209"/>
      <c r="N3817" s="209"/>
      <c r="O3817" s="209"/>
      <c r="P3817" s="209"/>
      <c r="Q3817" s="209"/>
      <c r="R3817" s="209"/>
      <c r="S3817" s="209"/>
      <c r="T3817" s="209"/>
    </row>
    <row r="3818" spans="1:20" ht="15" hidden="1" customHeight="1">
      <c r="A3818" s="468">
        <v>45477</v>
      </c>
      <c r="B3818" s="208" t="s">
        <v>2663</v>
      </c>
      <c r="C3818" s="208" t="s">
        <v>269</v>
      </c>
      <c r="D3818" s="592">
        <v>-17896</v>
      </c>
      <c r="E3818" s="212">
        <v>45474</v>
      </c>
      <c r="F3818" s="208" t="s">
        <v>109</v>
      </c>
      <c r="G3818" s="201" t="s">
        <v>1306</v>
      </c>
      <c r="H3818" s="208" t="s">
        <v>138</v>
      </c>
      <c r="I3818" s="208"/>
      <c r="J3818" s="209"/>
      <c r="K3818" s="209"/>
      <c r="L3818" s="209"/>
      <c r="M3818" s="209"/>
      <c r="N3818" s="209"/>
      <c r="O3818" s="209"/>
      <c r="P3818" s="209"/>
      <c r="Q3818" s="209"/>
      <c r="R3818" s="209"/>
      <c r="S3818" s="209"/>
      <c r="T3818" s="209"/>
    </row>
    <row r="3819" spans="1:20" ht="15" hidden="1" customHeight="1">
      <c r="A3819" s="468">
        <v>45477</v>
      </c>
      <c r="B3819" s="208" t="s">
        <v>3187</v>
      </c>
      <c r="C3819" s="208" t="s">
        <v>133</v>
      </c>
      <c r="D3819" s="592">
        <v>-1940</v>
      </c>
      <c r="E3819" s="212">
        <v>45474</v>
      </c>
      <c r="F3819" s="208" t="s">
        <v>109</v>
      </c>
      <c r="G3819" s="201" t="s">
        <v>1306</v>
      </c>
      <c r="H3819" s="208" t="s">
        <v>138</v>
      </c>
      <c r="I3819" s="208"/>
      <c r="J3819" s="209"/>
      <c r="K3819" s="209"/>
      <c r="L3819" s="209"/>
      <c r="M3819" s="209"/>
      <c r="N3819" s="209"/>
      <c r="O3819" s="209"/>
      <c r="P3819" s="209"/>
      <c r="Q3819" s="209"/>
      <c r="R3819" s="209"/>
      <c r="S3819" s="209"/>
      <c r="T3819" s="209"/>
    </row>
    <row r="3820" spans="1:20" ht="15" hidden="1" customHeight="1">
      <c r="A3820" s="468">
        <v>45477</v>
      </c>
      <c r="B3820" s="208" t="s">
        <v>3292</v>
      </c>
      <c r="C3820" s="208" t="s">
        <v>133</v>
      </c>
      <c r="D3820" s="592">
        <v>-1164</v>
      </c>
      <c r="E3820" s="212">
        <v>45474</v>
      </c>
      <c r="F3820" s="208" t="s">
        <v>109</v>
      </c>
      <c r="G3820" s="201" t="s">
        <v>1306</v>
      </c>
      <c r="H3820" s="208" t="s">
        <v>138</v>
      </c>
      <c r="I3820" s="208"/>
      <c r="J3820" s="209"/>
      <c r="K3820" s="209"/>
      <c r="L3820" s="209"/>
      <c r="M3820" s="209"/>
      <c r="N3820" s="209"/>
      <c r="O3820" s="209"/>
      <c r="P3820" s="209"/>
      <c r="Q3820" s="209"/>
      <c r="R3820" s="209"/>
      <c r="S3820" s="209"/>
      <c r="T3820" s="209"/>
    </row>
    <row r="3821" spans="1:20" ht="15" hidden="1" customHeight="1">
      <c r="A3821" s="468">
        <v>45477</v>
      </c>
      <c r="B3821" s="208" t="s">
        <v>3293</v>
      </c>
      <c r="C3821" s="208" t="s">
        <v>269</v>
      </c>
      <c r="D3821" s="592">
        <v>-70000</v>
      </c>
      <c r="E3821" s="212">
        <v>45474</v>
      </c>
      <c r="F3821" s="208" t="s">
        <v>109</v>
      </c>
      <c r="G3821" s="208" t="s">
        <v>383</v>
      </c>
      <c r="H3821" s="208" t="s">
        <v>138</v>
      </c>
      <c r="I3821" s="208"/>
      <c r="J3821" s="209"/>
      <c r="K3821" s="209"/>
      <c r="L3821" s="209"/>
      <c r="M3821" s="209"/>
      <c r="N3821" s="209"/>
      <c r="O3821" s="209"/>
      <c r="P3821" s="209"/>
      <c r="Q3821" s="209"/>
      <c r="R3821" s="209"/>
      <c r="S3821" s="209"/>
      <c r="T3821" s="209"/>
    </row>
    <row r="3822" spans="1:20" ht="15" hidden="1" customHeight="1">
      <c r="A3822" s="468">
        <v>45477</v>
      </c>
      <c r="B3822" s="208" t="s">
        <v>3293</v>
      </c>
      <c r="C3822" s="208" t="s">
        <v>269</v>
      </c>
      <c r="D3822" s="592">
        <v>-36000</v>
      </c>
      <c r="E3822" s="212">
        <v>45474</v>
      </c>
      <c r="F3822" s="208" t="s">
        <v>109</v>
      </c>
      <c r="G3822" s="208" t="s">
        <v>125</v>
      </c>
      <c r="H3822" s="208" t="s">
        <v>138</v>
      </c>
      <c r="I3822" s="208"/>
      <c r="J3822" s="209"/>
      <c r="K3822" s="209"/>
      <c r="L3822" s="209"/>
      <c r="M3822" s="209"/>
      <c r="N3822" s="209"/>
      <c r="O3822" s="209"/>
      <c r="P3822" s="209"/>
      <c r="Q3822" s="209"/>
      <c r="R3822" s="209"/>
      <c r="S3822" s="209"/>
      <c r="T3822" s="209"/>
    </row>
    <row r="3823" spans="1:20" ht="15" hidden="1" customHeight="1">
      <c r="A3823" s="468">
        <v>45477</v>
      </c>
      <c r="B3823" s="208" t="s">
        <v>3293</v>
      </c>
      <c r="C3823" s="208" t="s">
        <v>269</v>
      </c>
      <c r="D3823" s="592">
        <v>-70000</v>
      </c>
      <c r="E3823" s="212">
        <v>45474</v>
      </c>
      <c r="F3823" s="208" t="s">
        <v>109</v>
      </c>
      <c r="G3823" s="208" t="s">
        <v>137</v>
      </c>
      <c r="H3823" s="208" t="s">
        <v>138</v>
      </c>
      <c r="I3823" s="208"/>
      <c r="J3823" s="209"/>
      <c r="K3823" s="209"/>
      <c r="L3823" s="209"/>
      <c r="M3823" s="209"/>
      <c r="N3823" s="209"/>
      <c r="O3823" s="209"/>
      <c r="P3823" s="209"/>
      <c r="Q3823" s="209"/>
      <c r="R3823" s="209"/>
      <c r="S3823" s="209"/>
      <c r="T3823" s="209"/>
    </row>
    <row r="3824" spans="1:20" ht="15" hidden="1" customHeight="1">
      <c r="A3824" s="468">
        <v>45477</v>
      </c>
      <c r="B3824" s="208" t="s">
        <v>3293</v>
      </c>
      <c r="C3824" s="208" t="s">
        <v>269</v>
      </c>
      <c r="D3824" s="592">
        <v>-6000</v>
      </c>
      <c r="E3824" s="212">
        <v>45474</v>
      </c>
      <c r="F3824" s="208" t="s">
        <v>109</v>
      </c>
      <c r="G3824" s="201" t="s">
        <v>1306</v>
      </c>
      <c r="H3824" s="208" t="s">
        <v>138</v>
      </c>
      <c r="I3824" s="208"/>
      <c r="J3824" s="209"/>
      <c r="K3824" s="209"/>
      <c r="L3824" s="209"/>
      <c r="M3824" s="209"/>
      <c r="N3824" s="209"/>
      <c r="O3824" s="209"/>
      <c r="P3824" s="209"/>
      <c r="Q3824" s="209"/>
      <c r="R3824" s="209"/>
      <c r="S3824" s="209"/>
      <c r="T3824" s="209"/>
    </row>
    <row r="3825" spans="1:20" ht="15" hidden="1" customHeight="1">
      <c r="A3825" s="468">
        <v>45477</v>
      </c>
      <c r="B3825" s="208" t="s">
        <v>3293</v>
      </c>
      <c r="C3825" s="208" t="s">
        <v>269</v>
      </c>
      <c r="D3825" s="592">
        <v>-6000</v>
      </c>
      <c r="E3825" s="212">
        <v>45474</v>
      </c>
      <c r="F3825" s="208" t="s">
        <v>110</v>
      </c>
      <c r="G3825" s="208" t="s">
        <v>450</v>
      </c>
      <c r="H3825" s="208" t="s">
        <v>138</v>
      </c>
      <c r="I3825" s="208"/>
      <c r="J3825" s="209"/>
      <c r="K3825" s="209"/>
      <c r="L3825" s="209"/>
      <c r="M3825" s="209"/>
      <c r="N3825" s="209"/>
      <c r="O3825" s="209"/>
      <c r="P3825" s="209"/>
      <c r="Q3825" s="209"/>
      <c r="R3825" s="209"/>
      <c r="S3825" s="209"/>
      <c r="T3825" s="209"/>
    </row>
    <row r="3826" spans="1:20" ht="15" hidden="1" customHeight="1">
      <c r="A3826" s="468">
        <v>45477</v>
      </c>
      <c r="B3826" s="208" t="s">
        <v>3293</v>
      </c>
      <c r="C3826" s="208" t="s">
        <v>269</v>
      </c>
      <c r="D3826" s="592">
        <v>-6000</v>
      </c>
      <c r="E3826" s="212">
        <v>45474</v>
      </c>
      <c r="F3826" s="208" t="s">
        <v>110</v>
      </c>
      <c r="G3826" s="208" t="s">
        <v>122</v>
      </c>
      <c r="H3826" s="208" t="s">
        <v>138</v>
      </c>
      <c r="I3826" s="208"/>
      <c r="J3826" s="209"/>
      <c r="K3826" s="209"/>
      <c r="L3826" s="209"/>
      <c r="M3826" s="209"/>
      <c r="N3826" s="209"/>
      <c r="O3826" s="209"/>
      <c r="P3826" s="209"/>
      <c r="Q3826" s="209"/>
      <c r="R3826" s="209"/>
      <c r="S3826" s="209"/>
      <c r="T3826" s="209"/>
    </row>
    <row r="3827" spans="1:20" ht="15" hidden="1" customHeight="1">
      <c r="A3827" s="468">
        <v>45477</v>
      </c>
      <c r="B3827" s="208" t="s">
        <v>3293</v>
      </c>
      <c r="C3827" s="208" t="s">
        <v>269</v>
      </c>
      <c r="D3827" s="592">
        <v>-12000</v>
      </c>
      <c r="E3827" s="212">
        <v>45474</v>
      </c>
      <c r="F3827" s="208" t="s">
        <v>130</v>
      </c>
      <c r="G3827" s="208" t="s">
        <v>130</v>
      </c>
      <c r="H3827" s="208" t="s">
        <v>138</v>
      </c>
      <c r="I3827" s="208"/>
      <c r="J3827" s="209"/>
      <c r="K3827" s="209"/>
      <c r="L3827" s="209"/>
      <c r="M3827" s="209"/>
      <c r="N3827" s="209"/>
      <c r="O3827" s="209"/>
      <c r="P3827" s="209"/>
      <c r="Q3827" s="209"/>
      <c r="R3827" s="209"/>
      <c r="S3827" s="209"/>
      <c r="T3827" s="209"/>
    </row>
    <row r="3828" spans="1:20" ht="15" hidden="1" customHeight="1">
      <c r="A3828" s="468">
        <v>45477</v>
      </c>
      <c r="B3828" s="208" t="s">
        <v>3293</v>
      </c>
      <c r="C3828" s="208" t="s">
        <v>269</v>
      </c>
      <c r="D3828" s="592">
        <v>-76000</v>
      </c>
      <c r="E3828" s="212">
        <v>45474</v>
      </c>
      <c r="F3828" s="208" t="s">
        <v>207</v>
      </c>
      <c r="G3828" s="208" t="s">
        <v>2963</v>
      </c>
      <c r="H3828" s="208"/>
      <c r="I3828" s="208"/>
      <c r="J3828" s="209"/>
      <c r="K3828" s="209"/>
      <c r="L3828" s="209"/>
      <c r="M3828" s="209"/>
      <c r="N3828" s="209"/>
      <c r="O3828" s="209"/>
      <c r="P3828" s="209"/>
      <c r="Q3828" s="209"/>
      <c r="R3828" s="209"/>
      <c r="S3828" s="209"/>
      <c r="T3828" s="209"/>
    </row>
    <row r="3829" spans="1:20" ht="15" hidden="1" customHeight="1">
      <c r="A3829" s="468">
        <v>45477</v>
      </c>
      <c r="B3829" s="208" t="s">
        <v>3293</v>
      </c>
      <c r="C3829" s="208" t="s">
        <v>269</v>
      </c>
      <c r="D3829" s="592">
        <v>-26000</v>
      </c>
      <c r="E3829" s="212">
        <v>45474</v>
      </c>
      <c r="F3829" s="208" t="s">
        <v>110</v>
      </c>
      <c r="G3829" s="81" t="s">
        <v>1621</v>
      </c>
      <c r="H3829" s="208" t="s">
        <v>138</v>
      </c>
      <c r="I3829" s="208"/>
      <c r="J3829" s="209"/>
      <c r="K3829" s="209"/>
      <c r="L3829" s="209"/>
      <c r="M3829" s="209"/>
      <c r="N3829" s="209"/>
      <c r="O3829" s="209"/>
      <c r="P3829" s="209"/>
      <c r="Q3829" s="209"/>
      <c r="R3829" s="209"/>
      <c r="S3829" s="209"/>
      <c r="T3829" s="209"/>
    </row>
    <row r="3830" spans="1:20" ht="15" hidden="1" customHeight="1">
      <c r="A3830" s="468">
        <v>45477</v>
      </c>
      <c r="B3830" s="208" t="s">
        <v>3293</v>
      </c>
      <c r="C3830" s="208" t="s">
        <v>269</v>
      </c>
      <c r="D3830" s="592">
        <v>-30400</v>
      </c>
      <c r="E3830" s="212">
        <v>45474</v>
      </c>
      <c r="F3830" s="208" t="s">
        <v>207</v>
      </c>
      <c r="G3830" s="81" t="s">
        <v>2226</v>
      </c>
      <c r="H3830" s="208" t="s">
        <v>138</v>
      </c>
      <c r="I3830" s="208"/>
      <c r="J3830" s="209"/>
      <c r="K3830" s="209"/>
      <c r="L3830" s="209"/>
      <c r="M3830" s="209"/>
      <c r="N3830" s="209"/>
      <c r="O3830" s="209"/>
      <c r="P3830" s="209"/>
      <c r="Q3830" s="209"/>
      <c r="R3830" s="209"/>
      <c r="S3830" s="209"/>
      <c r="T3830" s="209"/>
    </row>
    <row r="3831" spans="1:20" ht="15" hidden="1" customHeight="1">
      <c r="A3831" s="468">
        <v>45477</v>
      </c>
      <c r="B3831" s="208" t="s">
        <v>3293</v>
      </c>
      <c r="C3831" s="208" t="s">
        <v>269</v>
      </c>
      <c r="D3831" s="592">
        <v>-6000</v>
      </c>
      <c r="E3831" s="212">
        <v>45474</v>
      </c>
      <c r="F3831" s="208" t="s">
        <v>110</v>
      </c>
      <c r="G3831" s="638" t="s">
        <v>774</v>
      </c>
      <c r="H3831" s="208" t="s">
        <v>138</v>
      </c>
      <c r="I3831" s="208"/>
      <c r="J3831" s="209"/>
      <c r="K3831" s="209"/>
      <c r="L3831" s="209"/>
      <c r="M3831" s="209"/>
      <c r="N3831" s="209"/>
      <c r="O3831" s="209"/>
      <c r="P3831" s="209"/>
      <c r="Q3831" s="209"/>
      <c r="R3831" s="209"/>
      <c r="S3831" s="209"/>
      <c r="T3831" s="209"/>
    </row>
    <row r="3832" spans="1:20" ht="15" hidden="1" customHeight="1">
      <c r="A3832" s="468">
        <v>45477</v>
      </c>
      <c r="B3832" s="208" t="s">
        <v>3294</v>
      </c>
      <c r="C3832" s="208" t="s">
        <v>133</v>
      </c>
      <c r="D3832" s="592">
        <v>-3500</v>
      </c>
      <c r="E3832" s="212">
        <v>45474</v>
      </c>
      <c r="F3832" s="208" t="s">
        <v>207</v>
      </c>
      <c r="G3832" s="81" t="s">
        <v>2226</v>
      </c>
      <c r="H3832" s="208" t="s">
        <v>138</v>
      </c>
      <c r="I3832" s="208"/>
      <c r="J3832" s="209"/>
      <c r="K3832" s="209"/>
      <c r="L3832" s="209"/>
      <c r="M3832" s="209"/>
      <c r="N3832" s="209"/>
      <c r="O3832" s="209"/>
      <c r="P3832" s="209"/>
      <c r="Q3832" s="209"/>
      <c r="R3832" s="209"/>
      <c r="S3832" s="209"/>
      <c r="T3832" s="209"/>
    </row>
    <row r="3833" spans="1:20" ht="15" hidden="1" customHeight="1">
      <c r="A3833" s="468">
        <v>45477</v>
      </c>
      <c r="B3833" s="208" t="s">
        <v>3295</v>
      </c>
      <c r="C3833" s="208" t="s">
        <v>133</v>
      </c>
      <c r="D3833" s="592">
        <v>-2100</v>
      </c>
      <c r="E3833" s="212">
        <v>45474</v>
      </c>
      <c r="F3833" s="208" t="s">
        <v>207</v>
      </c>
      <c r="G3833" s="81" t="s">
        <v>2226</v>
      </c>
      <c r="H3833" s="208" t="s">
        <v>138</v>
      </c>
      <c r="I3833" s="208"/>
      <c r="J3833" s="209"/>
      <c r="K3833" s="209"/>
      <c r="L3833" s="209"/>
      <c r="M3833" s="209"/>
      <c r="N3833" s="209"/>
      <c r="O3833" s="209"/>
      <c r="P3833" s="209"/>
      <c r="Q3833" s="209"/>
      <c r="R3833" s="209"/>
      <c r="S3833" s="209"/>
      <c r="T3833" s="209"/>
    </row>
    <row r="3834" spans="1:20" ht="15" hidden="1" customHeight="1">
      <c r="A3834" s="468">
        <v>45475</v>
      </c>
      <c r="B3834" s="208" t="s">
        <v>3296</v>
      </c>
      <c r="C3834" s="208" t="s">
        <v>269</v>
      </c>
      <c r="D3834" s="800">
        <v>-21000</v>
      </c>
      <c r="E3834" s="212">
        <v>45474</v>
      </c>
      <c r="F3834" s="208" t="s">
        <v>109</v>
      </c>
      <c r="G3834" s="201" t="s">
        <v>581</v>
      </c>
      <c r="H3834" s="208" t="s">
        <v>138</v>
      </c>
      <c r="I3834" s="208"/>
      <c r="J3834" s="209"/>
      <c r="K3834" s="209"/>
      <c r="L3834" s="209"/>
      <c r="M3834" s="209"/>
      <c r="N3834" s="209"/>
      <c r="O3834" s="209"/>
      <c r="P3834" s="209"/>
      <c r="Q3834" s="209"/>
      <c r="R3834" s="209"/>
      <c r="S3834" s="209"/>
      <c r="T3834" s="209"/>
    </row>
    <row r="3835" spans="1:20" ht="15" hidden="1" customHeight="1">
      <c r="A3835" s="468">
        <v>45475</v>
      </c>
      <c r="B3835" s="208" t="s">
        <v>3296</v>
      </c>
      <c r="C3835" s="208" t="s">
        <v>269</v>
      </c>
      <c r="D3835" s="592">
        <v>-15000</v>
      </c>
      <c r="E3835" s="212">
        <v>45474</v>
      </c>
      <c r="F3835" s="208" t="s">
        <v>207</v>
      </c>
      <c r="G3835" s="81" t="s">
        <v>2226</v>
      </c>
      <c r="H3835" s="208" t="s">
        <v>138</v>
      </c>
      <c r="I3835" s="208"/>
      <c r="J3835" s="209"/>
      <c r="K3835" s="209"/>
      <c r="L3835" s="209"/>
      <c r="M3835" s="209"/>
      <c r="N3835" s="209"/>
      <c r="O3835" s="209"/>
      <c r="P3835" s="209"/>
      <c r="Q3835" s="209"/>
      <c r="R3835" s="209"/>
      <c r="S3835" s="209"/>
      <c r="T3835" s="209"/>
    </row>
    <row r="3836" spans="1:20" ht="15" hidden="1" customHeight="1">
      <c r="A3836" s="468">
        <v>45475</v>
      </c>
      <c r="B3836" s="208" t="s">
        <v>3296</v>
      </c>
      <c r="C3836" s="208" t="s">
        <v>269</v>
      </c>
      <c r="D3836" s="592">
        <v>-35000</v>
      </c>
      <c r="E3836" s="212">
        <v>45474</v>
      </c>
      <c r="F3836" s="208" t="s">
        <v>110</v>
      </c>
      <c r="G3836" s="638" t="s">
        <v>774</v>
      </c>
      <c r="H3836" s="208" t="s">
        <v>138</v>
      </c>
      <c r="I3836" s="208"/>
      <c r="J3836" s="209"/>
      <c r="K3836" s="209"/>
      <c r="L3836" s="209"/>
      <c r="M3836" s="209"/>
      <c r="N3836" s="209"/>
      <c r="O3836" s="209"/>
      <c r="P3836" s="209"/>
      <c r="Q3836" s="209"/>
      <c r="R3836" s="209"/>
      <c r="S3836" s="209"/>
      <c r="T3836" s="209"/>
    </row>
    <row r="3837" spans="1:20" ht="15" hidden="1" customHeight="1">
      <c r="A3837" s="468">
        <v>45475</v>
      </c>
      <c r="B3837" s="208" t="s">
        <v>3296</v>
      </c>
      <c r="C3837" s="208" t="s">
        <v>269</v>
      </c>
      <c r="D3837" s="592">
        <v>-44000</v>
      </c>
      <c r="E3837" s="212">
        <v>45474</v>
      </c>
      <c r="F3837" s="208" t="s">
        <v>207</v>
      </c>
      <c r="G3837" s="208" t="s">
        <v>2963</v>
      </c>
      <c r="H3837" s="208"/>
      <c r="I3837" s="208"/>
      <c r="J3837" s="209"/>
      <c r="K3837" s="209"/>
      <c r="L3837" s="209"/>
      <c r="M3837" s="209"/>
      <c r="N3837" s="209"/>
      <c r="O3837" s="209"/>
      <c r="P3837" s="209"/>
      <c r="Q3837" s="209"/>
      <c r="R3837" s="209"/>
      <c r="S3837" s="209"/>
      <c r="T3837" s="209"/>
    </row>
    <row r="3838" spans="1:20" ht="15" hidden="1" customHeight="1">
      <c r="A3838" s="468">
        <v>45475</v>
      </c>
      <c r="B3838" s="208" t="s">
        <v>3296</v>
      </c>
      <c r="C3838" s="208" t="s">
        <v>269</v>
      </c>
      <c r="D3838" s="592">
        <v>-7000</v>
      </c>
      <c r="E3838" s="212">
        <v>45474</v>
      </c>
      <c r="F3838" s="208" t="s">
        <v>109</v>
      </c>
      <c r="G3838" s="201" t="s">
        <v>1306</v>
      </c>
      <c r="H3838" s="208" t="s">
        <v>138</v>
      </c>
      <c r="I3838" s="208"/>
      <c r="J3838" s="209"/>
      <c r="K3838" s="209"/>
      <c r="L3838" s="209"/>
      <c r="M3838" s="209"/>
      <c r="N3838" s="209"/>
      <c r="O3838" s="209"/>
      <c r="P3838" s="209"/>
      <c r="Q3838" s="209"/>
      <c r="R3838" s="209"/>
      <c r="S3838" s="209"/>
      <c r="T3838" s="209"/>
    </row>
    <row r="3839" spans="1:20" ht="15" hidden="1" customHeight="1">
      <c r="A3839" s="468">
        <v>45475</v>
      </c>
      <c r="B3839" s="208" t="s">
        <v>3296</v>
      </c>
      <c r="C3839" s="208" t="s">
        <v>269</v>
      </c>
      <c r="D3839" s="592">
        <v>-14000</v>
      </c>
      <c r="E3839" s="212">
        <v>45474</v>
      </c>
      <c r="F3839" s="208" t="s">
        <v>109</v>
      </c>
      <c r="G3839" s="201" t="s">
        <v>1306</v>
      </c>
      <c r="H3839" s="208" t="s">
        <v>138</v>
      </c>
      <c r="I3839" s="208"/>
      <c r="J3839" s="209"/>
      <c r="K3839" s="209"/>
      <c r="L3839" s="209"/>
      <c r="M3839" s="209"/>
      <c r="N3839" s="209"/>
      <c r="O3839" s="209"/>
      <c r="P3839" s="209"/>
      <c r="Q3839" s="209"/>
      <c r="R3839" s="209"/>
      <c r="S3839" s="209"/>
      <c r="T3839" s="209"/>
    </row>
    <row r="3840" spans="1:20" ht="15" hidden="1" customHeight="1">
      <c r="A3840" s="468">
        <v>45475</v>
      </c>
      <c r="B3840" s="208" t="s">
        <v>3297</v>
      </c>
      <c r="C3840" s="208" t="s">
        <v>269</v>
      </c>
      <c r="D3840" s="592">
        <v>-30000</v>
      </c>
      <c r="E3840" s="212">
        <v>45474</v>
      </c>
      <c r="F3840" s="208" t="s">
        <v>109</v>
      </c>
      <c r="G3840" s="201" t="s">
        <v>1261</v>
      </c>
      <c r="H3840" s="208" t="s">
        <v>138</v>
      </c>
      <c r="I3840" s="208"/>
      <c r="J3840" s="209"/>
      <c r="K3840" s="209"/>
      <c r="L3840" s="209"/>
      <c r="M3840" s="209"/>
      <c r="N3840" s="209"/>
      <c r="O3840" s="209"/>
      <c r="P3840" s="209"/>
      <c r="Q3840" s="209"/>
      <c r="R3840" s="209"/>
      <c r="S3840" s="209"/>
      <c r="T3840" s="209"/>
    </row>
    <row r="3841" spans="1:20" ht="15" hidden="1" customHeight="1">
      <c r="A3841" s="468">
        <v>45475</v>
      </c>
      <c r="B3841" s="208" t="s">
        <v>3297</v>
      </c>
      <c r="C3841" s="208" t="s">
        <v>269</v>
      </c>
      <c r="D3841" s="800">
        <v>-15000</v>
      </c>
      <c r="E3841" s="212">
        <v>45474</v>
      </c>
      <c r="F3841" s="208" t="s">
        <v>109</v>
      </c>
      <c r="G3841" s="201" t="s">
        <v>581</v>
      </c>
      <c r="H3841" s="208" t="s">
        <v>138</v>
      </c>
      <c r="I3841" s="208"/>
      <c r="J3841" s="209"/>
      <c r="K3841" s="209"/>
      <c r="L3841" s="209"/>
      <c r="M3841" s="209"/>
      <c r="N3841" s="209"/>
      <c r="O3841" s="209"/>
      <c r="P3841" s="209"/>
      <c r="Q3841" s="209"/>
      <c r="R3841" s="209"/>
      <c r="S3841" s="209"/>
      <c r="T3841" s="209"/>
    </row>
    <row r="3842" spans="1:20" ht="15" hidden="1" customHeight="1">
      <c r="A3842" s="468">
        <v>45475</v>
      </c>
      <c r="B3842" s="208" t="s">
        <v>3297</v>
      </c>
      <c r="C3842" s="208" t="s">
        <v>269</v>
      </c>
      <c r="D3842" s="592">
        <v>-20000</v>
      </c>
      <c r="E3842" s="212">
        <v>45474</v>
      </c>
      <c r="F3842" s="208" t="s">
        <v>109</v>
      </c>
      <c r="G3842" s="208" t="s">
        <v>125</v>
      </c>
      <c r="H3842" s="208" t="s">
        <v>138</v>
      </c>
      <c r="I3842" s="208"/>
      <c r="J3842" s="209"/>
      <c r="K3842" s="209"/>
      <c r="L3842" s="209"/>
      <c r="M3842" s="209"/>
      <c r="N3842" s="209"/>
      <c r="O3842" s="209"/>
      <c r="P3842" s="209"/>
      <c r="Q3842" s="209"/>
      <c r="R3842" s="209"/>
      <c r="S3842" s="209"/>
      <c r="T3842" s="209"/>
    </row>
    <row r="3843" spans="1:20" ht="15" hidden="1" customHeight="1">
      <c r="A3843" s="468">
        <v>45475</v>
      </c>
      <c r="B3843" s="208" t="s">
        <v>3297</v>
      </c>
      <c r="C3843" s="208" t="s">
        <v>269</v>
      </c>
      <c r="D3843" s="592">
        <v>-41064</v>
      </c>
      <c r="E3843" s="212">
        <v>45474</v>
      </c>
      <c r="F3843" s="208" t="s">
        <v>207</v>
      </c>
      <c r="G3843" s="208" t="s">
        <v>2963</v>
      </c>
      <c r="H3843" s="208"/>
      <c r="I3843" s="208"/>
      <c r="J3843" s="209"/>
      <c r="K3843" s="209"/>
      <c r="L3843" s="209"/>
      <c r="M3843" s="209"/>
      <c r="N3843" s="209"/>
      <c r="O3843" s="209"/>
      <c r="P3843" s="209"/>
      <c r="Q3843" s="209"/>
      <c r="R3843" s="209"/>
      <c r="S3843" s="209"/>
      <c r="T3843" s="209"/>
    </row>
    <row r="3844" spans="1:20" ht="15" hidden="1" customHeight="1">
      <c r="A3844" s="468">
        <v>45475</v>
      </c>
      <c r="B3844" s="208" t="s">
        <v>3298</v>
      </c>
      <c r="C3844" s="208" t="s">
        <v>133</v>
      </c>
      <c r="D3844" s="592">
        <v>-2460</v>
      </c>
      <c r="E3844" s="212">
        <v>45474</v>
      </c>
      <c r="F3844" s="208" t="s">
        <v>207</v>
      </c>
      <c r="G3844" s="208" t="s">
        <v>2963</v>
      </c>
      <c r="H3844" s="208"/>
      <c r="I3844" s="208"/>
      <c r="J3844" s="209"/>
      <c r="K3844" s="209"/>
      <c r="L3844" s="209"/>
      <c r="M3844" s="209"/>
      <c r="N3844" s="209"/>
      <c r="O3844" s="209"/>
      <c r="P3844" s="209"/>
      <c r="Q3844" s="209"/>
      <c r="R3844" s="209"/>
      <c r="S3844" s="209"/>
      <c r="T3844" s="209"/>
    </row>
    <row r="3845" spans="1:20" ht="15" hidden="1" customHeight="1">
      <c r="A3845" s="468">
        <v>45475</v>
      </c>
      <c r="B3845" s="208" t="s">
        <v>3299</v>
      </c>
      <c r="C3845" s="208" t="s">
        <v>133</v>
      </c>
      <c r="D3845" s="592">
        <v>-1476</v>
      </c>
      <c r="E3845" s="212">
        <v>45474</v>
      </c>
      <c r="F3845" s="208" t="s">
        <v>207</v>
      </c>
      <c r="G3845" s="208" t="s">
        <v>2963</v>
      </c>
      <c r="H3845" s="208"/>
      <c r="I3845" s="208"/>
      <c r="J3845" s="209"/>
      <c r="K3845" s="209"/>
      <c r="L3845" s="209"/>
      <c r="M3845" s="209"/>
      <c r="N3845" s="209"/>
      <c r="O3845" s="209"/>
      <c r="P3845" s="209"/>
      <c r="Q3845" s="209"/>
      <c r="R3845" s="209"/>
      <c r="S3845" s="209"/>
      <c r="T3845" s="209"/>
    </row>
    <row r="3846" spans="1:20" ht="15" hidden="1" customHeight="1">
      <c r="A3846" s="468">
        <v>45475</v>
      </c>
      <c r="B3846" s="208" t="s">
        <v>3300</v>
      </c>
      <c r="C3846" s="208" t="s">
        <v>269</v>
      </c>
      <c r="D3846" s="800">
        <v>-72000</v>
      </c>
      <c r="E3846" s="212">
        <v>45474</v>
      </c>
      <c r="F3846" s="208" t="s">
        <v>109</v>
      </c>
      <c r="G3846" s="201" t="s">
        <v>581</v>
      </c>
      <c r="H3846" s="208" t="s">
        <v>175</v>
      </c>
      <c r="I3846" s="208" t="s">
        <v>173</v>
      </c>
      <c r="J3846" s="209"/>
      <c r="K3846" s="209"/>
      <c r="L3846" s="209"/>
      <c r="M3846" s="209"/>
      <c r="N3846" s="209"/>
      <c r="O3846" s="209"/>
      <c r="P3846" s="209"/>
      <c r="Q3846" s="209"/>
      <c r="R3846" s="209"/>
      <c r="S3846" s="209"/>
      <c r="T3846" s="209"/>
    </row>
    <row r="3847" spans="1:20" ht="15" hidden="1" customHeight="1">
      <c r="A3847" s="468">
        <v>45475</v>
      </c>
      <c r="B3847" s="208" t="s">
        <v>3301</v>
      </c>
      <c r="C3847" s="208" t="s">
        <v>269</v>
      </c>
      <c r="D3847" s="592">
        <v>-11160</v>
      </c>
      <c r="E3847" s="212">
        <v>45474</v>
      </c>
      <c r="F3847" s="208" t="s">
        <v>130</v>
      </c>
      <c r="G3847" s="590" t="s">
        <v>130</v>
      </c>
      <c r="H3847" s="208" t="s">
        <v>2444</v>
      </c>
      <c r="I3847" s="208" t="s">
        <v>173</v>
      </c>
      <c r="J3847" s="209"/>
      <c r="K3847" s="209"/>
      <c r="L3847" s="209"/>
      <c r="M3847" s="209"/>
      <c r="N3847" s="209"/>
      <c r="O3847" s="209"/>
      <c r="P3847" s="209"/>
      <c r="Q3847" s="209"/>
      <c r="R3847" s="209"/>
      <c r="S3847" s="209"/>
      <c r="T3847" s="209"/>
    </row>
    <row r="3848" spans="1:20" ht="15" hidden="1" customHeight="1">
      <c r="A3848" s="468">
        <v>45475</v>
      </c>
      <c r="B3848" s="208" t="s">
        <v>3302</v>
      </c>
      <c r="C3848" s="208" t="s">
        <v>269</v>
      </c>
      <c r="D3848" s="592">
        <v>-63966</v>
      </c>
      <c r="E3848" s="212">
        <v>45474</v>
      </c>
      <c r="F3848" s="208" t="s">
        <v>109</v>
      </c>
      <c r="G3848" s="201" t="s">
        <v>1306</v>
      </c>
      <c r="H3848" s="208" t="s">
        <v>175</v>
      </c>
      <c r="I3848" s="208" t="s">
        <v>173</v>
      </c>
      <c r="J3848" s="209"/>
      <c r="K3848" s="209"/>
      <c r="L3848" s="209"/>
      <c r="M3848" s="209"/>
      <c r="N3848" s="209"/>
      <c r="O3848" s="209"/>
      <c r="P3848" s="209"/>
      <c r="Q3848" s="209"/>
      <c r="R3848" s="209"/>
      <c r="S3848" s="209"/>
      <c r="T3848" s="209"/>
    </row>
    <row r="3849" spans="1:20" ht="15" hidden="1" customHeight="1">
      <c r="A3849" s="468">
        <v>45475</v>
      </c>
      <c r="B3849" s="208" t="s">
        <v>3303</v>
      </c>
      <c r="C3849" s="208" t="s">
        <v>269</v>
      </c>
      <c r="D3849" s="592">
        <v>-17580</v>
      </c>
      <c r="E3849" s="212">
        <v>45474</v>
      </c>
      <c r="F3849" s="208" t="s">
        <v>110</v>
      </c>
      <c r="G3849" s="590" t="s">
        <v>2444</v>
      </c>
      <c r="H3849" s="208"/>
      <c r="I3849" s="208" t="s">
        <v>173</v>
      </c>
      <c r="J3849" s="209"/>
      <c r="K3849" s="209"/>
      <c r="L3849" s="209"/>
      <c r="M3849" s="209"/>
      <c r="N3849" s="209"/>
      <c r="O3849" s="209"/>
      <c r="P3849" s="209"/>
      <c r="Q3849" s="209"/>
      <c r="R3849" s="209"/>
      <c r="S3849" s="209"/>
      <c r="T3849" s="209"/>
    </row>
    <row r="3850" spans="1:20" ht="15" hidden="1" customHeight="1">
      <c r="A3850" s="468">
        <v>45475</v>
      </c>
      <c r="B3850" s="208" t="s">
        <v>3304</v>
      </c>
      <c r="C3850" s="208" t="s">
        <v>269</v>
      </c>
      <c r="D3850" s="592">
        <v>-1000</v>
      </c>
      <c r="E3850" s="212">
        <v>45474</v>
      </c>
      <c r="F3850" s="208" t="s">
        <v>110</v>
      </c>
      <c r="G3850" s="590" t="s">
        <v>2444</v>
      </c>
      <c r="H3850" s="208"/>
      <c r="I3850" s="208" t="s">
        <v>173</v>
      </c>
      <c r="J3850" s="209"/>
      <c r="K3850" s="209"/>
      <c r="L3850" s="209"/>
      <c r="M3850" s="209"/>
      <c r="N3850" s="209"/>
      <c r="O3850" s="209"/>
      <c r="P3850" s="209"/>
      <c r="Q3850" s="209"/>
      <c r="R3850" s="209"/>
      <c r="S3850" s="209"/>
      <c r="T3850" s="209"/>
    </row>
    <row r="3851" spans="1:20" ht="15" hidden="1" customHeight="1">
      <c r="A3851" s="468">
        <v>45475</v>
      </c>
      <c r="B3851" s="208" t="s">
        <v>3305</v>
      </c>
      <c r="C3851" s="208" t="s">
        <v>269</v>
      </c>
      <c r="D3851" s="592">
        <v>-19400</v>
      </c>
      <c r="E3851" s="212">
        <v>45474</v>
      </c>
      <c r="F3851" s="208" t="s">
        <v>109</v>
      </c>
      <c r="G3851" s="201" t="s">
        <v>1306</v>
      </c>
      <c r="H3851" s="208" t="s">
        <v>175</v>
      </c>
      <c r="I3851" s="208" t="s">
        <v>173</v>
      </c>
      <c r="J3851" s="209"/>
      <c r="K3851" s="209"/>
      <c r="L3851" s="209"/>
      <c r="M3851" s="209"/>
      <c r="N3851" s="209"/>
      <c r="O3851" s="209"/>
      <c r="P3851" s="209"/>
      <c r="Q3851" s="209"/>
      <c r="R3851" s="209"/>
      <c r="S3851" s="209"/>
      <c r="T3851" s="209"/>
    </row>
    <row r="3852" spans="1:20" ht="15" hidden="1" customHeight="1">
      <c r="A3852" s="468">
        <v>45475</v>
      </c>
      <c r="B3852" s="208" t="s">
        <v>3306</v>
      </c>
      <c r="C3852" s="208" t="s">
        <v>269</v>
      </c>
      <c r="D3852" s="592">
        <v>-144500</v>
      </c>
      <c r="E3852" s="212">
        <v>45474</v>
      </c>
      <c r="F3852" s="208" t="s">
        <v>109</v>
      </c>
      <c r="G3852" s="201" t="s">
        <v>1306</v>
      </c>
      <c r="H3852" s="208" t="s">
        <v>175</v>
      </c>
      <c r="I3852" s="208" t="s">
        <v>173</v>
      </c>
      <c r="J3852" s="209"/>
      <c r="K3852" s="209"/>
      <c r="L3852" s="209"/>
      <c r="M3852" s="209"/>
      <c r="N3852" s="209"/>
      <c r="O3852" s="209"/>
      <c r="P3852" s="209"/>
      <c r="Q3852" s="209"/>
      <c r="R3852" s="209"/>
      <c r="S3852" s="209"/>
      <c r="T3852" s="209"/>
    </row>
    <row r="3853" spans="1:20" ht="15" hidden="1" customHeight="1">
      <c r="A3853" s="468">
        <v>45475</v>
      </c>
      <c r="B3853" s="208" t="s">
        <v>3307</v>
      </c>
      <c r="C3853" s="208" t="s">
        <v>269</v>
      </c>
      <c r="D3853" s="800">
        <v>-25500</v>
      </c>
      <c r="E3853" s="212">
        <v>45474</v>
      </c>
      <c r="F3853" s="208" t="s">
        <v>109</v>
      </c>
      <c r="G3853" s="201" t="s">
        <v>581</v>
      </c>
      <c r="H3853" s="208" t="s">
        <v>175</v>
      </c>
      <c r="I3853" s="208" t="s">
        <v>173</v>
      </c>
      <c r="J3853" s="209"/>
      <c r="K3853" s="209"/>
      <c r="L3853" s="209"/>
      <c r="M3853" s="209"/>
      <c r="N3853" s="209"/>
      <c r="O3853" s="209"/>
      <c r="P3853" s="209"/>
      <c r="Q3853" s="209"/>
      <c r="R3853" s="209"/>
      <c r="S3853" s="209"/>
      <c r="T3853" s="209"/>
    </row>
    <row r="3854" spans="1:20" ht="15" hidden="1" customHeight="1">
      <c r="A3854" s="468">
        <v>45475</v>
      </c>
      <c r="B3854" s="208" t="s">
        <v>3308</v>
      </c>
      <c r="C3854" s="208" t="s">
        <v>269</v>
      </c>
      <c r="D3854" s="800">
        <v>-16000</v>
      </c>
      <c r="E3854" s="212">
        <v>45474</v>
      </c>
      <c r="F3854" s="208" t="s">
        <v>109</v>
      </c>
      <c r="G3854" s="201" t="s">
        <v>581</v>
      </c>
      <c r="H3854" s="208" t="s">
        <v>175</v>
      </c>
      <c r="I3854" s="208" t="s">
        <v>173</v>
      </c>
      <c r="J3854" s="209"/>
      <c r="K3854" s="209"/>
      <c r="L3854" s="209"/>
      <c r="M3854" s="209"/>
      <c r="N3854" s="209"/>
      <c r="O3854" s="209"/>
      <c r="P3854" s="209"/>
      <c r="Q3854" s="209"/>
      <c r="R3854" s="209"/>
      <c r="S3854" s="209"/>
      <c r="T3854" s="209"/>
    </row>
    <row r="3855" spans="1:20" ht="15" hidden="1" customHeight="1">
      <c r="A3855" s="468">
        <v>45475</v>
      </c>
      <c r="B3855" s="208" t="s">
        <v>3309</v>
      </c>
      <c r="C3855" s="208" t="s">
        <v>269</v>
      </c>
      <c r="D3855" s="800">
        <v>-55000</v>
      </c>
      <c r="E3855" s="212">
        <v>45474</v>
      </c>
      <c r="F3855" s="208" t="s">
        <v>109</v>
      </c>
      <c r="G3855" s="201" t="s">
        <v>581</v>
      </c>
      <c r="H3855" s="208" t="s">
        <v>3310</v>
      </c>
      <c r="I3855" s="208" t="s">
        <v>173</v>
      </c>
      <c r="J3855" s="209"/>
      <c r="K3855" s="209"/>
      <c r="L3855" s="209"/>
      <c r="M3855" s="209"/>
      <c r="N3855" s="209"/>
      <c r="O3855" s="209"/>
      <c r="P3855" s="209"/>
      <c r="Q3855" s="209"/>
      <c r="R3855" s="209"/>
      <c r="S3855" s="209"/>
      <c r="T3855" s="209"/>
    </row>
    <row r="3856" spans="1:20" ht="15" hidden="1" customHeight="1">
      <c r="A3856" s="468">
        <v>45475</v>
      </c>
      <c r="B3856" s="208" t="s">
        <v>3311</v>
      </c>
      <c r="C3856" s="208" t="s">
        <v>269</v>
      </c>
      <c r="D3856" s="800">
        <v>-38000</v>
      </c>
      <c r="E3856" s="212">
        <v>45474</v>
      </c>
      <c r="F3856" s="208" t="s">
        <v>109</v>
      </c>
      <c r="G3856" s="201" t="s">
        <v>581</v>
      </c>
      <c r="H3856" s="208" t="s">
        <v>175</v>
      </c>
      <c r="I3856" s="208" t="s">
        <v>173</v>
      </c>
      <c r="J3856" s="209"/>
      <c r="K3856" s="209"/>
      <c r="L3856" s="209"/>
      <c r="M3856" s="209"/>
      <c r="N3856" s="209"/>
      <c r="O3856" s="209"/>
      <c r="P3856" s="209"/>
      <c r="Q3856" s="209"/>
      <c r="R3856" s="209"/>
      <c r="S3856" s="209"/>
      <c r="T3856" s="209"/>
    </row>
    <row r="3857" spans="1:20" ht="15" hidden="1" customHeight="1">
      <c r="A3857" s="468">
        <v>45475</v>
      </c>
      <c r="B3857" s="208" t="s">
        <v>3312</v>
      </c>
      <c r="C3857" s="208" t="s">
        <v>269</v>
      </c>
      <c r="D3857" s="800">
        <v>-118000</v>
      </c>
      <c r="E3857" s="212">
        <v>45474</v>
      </c>
      <c r="F3857" s="208" t="s">
        <v>109</v>
      </c>
      <c r="G3857" s="201" t="s">
        <v>581</v>
      </c>
      <c r="H3857" s="208" t="s">
        <v>175</v>
      </c>
      <c r="I3857" s="208" t="s">
        <v>173</v>
      </c>
      <c r="J3857" s="209"/>
      <c r="K3857" s="209"/>
      <c r="L3857" s="209"/>
      <c r="M3857" s="209"/>
      <c r="N3857" s="209"/>
      <c r="O3857" s="209"/>
      <c r="P3857" s="209"/>
      <c r="Q3857" s="209"/>
      <c r="R3857" s="209"/>
      <c r="S3857" s="209"/>
      <c r="T3857" s="209"/>
    </row>
    <row r="3858" spans="1:20" ht="15" hidden="1" customHeight="1">
      <c r="A3858" s="468">
        <v>45475</v>
      </c>
      <c r="B3858" s="208" t="s">
        <v>3313</v>
      </c>
      <c r="C3858" s="208" t="s">
        <v>269</v>
      </c>
      <c r="D3858" s="800">
        <v>-14000</v>
      </c>
      <c r="E3858" s="212">
        <v>45474</v>
      </c>
      <c r="F3858" s="208" t="s">
        <v>109</v>
      </c>
      <c r="G3858" s="201" t="s">
        <v>581</v>
      </c>
      <c r="H3858" s="208" t="s">
        <v>175</v>
      </c>
      <c r="I3858" s="208" t="s">
        <v>173</v>
      </c>
      <c r="J3858" s="209"/>
      <c r="K3858" s="209"/>
      <c r="L3858" s="209"/>
      <c r="M3858" s="209"/>
      <c r="N3858" s="209"/>
      <c r="O3858" s="209"/>
      <c r="P3858" s="209"/>
      <c r="Q3858" s="209"/>
      <c r="R3858" s="209"/>
      <c r="S3858" s="209"/>
      <c r="T3858" s="209"/>
    </row>
    <row r="3859" spans="1:20" ht="15" hidden="1" customHeight="1">
      <c r="A3859" s="468">
        <v>45476</v>
      </c>
      <c r="B3859" s="208" t="s">
        <v>3314</v>
      </c>
      <c r="C3859" s="208" t="s">
        <v>269</v>
      </c>
      <c r="D3859" s="592">
        <v>-6776</v>
      </c>
      <c r="E3859" s="212">
        <v>45474</v>
      </c>
      <c r="F3859" s="208" t="s">
        <v>110</v>
      </c>
      <c r="G3859" s="208" t="s">
        <v>774</v>
      </c>
      <c r="H3859" s="208" t="s">
        <v>175</v>
      </c>
      <c r="I3859" s="208" t="s">
        <v>173</v>
      </c>
      <c r="J3859" s="209"/>
      <c r="K3859" s="209"/>
      <c r="L3859" s="209"/>
      <c r="M3859" s="209"/>
      <c r="N3859" s="209"/>
      <c r="O3859" s="209"/>
      <c r="P3859" s="209"/>
      <c r="Q3859" s="209"/>
      <c r="R3859" s="209"/>
      <c r="S3859" s="209"/>
      <c r="T3859" s="209"/>
    </row>
    <row r="3860" spans="1:20" ht="15" hidden="1" customHeight="1">
      <c r="A3860" s="468">
        <v>45476</v>
      </c>
      <c r="B3860" s="208" t="s">
        <v>3315</v>
      </c>
      <c r="C3860" s="208" t="s">
        <v>269</v>
      </c>
      <c r="D3860" s="592">
        <v>-40000</v>
      </c>
      <c r="E3860" s="212">
        <v>45474</v>
      </c>
      <c r="F3860" s="208" t="s">
        <v>110</v>
      </c>
      <c r="G3860" s="208" t="s">
        <v>774</v>
      </c>
      <c r="H3860" s="208" t="s">
        <v>175</v>
      </c>
      <c r="I3860" s="208" t="s">
        <v>173</v>
      </c>
      <c r="J3860" s="209"/>
      <c r="K3860" s="209"/>
      <c r="L3860" s="209"/>
      <c r="M3860" s="209"/>
      <c r="N3860" s="209"/>
      <c r="O3860" s="209"/>
      <c r="P3860" s="209"/>
      <c r="Q3860" s="209"/>
      <c r="R3860" s="209"/>
      <c r="S3860" s="209"/>
      <c r="T3860" s="209"/>
    </row>
    <row r="3861" spans="1:20" ht="15" hidden="1" customHeight="1">
      <c r="A3861" s="468">
        <v>45476</v>
      </c>
      <c r="B3861" s="208" t="s">
        <v>3316</v>
      </c>
      <c r="C3861" s="208" t="s">
        <v>269</v>
      </c>
      <c r="D3861" s="592">
        <v>-46999</v>
      </c>
      <c r="E3861" s="212">
        <v>45474</v>
      </c>
      <c r="F3861" s="208" t="s">
        <v>207</v>
      </c>
      <c r="G3861" s="590" t="s">
        <v>2963</v>
      </c>
      <c r="H3861" s="208" t="s">
        <v>175</v>
      </c>
      <c r="I3861" s="208" t="s">
        <v>173</v>
      </c>
      <c r="J3861" s="209"/>
      <c r="K3861" s="209"/>
      <c r="L3861" s="209"/>
      <c r="M3861" s="209"/>
      <c r="N3861" s="209"/>
      <c r="O3861" s="209"/>
      <c r="P3861" s="209"/>
      <c r="Q3861" s="209"/>
      <c r="R3861" s="209"/>
      <c r="S3861" s="209"/>
      <c r="T3861" s="209"/>
    </row>
    <row r="3862" spans="1:20" ht="15" hidden="1" customHeight="1">
      <c r="A3862" s="468">
        <v>45476</v>
      </c>
      <c r="B3862" s="208" t="s">
        <v>3317</v>
      </c>
      <c r="C3862" s="208" t="s">
        <v>269</v>
      </c>
      <c r="D3862" s="592">
        <v>-24000</v>
      </c>
      <c r="E3862" s="212">
        <v>45474</v>
      </c>
      <c r="F3862" s="208" t="s">
        <v>207</v>
      </c>
      <c r="G3862" s="590" t="s">
        <v>2963</v>
      </c>
      <c r="H3862" s="208" t="s">
        <v>175</v>
      </c>
      <c r="I3862" s="208" t="s">
        <v>173</v>
      </c>
      <c r="J3862" s="209"/>
      <c r="K3862" s="209"/>
      <c r="L3862" s="209"/>
      <c r="M3862" s="209"/>
      <c r="N3862" s="209"/>
      <c r="O3862" s="209"/>
      <c r="P3862" s="209"/>
      <c r="Q3862" s="209"/>
      <c r="R3862" s="209"/>
      <c r="S3862" s="209"/>
      <c r="T3862" s="209"/>
    </row>
    <row r="3863" spans="1:20" ht="15" hidden="1" customHeight="1">
      <c r="A3863" s="468">
        <v>45476</v>
      </c>
      <c r="B3863" s="208" t="s">
        <v>3318</v>
      </c>
      <c r="C3863" s="208" t="s">
        <v>269</v>
      </c>
      <c r="D3863" s="800">
        <v>-33799</v>
      </c>
      <c r="E3863" s="212">
        <v>45474</v>
      </c>
      <c r="F3863" s="208" t="s">
        <v>109</v>
      </c>
      <c r="G3863" s="201" t="s">
        <v>581</v>
      </c>
      <c r="H3863" s="208" t="s">
        <v>175</v>
      </c>
      <c r="I3863" s="208" t="s">
        <v>173</v>
      </c>
      <c r="J3863" s="209"/>
      <c r="K3863" s="209"/>
      <c r="L3863" s="209"/>
      <c r="M3863" s="209"/>
      <c r="N3863" s="209"/>
      <c r="O3863" s="209"/>
      <c r="P3863" s="209"/>
      <c r="Q3863" s="209"/>
      <c r="R3863" s="209"/>
      <c r="S3863" s="209"/>
      <c r="T3863" s="209"/>
    </row>
    <row r="3864" spans="1:20" ht="15" hidden="1" customHeight="1">
      <c r="A3864" s="468">
        <v>45476</v>
      </c>
      <c r="B3864" s="208" t="s">
        <v>3319</v>
      </c>
      <c r="C3864" s="208" t="s">
        <v>269</v>
      </c>
      <c r="D3864" s="592">
        <v>-5000</v>
      </c>
      <c r="E3864" s="212">
        <v>45474</v>
      </c>
      <c r="F3864" s="208" t="s">
        <v>109</v>
      </c>
      <c r="G3864" s="201" t="s">
        <v>1261</v>
      </c>
      <c r="H3864" s="208" t="s">
        <v>175</v>
      </c>
      <c r="I3864" s="208" t="s">
        <v>173</v>
      </c>
      <c r="J3864" s="209"/>
      <c r="K3864" s="209"/>
      <c r="L3864" s="209"/>
      <c r="M3864" s="209"/>
      <c r="N3864" s="209"/>
      <c r="O3864" s="209"/>
      <c r="P3864" s="209"/>
      <c r="Q3864" s="209"/>
      <c r="R3864" s="209"/>
      <c r="S3864" s="209"/>
      <c r="T3864" s="209"/>
    </row>
    <row r="3865" spans="1:20" ht="15" hidden="1" customHeight="1">
      <c r="A3865" s="468">
        <v>45476</v>
      </c>
      <c r="B3865" s="208" t="s">
        <v>3320</v>
      </c>
      <c r="C3865" s="208" t="s">
        <v>269</v>
      </c>
      <c r="D3865" s="592">
        <v>-128500</v>
      </c>
      <c r="E3865" s="212">
        <v>45474</v>
      </c>
      <c r="F3865" s="208" t="s">
        <v>109</v>
      </c>
      <c r="G3865" s="201" t="s">
        <v>1306</v>
      </c>
      <c r="H3865" s="208" t="s">
        <v>175</v>
      </c>
      <c r="I3865" s="208" t="s">
        <v>173</v>
      </c>
      <c r="J3865" s="209"/>
      <c r="K3865" s="209"/>
      <c r="L3865" s="209"/>
      <c r="M3865" s="209"/>
      <c r="N3865" s="209"/>
      <c r="O3865" s="209"/>
      <c r="P3865" s="209"/>
      <c r="Q3865" s="209"/>
      <c r="R3865" s="209"/>
      <c r="S3865" s="209"/>
      <c r="T3865" s="209"/>
    </row>
    <row r="3866" spans="1:20" ht="15" hidden="1" customHeight="1">
      <c r="A3866" s="468">
        <v>45476</v>
      </c>
      <c r="B3866" s="208" t="s">
        <v>3321</v>
      </c>
      <c r="C3866" s="208" t="s">
        <v>269</v>
      </c>
      <c r="D3866" s="592">
        <v>-74999</v>
      </c>
      <c r="E3866" s="212">
        <v>45474</v>
      </c>
      <c r="F3866" s="208" t="s">
        <v>110</v>
      </c>
      <c r="G3866" s="208" t="s">
        <v>774</v>
      </c>
      <c r="H3866" s="208" t="s">
        <v>175</v>
      </c>
      <c r="I3866" s="208" t="s">
        <v>173</v>
      </c>
      <c r="J3866" s="209"/>
      <c r="K3866" s="209"/>
      <c r="L3866" s="209"/>
      <c r="M3866" s="209"/>
      <c r="N3866" s="209"/>
      <c r="O3866" s="209"/>
      <c r="P3866" s="209"/>
      <c r="Q3866" s="209"/>
      <c r="R3866" s="209"/>
      <c r="S3866" s="209"/>
      <c r="T3866" s="209"/>
    </row>
    <row r="3867" spans="1:20" ht="15" hidden="1" customHeight="1">
      <c r="A3867" s="468">
        <v>45478</v>
      </c>
      <c r="B3867" s="208" t="s">
        <v>3322</v>
      </c>
      <c r="C3867" s="208" t="s">
        <v>269</v>
      </c>
      <c r="D3867" s="800">
        <v>-12000</v>
      </c>
      <c r="E3867" s="212">
        <v>45474</v>
      </c>
      <c r="F3867" s="208" t="s">
        <v>109</v>
      </c>
      <c r="G3867" s="201" t="s">
        <v>581</v>
      </c>
      <c r="H3867" s="208" t="s">
        <v>175</v>
      </c>
      <c r="I3867" s="208" t="s">
        <v>173</v>
      </c>
      <c r="J3867" s="209"/>
      <c r="K3867" s="209"/>
      <c r="L3867" s="209"/>
      <c r="M3867" s="209"/>
      <c r="N3867" s="209"/>
      <c r="O3867" s="209"/>
      <c r="P3867" s="209"/>
      <c r="Q3867" s="209"/>
      <c r="R3867" s="209"/>
      <c r="S3867" s="209"/>
      <c r="T3867" s="209"/>
    </row>
    <row r="3868" spans="1:20" ht="15" hidden="1" customHeight="1">
      <c r="A3868" s="468">
        <v>45478</v>
      </c>
      <c r="B3868" s="208" t="s">
        <v>3323</v>
      </c>
      <c r="C3868" s="208" t="s">
        <v>269</v>
      </c>
      <c r="D3868" s="592">
        <v>-79000</v>
      </c>
      <c r="E3868" s="212">
        <v>45474</v>
      </c>
      <c r="F3868" s="208" t="s">
        <v>110</v>
      </c>
      <c r="G3868" s="208" t="s">
        <v>774</v>
      </c>
      <c r="H3868" s="208" t="s">
        <v>175</v>
      </c>
      <c r="I3868" s="208" t="s">
        <v>173</v>
      </c>
      <c r="J3868" s="209"/>
      <c r="K3868" s="209"/>
      <c r="L3868" s="209"/>
      <c r="M3868" s="209"/>
      <c r="N3868" s="209"/>
      <c r="O3868" s="209"/>
      <c r="P3868" s="209"/>
      <c r="Q3868" s="209"/>
      <c r="R3868" s="209"/>
      <c r="S3868" s="209"/>
      <c r="T3868" s="209"/>
    </row>
    <row r="3869" spans="1:20" ht="15" hidden="1" customHeight="1">
      <c r="A3869" s="468">
        <v>45478</v>
      </c>
      <c r="B3869" s="208" t="s">
        <v>3324</v>
      </c>
      <c r="C3869" s="208" t="s">
        <v>269</v>
      </c>
      <c r="D3869" s="592">
        <v>-75000</v>
      </c>
      <c r="E3869" s="212">
        <v>45474</v>
      </c>
      <c r="F3869" s="208" t="s">
        <v>109</v>
      </c>
      <c r="G3869" s="201" t="s">
        <v>1306</v>
      </c>
      <c r="H3869" s="208" t="s">
        <v>175</v>
      </c>
      <c r="I3869" s="208" t="s">
        <v>173</v>
      </c>
      <c r="J3869" s="209"/>
      <c r="K3869" s="209"/>
      <c r="L3869" s="209"/>
      <c r="M3869" s="209"/>
      <c r="N3869" s="209"/>
      <c r="O3869" s="209"/>
      <c r="P3869" s="209"/>
      <c r="Q3869" s="209"/>
      <c r="R3869" s="209"/>
      <c r="S3869" s="209"/>
      <c r="T3869" s="209"/>
    </row>
    <row r="3870" spans="1:20" ht="15" hidden="1" customHeight="1">
      <c r="A3870" s="468">
        <v>45478</v>
      </c>
      <c r="B3870" s="208" t="s">
        <v>3325</v>
      </c>
      <c r="C3870" s="208" t="s">
        <v>269</v>
      </c>
      <c r="D3870" s="800">
        <v>-150000</v>
      </c>
      <c r="E3870" s="212">
        <v>45474</v>
      </c>
      <c r="F3870" s="208" t="s">
        <v>109</v>
      </c>
      <c r="G3870" s="201" t="s">
        <v>581</v>
      </c>
      <c r="H3870" s="208" t="s">
        <v>175</v>
      </c>
      <c r="I3870" s="208" t="s">
        <v>173</v>
      </c>
      <c r="J3870" s="209"/>
      <c r="K3870" s="209"/>
      <c r="L3870" s="209"/>
      <c r="M3870" s="209"/>
      <c r="N3870" s="209"/>
      <c r="O3870" s="209"/>
      <c r="P3870" s="209"/>
      <c r="Q3870" s="209"/>
      <c r="R3870" s="209"/>
      <c r="S3870" s="209"/>
      <c r="T3870" s="209"/>
    </row>
    <row r="3871" spans="1:20" ht="15" hidden="1" customHeight="1">
      <c r="A3871" s="468">
        <v>45478</v>
      </c>
      <c r="B3871" s="208" t="s">
        <v>3326</v>
      </c>
      <c r="C3871" s="208" t="s">
        <v>269</v>
      </c>
      <c r="D3871" s="800">
        <v>-150000</v>
      </c>
      <c r="E3871" s="212">
        <v>45474</v>
      </c>
      <c r="F3871" s="208" t="s">
        <v>109</v>
      </c>
      <c r="G3871" s="201" t="s">
        <v>581</v>
      </c>
      <c r="H3871" s="208" t="s">
        <v>175</v>
      </c>
      <c r="I3871" s="208" t="s">
        <v>173</v>
      </c>
      <c r="J3871" s="209"/>
      <c r="K3871" s="209"/>
      <c r="L3871" s="209"/>
      <c r="M3871" s="209"/>
      <c r="N3871" s="209"/>
      <c r="O3871" s="209"/>
      <c r="P3871" s="209"/>
      <c r="Q3871" s="209"/>
      <c r="R3871" s="209"/>
      <c r="S3871" s="209"/>
      <c r="T3871" s="209"/>
    </row>
    <row r="3872" spans="1:20" ht="15" hidden="1" customHeight="1">
      <c r="A3872" s="468">
        <v>45477</v>
      </c>
      <c r="B3872" s="208" t="s">
        <v>3327</v>
      </c>
      <c r="C3872" s="208" t="s">
        <v>269</v>
      </c>
      <c r="D3872" s="592">
        <v>-247500</v>
      </c>
      <c r="E3872" s="212">
        <v>45474</v>
      </c>
      <c r="F3872" s="208" t="s">
        <v>130</v>
      </c>
      <c r="G3872" s="208" t="s">
        <v>130</v>
      </c>
      <c r="H3872" s="208" t="s">
        <v>2444</v>
      </c>
      <c r="I3872" s="208"/>
      <c r="J3872" s="209"/>
      <c r="K3872" s="209"/>
      <c r="L3872" s="209"/>
      <c r="M3872" s="209"/>
      <c r="N3872" s="209"/>
      <c r="O3872" s="209"/>
      <c r="P3872" s="209"/>
      <c r="Q3872" s="209"/>
      <c r="R3872" s="209"/>
      <c r="S3872" s="209"/>
      <c r="T3872" s="209"/>
    </row>
    <row r="3873" spans="1:20" ht="15" hidden="1" customHeight="1">
      <c r="A3873" s="468">
        <v>45476</v>
      </c>
      <c r="B3873" s="208" t="s">
        <v>3328</v>
      </c>
      <c r="C3873" s="208" t="s">
        <v>269</v>
      </c>
      <c r="D3873" s="592">
        <v>-73500</v>
      </c>
      <c r="E3873" s="212">
        <v>45474</v>
      </c>
      <c r="F3873" s="208" t="s">
        <v>130</v>
      </c>
      <c r="G3873" s="208" t="s">
        <v>130</v>
      </c>
      <c r="H3873" s="208" t="s">
        <v>2444</v>
      </c>
      <c r="I3873" s="208"/>
      <c r="J3873" s="209"/>
      <c r="K3873" s="209"/>
      <c r="L3873" s="209"/>
      <c r="M3873" s="209"/>
      <c r="N3873" s="209"/>
      <c r="O3873" s="209"/>
      <c r="P3873" s="209"/>
      <c r="Q3873" s="209"/>
      <c r="R3873" s="209"/>
      <c r="S3873" s="209"/>
      <c r="T3873" s="209"/>
    </row>
    <row r="3874" spans="1:20" ht="15" hidden="1" customHeight="1">
      <c r="A3874" s="468">
        <v>45476</v>
      </c>
      <c r="B3874" s="208" t="s">
        <v>3329</v>
      </c>
      <c r="C3874" s="208" t="s">
        <v>269</v>
      </c>
      <c r="D3874" s="592">
        <v>-16698</v>
      </c>
      <c r="E3874" s="212">
        <v>45474</v>
      </c>
      <c r="F3874" s="208" t="s">
        <v>130</v>
      </c>
      <c r="G3874" s="208" t="s">
        <v>130</v>
      </c>
      <c r="H3874" s="208" t="s">
        <v>2444</v>
      </c>
      <c r="I3874" s="208"/>
      <c r="J3874" s="209"/>
      <c r="K3874" s="209"/>
      <c r="L3874" s="209"/>
      <c r="M3874" s="209"/>
      <c r="N3874" s="209"/>
      <c r="O3874" s="209"/>
      <c r="P3874" s="209"/>
      <c r="Q3874" s="209"/>
      <c r="R3874" s="209"/>
      <c r="S3874" s="209"/>
      <c r="T3874" s="209"/>
    </row>
    <row r="3875" spans="1:20" ht="15" hidden="1" customHeight="1">
      <c r="A3875" s="468">
        <v>45476</v>
      </c>
      <c r="B3875" s="208" t="s">
        <v>3330</v>
      </c>
      <c r="C3875" s="208" t="s">
        <v>269</v>
      </c>
      <c r="D3875" s="592">
        <v>40000</v>
      </c>
      <c r="E3875" s="212">
        <v>45474</v>
      </c>
      <c r="F3875" s="208" t="s">
        <v>130</v>
      </c>
      <c r="G3875" s="208" t="s">
        <v>257</v>
      </c>
      <c r="H3875" s="208" t="s">
        <v>138</v>
      </c>
      <c r="I3875" s="208"/>
      <c r="J3875" s="209"/>
      <c r="K3875" s="209"/>
      <c r="L3875" s="209"/>
      <c r="M3875" s="209"/>
      <c r="N3875" s="209"/>
      <c r="O3875" s="209"/>
      <c r="P3875" s="209"/>
      <c r="Q3875" s="209"/>
      <c r="R3875" s="209"/>
      <c r="S3875" s="209"/>
      <c r="T3875" s="209"/>
    </row>
    <row r="3876" spans="1:20" ht="15" hidden="1" customHeight="1">
      <c r="A3876" s="468">
        <v>45478</v>
      </c>
      <c r="B3876" s="208" t="s">
        <v>1323</v>
      </c>
      <c r="C3876" s="208" t="s">
        <v>3331</v>
      </c>
      <c r="D3876" s="592">
        <v>-7900</v>
      </c>
      <c r="E3876" s="212">
        <v>45474</v>
      </c>
      <c r="F3876" s="208" t="s">
        <v>130</v>
      </c>
      <c r="G3876" s="208" t="s">
        <v>130</v>
      </c>
      <c r="H3876" s="208" t="s">
        <v>2444</v>
      </c>
      <c r="I3876" s="208"/>
      <c r="J3876" s="209"/>
      <c r="K3876" s="209"/>
      <c r="L3876" s="209"/>
      <c r="M3876" s="209"/>
      <c r="N3876" s="209"/>
      <c r="O3876" s="209"/>
      <c r="P3876" s="209"/>
      <c r="Q3876" s="209"/>
      <c r="R3876" s="209"/>
      <c r="S3876" s="209"/>
      <c r="T3876" s="209"/>
    </row>
    <row r="3877" spans="1:20" ht="15" hidden="1" customHeight="1">
      <c r="A3877" s="468">
        <v>45475</v>
      </c>
      <c r="B3877" s="208" t="s">
        <v>3086</v>
      </c>
      <c r="C3877" s="208" t="s">
        <v>3331</v>
      </c>
      <c r="D3877" s="800">
        <v>-427500</v>
      </c>
      <c r="E3877" s="212">
        <v>45474</v>
      </c>
      <c r="F3877" s="208" t="s">
        <v>109</v>
      </c>
      <c r="G3877" s="201" t="s">
        <v>581</v>
      </c>
      <c r="H3877" s="208" t="s">
        <v>175</v>
      </c>
      <c r="I3877" s="208"/>
      <c r="J3877" s="209"/>
      <c r="K3877" s="209"/>
      <c r="L3877" s="209" t="s">
        <v>1148</v>
      </c>
      <c r="M3877" s="209"/>
      <c r="N3877" s="209"/>
      <c r="O3877" s="209"/>
      <c r="P3877" s="209"/>
      <c r="Q3877" s="209"/>
      <c r="R3877" s="209"/>
      <c r="S3877" s="209"/>
      <c r="T3877" s="209"/>
    </row>
    <row r="3878" spans="1:20" ht="15" hidden="1" customHeight="1">
      <c r="A3878" s="468">
        <v>45477</v>
      </c>
      <c r="B3878" s="208" t="s">
        <v>3332</v>
      </c>
      <c r="C3878" s="208" t="s">
        <v>3331</v>
      </c>
      <c r="D3878" s="592">
        <v>-5688361</v>
      </c>
      <c r="E3878" s="212">
        <v>45474</v>
      </c>
      <c r="F3878" s="84" t="s">
        <v>111</v>
      </c>
      <c r="G3878" s="208"/>
      <c r="H3878" s="208"/>
      <c r="I3878" s="208"/>
      <c r="J3878" s="209"/>
      <c r="K3878" s="209"/>
      <c r="L3878" s="209"/>
      <c r="M3878" s="209"/>
      <c r="N3878" s="209"/>
      <c r="O3878" s="209"/>
      <c r="P3878" s="209"/>
      <c r="Q3878" s="209"/>
      <c r="R3878" s="209"/>
      <c r="S3878" s="209"/>
      <c r="T3878" s="209"/>
    </row>
    <row r="3879" spans="1:20" ht="15" hidden="1" customHeight="1">
      <c r="A3879" s="468">
        <v>45477</v>
      </c>
      <c r="B3879" s="208" t="s">
        <v>3333</v>
      </c>
      <c r="C3879" s="208" t="s">
        <v>3331</v>
      </c>
      <c r="D3879" s="592">
        <v>-1003884</v>
      </c>
      <c r="E3879" s="212">
        <v>45474</v>
      </c>
      <c r="F3879" s="201" t="s">
        <v>110</v>
      </c>
      <c r="G3879" s="658" t="s">
        <v>3245</v>
      </c>
      <c r="H3879" s="208" t="s">
        <v>549</v>
      </c>
      <c r="I3879" s="208"/>
      <c r="J3879" s="209"/>
      <c r="K3879" s="209"/>
      <c r="L3879" s="209" t="s">
        <v>184</v>
      </c>
      <c r="M3879" s="209"/>
      <c r="N3879" s="209"/>
      <c r="O3879" s="209"/>
      <c r="P3879" s="209"/>
      <c r="Q3879" s="209"/>
      <c r="R3879" s="209"/>
      <c r="S3879" s="209"/>
      <c r="T3879" s="209"/>
    </row>
    <row r="3880" spans="1:20" ht="15" hidden="1" customHeight="1">
      <c r="A3880" s="468">
        <v>45477</v>
      </c>
      <c r="B3880" s="208" t="s">
        <v>3334</v>
      </c>
      <c r="C3880" s="208" t="s">
        <v>3331</v>
      </c>
      <c r="D3880" s="800">
        <v>-500000</v>
      </c>
      <c r="E3880" s="212">
        <v>45474</v>
      </c>
      <c r="F3880" s="208" t="s">
        <v>109</v>
      </c>
      <c r="G3880" s="201" t="s">
        <v>581</v>
      </c>
      <c r="H3880" s="208"/>
      <c r="I3880" s="208"/>
      <c r="J3880" s="209"/>
      <c r="K3880" s="209"/>
      <c r="L3880" s="209" t="s">
        <v>406</v>
      </c>
      <c r="M3880" s="209"/>
      <c r="N3880" s="209"/>
      <c r="O3880" s="209"/>
      <c r="P3880" s="209"/>
      <c r="Q3880" s="209"/>
      <c r="R3880" s="209"/>
      <c r="S3880" s="209"/>
      <c r="T3880" s="209"/>
    </row>
    <row r="3881" spans="1:20" ht="15" hidden="1" customHeight="1">
      <c r="A3881" s="468">
        <v>45477</v>
      </c>
      <c r="B3881" s="208" t="s">
        <v>3335</v>
      </c>
      <c r="C3881" s="208" t="s">
        <v>3331</v>
      </c>
      <c r="D3881" s="800">
        <v>-4329000</v>
      </c>
      <c r="E3881" s="212">
        <v>45474</v>
      </c>
      <c r="F3881" s="208" t="s">
        <v>109</v>
      </c>
      <c r="G3881" s="201" t="s">
        <v>581</v>
      </c>
      <c r="H3881" s="208"/>
      <c r="I3881" s="208"/>
      <c r="J3881" s="209"/>
      <c r="K3881" s="209"/>
      <c r="L3881" s="209" t="s">
        <v>1242</v>
      </c>
      <c r="M3881" s="209"/>
      <c r="N3881" s="209"/>
      <c r="O3881" s="209"/>
      <c r="P3881" s="209"/>
      <c r="Q3881" s="209"/>
      <c r="R3881" s="209"/>
      <c r="S3881" s="209"/>
      <c r="T3881" s="209"/>
    </row>
    <row r="3882" spans="1:20" ht="15" hidden="1" customHeight="1">
      <c r="A3882" s="468">
        <v>45475</v>
      </c>
      <c r="B3882" s="208" t="s">
        <v>3336</v>
      </c>
      <c r="C3882" s="208" t="s">
        <v>3331</v>
      </c>
      <c r="D3882" s="800">
        <v>-2496232</v>
      </c>
      <c r="E3882" s="212">
        <v>45474</v>
      </c>
      <c r="F3882" s="208" t="s">
        <v>109</v>
      </c>
      <c r="G3882" s="201" t="s">
        <v>581</v>
      </c>
      <c r="H3882" s="208"/>
      <c r="I3882" s="208"/>
      <c r="J3882" s="209"/>
      <c r="K3882" s="209"/>
      <c r="L3882" s="209" t="s">
        <v>2287</v>
      </c>
      <c r="M3882" s="209"/>
      <c r="N3882" s="209"/>
      <c r="O3882" s="209"/>
      <c r="P3882" s="209"/>
      <c r="Q3882" s="209"/>
      <c r="R3882" s="209"/>
      <c r="S3882" s="209"/>
      <c r="T3882" s="209"/>
    </row>
    <row r="3883" spans="1:20" ht="15" hidden="1" customHeight="1">
      <c r="A3883" s="468">
        <v>45475</v>
      </c>
      <c r="B3883" s="208" t="s">
        <v>3337</v>
      </c>
      <c r="C3883" s="208" t="s">
        <v>3331</v>
      </c>
      <c r="D3883" s="592">
        <v>-259004</v>
      </c>
      <c r="E3883" s="212">
        <v>45474</v>
      </c>
      <c r="F3883" s="201" t="s">
        <v>110</v>
      </c>
      <c r="G3883" s="208" t="s">
        <v>774</v>
      </c>
      <c r="H3883" s="208" t="s">
        <v>310</v>
      </c>
      <c r="I3883" s="208"/>
      <c r="J3883" s="209"/>
      <c r="K3883" s="209"/>
      <c r="L3883" s="209" t="s">
        <v>1156</v>
      </c>
      <c r="M3883" s="209"/>
      <c r="N3883" s="209"/>
      <c r="O3883" s="209"/>
      <c r="P3883" s="209"/>
      <c r="Q3883" s="209"/>
      <c r="R3883" s="209"/>
      <c r="S3883" s="209"/>
      <c r="T3883" s="209"/>
    </row>
    <row r="3884" spans="1:20" ht="15" hidden="1" customHeight="1">
      <c r="A3884" s="468">
        <v>45477</v>
      </c>
      <c r="B3884" s="208" t="s">
        <v>3338</v>
      </c>
      <c r="C3884" s="208" t="s">
        <v>3331</v>
      </c>
      <c r="D3884" s="592">
        <v>-500000</v>
      </c>
      <c r="E3884" s="212">
        <v>45474</v>
      </c>
      <c r="F3884" s="201" t="s">
        <v>110</v>
      </c>
      <c r="G3884" s="208" t="s">
        <v>774</v>
      </c>
      <c r="H3884" s="208" t="s">
        <v>175</v>
      </c>
      <c r="I3884" s="208"/>
      <c r="J3884" s="209"/>
      <c r="K3884" s="209"/>
      <c r="L3884" s="209" t="s">
        <v>138</v>
      </c>
      <c r="M3884" s="209"/>
      <c r="N3884" s="209"/>
      <c r="O3884" s="209"/>
      <c r="P3884" s="209"/>
      <c r="Q3884" s="209"/>
      <c r="R3884" s="209"/>
      <c r="S3884" s="209"/>
      <c r="T3884" s="209"/>
    </row>
    <row r="3885" spans="1:20" ht="15" hidden="1" customHeight="1">
      <c r="A3885" s="468">
        <v>45475</v>
      </c>
      <c r="B3885" s="208" t="s">
        <v>1971</v>
      </c>
      <c r="C3885" s="208" t="s">
        <v>3331</v>
      </c>
      <c r="D3885" s="592">
        <v>-1706487</v>
      </c>
      <c r="E3885" s="212">
        <v>45474</v>
      </c>
      <c r="F3885" s="201" t="s">
        <v>110</v>
      </c>
      <c r="G3885" s="208" t="s">
        <v>774</v>
      </c>
      <c r="H3885" s="208" t="s">
        <v>310</v>
      </c>
      <c r="I3885" s="208"/>
      <c r="J3885" s="209"/>
      <c r="K3885" s="209"/>
      <c r="L3885" s="209" t="s">
        <v>275</v>
      </c>
      <c r="M3885" s="209"/>
      <c r="N3885" s="209"/>
      <c r="O3885" s="209"/>
      <c r="P3885" s="209"/>
      <c r="Q3885" s="209"/>
      <c r="R3885" s="209"/>
      <c r="S3885" s="209"/>
      <c r="T3885" s="209"/>
    </row>
    <row r="3886" spans="1:20" ht="15" hidden="1" customHeight="1">
      <c r="A3886" s="468">
        <v>45477</v>
      </c>
      <c r="B3886" s="208" t="s">
        <v>1971</v>
      </c>
      <c r="C3886" s="208" t="s">
        <v>3331</v>
      </c>
      <c r="D3886" s="592">
        <v>-1370727</v>
      </c>
      <c r="E3886" s="212">
        <v>45474</v>
      </c>
      <c r="F3886" s="201" t="s">
        <v>110</v>
      </c>
      <c r="G3886" s="208" t="s">
        <v>774</v>
      </c>
      <c r="H3886" s="208" t="s">
        <v>310</v>
      </c>
      <c r="I3886" s="208"/>
      <c r="J3886" s="209"/>
      <c r="K3886" s="209"/>
      <c r="L3886" s="209" t="s">
        <v>2724</v>
      </c>
      <c r="M3886" s="209"/>
      <c r="N3886" s="209"/>
      <c r="O3886" s="209"/>
      <c r="P3886" s="209"/>
      <c r="Q3886" s="209"/>
      <c r="R3886" s="209"/>
      <c r="S3886" s="209"/>
      <c r="T3886" s="209"/>
    </row>
    <row r="3887" spans="1:20" ht="15" hidden="1" customHeight="1">
      <c r="A3887" s="468">
        <v>45477</v>
      </c>
      <c r="B3887" s="208" t="s">
        <v>3339</v>
      </c>
      <c r="C3887" s="208" t="s">
        <v>3331</v>
      </c>
      <c r="D3887" s="800">
        <v>-3890000</v>
      </c>
      <c r="E3887" s="212">
        <v>45474</v>
      </c>
      <c r="F3887" s="208" t="s">
        <v>109</v>
      </c>
      <c r="G3887" s="201" t="s">
        <v>581</v>
      </c>
      <c r="H3887" s="208"/>
      <c r="I3887" s="208"/>
      <c r="J3887" s="209"/>
      <c r="K3887" s="209"/>
      <c r="L3887" s="209" t="s">
        <v>2421</v>
      </c>
      <c r="M3887" s="209"/>
      <c r="N3887" s="209"/>
      <c r="O3887" s="209"/>
      <c r="P3887" s="209"/>
      <c r="Q3887" s="209"/>
      <c r="R3887" s="209"/>
      <c r="S3887" s="209"/>
      <c r="T3887" s="209"/>
    </row>
    <row r="3888" spans="1:20" ht="15" hidden="1" customHeight="1">
      <c r="A3888" s="468">
        <v>45475</v>
      </c>
      <c r="B3888" s="208" t="s">
        <v>3340</v>
      </c>
      <c r="C3888" s="208" t="s">
        <v>3331</v>
      </c>
      <c r="D3888" s="800">
        <v>-1175417</v>
      </c>
      <c r="E3888" s="212">
        <v>45474</v>
      </c>
      <c r="F3888" s="208" t="s">
        <v>109</v>
      </c>
      <c r="G3888" s="201" t="s">
        <v>581</v>
      </c>
      <c r="H3888" s="208"/>
      <c r="I3888" s="208"/>
      <c r="J3888" s="209"/>
      <c r="K3888" s="209"/>
      <c r="L3888" s="209"/>
      <c r="M3888" s="209"/>
      <c r="N3888" s="209"/>
      <c r="O3888" s="209"/>
      <c r="P3888" s="209"/>
      <c r="Q3888" s="209"/>
      <c r="R3888" s="209"/>
      <c r="S3888" s="209"/>
      <c r="T3888" s="209"/>
    </row>
    <row r="3889" spans="1:20" ht="15" hidden="1" customHeight="1">
      <c r="A3889" s="468">
        <v>45477</v>
      </c>
      <c r="B3889" s="208" t="s">
        <v>1337</v>
      </c>
      <c r="C3889" s="208" t="s">
        <v>3331</v>
      </c>
      <c r="D3889" s="592">
        <v>-3125179</v>
      </c>
      <c r="E3889" s="212">
        <v>45474</v>
      </c>
      <c r="F3889" s="201" t="s">
        <v>110</v>
      </c>
      <c r="G3889" s="208" t="s">
        <v>774</v>
      </c>
      <c r="H3889" s="208" t="s">
        <v>310</v>
      </c>
      <c r="I3889" s="208"/>
      <c r="J3889" s="209"/>
      <c r="K3889" s="209"/>
      <c r="L3889" s="209"/>
      <c r="M3889" s="209"/>
      <c r="N3889" s="209"/>
      <c r="O3889" s="209"/>
      <c r="P3889" s="209"/>
      <c r="Q3889" s="209"/>
      <c r="R3889" s="209"/>
      <c r="S3889" s="209"/>
      <c r="T3889" s="209"/>
    </row>
    <row r="3890" spans="1:20" ht="15" hidden="1" customHeight="1">
      <c r="A3890" s="468">
        <v>45475</v>
      </c>
      <c r="B3890" s="208" t="s">
        <v>3341</v>
      </c>
      <c r="C3890" s="208" t="s">
        <v>3331</v>
      </c>
      <c r="D3890" s="592">
        <v>-1708222</v>
      </c>
      <c r="E3890" s="212">
        <v>45474</v>
      </c>
      <c r="F3890" s="201" t="s">
        <v>110</v>
      </c>
      <c r="G3890" s="208" t="s">
        <v>774</v>
      </c>
      <c r="H3890" s="208" t="s">
        <v>175</v>
      </c>
      <c r="I3890" s="208"/>
      <c r="J3890" s="209"/>
      <c r="K3890" s="209"/>
      <c r="L3890" s="209"/>
      <c r="M3890" s="209"/>
      <c r="N3890" s="209"/>
      <c r="O3890" s="209"/>
      <c r="P3890" s="209"/>
      <c r="Q3890" s="209"/>
      <c r="R3890" s="209"/>
      <c r="S3890" s="209"/>
      <c r="T3890" s="209"/>
    </row>
    <row r="3891" spans="1:20" ht="15" hidden="1" customHeight="1">
      <c r="A3891" s="468">
        <v>45477</v>
      </c>
      <c r="B3891" s="208" t="s">
        <v>3075</v>
      </c>
      <c r="C3891" s="208" t="s">
        <v>3331</v>
      </c>
      <c r="D3891" s="592">
        <v>-633131</v>
      </c>
      <c r="E3891" s="212">
        <v>45474</v>
      </c>
      <c r="F3891" s="201" t="s">
        <v>110</v>
      </c>
      <c r="G3891" s="208" t="s">
        <v>2444</v>
      </c>
      <c r="H3891" s="208" t="s">
        <v>2444</v>
      </c>
      <c r="I3891" s="208"/>
      <c r="J3891" s="209"/>
      <c r="K3891" s="209"/>
      <c r="L3891" s="209"/>
      <c r="M3891" s="209"/>
      <c r="N3891" s="209"/>
      <c r="O3891" s="209"/>
      <c r="P3891" s="209"/>
      <c r="Q3891" s="209"/>
      <c r="R3891" s="209"/>
      <c r="S3891" s="209"/>
      <c r="T3891" s="209"/>
    </row>
    <row r="3892" spans="1:20" ht="15" hidden="1" customHeight="1">
      <c r="A3892" s="468">
        <v>45475</v>
      </c>
      <c r="B3892" s="208" t="s">
        <v>3238</v>
      </c>
      <c r="C3892" s="208" t="s">
        <v>3331</v>
      </c>
      <c r="D3892" s="800">
        <v>-698085</v>
      </c>
      <c r="E3892" s="212">
        <v>45474</v>
      </c>
      <c r="F3892" s="208" t="s">
        <v>109</v>
      </c>
      <c r="G3892" s="201" t="s">
        <v>581</v>
      </c>
      <c r="H3892" s="208"/>
      <c r="I3892" s="208"/>
      <c r="J3892" s="209"/>
      <c r="K3892" s="209"/>
      <c r="L3892" s="629" t="s">
        <v>143</v>
      </c>
      <c r="M3892" s="209"/>
      <c r="N3892" s="209"/>
      <c r="O3892" s="209"/>
      <c r="P3892" s="209"/>
      <c r="Q3892" s="209"/>
      <c r="R3892" s="209"/>
      <c r="S3892" s="209"/>
      <c r="T3892" s="209"/>
    </row>
    <row r="3893" spans="1:20" ht="15" hidden="1" customHeight="1">
      <c r="A3893" s="468">
        <v>45475</v>
      </c>
      <c r="B3893" s="208" t="s">
        <v>3342</v>
      </c>
      <c r="C3893" s="208" t="s">
        <v>3331</v>
      </c>
      <c r="D3893" s="592">
        <v>-170000</v>
      </c>
      <c r="E3893" s="212">
        <v>45474</v>
      </c>
      <c r="F3893" s="291" t="s">
        <v>109</v>
      </c>
      <c r="G3893" s="208" t="s">
        <v>525</v>
      </c>
      <c r="H3893" s="208" t="s">
        <v>175</v>
      </c>
      <c r="I3893" s="208"/>
      <c r="J3893" s="209"/>
      <c r="K3893" s="209"/>
      <c r="L3893" s="40" t="s">
        <v>184</v>
      </c>
      <c r="M3893" s="209"/>
      <c r="N3893" s="209"/>
      <c r="O3893" s="209"/>
      <c r="P3893" s="209"/>
      <c r="Q3893" s="209"/>
      <c r="R3893" s="209"/>
      <c r="S3893" s="209"/>
      <c r="T3893" s="209"/>
    </row>
    <row r="3894" spans="1:20" ht="15" hidden="1" customHeight="1">
      <c r="A3894" s="468">
        <v>45475</v>
      </c>
      <c r="B3894" s="208" t="s">
        <v>3343</v>
      </c>
      <c r="C3894" s="208" t="s">
        <v>3331</v>
      </c>
      <c r="D3894" s="800">
        <v>-320000</v>
      </c>
      <c r="E3894" s="212">
        <v>45474</v>
      </c>
      <c r="F3894" s="208" t="s">
        <v>109</v>
      </c>
      <c r="G3894" s="201" t="s">
        <v>581</v>
      </c>
      <c r="H3894" s="208"/>
      <c r="I3894" s="208"/>
      <c r="J3894" s="209"/>
      <c r="K3894" s="209"/>
      <c r="L3894" s="629" t="s">
        <v>406</v>
      </c>
      <c r="M3894" s="209"/>
      <c r="N3894" s="209"/>
      <c r="O3894" s="209"/>
      <c r="P3894" s="209"/>
      <c r="Q3894" s="209"/>
      <c r="R3894" s="209"/>
      <c r="S3894" s="209"/>
      <c r="T3894" s="209"/>
    </row>
    <row r="3895" spans="1:20" ht="15" hidden="1" customHeight="1">
      <c r="A3895" s="468">
        <v>45475</v>
      </c>
      <c r="B3895" s="208" t="s">
        <v>3344</v>
      </c>
      <c r="C3895" s="208" t="s">
        <v>3331</v>
      </c>
      <c r="D3895" s="800">
        <v>-3484500</v>
      </c>
      <c r="E3895" s="212">
        <v>45474</v>
      </c>
      <c r="F3895" s="208" t="s">
        <v>109</v>
      </c>
      <c r="G3895" s="201" t="s">
        <v>581</v>
      </c>
      <c r="H3895" s="208"/>
      <c r="I3895" s="208"/>
      <c r="J3895" s="209"/>
      <c r="K3895" s="209"/>
      <c r="L3895" s="40" t="s">
        <v>1156</v>
      </c>
      <c r="M3895" s="209"/>
      <c r="N3895" s="209"/>
      <c r="O3895" s="209"/>
      <c r="P3895" s="209"/>
      <c r="Q3895" s="209"/>
      <c r="R3895" s="209"/>
      <c r="S3895" s="209"/>
      <c r="T3895" s="209"/>
    </row>
    <row r="3896" spans="1:20" ht="15" hidden="1" customHeight="1">
      <c r="A3896" s="468">
        <v>45475</v>
      </c>
      <c r="B3896" s="208" t="s">
        <v>1958</v>
      </c>
      <c r="C3896" s="208" t="s">
        <v>3331</v>
      </c>
      <c r="D3896" s="592">
        <v>-389610</v>
      </c>
      <c r="E3896" s="212">
        <v>45474</v>
      </c>
      <c r="F3896" s="201" t="s">
        <v>110</v>
      </c>
      <c r="G3896" s="208" t="s">
        <v>774</v>
      </c>
      <c r="H3896" s="208" t="s">
        <v>175</v>
      </c>
      <c r="I3896" s="208"/>
      <c r="J3896" s="209"/>
      <c r="K3896" s="209"/>
      <c r="L3896" s="40" t="s">
        <v>1175</v>
      </c>
      <c r="M3896" s="209"/>
      <c r="N3896" s="209"/>
      <c r="O3896" s="209"/>
      <c r="P3896" s="209"/>
      <c r="Q3896" s="209"/>
      <c r="R3896" s="209"/>
      <c r="S3896" s="209"/>
      <c r="T3896" s="209"/>
    </row>
    <row r="3897" spans="1:20" ht="15" hidden="1" customHeight="1">
      <c r="A3897" s="468">
        <v>45475</v>
      </c>
      <c r="B3897" s="208" t="s">
        <v>3345</v>
      </c>
      <c r="C3897" s="208" t="s">
        <v>3331</v>
      </c>
      <c r="D3897" s="800">
        <v>-679000</v>
      </c>
      <c r="E3897" s="212">
        <v>45474</v>
      </c>
      <c r="F3897" s="208" t="s">
        <v>109</v>
      </c>
      <c r="G3897" s="201" t="s">
        <v>581</v>
      </c>
      <c r="H3897" s="208"/>
      <c r="I3897" s="208"/>
      <c r="J3897" s="209"/>
      <c r="K3897" s="209"/>
      <c r="L3897" s="209"/>
      <c r="M3897" s="209"/>
      <c r="N3897" s="209"/>
      <c r="O3897" s="209"/>
      <c r="P3897" s="209"/>
      <c r="Q3897" s="209"/>
      <c r="R3897" s="209"/>
      <c r="S3897" s="209"/>
      <c r="T3897" s="209"/>
    </row>
    <row r="3898" spans="1:20" ht="15" hidden="1" customHeight="1">
      <c r="A3898" s="468">
        <v>45477</v>
      </c>
      <c r="B3898" s="208" t="s">
        <v>3346</v>
      </c>
      <c r="C3898" s="208" t="s">
        <v>3331</v>
      </c>
      <c r="D3898" s="592">
        <v>-1028538</v>
      </c>
      <c r="E3898" s="212">
        <v>45474</v>
      </c>
      <c r="F3898" s="208" t="s">
        <v>109</v>
      </c>
      <c r="G3898" s="201" t="s">
        <v>1306</v>
      </c>
      <c r="H3898" s="208" t="s">
        <v>549</v>
      </c>
      <c r="I3898" s="208"/>
      <c r="J3898" s="209"/>
      <c r="K3898" s="209"/>
      <c r="L3898" s="209"/>
      <c r="M3898" s="209"/>
      <c r="N3898" s="209"/>
      <c r="O3898" s="209"/>
      <c r="P3898" s="209"/>
      <c r="Q3898" s="209"/>
      <c r="R3898" s="209"/>
      <c r="S3898" s="209"/>
      <c r="T3898" s="209"/>
    </row>
    <row r="3899" spans="1:20" ht="15" hidden="1" customHeight="1">
      <c r="A3899" s="468">
        <v>45477</v>
      </c>
      <c r="B3899" s="208" t="s">
        <v>3347</v>
      </c>
      <c r="C3899" s="208" t="s">
        <v>3331</v>
      </c>
      <c r="D3899" s="592">
        <v>-746218</v>
      </c>
      <c r="E3899" s="212">
        <v>45474</v>
      </c>
      <c r="F3899" s="201" t="s">
        <v>110</v>
      </c>
      <c r="G3899" s="208" t="s">
        <v>774</v>
      </c>
      <c r="H3899" s="208" t="s">
        <v>175</v>
      </c>
      <c r="I3899" s="208"/>
      <c r="J3899" s="209"/>
      <c r="K3899" s="209"/>
      <c r="L3899" s="209"/>
      <c r="M3899" s="209"/>
      <c r="N3899" s="209"/>
      <c r="O3899" s="209"/>
      <c r="P3899" s="209"/>
      <c r="Q3899" s="209"/>
      <c r="R3899" s="209"/>
      <c r="S3899" s="209"/>
      <c r="T3899" s="209"/>
    </row>
    <row r="3900" spans="1:20" ht="15" hidden="1" customHeight="1">
      <c r="A3900" s="468">
        <v>45475</v>
      </c>
      <c r="B3900" s="208" t="s">
        <v>2969</v>
      </c>
      <c r="C3900" s="208" t="s">
        <v>3331</v>
      </c>
      <c r="D3900" s="592">
        <v>-1296522</v>
      </c>
      <c r="E3900" s="212">
        <v>45474</v>
      </c>
      <c r="F3900" s="201" t="s">
        <v>110</v>
      </c>
      <c r="G3900" s="208" t="s">
        <v>774</v>
      </c>
      <c r="H3900" s="208" t="s">
        <v>175</v>
      </c>
      <c r="I3900" s="208"/>
      <c r="J3900" s="209"/>
      <c r="K3900" s="209"/>
      <c r="L3900" s="209"/>
      <c r="M3900" s="209"/>
      <c r="N3900" s="209"/>
      <c r="O3900" s="209"/>
      <c r="P3900" s="209"/>
      <c r="Q3900" s="209"/>
      <c r="R3900" s="209"/>
      <c r="S3900" s="209"/>
      <c r="T3900" s="209"/>
    </row>
    <row r="3901" spans="1:20" ht="15" hidden="1" customHeight="1">
      <c r="A3901" s="468">
        <v>45477</v>
      </c>
      <c r="B3901" s="208" t="s">
        <v>3348</v>
      </c>
      <c r="C3901" s="208" t="s">
        <v>3331</v>
      </c>
      <c r="D3901" s="800">
        <v>-520000</v>
      </c>
      <c r="E3901" s="212">
        <v>45474</v>
      </c>
      <c r="F3901" s="208" t="s">
        <v>109</v>
      </c>
      <c r="G3901" s="201" t="s">
        <v>581</v>
      </c>
      <c r="H3901" s="208"/>
      <c r="I3901" s="208"/>
      <c r="J3901" s="209"/>
      <c r="K3901" s="209"/>
      <c r="L3901" s="209"/>
      <c r="M3901" s="209"/>
      <c r="N3901" s="209"/>
      <c r="O3901" s="209"/>
      <c r="P3901" s="209"/>
      <c r="Q3901" s="209"/>
      <c r="R3901" s="209"/>
      <c r="S3901" s="209"/>
      <c r="T3901" s="209"/>
    </row>
    <row r="3902" spans="1:20" ht="15" hidden="1" customHeight="1">
      <c r="A3902" s="468">
        <v>45477</v>
      </c>
      <c r="B3902" s="208" t="s">
        <v>3349</v>
      </c>
      <c r="C3902" s="208" t="s">
        <v>3331</v>
      </c>
      <c r="D3902" s="592">
        <v>-230400</v>
      </c>
      <c r="E3902" s="212">
        <v>45474</v>
      </c>
      <c r="F3902" s="208" t="s">
        <v>109</v>
      </c>
      <c r="G3902" s="201" t="s">
        <v>1306</v>
      </c>
      <c r="H3902" s="208" t="s">
        <v>549</v>
      </c>
      <c r="I3902" s="208"/>
      <c r="J3902" s="209"/>
      <c r="K3902" s="209"/>
      <c r="L3902" s="209"/>
      <c r="M3902" s="209"/>
      <c r="N3902" s="209"/>
      <c r="O3902" s="209"/>
      <c r="P3902" s="209"/>
      <c r="Q3902" s="209"/>
      <c r="R3902" s="209"/>
      <c r="S3902" s="209"/>
      <c r="T3902" s="209"/>
    </row>
    <row r="3903" spans="1:20" s="473" customFormat="1" ht="15" hidden="1" customHeight="1">
      <c r="A3903" s="468">
        <v>45475</v>
      </c>
      <c r="B3903" s="208" t="s">
        <v>2781</v>
      </c>
      <c r="C3903" s="208" t="s">
        <v>3331</v>
      </c>
      <c r="D3903" s="592">
        <f>-15761767+11111111</f>
        <v>-4650656</v>
      </c>
      <c r="E3903" s="212">
        <v>45474</v>
      </c>
      <c r="F3903" s="208" t="s">
        <v>118</v>
      </c>
      <c r="G3903" s="208"/>
      <c r="H3903" s="208"/>
      <c r="I3903" s="208"/>
      <c r="J3903" s="209"/>
      <c r="K3903" s="209"/>
      <c r="L3903" s="209"/>
      <c r="M3903" s="209"/>
      <c r="N3903" s="209"/>
      <c r="O3903" s="209"/>
      <c r="P3903" s="209"/>
      <c r="Q3903" s="209"/>
      <c r="R3903" s="209"/>
      <c r="S3903" s="209"/>
      <c r="T3903" s="209"/>
    </row>
    <row r="3904" spans="1:20" ht="15" hidden="1" customHeight="1">
      <c r="A3904" s="468">
        <v>45474</v>
      </c>
      <c r="B3904" s="208" t="s">
        <v>3350</v>
      </c>
      <c r="C3904" s="208" t="s">
        <v>643</v>
      </c>
      <c r="D3904" s="592">
        <v>-255050</v>
      </c>
      <c r="E3904" s="212">
        <v>45474</v>
      </c>
      <c r="F3904" s="208" t="s">
        <v>130</v>
      </c>
      <c r="G3904" s="208" t="s">
        <v>257</v>
      </c>
      <c r="H3904" s="208" t="s">
        <v>2272</v>
      </c>
      <c r="I3904" s="208"/>
      <c r="J3904" s="209"/>
      <c r="K3904" s="209"/>
      <c r="L3904" s="209"/>
      <c r="M3904" s="209"/>
      <c r="N3904" s="209"/>
      <c r="O3904" s="209"/>
      <c r="P3904" s="209"/>
      <c r="Q3904" s="209"/>
      <c r="R3904" s="209"/>
      <c r="S3904" s="209"/>
      <c r="T3904" s="209"/>
    </row>
    <row r="3905" spans="1:20" ht="15" hidden="1" customHeight="1">
      <c r="A3905" s="468">
        <v>45474</v>
      </c>
      <c r="B3905" s="208" t="s">
        <v>3351</v>
      </c>
      <c r="C3905" s="208" t="s">
        <v>643</v>
      </c>
      <c r="D3905" s="592">
        <v>-658268.81000000006</v>
      </c>
      <c r="E3905" s="212">
        <v>45474</v>
      </c>
      <c r="F3905" s="208" t="s">
        <v>130</v>
      </c>
      <c r="G3905" s="208" t="s">
        <v>130</v>
      </c>
      <c r="H3905" s="208" t="s">
        <v>1245</v>
      </c>
      <c r="I3905" s="208"/>
      <c r="J3905" s="209"/>
      <c r="K3905" s="209"/>
      <c r="L3905" s="209"/>
      <c r="M3905" s="209"/>
      <c r="N3905" s="209"/>
      <c r="O3905" s="209"/>
      <c r="P3905" s="209"/>
      <c r="Q3905" s="209"/>
      <c r="R3905" s="209"/>
      <c r="S3905" s="209"/>
      <c r="T3905" s="209"/>
    </row>
    <row r="3906" spans="1:20" ht="15" hidden="1" customHeight="1">
      <c r="A3906" s="468">
        <v>45499</v>
      </c>
      <c r="B3906" s="208" t="s">
        <v>3352</v>
      </c>
      <c r="C3906" s="208" t="s">
        <v>146</v>
      </c>
      <c r="D3906" s="592">
        <v>-7000</v>
      </c>
      <c r="E3906" s="212">
        <v>45474</v>
      </c>
      <c r="F3906" s="208" t="s">
        <v>130</v>
      </c>
      <c r="G3906" s="590" t="s">
        <v>130</v>
      </c>
      <c r="H3906" s="208" t="s">
        <v>138</v>
      </c>
      <c r="I3906" s="208"/>
      <c r="J3906" s="209"/>
      <c r="K3906" s="209"/>
      <c r="L3906" s="209"/>
      <c r="M3906" s="209"/>
      <c r="N3906" s="209"/>
      <c r="O3906" s="209"/>
      <c r="P3906" s="209"/>
      <c r="Q3906" s="209"/>
      <c r="R3906" s="209"/>
      <c r="S3906" s="209"/>
      <c r="T3906" s="209"/>
    </row>
    <row r="3907" spans="1:20" ht="15" hidden="1" customHeight="1">
      <c r="A3907" s="468">
        <v>45499</v>
      </c>
      <c r="B3907" s="208" t="s">
        <v>3353</v>
      </c>
      <c r="C3907" s="208" t="s">
        <v>146</v>
      </c>
      <c r="D3907" s="592">
        <v>-7000</v>
      </c>
      <c r="E3907" s="212">
        <v>45474</v>
      </c>
      <c r="F3907" s="208" t="s">
        <v>109</v>
      </c>
      <c r="G3907" s="201" t="s">
        <v>1261</v>
      </c>
      <c r="H3907" s="208" t="s">
        <v>138</v>
      </c>
      <c r="I3907" s="208" t="s">
        <v>3354</v>
      </c>
      <c r="J3907" s="209"/>
      <c r="K3907" s="209"/>
      <c r="L3907" s="209"/>
      <c r="M3907" s="209"/>
      <c r="N3907" s="209"/>
      <c r="O3907" s="209"/>
      <c r="P3907" s="209"/>
      <c r="Q3907" s="209"/>
      <c r="R3907" s="209"/>
      <c r="S3907" s="209"/>
      <c r="T3907" s="209"/>
    </row>
    <row r="3908" spans="1:20" ht="15" hidden="1" customHeight="1">
      <c r="A3908" s="468">
        <v>45499</v>
      </c>
      <c r="B3908" s="208" t="s">
        <v>3355</v>
      </c>
      <c r="C3908" s="208" t="s">
        <v>146</v>
      </c>
      <c r="D3908" s="592">
        <v>-6200</v>
      </c>
      <c r="E3908" s="212">
        <v>45474</v>
      </c>
      <c r="F3908" s="208" t="s">
        <v>109</v>
      </c>
      <c r="G3908" s="201" t="s">
        <v>1261</v>
      </c>
      <c r="H3908" s="208" t="s">
        <v>138</v>
      </c>
      <c r="I3908" s="208" t="s">
        <v>3354</v>
      </c>
      <c r="J3908" s="209"/>
      <c r="K3908" s="209"/>
      <c r="L3908" s="209"/>
      <c r="M3908" s="209"/>
      <c r="N3908" s="209"/>
      <c r="O3908" s="209"/>
      <c r="P3908" s="209"/>
      <c r="Q3908" s="209"/>
      <c r="R3908" s="209"/>
      <c r="S3908" s="209"/>
      <c r="T3908" s="209"/>
    </row>
    <row r="3909" spans="1:20" ht="15" hidden="1" customHeight="1">
      <c r="A3909" s="468">
        <v>45499</v>
      </c>
      <c r="B3909" s="208" t="s">
        <v>3356</v>
      </c>
      <c r="C3909" s="208" t="s">
        <v>146</v>
      </c>
      <c r="D3909" s="592">
        <v>-6500</v>
      </c>
      <c r="E3909" s="212">
        <v>45474</v>
      </c>
      <c r="F3909" s="208" t="s">
        <v>109</v>
      </c>
      <c r="G3909" s="201" t="s">
        <v>1261</v>
      </c>
      <c r="H3909" s="208" t="s">
        <v>138</v>
      </c>
      <c r="I3909" s="208" t="s">
        <v>3354</v>
      </c>
      <c r="J3909" s="209"/>
      <c r="K3909" s="209"/>
      <c r="L3909" s="209"/>
      <c r="M3909" s="209"/>
      <c r="N3909" s="209"/>
      <c r="O3909" s="209"/>
      <c r="P3909" s="209"/>
      <c r="Q3909" s="209"/>
      <c r="R3909" s="209"/>
      <c r="S3909" s="209"/>
      <c r="T3909" s="209"/>
    </row>
    <row r="3910" spans="1:20" ht="15" hidden="1" customHeight="1">
      <c r="A3910" s="468">
        <v>45499</v>
      </c>
      <c r="B3910" s="208" t="s">
        <v>3357</v>
      </c>
      <c r="C3910" s="208" t="s">
        <v>146</v>
      </c>
      <c r="D3910" s="592">
        <v>-6500</v>
      </c>
      <c r="E3910" s="212">
        <v>45474</v>
      </c>
      <c r="F3910" s="208" t="s">
        <v>110</v>
      </c>
      <c r="G3910" s="208" t="s">
        <v>450</v>
      </c>
      <c r="H3910" s="208" t="s">
        <v>138</v>
      </c>
      <c r="I3910" s="208" t="s">
        <v>3354</v>
      </c>
      <c r="J3910" s="209"/>
      <c r="K3910" s="209"/>
      <c r="L3910" s="209"/>
      <c r="M3910" s="209"/>
      <c r="N3910" s="209"/>
      <c r="O3910" s="209"/>
      <c r="P3910" s="209"/>
      <c r="Q3910" s="209"/>
      <c r="R3910" s="209"/>
      <c r="S3910" s="209"/>
      <c r="T3910" s="209"/>
    </row>
    <row r="3911" spans="1:20" ht="15" hidden="1" customHeight="1">
      <c r="A3911" s="468">
        <v>45499</v>
      </c>
      <c r="B3911" s="208" t="s">
        <v>3358</v>
      </c>
      <c r="C3911" s="208" t="s">
        <v>146</v>
      </c>
      <c r="D3911" s="592">
        <v>-6500</v>
      </c>
      <c r="E3911" s="212">
        <v>45474</v>
      </c>
      <c r="F3911" s="208" t="s">
        <v>110</v>
      </c>
      <c r="G3911" s="81" t="s">
        <v>1621</v>
      </c>
      <c r="H3911" s="208" t="s">
        <v>138</v>
      </c>
      <c r="I3911" s="208" t="s">
        <v>3354</v>
      </c>
      <c r="J3911" s="209"/>
      <c r="K3911" s="209"/>
      <c r="L3911" s="209"/>
      <c r="M3911" s="209"/>
      <c r="N3911" s="209"/>
      <c r="O3911" s="209"/>
      <c r="P3911" s="209"/>
      <c r="Q3911" s="209"/>
      <c r="R3911" s="209"/>
      <c r="S3911" s="209"/>
      <c r="T3911" s="209"/>
    </row>
    <row r="3912" spans="1:20" ht="15" hidden="1" customHeight="1">
      <c r="A3912" s="468">
        <v>45499</v>
      </c>
      <c r="B3912" s="208" t="s">
        <v>3359</v>
      </c>
      <c r="C3912" s="208" t="s">
        <v>146</v>
      </c>
      <c r="D3912" s="592">
        <v>-6500</v>
      </c>
      <c r="E3912" s="212">
        <v>45474</v>
      </c>
      <c r="F3912" s="208" t="s">
        <v>110</v>
      </c>
      <c r="G3912" s="208" t="s">
        <v>122</v>
      </c>
      <c r="H3912" s="208" t="s">
        <v>138</v>
      </c>
      <c r="I3912" s="208" t="s">
        <v>3354</v>
      </c>
      <c r="J3912" s="209"/>
      <c r="K3912" s="209"/>
      <c r="L3912" s="209"/>
      <c r="M3912" s="209"/>
      <c r="N3912" s="209"/>
      <c r="O3912" s="209"/>
      <c r="P3912" s="209"/>
      <c r="Q3912" s="209"/>
      <c r="R3912" s="209"/>
      <c r="S3912" s="209"/>
      <c r="T3912" s="209"/>
    </row>
    <row r="3913" spans="1:20" ht="15" hidden="1" customHeight="1">
      <c r="A3913" s="468">
        <v>45475</v>
      </c>
      <c r="B3913" s="208" t="s">
        <v>3360</v>
      </c>
      <c r="C3913" s="208" t="s">
        <v>146</v>
      </c>
      <c r="D3913" s="592">
        <v>-7000</v>
      </c>
      <c r="E3913" s="212">
        <v>45474</v>
      </c>
      <c r="F3913" s="208" t="s">
        <v>110</v>
      </c>
      <c r="G3913" s="208" t="s">
        <v>453</v>
      </c>
      <c r="H3913" s="208" t="s">
        <v>138</v>
      </c>
      <c r="I3913" s="208" t="s">
        <v>3354</v>
      </c>
      <c r="J3913" s="209"/>
      <c r="K3913" s="209"/>
      <c r="L3913" s="209"/>
      <c r="M3913" s="209"/>
      <c r="N3913" s="209"/>
      <c r="O3913" s="209"/>
      <c r="P3913" s="209"/>
      <c r="Q3913" s="209"/>
      <c r="R3913" s="209"/>
      <c r="S3913" s="209"/>
      <c r="T3913" s="209"/>
    </row>
    <row r="3914" spans="1:20" ht="15" hidden="1" customHeight="1">
      <c r="A3914" s="468">
        <v>45476</v>
      </c>
      <c r="B3914" s="208" t="s">
        <v>3361</v>
      </c>
      <c r="C3914" s="208" t="s">
        <v>146</v>
      </c>
      <c r="D3914" s="592">
        <v>-6200</v>
      </c>
      <c r="E3914" s="212">
        <v>45474</v>
      </c>
      <c r="F3914" s="208" t="s">
        <v>130</v>
      </c>
      <c r="G3914" s="590" t="s">
        <v>130</v>
      </c>
      <c r="H3914" s="208" t="s">
        <v>138</v>
      </c>
      <c r="I3914" s="208" t="s">
        <v>3354</v>
      </c>
      <c r="J3914" s="209"/>
      <c r="K3914" s="209"/>
      <c r="L3914" s="209"/>
      <c r="M3914" s="209"/>
      <c r="N3914" s="209"/>
      <c r="O3914" s="209"/>
      <c r="P3914" s="209"/>
      <c r="Q3914" s="209"/>
      <c r="R3914" s="209"/>
      <c r="S3914" s="209"/>
      <c r="T3914" s="209"/>
    </row>
    <row r="3915" spans="1:20" ht="15" hidden="1" customHeight="1">
      <c r="A3915" s="468">
        <v>45476</v>
      </c>
      <c r="B3915" s="208" t="s">
        <v>3362</v>
      </c>
      <c r="C3915" s="208" t="s">
        <v>146</v>
      </c>
      <c r="D3915" s="592">
        <v>-6500</v>
      </c>
      <c r="E3915" s="212">
        <v>45474</v>
      </c>
      <c r="F3915" s="208" t="s">
        <v>130</v>
      </c>
      <c r="G3915" s="590" t="s">
        <v>130</v>
      </c>
      <c r="H3915" s="208" t="s">
        <v>138</v>
      </c>
      <c r="I3915" s="208" t="s">
        <v>3354</v>
      </c>
      <c r="J3915" s="209"/>
      <c r="K3915" s="209"/>
      <c r="L3915" s="209"/>
      <c r="M3915" s="209"/>
      <c r="N3915" s="209"/>
      <c r="O3915" s="209"/>
      <c r="P3915" s="209"/>
      <c r="Q3915" s="209"/>
      <c r="R3915" s="209"/>
      <c r="S3915" s="209"/>
      <c r="T3915" s="209"/>
    </row>
    <row r="3916" spans="1:20" ht="15" hidden="1" customHeight="1">
      <c r="A3916" s="468">
        <v>45476</v>
      </c>
      <c r="B3916" s="208" t="s">
        <v>3362</v>
      </c>
      <c r="C3916" s="208" t="s">
        <v>146</v>
      </c>
      <c r="D3916" s="592">
        <v>-4100</v>
      </c>
      <c r="E3916" s="212">
        <v>45474</v>
      </c>
      <c r="F3916" s="208" t="s">
        <v>130</v>
      </c>
      <c r="G3916" s="590" t="s">
        <v>130</v>
      </c>
      <c r="H3916" s="208" t="s">
        <v>138</v>
      </c>
      <c r="I3916" s="208" t="s">
        <v>3354</v>
      </c>
      <c r="J3916" s="209"/>
      <c r="K3916" s="209"/>
      <c r="L3916" s="209"/>
      <c r="M3916" s="209"/>
      <c r="N3916" s="209"/>
      <c r="O3916" s="209"/>
      <c r="P3916" s="209"/>
      <c r="Q3916" s="209"/>
      <c r="R3916" s="209"/>
      <c r="S3916" s="209"/>
      <c r="T3916" s="209"/>
    </row>
    <row r="3917" spans="1:20" ht="15" hidden="1" customHeight="1">
      <c r="A3917" s="468">
        <v>45499</v>
      </c>
      <c r="B3917" s="208" t="s">
        <v>3363</v>
      </c>
      <c r="C3917" s="208" t="s">
        <v>146</v>
      </c>
      <c r="D3917" s="800">
        <v>-20000</v>
      </c>
      <c r="E3917" s="212">
        <v>45474</v>
      </c>
      <c r="F3917" s="208" t="s">
        <v>109</v>
      </c>
      <c r="G3917" s="201" t="s">
        <v>581</v>
      </c>
      <c r="H3917" s="208" t="s">
        <v>138</v>
      </c>
      <c r="I3917" s="208" t="s">
        <v>3364</v>
      </c>
      <c r="J3917" s="209"/>
      <c r="K3917" s="209"/>
      <c r="L3917" s="209"/>
      <c r="M3917" s="209"/>
      <c r="N3917" s="209"/>
      <c r="O3917" s="209"/>
      <c r="P3917" s="209"/>
      <c r="Q3917" s="209"/>
      <c r="R3917" s="209"/>
      <c r="S3917" s="209"/>
      <c r="T3917" s="209"/>
    </row>
    <row r="3918" spans="1:20" ht="15" hidden="1" customHeight="1">
      <c r="A3918" s="468">
        <v>45499</v>
      </c>
      <c r="B3918" s="208" t="s">
        <v>3365</v>
      </c>
      <c r="C3918" s="208" t="s">
        <v>146</v>
      </c>
      <c r="D3918" s="800">
        <v>-100000</v>
      </c>
      <c r="E3918" s="212">
        <v>45474</v>
      </c>
      <c r="F3918" s="208" t="s">
        <v>109</v>
      </c>
      <c r="G3918" s="201" t="s">
        <v>581</v>
      </c>
      <c r="H3918" s="208" t="s">
        <v>3366</v>
      </c>
      <c r="I3918" s="208" t="s">
        <v>3364</v>
      </c>
      <c r="J3918" s="209"/>
      <c r="K3918" s="209"/>
      <c r="L3918" s="209"/>
      <c r="M3918" s="209"/>
      <c r="N3918" s="209"/>
      <c r="O3918" s="209"/>
      <c r="P3918" s="209"/>
      <c r="Q3918" s="209"/>
      <c r="R3918" s="209"/>
      <c r="S3918" s="209"/>
      <c r="T3918" s="209"/>
    </row>
    <row r="3919" spans="1:20" ht="15" hidden="1" customHeight="1">
      <c r="A3919" s="468">
        <v>45499</v>
      </c>
      <c r="B3919" s="208" t="s">
        <v>3367</v>
      </c>
      <c r="C3919" s="208" t="s">
        <v>146</v>
      </c>
      <c r="D3919" s="800">
        <v>-12900</v>
      </c>
      <c r="E3919" s="212">
        <v>45474</v>
      </c>
      <c r="F3919" s="208" t="s">
        <v>109</v>
      </c>
      <c r="G3919" s="201" t="s">
        <v>581</v>
      </c>
      <c r="H3919" s="208" t="s">
        <v>3368</v>
      </c>
      <c r="I3919" s="208" t="s">
        <v>3364</v>
      </c>
      <c r="J3919" s="209"/>
      <c r="K3919" s="209"/>
      <c r="L3919" s="209"/>
      <c r="M3919" s="209"/>
      <c r="N3919" s="209"/>
      <c r="O3919" s="209"/>
      <c r="P3919" s="209"/>
      <c r="Q3919" s="209"/>
      <c r="R3919" s="209"/>
      <c r="S3919" s="209"/>
      <c r="T3919" s="209"/>
    </row>
    <row r="3920" spans="1:20" ht="15" hidden="1" customHeight="1">
      <c r="A3920" s="468">
        <v>45499</v>
      </c>
      <c r="B3920" s="208" t="s">
        <v>3369</v>
      </c>
      <c r="C3920" s="208" t="s">
        <v>146</v>
      </c>
      <c r="D3920" s="800">
        <v>-12900</v>
      </c>
      <c r="E3920" s="212">
        <v>45474</v>
      </c>
      <c r="F3920" s="208" t="s">
        <v>109</v>
      </c>
      <c r="G3920" s="201" t="s">
        <v>581</v>
      </c>
      <c r="H3920" s="208" t="s">
        <v>3368</v>
      </c>
      <c r="I3920" s="208" t="s">
        <v>3364</v>
      </c>
      <c r="J3920" s="209"/>
      <c r="K3920" s="209"/>
      <c r="L3920" s="209"/>
      <c r="M3920" s="209"/>
      <c r="N3920" s="209"/>
      <c r="O3920" s="209"/>
      <c r="P3920" s="209"/>
      <c r="Q3920" s="209"/>
      <c r="R3920" s="209"/>
      <c r="S3920" s="209"/>
      <c r="T3920" s="209"/>
    </row>
    <row r="3921" spans="1:20" ht="15" hidden="1" customHeight="1">
      <c r="A3921" s="468">
        <v>45499</v>
      </c>
      <c r="B3921" s="208" t="s">
        <v>3370</v>
      </c>
      <c r="C3921" s="208" t="s">
        <v>146</v>
      </c>
      <c r="D3921" s="800">
        <v>-10000</v>
      </c>
      <c r="E3921" s="212">
        <v>45474</v>
      </c>
      <c r="F3921" s="208" t="s">
        <v>109</v>
      </c>
      <c r="G3921" s="201" t="s">
        <v>581</v>
      </c>
      <c r="H3921" s="208" t="s">
        <v>303</v>
      </c>
      <c r="I3921" s="208" t="s">
        <v>3364</v>
      </c>
      <c r="J3921" s="209"/>
      <c r="K3921" s="209"/>
      <c r="L3921" s="209"/>
      <c r="M3921" s="209"/>
      <c r="N3921" s="209"/>
      <c r="O3921" s="209"/>
      <c r="P3921" s="209"/>
      <c r="Q3921" s="209"/>
      <c r="R3921" s="209"/>
      <c r="S3921" s="209"/>
      <c r="T3921" s="209"/>
    </row>
    <row r="3922" spans="1:20" ht="15" hidden="1" customHeight="1">
      <c r="A3922" s="468">
        <v>45477</v>
      </c>
      <c r="B3922" s="208" t="s">
        <v>3332</v>
      </c>
      <c r="C3922" s="208" t="s">
        <v>3331</v>
      </c>
      <c r="D3922" s="592">
        <f>-2863371.62+200257</f>
        <v>-2663114.62</v>
      </c>
      <c r="E3922" s="212">
        <v>45474</v>
      </c>
      <c r="F3922" s="208" t="s">
        <v>118</v>
      </c>
      <c r="G3922" s="208"/>
      <c r="H3922" s="208"/>
      <c r="I3922" s="208"/>
      <c r="J3922" s="209"/>
      <c r="K3922" s="209"/>
      <c r="L3922" s="209"/>
      <c r="M3922" s="209"/>
      <c r="N3922" s="209"/>
      <c r="O3922" s="209"/>
      <c r="P3922" s="209"/>
      <c r="Q3922" s="209"/>
      <c r="R3922" s="209"/>
      <c r="S3922" s="209"/>
      <c r="T3922" s="209"/>
    </row>
    <row r="3923" spans="1:20" ht="15" hidden="1" customHeight="1">
      <c r="A3923" s="468">
        <v>45499</v>
      </c>
      <c r="B3923" s="208" t="s">
        <v>3371</v>
      </c>
      <c r="C3923" s="208" t="s">
        <v>269</v>
      </c>
      <c r="D3923" s="592">
        <v>5800</v>
      </c>
      <c r="E3923" s="212">
        <v>45474</v>
      </c>
      <c r="F3923" s="208" t="s">
        <v>130</v>
      </c>
      <c r="G3923" s="208" t="s">
        <v>130</v>
      </c>
      <c r="H3923" s="208" t="s">
        <v>2444</v>
      </c>
      <c r="I3923" s="208" t="s">
        <v>3364</v>
      </c>
      <c r="J3923" s="209"/>
      <c r="K3923" s="209"/>
      <c r="L3923" s="209"/>
      <c r="M3923" s="209"/>
      <c r="N3923" s="209"/>
      <c r="O3923" s="209"/>
      <c r="P3923" s="209"/>
      <c r="Q3923" s="209"/>
      <c r="R3923" s="209"/>
      <c r="S3923" s="209"/>
      <c r="T3923" s="209"/>
    </row>
    <row r="3924" spans="1:20" ht="15" hidden="1" customHeight="1">
      <c r="A3924" s="468">
        <v>45499</v>
      </c>
      <c r="B3924" s="208" t="s">
        <v>3372</v>
      </c>
      <c r="C3924" s="208" t="s">
        <v>269</v>
      </c>
      <c r="D3924" s="592">
        <v>-21000</v>
      </c>
      <c r="E3924" s="212">
        <v>45474</v>
      </c>
      <c r="F3924" s="208" t="s">
        <v>130</v>
      </c>
      <c r="G3924" s="208" t="s">
        <v>130</v>
      </c>
      <c r="H3924" s="208" t="s">
        <v>138</v>
      </c>
      <c r="I3924" s="208" t="s">
        <v>3364</v>
      </c>
      <c r="J3924" s="209"/>
      <c r="K3924" s="209"/>
      <c r="L3924" s="209"/>
      <c r="M3924" s="209"/>
      <c r="N3924" s="209"/>
      <c r="O3924" s="209"/>
      <c r="P3924" s="209"/>
      <c r="Q3924" s="209"/>
      <c r="R3924" s="209"/>
      <c r="S3924" s="209"/>
      <c r="T3924" s="209"/>
    </row>
    <row r="3925" spans="1:20" ht="15" hidden="1" customHeight="1">
      <c r="A3925" s="468">
        <v>45499</v>
      </c>
      <c r="B3925" s="208" t="s">
        <v>3373</v>
      </c>
      <c r="C3925" s="208" t="s">
        <v>269</v>
      </c>
      <c r="D3925" s="800">
        <v>-22000</v>
      </c>
      <c r="E3925" s="212">
        <v>45474</v>
      </c>
      <c r="F3925" s="208" t="s">
        <v>109</v>
      </c>
      <c r="G3925" s="201" t="s">
        <v>581</v>
      </c>
      <c r="H3925" s="208"/>
      <c r="I3925" s="208" t="s">
        <v>3364</v>
      </c>
      <c r="J3925" s="209"/>
      <c r="K3925" s="209"/>
      <c r="L3925" s="209"/>
      <c r="M3925" s="209"/>
      <c r="N3925" s="209"/>
      <c r="O3925" s="209"/>
      <c r="P3925" s="209"/>
      <c r="Q3925" s="209"/>
      <c r="R3925" s="209"/>
      <c r="S3925" s="209"/>
      <c r="T3925" s="209"/>
    </row>
    <row r="3926" spans="1:20" ht="15" hidden="1" customHeight="1">
      <c r="A3926" s="468">
        <v>45499</v>
      </c>
      <c r="B3926" s="208" t="s">
        <v>3374</v>
      </c>
      <c r="C3926" s="208" t="s">
        <v>269</v>
      </c>
      <c r="D3926" s="800">
        <v>-57000</v>
      </c>
      <c r="E3926" s="212">
        <v>45474</v>
      </c>
      <c r="F3926" s="208" t="s">
        <v>109</v>
      </c>
      <c r="G3926" s="201" t="s">
        <v>581</v>
      </c>
      <c r="H3926" s="208"/>
      <c r="I3926" s="208" t="s">
        <v>3364</v>
      </c>
      <c r="J3926" s="209"/>
      <c r="K3926" s="209"/>
      <c r="L3926" s="209"/>
      <c r="M3926" s="209"/>
      <c r="N3926" s="209"/>
      <c r="O3926" s="209"/>
      <c r="P3926" s="209"/>
      <c r="Q3926" s="209"/>
      <c r="R3926" s="209"/>
      <c r="S3926" s="209"/>
      <c r="T3926" s="209"/>
    </row>
    <row r="3927" spans="1:20" ht="15" hidden="1" customHeight="1">
      <c r="A3927" s="468">
        <v>45499</v>
      </c>
      <c r="B3927" s="208" t="s">
        <v>3375</v>
      </c>
      <c r="C3927" s="208" t="s">
        <v>269</v>
      </c>
      <c r="D3927" s="592">
        <v>-12800</v>
      </c>
      <c r="E3927" s="212">
        <v>45474</v>
      </c>
      <c r="F3927" s="208" t="s">
        <v>110</v>
      </c>
      <c r="G3927" s="208" t="s">
        <v>774</v>
      </c>
      <c r="H3927" s="208" t="s">
        <v>175</v>
      </c>
      <c r="I3927" s="208" t="s">
        <v>47</v>
      </c>
      <c r="J3927" s="209"/>
      <c r="K3927" s="209"/>
      <c r="L3927" s="209"/>
      <c r="M3927" s="209"/>
      <c r="N3927" s="209"/>
      <c r="O3927" s="209"/>
      <c r="P3927" s="209"/>
      <c r="Q3927" s="209"/>
      <c r="R3927" s="209"/>
      <c r="S3927" s="209"/>
      <c r="T3927" s="209"/>
    </row>
    <row r="3928" spans="1:20" ht="15" hidden="1" customHeight="1">
      <c r="A3928" s="468">
        <v>45499</v>
      </c>
      <c r="B3928" s="208" t="s">
        <v>3376</v>
      </c>
      <c r="C3928" s="208" t="s">
        <v>269</v>
      </c>
      <c r="D3928" s="592">
        <v>-37200</v>
      </c>
      <c r="E3928" s="212">
        <v>45474</v>
      </c>
      <c r="F3928" s="208" t="s">
        <v>110</v>
      </c>
      <c r="G3928" s="208" t="s">
        <v>774</v>
      </c>
      <c r="H3928" s="208" t="s">
        <v>175</v>
      </c>
      <c r="I3928" s="208" t="s">
        <v>47</v>
      </c>
      <c r="J3928" s="209"/>
      <c r="K3928" s="209"/>
      <c r="L3928" s="209"/>
      <c r="M3928" s="209"/>
      <c r="N3928" s="209"/>
      <c r="O3928" s="209"/>
      <c r="P3928" s="209"/>
      <c r="Q3928" s="209"/>
      <c r="R3928" s="209"/>
      <c r="S3928" s="209"/>
      <c r="T3928" s="209"/>
    </row>
    <row r="3929" spans="1:20" ht="15" hidden="1" customHeight="1">
      <c r="A3929" s="468">
        <v>45499</v>
      </c>
      <c r="B3929" s="208" t="s">
        <v>3377</v>
      </c>
      <c r="C3929" s="208" t="s">
        <v>269</v>
      </c>
      <c r="D3929" s="592">
        <v>-64000</v>
      </c>
      <c r="E3929" s="212">
        <v>45474</v>
      </c>
      <c r="F3929" s="208" t="s">
        <v>109</v>
      </c>
      <c r="G3929" s="201" t="s">
        <v>918</v>
      </c>
      <c r="H3929" s="208" t="s">
        <v>138</v>
      </c>
      <c r="I3929" s="209" t="s">
        <v>3378</v>
      </c>
      <c r="J3929" s="209"/>
      <c r="K3929" s="209"/>
      <c r="L3929" s="209"/>
      <c r="M3929" s="209"/>
      <c r="N3929" s="209"/>
      <c r="O3929" s="209"/>
      <c r="P3929" s="209"/>
      <c r="Q3929" s="209"/>
      <c r="R3929" s="209"/>
      <c r="S3929" s="209"/>
      <c r="T3929" s="209"/>
    </row>
    <row r="3930" spans="1:20" ht="15" hidden="1" customHeight="1">
      <c r="A3930" s="468">
        <v>45499</v>
      </c>
      <c r="B3930" s="208" t="s">
        <v>3379</v>
      </c>
      <c r="C3930" s="208" t="s">
        <v>269</v>
      </c>
      <c r="D3930" s="592">
        <v>-6000</v>
      </c>
      <c r="E3930" s="212">
        <v>45474</v>
      </c>
      <c r="F3930" s="208" t="s">
        <v>109</v>
      </c>
      <c r="G3930" s="201" t="s">
        <v>918</v>
      </c>
      <c r="H3930" s="208" t="s">
        <v>138</v>
      </c>
      <c r="I3930" s="208" t="s">
        <v>3378</v>
      </c>
      <c r="J3930" s="209"/>
      <c r="K3930" s="209"/>
      <c r="L3930" s="209"/>
      <c r="M3930" s="209"/>
      <c r="N3930" s="209"/>
      <c r="O3930" s="209"/>
      <c r="P3930" s="209"/>
      <c r="Q3930" s="209"/>
      <c r="R3930" s="209"/>
      <c r="S3930" s="209"/>
      <c r="T3930" s="209"/>
    </row>
    <row r="3931" spans="1:20" ht="15" hidden="1" customHeight="1">
      <c r="A3931" s="468">
        <v>45499</v>
      </c>
      <c r="B3931" s="208" t="s">
        <v>3380</v>
      </c>
      <c r="C3931" s="208" t="s">
        <v>269</v>
      </c>
      <c r="D3931" s="592">
        <v>-12600.19</v>
      </c>
      <c r="E3931" s="212">
        <v>45474</v>
      </c>
      <c r="F3931" s="208" t="s">
        <v>109</v>
      </c>
      <c r="G3931" s="201" t="s">
        <v>918</v>
      </c>
      <c r="H3931" s="208" t="s">
        <v>175</v>
      </c>
      <c r="I3931" s="208" t="s">
        <v>3378</v>
      </c>
      <c r="J3931" s="209"/>
      <c r="K3931" s="209"/>
      <c r="L3931" s="209"/>
      <c r="M3931" s="209"/>
      <c r="N3931" s="209"/>
      <c r="O3931" s="209"/>
      <c r="P3931" s="209"/>
      <c r="Q3931" s="209"/>
      <c r="R3931" s="209"/>
      <c r="S3931" s="209"/>
      <c r="T3931" s="209"/>
    </row>
    <row r="3932" spans="1:20" ht="15" hidden="1" customHeight="1">
      <c r="A3932" s="468">
        <v>45499</v>
      </c>
      <c r="B3932" s="208" t="s">
        <v>3381</v>
      </c>
      <c r="C3932" s="208" t="s">
        <v>269</v>
      </c>
      <c r="D3932" s="592">
        <v>-18399.189999999999</v>
      </c>
      <c r="E3932" s="212">
        <v>45474</v>
      </c>
      <c r="F3932" s="208" t="s">
        <v>109</v>
      </c>
      <c r="G3932" s="201" t="s">
        <v>918</v>
      </c>
      <c r="H3932" s="208" t="s">
        <v>175</v>
      </c>
      <c r="I3932" s="208" t="s">
        <v>3378</v>
      </c>
      <c r="J3932" s="209"/>
      <c r="K3932" s="209"/>
      <c r="L3932" s="209"/>
      <c r="M3932" s="209"/>
      <c r="N3932" s="209"/>
      <c r="O3932" s="209"/>
      <c r="P3932" s="209"/>
      <c r="Q3932" s="209"/>
      <c r="R3932" s="209"/>
      <c r="S3932" s="209"/>
      <c r="T3932" s="209"/>
    </row>
    <row r="3933" spans="1:20" ht="15" hidden="1" customHeight="1">
      <c r="A3933" s="468">
        <v>45499</v>
      </c>
      <c r="B3933" s="208" t="s">
        <v>3382</v>
      </c>
      <c r="C3933" s="208" t="s">
        <v>269</v>
      </c>
      <c r="D3933" s="592">
        <v>-30799.19</v>
      </c>
      <c r="E3933" s="212">
        <v>45474</v>
      </c>
      <c r="F3933" s="208" t="s">
        <v>109</v>
      </c>
      <c r="G3933" s="201" t="s">
        <v>918</v>
      </c>
      <c r="H3933" s="208" t="s">
        <v>175</v>
      </c>
      <c r="I3933" s="208" t="s">
        <v>3378</v>
      </c>
      <c r="J3933" s="209"/>
      <c r="K3933" s="209"/>
      <c r="L3933" s="209"/>
      <c r="M3933" s="209"/>
      <c r="N3933" s="209"/>
      <c r="O3933" s="209"/>
      <c r="P3933" s="209"/>
      <c r="Q3933" s="209"/>
      <c r="R3933" s="209"/>
      <c r="S3933" s="209"/>
      <c r="T3933" s="209"/>
    </row>
    <row r="3934" spans="1:20" ht="15" hidden="1" customHeight="1">
      <c r="A3934" s="468">
        <v>45499</v>
      </c>
      <c r="B3934" s="208" t="s">
        <v>3383</v>
      </c>
      <c r="C3934" s="208" t="s">
        <v>269</v>
      </c>
      <c r="D3934" s="592">
        <v>-59999.19</v>
      </c>
      <c r="E3934" s="212">
        <v>45474</v>
      </c>
      <c r="F3934" s="208" t="s">
        <v>109</v>
      </c>
      <c r="G3934" s="201" t="s">
        <v>918</v>
      </c>
      <c r="H3934" s="208" t="s">
        <v>147</v>
      </c>
      <c r="I3934" s="208" t="s">
        <v>3378</v>
      </c>
      <c r="J3934" s="209"/>
      <c r="K3934" s="209"/>
      <c r="L3934" s="209"/>
      <c r="M3934" s="209"/>
      <c r="N3934" s="209"/>
      <c r="O3934" s="209"/>
      <c r="P3934" s="209"/>
      <c r="Q3934" s="209"/>
      <c r="R3934" s="209"/>
      <c r="S3934" s="209"/>
      <c r="T3934" s="209"/>
    </row>
    <row r="3935" spans="1:20" ht="15" hidden="1" customHeight="1">
      <c r="A3935" s="468">
        <v>45499</v>
      </c>
      <c r="B3935" s="208" t="s">
        <v>3384</v>
      </c>
      <c r="C3935" s="208" t="s">
        <v>269</v>
      </c>
      <c r="D3935" s="592">
        <v>-62000</v>
      </c>
      <c r="E3935" s="212">
        <v>45474</v>
      </c>
      <c r="F3935" s="208" t="s">
        <v>109</v>
      </c>
      <c r="G3935" s="201" t="s">
        <v>918</v>
      </c>
      <c r="H3935" s="208" t="s">
        <v>147</v>
      </c>
      <c r="I3935" s="208" t="s">
        <v>3378</v>
      </c>
      <c r="J3935" s="209"/>
      <c r="K3935" s="209"/>
      <c r="L3935" s="209"/>
      <c r="M3935" s="209"/>
      <c r="N3935" s="209"/>
      <c r="O3935" s="209"/>
      <c r="P3935" s="209"/>
      <c r="Q3935" s="209"/>
      <c r="R3935" s="209"/>
      <c r="S3935" s="209"/>
      <c r="T3935" s="209"/>
    </row>
    <row r="3936" spans="1:20" ht="15" hidden="1" customHeight="1">
      <c r="A3936" s="468">
        <v>45499</v>
      </c>
      <c r="B3936" s="208" t="s">
        <v>3385</v>
      </c>
      <c r="C3936" s="208" t="s">
        <v>269</v>
      </c>
      <c r="D3936" s="592">
        <v>-12000</v>
      </c>
      <c r="E3936" s="212">
        <v>45474</v>
      </c>
      <c r="F3936" s="208" t="s">
        <v>109</v>
      </c>
      <c r="G3936" s="201" t="s">
        <v>918</v>
      </c>
      <c r="H3936" s="208" t="s">
        <v>138</v>
      </c>
      <c r="I3936" s="208" t="s">
        <v>3378</v>
      </c>
      <c r="J3936" s="209"/>
      <c r="K3936" s="209"/>
      <c r="L3936" s="209"/>
      <c r="M3936" s="209"/>
      <c r="N3936" s="209"/>
      <c r="O3936" s="209"/>
      <c r="P3936" s="209"/>
      <c r="Q3936" s="209"/>
      <c r="R3936" s="209"/>
      <c r="S3936" s="209"/>
      <c r="T3936" s="209"/>
    </row>
    <row r="3937" spans="1:20" ht="15" hidden="1" customHeight="1">
      <c r="A3937" s="468">
        <v>45499</v>
      </c>
      <c r="B3937" s="208" t="s">
        <v>3386</v>
      </c>
      <c r="C3937" s="208" t="s">
        <v>269</v>
      </c>
      <c r="D3937" s="592">
        <v>-16000</v>
      </c>
      <c r="E3937" s="212">
        <v>45474</v>
      </c>
      <c r="F3937" s="208" t="s">
        <v>109</v>
      </c>
      <c r="G3937" s="201" t="s">
        <v>918</v>
      </c>
      <c r="H3937" s="208" t="s">
        <v>138</v>
      </c>
      <c r="I3937" s="208" t="s">
        <v>3378</v>
      </c>
      <c r="J3937" s="209"/>
      <c r="K3937" s="209"/>
      <c r="L3937" s="209"/>
      <c r="M3937" s="209"/>
      <c r="N3937" s="209"/>
      <c r="O3937" s="209"/>
      <c r="P3937" s="209"/>
      <c r="Q3937" s="209"/>
      <c r="R3937" s="209"/>
      <c r="S3937" s="209"/>
      <c r="T3937" s="209"/>
    </row>
    <row r="3938" spans="1:20" ht="15" hidden="1" customHeight="1">
      <c r="A3938" s="468">
        <v>45499</v>
      </c>
      <c r="B3938" s="208" t="s">
        <v>3387</v>
      </c>
      <c r="C3938" s="208" t="s">
        <v>269</v>
      </c>
      <c r="D3938" s="592">
        <v>-6000</v>
      </c>
      <c r="E3938" s="212">
        <v>45474</v>
      </c>
      <c r="F3938" s="208" t="s">
        <v>109</v>
      </c>
      <c r="G3938" s="201" t="s">
        <v>918</v>
      </c>
      <c r="H3938" s="208" t="s">
        <v>138</v>
      </c>
      <c r="I3938" s="208" t="s">
        <v>3378</v>
      </c>
      <c r="J3938" s="209"/>
      <c r="K3938" s="209"/>
      <c r="L3938" s="209"/>
      <c r="M3938" s="209"/>
      <c r="N3938" s="209"/>
      <c r="O3938" s="209"/>
      <c r="P3938" s="209"/>
      <c r="Q3938" s="209"/>
      <c r="R3938" s="209"/>
      <c r="S3938" s="209"/>
      <c r="T3938" s="209"/>
    </row>
    <row r="3939" spans="1:20" ht="15" hidden="1" customHeight="1">
      <c r="A3939" s="468">
        <v>45499</v>
      </c>
      <c r="B3939" s="208" t="s">
        <v>3388</v>
      </c>
      <c r="C3939" s="208" t="s">
        <v>269</v>
      </c>
      <c r="D3939" s="592">
        <v>-70000</v>
      </c>
      <c r="E3939" s="212">
        <v>45474</v>
      </c>
      <c r="F3939" s="208" t="s">
        <v>109</v>
      </c>
      <c r="G3939" s="201" t="s">
        <v>918</v>
      </c>
      <c r="H3939" s="208" t="s">
        <v>138</v>
      </c>
      <c r="I3939" s="208" t="s">
        <v>3378</v>
      </c>
      <c r="J3939" s="209"/>
      <c r="K3939" s="209"/>
      <c r="L3939" s="209"/>
      <c r="M3939" s="209"/>
      <c r="N3939" s="209"/>
      <c r="O3939" s="209"/>
      <c r="P3939" s="209"/>
      <c r="Q3939" s="209"/>
      <c r="R3939" s="209"/>
      <c r="S3939" s="209"/>
      <c r="T3939" s="209"/>
    </row>
    <row r="3940" spans="1:20" ht="15" hidden="1" customHeight="1">
      <c r="A3940" s="468">
        <v>45499</v>
      </c>
      <c r="B3940" s="208" t="s">
        <v>3389</v>
      </c>
      <c r="C3940" s="208" t="s">
        <v>269</v>
      </c>
      <c r="D3940" s="592">
        <v>-5000</v>
      </c>
      <c r="E3940" s="212">
        <v>45474</v>
      </c>
      <c r="F3940" s="208" t="s">
        <v>109</v>
      </c>
      <c r="G3940" s="201" t="s">
        <v>918</v>
      </c>
      <c r="H3940" s="208" t="s">
        <v>175</v>
      </c>
      <c r="I3940" s="208" t="s">
        <v>3378</v>
      </c>
      <c r="J3940" s="209"/>
      <c r="K3940" s="209"/>
      <c r="L3940" s="209"/>
      <c r="M3940" s="209"/>
      <c r="N3940" s="209"/>
      <c r="O3940" s="209"/>
      <c r="P3940" s="209"/>
      <c r="Q3940" s="209"/>
      <c r="R3940" s="209"/>
      <c r="S3940" s="209"/>
      <c r="T3940" s="209"/>
    </row>
    <row r="3941" spans="1:20" ht="15" hidden="1" customHeight="1">
      <c r="A3941" s="468">
        <v>45499</v>
      </c>
      <c r="B3941" s="208" t="s">
        <v>3385</v>
      </c>
      <c r="C3941" s="208" t="s">
        <v>269</v>
      </c>
      <c r="D3941" s="592">
        <v>-12000</v>
      </c>
      <c r="E3941" s="212">
        <v>45474</v>
      </c>
      <c r="F3941" s="208" t="s">
        <v>109</v>
      </c>
      <c r="G3941" s="201" t="s">
        <v>918</v>
      </c>
      <c r="H3941" s="208" t="s">
        <v>138</v>
      </c>
      <c r="I3941" s="208" t="s">
        <v>3378</v>
      </c>
      <c r="J3941" s="209"/>
      <c r="K3941" s="209"/>
      <c r="L3941" s="209"/>
      <c r="M3941" s="209"/>
      <c r="N3941" s="209"/>
      <c r="O3941" s="209"/>
      <c r="P3941" s="209"/>
      <c r="Q3941" s="209"/>
      <c r="R3941" s="209"/>
      <c r="S3941" s="209"/>
      <c r="T3941" s="209"/>
    </row>
    <row r="3942" spans="1:20" ht="15" hidden="1" customHeight="1">
      <c r="A3942" s="468">
        <v>45499</v>
      </c>
      <c r="B3942" s="208" t="s">
        <v>3390</v>
      </c>
      <c r="C3942" s="208" t="s">
        <v>269</v>
      </c>
      <c r="D3942" s="592">
        <v>-30000</v>
      </c>
      <c r="E3942" s="212">
        <v>45474</v>
      </c>
      <c r="F3942" s="208" t="s">
        <v>109</v>
      </c>
      <c r="G3942" s="201" t="s">
        <v>918</v>
      </c>
      <c r="H3942" s="208" t="s">
        <v>147</v>
      </c>
      <c r="I3942" s="208" t="s">
        <v>3378</v>
      </c>
      <c r="J3942" s="209"/>
      <c r="K3942" s="209"/>
      <c r="L3942" s="209"/>
      <c r="M3942" s="209"/>
      <c r="N3942" s="209"/>
      <c r="O3942" s="209"/>
      <c r="P3942" s="209"/>
      <c r="Q3942" s="209"/>
      <c r="R3942" s="209"/>
      <c r="S3942" s="209"/>
      <c r="T3942" s="209"/>
    </row>
    <row r="3943" spans="1:20" ht="15" hidden="1" customHeight="1">
      <c r="A3943" s="468">
        <v>45499</v>
      </c>
      <c r="B3943" s="208" t="s">
        <v>3391</v>
      </c>
      <c r="C3943" s="208" t="s">
        <v>269</v>
      </c>
      <c r="D3943" s="592">
        <v>-21200</v>
      </c>
      <c r="E3943" s="212">
        <v>45474</v>
      </c>
      <c r="F3943" s="208" t="s">
        <v>109</v>
      </c>
      <c r="G3943" s="201" t="s">
        <v>918</v>
      </c>
      <c r="H3943" s="208" t="s">
        <v>147</v>
      </c>
      <c r="I3943" s="208" t="s">
        <v>3378</v>
      </c>
      <c r="J3943" s="209"/>
      <c r="K3943" s="209"/>
      <c r="L3943" s="209"/>
      <c r="M3943" s="209"/>
      <c r="N3943" s="209"/>
      <c r="O3943" s="209"/>
      <c r="P3943" s="209"/>
      <c r="Q3943" s="209"/>
      <c r="R3943" s="209"/>
      <c r="S3943" s="209"/>
      <c r="T3943" s="209"/>
    </row>
    <row r="3944" spans="1:20" ht="15" hidden="1" customHeight="1">
      <c r="A3944" s="468">
        <v>45499</v>
      </c>
      <c r="B3944" s="208" t="s">
        <v>3392</v>
      </c>
      <c r="C3944" s="208" t="s">
        <v>269</v>
      </c>
      <c r="D3944" s="592">
        <v>-6999</v>
      </c>
      <c r="E3944" s="212">
        <v>45474</v>
      </c>
      <c r="F3944" s="208" t="s">
        <v>109</v>
      </c>
      <c r="G3944" s="201" t="s">
        <v>918</v>
      </c>
      <c r="H3944" s="208" t="s">
        <v>175</v>
      </c>
      <c r="I3944" s="208" t="s">
        <v>3378</v>
      </c>
      <c r="J3944" s="209"/>
      <c r="K3944" s="209"/>
      <c r="L3944" s="209"/>
      <c r="M3944" s="209"/>
      <c r="N3944" s="209"/>
      <c r="O3944" s="209"/>
      <c r="P3944" s="209"/>
      <c r="Q3944" s="209"/>
      <c r="R3944" s="209"/>
      <c r="S3944" s="209"/>
      <c r="T3944" s="209"/>
    </row>
    <row r="3945" spans="1:20" ht="15" hidden="1" customHeight="1">
      <c r="A3945" s="468">
        <v>45499</v>
      </c>
      <c r="B3945" s="208" t="s">
        <v>3393</v>
      </c>
      <c r="C3945" s="208" t="s">
        <v>269</v>
      </c>
      <c r="D3945" s="592">
        <v>-32000</v>
      </c>
      <c r="E3945" s="212">
        <v>45474</v>
      </c>
      <c r="F3945" s="208" t="s">
        <v>109</v>
      </c>
      <c r="G3945" s="201" t="s">
        <v>918</v>
      </c>
      <c r="H3945" s="208" t="s">
        <v>138</v>
      </c>
      <c r="I3945" s="208" t="s">
        <v>3378</v>
      </c>
      <c r="J3945" s="209"/>
      <c r="K3945" s="209"/>
      <c r="L3945" s="209"/>
      <c r="M3945" s="209"/>
      <c r="N3945" s="209"/>
      <c r="O3945" s="209"/>
      <c r="P3945" s="209"/>
      <c r="Q3945" s="209"/>
      <c r="R3945" s="209"/>
      <c r="S3945" s="209"/>
      <c r="T3945" s="209"/>
    </row>
    <row r="3946" spans="1:20" ht="15" hidden="1" customHeight="1">
      <c r="A3946" s="468">
        <v>45499</v>
      </c>
      <c r="B3946" s="208" t="s">
        <v>3387</v>
      </c>
      <c r="C3946" s="208" t="s">
        <v>269</v>
      </c>
      <c r="D3946" s="592">
        <v>-6000</v>
      </c>
      <c r="E3946" s="212">
        <v>45474</v>
      </c>
      <c r="F3946" s="208" t="s">
        <v>109</v>
      </c>
      <c r="G3946" s="201" t="s">
        <v>918</v>
      </c>
      <c r="H3946" s="208" t="s">
        <v>138</v>
      </c>
      <c r="I3946" s="208" t="s">
        <v>3378</v>
      </c>
      <c r="J3946" s="209"/>
      <c r="K3946" s="209"/>
      <c r="L3946" s="209"/>
      <c r="M3946" s="209"/>
      <c r="N3946" s="209"/>
      <c r="O3946" s="209"/>
      <c r="P3946" s="209"/>
      <c r="Q3946" s="209"/>
      <c r="R3946" s="209"/>
      <c r="S3946" s="209"/>
      <c r="T3946" s="209"/>
    </row>
    <row r="3947" spans="1:20" ht="15" hidden="1" customHeight="1">
      <c r="A3947" s="468">
        <v>45499</v>
      </c>
      <c r="B3947" s="208" t="s">
        <v>3394</v>
      </c>
      <c r="C3947" s="208" t="s">
        <v>269</v>
      </c>
      <c r="D3947" s="592">
        <v>-15000</v>
      </c>
      <c r="E3947" s="212">
        <v>45474</v>
      </c>
      <c r="F3947" s="208" t="s">
        <v>109</v>
      </c>
      <c r="G3947" s="201" t="s">
        <v>918</v>
      </c>
      <c r="H3947" s="208" t="s">
        <v>147</v>
      </c>
      <c r="I3947" s="208" t="s">
        <v>3378</v>
      </c>
      <c r="J3947" s="209"/>
      <c r="K3947" s="209"/>
      <c r="L3947" s="209"/>
      <c r="M3947" s="209"/>
      <c r="N3947" s="209"/>
      <c r="O3947" s="209"/>
      <c r="P3947" s="209"/>
      <c r="Q3947" s="209"/>
      <c r="R3947" s="209"/>
      <c r="S3947" s="209"/>
      <c r="T3947" s="209"/>
    </row>
    <row r="3948" spans="1:20" ht="15" hidden="1" customHeight="1">
      <c r="A3948" s="468">
        <v>45499</v>
      </c>
      <c r="B3948" s="208" t="s">
        <v>3395</v>
      </c>
      <c r="C3948" s="208" t="s">
        <v>269</v>
      </c>
      <c r="D3948" s="592">
        <v>-16000</v>
      </c>
      <c r="E3948" s="212">
        <v>45474</v>
      </c>
      <c r="F3948" s="208" t="s">
        <v>109</v>
      </c>
      <c r="G3948" s="201" t="s">
        <v>918</v>
      </c>
      <c r="H3948" s="208" t="s">
        <v>138</v>
      </c>
      <c r="I3948" s="208" t="s">
        <v>3378</v>
      </c>
      <c r="J3948" s="209"/>
      <c r="K3948" s="209"/>
      <c r="L3948" s="209"/>
      <c r="M3948" s="209"/>
      <c r="N3948" s="209"/>
      <c r="O3948" s="209"/>
      <c r="P3948" s="209"/>
      <c r="Q3948" s="209"/>
      <c r="R3948" s="209"/>
      <c r="S3948" s="209"/>
      <c r="T3948" s="209"/>
    </row>
    <row r="3949" spans="1:20" ht="15" hidden="1" customHeight="1">
      <c r="A3949" s="468">
        <v>45499</v>
      </c>
      <c r="B3949" s="208" t="s">
        <v>3396</v>
      </c>
      <c r="C3949" s="208" t="s">
        <v>269</v>
      </c>
      <c r="D3949" s="592">
        <v>-6000</v>
      </c>
      <c r="E3949" s="212">
        <v>45474</v>
      </c>
      <c r="F3949" s="208" t="s">
        <v>109</v>
      </c>
      <c r="G3949" s="201" t="s">
        <v>918</v>
      </c>
      <c r="H3949" s="208" t="s">
        <v>138</v>
      </c>
      <c r="I3949" s="208" t="s">
        <v>3378</v>
      </c>
      <c r="J3949" s="209"/>
      <c r="K3949" s="209"/>
      <c r="L3949" s="209"/>
      <c r="M3949" s="209"/>
      <c r="N3949" s="209"/>
      <c r="O3949" s="209"/>
      <c r="P3949" s="209"/>
      <c r="Q3949" s="209"/>
      <c r="R3949" s="209"/>
      <c r="S3949" s="209"/>
      <c r="T3949" s="209"/>
    </row>
    <row r="3950" spans="1:20" ht="15" hidden="1" customHeight="1">
      <c r="A3950" s="468">
        <v>45499</v>
      </c>
      <c r="B3950" s="208" t="s">
        <v>3397</v>
      </c>
      <c r="C3950" s="208" t="s">
        <v>269</v>
      </c>
      <c r="D3950" s="592">
        <v>-20000</v>
      </c>
      <c r="E3950" s="212">
        <v>45474</v>
      </c>
      <c r="F3950" s="208" t="s">
        <v>109</v>
      </c>
      <c r="G3950" s="201" t="s">
        <v>918</v>
      </c>
      <c r="H3950" s="208" t="s">
        <v>138</v>
      </c>
      <c r="I3950" s="208" t="s">
        <v>3378</v>
      </c>
      <c r="J3950" s="209"/>
      <c r="K3950" s="209"/>
      <c r="L3950" s="209"/>
      <c r="M3950" s="209"/>
      <c r="N3950" s="209"/>
      <c r="O3950" s="209"/>
      <c r="P3950" s="209"/>
      <c r="Q3950" s="209"/>
      <c r="R3950" s="209"/>
      <c r="S3950" s="209"/>
      <c r="T3950" s="209"/>
    </row>
    <row r="3951" spans="1:20" ht="15" hidden="1" customHeight="1">
      <c r="A3951" s="468">
        <v>45499</v>
      </c>
      <c r="B3951" s="208" t="s">
        <v>3398</v>
      </c>
      <c r="C3951" s="208" t="s">
        <v>269</v>
      </c>
      <c r="D3951" s="592">
        <v>-6000</v>
      </c>
      <c r="E3951" s="212">
        <v>45474</v>
      </c>
      <c r="F3951" s="208" t="s">
        <v>109</v>
      </c>
      <c r="G3951" s="201" t="s">
        <v>918</v>
      </c>
      <c r="H3951" s="208" t="s">
        <v>138</v>
      </c>
      <c r="I3951" s="208" t="s">
        <v>3378</v>
      </c>
      <c r="J3951" s="209"/>
      <c r="K3951" s="209"/>
      <c r="L3951" s="209"/>
      <c r="M3951" s="209"/>
      <c r="N3951" s="209"/>
      <c r="O3951" s="209"/>
      <c r="P3951" s="209"/>
      <c r="Q3951" s="209"/>
      <c r="R3951" s="209"/>
      <c r="S3951" s="209"/>
      <c r="T3951" s="209"/>
    </row>
    <row r="3952" spans="1:20" ht="15" hidden="1" customHeight="1">
      <c r="A3952" s="468">
        <v>45499</v>
      </c>
      <c r="B3952" s="208" t="s">
        <v>3399</v>
      </c>
      <c r="C3952" s="208" t="s">
        <v>269</v>
      </c>
      <c r="D3952" s="592">
        <v>-12000</v>
      </c>
      <c r="E3952" s="212">
        <v>45474</v>
      </c>
      <c r="F3952" s="208" t="s">
        <v>109</v>
      </c>
      <c r="G3952" s="201" t="s">
        <v>918</v>
      </c>
      <c r="H3952" s="208" t="s">
        <v>138</v>
      </c>
      <c r="I3952" s="208" t="s">
        <v>3378</v>
      </c>
      <c r="J3952" s="209"/>
      <c r="K3952" s="209"/>
      <c r="L3952" s="209"/>
      <c r="M3952" s="209"/>
      <c r="N3952" s="209"/>
      <c r="O3952" s="209"/>
      <c r="P3952" s="209"/>
      <c r="Q3952" s="209"/>
      <c r="R3952" s="209"/>
      <c r="S3952" s="209"/>
      <c r="T3952" s="209"/>
    </row>
    <row r="3953" spans="1:20" ht="15" hidden="1" customHeight="1">
      <c r="A3953" s="468">
        <v>45499</v>
      </c>
      <c r="B3953" s="208" t="s">
        <v>3400</v>
      </c>
      <c r="C3953" s="208" t="s">
        <v>269</v>
      </c>
      <c r="D3953" s="592">
        <v>-5000</v>
      </c>
      <c r="E3953" s="212">
        <v>45474</v>
      </c>
      <c r="F3953" s="208" t="s">
        <v>109</v>
      </c>
      <c r="G3953" s="201" t="s">
        <v>918</v>
      </c>
      <c r="H3953" s="208" t="s">
        <v>175</v>
      </c>
      <c r="I3953" s="208" t="s">
        <v>3378</v>
      </c>
      <c r="J3953" s="209"/>
      <c r="K3953" s="209"/>
      <c r="L3953" s="209"/>
      <c r="M3953" s="209"/>
      <c r="N3953" s="209"/>
      <c r="O3953" s="209"/>
      <c r="P3953" s="209"/>
      <c r="Q3953" s="209"/>
      <c r="R3953" s="209"/>
      <c r="S3953" s="209"/>
      <c r="T3953" s="209"/>
    </row>
    <row r="3954" spans="1:20" ht="15" hidden="1" customHeight="1">
      <c r="A3954" s="468">
        <v>45499</v>
      </c>
      <c r="B3954" s="208" t="s">
        <v>3401</v>
      </c>
      <c r="C3954" s="208" t="s">
        <v>269</v>
      </c>
      <c r="D3954" s="592">
        <v>-30000</v>
      </c>
      <c r="E3954" s="212">
        <v>45474</v>
      </c>
      <c r="F3954" s="208" t="s">
        <v>109</v>
      </c>
      <c r="G3954" s="201" t="s">
        <v>918</v>
      </c>
      <c r="H3954" s="208" t="s">
        <v>147</v>
      </c>
      <c r="I3954" s="208" t="s">
        <v>3378</v>
      </c>
      <c r="J3954" s="209"/>
      <c r="K3954" s="209"/>
      <c r="L3954" s="209"/>
      <c r="M3954" s="209"/>
      <c r="N3954" s="209"/>
      <c r="O3954" s="209"/>
      <c r="P3954" s="209"/>
      <c r="Q3954" s="209"/>
      <c r="R3954" s="209"/>
      <c r="S3954" s="209"/>
      <c r="T3954" s="209"/>
    </row>
    <row r="3955" spans="1:20" ht="15" hidden="1" customHeight="1">
      <c r="A3955" s="468">
        <v>45499</v>
      </c>
      <c r="B3955" s="208" t="s">
        <v>3402</v>
      </c>
      <c r="C3955" s="208" t="s">
        <v>269</v>
      </c>
      <c r="D3955" s="592">
        <v>-13000</v>
      </c>
      <c r="E3955" s="212">
        <v>45474</v>
      </c>
      <c r="F3955" s="208" t="s">
        <v>109</v>
      </c>
      <c r="G3955" s="201" t="s">
        <v>918</v>
      </c>
      <c r="H3955" s="208" t="s">
        <v>147</v>
      </c>
      <c r="I3955" s="208" t="s">
        <v>3378</v>
      </c>
      <c r="J3955" s="209"/>
      <c r="K3955" s="209"/>
      <c r="L3955" s="209"/>
      <c r="M3955" s="209"/>
      <c r="N3955" s="209"/>
      <c r="O3955" s="209"/>
      <c r="P3955" s="209"/>
      <c r="Q3955" s="209"/>
      <c r="R3955" s="209"/>
      <c r="S3955" s="209"/>
      <c r="T3955" s="209"/>
    </row>
    <row r="3956" spans="1:20" ht="15" hidden="1" customHeight="1">
      <c r="A3956" s="468">
        <v>45499</v>
      </c>
      <c r="B3956" s="208" t="s">
        <v>3403</v>
      </c>
      <c r="C3956" s="208" t="s">
        <v>269</v>
      </c>
      <c r="D3956" s="592">
        <v>-18000</v>
      </c>
      <c r="E3956" s="212">
        <v>45474</v>
      </c>
      <c r="F3956" s="208" t="s">
        <v>109</v>
      </c>
      <c r="G3956" s="201" t="s">
        <v>918</v>
      </c>
      <c r="H3956" s="208" t="s">
        <v>147</v>
      </c>
      <c r="I3956" s="208" t="s">
        <v>3378</v>
      </c>
      <c r="J3956" s="209"/>
      <c r="K3956" s="209"/>
      <c r="L3956" s="209"/>
      <c r="M3956" s="209"/>
      <c r="N3956" s="209"/>
      <c r="O3956" s="209"/>
      <c r="P3956" s="209"/>
      <c r="Q3956" s="209"/>
      <c r="R3956" s="209"/>
      <c r="S3956" s="209"/>
      <c r="T3956" s="209"/>
    </row>
    <row r="3957" spans="1:20" ht="15" hidden="1" customHeight="1">
      <c r="A3957" s="468">
        <v>45499</v>
      </c>
      <c r="B3957" s="208" t="s">
        <v>3404</v>
      </c>
      <c r="C3957" s="208" t="s">
        <v>269</v>
      </c>
      <c r="D3957" s="592">
        <v>-32000</v>
      </c>
      <c r="E3957" s="212">
        <v>45474</v>
      </c>
      <c r="F3957" s="208" t="s">
        <v>109</v>
      </c>
      <c r="G3957" s="201" t="s">
        <v>918</v>
      </c>
      <c r="H3957" s="208" t="s">
        <v>138</v>
      </c>
      <c r="I3957" s="208" t="s">
        <v>3378</v>
      </c>
      <c r="J3957" s="209"/>
      <c r="K3957" s="209"/>
      <c r="L3957" s="209"/>
      <c r="M3957" s="209"/>
      <c r="N3957" s="209"/>
      <c r="O3957" s="209"/>
      <c r="P3957" s="209"/>
      <c r="Q3957" s="209"/>
      <c r="R3957" s="209"/>
      <c r="S3957" s="209"/>
      <c r="T3957" s="209"/>
    </row>
    <row r="3958" spans="1:20" ht="15" hidden="1" customHeight="1">
      <c r="A3958" s="468">
        <v>45499</v>
      </c>
      <c r="B3958" s="208" t="s">
        <v>3405</v>
      </c>
      <c r="C3958" s="208" t="s">
        <v>269</v>
      </c>
      <c r="D3958" s="592">
        <v>-6000</v>
      </c>
      <c r="E3958" s="212">
        <v>45474</v>
      </c>
      <c r="F3958" s="208" t="s">
        <v>109</v>
      </c>
      <c r="G3958" s="201" t="s">
        <v>918</v>
      </c>
      <c r="H3958" s="208" t="s">
        <v>138</v>
      </c>
      <c r="I3958" s="208" t="s">
        <v>3378</v>
      </c>
      <c r="J3958" s="209"/>
      <c r="K3958" s="209"/>
      <c r="L3958" s="209"/>
      <c r="M3958" s="209"/>
      <c r="N3958" s="209"/>
      <c r="O3958" s="209"/>
      <c r="P3958" s="209"/>
      <c r="Q3958" s="209"/>
      <c r="R3958" s="209"/>
      <c r="S3958" s="209"/>
      <c r="T3958" s="209"/>
    </row>
    <row r="3959" spans="1:20" ht="15" hidden="1" customHeight="1">
      <c r="A3959" s="468">
        <v>45499</v>
      </c>
      <c r="B3959" s="208" t="s">
        <v>3406</v>
      </c>
      <c r="C3959" s="208" t="s">
        <v>269</v>
      </c>
      <c r="D3959" s="592">
        <v>-6000</v>
      </c>
      <c r="E3959" s="212">
        <v>45474</v>
      </c>
      <c r="F3959" s="208" t="s">
        <v>109</v>
      </c>
      <c r="G3959" s="201" t="s">
        <v>918</v>
      </c>
      <c r="H3959" s="208" t="s">
        <v>138</v>
      </c>
      <c r="I3959" s="208" t="s">
        <v>3378</v>
      </c>
      <c r="J3959" s="209"/>
      <c r="K3959" s="209"/>
      <c r="L3959" s="209"/>
      <c r="M3959" s="209"/>
      <c r="N3959" s="209"/>
      <c r="O3959" s="209"/>
      <c r="P3959" s="209"/>
      <c r="Q3959" s="209"/>
      <c r="R3959" s="209"/>
      <c r="S3959" s="209"/>
      <c r="T3959" s="209"/>
    </row>
    <row r="3960" spans="1:20" ht="15" hidden="1" customHeight="1">
      <c r="A3960" s="468">
        <v>45499</v>
      </c>
      <c r="B3960" s="208" t="s">
        <v>3407</v>
      </c>
      <c r="C3960" s="208" t="s">
        <v>269</v>
      </c>
      <c r="D3960" s="592">
        <v>-60000</v>
      </c>
      <c r="E3960" s="212">
        <v>45474</v>
      </c>
      <c r="F3960" s="208" t="s">
        <v>109</v>
      </c>
      <c r="G3960" s="201" t="s">
        <v>918</v>
      </c>
      <c r="H3960" s="208" t="s">
        <v>147</v>
      </c>
      <c r="I3960" s="208" t="s">
        <v>3378</v>
      </c>
      <c r="J3960" s="209"/>
      <c r="K3960" s="209"/>
      <c r="L3960" s="209"/>
      <c r="M3960" s="209"/>
      <c r="N3960" s="209"/>
      <c r="O3960" s="209"/>
      <c r="P3960" s="209"/>
      <c r="Q3960" s="209"/>
      <c r="R3960" s="209"/>
      <c r="S3960" s="209"/>
      <c r="T3960" s="209"/>
    </row>
    <row r="3961" spans="1:20" ht="15" hidden="1" customHeight="1">
      <c r="A3961" s="468">
        <v>45499</v>
      </c>
      <c r="B3961" s="208" t="s">
        <v>3408</v>
      </c>
      <c r="C3961" s="208" t="s">
        <v>269</v>
      </c>
      <c r="D3961" s="592">
        <v>-70000</v>
      </c>
      <c r="E3961" s="212">
        <v>45474</v>
      </c>
      <c r="F3961" s="208" t="s">
        <v>109</v>
      </c>
      <c r="G3961" s="201" t="s">
        <v>918</v>
      </c>
      <c r="H3961" s="208" t="s">
        <v>138</v>
      </c>
      <c r="I3961" s="208" t="s">
        <v>3378</v>
      </c>
      <c r="J3961" s="209"/>
      <c r="K3961" s="209"/>
      <c r="L3961" s="209"/>
      <c r="M3961" s="209"/>
      <c r="N3961" s="209"/>
      <c r="O3961" s="209"/>
      <c r="P3961" s="209"/>
      <c r="Q3961" s="209"/>
      <c r="R3961" s="209"/>
      <c r="S3961" s="209"/>
      <c r="T3961" s="209"/>
    </row>
    <row r="3962" spans="1:20" ht="15" hidden="1" customHeight="1">
      <c r="A3962" s="468">
        <v>45499</v>
      </c>
      <c r="B3962" s="208" t="s">
        <v>3409</v>
      </c>
      <c r="C3962" s="208" t="s">
        <v>269</v>
      </c>
      <c r="D3962" s="592">
        <v>-27705</v>
      </c>
      <c r="E3962" s="212">
        <v>45474</v>
      </c>
      <c r="F3962" s="208" t="s">
        <v>109</v>
      </c>
      <c r="G3962" s="201" t="s">
        <v>918</v>
      </c>
      <c r="H3962" s="208" t="s">
        <v>147</v>
      </c>
      <c r="I3962" s="208" t="s">
        <v>3378</v>
      </c>
      <c r="J3962" s="209"/>
      <c r="K3962" s="209"/>
      <c r="L3962" s="209"/>
      <c r="M3962" s="209"/>
      <c r="N3962" s="209"/>
      <c r="O3962" s="209"/>
      <c r="P3962" s="209"/>
      <c r="Q3962" s="209"/>
      <c r="R3962" s="209"/>
      <c r="S3962" s="209"/>
      <c r="T3962" s="209"/>
    </row>
    <row r="3963" spans="1:20" ht="15" hidden="1" customHeight="1">
      <c r="A3963" s="468">
        <v>45499</v>
      </c>
      <c r="B3963" s="208" t="s">
        <v>3410</v>
      </c>
      <c r="C3963" s="208" t="s">
        <v>269</v>
      </c>
      <c r="D3963" s="592">
        <v>-37500</v>
      </c>
      <c r="E3963" s="212">
        <v>45474</v>
      </c>
      <c r="F3963" s="208" t="s">
        <v>109</v>
      </c>
      <c r="G3963" s="201" t="s">
        <v>918</v>
      </c>
      <c r="H3963" s="208" t="s">
        <v>147</v>
      </c>
      <c r="I3963" s="208" t="s">
        <v>3378</v>
      </c>
      <c r="J3963" s="209"/>
      <c r="K3963" s="209"/>
      <c r="L3963" s="209"/>
      <c r="M3963" s="209"/>
      <c r="N3963" s="209"/>
      <c r="O3963" s="209"/>
      <c r="P3963" s="209"/>
      <c r="Q3963" s="209"/>
      <c r="R3963" s="209"/>
      <c r="S3963" s="209"/>
      <c r="T3963" s="209"/>
    </row>
    <row r="3964" spans="1:20" ht="15" hidden="1" customHeight="1">
      <c r="A3964" s="468">
        <v>45499</v>
      </c>
      <c r="B3964" s="208" t="s">
        <v>3411</v>
      </c>
      <c r="C3964" s="208" t="s">
        <v>269</v>
      </c>
      <c r="D3964" s="592">
        <v>-40000</v>
      </c>
      <c r="E3964" s="212">
        <v>45474</v>
      </c>
      <c r="F3964" s="208" t="s">
        <v>109</v>
      </c>
      <c r="G3964" s="201" t="s">
        <v>918</v>
      </c>
      <c r="H3964" s="208" t="s">
        <v>147</v>
      </c>
      <c r="I3964" s="208" t="s">
        <v>3378</v>
      </c>
      <c r="J3964" s="209"/>
      <c r="K3964" s="209"/>
      <c r="L3964" s="209"/>
      <c r="M3964" s="209"/>
      <c r="N3964" s="209"/>
      <c r="O3964" s="209"/>
      <c r="P3964" s="209"/>
      <c r="Q3964" s="209"/>
      <c r="R3964" s="209"/>
      <c r="S3964" s="209"/>
      <c r="T3964" s="209"/>
    </row>
    <row r="3965" spans="1:20" ht="15" hidden="1" customHeight="1">
      <c r="A3965" s="468">
        <v>45499</v>
      </c>
      <c r="B3965" s="208" t="s">
        <v>3412</v>
      </c>
      <c r="C3965" s="208" t="s">
        <v>269</v>
      </c>
      <c r="D3965" s="592">
        <v>-80300.19</v>
      </c>
      <c r="E3965" s="212">
        <v>45474</v>
      </c>
      <c r="F3965" s="208" t="s">
        <v>109</v>
      </c>
      <c r="G3965" s="201" t="s">
        <v>918</v>
      </c>
      <c r="H3965" s="208" t="s">
        <v>175</v>
      </c>
      <c r="I3965" s="208" t="s">
        <v>3378</v>
      </c>
      <c r="J3965" s="209"/>
      <c r="K3965" s="209"/>
      <c r="L3965" s="209"/>
      <c r="M3965" s="209"/>
      <c r="N3965" s="209"/>
      <c r="O3965" s="209"/>
      <c r="P3965" s="209"/>
      <c r="Q3965" s="209"/>
      <c r="R3965" s="209"/>
      <c r="S3965" s="209"/>
      <c r="T3965" s="209"/>
    </row>
    <row r="3966" spans="1:20" ht="15" hidden="1" customHeight="1">
      <c r="A3966" s="468">
        <v>45499</v>
      </c>
      <c r="B3966" s="208" t="s">
        <v>3383</v>
      </c>
      <c r="C3966" s="208" t="s">
        <v>269</v>
      </c>
      <c r="D3966" s="592">
        <v>-59999.19</v>
      </c>
      <c r="E3966" s="212">
        <v>45474</v>
      </c>
      <c r="F3966" s="208" t="s">
        <v>109</v>
      </c>
      <c r="G3966" s="201" t="s">
        <v>918</v>
      </c>
      <c r="H3966" s="208" t="s">
        <v>147</v>
      </c>
      <c r="I3966" s="208" t="s">
        <v>3378</v>
      </c>
      <c r="J3966" s="209"/>
      <c r="K3966" s="209"/>
      <c r="L3966" s="209"/>
      <c r="M3966" s="209"/>
      <c r="N3966" s="209"/>
      <c r="O3966" s="209"/>
      <c r="P3966" s="209"/>
      <c r="Q3966" s="209"/>
      <c r="R3966" s="209"/>
      <c r="S3966" s="209"/>
      <c r="T3966" s="209"/>
    </row>
    <row r="3967" spans="1:20" ht="15" hidden="1" customHeight="1">
      <c r="A3967" s="468">
        <v>45499</v>
      </c>
      <c r="B3967" s="208" t="s">
        <v>3413</v>
      </c>
      <c r="C3967" s="208" t="s">
        <v>269</v>
      </c>
      <c r="D3967" s="592">
        <v>-32000</v>
      </c>
      <c r="E3967" s="212">
        <v>45474</v>
      </c>
      <c r="F3967" s="208" t="s">
        <v>109</v>
      </c>
      <c r="G3967" s="201" t="s">
        <v>918</v>
      </c>
      <c r="H3967" s="208" t="s">
        <v>138</v>
      </c>
      <c r="I3967" s="208" t="s">
        <v>3378</v>
      </c>
      <c r="J3967" s="209"/>
      <c r="K3967" s="209"/>
      <c r="L3967" s="209"/>
      <c r="M3967" s="209"/>
      <c r="N3967" s="209"/>
      <c r="O3967" s="209"/>
      <c r="P3967" s="209"/>
      <c r="Q3967" s="209"/>
      <c r="R3967" s="209"/>
      <c r="S3967" s="209"/>
      <c r="T3967" s="209"/>
    </row>
    <row r="3968" spans="1:20" ht="15" hidden="1" customHeight="1">
      <c r="A3968" s="468">
        <v>45499</v>
      </c>
      <c r="B3968" s="208" t="s">
        <v>3414</v>
      </c>
      <c r="C3968" s="208" t="s">
        <v>269</v>
      </c>
      <c r="D3968" s="592">
        <v>-15000</v>
      </c>
      <c r="E3968" s="212">
        <v>45474</v>
      </c>
      <c r="F3968" s="208" t="s">
        <v>109</v>
      </c>
      <c r="G3968" s="201" t="s">
        <v>918</v>
      </c>
      <c r="H3968" s="208" t="s">
        <v>147</v>
      </c>
      <c r="I3968" s="208" t="s">
        <v>3378</v>
      </c>
      <c r="J3968" s="209"/>
      <c r="K3968" s="209"/>
      <c r="L3968" s="209"/>
      <c r="M3968" s="209"/>
      <c r="N3968" s="209"/>
      <c r="O3968" s="209"/>
      <c r="P3968" s="209"/>
      <c r="Q3968" s="209"/>
      <c r="R3968" s="209"/>
      <c r="S3968" s="209"/>
      <c r="T3968" s="209"/>
    </row>
    <row r="3969" spans="1:20" ht="15" hidden="1" customHeight="1">
      <c r="A3969" s="468">
        <v>45499</v>
      </c>
      <c r="B3969" s="208" t="s">
        <v>3415</v>
      </c>
      <c r="C3969" s="208" t="s">
        <v>269</v>
      </c>
      <c r="D3969" s="592">
        <v>-16000</v>
      </c>
      <c r="E3969" s="212">
        <v>45474</v>
      </c>
      <c r="F3969" s="208" t="s">
        <v>109</v>
      </c>
      <c r="G3969" s="201" t="s">
        <v>918</v>
      </c>
      <c r="H3969" s="208" t="s">
        <v>138</v>
      </c>
      <c r="I3969" s="208" t="s">
        <v>3378</v>
      </c>
      <c r="J3969" s="209"/>
      <c r="K3969" s="209"/>
      <c r="L3969" s="209"/>
      <c r="M3969" s="209"/>
      <c r="N3969" s="209"/>
      <c r="O3969" s="209"/>
      <c r="P3969" s="209"/>
      <c r="Q3969" s="209"/>
      <c r="R3969" s="209"/>
      <c r="S3969" s="209"/>
      <c r="T3969" s="209"/>
    </row>
    <row r="3970" spans="1:20" ht="15" hidden="1" customHeight="1">
      <c r="A3970" s="468">
        <v>45499</v>
      </c>
      <c r="B3970" s="208" t="s">
        <v>3387</v>
      </c>
      <c r="C3970" s="208" t="s">
        <v>269</v>
      </c>
      <c r="D3970" s="592">
        <v>-6000</v>
      </c>
      <c r="E3970" s="212">
        <v>45474</v>
      </c>
      <c r="F3970" s="208" t="s">
        <v>109</v>
      </c>
      <c r="G3970" s="201" t="s">
        <v>918</v>
      </c>
      <c r="H3970" s="208" t="s">
        <v>138</v>
      </c>
      <c r="I3970" s="208" t="s">
        <v>3378</v>
      </c>
      <c r="J3970" s="209"/>
      <c r="K3970" s="209"/>
      <c r="L3970" s="209"/>
      <c r="M3970" s="209"/>
      <c r="N3970" s="209"/>
      <c r="O3970" s="209"/>
      <c r="P3970" s="209"/>
      <c r="Q3970" s="209"/>
      <c r="R3970" s="209"/>
      <c r="S3970" s="209"/>
      <c r="T3970" s="209"/>
    </row>
    <row r="3971" spans="1:20" s="451" customFormat="1" ht="15" hidden="1" customHeight="1">
      <c r="A3971" s="468">
        <v>45499</v>
      </c>
      <c r="B3971" s="208" t="s">
        <v>3416</v>
      </c>
      <c r="C3971" s="223" t="s">
        <v>269</v>
      </c>
      <c r="D3971" s="592">
        <v>-110000</v>
      </c>
      <c r="E3971" s="212">
        <v>45474</v>
      </c>
      <c r="F3971" s="208" t="s">
        <v>109</v>
      </c>
      <c r="G3971" s="201" t="s">
        <v>918</v>
      </c>
      <c r="H3971" s="208" t="s">
        <v>138</v>
      </c>
      <c r="I3971" s="208" t="s">
        <v>2052</v>
      </c>
      <c r="J3971" s="209"/>
      <c r="K3971" s="209"/>
      <c r="L3971" s="209"/>
      <c r="M3971" s="209"/>
      <c r="N3971" s="209"/>
      <c r="O3971" s="209"/>
      <c r="P3971" s="209"/>
      <c r="Q3971" s="209"/>
      <c r="R3971" s="209"/>
      <c r="S3971" s="209"/>
      <c r="T3971" s="209"/>
    </row>
    <row r="3972" spans="1:20" ht="15" hidden="1" customHeight="1">
      <c r="A3972" s="468">
        <v>45499</v>
      </c>
      <c r="B3972" s="208" t="s">
        <v>3417</v>
      </c>
      <c r="C3972" s="223" t="s">
        <v>269</v>
      </c>
      <c r="D3972" s="592">
        <v>-6000</v>
      </c>
      <c r="E3972" s="212">
        <v>45474</v>
      </c>
      <c r="F3972" s="208" t="s">
        <v>110</v>
      </c>
      <c r="G3972" s="208" t="s">
        <v>2844</v>
      </c>
      <c r="H3972" s="208" t="s">
        <v>138</v>
      </c>
      <c r="I3972" s="208" t="s">
        <v>2052</v>
      </c>
      <c r="J3972" s="209"/>
      <c r="K3972" s="209"/>
      <c r="L3972" s="209"/>
      <c r="M3972" s="209"/>
      <c r="N3972" s="209"/>
      <c r="O3972" s="209"/>
      <c r="P3972" s="209"/>
      <c r="Q3972" s="209"/>
      <c r="R3972" s="209"/>
      <c r="S3972" s="209"/>
      <c r="T3972" s="209"/>
    </row>
    <row r="3973" spans="1:20" ht="15" hidden="1" customHeight="1">
      <c r="A3973" s="468">
        <v>45499</v>
      </c>
      <c r="B3973" s="208" t="s">
        <v>3418</v>
      </c>
      <c r="C3973" s="223" t="s">
        <v>269</v>
      </c>
      <c r="D3973" s="592">
        <v>-6000</v>
      </c>
      <c r="E3973" s="212">
        <v>45474</v>
      </c>
      <c r="F3973" s="208" t="s">
        <v>110</v>
      </c>
      <c r="G3973" s="208" t="s">
        <v>453</v>
      </c>
      <c r="H3973" s="208" t="s">
        <v>138</v>
      </c>
      <c r="I3973" s="208" t="s">
        <v>2052</v>
      </c>
      <c r="J3973" s="209"/>
      <c r="K3973" s="209"/>
      <c r="L3973" s="209"/>
      <c r="M3973" s="209"/>
      <c r="N3973" s="209"/>
      <c r="O3973" s="209"/>
      <c r="P3973" s="209"/>
      <c r="Q3973" s="209"/>
      <c r="R3973" s="209"/>
      <c r="S3973" s="209"/>
      <c r="T3973" s="209"/>
    </row>
    <row r="3974" spans="1:20" ht="15" hidden="1" customHeight="1">
      <c r="A3974" s="468">
        <v>45499</v>
      </c>
      <c r="B3974" s="208" t="s">
        <v>3419</v>
      </c>
      <c r="C3974" s="223" t="s">
        <v>269</v>
      </c>
      <c r="D3974" s="592">
        <v>-6000</v>
      </c>
      <c r="E3974" s="212">
        <v>45474</v>
      </c>
      <c r="F3974" s="208" t="s">
        <v>110</v>
      </c>
      <c r="G3974" s="208" t="s">
        <v>453</v>
      </c>
      <c r="H3974" s="208" t="s">
        <v>138</v>
      </c>
      <c r="I3974" s="208" t="s">
        <v>2052</v>
      </c>
      <c r="J3974" s="209"/>
      <c r="K3974" s="209"/>
      <c r="L3974" s="209"/>
      <c r="M3974" s="209"/>
      <c r="N3974" s="209"/>
      <c r="O3974" s="209"/>
      <c r="P3974" s="209"/>
      <c r="Q3974" s="209"/>
      <c r="R3974" s="209"/>
      <c r="S3974" s="209"/>
      <c r="T3974" s="209"/>
    </row>
    <row r="3975" spans="1:20" ht="15" hidden="1" customHeight="1">
      <c r="A3975" s="468">
        <v>45499</v>
      </c>
      <c r="B3975" s="208" t="s">
        <v>3420</v>
      </c>
      <c r="C3975" s="223" t="s">
        <v>269</v>
      </c>
      <c r="D3975" s="592">
        <v>-6000</v>
      </c>
      <c r="E3975" s="212">
        <v>45474</v>
      </c>
      <c r="F3975" s="208" t="s">
        <v>130</v>
      </c>
      <c r="G3975" s="660" t="s">
        <v>257</v>
      </c>
      <c r="H3975" s="208" t="s">
        <v>138</v>
      </c>
      <c r="I3975" s="208" t="s">
        <v>2052</v>
      </c>
      <c r="J3975" s="209"/>
      <c r="K3975" s="209"/>
      <c r="L3975" s="209"/>
      <c r="M3975" s="209"/>
      <c r="N3975" s="209"/>
      <c r="O3975" s="209"/>
      <c r="P3975" s="209"/>
      <c r="Q3975" s="209"/>
      <c r="R3975" s="209"/>
      <c r="S3975" s="209"/>
      <c r="T3975" s="209"/>
    </row>
    <row r="3976" spans="1:20" ht="15" hidden="1" customHeight="1">
      <c r="A3976" s="468">
        <v>45499</v>
      </c>
      <c r="B3976" s="208" t="s">
        <v>3421</v>
      </c>
      <c r="C3976" s="223" t="s">
        <v>269</v>
      </c>
      <c r="D3976" s="592">
        <v>-6000</v>
      </c>
      <c r="E3976" s="212">
        <v>45474</v>
      </c>
      <c r="F3976" s="208" t="s">
        <v>110</v>
      </c>
      <c r="G3976" s="208" t="s">
        <v>122</v>
      </c>
      <c r="H3976" s="208" t="s">
        <v>138</v>
      </c>
      <c r="I3976" s="208" t="s">
        <v>2052</v>
      </c>
      <c r="J3976" s="209"/>
      <c r="K3976" s="209"/>
      <c r="L3976" s="209"/>
      <c r="M3976" s="209"/>
      <c r="N3976" s="209"/>
      <c r="O3976" s="209"/>
      <c r="P3976" s="209"/>
      <c r="Q3976" s="209"/>
      <c r="R3976" s="209"/>
      <c r="S3976" s="209"/>
      <c r="T3976" s="209"/>
    </row>
    <row r="3977" spans="1:20" ht="15" hidden="1" customHeight="1">
      <c r="A3977" s="468">
        <v>45499</v>
      </c>
      <c r="B3977" s="208" t="s">
        <v>3422</v>
      </c>
      <c r="C3977" s="223" t="s">
        <v>269</v>
      </c>
      <c r="D3977" s="592">
        <v>-6000</v>
      </c>
      <c r="E3977" s="212">
        <v>45474</v>
      </c>
      <c r="F3977" s="208" t="s">
        <v>110</v>
      </c>
      <c r="G3977" s="208" t="s">
        <v>122</v>
      </c>
      <c r="H3977" s="208" t="s">
        <v>138</v>
      </c>
      <c r="I3977" s="208" t="s">
        <v>2052</v>
      </c>
      <c r="J3977" s="209"/>
      <c r="K3977" s="209"/>
      <c r="L3977" s="209"/>
      <c r="M3977" s="209"/>
      <c r="N3977" s="209"/>
      <c r="O3977" s="209"/>
      <c r="P3977" s="209"/>
      <c r="Q3977" s="209"/>
      <c r="R3977" s="209"/>
      <c r="S3977" s="209"/>
      <c r="T3977" s="209"/>
    </row>
    <row r="3978" spans="1:20" ht="15" hidden="1" customHeight="1">
      <c r="A3978" s="468">
        <v>45499</v>
      </c>
      <c r="B3978" s="208" t="s">
        <v>3423</v>
      </c>
      <c r="C3978" s="223" t="s">
        <v>269</v>
      </c>
      <c r="D3978" s="592">
        <v>-6000</v>
      </c>
      <c r="E3978" s="212">
        <v>45474</v>
      </c>
      <c r="F3978" s="208" t="s">
        <v>110</v>
      </c>
      <c r="G3978" s="81" t="s">
        <v>1621</v>
      </c>
      <c r="H3978" s="208" t="s">
        <v>138</v>
      </c>
      <c r="I3978" s="208" t="s">
        <v>2052</v>
      </c>
      <c r="J3978" s="209"/>
      <c r="K3978" s="209"/>
      <c r="L3978" s="209"/>
      <c r="M3978" s="209"/>
      <c r="N3978" s="209"/>
      <c r="O3978" s="209"/>
      <c r="P3978" s="209"/>
      <c r="Q3978" s="209"/>
      <c r="R3978" s="209"/>
      <c r="S3978" s="209"/>
      <c r="T3978" s="209"/>
    </row>
    <row r="3979" spans="1:20" ht="15" hidden="1" customHeight="1">
      <c r="A3979" s="468">
        <v>45499</v>
      </c>
      <c r="B3979" s="208" t="s">
        <v>3424</v>
      </c>
      <c r="C3979" s="223" t="s">
        <v>269</v>
      </c>
      <c r="D3979" s="592">
        <v>-12000</v>
      </c>
      <c r="E3979" s="212">
        <v>45474</v>
      </c>
      <c r="F3979" s="208" t="s">
        <v>110</v>
      </c>
      <c r="G3979" s="81" t="s">
        <v>1621</v>
      </c>
      <c r="H3979" s="208" t="s">
        <v>138</v>
      </c>
      <c r="I3979" s="208" t="s">
        <v>2052</v>
      </c>
      <c r="J3979" s="209"/>
      <c r="K3979" s="209"/>
      <c r="L3979" s="209"/>
      <c r="M3979" s="209"/>
      <c r="N3979" s="209"/>
      <c r="O3979" s="209"/>
      <c r="P3979" s="209"/>
      <c r="Q3979" s="209"/>
      <c r="R3979" s="209"/>
      <c r="S3979" s="209"/>
      <c r="T3979" s="209"/>
    </row>
    <row r="3980" spans="1:20" ht="15" hidden="1" customHeight="1">
      <c r="A3980" s="468">
        <v>45499</v>
      </c>
      <c r="B3980" s="208" t="s">
        <v>3425</v>
      </c>
      <c r="C3980" s="223" t="s">
        <v>269</v>
      </c>
      <c r="D3980" s="592">
        <v>-6000</v>
      </c>
      <c r="E3980" s="212">
        <v>45474</v>
      </c>
      <c r="F3980" s="208" t="s">
        <v>110</v>
      </c>
      <c r="G3980" s="81" t="s">
        <v>1621</v>
      </c>
      <c r="H3980" s="208" t="s">
        <v>138</v>
      </c>
      <c r="I3980" s="208" t="s">
        <v>2052</v>
      </c>
      <c r="J3980" s="209"/>
      <c r="K3980" s="209"/>
      <c r="L3980" s="209"/>
      <c r="M3980" s="209"/>
      <c r="N3980" s="209"/>
      <c r="O3980" s="209"/>
      <c r="P3980" s="209"/>
      <c r="Q3980" s="209"/>
      <c r="R3980" s="209"/>
      <c r="S3980" s="209"/>
      <c r="T3980" s="209"/>
    </row>
    <row r="3981" spans="1:20" ht="15" hidden="1" customHeight="1">
      <c r="A3981" s="468">
        <v>45499</v>
      </c>
      <c r="B3981" s="208" t="s">
        <v>3426</v>
      </c>
      <c r="C3981" s="223" t="s">
        <v>269</v>
      </c>
      <c r="D3981" s="592">
        <v>-12000</v>
      </c>
      <c r="E3981" s="212">
        <v>45474</v>
      </c>
      <c r="F3981" s="208" t="s">
        <v>110</v>
      </c>
      <c r="G3981" s="81" t="s">
        <v>1621</v>
      </c>
      <c r="H3981" s="208" t="s">
        <v>138</v>
      </c>
      <c r="I3981" s="208" t="s">
        <v>2052</v>
      </c>
      <c r="J3981" s="209"/>
      <c r="K3981" s="209"/>
      <c r="L3981" s="209"/>
      <c r="M3981" s="209"/>
      <c r="N3981" s="209"/>
      <c r="O3981" s="209"/>
      <c r="P3981" s="209"/>
      <c r="Q3981" s="209"/>
      <c r="R3981" s="209"/>
      <c r="S3981" s="209"/>
      <c r="T3981" s="209"/>
    </row>
    <row r="3982" spans="1:20" ht="15" hidden="1" customHeight="1">
      <c r="A3982" s="468">
        <v>45499</v>
      </c>
      <c r="B3982" s="208" t="s">
        <v>3417</v>
      </c>
      <c r="C3982" s="223" t="s">
        <v>269</v>
      </c>
      <c r="D3982" s="592">
        <v>-6000</v>
      </c>
      <c r="E3982" s="212">
        <v>45474</v>
      </c>
      <c r="F3982" s="208" t="s">
        <v>110</v>
      </c>
      <c r="G3982" s="208" t="s">
        <v>2844</v>
      </c>
      <c r="H3982" s="208" t="s">
        <v>138</v>
      </c>
      <c r="I3982" s="208" t="s">
        <v>2052</v>
      </c>
      <c r="J3982" s="209"/>
      <c r="K3982" s="209"/>
      <c r="L3982" s="209"/>
      <c r="M3982" s="209"/>
      <c r="N3982" s="209"/>
      <c r="O3982" s="209"/>
      <c r="P3982" s="209"/>
      <c r="Q3982" s="209"/>
      <c r="R3982" s="209"/>
      <c r="S3982" s="209"/>
      <c r="T3982" s="209"/>
    </row>
    <row r="3983" spans="1:20" ht="15" hidden="1" customHeight="1">
      <c r="A3983" s="468">
        <v>45499</v>
      </c>
      <c r="B3983" s="208" t="s">
        <v>3427</v>
      </c>
      <c r="C3983" s="223" t="s">
        <v>269</v>
      </c>
      <c r="D3983" s="592">
        <v>-6000</v>
      </c>
      <c r="E3983" s="212">
        <v>45474</v>
      </c>
      <c r="F3983" s="208" t="s">
        <v>110</v>
      </c>
      <c r="G3983" s="208" t="s">
        <v>2844</v>
      </c>
      <c r="H3983" s="208" t="s">
        <v>138</v>
      </c>
      <c r="I3983" s="208" t="s">
        <v>2052</v>
      </c>
      <c r="J3983" s="209"/>
      <c r="K3983" s="209"/>
      <c r="L3983" s="209"/>
      <c r="M3983" s="209"/>
      <c r="N3983" s="209"/>
      <c r="O3983" s="209"/>
      <c r="P3983" s="209"/>
      <c r="Q3983" s="209"/>
      <c r="R3983" s="209"/>
      <c r="S3983" s="209"/>
      <c r="T3983" s="209"/>
    </row>
    <row r="3984" spans="1:20" ht="15" hidden="1" customHeight="1">
      <c r="A3984" s="468">
        <v>45499</v>
      </c>
      <c r="B3984" s="208" t="s">
        <v>3428</v>
      </c>
      <c r="C3984" s="661" t="s">
        <v>146</v>
      </c>
      <c r="D3984" s="592">
        <v>-16000</v>
      </c>
      <c r="E3984" s="212">
        <v>45474</v>
      </c>
      <c r="F3984" s="291" t="s">
        <v>109</v>
      </c>
      <c r="G3984" s="208" t="s">
        <v>525</v>
      </c>
      <c r="H3984" s="208" t="s">
        <v>138</v>
      </c>
      <c r="I3984" s="208" t="s">
        <v>2052</v>
      </c>
      <c r="J3984" s="209"/>
      <c r="K3984" s="209"/>
      <c r="L3984" s="209"/>
      <c r="M3984" s="209"/>
      <c r="N3984" s="209"/>
      <c r="O3984" s="209"/>
      <c r="P3984" s="209"/>
      <c r="Q3984" s="209"/>
      <c r="R3984" s="209"/>
      <c r="S3984" s="209"/>
      <c r="T3984" s="209"/>
    </row>
    <row r="3985" spans="1:20" ht="15" hidden="1" customHeight="1">
      <c r="A3985" s="468">
        <v>45499</v>
      </c>
      <c r="B3985" s="208" t="s">
        <v>3429</v>
      </c>
      <c r="C3985" s="661" t="s">
        <v>146</v>
      </c>
      <c r="D3985" s="592">
        <v>-6200</v>
      </c>
      <c r="E3985" s="212">
        <v>45474</v>
      </c>
      <c r="F3985" s="291" t="s">
        <v>109</v>
      </c>
      <c r="G3985" s="208" t="s">
        <v>525</v>
      </c>
      <c r="H3985" s="208" t="s">
        <v>138</v>
      </c>
      <c r="I3985" s="208" t="s">
        <v>2052</v>
      </c>
      <c r="J3985" s="209"/>
      <c r="K3985" s="209"/>
      <c r="L3985" s="209"/>
      <c r="M3985" s="209"/>
      <c r="N3985" s="209"/>
      <c r="O3985" s="209"/>
      <c r="P3985" s="209"/>
      <c r="Q3985" s="209"/>
      <c r="R3985" s="209"/>
      <c r="S3985" s="209"/>
      <c r="T3985" s="209"/>
    </row>
    <row r="3986" spans="1:20" ht="15" hidden="1" customHeight="1">
      <c r="A3986" s="468">
        <v>45499</v>
      </c>
      <c r="B3986" s="208" t="s">
        <v>3430</v>
      </c>
      <c r="C3986" s="661" t="s">
        <v>146</v>
      </c>
      <c r="D3986" s="592">
        <v>-60000</v>
      </c>
      <c r="E3986" s="212">
        <v>45474</v>
      </c>
      <c r="F3986" s="291" t="s">
        <v>109</v>
      </c>
      <c r="G3986" s="208" t="s">
        <v>525</v>
      </c>
      <c r="H3986" s="208" t="s">
        <v>138</v>
      </c>
      <c r="I3986" s="208" t="s">
        <v>2052</v>
      </c>
      <c r="J3986" s="209"/>
      <c r="K3986" s="209"/>
      <c r="L3986" s="209"/>
      <c r="M3986" s="209"/>
      <c r="N3986" s="209"/>
      <c r="O3986" s="209"/>
      <c r="P3986" s="209"/>
      <c r="Q3986" s="209"/>
      <c r="R3986" s="209"/>
      <c r="S3986" s="209"/>
      <c r="T3986" s="209"/>
    </row>
    <row r="3987" spans="1:20" ht="15" hidden="1" customHeight="1">
      <c r="A3987" s="468">
        <v>45499</v>
      </c>
      <c r="B3987" s="208" t="s">
        <v>3431</v>
      </c>
      <c r="C3987" s="661" t="s">
        <v>146</v>
      </c>
      <c r="D3987" s="592">
        <v>-14000</v>
      </c>
      <c r="E3987" s="212">
        <v>45474</v>
      </c>
      <c r="F3987" s="291" t="s">
        <v>109</v>
      </c>
      <c r="G3987" s="208" t="s">
        <v>525</v>
      </c>
      <c r="H3987" s="208" t="s">
        <v>138</v>
      </c>
      <c r="I3987" s="208" t="s">
        <v>2052</v>
      </c>
      <c r="J3987" s="209"/>
      <c r="K3987" s="209"/>
      <c r="L3987" s="209"/>
      <c r="M3987" s="209"/>
      <c r="N3987" s="209"/>
      <c r="O3987" s="209"/>
      <c r="P3987" s="209"/>
      <c r="Q3987" s="209"/>
      <c r="R3987" s="209"/>
      <c r="S3987" s="209"/>
      <c r="T3987" s="209"/>
    </row>
    <row r="3988" spans="1:20" ht="15" hidden="1" customHeight="1">
      <c r="A3988" s="468">
        <v>45499</v>
      </c>
      <c r="B3988" s="208" t="s">
        <v>3432</v>
      </c>
      <c r="C3988" s="661" t="s">
        <v>146</v>
      </c>
      <c r="D3988" s="592">
        <v>-20000</v>
      </c>
      <c r="E3988" s="212">
        <v>45474</v>
      </c>
      <c r="F3988" s="291" t="s">
        <v>109</v>
      </c>
      <c r="G3988" s="208" t="s">
        <v>525</v>
      </c>
      <c r="H3988" s="208" t="s">
        <v>138</v>
      </c>
      <c r="I3988" s="208" t="s">
        <v>2052</v>
      </c>
      <c r="J3988" s="209"/>
      <c r="K3988" s="209"/>
      <c r="L3988" s="209"/>
      <c r="M3988" s="209"/>
      <c r="N3988" s="209"/>
      <c r="O3988" s="209"/>
      <c r="P3988" s="209"/>
      <c r="Q3988" s="209"/>
      <c r="R3988" s="209"/>
      <c r="S3988" s="209"/>
      <c r="T3988" s="209"/>
    </row>
    <row r="3989" spans="1:20" ht="15" hidden="1" customHeight="1">
      <c r="A3989" s="468">
        <v>45499</v>
      </c>
      <c r="B3989" s="208" t="s">
        <v>3433</v>
      </c>
      <c r="C3989" s="661" t="s">
        <v>146</v>
      </c>
      <c r="D3989" s="592">
        <v>-71100</v>
      </c>
      <c r="E3989" s="212">
        <v>45474</v>
      </c>
      <c r="F3989" s="291" t="s">
        <v>109</v>
      </c>
      <c r="G3989" s="208" t="s">
        <v>525</v>
      </c>
      <c r="H3989" s="208" t="s">
        <v>138</v>
      </c>
      <c r="I3989" s="208" t="s">
        <v>2052</v>
      </c>
      <c r="J3989" s="209"/>
      <c r="K3989" s="209"/>
      <c r="L3989" s="209"/>
      <c r="M3989" s="209"/>
      <c r="N3989" s="209"/>
      <c r="O3989" s="209"/>
      <c r="P3989" s="209"/>
      <c r="Q3989" s="209"/>
      <c r="R3989" s="209"/>
      <c r="S3989" s="209"/>
      <c r="T3989" s="209"/>
    </row>
    <row r="3990" spans="1:20" ht="15" hidden="1" customHeight="1">
      <c r="A3990" s="468">
        <v>45499</v>
      </c>
      <c r="B3990" s="208" t="s">
        <v>3433</v>
      </c>
      <c r="C3990" s="661" t="s">
        <v>146</v>
      </c>
      <c r="D3990" s="592">
        <v>-34200</v>
      </c>
      <c r="E3990" s="212">
        <v>45474</v>
      </c>
      <c r="F3990" s="291" t="s">
        <v>109</v>
      </c>
      <c r="G3990" s="208" t="s">
        <v>525</v>
      </c>
      <c r="H3990" s="208" t="s">
        <v>138</v>
      </c>
      <c r="I3990" s="208" t="s">
        <v>2052</v>
      </c>
      <c r="J3990" s="209"/>
      <c r="K3990" s="209"/>
      <c r="L3990" s="209"/>
      <c r="M3990" s="209"/>
      <c r="N3990" s="209"/>
      <c r="O3990" s="209"/>
      <c r="P3990" s="209"/>
      <c r="Q3990" s="209"/>
      <c r="R3990" s="209"/>
      <c r="S3990" s="209"/>
      <c r="T3990" s="209"/>
    </row>
    <row r="3991" spans="1:20" ht="15" hidden="1" customHeight="1">
      <c r="A3991" s="468">
        <v>45499</v>
      </c>
      <c r="B3991" s="208" t="s">
        <v>3434</v>
      </c>
      <c r="C3991" s="661" t="s">
        <v>146</v>
      </c>
      <c r="D3991" s="592">
        <v>-28000</v>
      </c>
      <c r="E3991" s="212">
        <v>45474</v>
      </c>
      <c r="F3991" s="291" t="s">
        <v>109</v>
      </c>
      <c r="G3991" s="208" t="s">
        <v>525</v>
      </c>
      <c r="H3991" s="208" t="s">
        <v>138</v>
      </c>
      <c r="I3991" s="208" t="s">
        <v>2052</v>
      </c>
      <c r="J3991" s="209"/>
      <c r="K3991" s="209"/>
      <c r="L3991" s="209"/>
      <c r="M3991" s="209"/>
      <c r="N3991" s="209"/>
      <c r="O3991" s="209"/>
      <c r="P3991" s="209"/>
      <c r="Q3991" s="209"/>
      <c r="R3991" s="209"/>
      <c r="S3991" s="209"/>
      <c r="T3991" s="209"/>
    </row>
    <row r="3992" spans="1:20" ht="15" hidden="1" customHeight="1">
      <c r="A3992" s="468">
        <v>45499</v>
      </c>
      <c r="B3992" s="208" t="s">
        <v>3435</v>
      </c>
      <c r="C3992" s="661" t="s">
        <v>146</v>
      </c>
      <c r="D3992" s="592">
        <v>-181100</v>
      </c>
      <c r="E3992" s="212">
        <v>45474</v>
      </c>
      <c r="F3992" s="208" t="s">
        <v>109</v>
      </c>
      <c r="G3992" s="201" t="s">
        <v>918</v>
      </c>
      <c r="H3992" s="208" t="s">
        <v>138</v>
      </c>
      <c r="I3992" s="208" t="s">
        <v>2052</v>
      </c>
      <c r="J3992" s="209"/>
      <c r="K3992" s="209"/>
      <c r="L3992" s="209"/>
      <c r="M3992" s="209"/>
      <c r="N3992" s="209"/>
      <c r="O3992" s="209"/>
      <c r="P3992" s="209"/>
      <c r="Q3992" s="209"/>
      <c r="R3992" s="209"/>
      <c r="S3992" s="209"/>
      <c r="T3992" s="209"/>
    </row>
    <row r="3993" spans="1:20" ht="15" hidden="1" customHeight="1">
      <c r="A3993" s="468">
        <v>45499</v>
      </c>
      <c r="B3993" s="208" t="s">
        <v>3433</v>
      </c>
      <c r="C3993" s="661" t="s">
        <v>146</v>
      </c>
      <c r="D3993" s="592">
        <v>-15204</v>
      </c>
      <c r="E3993" s="212">
        <v>45474</v>
      </c>
      <c r="F3993" s="291" t="s">
        <v>109</v>
      </c>
      <c r="G3993" s="208" t="s">
        <v>525</v>
      </c>
      <c r="H3993" s="208" t="s">
        <v>138</v>
      </c>
      <c r="I3993" s="208" t="s">
        <v>2052</v>
      </c>
      <c r="J3993" s="209"/>
      <c r="K3993" s="209"/>
      <c r="L3993" s="209"/>
      <c r="M3993" s="209"/>
      <c r="N3993" s="209"/>
      <c r="O3993" s="209"/>
      <c r="P3993" s="209"/>
      <c r="Q3993" s="209"/>
      <c r="R3993" s="209"/>
      <c r="S3993" s="209"/>
      <c r="T3993" s="209"/>
    </row>
    <row r="3994" spans="1:20" ht="15" hidden="1" customHeight="1">
      <c r="A3994" s="468">
        <v>45499</v>
      </c>
      <c r="B3994" s="208" t="s">
        <v>3433</v>
      </c>
      <c r="C3994" s="661" t="s">
        <v>146</v>
      </c>
      <c r="D3994" s="592">
        <v>-384500</v>
      </c>
      <c r="E3994" s="212">
        <v>45474</v>
      </c>
      <c r="F3994" s="208" t="s">
        <v>109</v>
      </c>
      <c r="G3994" s="201" t="s">
        <v>918</v>
      </c>
      <c r="H3994" s="208" t="s">
        <v>138</v>
      </c>
      <c r="I3994" s="208" t="s">
        <v>2052</v>
      </c>
      <c r="J3994" s="209"/>
      <c r="K3994" s="209"/>
      <c r="L3994" s="209"/>
      <c r="M3994" s="209"/>
      <c r="N3994" s="209"/>
      <c r="O3994" s="209"/>
      <c r="P3994" s="209"/>
      <c r="Q3994" s="209"/>
      <c r="R3994" s="209"/>
      <c r="S3994" s="209"/>
      <c r="T3994" s="209"/>
    </row>
    <row r="3995" spans="1:20" ht="15" hidden="1" customHeight="1">
      <c r="A3995" s="468">
        <v>45499</v>
      </c>
      <c r="B3995" s="208" t="s">
        <v>3436</v>
      </c>
      <c r="C3995" s="661" t="s">
        <v>146</v>
      </c>
      <c r="D3995" s="592">
        <v>-70000</v>
      </c>
      <c r="E3995" s="212">
        <v>45474</v>
      </c>
      <c r="F3995" s="291" t="s">
        <v>109</v>
      </c>
      <c r="G3995" s="208" t="s">
        <v>525</v>
      </c>
      <c r="H3995" s="208" t="s">
        <v>138</v>
      </c>
      <c r="I3995" s="208" t="s">
        <v>2052</v>
      </c>
      <c r="J3995" s="209"/>
      <c r="K3995" s="209"/>
      <c r="L3995" s="209"/>
      <c r="M3995" s="209"/>
      <c r="N3995" s="209"/>
      <c r="O3995" s="209"/>
      <c r="P3995" s="209"/>
      <c r="Q3995" s="209"/>
      <c r="R3995" s="209"/>
      <c r="S3995" s="209"/>
      <c r="T3995" s="209"/>
    </row>
    <row r="3996" spans="1:20" ht="15" hidden="1" customHeight="1">
      <c r="A3996" s="468">
        <v>45499</v>
      </c>
      <c r="B3996" s="208" t="s">
        <v>3437</v>
      </c>
      <c r="C3996" s="661" t="s">
        <v>146</v>
      </c>
      <c r="D3996" s="592">
        <v>-79066</v>
      </c>
      <c r="E3996" s="212">
        <v>45474</v>
      </c>
      <c r="F3996" s="208" t="s">
        <v>109</v>
      </c>
      <c r="G3996" s="201" t="s">
        <v>918</v>
      </c>
      <c r="H3996" s="208" t="s">
        <v>138</v>
      </c>
      <c r="I3996" s="208" t="s">
        <v>2052</v>
      </c>
      <c r="J3996" s="209"/>
      <c r="K3996" s="209"/>
      <c r="L3996" s="209"/>
      <c r="M3996" s="209"/>
      <c r="N3996" s="209"/>
      <c r="O3996" s="209"/>
      <c r="P3996" s="209"/>
      <c r="Q3996" s="209"/>
      <c r="R3996" s="209"/>
      <c r="S3996" s="209"/>
      <c r="T3996" s="209"/>
    </row>
    <row r="3997" spans="1:20" ht="15" hidden="1" customHeight="1">
      <c r="A3997" s="468">
        <v>45499</v>
      </c>
      <c r="B3997" s="208" t="s">
        <v>3438</v>
      </c>
      <c r="C3997" s="661" t="s">
        <v>146</v>
      </c>
      <c r="D3997" s="592">
        <v>-70000</v>
      </c>
      <c r="E3997" s="212">
        <v>45474</v>
      </c>
      <c r="F3997" s="208" t="s">
        <v>109</v>
      </c>
      <c r="G3997" s="201" t="s">
        <v>918</v>
      </c>
      <c r="H3997" s="208" t="s">
        <v>138</v>
      </c>
      <c r="I3997" s="208" t="s">
        <v>2052</v>
      </c>
      <c r="J3997" s="209"/>
      <c r="K3997" s="209"/>
      <c r="L3997" s="209"/>
      <c r="M3997" s="209"/>
      <c r="N3997" s="209"/>
      <c r="O3997" s="209"/>
      <c r="P3997" s="209"/>
      <c r="Q3997" s="209"/>
      <c r="R3997" s="209"/>
      <c r="S3997" s="209"/>
      <c r="T3997" s="209"/>
    </row>
    <row r="3998" spans="1:20" ht="15" hidden="1" customHeight="1">
      <c r="A3998" s="468">
        <v>45499</v>
      </c>
      <c r="B3998" s="208" t="s">
        <v>3439</v>
      </c>
      <c r="C3998" s="661" t="s">
        <v>146</v>
      </c>
      <c r="D3998" s="592">
        <v>-15000</v>
      </c>
      <c r="E3998" s="212">
        <v>45474</v>
      </c>
      <c r="F3998" s="291" t="s">
        <v>109</v>
      </c>
      <c r="G3998" s="208" t="s">
        <v>525</v>
      </c>
      <c r="H3998" s="208" t="s">
        <v>138</v>
      </c>
      <c r="I3998" s="208" t="s">
        <v>2052</v>
      </c>
      <c r="J3998" s="209"/>
      <c r="K3998" s="209"/>
      <c r="L3998" s="209"/>
      <c r="M3998" s="209"/>
      <c r="N3998" s="209"/>
      <c r="O3998" s="209"/>
      <c r="P3998" s="209"/>
      <c r="Q3998" s="209"/>
      <c r="R3998" s="209"/>
      <c r="S3998" s="209"/>
      <c r="T3998" s="209"/>
    </row>
    <row r="3999" spans="1:20" ht="15" hidden="1" customHeight="1">
      <c r="A3999" s="468">
        <v>45477</v>
      </c>
      <c r="B3999" s="208" t="s">
        <v>1337</v>
      </c>
      <c r="C3999" s="208" t="s">
        <v>3331</v>
      </c>
      <c r="D3999" s="800">
        <v>-19913098</v>
      </c>
      <c r="E3999" s="212">
        <v>45474</v>
      </c>
      <c r="F3999" s="635" t="s">
        <v>109</v>
      </c>
      <c r="G3999" s="201" t="s">
        <v>581</v>
      </c>
      <c r="H3999" s="208"/>
      <c r="I3999" s="208"/>
      <c r="J3999" s="209"/>
      <c r="K3999" s="209"/>
      <c r="L3999" s="209"/>
      <c r="M3999" s="209"/>
      <c r="N3999" s="209"/>
      <c r="O3999" s="209"/>
      <c r="P3999" s="209"/>
      <c r="Q3999" s="209"/>
      <c r="R3999" s="209"/>
      <c r="S3999" s="209"/>
      <c r="T3999" s="209"/>
    </row>
    <row r="4000" spans="1:20" ht="15" hidden="1" customHeight="1">
      <c r="A4000" s="468">
        <v>45477</v>
      </c>
      <c r="B4000" s="208" t="s">
        <v>3440</v>
      </c>
      <c r="C4000" s="208" t="s">
        <v>3331</v>
      </c>
      <c r="D4000" s="592">
        <v>887687</v>
      </c>
      <c r="E4000" s="212">
        <v>45474</v>
      </c>
      <c r="F4000" s="201" t="s">
        <v>110</v>
      </c>
      <c r="G4000" s="208" t="s">
        <v>450</v>
      </c>
      <c r="H4000" s="208" t="s">
        <v>310</v>
      </c>
      <c r="I4000" s="208"/>
      <c r="J4000" s="209"/>
      <c r="K4000" s="209"/>
      <c r="L4000" s="209"/>
      <c r="M4000" s="209"/>
      <c r="N4000" s="209"/>
      <c r="O4000" s="209"/>
      <c r="P4000" s="209"/>
      <c r="Q4000" s="209"/>
      <c r="R4000" s="209"/>
      <c r="S4000" s="209"/>
      <c r="T4000" s="209"/>
    </row>
    <row r="4001" spans="1:20" ht="15" hidden="1" customHeight="1">
      <c r="A4001" s="468">
        <v>45499</v>
      </c>
      <c r="B4001" s="660" t="s">
        <v>3441</v>
      </c>
      <c r="C4001" s="661" t="s">
        <v>146</v>
      </c>
      <c r="D4001" s="592">
        <v>-90000</v>
      </c>
      <c r="E4001" s="212">
        <v>45474</v>
      </c>
      <c r="F4001" s="208" t="s">
        <v>130</v>
      </c>
      <c r="G4001" s="660" t="s">
        <v>257</v>
      </c>
      <c r="H4001" s="208" t="s">
        <v>138</v>
      </c>
      <c r="I4001" s="208" t="s">
        <v>2052</v>
      </c>
      <c r="J4001" s="209"/>
      <c r="K4001" s="209"/>
      <c r="L4001" s="209"/>
      <c r="M4001" s="209"/>
      <c r="N4001" s="209"/>
      <c r="O4001" s="209"/>
      <c r="P4001" s="209"/>
      <c r="Q4001" s="209"/>
      <c r="R4001" s="209"/>
      <c r="S4001" s="209"/>
      <c r="T4001" s="209"/>
    </row>
    <row r="4002" spans="1:20" ht="15" hidden="1" customHeight="1">
      <c r="A4002" s="468">
        <v>45499</v>
      </c>
      <c r="B4002" s="660" t="s">
        <v>3442</v>
      </c>
      <c r="C4002" s="661" t="s">
        <v>146</v>
      </c>
      <c r="D4002" s="592">
        <v>-45000</v>
      </c>
      <c r="E4002" s="212">
        <v>45474</v>
      </c>
      <c r="F4002" s="208" t="s">
        <v>130</v>
      </c>
      <c r="G4002" s="660" t="s">
        <v>257</v>
      </c>
      <c r="H4002" s="208" t="s">
        <v>659</v>
      </c>
      <c r="I4002" s="208" t="s">
        <v>2052</v>
      </c>
      <c r="J4002" s="209"/>
      <c r="K4002" s="209"/>
      <c r="L4002" s="209"/>
      <c r="M4002" s="209"/>
      <c r="N4002" s="209"/>
      <c r="O4002" s="209"/>
      <c r="P4002" s="209"/>
      <c r="Q4002" s="209"/>
      <c r="R4002" s="209"/>
      <c r="S4002" s="209"/>
      <c r="T4002" s="209"/>
    </row>
    <row r="4003" spans="1:20" ht="15" hidden="1" customHeight="1">
      <c r="A4003" s="468">
        <v>45499</v>
      </c>
      <c r="B4003" s="660" t="s">
        <v>3443</v>
      </c>
      <c r="C4003" s="661" t="s">
        <v>146</v>
      </c>
      <c r="D4003" s="592">
        <v>-6000</v>
      </c>
      <c r="E4003" s="212">
        <v>45474</v>
      </c>
      <c r="F4003" s="208" t="s">
        <v>130</v>
      </c>
      <c r="G4003" s="660" t="s">
        <v>130</v>
      </c>
      <c r="H4003" s="208" t="s">
        <v>138</v>
      </c>
      <c r="I4003" s="208" t="s">
        <v>2052</v>
      </c>
      <c r="J4003" s="209"/>
      <c r="K4003" s="209"/>
      <c r="L4003" s="209"/>
      <c r="M4003" s="209"/>
      <c r="N4003" s="209"/>
      <c r="O4003" s="209"/>
      <c r="P4003" s="209"/>
      <c r="Q4003" s="209"/>
      <c r="R4003" s="209"/>
      <c r="S4003" s="209"/>
      <c r="T4003" s="209"/>
    </row>
    <row r="4004" spans="1:20" ht="15" hidden="1" customHeight="1">
      <c r="A4004" s="468">
        <v>45499</v>
      </c>
      <c r="B4004" s="660" t="s">
        <v>3444</v>
      </c>
      <c r="C4004" s="661" t="s">
        <v>146</v>
      </c>
      <c r="D4004" s="592">
        <v>-6000</v>
      </c>
      <c r="E4004" s="212">
        <v>45474</v>
      </c>
      <c r="F4004" s="208" t="s">
        <v>110</v>
      </c>
      <c r="G4004" s="208" t="s">
        <v>450</v>
      </c>
      <c r="H4004" s="208" t="s">
        <v>138</v>
      </c>
      <c r="I4004" s="208" t="s">
        <v>2052</v>
      </c>
      <c r="J4004" s="209"/>
      <c r="K4004" s="209"/>
      <c r="L4004" s="209"/>
      <c r="M4004" s="209"/>
      <c r="N4004" s="209"/>
      <c r="O4004" s="209"/>
      <c r="P4004" s="209"/>
      <c r="Q4004" s="209"/>
      <c r="R4004" s="209"/>
      <c r="S4004" s="209"/>
      <c r="T4004" s="209"/>
    </row>
    <row r="4005" spans="1:20" ht="15" hidden="1" customHeight="1">
      <c r="A4005" s="468">
        <v>45499</v>
      </c>
      <c r="B4005" s="660" t="s">
        <v>3445</v>
      </c>
      <c r="C4005" s="661" t="s">
        <v>146</v>
      </c>
      <c r="D4005" s="592">
        <v>-6000</v>
      </c>
      <c r="E4005" s="212">
        <v>45474</v>
      </c>
      <c r="F4005" s="208" t="s">
        <v>110</v>
      </c>
      <c r="G4005" s="208" t="s">
        <v>453</v>
      </c>
      <c r="H4005" s="208" t="s">
        <v>138</v>
      </c>
      <c r="I4005" s="208" t="s">
        <v>2052</v>
      </c>
      <c r="J4005" s="209"/>
      <c r="K4005" s="209"/>
      <c r="L4005" s="209"/>
      <c r="M4005" s="209"/>
      <c r="N4005" s="209"/>
      <c r="O4005" s="209"/>
      <c r="P4005" s="209"/>
      <c r="Q4005" s="209"/>
      <c r="R4005" s="209"/>
      <c r="S4005" s="209"/>
      <c r="T4005" s="209"/>
    </row>
    <row r="4006" spans="1:20" ht="15" hidden="1" customHeight="1">
      <c r="A4006" s="468">
        <v>45499</v>
      </c>
      <c r="B4006" s="660" t="s">
        <v>3446</v>
      </c>
      <c r="C4006" s="661" t="s">
        <v>146</v>
      </c>
      <c r="D4006" s="592">
        <v>-6000</v>
      </c>
      <c r="E4006" s="212">
        <v>45474</v>
      </c>
      <c r="F4006" s="208" t="s">
        <v>130</v>
      </c>
      <c r="G4006" s="660" t="s">
        <v>130</v>
      </c>
      <c r="H4006" s="208" t="s">
        <v>138</v>
      </c>
      <c r="I4006" s="208" t="s">
        <v>2052</v>
      </c>
      <c r="J4006" s="209"/>
      <c r="K4006" s="209"/>
      <c r="L4006" s="209"/>
      <c r="M4006" s="209"/>
      <c r="N4006" s="209"/>
      <c r="O4006" s="209"/>
      <c r="P4006" s="209"/>
      <c r="Q4006" s="209"/>
      <c r="R4006" s="209"/>
      <c r="S4006" s="209"/>
      <c r="T4006" s="209"/>
    </row>
    <row r="4007" spans="1:20" ht="15" hidden="1" customHeight="1">
      <c r="A4007" s="468">
        <v>45499</v>
      </c>
      <c r="B4007" s="208" t="s">
        <v>3447</v>
      </c>
      <c r="C4007" s="661" t="s">
        <v>146</v>
      </c>
      <c r="D4007" s="592">
        <v>-8000</v>
      </c>
      <c r="E4007" s="212">
        <v>45474</v>
      </c>
      <c r="F4007" s="208" t="s">
        <v>130</v>
      </c>
      <c r="G4007" s="660" t="s">
        <v>130</v>
      </c>
      <c r="H4007" s="208" t="s">
        <v>138</v>
      </c>
      <c r="I4007" s="208" t="s">
        <v>2052</v>
      </c>
      <c r="J4007" s="209"/>
      <c r="K4007" s="209"/>
      <c r="L4007" s="209"/>
      <c r="M4007" s="209"/>
      <c r="N4007" s="209"/>
      <c r="O4007" s="209"/>
      <c r="P4007" s="209"/>
      <c r="Q4007" s="209"/>
      <c r="R4007" s="209"/>
      <c r="S4007" s="209"/>
      <c r="T4007" s="209"/>
    </row>
    <row r="4008" spans="1:20" ht="15" hidden="1" customHeight="1">
      <c r="A4008" s="468">
        <v>45499</v>
      </c>
      <c r="B4008" s="208" t="s">
        <v>3448</v>
      </c>
      <c r="C4008" s="661" t="s">
        <v>146</v>
      </c>
      <c r="D4008" s="592">
        <v>-7000</v>
      </c>
      <c r="E4008" s="212">
        <v>45474</v>
      </c>
      <c r="F4008" s="208" t="s">
        <v>130</v>
      </c>
      <c r="G4008" s="660" t="s">
        <v>130</v>
      </c>
      <c r="H4008" s="208" t="s">
        <v>138</v>
      </c>
      <c r="I4008" s="208" t="s">
        <v>2052</v>
      </c>
      <c r="J4008" s="209"/>
      <c r="K4008" s="209"/>
      <c r="L4008" s="209"/>
      <c r="M4008" s="209"/>
      <c r="N4008" s="209"/>
      <c r="O4008" s="209"/>
      <c r="P4008" s="209"/>
      <c r="Q4008" s="209"/>
      <c r="R4008" s="209"/>
      <c r="S4008" s="209"/>
      <c r="T4008" s="209"/>
    </row>
    <row r="4009" spans="1:20" ht="15" hidden="1" customHeight="1">
      <c r="A4009" s="468">
        <v>45499</v>
      </c>
      <c r="B4009" s="208" t="s">
        <v>3449</v>
      </c>
      <c r="C4009" s="661" t="s">
        <v>146</v>
      </c>
      <c r="D4009" s="592">
        <v>-6500</v>
      </c>
      <c r="E4009" s="212">
        <v>45474</v>
      </c>
      <c r="F4009" s="208" t="s">
        <v>130</v>
      </c>
      <c r="G4009" s="660" t="s">
        <v>130</v>
      </c>
      <c r="H4009" s="208" t="s">
        <v>138</v>
      </c>
      <c r="I4009" s="208" t="s">
        <v>2052</v>
      </c>
      <c r="J4009" s="209"/>
      <c r="K4009" s="209"/>
      <c r="L4009" s="209"/>
      <c r="M4009" s="209"/>
      <c r="N4009" s="209"/>
      <c r="O4009" s="209"/>
      <c r="P4009" s="209"/>
      <c r="Q4009" s="209"/>
      <c r="R4009" s="209"/>
      <c r="S4009" s="209"/>
      <c r="T4009" s="209"/>
    </row>
    <row r="4010" spans="1:20" ht="15" hidden="1" customHeight="1">
      <c r="A4010" s="468">
        <v>45499</v>
      </c>
      <c r="B4010" s="208" t="s">
        <v>3450</v>
      </c>
      <c r="C4010" s="661" t="s">
        <v>146</v>
      </c>
      <c r="D4010" s="592">
        <v>-6500</v>
      </c>
      <c r="E4010" s="212">
        <v>45474</v>
      </c>
      <c r="F4010" s="208" t="s">
        <v>130</v>
      </c>
      <c r="G4010" s="660" t="s">
        <v>130</v>
      </c>
      <c r="H4010" s="208" t="s">
        <v>138</v>
      </c>
      <c r="I4010" s="208" t="s">
        <v>2052</v>
      </c>
      <c r="J4010" s="209"/>
      <c r="K4010" s="209"/>
      <c r="L4010" s="209"/>
      <c r="M4010" s="209"/>
      <c r="N4010" s="209"/>
      <c r="O4010" s="209"/>
      <c r="P4010" s="209"/>
      <c r="Q4010" s="209"/>
      <c r="R4010" s="209"/>
      <c r="S4010" s="209"/>
      <c r="T4010" s="209"/>
    </row>
    <row r="4011" spans="1:20" ht="15" hidden="1" customHeight="1">
      <c r="A4011" s="468">
        <v>45499</v>
      </c>
      <c r="B4011" s="208" t="s">
        <v>3451</v>
      </c>
      <c r="C4011" s="661" t="s">
        <v>146</v>
      </c>
      <c r="D4011" s="592">
        <v>-6500</v>
      </c>
      <c r="E4011" s="212">
        <v>45474</v>
      </c>
      <c r="F4011" s="208" t="s">
        <v>109</v>
      </c>
      <c r="G4011" s="201" t="s">
        <v>918</v>
      </c>
      <c r="H4011" s="208" t="s">
        <v>175</v>
      </c>
      <c r="I4011" s="208" t="s">
        <v>2052</v>
      </c>
      <c r="J4011" s="209"/>
      <c r="K4011" s="209"/>
      <c r="L4011" s="209"/>
      <c r="M4011" s="209"/>
      <c r="N4011" s="209"/>
      <c r="O4011" s="209"/>
      <c r="P4011" s="209"/>
      <c r="Q4011" s="209"/>
      <c r="R4011" s="209"/>
      <c r="S4011" s="209"/>
      <c r="T4011" s="209"/>
    </row>
    <row r="4012" spans="1:20" ht="15" hidden="1" customHeight="1">
      <c r="A4012" s="468">
        <v>45499</v>
      </c>
      <c r="B4012" s="208" t="s">
        <v>3452</v>
      </c>
      <c r="C4012" s="661" t="s">
        <v>146</v>
      </c>
      <c r="D4012" s="592">
        <v>-10000</v>
      </c>
      <c r="E4012" s="212">
        <v>45474</v>
      </c>
      <c r="F4012" s="291" t="s">
        <v>109</v>
      </c>
      <c r="G4012" s="208" t="s">
        <v>525</v>
      </c>
      <c r="H4012" s="208" t="s">
        <v>138</v>
      </c>
      <c r="I4012" s="208" t="s">
        <v>2052</v>
      </c>
      <c r="J4012" s="209"/>
      <c r="K4012" s="209"/>
      <c r="L4012" s="209"/>
      <c r="M4012" s="209"/>
      <c r="N4012" s="209"/>
      <c r="O4012" s="209"/>
      <c r="P4012" s="209"/>
      <c r="Q4012" s="209"/>
      <c r="R4012" s="209"/>
      <c r="S4012" s="209"/>
      <c r="T4012" s="209"/>
    </row>
    <row r="4013" spans="1:20" ht="15" hidden="1" customHeight="1">
      <c r="A4013" s="468">
        <v>45499</v>
      </c>
      <c r="B4013" s="208" t="s">
        <v>3453</v>
      </c>
      <c r="C4013" s="661" t="s">
        <v>146</v>
      </c>
      <c r="D4013" s="592">
        <v>-16000</v>
      </c>
      <c r="E4013" s="212">
        <v>45474</v>
      </c>
      <c r="F4013" s="291" t="s">
        <v>109</v>
      </c>
      <c r="G4013" s="208" t="s">
        <v>525</v>
      </c>
      <c r="H4013" s="208" t="s">
        <v>138</v>
      </c>
      <c r="I4013" s="208" t="s">
        <v>2052</v>
      </c>
      <c r="J4013" s="209"/>
      <c r="K4013" s="209"/>
      <c r="L4013" s="209"/>
      <c r="M4013" s="209"/>
      <c r="N4013" s="209"/>
      <c r="O4013" s="209"/>
      <c r="P4013" s="209"/>
      <c r="Q4013" s="209"/>
      <c r="R4013" s="209"/>
      <c r="S4013" s="209"/>
      <c r="T4013" s="209"/>
    </row>
    <row r="4014" spans="1:20" ht="15" hidden="1" customHeight="1">
      <c r="A4014" s="468">
        <v>45499</v>
      </c>
      <c r="B4014" s="208" t="s">
        <v>3454</v>
      </c>
      <c r="C4014" s="661" t="s">
        <v>146</v>
      </c>
      <c r="D4014" s="592">
        <v>-30000</v>
      </c>
      <c r="E4014" s="212">
        <v>45474</v>
      </c>
      <c r="F4014" s="208" t="s">
        <v>109</v>
      </c>
      <c r="G4014" s="201" t="s">
        <v>918</v>
      </c>
      <c r="H4014" s="208" t="s">
        <v>138</v>
      </c>
      <c r="I4014" s="208" t="s">
        <v>2052</v>
      </c>
      <c r="J4014" s="209"/>
      <c r="K4014" s="209"/>
      <c r="L4014" s="209"/>
      <c r="M4014" s="209"/>
      <c r="N4014" s="209"/>
      <c r="O4014" s="209"/>
      <c r="P4014" s="209"/>
      <c r="Q4014" s="209"/>
      <c r="R4014" s="209"/>
      <c r="S4014" s="209"/>
      <c r="T4014" s="209"/>
    </row>
    <row r="4015" spans="1:20" ht="15" hidden="1" customHeight="1">
      <c r="A4015" s="468">
        <v>45499</v>
      </c>
      <c r="B4015" s="208" t="s">
        <v>3455</v>
      </c>
      <c r="C4015" s="661" t="s">
        <v>146</v>
      </c>
      <c r="D4015" s="592">
        <v>-7000</v>
      </c>
      <c r="E4015" s="212">
        <v>45474</v>
      </c>
      <c r="F4015" s="291" t="s">
        <v>109</v>
      </c>
      <c r="G4015" s="208" t="s">
        <v>525</v>
      </c>
      <c r="H4015" s="208" t="s">
        <v>138</v>
      </c>
      <c r="I4015" s="208" t="s">
        <v>2052</v>
      </c>
      <c r="J4015" s="209"/>
      <c r="K4015" s="209"/>
      <c r="L4015" s="209"/>
      <c r="M4015" s="209"/>
      <c r="N4015" s="209"/>
      <c r="O4015" s="209"/>
      <c r="P4015" s="209"/>
      <c r="Q4015" s="209"/>
      <c r="R4015" s="209"/>
      <c r="S4015" s="209"/>
      <c r="T4015" s="209"/>
    </row>
    <row r="4016" spans="1:20" ht="15" hidden="1" customHeight="1">
      <c r="A4016" s="468">
        <v>45499</v>
      </c>
      <c r="B4016" s="208" t="s">
        <v>3453</v>
      </c>
      <c r="C4016" s="661" t="s">
        <v>146</v>
      </c>
      <c r="D4016" s="592">
        <v>-16000</v>
      </c>
      <c r="E4016" s="212">
        <v>45474</v>
      </c>
      <c r="F4016" s="291" t="s">
        <v>109</v>
      </c>
      <c r="G4016" s="208" t="s">
        <v>525</v>
      </c>
      <c r="H4016" s="208" t="s">
        <v>138</v>
      </c>
      <c r="I4016" s="208" t="s">
        <v>2052</v>
      </c>
      <c r="J4016" s="209"/>
      <c r="K4016" s="209"/>
      <c r="L4016" s="209"/>
      <c r="M4016" s="209"/>
      <c r="N4016" s="209"/>
      <c r="O4016" s="209"/>
      <c r="P4016" s="209"/>
      <c r="Q4016" s="209"/>
      <c r="R4016" s="209"/>
      <c r="S4016" s="209"/>
      <c r="T4016" s="209"/>
    </row>
    <row r="4017" spans="1:20" ht="15" hidden="1" customHeight="1">
      <c r="A4017" s="468">
        <v>45499</v>
      </c>
      <c r="B4017" s="208" t="s">
        <v>3456</v>
      </c>
      <c r="C4017" s="661" t="s">
        <v>146</v>
      </c>
      <c r="D4017" s="592">
        <v>-6500</v>
      </c>
      <c r="E4017" s="212">
        <v>45474</v>
      </c>
      <c r="F4017" s="291" t="s">
        <v>109</v>
      </c>
      <c r="G4017" s="208" t="s">
        <v>525</v>
      </c>
      <c r="H4017" s="208" t="s">
        <v>138</v>
      </c>
      <c r="I4017" s="208" t="s">
        <v>2052</v>
      </c>
      <c r="J4017" s="209"/>
      <c r="K4017" s="209"/>
      <c r="L4017" s="209"/>
      <c r="M4017" s="209"/>
      <c r="N4017" s="209"/>
      <c r="O4017" s="209"/>
      <c r="P4017" s="209"/>
      <c r="Q4017" s="209"/>
      <c r="R4017" s="209"/>
      <c r="S4017" s="209"/>
      <c r="T4017" s="209"/>
    </row>
    <row r="4018" spans="1:20" ht="15" hidden="1" customHeight="1">
      <c r="A4018" s="468">
        <v>45499</v>
      </c>
      <c r="B4018" s="208" t="s">
        <v>3457</v>
      </c>
      <c r="C4018" s="661" t="s">
        <v>146</v>
      </c>
      <c r="D4018" s="592">
        <v>-6500</v>
      </c>
      <c r="E4018" s="212">
        <v>45474</v>
      </c>
      <c r="F4018" s="208" t="s">
        <v>130</v>
      </c>
      <c r="G4018" s="660" t="s">
        <v>257</v>
      </c>
      <c r="H4018" s="208" t="s">
        <v>138</v>
      </c>
      <c r="I4018" s="208" t="s">
        <v>2052</v>
      </c>
      <c r="J4018" s="209"/>
      <c r="K4018" s="209"/>
      <c r="L4018" s="209"/>
      <c r="M4018" s="209"/>
      <c r="N4018" s="209"/>
      <c r="O4018" s="209"/>
      <c r="P4018" s="209"/>
      <c r="Q4018" s="209"/>
      <c r="R4018" s="209"/>
      <c r="S4018" s="209"/>
      <c r="T4018" s="209"/>
    </row>
    <row r="4019" spans="1:20" ht="15" hidden="1" customHeight="1">
      <c r="A4019" s="468">
        <v>45499</v>
      </c>
      <c r="B4019" s="208" t="s">
        <v>3458</v>
      </c>
      <c r="C4019" s="661" t="s">
        <v>146</v>
      </c>
      <c r="D4019" s="592">
        <v>-6500</v>
      </c>
      <c r="E4019" s="212">
        <v>45474</v>
      </c>
      <c r="F4019" s="208" t="s">
        <v>130</v>
      </c>
      <c r="G4019" s="660" t="s">
        <v>257</v>
      </c>
      <c r="H4019" s="208" t="s">
        <v>138</v>
      </c>
      <c r="I4019" s="208" t="s">
        <v>2052</v>
      </c>
      <c r="J4019" s="209"/>
      <c r="K4019" s="209"/>
      <c r="L4019" s="209"/>
      <c r="M4019" s="209"/>
      <c r="N4019" s="209"/>
      <c r="O4019" s="209"/>
      <c r="P4019" s="209"/>
      <c r="Q4019" s="209"/>
      <c r="R4019" s="209"/>
      <c r="S4019" s="209"/>
      <c r="T4019" s="209"/>
    </row>
    <row r="4020" spans="1:20" ht="15" hidden="1" customHeight="1">
      <c r="A4020" s="468">
        <v>45499</v>
      </c>
      <c r="B4020" s="208" t="s">
        <v>3459</v>
      </c>
      <c r="C4020" s="661" t="s">
        <v>146</v>
      </c>
      <c r="D4020" s="592">
        <v>-6500</v>
      </c>
      <c r="E4020" s="212">
        <v>45474</v>
      </c>
      <c r="F4020" s="208" t="s">
        <v>109</v>
      </c>
      <c r="G4020" s="201" t="s">
        <v>918</v>
      </c>
      <c r="H4020" s="208" t="s">
        <v>138</v>
      </c>
      <c r="I4020" s="208" t="s">
        <v>2052</v>
      </c>
      <c r="J4020" s="209"/>
      <c r="K4020" s="209"/>
      <c r="L4020" s="209"/>
      <c r="M4020" s="209"/>
      <c r="N4020" s="209"/>
      <c r="O4020" s="209"/>
      <c r="P4020" s="209"/>
      <c r="Q4020" s="209"/>
      <c r="R4020" s="209"/>
      <c r="S4020" s="209"/>
      <c r="T4020" s="209"/>
    </row>
    <row r="4021" spans="1:20" ht="15" hidden="1" customHeight="1">
      <c r="A4021" s="468">
        <v>45499</v>
      </c>
      <c r="B4021" s="208" t="s">
        <v>3460</v>
      </c>
      <c r="C4021" s="661" t="s">
        <v>146</v>
      </c>
      <c r="D4021" s="592">
        <v>-14200</v>
      </c>
      <c r="E4021" s="212">
        <v>45474</v>
      </c>
      <c r="F4021" s="208" t="s">
        <v>109</v>
      </c>
      <c r="G4021" s="201" t="s">
        <v>918</v>
      </c>
      <c r="H4021" s="208" t="s">
        <v>138</v>
      </c>
      <c r="I4021" s="208" t="s">
        <v>2052</v>
      </c>
      <c r="J4021" s="209"/>
      <c r="K4021" s="209"/>
      <c r="L4021" s="209"/>
      <c r="M4021" s="209"/>
      <c r="N4021" s="209"/>
      <c r="O4021" s="209"/>
      <c r="P4021" s="209"/>
      <c r="Q4021" s="209"/>
      <c r="R4021" s="209"/>
      <c r="S4021" s="209"/>
      <c r="T4021" s="209"/>
    </row>
    <row r="4022" spans="1:20" ht="15" hidden="1" customHeight="1">
      <c r="A4022" s="468">
        <v>45499</v>
      </c>
      <c r="B4022" s="660" t="s">
        <v>3461</v>
      </c>
      <c r="C4022" s="661" t="s">
        <v>146</v>
      </c>
      <c r="D4022" s="592">
        <v>-14200</v>
      </c>
      <c r="E4022" s="212">
        <v>45474</v>
      </c>
      <c r="F4022" s="208" t="s">
        <v>109</v>
      </c>
      <c r="G4022" s="201" t="s">
        <v>918</v>
      </c>
      <c r="H4022" s="208" t="s">
        <v>138</v>
      </c>
      <c r="I4022" s="208" t="s">
        <v>2052</v>
      </c>
      <c r="J4022" s="209"/>
      <c r="K4022" s="209"/>
      <c r="L4022" s="209"/>
      <c r="M4022" s="209"/>
      <c r="N4022" s="209"/>
      <c r="O4022" s="209"/>
      <c r="P4022" s="209"/>
      <c r="Q4022" s="209"/>
      <c r="R4022" s="209"/>
      <c r="S4022" s="209"/>
      <c r="T4022" s="209"/>
    </row>
    <row r="4023" spans="1:20" ht="15" hidden="1" customHeight="1">
      <c r="A4023" s="468">
        <v>45499</v>
      </c>
      <c r="B4023" s="660" t="s">
        <v>3459</v>
      </c>
      <c r="C4023" s="661" t="s">
        <v>146</v>
      </c>
      <c r="D4023" s="592">
        <v>-6000</v>
      </c>
      <c r="E4023" s="212">
        <v>45474</v>
      </c>
      <c r="F4023" s="208" t="s">
        <v>109</v>
      </c>
      <c r="G4023" s="201" t="s">
        <v>918</v>
      </c>
      <c r="H4023" s="208" t="s">
        <v>138</v>
      </c>
      <c r="I4023" s="208" t="s">
        <v>2052</v>
      </c>
      <c r="J4023" s="209"/>
      <c r="K4023" s="209"/>
      <c r="L4023" s="209"/>
      <c r="M4023" s="209"/>
      <c r="N4023" s="209"/>
      <c r="O4023" s="209"/>
      <c r="P4023" s="209"/>
      <c r="Q4023" s="209"/>
      <c r="R4023" s="209"/>
      <c r="S4023" s="209"/>
      <c r="T4023" s="209"/>
    </row>
    <row r="4024" spans="1:20" ht="15" hidden="1" customHeight="1">
      <c r="A4024" s="468">
        <v>45499</v>
      </c>
      <c r="B4024" s="660" t="s">
        <v>3462</v>
      </c>
      <c r="C4024" s="661" t="s">
        <v>146</v>
      </c>
      <c r="D4024" s="592">
        <v>-6000</v>
      </c>
      <c r="E4024" s="212">
        <v>45474</v>
      </c>
      <c r="F4024" s="208" t="s">
        <v>207</v>
      </c>
      <c r="G4024" s="201" t="s">
        <v>1204</v>
      </c>
      <c r="H4024" s="208" t="s">
        <v>138</v>
      </c>
      <c r="I4024" s="208" t="s">
        <v>2052</v>
      </c>
      <c r="J4024" s="209"/>
      <c r="K4024" s="209"/>
      <c r="L4024" s="209"/>
      <c r="M4024" s="209"/>
      <c r="N4024" s="209"/>
      <c r="O4024" s="209"/>
      <c r="P4024" s="209"/>
      <c r="Q4024" s="209"/>
      <c r="R4024" s="209"/>
      <c r="S4024" s="209"/>
      <c r="T4024" s="209"/>
    </row>
    <row r="4025" spans="1:20" ht="15" hidden="1" customHeight="1">
      <c r="A4025" s="468">
        <v>45499</v>
      </c>
      <c r="B4025" s="660" t="s">
        <v>3463</v>
      </c>
      <c r="C4025" s="661" t="s">
        <v>146</v>
      </c>
      <c r="D4025" s="592">
        <v>-6000</v>
      </c>
      <c r="E4025" s="212">
        <v>45474</v>
      </c>
      <c r="F4025" s="208" t="s">
        <v>109</v>
      </c>
      <c r="G4025" s="201" t="s">
        <v>918</v>
      </c>
      <c r="H4025" s="208" t="s">
        <v>138</v>
      </c>
      <c r="I4025" s="208" t="s">
        <v>2052</v>
      </c>
      <c r="J4025" s="209"/>
      <c r="K4025" s="209"/>
      <c r="L4025" s="209"/>
      <c r="M4025" s="209"/>
      <c r="N4025" s="209"/>
      <c r="O4025" s="209"/>
      <c r="P4025" s="209"/>
      <c r="Q4025" s="209"/>
      <c r="R4025" s="209"/>
      <c r="S4025" s="209"/>
      <c r="T4025" s="209"/>
    </row>
    <row r="4026" spans="1:20" ht="15" hidden="1" customHeight="1">
      <c r="A4026" s="468">
        <v>45499</v>
      </c>
      <c r="B4026" s="660" t="s">
        <v>3464</v>
      </c>
      <c r="C4026" s="661" t="s">
        <v>146</v>
      </c>
      <c r="D4026" s="592">
        <v>-6000</v>
      </c>
      <c r="E4026" s="212">
        <v>45474</v>
      </c>
      <c r="F4026" s="208" t="s">
        <v>109</v>
      </c>
      <c r="G4026" s="201" t="s">
        <v>918</v>
      </c>
      <c r="H4026" s="208" t="s">
        <v>138</v>
      </c>
      <c r="I4026" s="208" t="s">
        <v>2052</v>
      </c>
      <c r="J4026" s="209"/>
      <c r="K4026" s="209"/>
      <c r="L4026" s="209"/>
      <c r="M4026" s="209"/>
      <c r="N4026" s="209"/>
      <c r="O4026" s="209"/>
      <c r="P4026" s="209"/>
      <c r="Q4026" s="209"/>
      <c r="R4026" s="209"/>
      <c r="S4026" s="209"/>
      <c r="T4026" s="209"/>
    </row>
    <row r="4027" spans="1:20" ht="15" hidden="1" customHeight="1">
      <c r="A4027" s="468">
        <v>45499</v>
      </c>
      <c r="B4027" s="660" t="s">
        <v>3465</v>
      </c>
      <c r="C4027" s="661" t="s">
        <v>146</v>
      </c>
      <c r="D4027" s="592">
        <v>-6000</v>
      </c>
      <c r="E4027" s="212">
        <v>45474</v>
      </c>
      <c r="F4027" s="208" t="s">
        <v>109</v>
      </c>
      <c r="G4027" s="201" t="s">
        <v>918</v>
      </c>
      <c r="H4027" s="208" t="s">
        <v>138</v>
      </c>
      <c r="I4027" s="208" t="s">
        <v>2052</v>
      </c>
      <c r="J4027" s="209"/>
      <c r="K4027" s="209"/>
      <c r="L4027" s="209"/>
      <c r="M4027" s="209"/>
      <c r="N4027" s="209"/>
      <c r="O4027" s="209"/>
      <c r="P4027" s="209"/>
      <c r="Q4027" s="209"/>
      <c r="R4027" s="209"/>
      <c r="S4027" s="209"/>
      <c r="T4027" s="209"/>
    </row>
    <row r="4028" spans="1:20" ht="15" hidden="1" customHeight="1">
      <c r="A4028" s="468">
        <v>45499</v>
      </c>
      <c r="B4028" s="660" t="s">
        <v>3466</v>
      </c>
      <c r="C4028" s="661" t="s">
        <v>146</v>
      </c>
      <c r="D4028" s="592">
        <v>-196599</v>
      </c>
      <c r="E4028" s="212">
        <v>45474</v>
      </c>
      <c r="F4028" s="208" t="s">
        <v>109</v>
      </c>
      <c r="G4028" s="201" t="s">
        <v>918</v>
      </c>
      <c r="H4028" s="208" t="s">
        <v>175</v>
      </c>
      <c r="I4028" s="208" t="s">
        <v>2052</v>
      </c>
      <c r="J4028" s="209"/>
      <c r="K4028" s="209"/>
      <c r="L4028" s="209"/>
      <c r="M4028" s="209"/>
      <c r="N4028" s="209"/>
      <c r="O4028" s="209"/>
      <c r="P4028" s="209"/>
      <c r="Q4028" s="209"/>
      <c r="R4028" s="209"/>
      <c r="S4028" s="209"/>
      <c r="T4028" s="209"/>
    </row>
    <row r="4029" spans="1:20" ht="15" hidden="1" customHeight="1">
      <c r="A4029" s="468">
        <v>45499</v>
      </c>
      <c r="B4029" s="660" t="s">
        <v>3464</v>
      </c>
      <c r="C4029" s="661" t="s">
        <v>146</v>
      </c>
      <c r="D4029" s="592">
        <v>-6000</v>
      </c>
      <c r="E4029" s="212">
        <v>45474</v>
      </c>
      <c r="F4029" s="208" t="s">
        <v>109</v>
      </c>
      <c r="G4029" s="201" t="s">
        <v>918</v>
      </c>
      <c r="H4029" s="208" t="s">
        <v>138</v>
      </c>
      <c r="I4029" s="208" t="s">
        <v>2052</v>
      </c>
      <c r="J4029" s="209"/>
      <c r="K4029" s="209"/>
      <c r="L4029" s="209"/>
      <c r="M4029" s="209"/>
      <c r="N4029" s="209"/>
      <c r="O4029" s="209"/>
      <c r="P4029" s="209"/>
      <c r="Q4029" s="209"/>
      <c r="R4029" s="209"/>
      <c r="S4029" s="209"/>
      <c r="T4029" s="209"/>
    </row>
    <row r="4030" spans="1:20" ht="15" hidden="1" customHeight="1">
      <c r="A4030" s="468">
        <v>45499</v>
      </c>
      <c r="B4030" s="660" t="s">
        <v>3464</v>
      </c>
      <c r="C4030" s="661" t="s">
        <v>146</v>
      </c>
      <c r="D4030" s="592">
        <v>-6000</v>
      </c>
      <c r="E4030" s="212">
        <v>45474</v>
      </c>
      <c r="F4030" s="208" t="s">
        <v>109</v>
      </c>
      <c r="G4030" s="201" t="s">
        <v>918</v>
      </c>
      <c r="H4030" s="208" t="s">
        <v>138</v>
      </c>
      <c r="I4030" s="208" t="s">
        <v>2052</v>
      </c>
      <c r="J4030" s="209"/>
      <c r="K4030" s="209"/>
      <c r="L4030" s="209"/>
      <c r="M4030" s="209"/>
      <c r="N4030" s="209"/>
      <c r="O4030" s="209"/>
      <c r="P4030" s="209"/>
      <c r="Q4030" s="209"/>
      <c r="R4030" s="209"/>
      <c r="S4030" s="209"/>
      <c r="T4030" s="209"/>
    </row>
    <row r="4031" spans="1:20" ht="15" hidden="1" customHeight="1">
      <c r="A4031" s="468">
        <v>45499</v>
      </c>
      <c r="B4031" s="660" t="s">
        <v>3467</v>
      </c>
      <c r="C4031" s="661" t="s">
        <v>146</v>
      </c>
      <c r="D4031" s="592">
        <v>-6000</v>
      </c>
      <c r="E4031" s="212">
        <v>45474</v>
      </c>
      <c r="F4031" s="208" t="s">
        <v>109</v>
      </c>
      <c r="G4031" s="201" t="s">
        <v>918</v>
      </c>
      <c r="H4031" s="208" t="s">
        <v>138</v>
      </c>
      <c r="I4031" s="208" t="s">
        <v>2052</v>
      </c>
      <c r="J4031" s="209"/>
      <c r="K4031" s="209"/>
      <c r="L4031" s="209"/>
      <c r="M4031" s="209"/>
      <c r="N4031" s="209"/>
      <c r="O4031" s="209"/>
      <c r="P4031" s="209"/>
      <c r="Q4031" s="209"/>
      <c r="R4031" s="209"/>
      <c r="S4031" s="209"/>
      <c r="T4031" s="209"/>
    </row>
    <row r="4032" spans="1:20" ht="15" hidden="1" customHeight="1">
      <c r="A4032" s="468">
        <v>45499</v>
      </c>
      <c r="B4032" s="660" t="s">
        <v>3464</v>
      </c>
      <c r="C4032" s="661" t="s">
        <v>146</v>
      </c>
      <c r="D4032" s="592">
        <v>-6000</v>
      </c>
      <c r="E4032" s="212">
        <v>45474</v>
      </c>
      <c r="F4032" s="208" t="s">
        <v>109</v>
      </c>
      <c r="G4032" s="201" t="s">
        <v>918</v>
      </c>
      <c r="H4032" s="208" t="s">
        <v>138</v>
      </c>
      <c r="I4032" s="208" t="s">
        <v>2052</v>
      </c>
      <c r="J4032" s="209"/>
      <c r="K4032" s="209"/>
      <c r="L4032" s="209"/>
      <c r="M4032" s="209"/>
      <c r="N4032" s="209"/>
      <c r="O4032" s="209"/>
      <c r="P4032" s="209"/>
      <c r="Q4032" s="209"/>
      <c r="R4032" s="209"/>
      <c r="S4032" s="209"/>
      <c r="T4032" s="209"/>
    </row>
    <row r="4033" spans="1:20" ht="15" hidden="1" customHeight="1">
      <c r="A4033" s="468">
        <v>45499</v>
      </c>
      <c r="B4033" s="81" t="s">
        <v>3468</v>
      </c>
      <c r="C4033" s="661" t="s">
        <v>146</v>
      </c>
      <c r="D4033" s="592">
        <v>-15500</v>
      </c>
      <c r="E4033" s="212">
        <v>45474</v>
      </c>
      <c r="F4033" s="208" t="s">
        <v>109</v>
      </c>
      <c r="G4033" s="201" t="s">
        <v>918</v>
      </c>
      <c r="H4033" s="208" t="s">
        <v>175</v>
      </c>
      <c r="I4033" s="208" t="s">
        <v>2052</v>
      </c>
      <c r="J4033" s="209"/>
      <c r="K4033" s="209"/>
      <c r="L4033" s="209"/>
      <c r="M4033" s="209"/>
      <c r="N4033" s="209"/>
      <c r="O4033" s="209"/>
      <c r="P4033" s="209"/>
      <c r="Q4033" s="209"/>
      <c r="R4033" s="209"/>
      <c r="S4033" s="209"/>
      <c r="T4033" s="209"/>
    </row>
    <row r="4034" spans="1:20" ht="15" hidden="1" customHeight="1">
      <c r="A4034" s="468">
        <v>45499</v>
      </c>
      <c r="B4034" s="660" t="s">
        <v>3469</v>
      </c>
      <c r="C4034" s="661" t="s">
        <v>146</v>
      </c>
      <c r="D4034" s="592">
        <v>-6000</v>
      </c>
      <c r="E4034" s="212">
        <v>45474</v>
      </c>
      <c r="F4034" s="291" t="s">
        <v>109</v>
      </c>
      <c r="G4034" s="208" t="s">
        <v>525</v>
      </c>
      <c r="H4034" s="208" t="s">
        <v>138</v>
      </c>
      <c r="I4034" s="208" t="s">
        <v>2052</v>
      </c>
      <c r="J4034" s="209"/>
      <c r="K4034" s="209"/>
      <c r="L4034" s="209"/>
      <c r="M4034" s="209"/>
      <c r="N4034" s="209"/>
      <c r="O4034" s="209"/>
      <c r="P4034" s="209"/>
      <c r="Q4034" s="209"/>
      <c r="R4034" s="209"/>
      <c r="S4034" s="209"/>
      <c r="T4034" s="209"/>
    </row>
    <row r="4035" spans="1:20" ht="15" hidden="1" customHeight="1">
      <c r="A4035" s="468">
        <v>45499</v>
      </c>
      <c r="B4035" s="660" t="s">
        <v>3470</v>
      </c>
      <c r="C4035" s="661" t="s">
        <v>146</v>
      </c>
      <c r="D4035" s="592">
        <v>-6000</v>
      </c>
      <c r="E4035" s="212">
        <v>45474</v>
      </c>
      <c r="F4035" s="291" t="s">
        <v>109</v>
      </c>
      <c r="G4035" s="208" t="s">
        <v>525</v>
      </c>
      <c r="H4035" s="208" t="s">
        <v>138</v>
      </c>
      <c r="I4035" s="208" t="s">
        <v>2052</v>
      </c>
      <c r="J4035" s="209"/>
      <c r="K4035" s="209"/>
      <c r="L4035" s="209"/>
      <c r="M4035" s="209"/>
      <c r="N4035" s="209"/>
      <c r="O4035" s="209"/>
      <c r="P4035" s="209"/>
      <c r="Q4035" s="209"/>
      <c r="R4035" s="209"/>
      <c r="S4035" s="209"/>
      <c r="T4035" s="209"/>
    </row>
    <row r="4036" spans="1:20" ht="15" hidden="1" customHeight="1">
      <c r="A4036" s="468">
        <v>45499</v>
      </c>
      <c r="B4036" s="660" t="s">
        <v>3471</v>
      </c>
      <c r="C4036" s="661" t="s">
        <v>146</v>
      </c>
      <c r="D4036" s="592">
        <v>-14200</v>
      </c>
      <c r="E4036" s="212">
        <v>45474</v>
      </c>
      <c r="F4036" s="208" t="s">
        <v>109</v>
      </c>
      <c r="G4036" s="208" t="s">
        <v>383</v>
      </c>
      <c r="H4036" s="208" t="s">
        <v>138</v>
      </c>
      <c r="I4036" s="208" t="s">
        <v>2052</v>
      </c>
      <c r="J4036" s="209"/>
      <c r="K4036" s="209"/>
      <c r="L4036" s="209"/>
      <c r="M4036" s="209"/>
      <c r="N4036" s="209"/>
      <c r="O4036" s="209"/>
      <c r="P4036" s="209"/>
      <c r="Q4036" s="209"/>
      <c r="R4036" s="209"/>
      <c r="S4036" s="209"/>
      <c r="T4036" s="209"/>
    </row>
    <row r="4037" spans="1:20" ht="15" hidden="1" customHeight="1">
      <c r="A4037" s="468">
        <v>45499</v>
      </c>
      <c r="B4037" s="660" t="s">
        <v>3472</v>
      </c>
      <c r="C4037" s="661" t="s">
        <v>146</v>
      </c>
      <c r="D4037" s="592">
        <v>-6000</v>
      </c>
      <c r="E4037" s="212">
        <v>45474</v>
      </c>
      <c r="F4037" s="208" t="s">
        <v>109</v>
      </c>
      <c r="G4037" s="208" t="s">
        <v>383</v>
      </c>
      <c r="H4037" s="208" t="s">
        <v>138</v>
      </c>
      <c r="I4037" s="208" t="s">
        <v>2052</v>
      </c>
      <c r="J4037" s="209"/>
      <c r="K4037" s="209"/>
      <c r="L4037" s="209"/>
      <c r="M4037" s="209"/>
      <c r="N4037" s="209"/>
      <c r="O4037" s="209"/>
      <c r="P4037" s="209"/>
      <c r="Q4037" s="209"/>
      <c r="R4037" s="209"/>
      <c r="S4037" s="209"/>
      <c r="T4037" s="209"/>
    </row>
    <row r="4038" spans="1:20" ht="15" hidden="1" customHeight="1">
      <c r="A4038" s="468">
        <v>45499</v>
      </c>
      <c r="B4038" s="660" t="s">
        <v>3473</v>
      </c>
      <c r="C4038" s="661" t="s">
        <v>146</v>
      </c>
      <c r="D4038" s="592">
        <v>-16000</v>
      </c>
      <c r="E4038" s="212">
        <v>45474</v>
      </c>
      <c r="F4038" s="208" t="s">
        <v>109</v>
      </c>
      <c r="G4038" s="208" t="s">
        <v>383</v>
      </c>
      <c r="H4038" s="208" t="s">
        <v>138</v>
      </c>
      <c r="I4038" s="208" t="s">
        <v>2052</v>
      </c>
      <c r="J4038" s="209"/>
      <c r="K4038" s="209"/>
      <c r="L4038" s="209"/>
      <c r="M4038" s="209"/>
      <c r="N4038" s="209"/>
      <c r="O4038" s="209"/>
      <c r="P4038" s="209"/>
      <c r="Q4038" s="209"/>
      <c r="R4038" s="209"/>
      <c r="S4038" s="209"/>
      <c r="T4038" s="209"/>
    </row>
    <row r="4039" spans="1:20" ht="15" hidden="1" customHeight="1">
      <c r="A4039" s="468">
        <v>45499</v>
      </c>
      <c r="B4039" s="660" t="s">
        <v>3474</v>
      </c>
      <c r="C4039" s="661" t="s">
        <v>146</v>
      </c>
      <c r="D4039" s="592">
        <v>-7000</v>
      </c>
      <c r="E4039" s="212">
        <v>45474</v>
      </c>
      <c r="F4039" s="208" t="s">
        <v>109</v>
      </c>
      <c r="G4039" s="208" t="s">
        <v>383</v>
      </c>
      <c r="H4039" s="208" t="s">
        <v>138</v>
      </c>
      <c r="I4039" s="475" t="s">
        <v>3475</v>
      </c>
      <c r="J4039" s="209"/>
      <c r="K4039" s="209"/>
      <c r="L4039" s="209"/>
      <c r="M4039" s="209"/>
      <c r="N4039" s="209"/>
      <c r="O4039" s="209"/>
      <c r="P4039" s="209"/>
      <c r="Q4039" s="209"/>
      <c r="R4039" s="209"/>
      <c r="S4039" s="209"/>
      <c r="T4039" s="209"/>
    </row>
    <row r="4040" spans="1:20" ht="15" hidden="1" customHeight="1">
      <c r="A4040" s="468">
        <v>45499</v>
      </c>
      <c r="B4040" s="661" t="s">
        <v>3476</v>
      </c>
      <c r="C4040" s="661" t="s">
        <v>146</v>
      </c>
      <c r="D4040" s="592">
        <v>-225431</v>
      </c>
      <c r="E4040" s="212">
        <v>45474</v>
      </c>
      <c r="F4040" s="208" t="s">
        <v>130</v>
      </c>
      <c r="G4040" s="660" t="s">
        <v>130</v>
      </c>
      <c r="H4040" s="208" t="s">
        <v>2444</v>
      </c>
      <c r="I4040" s="208" t="s">
        <v>2052</v>
      </c>
      <c r="J4040" s="209"/>
      <c r="K4040" s="209"/>
      <c r="L4040" s="209"/>
      <c r="M4040" s="209"/>
      <c r="N4040" s="209"/>
      <c r="O4040" s="209"/>
      <c r="P4040" s="209"/>
      <c r="Q4040" s="209"/>
      <c r="R4040" s="209"/>
      <c r="S4040" s="209"/>
      <c r="T4040" s="209"/>
    </row>
    <row r="4041" spans="1:20" ht="15" hidden="1" customHeight="1">
      <c r="A4041" s="468">
        <v>45499</v>
      </c>
      <c r="B4041" s="661" t="s">
        <v>3477</v>
      </c>
      <c r="C4041" s="661" t="s">
        <v>146</v>
      </c>
      <c r="D4041" s="592">
        <v>-60000</v>
      </c>
      <c r="E4041" s="212">
        <v>45474</v>
      </c>
      <c r="F4041" s="208" t="s">
        <v>130</v>
      </c>
      <c r="G4041" s="660" t="s">
        <v>257</v>
      </c>
      <c r="H4041" s="208" t="s">
        <v>138</v>
      </c>
      <c r="I4041" s="208" t="s">
        <v>70</v>
      </c>
      <c r="J4041" s="209"/>
      <c r="K4041" s="209"/>
      <c r="L4041" s="209"/>
      <c r="M4041" s="209"/>
      <c r="N4041" s="209"/>
      <c r="O4041" s="209"/>
      <c r="P4041" s="209"/>
      <c r="Q4041" s="209"/>
      <c r="R4041" s="209"/>
      <c r="S4041" s="209"/>
      <c r="T4041" s="209"/>
    </row>
    <row r="4042" spans="1:20" ht="15" hidden="1" customHeight="1">
      <c r="A4042" s="468">
        <v>45499</v>
      </c>
      <c r="B4042" s="661" t="s">
        <v>3478</v>
      </c>
      <c r="C4042" s="661" t="s">
        <v>146</v>
      </c>
      <c r="D4042" s="592">
        <v>-58000</v>
      </c>
      <c r="E4042" s="212">
        <v>45474</v>
      </c>
      <c r="F4042" s="208" t="s">
        <v>130</v>
      </c>
      <c r="G4042" s="660" t="s">
        <v>257</v>
      </c>
      <c r="H4042" s="208" t="s">
        <v>138</v>
      </c>
      <c r="I4042" s="208" t="s">
        <v>70</v>
      </c>
      <c r="J4042" s="209"/>
      <c r="K4042" s="209"/>
      <c r="L4042" s="209"/>
      <c r="M4042" s="209"/>
      <c r="N4042" s="209"/>
      <c r="O4042" s="209"/>
      <c r="P4042" s="209"/>
      <c r="Q4042" s="209"/>
      <c r="R4042" s="209"/>
      <c r="S4042" s="209"/>
      <c r="T4042" s="209"/>
    </row>
    <row r="4043" spans="1:20" ht="15" hidden="1" customHeight="1">
      <c r="A4043" s="468">
        <v>45499</v>
      </c>
      <c r="B4043" s="661" t="s">
        <v>3479</v>
      </c>
      <c r="C4043" s="661" t="s">
        <v>146</v>
      </c>
      <c r="D4043" s="592">
        <v>-49500</v>
      </c>
      <c r="E4043" s="212">
        <v>45474</v>
      </c>
      <c r="F4043" s="208" t="s">
        <v>130</v>
      </c>
      <c r="G4043" s="660" t="s">
        <v>257</v>
      </c>
      <c r="H4043" s="208" t="s">
        <v>303</v>
      </c>
      <c r="I4043" s="208" t="s">
        <v>70</v>
      </c>
      <c r="J4043" s="209"/>
      <c r="K4043" s="209"/>
      <c r="L4043" s="209"/>
      <c r="M4043" s="209"/>
      <c r="N4043" s="209"/>
      <c r="O4043" s="209"/>
      <c r="P4043" s="209"/>
      <c r="Q4043" s="209"/>
      <c r="R4043" s="209"/>
      <c r="S4043" s="209"/>
      <c r="T4043" s="209"/>
    </row>
    <row r="4044" spans="1:20" ht="15" hidden="1" customHeight="1">
      <c r="A4044" s="468">
        <v>45499</v>
      </c>
      <c r="B4044" s="661" t="s">
        <v>3479</v>
      </c>
      <c r="C4044" s="661" t="s">
        <v>146</v>
      </c>
      <c r="D4044" s="592">
        <v>-33000</v>
      </c>
      <c r="E4044" s="212">
        <v>45474</v>
      </c>
      <c r="F4044" s="208" t="s">
        <v>130</v>
      </c>
      <c r="G4044" s="660" t="s">
        <v>257</v>
      </c>
      <c r="H4044" s="208" t="s">
        <v>138</v>
      </c>
      <c r="I4044" s="208" t="s">
        <v>70</v>
      </c>
      <c r="J4044" s="209"/>
      <c r="K4044" s="209"/>
      <c r="L4044" s="209"/>
      <c r="M4044" s="209"/>
      <c r="N4044" s="209"/>
      <c r="O4044" s="209"/>
      <c r="P4044" s="209"/>
      <c r="Q4044" s="209"/>
      <c r="R4044" s="209"/>
      <c r="S4044" s="209"/>
      <c r="T4044" s="209"/>
    </row>
    <row r="4045" spans="1:20" ht="15" hidden="1" customHeight="1">
      <c r="A4045" s="468">
        <v>45499</v>
      </c>
      <c r="B4045" s="661" t="s">
        <v>3479</v>
      </c>
      <c r="C4045" s="661" t="s">
        <v>146</v>
      </c>
      <c r="D4045" s="592">
        <v>-49500</v>
      </c>
      <c r="E4045" s="212">
        <v>45474</v>
      </c>
      <c r="F4045" s="208" t="s">
        <v>130</v>
      </c>
      <c r="G4045" s="660" t="s">
        <v>257</v>
      </c>
      <c r="H4045" s="208" t="s">
        <v>303</v>
      </c>
      <c r="I4045" s="208" t="s">
        <v>70</v>
      </c>
      <c r="J4045" s="209"/>
      <c r="K4045" s="209"/>
      <c r="L4045" s="209"/>
      <c r="M4045" s="209"/>
      <c r="N4045" s="209"/>
      <c r="O4045" s="209"/>
      <c r="P4045" s="209"/>
      <c r="Q4045" s="209"/>
      <c r="R4045" s="209"/>
      <c r="S4045" s="209"/>
      <c r="T4045" s="209"/>
    </row>
    <row r="4046" spans="1:20" ht="15" hidden="1" customHeight="1">
      <c r="A4046" s="468">
        <v>45499</v>
      </c>
      <c r="B4046" s="661" t="s">
        <v>3479</v>
      </c>
      <c r="C4046" s="661" t="s">
        <v>146</v>
      </c>
      <c r="D4046" s="592">
        <v>-20000</v>
      </c>
      <c r="E4046" s="212">
        <v>45474</v>
      </c>
      <c r="F4046" s="208" t="s">
        <v>130</v>
      </c>
      <c r="G4046" s="660" t="s">
        <v>257</v>
      </c>
      <c r="H4046" s="208" t="s">
        <v>138</v>
      </c>
      <c r="I4046" s="208" t="s">
        <v>70</v>
      </c>
      <c r="J4046" s="209"/>
      <c r="K4046" s="209"/>
      <c r="L4046" s="209"/>
      <c r="M4046" s="209"/>
      <c r="N4046" s="209"/>
      <c r="O4046" s="209"/>
      <c r="P4046" s="209"/>
      <c r="Q4046" s="209"/>
      <c r="R4046" s="209"/>
      <c r="S4046" s="209"/>
      <c r="T4046" s="209"/>
    </row>
    <row r="4047" spans="1:20" ht="15" hidden="1" customHeight="1">
      <c r="A4047" s="468">
        <v>45499</v>
      </c>
      <c r="B4047" s="662" t="s">
        <v>3480</v>
      </c>
      <c r="C4047" s="661" t="s">
        <v>146</v>
      </c>
      <c r="D4047" s="592">
        <v>-70000</v>
      </c>
      <c r="E4047" s="212">
        <v>45474</v>
      </c>
      <c r="F4047" s="208" t="s">
        <v>130</v>
      </c>
      <c r="G4047" s="660" t="s">
        <v>257</v>
      </c>
      <c r="H4047" s="208" t="s">
        <v>138</v>
      </c>
      <c r="I4047" s="208" t="s">
        <v>70</v>
      </c>
      <c r="J4047" s="209"/>
      <c r="K4047" s="209"/>
      <c r="L4047" s="209"/>
      <c r="M4047" s="209"/>
      <c r="N4047" s="209"/>
      <c r="O4047" s="209"/>
      <c r="P4047" s="209"/>
      <c r="Q4047" s="209"/>
      <c r="R4047" s="209"/>
      <c r="S4047" s="209"/>
      <c r="T4047" s="209"/>
    </row>
    <row r="4048" spans="1:20" ht="15" hidden="1" customHeight="1">
      <c r="A4048" s="468">
        <v>45499</v>
      </c>
      <c r="B4048" s="662" t="s">
        <v>3481</v>
      </c>
      <c r="C4048" s="661" t="s">
        <v>146</v>
      </c>
      <c r="D4048" s="592">
        <v>-60000</v>
      </c>
      <c r="E4048" s="212">
        <v>45474</v>
      </c>
      <c r="F4048" s="208" t="s">
        <v>130</v>
      </c>
      <c r="G4048" s="660" t="s">
        <v>257</v>
      </c>
      <c r="H4048" s="208" t="s">
        <v>138</v>
      </c>
      <c r="I4048" s="208" t="s">
        <v>70</v>
      </c>
      <c r="J4048" s="209"/>
      <c r="K4048" s="209"/>
      <c r="L4048" s="209"/>
      <c r="M4048" s="209"/>
      <c r="N4048" s="209"/>
      <c r="O4048" s="209"/>
      <c r="P4048" s="209"/>
      <c r="Q4048" s="209"/>
      <c r="R4048" s="209"/>
      <c r="S4048" s="209"/>
      <c r="T4048" s="209"/>
    </row>
    <row r="4049" spans="1:20" s="451" customFormat="1" ht="15" hidden="1" customHeight="1">
      <c r="A4049" s="468">
        <v>45499</v>
      </c>
      <c r="B4049" s="663" t="s">
        <v>3482</v>
      </c>
      <c r="C4049" s="223" t="s">
        <v>146</v>
      </c>
      <c r="D4049" s="800">
        <v>-30000</v>
      </c>
      <c r="E4049" s="212">
        <v>45474</v>
      </c>
      <c r="F4049" s="208" t="s">
        <v>109</v>
      </c>
      <c r="G4049" s="201" t="s">
        <v>581</v>
      </c>
      <c r="H4049" s="208" t="s">
        <v>138</v>
      </c>
      <c r="I4049" s="208" t="s">
        <v>3483</v>
      </c>
      <c r="J4049" s="209"/>
      <c r="K4049" s="209"/>
      <c r="L4049" s="209"/>
      <c r="M4049" s="209"/>
      <c r="N4049" s="209"/>
      <c r="O4049" s="209"/>
      <c r="P4049" s="209"/>
      <c r="Q4049" s="209"/>
      <c r="R4049" s="209"/>
      <c r="S4049" s="209"/>
      <c r="T4049" s="209"/>
    </row>
    <row r="4050" spans="1:20" ht="15" hidden="1" customHeight="1">
      <c r="A4050" s="468">
        <v>45499</v>
      </c>
      <c r="B4050" s="664" t="s">
        <v>3484</v>
      </c>
      <c r="C4050" s="223" t="s">
        <v>146</v>
      </c>
      <c r="D4050" s="800">
        <v>-12900</v>
      </c>
      <c r="E4050" s="212">
        <v>45474</v>
      </c>
      <c r="F4050" s="208" t="s">
        <v>109</v>
      </c>
      <c r="G4050" s="201" t="s">
        <v>581</v>
      </c>
      <c r="H4050" s="208" t="s">
        <v>3368</v>
      </c>
      <c r="I4050" s="208" t="s">
        <v>3483</v>
      </c>
      <c r="J4050" s="209"/>
      <c r="K4050" s="209"/>
      <c r="L4050" s="209"/>
      <c r="M4050" s="209"/>
      <c r="N4050" s="209"/>
      <c r="O4050" s="209"/>
      <c r="P4050" s="209"/>
      <c r="Q4050" s="209"/>
      <c r="R4050" s="209"/>
      <c r="S4050" s="209"/>
      <c r="T4050" s="209"/>
    </row>
    <row r="4051" spans="1:20" ht="15" hidden="1" customHeight="1">
      <c r="A4051" s="468">
        <v>45499</v>
      </c>
      <c r="B4051" s="208" t="s">
        <v>3485</v>
      </c>
      <c r="C4051" s="223" t="s">
        <v>146</v>
      </c>
      <c r="D4051" s="800">
        <v>-40000</v>
      </c>
      <c r="E4051" s="212">
        <v>45474</v>
      </c>
      <c r="F4051" s="208" t="s">
        <v>109</v>
      </c>
      <c r="G4051" s="201" t="s">
        <v>581</v>
      </c>
      <c r="H4051" s="208" t="s">
        <v>3486</v>
      </c>
      <c r="I4051" s="208" t="s">
        <v>3483</v>
      </c>
      <c r="J4051" s="209"/>
      <c r="K4051" s="209"/>
      <c r="L4051" s="209"/>
      <c r="M4051" s="209"/>
      <c r="N4051" s="209"/>
      <c r="O4051" s="209"/>
      <c r="P4051" s="209"/>
      <c r="Q4051" s="209"/>
      <c r="R4051" s="209"/>
      <c r="S4051" s="209"/>
      <c r="T4051" s="209"/>
    </row>
    <row r="4052" spans="1:20" ht="15" hidden="1" customHeight="1">
      <c r="A4052" s="468">
        <v>45499</v>
      </c>
      <c r="B4052" s="208" t="s">
        <v>3484</v>
      </c>
      <c r="C4052" s="223" t="s">
        <v>146</v>
      </c>
      <c r="D4052" s="800">
        <v>-12900</v>
      </c>
      <c r="E4052" s="212">
        <v>45474</v>
      </c>
      <c r="F4052" s="208" t="s">
        <v>109</v>
      </c>
      <c r="G4052" s="201" t="s">
        <v>581</v>
      </c>
      <c r="H4052" s="208" t="s">
        <v>3368</v>
      </c>
      <c r="I4052" s="208" t="s">
        <v>3483</v>
      </c>
      <c r="J4052" s="209"/>
      <c r="K4052" s="209"/>
      <c r="L4052" s="209"/>
      <c r="M4052" s="209"/>
      <c r="N4052" s="209"/>
      <c r="O4052" s="209"/>
      <c r="P4052" s="209"/>
      <c r="Q4052" s="209"/>
      <c r="R4052" s="209"/>
      <c r="S4052" s="209"/>
      <c r="T4052" s="209"/>
    </row>
    <row r="4053" spans="1:20" ht="15" hidden="1" customHeight="1">
      <c r="A4053" s="468">
        <v>45499</v>
      </c>
      <c r="B4053" s="208" t="s">
        <v>3487</v>
      </c>
      <c r="C4053" s="223" t="s">
        <v>146</v>
      </c>
      <c r="D4053" s="800">
        <v>-30000</v>
      </c>
      <c r="E4053" s="212">
        <v>45474</v>
      </c>
      <c r="F4053" s="208" t="s">
        <v>109</v>
      </c>
      <c r="G4053" s="201" t="s">
        <v>581</v>
      </c>
      <c r="H4053" s="208" t="s">
        <v>138</v>
      </c>
      <c r="I4053" s="208" t="s">
        <v>3483</v>
      </c>
      <c r="J4053" s="209"/>
      <c r="K4053" s="209"/>
      <c r="L4053" s="209"/>
      <c r="M4053" s="209"/>
      <c r="N4053" s="209"/>
      <c r="O4053" s="209"/>
      <c r="P4053" s="209"/>
      <c r="Q4053" s="209"/>
      <c r="R4053" s="209"/>
      <c r="S4053" s="209"/>
      <c r="T4053" s="209"/>
    </row>
    <row r="4054" spans="1:20" ht="15" hidden="1" customHeight="1">
      <c r="A4054" s="468">
        <v>45499</v>
      </c>
      <c r="B4054" s="208" t="s">
        <v>3482</v>
      </c>
      <c r="C4054" s="223" t="s">
        <v>146</v>
      </c>
      <c r="D4054" s="800">
        <v>-30000</v>
      </c>
      <c r="E4054" s="212">
        <v>45474</v>
      </c>
      <c r="F4054" s="208" t="s">
        <v>109</v>
      </c>
      <c r="G4054" s="201" t="s">
        <v>581</v>
      </c>
      <c r="H4054" s="208" t="s">
        <v>138</v>
      </c>
      <c r="I4054" s="208" t="s">
        <v>3483</v>
      </c>
      <c r="J4054" s="209"/>
      <c r="K4054" s="209"/>
      <c r="L4054" s="209"/>
      <c r="M4054" s="209"/>
      <c r="N4054" s="209"/>
      <c r="O4054" s="209"/>
      <c r="P4054" s="209"/>
      <c r="Q4054" s="209"/>
      <c r="R4054" s="209"/>
      <c r="S4054" s="209"/>
      <c r="T4054" s="209"/>
    </row>
    <row r="4055" spans="1:20" ht="15" hidden="1" customHeight="1">
      <c r="A4055" s="468">
        <v>45499</v>
      </c>
      <c r="B4055" s="208" t="s">
        <v>3488</v>
      </c>
      <c r="C4055" s="223" t="s">
        <v>146</v>
      </c>
      <c r="D4055" s="800">
        <v>-141000</v>
      </c>
      <c r="E4055" s="212">
        <v>45474</v>
      </c>
      <c r="F4055" s="208" t="s">
        <v>109</v>
      </c>
      <c r="G4055" s="201" t="s">
        <v>581</v>
      </c>
      <c r="H4055" s="208" t="s">
        <v>175</v>
      </c>
      <c r="I4055" s="208" t="s">
        <v>3483</v>
      </c>
      <c r="J4055" s="209"/>
      <c r="K4055" s="209"/>
      <c r="L4055" s="209"/>
      <c r="M4055" s="209"/>
      <c r="N4055" s="209"/>
      <c r="O4055" s="209"/>
      <c r="P4055" s="209"/>
      <c r="Q4055" s="209"/>
      <c r="R4055" s="209"/>
      <c r="S4055" s="209"/>
      <c r="T4055" s="209"/>
    </row>
    <row r="4056" spans="1:20" ht="15" hidden="1" customHeight="1">
      <c r="A4056" s="468">
        <v>45499</v>
      </c>
      <c r="B4056" s="208" t="s">
        <v>3489</v>
      </c>
      <c r="C4056" s="223" t="s">
        <v>146</v>
      </c>
      <c r="D4056" s="800">
        <v>-10500</v>
      </c>
      <c r="E4056" s="212">
        <v>45474</v>
      </c>
      <c r="F4056" s="208" t="s">
        <v>109</v>
      </c>
      <c r="G4056" s="201" t="s">
        <v>581</v>
      </c>
      <c r="H4056" s="208" t="s">
        <v>175</v>
      </c>
      <c r="I4056" s="208" t="s">
        <v>3483</v>
      </c>
      <c r="J4056" s="209"/>
      <c r="K4056" s="209"/>
      <c r="L4056" s="209"/>
      <c r="M4056" s="209"/>
      <c r="N4056" s="209"/>
      <c r="O4056" s="209"/>
      <c r="P4056" s="209"/>
      <c r="Q4056" s="209"/>
      <c r="R4056" s="209"/>
      <c r="S4056" s="209"/>
      <c r="T4056" s="209"/>
    </row>
    <row r="4057" spans="1:20" ht="15" hidden="1" customHeight="1">
      <c r="A4057" s="468">
        <v>45499</v>
      </c>
      <c r="B4057" s="208" t="s">
        <v>3487</v>
      </c>
      <c r="C4057" s="223" t="s">
        <v>146</v>
      </c>
      <c r="D4057" s="800">
        <v>-30000</v>
      </c>
      <c r="E4057" s="212">
        <v>45474</v>
      </c>
      <c r="F4057" s="208" t="s">
        <v>109</v>
      </c>
      <c r="G4057" s="201" t="s">
        <v>581</v>
      </c>
      <c r="H4057" s="208" t="s">
        <v>138</v>
      </c>
      <c r="I4057" s="208" t="s">
        <v>3483</v>
      </c>
      <c r="J4057" s="209"/>
      <c r="K4057" s="209"/>
      <c r="L4057" s="209"/>
      <c r="M4057" s="209"/>
      <c r="N4057" s="209"/>
      <c r="O4057" s="209"/>
      <c r="P4057" s="209"/>
      <c r="Q4057" s="209"/>
      <c r="R4057" s="209"/>
      <c r="S4057" s="209"/>
      <c r="T4057" s="209"/>
    </row>
    <row r="4058" spans="1:20" ht="15" hidden="1" customHeight="1">
      <c r="A4058" s="468">
        <v>45499</v>
      </c>
      <c r="B4058" s="208" t="s">
        <v>3484</v>
      </c>
      <c r="C4058" s="223" t="s">
        <v>146</v>
      </c>
      <c r="D4058" s="800">
        <v>-12900</v>
      </c>
      <c r="E4058" s="212">
        <v>45474</v>
      </c>
      <c r="F4058" s="208" t="s">
        <v>109</v>
      </c>
      <c r="G4058" s="201" t="s">
        <v>581</v>
      </c>
      <c r="H4058" s="208" t="s">
        <v>3368</v>
      </c>
      <c r="I4058" s="208" t="s">
        <v>3483</v>
      </c>
      <c r="J4058" s="209"/>
      <c r="K4058" s="209"/>
      <c r="L4058" s="209"/>
      <c r="M4058" s="209"/>
      <c r="N4058" s="209"/>
      <c r="O4058" s="209"/>
      <c r="P4058" s="209"/>
      <c r="Q4058" s="209"/>
      <c r="R4058" s="209"/>
      <c r="S4058" s="209"/>
      <c r="T4058" s="209"/>
    </row>
    <row r="4059" spans="1:20" ht="15" hidden="1" customHeight="1">
      <c r="A4059" s="468">
        <v>45499</v>
      </c>
      <c r="B4059" s="208" t="s">
        <v>3490</v>
      </c>
      <c r="C4059" s="223" t="s">
        <v>146</v>
      </c>
      <c r="D4059" s="800">
        <v>-9500</v>
      </c>
      <c r="E4059" s="212">
        <v>45474</v>
      </c>
      <c r="F4059" s="208" t="s">
        <v>109</v>
      </c>
      <c r="G4059" s="201" t="s">
        <v>581</v>
      </c>
      <c r="H4059" s="208" t="s">
        <v>3491</v>
      </c>
      <c r="I4059" s="208" t="s">
        <v>3483</v>
      </c>
      <c r="J4059" s="209"/>
      <c r="K4059" s="209"/>
      <c r="L4059" s="209"/>
      <c r="M4059" s="209"/>
      <c r="N4059" s="209"/>
      <c r="O4059" s="209"/>
      <c r="P4059" s="209"/>
      <c r="Q4059" s="209"/>
      <c r="R4059" s="209"/>
      <c r="S4059" s="209"/>
      <c r="T4059" s="209"/>
    </row>
    <row r="4060" spans="1:20" ht="15" hidden="1" customHeight="1">
      <c r="A4060" s="468">
        <v>45499</v>
      </c>
      <c r="B4060" s="208" t="s">
        <v>3492</v>
      </c>
      <c r="C4060" s="223" t="s">
        <v>146</v>
      </c>
      <c r="D4060" s="800">
        <v>-153016</v>
      </c>
      <c r="E4060" s="212">
        <v>45474</v>
      </c>
      <c r="F4060" s="208" t="s">
        <v>109</v>
      </c>
      <c r="G4060" s="201" t="s">
        <v>581</v>
      </c>
      <c r="H4060" s="208" t="s">
        <v>3366</v>
      </c>
      <c r="I4060" s="208" t="s">
        <v>3483</v>
      </c>
      <c r="J4060" s="209"/>
      <c r="K4060" s="209"/>
      <c r="L4060" s="209"/>
      <c r="M4060" s="209"/>
      <c r="N4060" s="209"/>
      <c r="O4060" s="209"/>
      <c r="P4060" s="209"/>
      <c r="Q4060" s="209"/>
      <c r="R4060" s="209"/>
      <c r="S4060" s="209"/>
      <c r="T4060" s="209"/>
    </row>
    <row r="4061" spans="1:20" ht="15" hidden="1" customHeight="1">
      <c r="A4061" s="468">
        <v>45499</v>
      </c>
      <c r="B4061" s="208" t="s">
        <v>3493</v>
      </c>
      <c r="C4061" s="223" t="s">
        <v>146</v>
      </c>
      <c r="D4061" s="800">
        <v>-48000</v>
      </c>
      <c r="E4061" s="212">
        <v>45474</v>
      </c>
      <c r="F4061" s="208" t="s">
        <v>109</v>
      </c>
      <c r="G4061" s="201" t="s">
        <v>581</v>
      </c>
      <c r="H4061" s="208" t="s">
        <v>303</v>
      </c>
      <c r="I4061" s="208" t="s">
        <v>3483</v>
      </c>
      <c r="J4061" s="209"/>
      <c r="K4061" s="209"/>
      <c r="L4061" s="209"/>
      <c r="M4061" s="209"/>
      <c r="N4061" s="209"/>
      <c r="O4061" s="209"/>
      <c r="P4061" s="209"/>
      <c r="Q4061" s="209"/>
      <c r="R4061" s="209"/>
      <c r="S4061" s="209"/>
      <c r="T4061" s="209"/>
    </row>
    <row r="4062" spans="1:20" ht="15" hidden="1" customHeight="1">
      <c r="A4062" s="468">
        <v>45499</v>
      </c>
      <c r="B4062" s="208" t="s">
        <v>3494</v>
      </c>
      <c r="C4062" s="223" t="s">
        <v>146</v>
      </c>
      <c r="D4062" s="800">
        <v>-46042</v>
      </c>
      <c r="E4062" s="212">
        <v>45474</v>
      </c>
      <c r="F4062" s="208" t="s">
        <v>109</v>
      </c>
      <c r="G4062" s="201" t="s">
        <v>581</v>
      </c>
      <c r="H4062" s="208" t="s">
        <v>3366</v>
      </c>
      <c r="I4062" s="208" t="s">
        <v>3483</v>
      </c>
      <c r="J4062" s="209"/>
      <c r="K4062" s="209"/>
      <c r="L4062" s="209"/>
      <c r="M4062" s="209"/>
      <c r="N4062" s="209"/>
      <c r="O4062" s="209"/>
      <c r="P4062" s="209"/>
      <c r="Q4062" s="209"/>
      <c r="R4062" s="209"/>
      <c r="S4062" s="209"/>
      <c r="T4062" s="209"/>
    </row>
    <row r="4063" spans="1:20" ht="15" hidden="1" customHeight="1">
      <c r="A4063" s="468">
        <v>45499</v>
      </c>
      <c r="B4063" s="208" t="s">
        <v>3495</v>
      </c>
      <c r="C4063" s="223" t="s">
        <v>146</v>
      </c>
      <c r="D4063" s="800">
        <v>-59500</v>
      </c>
      <c r="E4063" s="212">
        <v>45474</v>
      </c>
      <c r="F4063" s="208" t="s">
        <v>109</v>
      </c>
      <c r="G4063" s="201" t="s">
        <v>581</v>
      </c>
      <c r="H4063" s="208" t="s">
        <v>175</v>
      </c>
      <c r="I4063" s="208" t="s">
        <v>3483</v>
      </c>
      <c r="J4063" s="209"/>
      <c r="K4063" s="209"/>
      <c r="L4063" s="209"/>
      <c r="M4063" s="209"/>
      <c r="N4063" s="209"/>
      <c r="O4063" s="209"/>
      <c r="P4063" s="209"/>
      <c r="Q4063" s="209"/>
      <c r="R4063" s="209"/>
      <c r="S4063" s="209"/>
      <c r="T4063" s="209"/>
    </row>
    <row r="4064" spans="1:20" ht="15" hidden="1" customHeight="1">
      <c r="A4064" s="468">
        <v>45499</v>
      </c>
      <c r="B4064" s="208" t="s">
        <v>3496</v>
      </c>
      <c r="C4064" s="223" t="s">
        <v>146</v>
      </c>
      <c r="D4064" s="800">
        <v>-30000</v>
      </c>
      <c r="E4064" s="212">
        <v>45474</v>
      </c>
      <c r="F4064" s="208" t="s">
        <v>109</v>
      </c>
      <c r="G4064" s="201" t="s">
        <v>581</v>
      </c>
      <c r="H4064" s="208"/>
      <c r="I4064" s="208" t="s">
        <v>3483</v>
      </c>
      <c r="J4064" s="209"/>
      <c r="K4064" s="209"/>
      <c r="L4064" s="209"/>
      <c r="M4064" s="209"/>
      <c r="N4064" s="209"/>
      <c r="O4064" s="209"/>
      <c r="P4064" s="209"/>
      <c r="Q4064" s="209"/>
      <c r="R4064" s="209"/>
      <c r="S4064" s="209"/>
      <c r="T4064" s="209"/>
    </row>
    <row r="4065" spans="1:20" ht="15" hidden="1" customHeight="1">
      <c r="A4065" s="468">
        <v>45499</v>
      </c>
      <c r="B4065" s="208" t="s">
        <v>3497</v>
      </c>
      <c r="C4065" s="223" t="s">
        <v>146</v>
      </c>
      <c r="D4065" s="800">
        <v>-286000</v>
      </c>
      <c r="E4065" s="212">
        <v>45474</v>
      </c>
      <c r="F4065" s="208" t="s">
        <v>109</v>
      </c>
      <c r="G4065" s="201" t="s">
        <v>581</v>
      </c>
      <c r="H4065" s="208" t="s">
        <v>175</v>
      </c>
      <c r="I4065" s="208" t="s">
        <v>3483</v>
      </c>
      <c r="J4065" s="209"/>
      <c r="K4065" s="209"/>
      <c r="L4065" s="209"/>
      <c r="M4065" s="209"/>
      <c r="N4065" s="209"/>
      <c r="O4065" s="209"/>
      <c r="P4065" s="209"/>
      <c r="Q4065" s="209"/>
      <c r="R4065" s="209"/>
      <c r="S4065" s="209"/>
      <c r="T4065" s="209"/>
    </row>
    <row r="4066" spans="1:20" ht="15" hidden="1" customHeight="1">
      <c r="A4066" s="468">
        <v>45499</v>
      </c>
      <c r="B4066" s="208" t="s">
        <v>3498</v>
      </c>
      <c r="C4066" s="223" t="s">
        <v>146</v>
      </c>
      <c r="D4066" s="800">
        <v>-23000</v>
      </c>
      <c r="E4066" s="212">
        <v>45474</v>
      </c>
      <c r="F4066" s="208" t="s">
        <v>109</v>
      </c>
      <c r="G4066" s="201" t="s">
        <v>581</v>
      </c>
      <c r="H4066" s="208" t="s">
        <v>175</v>
      </c>
      <c r="I4066" s="208" t="s">
        <v>3483</v>
      </c>
      <c r="J4066" s="209"/>
      <c r="K4066" s="209"/>
      <c r="L4066" s="209"/>
      <c r="M4066" s="209"/>
      <c r="N4066" s="209"/>
      <c r="O4066" s="209"/>
      <c r="P4066" s="209"/>
      <c r="Q4066" s="209"/>
      <c r="R4066" s="209"/>
      <c r="S4066" s="209"/>
      <c r="T4066" s="209"/>
    </row>
    <row r="4067" spans="1:20" ht="15" hidden="1" customHeight="1">
      <c r="A4067" s="468">
        <v>45499</v>
      </c>
      <c r="B4067" s="208" t="s">
        <v>3499</v>
      </c>
      <c r="C4067" s="223" t="s">
        <v>146</v>
      </c>
      <c r="D4067" s="800">
        <v>-12000</v>
      </c>
      <c r="E4067" s="212">
        <v>45474</v>
      </c>
      <c r="F4067" s="208" t="s">
        <v>109</v>
      </c>
      <c r="G4067" s="201" t="s">
        <v>581</v>
      </c>
      <c r="H4067" s="208" t="s">
        <v>175</v>
      </c>
      <c r="I4067" s="208" t="s">
        <v>3483</v>
      </c>
      <c r="J4067" s="209"/>
      <c r="K4067" s="209"/>
      <c r="L4067" s="209"/>
      <c r="M4067" s="209"/>
      <c r="N4067" s="209"/>
      <c r="O4067" s="209"/>
      <c r="P4067" s="209"/>
      <c r="Q4067" s="209"/>
      <c r="R4067" s="209"/>
      <c r="S4067" s="209"/>
      <c r="T4067" s="209"/>
    </row>
    <row r="4068" spans="1:20" ht="15" hidden="1" customHeight="1">
      <c r="A4068" s="468">
        <v>45499</v>
      </c>
      <c r="B4068" s="208" t="s">
        <v>3500</v>
      </c>
      <c r="C4068" s="223" t="s">
        <v>146</v>
      </c>
      <c r="D4068" s="800">
        <v>-141500</v>
      </c>
      <c r="E4068" s="212">
        <v>45474</v>
      </c>
      <c r="F4068" s="208" t="s">
        <v>109</v>
      </c>
      <c r="G4068" s="201" t="s">
        <v>581</v>
      </c>
      <c r="H4068" s="208" t="s">
        <v>175</v>
      </c>
      <c r="I4068" s="208" t="s">
        <v>3483</v>
      </c>
      <c r="J4068" s="209"/>
      <c r="K4068" s="209"/>
      <c r="L4068" s="209"/>
      <c r="M4068" s="209"/>
      <c r="N4068" s="209"/>
      <c r="O4068" s="209"/>
      <c r="P4068" s="209"/>
      <c r="Q4068" s="209"/>
      <c r="R4068" s="209"/>
      <c r="S4068" s="209"/>
      <c r="T4068" s="209"/>
    </row>
    <row r="4069" spans="1:20" ht="15" hidden="1" customHeight="1">
      <c r="A4069" s="468">
        <v>45499</v>
      </c>
      <c r="B4069" s="208" t="s">
        <v>3501</v>
      </c>
      <c r="C4069" s="223" t="s">
        <v>146</v>
      </c>
      <c r="D4069" s="800">
        <v>-10000</v>
      </c>
      <c r="E4069" s="212">
        <v>45474</v>
      </c>
      <c r="F4069" s="208" t="s">
        <v>109</v>
      </c>
      <c r="G4069" s="201" t="s">
        <v>581</v>
      </c>
      <c r="H4069" s="208" t="s">
        <v>175</v>
      </c>
      <c r="I4069" s="208" t="s">
        <v>3483</v>
      </c>
      <c r="J4069" s="209"/>
      <c r="K4069" s="209"/>
      <c r="L4069" s="209"/>
      <c r="M4069" s="209"/>
      <c r="N4069" s="209"/>
      <c r="O4069" s="209"/>
      <c r="P4069" s="209"/>
      <c r="Q4069" s="209"/>
      <c r="R4069" s="209"/>
      <c r="S4069" s="209"/>
      <c r="T4069" s="209"/>
    </row>
    <row r="4070" spans="1:20" ht="15" hidden="1" customHeight="1">
      <c r="A4070" s="468">
        <v>45499</v>
      </c>
      <c r="B4070" s="208" t="s">
        <v>3502</v>
      </c>
      <c r="C4070" s="223" t="s">
        <v>146</v>
      </c>
      <c r="D4070" s="800">
        <v>-54500</v>
      </c>
      <c r="E4070" s="212">
        <v>45474</v>
      </c>
      <c r="F4070" s="208" t="s">
        <v>109</v>
      </c>
      <c r="G4070" s="201" t="s">
        <v>581</v>
      </c>
      <c r="H4070" s="208" t="s">
        <v>175</v>
      </c>
      <c r="I4070" s="208" t="s">
        <v>3483</v>
      </c>
      <c r="J4070" s="209"/>
      <c r="K4070" s="209"/>
      <c r="L4070" s="209"/>
      <c r="M4070" s="209"/>
      <c r="N4070" s="209"/>
      <c r="O4070" s="209"/>
      <c r="P4070" s="209"/>
      <c r="Q4070" s="209"/>
      <c r="R4070" s="209"/>
      <c r="S4070" s="209"/>
      <c r="T4070" s="209"/>
    </row>
    <row r="4071" spans="1:20" ht="15" hidden="1" customHeight="1">
      <c r="A4071" s="468">
        <v>45499</v>
      </c>
      <c r="B4071" s="208" t="s">
        <v>3503</v>
      </c>
      <c r="C4071" s="223" t="s">
        <v>146</v>
      </c>
      <c r="D4071" s="800">
        <v>-19800</v>
      </c>
      <c r="E4071" s="212">
        <v>45474</v>
      </c>
      <c r="F4071" s="208" t="s">
        <v>109</v>
      </c>
      <c r="G4071" s="201" t="s">
        <v>581</v>
      </c>
      <c r="H4071" s="208" t="s">
        <v>175</v>
      </c>
      <c r="I4071" s="208" t="s">
        <v>3483</v>
      </c>
      <c r="J4071" s="209"/>
      <c r="K4071" s="209"/>
      <c r="L4071" s="209"/>
      <c r="M4071" s="209"/>
      <c r="N4071" s="209"/>
      <c r="O4071" s="209"/>
      <c r="P4071" s="209"/>
      <c r="Q4071" s="209"/>
      <c r="R4071" s="209"/>
      <c r="S4071" s="209"/>
      <c r="T4071" s="209"/>
    </row>
    <row r="4072" spans="1:20" ht="15" hidden="1" customHeight="1">
      <c r="A4072" s="468">
        <v>45499</v>
      </c>
      <c r="B4072" s="208" t="s">
        <v>3504</v>
      </c>
      <c r="C4072" s="223" t="s">
        <v>146</v>
      </c>
      <c r="D4072" s="800">
        <v>-29500</v>
      </c>
      <c r="E4072" s="212">
        <v>45474</v>
      </c>
      <c r="F4072" s="208" t="s">
        <v>109</v>
      </c>
      <c r="G4072" s="201" t="s">
        <v>581</v>
      </c>
      <c r="H4072" s="208" t="s">
        <v>175</v>
      </c>
      <c r="I4072" s="208" t="s">
        <v>3483</v>
      </c>
      <c r="J4072" s="209"/>
      <c r="K4072" s="209"/>
      <c r="L4072" s="209"/>
      <c r="M4072" s="209"/>
      <c r="N4072" s="209"/>
      <c r="O4072" s="209"/>
      <c r="P4072" s="209"/>
      <c r="Q4072" s="209"/>
      <c r="R4072" s="209"/>
      <c r="S4072" s="209"/>
      <c r="T4072" s="209"/>
    </row>
    <row r="4073" spans="1:20" ht="15" hidden="1" customHeight="1">
      <c r="A4073" s="468">
        <v>45499</v>
      </c>
      <c r="B4073" s="208" t="s">
        <v>3505</v>
      </c>
      <c r="C4073" s="223" t="s">
        <v>146</v>
      </c>
      <c r="D4073" s="800">
        <v>-40000</v>
      </c>
      <c r="E4073" s="212">
        <v>45474</v>
      </c>
      <c r="F4073" s="208" t="s">
        <v>109</v>
      </c>
      <c r="G4073" s="201" t="s">
        <v>581</v>
      </c>
      <c r="H4073" s="208" t="s">
        <v>138</v>
      </c>
      <c r="I4073" s="208" t="s">
        <v>3483</v>
      </c>
      <c r="J4073" s="209"/>
      <c r="K4073" s="209"/>
      <c r="L4073" s="209"/>
      <c r="M4073" s="209"/>
      <c r="N4073" s="209"/>
      <c r="O4073" s="209"/>
      <c r="P4073" s="209"/>
      <c r="Q4073" s="209"/>
      <c r="R4073" s="209"/>
      <c r="S4073" s="209"/>
      <c r="T4073" s="209"/>
    </row>
    <row r="4074" spans="1:20" ht="15" hidden="1" customHeight="1">
      <c r="A4074" s="468">
        <v>45499</v>
      </c>
      <c r="B4074" s="208" t="s">
        <v>3506</v>
      </c>
      <c r="C4074" s="223" t="s">
        <v>146</v>
      </c>
      <c r="D4074" s="800">
        <v>-40000</v>
      </c>
      <c r="E4074" s="212">
        <v>45474</v>
      </c>
      <c r="F4074" s="208" t="s">
        <v>109</v>
      </c>
      <c r="G4074" s="201" t="s">
        <v>581</v>
      </c>
      <c r="H4074" s="208" t="s">
        <v>138</v>
      </c>
      <c r="I4074" s="208" t="s">
        <v>3483</v>
      </c>
      <c r="J4074" s="209"/>
      <c r="K4074" s="209"/>
      <c r="L4074" s="209"/>
      <c r="M4074" s="209"/>
      <c r="N4074" s="209"/>
      <c r="O4074" s="209"/>
      <c r="P4074" s="209"/>
      <c r="Q4074" s="209"/>
      <c r="R4074" s="209"/>
      <c r="S4074" s="209"/>
      <c r="T4074" s="209"/>
    </row>
    <row r="4075" spans="1:20" ht="15" hidden="1" customHeight="1">
      <c r="A4075" s="468">
        <v>45499</v>
      </c>
      <c r="B4075" s="208" t="s">
        <v>3507</v>
      </c>
      <c r="C4075" s="223" t="s">
        <v>146</v>
      </c>
      <c r="D4075" s="800">
        <v>-40000</v>
      </c>
      <c r="E4075" s="212">
        <v>45474</v>
      </c>
      <c r="F4075" s="208" t="s">
        <v>109</v>
      </c>
      <c r="G4075" s="201" t="s">
        <v>581</v>
      </c>
      <c r="H4075" s="208" t="s">
        <v>138</v>
      </c>
      <c r="I4075" s="208" t="s">
        <v>3483</v>
      </c>
      <c r="J4075" s="209"/>
      <c r="K4075" s="209"/>
      <c r="L4075" s="209"/>
      <c r="M4075" s="209"/>
      <c r="N4075" s="209"/>
      <c r="O4075" s="209"/>
      <c r="P4075" s="209"/>
      <c r="Q4075" s="209"/>
      <c r="R4075" s="209"/>
      <c r="S4075" s="209"/>
      <c r="T4075" s="209"/>
    </row>
    <row r="4076" spans="1:20" ht="15" hidden="1" customHeight="1">
      <c r="A4076" s="468">
        <v>45499</v>
      </c>
      <c r="B4076" s="208" t="s">
        <v>3508</v>
      </c>
      <c r="C4076" s="223" t="s">
        <v>146</v>
      </c>
      <c r="D4076" s="800">
        <v>-80000</v>
      </c>
      <c r="E4076" s="212">
        <v>45474</v>
      </c>
      <c r="F4076" s="208" t="s">
        <v>109</v>
      </c>
      <c r="G4076" s="201" t="s">
        <v>581</v>
      </c>
      <c r="H4076" s="208" t="s">
        <v>3509</v>
      </c>
      <c r="I4076" s="208" t="s">
        <v>3483</v>
      </c>
      <c r="J4076" s="209"/>
      <c r="K4076" s="209"/>
      <c r="L4076" s="209"/>
      <c r="M4076" s="209"/>
      <c r="N4076" s="209"/>
      <c r="O4076" s="209"/>
      <c r="P4076" s="209"/>
      <c r="Q4076" s="209"/>
      <c r="R4076" s="209"/>
      <c r="S4076" s="209"/>
      <c r="T4076" s="209"/>
    </row>
    <row r="4077" spans="1:20" ht="15" hidden="1" customHeight="1">
      <c r="A4077" s="468">
        <v>45499</v>
      </c>
      <c r="B4077" s="208" t="s">
        <v>3484</v>
      </c>
      <c r="C4077" s="223" t="s">
        <v>146</v>
      </c>
      <c r="D4077" s="800">
        <v>-12900</v>
      </c>
      <c r="E4077" s="212">
        <v>45474</v>
      </c>
      <c r="F4077" s="208" t="s">
        <v>109</v>
      </c>
      <c r="G4077" s="201" t="s">
        <v>581</v>
      </c>
      <c r="H4077" s="208" t="s">
        <v>3368</v>
      </c>
      <c r="I4077" s="208" t="s">
        <v>3483</v>
      </c>
      <c r="J4077" s="209"/>
      <c r="K4077" s="209"/>
      <c r="L4077" s="209"/>
      <c r="M4077" s="209"/>
      <c r="N4077" s="209"/>
      <c r="O4077" s="209"/>
      <c r="P4077" s="209"/>
      <c r="Q4077" s="209"/>
      <c r="R4077" s="209"/>
      <c r="S4077" s="209"/>
      <c r="T4077" s="209"/>
    </row>
    <row r="4078" spans="1:20" ht="15" hidden="1" customHeight="1">
      <c r="A4078" s="468">
        <v>45499</v>
      </c>
      <c r="B4078" s="208" t="s">
        <v>3510</v>
      </c>
      <c r="C4078" s="223" t="s">
        <v>146</v>
      </c>
      <c r="D4078" s="800">
        <v>-50000</v>
      </c>
      <c r="E4078" s="212">
        <v>45474</v>
      </c>
      <c r="F4078" s="208" t="s">
        <v>109</v>
      </c>
      <c r="G4078" s="201" t="s">
        <v>581</v>
      </c>
      <c r="H4078" s="208" t="s">
        <v>138</v>
      </c>
      <c r="I4078" s="208" t="s">
        <v>3483</v>
      </c>
      <c r="J4078" s="209"/>
      <c r="K4078" s="209"/>
      <c r="L4078" s="209"/>
      <c r="M4078" s="209"/>
      <c r="N4078" s="209"/>
      <c r="O4078" s="209"/>
      <c r="P4078" s="209"/>
      <c r="Q4078" s="209"/>
      <c r="R4078" s="209"/>
      <c r="S4078" s="209"/>
      <c r="T4078" s="209"/>
    </row>
    <row r="4079" spans="1:20" ht="15" hidden="1" customHeight="1">
      <c r="A4079" s="468">
        <v>45499</v>
      </c>
      <c r="B4079" s="208" t="s">
        <v>3504</v>
      </c>
      <c r="C4079" s="223" t="s">
        <v>146</v>
      </c>
      <c r="D4079" s="800">
        <v>-160500</v>
      </c>
      <c r="E4079" s="212">
        <v>45474</v>
      </c>
      <c r="F4079" s="208" t="s">
        <v>109</v>
      </c>
      <c r="G4079" s="201" t="s">
        <v>581</v>
      </c>
      <c r="H4079" s="208" t="s">
        <v>3511</v>
      </c>
      <c r="I4079" s="208" t="s">
        <v>3483</v>
      </c>
      <c r="J4079" s="209"/>
      <c r="K4079" s="209"/>
      <c r="L4079" s="209"/>
      <c r="M4079" s="209"/>
      <c r="N4079" s="209"/>
      <c r="O4079" s="209"/>
      <c r="P4079" s="209"/>
      <c r="Q4079" s="209"/>
      <c r="R4079" s="209"/>
      <c r="S4079" s="209"/>
      <c r="T4079" s="209"/>
    </row>
    <row r="4080" spans="1:20" ht="15" hidden="1" customHeight="1">
      <c r="A4080" s="468">
        <v>45499</v>
      </c>
      <c r="B4080" s="208" t="s">
        <v>3496</v>
      </c>
      <c r="C4080" s="223" t="s">
        <v>146</v>
      </c>
      <c r="D4080" s="800">
        <v>-30000</v>
      </c>
      <c r="E4080" s="212">
        <v>45474</v>
      </c>
      <c r="F4080" s="208" t="s">
        <v>109</v>
      </c>
      <c r="G4080" s="201" t="s">
        <v>581</v>
      </c>
      <c r="H4080" s="208" t="s">
        <v>3512</v>
      </c>
      <c r="I4080" s="208" t="s">
        <v>3483</v>
      </c>
      <c r="J4080" s="209"/>
      <c r="K4080" s="209"/>
      <c r="L4080" s="209"/>
      <c r="M4080" s="209"/>
      <c r="N4080" s="209"/>
      <c r="O4080" s="209"/>
      <c r="P4080" s="209"/>
      <c r="Q4080" s="209"/>
      <c r="R4080" s="209"/>
      <c r="S4080" s="209"/>
      <c r="T4080" s="209"/>
    </row>
    <row r="4081" spans="1:20" ht="15" hidden="1" customHeight="1">
      <c r="A4081" s="468">
        <v>45499</v>
      </c>
      <c r="B4081" s="208" t="s">
        <v>3513</v>
      </c>
      <c r="C4081" s="223" t="s">
        <v>146</v>
      </c>
      <c r="D4081" s="800">
        <v>-56000</v>
      </c>
      <c r="E4081" s="212">
        <v>45474</v>
      </c>
      <c r="F4081" s="208" t="s">
        <v>109</v>
      </c>
      <c r="G4081" s="201" t="s">
        <v>581</v>
      </c>
      <c r="H4081" s="208" t="s">
        <v>3514</v>
      </c>
      <c r="I4081" s="208" t="s">
        <v>3483</v>
      </c>
      <c r="J4081" s="209"/>
      <c r="K4081" s="209"/>
      <c r="L4081" s="209"/>
      <c r="M4081" s="209"/>
      <c r="N4081" s="209"/>
      <c r="O4081" s="209"/>
      <c r="P4081" s="209"/>
      <c r="Q4081" s="209"/>
      <c r="R4081" s="209"/>
      <c r="S4081" s="209"/>
      <c r="T4081" s="209"/>
    </row>
    <row r="4082" spans="1:20" ht="15" hidden="1" customHeight="1">
      <c r="A4082" s="468">
        <v>45499</v>
      </c>
      <c r="B4082" s="208" t="s">
        <v>3515</v>
      </c>
      <c r="C4082" s="223" t="s">
        <v>146</v>
      </c>
      <c r="D4082" s="800">
        <v>-684000</v>
      </c>
      <c r="E4082" s="212">
        <v>45474</v>
      </c>
      <c r="F4082" s="208" t="s">
        <v>109</v>
      </c>
      <c r="G4082" s="201" t="s">
        <v>581</v>
      </c>
      <c r="H4082" s="208" t="s">
        <v>3516</v>
      </c>
      <c r="I4082" s="208" t="s">
        <v>3483</v>
      </c>
      <c r="J4082" s="209"/>
      <c r="K4082" s="209"/>
      <c r="L4082" s="209"/>
      <c r="M4082" s="209"/>
      <c r="N4082" s="209"/>
      <c r="O4082" s="209"/>
      <c r="P4082" s="209"/>
      <c r="Q4082" s="209"/>
      <c r="R4082" s="209"/>
      <c r="S4082" s="209"/>
      <c r="T4082" s="209"/>
    </row>
    <row r="4083" spans="1:20" ht="15" hidden="1" customHeight="1">
      <c r="A4083" s="468">
        <v>45499</v>
      </c>
      <c r="B4083" s="208" t="s">
        <v>3517</v>
      </c>
      <c r="C4083" s="223" t="s">
        <v>146</v>
      </c>
      <c r="D4083" s="800">
        <v>-15000</v>
      </c>
      <c r="E4083" s="212">
        <v>45474</v>
      </c>
      <c r="F4083" s="208" t="s">
        <v>109</v>
      </c>
      <c r="G4083" s="201" t="s">
        <v>581</v>
      </c>
      <c r="H4083" s="208" t="s">
        <v>3518</v>
      </c>
      <c r="I4083" s="208" t="s">
        <v>3483</v>
      </c>
      <c r="J4083" s="209"/>
      <c r="K4083" s="209"/>
      <c r="L4083" s="209"/>
      <c r="M4083" s="209"/>
      <c r="N4083" s="209"/>
      <c r="O4083" s="209"/>
      <c r="P4083" s="209"/>
      <c r="Q4083" s="209"/>
      <c r="R4083" s="209"/>
      <c r="S4083" s="209"/>
      <c r="T4083" s="209"/>
    </row>
    <row r="4084" spans="1:20" ht="15" hidden="1" customHeight="1">
      <c r="A4084" s="468">
        <v>45499</v>
      </c>
      <c r="B4084" s="208" t="s">
        <v>3519</v>
      </c>
      <c r="C4084" s="223" t="s">
        <v>146</v>
      </c>
      <c r="D4084" s="800">
        <v>-50000</v>
      </c>
      <c r="E4084" s="212">
        <v>45474</v>
      </c>
      <c r="F4084" s="208" t="s">
        <v>109</v>
      </c>
      <c r="G4084" s="201" t="s">
        <v>581</v>
      </c>
      <c r="H4084" s="208" t="s">
        <v>3520</v>
      </c>
      <c r="I4084" s="208" t="s">
        <v>3483</v>
      </c>
      <c r="J4084" s="209"/>
      <c r="K4084" s="209"/>
      <c r="L4084" s="209"/>
      <c r="M4084" s="209"/>
      <c r="N4084" s="209"/>
      <c r="O4084" s="209"/>
      <c r="P4084" s="209"/>
      <c r="Q4084" s="209"/>
      <c r="R4084" s="209"/>
      <c r="S4084" s="209"/>
      <c r="T4084" s="209"/>
    </row>
    <row r="4085" spans="1:20" ht="15" hidden="1" customHeight="1">
      <c r="A4085" s="468">
        <v>45499</v>
      </c>
      <c r="B4085" s="208" t="s">
        <v>3521</v>
      </c>
      <c r="C4085" s="223" t="s">
        <v>146</v>
      </c>
      <c r="D4085" s="800">
        <v>-99000</v>
      </c>
      <c r="E4085" s="212">
        <v>45474</v>
      </c>
      <c r="F4085" s="208" t="s">
        <v>109</v>
      </c>
      <c r="G4085" s="201" t="s">
        <v>581</v>
      </c>
      <c r="H4085" s="208" t="s">
        <v>3522</v>
      </c>
      <c r="I4085" s="208" t="s">
        <v>3483</v>
      </c>
      <c r="J4085" s="209"/>
      <c r="K4085" s="209"/>
      <c r="L4085" s="209"/>
      <c r="M4085" s="209"/>
      <c r="N4085" s="209"/>
      <c r="O4085" s="209"/>
      <c r="P4085" s="209"/>
      <c r="Q4085" s="209"/>
      <c r="R4085" s="209"/>
      <c r="S4085" s="209"/>
      <c r="T4085" s="209"/>
    </row>
    <row r="4086" spans="1:20" ht="15" hidden="1" customHeight="1">
      <c r="A4086" s="468">
        <v>45499</v>
      </c>
      <c r="B4086" s="208" t="s">
        <v>3508</v>
      </c>
      <c r="C4086" s="223" t="s">
        <v>146</v>
      </c>
      <c r="D4086" s="800">
        <v>-80000</v>
      </c>
      <c r="E4086" s="212">
        <v>45474</v>
      </c>
      <c r="F4086" s="208" t="s">
        <v>109</v>
      </c>
      <c r="G4086" s="201" t="s">
        <v>581</v>
      </c>
      <c r="H4086" s="208" t="s">
        <v>3509</v>
      </c>
      <c r="I4086" s="208" t="s">
        <v>3483</v>
      </c>
      <c r="J4086" s="209"/>
      <c r="K4086" s="209"/>
      <c r="L4086" s="209"/>
      <c r="M4086" s="209"/>
      <c r="N4086" s="209"/>
      <c r="O4086" s="209"/>
      <c r="P4086" s="209"/>
      <c r="Q4086" s="209"/>
      <c r="R4086" s="209"/>
      <c r="S4086" s="209"/>
      <c r="T4086" s="209"/>
    </row>
    <row r="4087" spans="1:20" ht="15" hidden="1" customHeight="1">
      <c r="A4087" s="468">
        <v>45499</v>
      </c>
      <c r="B4087" s="208" t="s">
        <v>3523</v>
      </c>
      <c r="C4087" s="223" t="s">
        <v>146</v>
      </c>
      <c r="D4087" s="800">
        <v>-175095</v>
      </c>
      <c r="E4087" s="212">
        <v>45474</v>
      </c>
      <c r="F4087" s="208" t="s">
        <v>109</v>
      </c>
      <c r="G4087" s="201" t="s">
        <v>581</v>
      </c>
      <c r="H4087" s="208" t="s">
        <v>138</v>
      </c>
      <c r="I4087" s="208" t="s">
        <v>3483</v>
      </c>
      <c r="J4087" s="209"/>
      <c r="K4087" s="209"/>
      <c r="L4087" s="209"/>
      <c r="M4087" s="209"/>
      <c r="N4087" s="209"/>
      <c r="O4087" s="209"/>
      <c r="P4087" s="209"/>
      <c r="Q4087" s="209"/>
      <c r="R4087" s="209"/>
      <c r="S4087" s="209"/>
      <c r="T4087" s="209"/>
    </row>
    <row r="4088" spans="1:20" ht="15" hidden="1" customHeight="1">
      <c r="A4088" s="468">
        <v>45499</v>
      </c>
      <c r="B4088" s="208" t="s">
        <v>3484</v>
      </c>
      <c r="C4088" s="223" t="s">
        <v>146</v>
      </c>
      <c r="D4088" s="800">
        <v>-12900</v>
      </c>
      <c r="E4088" s="212">
        <v>45474</v>
      </c>
      <c r="F4088" s="208" t="s">
        <v>109</v>
      </c>
      <c r="G4088" s="201" t="s">
        <v>581</v>
      </c>
      <c r="H4088" s="208" t="s">
        <v>3368</v>
      </c>
      <c r="I4088" s="208" t="s">
        <v>3483</v>
      </c>
      <c r="J4088" s="209"/>
      <c r="K4088" s="209"/>
      <c r="L4088" s="209"/>
      <c r="M4088" s="209"/>
      <c r="N4088" s="209"/>
      <c r="O4088" s="209"/>
      <c r="P4088" s="209"/>
      <c r="Q4088" s="209"/>
      <c r="R4088" s="209"/>
      <c r="S4088" s="209"/>
      <c r="T4088" s="209"/>
    </row>
    <row r="4089" spans="1:20" ht="15" hidden="1" customHeight="1">
      <c r="A4089" s="468">
        <v>45499</v>
      </c>
      <c r="B4089" s="208" t="s">
        <v>3524</v>
      </c>
      <c r="C4089" s="223" t="s">
        <v>146</v>
      </c>
      <c r="D4089" s="800">
        <v>-10000</v>
      </c>
      <c r="E4089" s="212">
        <v>45474</v>
      </c>
      <c r="F4089" s="208" t="s">
        <v>109</v>
      </c>
      <c r="G4089" s="201" t="s">
        <v>581</v>
      </c>
      <c r="H4089" s="208" t="s">
        <v>3491</v>
      </c>
      <c r="I4089" s="208" t="s">
        <v>3483</v>
      </c>
      <c r="J4089" s="209"/>
      <c r="K4089" s="209"/>
      <c r="L4089" s="209"/>
      <c r="M4089" s="209"/>
      <c r="N4089" s="209"/>
      <c r="O4089" s="209"/>
      <c r="P4089" s="209"/>
      <c r="Q4089" s="209"/>
      <c r="R4089" s="209"/>
      <c r="S4089" s="209"/>
      <c r="T4089" s="209"/>
    </row>
    <row r="4090" spans="1:20" ht="15" hidden="1" customHeight="1">
      <c r="A4090" s="468">
        <v>45499</v>
      </c>
      <c r="B4090" s="208" t="s">
        <v>3524</v>
      </c>
      <c r="C4090" s="223" t="s">
        <v>146</v>
      </c>
      <c r="D4090" s="800">
        <v>-10500</v>
      </c>
      <c r="E4090" s="212">
        <v>45474</v>
      </c>
      <c r="F4090" s="208" t="s">
        <v>109</v>
      </c>
      <c r="G4090" s="201" t="s">
        <v>581</v>
      </c>
      <c r="H4090" s="208" t="s">
        <v>3491</v>
      </c>
      <c r="I4090" s="208" t="s">
        <v>3483</v>
      </c>
      <c r="J4090" s="209"/>
      <c r="K4090" s="209"/>
      <c r="L4090" s="209"/>
      <c r="M4090" s="209"/>
      <c r="N4090" s="209"/>
      <c r="O4090" s="209"/>
      <c r="P4090" s="209"/>
      <c r="Q4090" s="209"/>
      <c r="R4090" s="209"/>
      <c r="S4090" s="209"/>
      <c r="T4090" s="209"/>
    </row>
    <row r="4091" spans="1:20" ht="15" hidden="1" customHeight="1">
      <c r="A4091" s="468">
        <v>45499</v>
      </c>
      <c r="B4091" s="208" t="s">
        <v>3484</v>
      </c>
      <c r="C4091" s="223" t="s">
        <v>146</v>
      </c>
      <c r="D4091" s="800">
        <v>-12900</v>
      </c>
      <c r="E4091" s="212">
        <v>45474</v>
      </c>
      <c r="F4091" s="208" t="s">
        <v>109</v>
      </c>
      <c r="G4091" s="201" t="s">
        <v>581</v>
      </c>
      <c r="H4091" s="208" t="s">
        <v>3368</v>
      </c>
      <c r="I4091" s="208" t="s">
        <v>3483</v>
      </c>
      <c r="J4091" s="209"/>
      <c r="K4091" s="209"/>
      <c r="L4091" s="209"/>
      <c r="M4091" s="209"/>
      <c r="N4091" s="209"/>
      <c r="O4091" s="209"/>
      <c r="P4091" s="209"/>
      <c r="Q4091" s="209"/>
      <c r="R4091" s="209"/>
      <c r="S4091" s="209"/>
      <c r="T4091" s="209"/>
    </row>
    <row r="4092" spans="1:20" ht="15" hidden="1" customHeight="1">
      <c r="A4092" s="468">
        <v>45499</v>
      </c>
      <c r="B4092" s="208" t="s">
        <v>3496</v>
      </c>
      <c r="C4092" s="665" t="s">
        <v>146</v>
      </c>
      <c r="D4092" s="800">
        <v>-36600</v>
      </c>
      <c r="E4092" s="212">
        <v>45474</v>
      </c>
      <c r="F4092" s="208" t="s">
        <v>109</v>
      </c>
      <c r="G4092" s="201" t="s">
        <v>581</v>
      </c>
      <c r="H4092" s="208" t="s">
        <v>3512</v>
      </c>
      <c r="I4092" s="208" t="s">
        <v>3483</v>
      </c>
      <c r="J4092" s="209"/>
      <c r="K4092" s="209"/>
      <c r="L4092" s="209"/>
      <c r="M4092" s="209"/>
      <c r="N4092" s="209"/>
      <c r="O4092" s="209"/>
      <c r="P4092" s="209"/>
      <c r="Q4092" s="209"/>
      <c r="R4092" s="209"/>
      <c r="S4092" s="209"/>
      <c r="T4092" s="209"/>
    </row>
    <row r="4093" spans="1:20" ht="15" hidden="1" customHeight="1">
      <c r="A4093" s="468">
        <v>45499</v>
      </c>
      <c r="B4093" s="208" t="s">
        <v>3525</v>
      </c>
      <c r="C4093" s="223" t="s">
        <v>146</v>
      </c>
      <c r="D4093" s="800">
        <v>-65000</v>
      </c>
      <c r="E4093" s="212">
        <v>45474</v>
      </c>
      <c r="F4093" s="208" t="s">
        <v>109</v>
      </c>
      <c r="G4093" s="201" t="s">
        <v>581</v>
      </c>
      <c r="H4093" s="208" t="s">
        <v>3526</v>
      </c>
      <c r="I4093" s="208" t="s">
        <v>3483</v>
      </c>
      <c r="J4093" s="209"/>
      <c r="K4093" s="209"/>
      <c r="L4093" s="209"/>
      <c r="M4093" s="209"/>
      <c r="N4093" s="209"/>
      <c r="O4093" s="209"/>
      <c r="P4093" s="209"/>
      <c r="Q4093" s="209"/>
      <c r="R4093" s="209"/>
      <c r="S4093" s="209"/>
      <c r="T4093" s="209"/>
    </row>
    <row r="4094" spans="1:20" ht="16.5" hidden="1" customHeight="1">
      <c r="A4094" s="468">
        <v>45499</v>
      </c>
      <c r="B4094" s="208" t="s">
        <v>3484</v>
      </c>
      <c r="C4094" s="223" t="s">
        <v>146</v>
      </c>
      <c r="D4094" s="800">
        <v>-12900</v>
      </c>
      <c r="E4094" s="212">
        <v>45474</v>
      </c>
      <c r="F4094" s="208" t="s">
        <v>109</v>
      </c>
      <c r="G4094" s="201" t="s">
        <v>581</v>
      </c>
      <c r="H4094" s="208" t="s">
        <v>3368</v>
      </c>
      <c r="I4094" s="208" t="s">
        <v>3483</v>
      </c>
      <c r="J4094" s="209"/>
      <c r="K4094" s="209"/>
      <c r="L4094" s="209"/>
      <c r="M4094" s="209"/>
      <c r="N4094" s="209"/>
      <c r="O4094" s="209"/>
      <c r="P4094" s="209"/>
      <c r="Q4094" s="209"/>
      <c r="R4094" s="209"/>
      <c r="S4094" s="209"/>
      <c r="T4094" s="209"/>
    </row>
    <row r="4095" spans="1:20" s="451" customFormat="1" ht="15" hidden="1" customHeight="1">
      <c r="A4095" s="468">
        <v>45499</v>
      </c>
      <c r="B4095" s="208" t="s">
        <v>3527</v>
      </c>
      <c r="C4095" s="223" t="s">
        <v>146</v>
      </c>
      <c r="D4095" s="800">
        <v>-5000</v>
      </c>
      <c r="E4095" s="212">
        <v>45474</v>
      </c>
      <c r="F4095" s="208" t="s">
        <v>109</v>
      </c>
      <c r="G4095" s="201" t="s">
        <v>581</v>
      </c>
      <c r="H4095" s="208" t="s">
        <v>3518</v>
      </c>
      <c r="I4095" s="208" t="s">
        <v>3483</v>
      </c>
      <c r="J4095" s="209"/>
      <c r="K4095" s="209"/>
      <c r="L4095" s="209"/>
      <c r="M4095" s="209"/>
      <c r="N4095" s="209"/>
      <c r="O4095" s="209"/>
      <c r="P4095" s="209"/>
      <c r="Q4095" s="209"/>
      <c r="R4095" s="209"/>
      <c r="S4095" s="209"/>
      <c r="T4095" s="209"/>
    </row>
    <row r="4096" spans="1:20" ht="15" hidden="1" customHeight="1">
      <c r="A4096" s="468">
        <v>45484</v>
      </c>
      <c r="B4096" s="208" t="s">
        <v>3528</v>
      </c>
      <c r="C4096" s="208" t="s">
        <v>27</v>
      </c>
      <c r="D4096" s="592">
        <v>11401934</v>
      </c>
      <c r="E4096" s="212">
        <v>45474</v>
      </c>
      <c r="F4096" s="208" t="s">
        <v>109</v>
      </c>
      <c r="G4096" s="208" t="s">
        <v>3529</v>
      </c>
      <c r="H4096" s="208"/>
      <c r="I4096" s="208"/>
      <c r="J4096" s="209"/>
      <c r="K4096" s="209"/>
      <c r="L4096" s="209"/>
      <c r="M4096" s="209"/>
      <c r="N4096" s="209"/>
      <c r="O4096" s="209"/>
      <c r="P4096" s="209"/>
      <c r="Q4096" s="209"/>
      <c r="R4096" s="209"/>
      <c r="S4096" s="209"/>
      <c r="T4096" s="209"/>
    </row>
    <row r="4097" spans="1:20" s="451" customFormat="1" ht="15" hidden="1" customHeight="1">
      <c r="A4097" s="468">
        <v>45499</v>
      </c>
      <c r="B4097" s="208" t="s">
        <v>3530</v>
      </c>
      <c r="C4097" s="208" t="s">
        <v>146</v>
      </c>
      <c r="D4097" s="592">
        <v>-100000</v>
      </c>
      <c r="E4097" s="212">
        <v>45474</v>
      </c>
      <c r="F4097" s="208" t="s">
        <v>130</v>
      </c>
      <c r="G4097" s="208" t="s">
        <v>257</v>
      </c>
      <c r="H4097" s="208" t="s">
        <v>1138</v>
      </c>
      <c r="I4097" s="208" t="s">
        <v>63</v>
      </c>
      <c r="J4097" s="209"/>
      <c r="K4097" s="209"/>
      <c r="L4097" s="209"/>
      <c r="M4097" s="209"/>
      <c r="N4097" s="209"/>
      <c r="O4097" s="209"/>
      <c r="P4097" s="209"/>
      <c r="Q4097" s="209"/>
      <c r="R4097" s="209"/>
      <c r="S4097" s="209"/>
      <c r="T4097" s="209"/>
    </row>
    <row r="4098" spans="1:20" ht="15" hidden="1" customHeight="1">
      <c r="A4098" s="468">
        <v>45499</v>
      </c>
      <c r="B4098" s="208" t="s">
        <v>3531</v>
      </c>
      <c r="C4098" s="208" t="s">
        <v>146</v>
      </c>
      <c r="D4098" s="592">
        <v>-74850</v>
      </c>
      <c r="E4098" s="212">
        <v>45474</v>
      </c>
      <c r="F4098" s="208" t="s">
        <v>130</v>
      </c>
      <c r="G4098" s="208" t="s">
        <v>257</v>
      </c>
      <c r="H4098" s="208" t="s">
        <v>1138</v>
      </c>
      <c r="I4098" s="208" t="s">
        <v>63</v>
      </c>
      <c r="J4098" s="209"/>
      <c r="K4098" s="209"/>
      <c r="L4098" s="209"/>
      <c r="M4098" s="209"/>
      <c r="N4098" s="209"/>
      <c r="O4098" s="209"/>
      <c r="P4098" s="209"/>
      <c r="Q4098" s="209"/>
      <c r="R4098" s="209"/>
      <c r="S4098" s="209"/>
      <c r="T4098" s="209"/>
    </row>
    <row r="4099" spans="1:20" ht="15" hidden="1" customHeight="1">
      <c r="A4099" s="468">
        <v>45499</v>
      </c>
      <c r="B4099" s="208" t="s">
        <v>3532</v>
      </c>
      <c r="C4099" s="208" t="s">
        <v>146</v>
      </c>
      <c r="D4099" s="592">
        <v>-60000</v>
      </c>
      <c r="E4099" s="212">
        <v>45474</v>
      </c>
      <c r="F4099" s="208" t="s">
        <v>130</v>
      </c>
      <c r="G4099" s="208" t="s">
        <v>257</v>
      </c>
      <c r="H4099" s="208" t="s">
        <v>1138</v>
      </c>
      <c r="I4099" s="208" t="s">
        <v>63</v>
      </c>
      <c r="J4099" s="209"/>
      <c r="K4099" s="209"/>
      <c r="L4099" s="209"/>
      <c r="M4099" s="209"/>
      <c r="N4099" s="209"/>
      <c r="O4099" s="209"/>
      <c r="P4099" s="209"/>
      <c r="Q4099" s="209"/>
      <c r="R4099" s="209"/>
      <c r="S4099" s="209"/>
      <c r="T4099" s="209"/>
    </row>
    <row r="4100" spans="1:20" ht="15" hidden="1" customHeight="1">
      <c r="A4100" s="468">
        <v>45499</v>
      </c>
      <c r="B4100" s="208" t="s">
        <v>3530</v>
      </c>
      <c r="C4100" s="208" t="s">
        <v>146</v>
      </c>
      <c r="D4100" s="592">
        <v>-95000</v>
      </c>
      <c r="E4100" s="212">
        <v>45474</v>
      </c>
      <c r="F4100" s="208" t="s">
        <v>130</v>
      </c>
      <c r="G4100" s="208" t="s">
        <v>257</v>
      </c>
      <c r="H4100" s="208" t="s">
        <v>1138</v>
      </c>
      <c r="I4100" s="208" t="s">
        <v>63</v>
      </c>
      <c r="J4100" s="209"/>
      <c r="K4100" s="209"/>
      <c r="L4100" s="209"/>
      <c r="M4100" s="209"/>
      <c r="N4100" s="209"/>
      <c r="O4100" s="209"/>
      <c r="P4100" s="209"/>
      <c r="Q4100" s="209"/>
      <c r="R4100" s="209"/>
      <c r="S4100" s="209"/>
      <c r="T4100" s="209"/>
    </row>
    <row r="4101" spans="1:20" ht="15" hidden="1" customHeight="1">
      <c r="A4101" s="468">
        <v>45499</v>
      </c>
      <c r="B4101" s="208" t="s">
        <v>3533</v>
      </c>
      <c r="C4101" s="208" t="s">
        <v>146</v>
      </c>
      <c r="D4101" s="592">
        <v>-23800</v>
      </c>
      <c r="E4101" s="212">
        <v>45474</v>
      </c>
      <c r="F4101" s="208" t="s">
        <v>130</v>
      </c>
      <c r="G4101" s="208" t="s">
        <v>257</v>
      </c>
      <c r="H4101" s="208" t="s">
        <v>1138</v>
      </c>
      <c r="I4101" s="208" t="s">
        <v>63</v>
      </c>
      <c r="J4101" s="209"/>
      <c r="K4101" s="209"/>
      <c r="L4101" s="209"/>
      <c r="M4101" s="209"/>
      <c r="N4101" s="209"/>
      <c r="O4101" s="209"/>
      <c r="P4101" s="209"/>
      <c r="Q4101" s="209"/>
      <c r="R4101" s="209"/>
      <c r="S4101" s="209"/>
      <c r="T4101" s="209"/>
    </row>
    <row r="4102" spans="1:20" ht="15" hidden="1" customHeight="1">
      <c r="A4102" s="468">
        <v>45499</v>
      </c>
      <c r="B4102" s="208" t="s">
        <v>3534</v>
      </c>
      <c r="C4102" s="208" t="s">
        <v>146</v>
      </c>
      <c r="D4102" s="592">
        <v>-60000</v>
      </c>
      <c r="E4102" s="212">
        <v>45474</v>
      </c>
      <c r="F4102" s="208" t="s">
        <v>130</v>
      </c>
      <c r="G4102" s="208" t="s">
        <v>257</v>
      </c>
      <c r="H4102" s="208" t="s">
        <v>1138</v>
      </c>
      <c r="I4102" s="208" t="s">
        <v>63</v>
      </c>
      <c r="J4102" s="209"/>
      <c r="K4102" s="209"/>
      <c r="L4102" s="209"/>
      <c r="M4102" s="209"/>
      <c r="N4102" s="209"/>
      <c r="O4102" s="209"/>
      <c r="P4102" s="209"/>
      <c r="Q4102" s="209"/>
      <c r="R4102" s="209"/>
      <c r="S4102" s="209"/>
      <c r="T4102" s="209"/>
    </row>
    <row r="4103" spans="1:20" ht="15" hidden="1" customHeight="1">
      <c r="A4103" s="468">
        <v>45499</v>
      </c>
      <c r="B4103" s="208" t="s">
        <v>3535</v>
      </c>
      <c r="C4103" s="208" t="s">
        <v>146</v>
      </c>
      <c r="D4103" s="592">
        <v>-35000</v>
      </c>
      <c r="E4103" s="212">
        <v>45474</v>
      </c>
      <c r="F4103" s="208" t="s">
        <v>130</v>
      </c>
      <c r="G4103" s="208" t="s">
        <v>257</v>
      </c>
      <c r="H4103" s="208" t="s">
        <v>1138</v>
      </c>
      <c r="I4103" s="208" t="s">
        <v>63</v>
      </c>
      <c r="J4103" s="209"/>
      <c r="K4103" s="209"/>
      <c r="L4103" s="209"/>
      <c r="M4103" s="209"/>
      <c r="N4103" s="209"/>
      <c r="O4103" s="209"/>
      <c r="P4103" s="209"/>
      <c r="Q4103" s="209"/>
      <c r="R4103" s="209"/>
      <c r="S4103" s="209"/>
      <c r="T4103" s="209"/>
    </row>
    <row r="4104" spans="1:20" ht="15" hidden="1" customHeight="1">
      <c r="A4104" s="468">
        <v>45499</v>
      </c>
      <c r="B4104" s="208" t="s">
        <v>3536</v>
      </c>
      <c r="C4104" s="208" t="s">
        <v>146</v>
      </c>
      <c r="D4104" s="592">
        <v>-25000</v>
      </c>
      <c r="E4104" s="212">
        <v>45474</v>
      </c>
      <c r="F4104" s="208" t="s">
        <v>130</v>
      </c>
      <c r="G4104" s="208" t="s">
        <v>257</v>
      </c>
      <c r="H4104" s="208" t="s">
        <v>1138</v>
      </c>
      <c r="I4104" s="208" t="s">
        <v>63</v>
      </c>
      <c r="J4104" s="209"/>
      <c r="K4104" s="209"/>
      <c r="L4104" s="209"/>
      <c r="M4104" s="209"/>
      <c r="N4104" s="209"/>
      <c r="O4104" s="209"/>
      <c r="P4104" s="209"/>
      <c r="Q4104" s="209"/>
      <c r="R4104" s="209"/>
      <c r="S4104" s="209"/>
      <c r="T4104" s="209"/>
    </row>
    <row r="4105" spans="1:20" ht="15" hidden="1" customHeight="1">
      <c r="A4105" s="468">
        <v>45499</v>
      </c>
      <c r="B4105" s="208" t="s">
        <v>3536</v>
      </c>
      <c r="C4105" s="208" t="s">
        <v>146</v>
      </c>
      <c r="D4105" s="592">
        <v>-25000</v>
      </c>
      <c r="E4105" s="212">
        <v>45474</v>
      </c>
      <c r="F4105" s="208" t="s">
        <v>130</v>
      </c>
      <c r="G4105" s="208" t="s">
        <v>257</v>
      </c>
      <c r="H4105" s="208" t="s">
        <v>1138</v>
      </c>
      <c r="I4105" s="208" t="s">
        <v>63</v>
      </c>
      <c r="J4105" s="209"/>
      <c r="K4105" s="209"/>
      <c r="L4105" s="209"/>
      <c r="M4105" s="209"/>
      <c r="N4105" s="209"/>
      <c r="O4105" s="209"/>
      <c r="P4105" s="209"/>
      <c r="Q4105" s="209"/>
      <c r="R4105" s="209"/>
      <c r="S4105" s="209"/>
      <c r="T4105" s="209"/>
    </row>
    <row r="4106" spans="1:20" ht="15" hidden="1" customHeight="1">
      <c r="A4106" s="468">
        <v>45499</v>
      </c>
      <c r="B4106" s="208" t="s">
        <v>3535</v>
      </c>
      <c r="C4106" s="208" t="s">
        <v>146</v>
      </c>
      <c r="D4106" s="592">
        <v>-27000</v>
      </c>
      <c r="E4106" s="212">
        <v>45474</v>
      </c>
      <c r="F4106" s="208" t="s">
        <v>130</v>
      </c>
      <c r="G4106" s="208" t="s">
        <v>257</v>
      </c>
      <c r="H4106" s="208" t="s">
        <v>1138</v>
      </c>
      <c r="I4106" s="208" t="s">
        <v>63</v>
      </c>
      <c r="J4106" s="209"/>
      <c r="K4106" s="209"/>
      <c r="L4106" s="209"/>
      <c r="M4106" s="209"/>
      <c r="N4106" s="209"/>
      <c r="O4106" s="209"/>
      <c r="P4106" s="209"/>
      <c r="Q4106" s="209"/>
      <c r="R4106" s="209"/>
      <c r="S4106" s="209"/>
      <c r="T4106" s="209"/>
    </row>
    <row r="4107" spans="1:20" ht="15" hidden="1" customHeight="1">
      <c r="A4107" s="468">
        <v>45499</v>
      </c>
      <c r="B4107" s="208" t="s">
        <v>3534</v>
      </c>
      <c r="C4107" s="208" t="s">
        <v>146</v>
      </c>
      <c r="D4107" s="592">
        <v>-60000</v>
      </c>
      <c r="E4107" s="212">
        <v>45474</v>
      </c>
      <c r="F4107" s="208" t="s">
        <v>130</v>
      </c>
      <c r="G4107" s="208" t="s">
        <v>257</v>
      </c>
      <c r="H4107" s="208" t="s">
        <v>1138</v>
      </c>
      <c r="I4107" s="208" t="s">
        <v>63</v>
      </c>
      <c r="J4107" s="209"/>
      <c r="K4107" s="209"/>
      <c r="L4107" s="209"/>
      <c r="M4107" s="209"/>
      <c r="N4107" s="209"/>
      <c r="O4107" s="209"/>
      <c r="P4107" s="209"/>
      <c r="Q4107" s="209"/>
      <c r="R4107" s="209"/>
      <c r="S4107" s="209"/>
      <c r="T4107" s="209"/>
    </row>
    <row r="4108" spans="1:20" ht="15" hidden="1" customHeight="1">
      <c r="A4108" s="468">
        <v>45499</v>
      </c>
      <c r="B4108" s="208" t="s">
        <v>3537</v>
      </c>
      <c r="C4108" s="208" t="s">
        <v>146</v>
      </c>
      <c r="D4108" s="592">
        <v>-75000</v>
      </c>
      <c r="E4108" s="212">
        <v>45474</v>
      </c>
      <c r="F4108" s="208" t="s">
        <v>130</v>
      </c>
      <c r="G4108" s="208" t="s">
        <v>257</v>
      </c>
      <c r="H4108" s="208" t="s">
        <v>1138</v>
      </c>
      <c r="I4108" s="208" t="s">
        <v>63</v>
      </c>
      <c r="J4108" s="209"/>
      <c r="K4108" s="209"/>
      <c r="L4108" s="209"/>
      <c r="M4108" s="209"/>
      <c r="N4108" s="209"/>
      <c r="O4108" s="209"/>
      <c r="P4108" s="209"/>
      <c r="Q4108" s="209"/>
      <c r="R4108" s="209"/>
      <c r="S4108" s="209"/>
      <c r="T4108" s="209"/>
    </row>
    <row r="4109" spans="1:20" ht="15" hidden="1" customHeight="1">
      <c r="A4109" s="468">
        <v>45499</v>
      </c>
      <c r="B4109" s="208" t="s">
        <v>3533</v>
      </c>
      <c r="C4109" s="208" t="s">
        <v>146</v>
      </c>
      <c r="D4109" s="592">
        <v>-23800</v>
      </c>
      <c r="E4109" s="212">
        <v>45474</v>
      </c>
      <c r="F4109" s="208" t="s">
        <v>130</v>
      </c>
      <c r="G4109" s="208" t="s">
        <v>257</v>
      </c>
      <c r="H4109" s="208" t="s">
        <v>1138</v>
      </c>
      <c r="I4109" s="208" t="s">
        <v>63</v>
      </c>
      <c r="J4109" s="209"/>
      <c r="K4109" s="209"/>
      <c r="L4109" s="209"/>
      <c r="M4109" s="209"/>
      <c r="N4109" s="209"/>
      <c r="O4109" s="209"/>
      <c r="P4109" s="209"/>
      <c r="Q4109" s="209"/>
      <c r="R4109" s="209"/>
      <c r="S4109" s="209"/>
      <c r="T4109" s="209"/>
    </row>
    <row r="4110" spans="1:20" ht="15" hidden="1" customHeight="1">
      <c r="A4110" s="468">
        <v>45499</v>
      </c>
      <c r="B4110" s="208" t="s">
        <v>3538</v>
      </c>
      <c r="C4110" s="208" t="s">
        <v>146</v>
      </c>
      <c r="D4110" s="592">
        <v>-25000</v>
      </c>
      <c r="E4110" s="212">
        <v>45474</v>
      </c>
      <c r="F4110" s="208" t="s">
        <v>130</v>
      </c>
      <c r="G4110" s="208" t="s">
        <v>257</v>
      </c>
      <c r="H4110" s="208" t="s">
        <v>1138</v>
      </c>
      <c r="I4110" s="208" t="s">
        <v>63</v>
      </c>
      <c r="J4110" s="209"/>
      <c r="K4110" s="209"/>
      <c r="L4110" s="209"/>
      <c r="M4110" s="209"/>
      <c r="N4110" s="209"/>
      <c r="O4110" s="209"/>
      <c r="P4110" s="209"/>
      <c r="Q4110" s="209"/>
      <c r="R4110" s="209"/>
      <c r="S4110" s="209"/>
      <c r="T4110" s="209"/>
    </row>
    <row r="4111" spans="1:20" ht="15" hidden="1" customHeight="1">
      <c r="A4111" s="468">
        <v>45499</v>
      </c>
      <c r="B4111" s="208" t="s">
        <v>3539</v>
      </c>
      <c r="C4111" s="208" t="s">
        <v>146</v>
      </c>
      <c r="D4111" s="592">
        <v>-12750</v>
      </c>
      <c r="E4111" s="212">
        <v>45474</v>
      </c>
      <c r="F4111" s="208" t="s">
        <v>130</v>
      </c>
      <c r="G4111" s="208" t="s">
        <v>257</v>
      </c>
      <c r="H4111" s="208" t="s">
        <v>1138</v>
      </c>
      <c r="I4111" s="208" t="s">
        <v>63</v>
      </c>
      <c r="J4111" s="209"/>
      <c r="K4111" s="209"/>
      <c r="L4111" s="209"/>
      <c r="M4111" s="209"/>
      <c r="N4111" s="209"/>
      <c r="O4111" s="209"/>
      <c r="P4111" s="209"/>
      <c r="Q4111" s="209"/>
      <c r="R4111" s="209"/>
      <c r="S4111" s="209"/>
      <c r="T4111" s="209"/>
    </row>
    <row r="4112" spans="1:20" ht="15" hidden="1" customHeight="1">
      <c r="A4112" s="468">
        <v>45499</v>
      </c>
      <c r="B4112" s="208" t="s">
        <v>3540</v>
      </c>
      <c r="C4112" s="208" t="s">
        <v>146</v>
      </c>
      <c r="D4112" s="592">
        <v>-12000</v>
      </c>
      <c r="E4112" s="212">
        <v>45474</v>
      </c>
      <c r="F4112" s="208" t="s">
        <v>130</v>
      </c>
      <c r="G4112" s="208" t="s">
        <v>257</v>
      </c>
      <c r="H4112" s="208" t="s">
        <v>1138</v>
      </c>
      <c r="I4112" s="208" t="s">
        <v>63</v>
      </c>
      <c r="J4112" s="209"/>
      <c r="K4112" s="209"/>
      <c r="L4112" s="209"/>
      <c r="M4112" s="209"/>
      <c r="N4112" s="209"/>
      <c r="O4112" s="209"/>
      <c r="P4112" s="209"/>
      <c r="Q4112" s="209"/>
      <c r="R4112" s="209"/>
      <c r="S4112" s="209"/>
      <c r="T4112" s="209"/>
    </row>
    <row r="4113" spans="1:20" ht="15" hidden="1" customHeight="1">
      <c r="A4113" s="468">
        <v>45499</v>
      </c>
      <c r="B4113" s="208" t="s">
        <v>3538</v>
      </c>
      <c r="C4113" s="208" t="s">
        <v>146</v>
      </c>
      <c r="D4113" s="592">
        <v>-25000</v>
      </c>
      <c r="E4113" s="212">
        <v>45474</v>
      </c>
      <c r="F4113" s="208" t="s">
        <v>130</v>
      </c>
      <c r="G4113" s="208" t="s">
        <v>257</v>
      </c>
      <c r="H4113" s="208" t="s">
        <v>1138</v>
      </c>
      <c r="I4113" s="208" t="s">
        <v>63</v>
      </c>
      <c r="J4113" s="209"/>
      <c r="K4113" s="209"/>
      <c r="L4113" s="209"/>
      <c r="M4113" s="209"/>
      <c r="N4113" s="209"/>
      <c r="O4113" s="209"/>
      <c r="P4113" s="209"/>
      <c r="Q4113" s="209"/>
      <c r="R4113" s="209"/>
      <c r="S4113" s="209"/>
      <c r="T4113" s="209"/>
    </row>
    <row r="4114" spans="1:20" ht="15" hidden="1" customHeight="1">
      <c r="A4114" s="468">
        <v>45491</v>
      </c>
      <c r="B4114" s="208" t="s">
        <v>3530</v>
      </c>
      <c r="C4114" s="208" t="s">
        <v>146</v>
      </c>
      <c r="D4114" s="592">
        <v>-40000</v>
      </c>
      <c r="E4114" s="212">
        <v>45474</v>
      </c>
      <c r="F4114" s="208" t="s">
        <v>130</v>
      </c>
      <c r="G4114" s="208" t="s">
        <v>257</v>
      </c>
      <c r="H4114" s="208" t="s">
        <v>1138</v>
      </c>
      <c r="I4114" s="208" t="s">
        <v>63</v>
      </c>
      <c r="J4114" s="209"/>
      <c r="K4114" s="209"/>
      <c r="L4114" s="209"/>
      <c r="M4114" s="209"/>
      <c r="N4114" s="209"/>
      <c r="O4114" s="209"/>
      <c r="P4114" s="209"/>
      <c r="Q4114" s="209"/>
      <c r="R4114" s="209"/>
      <c r="S4114" s="209"/>
      <c r="T4114" s="209"/>
    </row>
    <row r="4115" spans="1:20" ht="15" hidden="1" customHeight="1">
      <c r="A4115" s="468">
        <v>45491</v>
      </c>
      <c r="B4115" s="208" t="s">
        <v>3541</v>
      </c>
      <c r="C4115" s="208" t="s">
        <v>146</v>
      </c>
      <c r="D4115" s="592">
        <v>-40000</v>
      </c>
      <c r="E4115" s="212">
        <v>45474</v>
      </c>
      <c r="F4115" s="208" t="s">
        <v>130</v>
      </c>
      <c r="G4115" s="208" t="s">
        <v>257</v>
      </c>
      <c r="H4115" s="208" t="s">
        <v>1138</v>
      </c>
      <c r="I4115" s="208" t="s">
        <v>63</v>
      </c>
      <c r="J4115" s="209"/>
      <c r="K4115" s="209"/>
      <c r="L4115" s="209"/>
      <c r="M4115" s="209"/>
      <c r="N4115" s="209"/>
      <c r="O4115" s="209"/>
      <c r="P4115" s="209"/>
      <c r="Q4115" s="209"/>
      <c r="R4115" s="209"/>
      <c r="S4115" s="209"/>
      <c r="T4115" s="209"/>
    </row>
    <row r="4116" spans="1:20" ht="15" hidden="1" customHeight="1">
      <c r="A4116" s="468">
        <v>45491</v>
      </c>
      <c r="B4116" s="208" t="s">
        <v>3542</v>
      </c>
      <c r="C4116" s="208" t="s">
        <v>146</v>
      </c>
      <c r="D4116" s="592">
        <v>-18200</v>
      </c>
      <c r="E4116" s="212">
        <v>45474</v>
      </c>
      <c r="F4116" s="208" t="s">
        <v>130</v>
      </c>
      <c r="G4116" s="208" t="s">
        <v>257</v>
      </c>
      <c r="H4116" s="208" t="s">
        <v>1138</v>
      </c>
      <c r="I4116" s="208" t="s">
        <v>63</v>
      </c>
      <c r="J4116" s="209"/>
      <c r="K4116" s="209"/>
      <c r="L4116" s="209"/>
      <c r="M4116" s="209"/>
      <c r="N4116" s="209"/>
      <c r="O4116" s="209"/>
      <c r="P4116" s="209"/>
      <c r="Q4116" s="209"/>
      <c r="R4116" s="209"/>
      <c r="S4116" s="209"/>
      <c r="T4116" s="209"/>
    </row>
    <row r="4117" spans="1:20" ht="15" hidden="1" customHeight="1">
      <c r="A4117" s="468">
        <v>45491</v>
      </c>
      <c r="B4117" s="208" t="s">
        <v>3542</v>
      </c>
      <c r="C4117" s="208" t="s">
        <v>146</v>
      </c>
      <c r="D4117" s="592">
        <v>-15000</v>
      </c>
      <c r="E4117" s="212">
        <v>45474</v>
      </c>
      <c r="F4117" s="208" t="s">
        <v>130</v>
      </c>
      <c r="G4117" s="208" t="s">
        <v>257</v>
      </c>
      <c r="H4117" s="208" t="s">
        <v>1138</v>
      </c>
      <c r="I4117" s="208" t="s">
        <v>63</v>
      </c>
      <c r="J4117" s="209"/>
      <c r="K4117" s="209"/>
      <c r="L4117" s="209"/>
      <c r="M4117" s="209"/>
      <c r="N4117" s="209"/>
      <c r="O4117" s="209"/>
      <c r="P4117" s="209"/>
      <c r="Q4117" s="209"/>
      <c r="R4117" s="209"/>
      <c r="S4117" s="209"/>
      <c r="T4117" s="209"/>
    </row>
    <row r="4118" spans="1:20" ht="15" hidden="1" customHeight="1">
      <c r="A4118" s="468">
        <v>45491</v>
      </c>
      <c r="B4118" s="208" t="s">
        <v>3542</v>
      </c>
      <c r="C4118" s="208" t="s">
        <v>146</v>
      </c>
      <c r="D4118" s="592">
        <v>-7600</v>
      </c>
      <c r="E4118" s="212">
        <v>45474</v>
      </c>
      <c r="F4118" s="208" t="s">
        <v>130</v>
      </c>
      <c r="G4118" s="208" t="s">
        <v>257</v>
      </c>
      <c r="H4118" s="208" t="s">
        <v>1138</v>
      </c>
      <c r="I4118" s="208" t="s">
        <v>63</v>
      </c>
      <c r="J4118" s="209"/>
      <c r="K4118" s="209"/>
      <c r="L4118" s="209"/>
      <c r="M4118" s="209"/>
      <c r="N4118" s="209"/>
      <c r="O4118" s="209"/>
      <c r="P4118" s="209"/>
      <c r="Q4118" s="209"/>
      <c r="R4118" s="209"/>
      <c r="S4118" s="209"/>
      <c r="T4118" s="209"/>
    </row>
    <row r="4119" spans="1:20" ht="15" hidden="1" customHeight="1">
      <c r="A4119" s="468">
        <v>45492</v>
      </c>
      <c r="B4119" s="208" t="s">
        <v>3530</v>
      </c>
      <c r="C4119" s="208" t="s">
        <v>146</v>
      </c>
      <c r="D4119" s="592">
        <v>-40000</v>
      </c>
      <c r="E4119" s="212">
        <v>45474</v>
      </c>
      <c r="F4119" s="208" t="s">
        <v>130</v>
      </c>
      <c r="G4119" s="208" t="s">
        <v>257</v>
      </c>
      <c r="H4119" s="208" t="s">
        <v>1138</v>
      </c>
      <c r="I4119" s="208" t="s">
        <v>63</v>
      </c>
      <c r="J4119" s="209"/>
      <c r="K4119" s="209"/>
      <c r="L4119" s="209"/>
      <c r="M4119" s="209"/>
      <c r="N4119" s="209"/>
      <c r="O4119" s="209"/>
      <c r="P4119" s="209"/>
      <c r="Q4119" s="209"/>
      <c r="R4119" s="209"/>
      <c r="S4119" s="209"/>
      <c r="T4119" s="209"/>
    </row>
    <row r="4120" spans="1:20" ht="15" hidden="1" customHeight="1">
      <c r="A4120" s="468">
        <v>45492</v>
      </c>
      <c r="B4120" s="208" t="s">
        <v>3541</v>
      </c>
      <c r="C4120" s="208" t="s">
        <v>146</v>
      </c>
      <c r="D4120" s="592">
        <v>-40000</v>
      </c>
      <c r="E4120" s="212">
        <v>45474</v>
      </c>
      <c r="F4120" s="208" t="s">
        <v>130</v>
      </c>
      <c r="G4120" s="208" t="s">
        <v>257</v>
      </c>
      <c r="H4120" s="208" t="s">
        <v>1138</v>
      </c>
      <c r="I4120" s="208" t="s">
        <v>63</v>
      </c>
      <c r="J4120" s="209"/>
      <c r="K4120" s="209"/>
      <c r="L4120" s="209"/>
      <c r="M4120" s="209"/>
      <c r="N4120" s="209"/>
      <c r="O4120" s="209"/>
      <c r="P4120" s="209"/>
      <c r="Q4120" s="209"/>
      <c r="R4120" s="209"/>
      <c r="S4120" s="209"/>
      <c r="T4120" s="209"/>
    </row>
    <row r="4121" spans="1:20" s="455" customFormat="1" ht="15" hidden="1" customHeight="1">
      <c r="A4121" s="468">
        <v>45499</v>
      </c>
      <c r="B4121" s="208" t="s">
        <v>3543</v>
      </c>
      <c r="C4121" s="208" t="s">
        <v>146</v>
      </c>
      <c r="D4121" s="592">
        <v>-7000</v>
      </c>
      <c r="E4121" s="212">
        <v>45474</v>
      </c>
      <c r="F4121" s="208" t="s">
        <v>109</v>
      </c>
      <c r="G4121" s="201" t="s">
        <v>1306</v>
      </c>
      <c r="H4121" s="208" t="s">
        <v>138</v>
      </c>
      <c r="I4121" s="208" t="s">
        <v>2052</v>
      </c>
      <c r="J4121" s="209"/>
      <c r="K4121" s="209"/>
      <c r="L4121" s="209"/>
      <c r="M4121" s="209"/>
      <c r="N4121" s="209"/>
      <c r="O4121" s="209"/>
      <c r="P4121" s="209"/>
      <c r="Q4121" s="209"/>
      <c r="R4121" s="209"/>
      <c r="S4121" s="209"/>
      <c r="T4121" s="209"/>
    </row>
    <row r="4122" spans="1:20" ht="15" hidden="1" customHeight="1">
      <c r="A4122" s="468">
        <v>45499</v>
      </c>
      <c r="B4122" s="208" t="s">
        <v>3544</v>
      </c>
      <c r="C4122" s="208" t="s">
        <v>146</v>
      </c>
      <c r="D4122" s="592">
        <v>-7000</v>
      </c>
      <c r="E4122" s="212">
        <v>45474</v>
      </c>
      <c r="F4122" s="658" t="s">
        <v>109</v>
      </c>
      <c r="G4122" s="201" t="s">
        <v>1261</v>
      </c>
      <c r="H4122" s="208" t="s">
        <v>138</v>
      </c>
      <c r="I4122" s="208" t="s">
        <v>2052</v>
      </c>
      <c r="J4122" s="209"/>
      <c r="K4122" s="209"/>
      <c r="L4122" s="209"/>
      <c r="M4122" s="209"/>
      <c r="N4122" s="209"/>
      <c r="O4122" s="209"/>
      <c r="P4122" s="209"/>
      <c r="Q4122" s="209"/>
      <c r="R4122" s="209"/>
      <c r="S4122" s="209"/>
      <c r="T4122" s="209"/>
    </row>
    <row r="4123" spans="1:20" ht="15" hidden="1" customHeight="1">
      <c r="A4123" s="468">
        <v>45499</v>
      </c>
      <c r="B4123" s="208" t="s">
        <v>3545</v>
      </c>
      <c r="C4123" s="208" t="s">
        <v>146</v>
      </c>
      <c r="D4123" s="592">
        <v>-7000</v>
      </c>
      <c r="E4123" s="212">
        <v>45474</v>
      </c>
      <c r="F4123" s="208" t="s">
        <v>109</v>
      </c>
      <c r="G4123" s="201" t="s">
        <v>1261</v>
      </c>
      <c r="H4123" s="208" t="s">
        <v>138</v>
      </c>
      <c r="I4123" s="208" t="s">
        <v>2052</v>
      </c>
      <c r="J4123" s="209"/>
      <c r="K4123" s="209"/>
      <c r="L4123" s="209"/>
      <c r="M4123" s="209"/>
      <c r="N4123" s="209"/>
      <c r="O4123" s="209"/>
      <c r="P4123" s="209"/>
      <c r="Q4123" s="209"/>
      <c r="R4123" s="209"/>
      <c r="S4123" s="209"/>
      <c r="T4123" s="209"/>
    </row>
    <row r="4124" spans="1:20" ht="15" hidden="1" customHeight="1">
      <c r="A4124" s="468">
        <v>45499</v>
      </c>
      <c r="B4124" s="208" t="s">
        <v>3546</v>
      </c>
      <c r="C4124" s="208" t="s">
        <v>146</v>
      </c>
      <c r="D4124" s="592">
        <v>-14200</v>
      </c>
      <c r="E4124" s="212">
        <v>45474</v>
      </c>
      <c r="F4124" s="291" t="s">
        <v>109</v>
      </c>
      <c r="G4124" s="208" t="s">
        <v>525</v>
      </c>
      <c r="H4124" s="208" t="s">
        <v>138</v>
      </c>
      <c r="I4124" s="208" t="s">
        <v>2052</v>
      </c>
      <c r="J4124" s="209"/>
      <c r="K4124" s="209"/>
      <c r="L4124" s="209"/>
      <c r="M4124" s="209"/>
      <c r="N4124" s="209"/>
      <c r="O4124" s="209"/>
      <c r="P4124" s="209"/>
      <c r="Q4124" s="209"/>
      <c r="R4124" s="209"/>
      <c r="S4124" s="209"/>
      <c r="T4124" s="209"/>
    </row>
    <row r="4125" spans="1:20" ht="15" hidden="1" customHeight="1">
      <c r="A4125" s="468">
        <v>45499</v>
      </c>
      <c r="B4125" s="208" t="s">
        <v>3547</v>
      </c>
      <c r="C4125" s="208" t="s">
        <v>146</v>
      </c>
      <c r="D4125" s="592">
        <v>-19000</v>
      </c>
      <c r="E4125" s="212">
        <v>45474</v>
      </c>
      <c r="F4125" s="291" t="s">
        <v>109</v>
      </c>
      <c r="G4125" s="208" t="s">
        <v>525</v>
      </c>
      <c r="H4125" s="208" t="s">
        <v>147</v>
      </c>
      <c r="I4125" s="208" t="s">
        <v>2052</v>
      </c>
      <c r="J4125" s="209"/>
      <c r="K4125" s="209"/>
      <c r="L4125" s="209"/>
      <c r="M4125" s="209"/>
      <c r="N4125" s="209"/>
      <c r="O4125" s="209"/>
      <c r="P4125" s="209"/>
      <c r="Q4125" s="209"/>
      <c r="R4125" s="209"/>
      <c r="S4125" s="209"/>
      <c r="T4125" s="209"/>
    </row>
    <row r="4126" spans="1:20" ht="15" hidden="1" customHeight="1">
      <c r="A4126" s="468">
        <v>45499</v>
      </c>
      <c r="B4126" s="208" t="s">
        <v>3548</v>
      </c>
      <c r="C4126" s="208" t="s">
        <v>146</v>
      </c>
      <c r="D4126" s="592">
        <v>-30000</v>
      </c>
      <c r="E4126" s="212">
        <v>45474</v>
      </c>
      <c r="F4126" s="291" t="s">
        <v>109</v>
      </c>
      <c r="G4126" s="208" t="s">
        <v>525</v>
      </c>
      <c r="H4126" s="208" t="s">
        <v>138</v>
      </c>
      <c r="I4126" s="208" t="s">
        <v>2052</v>
      </c>
      <c r="J4126" s="209"/>
      <c r="K4126" s="209"/>
      <c r="L4126" s="209"/>
      <c r="M4126" s="209"/>
      <c r="N4126" s="209"/>
      <c r="O4126" s="209"/>
      <c r="P4126" s="209"/>
      <c r="Q4126" s="209"/>
      <c r="R4126" s="209"/>
      <c r="S4126" s="209"/>
      <c r="T4126" s="209"/>
    </row>
    <row r="4127" spans="1:20" ht="15" hidden="1" customHeight="1">
      <c r="A4127" s="468">
        <v>45499</v>
      </c>
      <c r="B4127" s="208" t="s">
        <v>3549</v>
      </c>
      <c r="C4127" s="208" t="s">
        <v>146</v>
      </c>
      <c r="D4127" s="592">
        <v>-30000</v>
      </c>
      <c r="E4127" s="212">
        <v>45474</v>
      </c>
      <c r="F4127" s="291" t="s">
        <v>109</v>
      </c>
      <c r="G4127" s="208" t="s">
        <v>525</v>
      </c>
      <c r="H4127" s="208" t="s">
        <v>138</v>
      </c>
      <c r="I4127" s="208" t="s">
        <v>2052</v>
      </c>
      <c r="J4127" s="209"/>
      <c r="K4127" s="209"/>
      <c r="L4127" s="209"/>
      <c r="M4127" s="209"/>
      <c r="N4127" s="209"/>
      <c r="O4127" s="209"/>
      <c r="P4127" s="209"/>
      <c r="Q4127" s="209"/>
      <c r="R4127" s="209"/>
      <c r="S4127" s="209"/>
      <c r="T4127" s="209"/>
    </row>
    <row r="4128" spans="1:20" ht="15" hidden="1" customHeight="1">
      <c r="A4128" s="468">
        <v>45499</v>
      </c>
      <c r="B4128" s="208" t="s">
        <v>3550</v>
      </c>
      <c r="C4128" s="208" t="s">
        <v>146</v>
      </c>
      <c r="D4128" s="592">
        <v>-50000</v>
      </c>
      <c r="E4128" s="212">
        <v>45474</v>
      </c>
      <c r="F4128" s="291" t="s">
        <v>109</v>
      </c>
      <c r="G4128" s="208" t="s">
        <v>525</v>
      </c>
      <c r="H4128" s="208" t="s">
        <v>138</v>
      </c>
      <c r="I4128" s="208" t="s">
        <v>2052</v>
      </c>
      <c r="J4128" s="209"/>
      <c r="K4128" s="209"/>
      <c r="L4128" s="209"/>
      <c r="M4128" s="209"/>
      <c r="N4128" s="209"/>
      <c r="O4128" s="209"/>
      <c r="P4128" s="209"/>
      <c r="Q4128" s="209"/>
      <c r="R4128" s="209"/>
      <c r="S4128" s="209"/>
      <c r="T4128" s="209"/>
    </row>
    <row r="4129" spans="1:20" ht="15" hidden="1" customHeight="1">
      <c r="A4129" s="468">
        <v>45499</v>
      </c>
      <c r="B4129" s="208" t="s">
        <v>3551</v>
      </c>
      <c r="C4129" s="208" t="s">
        <v>146</v>
      </c>
      <c r="D4129" s="592">
        <v>-14200</v>
      </c>
      <c r="E4129" s="212">
        <v>45474</v>
      </c>
      <c r="F4129" s="291" t="s">
        <v>109</v>
      </c>
      <c r="G4129" s="208" t="s">
        <v>525</v>
      </c>
      <c r="H4129" s="208" t="s">
        <v>138</v>
      </c>
      <c r="I4129" s="208" t="s">
        <v>2052</v>
      </c>
      <c r="J4129" s="209"/>
      <c r="K4129" s="209"/>
      <c r="L4129" s="209"/>
      <c r="M4129" s="209"/>
      <c r="N4129" s="209"/>
      <c r="O4129" s="209"/>
      <c r="P4129" s="209"/>
      <c r="Q4129" s="209"/>
      <c r="R4129" s="209"/>
      <c r="S4129" s="209"/>
      <c r="T4129" s="209"/>
    </row>
    <row r="4130" spans="1:20" ht="15" hidden="1" customHeight="1">
      <c r="A4130" s="468">
        <v>45499</v>
      </c>
      <c r="B4130" s="208" t="s">
        <v>3552</v>
      </c>
      <c r="C4130" s="208" t="s">
        <v>146</v>
      </c>
      <c r="D4130" s="592">
        <v>-6000</v>
      </c>
      <c r="E4130" s="212">
        <v>45474</v>
      </c>
      <c r="F4130" s="291" t="s">
        <v>109</v>
      </c>
      <c r="G4130" s="208" t="s">
        <v>525</v>
      </c>
      <c r="H4130" s="208" t="s">
        <v>138</v>
      </c>
      <c r="I4130" s="208" t="s">
        <v>2052</v>
      </c>
      <c r="J4130" s="209"/>
      <c r="K4130" s="209"/>
      <c r="L4130" s="209"/>
      <c r="M4130" s="209"/>
      <c r="N4130" s="209"/>
      <c r="O4130" s="209"/>
      <c r="P4130" s="209"/>
      <c r="Q4130" s="209"/>
      <c r="R4130" s="209"/>
      <c r="S4130" s="209"/>
      <c r="T4130" s="209"/>
    </row>
    <row r="4131" spans="1:20" ht="15" hidden="1" customHeight="1">
      <c r="A4131" s="468">
        <v>45477</v>
      </c>
      <c r="B4131" s="208" t="s">
        <v>3553</v>
      </c>
      <c r="C4131" s="208" t="s">
        <v>146</v>
      </c>
      <c r="D4131" s="592">
        <v>-6000</v>
      </c>
      <c r="E4131" s="212">
        <v>45474</v>
      </c>
      <c r="F4131" s="208" t="s">
        <v>109</v>
      </c>
      <c r="G4131" s="201" t="s">
        <v>918</v>
      </c>
      <c r="H4131" s="208" t="s">
        <v>138</v>
      </c>
      <c r="I4131" s="208" t="s">
        <v>2052</v>
      </c>
      <c r="J4131" s="209"/>
      <c r="K4131" s="209"/>
      <c r="L4131" s="209"/>
      <c r="M4131" s="209"/>
      <c r="N4131" s="209"/>
      <c r="O4131" s="209"/>
      <c r="P4131" s="209"/>
      <c r="Q4131" s="209"/>
      <c r="R4131" s="209"/>
      <c r="S4131" s="209"/>
      <c r="T4131" s="209"/>
    </row>
    <row r="4132" spans="1:20" ht="15" hidden="1" customHeight="1">
      <c r="A4132" s="468">
        <v>45477</v>
      </c>
      <c r="B4132" s="208" t="s">
        <v>3554</v>
      </c>
      <c r="C4132" s="208" t="s">
        <v>146</v>
      </c>
      <c r="D4132" s="592">
        <v>-6000</v>
      </c>
      <c r="E4132" s="212">
        <v>45474</v>
      </c>
      <c r="F4132" s="208" t="s">
        <v>109</v>
      </c>
      <c r="G4132" s="201" t="s">
        <v>918</v>
      </c>
      <c r="H4132" s="208" t="s">
        <v>138</v>
      </c>
      <c r="I4132" s="208" t="s">
        <v>2052</v>
      </c>
      <c r="J4132" s="209"/>
      <c r="K4132" s="209"/>
      <c r="L4132" s="209"/>
      <c r="M4132" s="209"/>
      <c r="N4132" s="209"/>
      <c r="O4132" s="209"/>
      <c r="P4132" s="209"/>
      <c r="Q4132" s="209"/>
      <c r="R4132" s="209"/>
      <c r="S4132" s="209"/>
      <c r="T4132" s="209"/>
    </row>
    <row r="4133" spans="1:20" ht="15" hidden="1" customHeight="1">
      <c r="A4133" s="468">
        <v>45478</v>
      </c>
      <c r="B4133" s="208" t="s">
        <v>3555</v>
      </c>
      <c r="C4133" s="208" t="s">
        <v>146</v>
      </c>
      <c r="D4133" s="592">
        <v>-6000</v>
      </c>
      <c r="E4133" s="212">
        <v>45474</v>
      </c>
      <c r="F4133" s="208" t="s">
        <v>130</v>
      </c>
      <c r="G4133" s="208" t="s">
        <v>257</v>
      </c>
      <c r="H4133" s="208" t="s">
        <v>138</v>
      </c>
      <c r="I4133" s="208" t="s">
        <v>2052</v>
      </c>
      <c r="J4133" s="209"/>
      <c r="K4133" s="209"/>
      <c r="L4133" s="209"/>
      <c r="M4133" s="209"/>
      <c r="N4133" s="209"/>
      <c r="O4133" s="209"/>
      <c r="P4133" s="209"/>
      <c r="Q4133" s="209"/>
      <c r="R4133" s="209"/>
      <c r="S4133" s="209"/>
      <c r="T4133" s="209"/>
    </row>
    <row r="4134" spans="1:20" ht="15" hidden="1" customHeight="1">
      <c r="A4134" s="468">
        <v>45478</v>
      </c>
      <c r="B4134" s="208" t="s">
        <v>3555</v>
      </c>
      <c r="C4134" s="208" t="s">
        <v>146</v>
      </c>
      <c r="D4134" s="592">
        <v>-6000</v>
      </c>
      <c r="E4134" s="212">
        <v>45474</v>
      </c>
      <c r="F4134" s="208" t="s">
        <v>130</v>
      </c>
      <c r="G4134" s="208" t="s">
        <v>257</v>
      </c>
      <c r="H4134" s="208" t="s">
        <v>138</v>
      </c>
      <c r="I4134" s="208" t="s">
        <v>2052</v>
      </c>
      <c r="J4134" s="209"/>
      <c r="K4134" s="209"/>
      <c r="L4134" s="209"/>
      <c r="M4134" s="209"/>
      <c r="N4134" s="209"/>
      <c r="O4134" s="209"/>
      <c r="P4134" s="209"/>
      <c r="Q4134" s="209"/>
      <c r="R4134" s="209"/>
      <c r="S4134" s="209"/>
      <c r="T4134" s="209"/>
    </row>
    <row r="4135" spans="1:20" ht="15" hidden="1" customHeight="1">
      <c r="A4135" s="468">
        <v>45479</v>
      </c>
      <c r="B4135" s="208" t="s">
        <v>3556</v>
      </c>
      <c r="C4135" s="208" t="s">
        <v>146</v>
      </c>
      <c r="D4135" s="592">
        <v>-6000</v>
      </c>
      <c r="E4135" s="212">
        <v>45474</v>
      </c>
      <c r="F4135" s="208" t="s">
        <v>130</v>
      </c>
      <c r="G4135" s="208" t="s">
        <v>257</v>
      </c>
      <c r="H4135" s="208" t="s">
        <v>138</v>
      </c>
      <c r="I4135" s="208" t="s">
        <v>2052</v>
      </c>
      <c r="J4135" s="209"/>
      <c r="K4135" s="209"/>
      <c r="L4135" s="209"/>
      <c r="M4135" s="209"/>
      <c r="N4135" s="209"/>
      <c r="O4135" s="209"/>
      <c r="P4135" s="209"/>
      <c r="Q4135" s="209"/>
      <c r="R4135" s="209"/>
      <c r="S4135" s="209"/>
      <c r="T4135" s="209"/>
    </row>
    <row r="4136" spans="1:20" ht="15" hidden="1" customHeight="1">
      <c r="A4136" s="468">
        <v>45479</v>
      </c>
      <c r="B4136" s="208" t="s">
        <v>3557</v>
      </c>
      <c r="C4136" s="208" t="s">
        <v>146</v>
      </c>
      <c r="D4136" s="592">
        <v>-10000</v>
      </c>
      <c r="E4136" s="212">
        <v>45474</v>
      </c>
      <c r="F4136" s="208" t="s">
        <v>130</v>
      </c>
      <c r="G4136" s="208" t="s">
        <v>257</v>
      </c>
      <c r="H4136" s="208" t="s">
        <v>138</v>
      </c>
      <c r="I4136" s="208" t="s">
        <v>2052</v>
      </c>
      <c r="J4136" s="209"/>
      <c r="K4136" s="209"/>
      <c r="L4136" s="209"/>
      <c r="M4136" s="209"/>
      <c r="N4136" s="209"/>
      <c r="O4136" s="209"/>
      <c r="P4136" s="209"/>
      <c r="Q4136" s="209"/>
      <c r="R4136" s="209"/>
      <c r="S4136" s="209"/>
      <c r="T4136" s="209"/>
    </row>
    <row r="4137" spans="1:20" ht="15" hidden="1" customHeight="1">
      <c r="A4137" s="468">
        <v>45479</v>
      </c>
      <c r="B4137" s="208" t="s">
        <v>3558</v>
      </c>
      <c r="C4137" s="208" t="s">
        <v>146</v>
      </c>
      <c r="D4137" s="592">
        <v>-10000</v>
      </c>
      <c r="E4137" s="212">
        <v>45474</v>
      </c>
      <c r="F4137" s="208" t="s">
        <v>130</v>
      </c>
      <c r="G4137" s="208" t="s">
        <v>257</v>
      </c>
      <c r="H4137" s="208" t="s">
        <v>138</v>
      </c>
      <c r="I4137" s="208" t="s">
        <v>2052</v>
      </c>
      <c r="J4137" s="209"/>
      <c r="K4137" s="209"/>
      <c r="L4137" s="209"/>
      <c r="M4137" s="209"/>
      <c r="N4137" s="209"/>
      <c r="O4137" s="209"/>
      <c r="P4137" s="209"/>
      <c r="Q4137" s="209"/>
      <c r="R4137" s="209"/>
      <c r="S4137" s="209"/>
      <c r="T4137" s="209"/>
    </row>
    <row r="4138" spans="1:20" ht="15" hidden="1" customHeight="1">
      <c r="A4138" s="468">
        <v>45479</v>
      </c>
      <c r="B4138" s="208" t="s">
        <v>2374</v>
      </c>
      <c r="C4138" s="208" t="s">
        <v>146</v>
      </c>
      <c r="D4138" s="592">
        <v>-6000</v>
      </c>
      <c r="E4138" s="212">
        <v>45474</v>
      </c>
      <c r="F4138" s="208" t="s">
        <v>130</v>
      </c>
      <c r="G4138" s="208" t="s">
        <v>257</v>
      </c>
      <c r="H4138" s="208" t="s">
        <v>138</v>
      </c>
      <c r="I4138" s="208" t="s">
        <v>2052</v>
      </c>
      <c r="J4138" s="209"/>
      <c r="K4138" s="209"/>
      <c r="L4138" s="209"/>
      <c r="M4138" s="209"/>
      <c r="N4138" s="209"/>
      <c r="O4138" s="209"/>
      <c r="P4138" s="209"/>
      <c r="Q4138" s="209"/>
      <c r="R4138" s="209"/>
      <c r="S4138" s="209"/>
      <c r="T4138" s="209"/>
    </row>
    <row r="4139" spans="1:20" ht="15" hidden="1" customHeight="1">
      <c r="A4139" s="468">
        <v>45480</v>
      </c>
      <c r="B4139" s="208" t="s">
        <v>3559</v>
      </c>
      <c r="C4139" s="208" t="s">
        <v>146</v>
      </c>
      <c r="D4139" s="592">
        <v>-15000</v>
      </c>
      <c r="E4139" s="212">
        <v>45474</v>
      </c>
      <c r="F4139" s="291" t="s">
        <v>109</v>
      </c>
      <c r="G4139" s="208" t="s">
        <v>525</v>
      </c>
      <c r="H4139" s="208" t="s">
        <v>138</v>
      </c>
      <c r="I4139" s="208" t="s">
        <v>2052</v>
      </c>
      <c r="J4139" s="209"/>
      <c r="K4139" s="209"/>
      <c r="L4139" s="209"/>
      <c r="M4139" s="209"/>
      <c r="N4139" s="209"/>
      <c r="O4139" s="209"/>
      <c r="P4139" s="209"/>
      <c r="Q4139" s="209"/>
      <c r="R4139" s="209"/>
      <c r="S4139" s="209"/>
      <c r="T4139" s="209"/>
    </row>
    <row r="4140" spans="1:20" ht="15" hidden="1" customHeight="1">
      <c r="A4140" s="468">
        <v>45481</v>
      </c>
      <c r="B4140" s="208" t="s">
        <v>3560</v>
      </c>
      <c r="C4140" s="208" t="s">
        <v>146</v>
      </c>
      <c r="D4140" s="592">
        <v>-43000</v>
      </c>
      <c r="E4140" s="212">
        <v>45474</v>
      </c>
      <c r="F4140" s="208" t="s">
        <v>130</v>
      </c>
      <c r="G4140" s="208" t="s">
        <v>130</v>
      </c>
      <c r="H4140" s="208" t="s">
        <v>138</v>
      </c>
      <c r="I4140" s="208"/>
      <c r="J4140" s="209"/>
      <c r="K4140" s="209"/>
      <c r="L4140" s="209"/>
      <c r="M4140" s="209"/>
      <c r="N4140" s="209"/>
      <c r="O4140" s="209"/>
      <c r="P4140" s="209"/>
      <c r="Q4140" s="209"/>
      <c r="R4140" s="209"/>
      <c r="S4140" s="209"/>
      <c r="T4140" s="209"/>
    </row>
    <row r="4141" spans="1:20" ht="15" hidden="1" customHeight="1">
      <c r="A4141" s="468">
        <v>45481</v>
      </c>
      <c r="B4141" s="208" t="s">
        <v>3560</v>
      </c>
      <c r="C4141" s="208" t="s">
        <v>146</v>
      </c>
      <c r="D4141" s="592">
        <v>-111000</v>
      </c>
      <c r="E4141" s="212">
        <v>45474</v>
      </c>
      <c r="F4141" s="208" t="s">
        <v>109</v>
      </c>
      <c r="G4141" s="201" t="s">
        <v>1306</v>
      </c>
      <c r="H4141" s="208" t="s">
        <v>138</v>
      </c>
      <c r="I4141" s="208"/>
      <c r="J4141" s="209"/>
      <c r="K4141" s="209"/>
      <c r="L4141" s="209"/>
      <c r="M4141" s="209"/>
      <c r="N4141" s="209"/>
      <c r="O4141" s="209"/>
      <c r="P4141" s="209"/>
      <c r="Q4141" s="209"/>
      <c r="R4141" s="209"/>
      <c r="S4141" s="209"/>
      <c r="T4141" s="209"/>
    </row>
    <row r="4142" spans="1:20" ht="15" hidden="1" customHeight="1">
      <c r="A4142" s="468">
        <v>45481</v>
      </c>
      <c r="B4142" s="208" t="s">
        <v>3560</v>
      </c>
      <c r="C4142" s="208" t="s">
        <v>146</v>
      </c>
      <c r="D4142" s="592">
        <v>-250920</v>
      </c>
      <c r="E4142" s="212">
        <v>45474</v>
      </c>
      <c r="F4142" s="208" t="s">
        <v>110</v>
      </c>
      <c r="G4142" s="208" t="s">
        <v>774</v>
      </c>
      <c r="H4142" s="208" t="s">
        <v>138</v>
      </c>
      <c r="I4142" s="208"/>
      <c r="J4142" s="209"/>
      <c r="K4142" s="209"/>
      <c r="L4142" s="209"/>
      <c r="M4142" s="209"/>
      <c r="N4142" s="209"/>
      <c r="O4142" s="209"/>
      <c r="P4142" s="209"/>
      <c r="Q4142" s="209"/>
      <c r="R4142" s="209"/>
      <c r="S4142" s="209"/>
      <c r="T4142" s="209"/>
    </row>
    <row r="4143" spans="1:20" ht="15" hidden="1" customHeight="1">
      <c r="A4143" s="468">
        <v>45481</v>
      </c>
      <c r="B4143" s="208" t="s">
        <v>3560</v>
      </c>
      <c r="C4143" s="208" t="s">
        <v>146</v>
      </c>
      <c r="D4143" s="800">
        <v>-15000</v>
      </c>
      <c r="E4143" s="212">
        <v>45474</v>
      </c>
      <c r="F4143" s="208" t="s">
        <v>109</v>
      </c>
      <c r="G4143" s="201" t="s">
        <v>581</v>
      </c>
      <c r="H4143" s="208" t="s">
        <v>138</v>
      </c>
      <c r="I4143" s="208"/>
      <c r="J4143" s="209"/>
      <c r="K4143" s="209"/>
      <c r="L4143" s="209"/>
      <c r="M4143" s="209"/>
      <c r="N4143" s="209"/>
      <c r="O4143" s="209"/>
      <c r="P4143" s="209"/>
      <c r="Q4143" s="209"/>
      <c r="R4143" s="209"/>
      <c r="S4143" s="209"/>
      <c r="T4143" s="209"/>
    </row>
    <row r="4144" spans="1:20" ht="15" hidden="1" customHeight="1">
      <c r="A4144" s="468">
        <v>45481</v>
      </c>
      <c r="B4144" s="208" t="s">
        <v>3560</v>
      </c>
      <c r="C4144" s="208" t="s">
        <v>146</v>
      </c>
      <c r="D4144" s="592">
        <v>-200000</v>
      </c>
      <c r="E4144" s="212">
        <v>45474</v>
      </c>
      <c r="F4144" s="208" t="s">
        <v>207</v>
      </c>
      <c r="G4144" s="208" t="s">
        <v>207</v>
      </c>
      <c r="H4144" s="208" t="s">
        <v>138</v>
      </c>
      <c r="I4144" s="208"/>
      <c r="J4144" s="209"/>
      <c r="K4144" s="209"/>
      <c r="L4144" s="209"/>
      <c r="M4144" s="209"/>
      <c r="N4144" s="209"/>
      <c r="O4144" s="209"/>
      <c r="P4144" s="209"/>
      <c r="Q4144" s="209"/>
      <c r="R4144" s="209"/>
      <c r="S4144" s="209"/>
      <c r="T4144" s="209"/>
    </row>
    <row r="4145" spans="1:20" ht="15" hidden="1" customHeight="1">
      <c r="A4145" s="468">
        <v>45481</v>
      </c>
      <c r="B4145" s="208" t="s">
        <v>3561</v>
      </c>
      <c r="C4145" s="208" t="s">
        <v>133</v>
      </c>
      <c r="D4145" s="592">
        <v>-6300</v>
      </c>
      <c r="E4145" s="212">
        <v>45474</v>
      </c>
      <c r="F4145" s="208" t="s">
        <v>110</v>
      </c>
      <c r="G4145" s="208" t="s">
        <v>774</v>
      </c>
      <c r="H4145" s="208" t="s">
        <v>138</v>
      </c>
      <c r="I4145" s="208"/>
      <c r="J4145" s="209"/>
      <c r="K4145" s="209"/>
      <c r="L4145" s="209"/>
      <c r="M4145" s="209"/>
      <c r="N4145" s="209"/>
      <c r="O4145" s="209"/>
      <c r="P4145" s="209"/>
      <c r="Q4145" s="209"/>
      <c r="R4145" s="209"/>
      <c r="S4145" s="209"/>
      <c r="T4145" s="209"/>
    </row>
    <row r="4146" spans="1:20" ht="15" hidden="1" customHeight="1">
      <c r="A4146" s="468">
        <v>45481</v>
      </c>
      <c r="B4146" s="208" t="s">
        <v>3562</v>
      </c>
      <c r="C4146" s="208" t="s">
        <v>133</v>
      </c>
      <c r="D4146" s="592">
        <v>-3780</v>
      </c>
      <c r="E4146" s="212">
        <v>45474</v>
      </c>
      <c r="F4146" s="208" t="s">
        <v>110</v>
      </c>
      <c r="G4146" s="208" t="s">
        <v>774</v>
      </c>
      <c r="H4146" s="208" t="s">
        <v>138</v>
      </c>
      <c r="I4146" s="208"/>
      <c r="J4146" s="209"/>
      <c r="K4146" s="209"/>
      <c r="L4146" s="209"/>
      <c r="M4146" s="209"/>
      <c r="N4146" s="209"/>
      <c r="O4146" s="209"/>
      <c r="P4146" s="209"/>
      <c r="Q4146" s="209"/>
      <c r="R4146" s="209"/>
      <c r="S4146" s="209"/>
      <c r="T4146" s="209"/>
    </row>
    <row r="4147" spans="1:20" ht="15" hidden="1" customHeight="1">
      <c r="A4147" s="468">
        <v>45481</v>
      </c>
      <c r="B4147" s="208" t="s">
        <v>3563</v>
      </c>
      <c r="C4147" s="208" t="s">
        <v>146</v>
      </c>
      <c r="D4147" s="592">
        <v>-330218</v>
      </c>
      <c r="E4147" s="212">
        <v>45474</v>
      </c>
      <c r="F4147" s="208" t="s">
        <v>130</v>
      </c>
      <c r="G4147" s="208" t="s">
        <v>130</v>
      </c>
      <c r="H4147" s="208" t="s">
        <v>2444</v>
      </c>
      <c r="I4147" s="208"/>
      <c r="J4147" s="209"/>
      <c r="K4147" s="209"/>
      <c r="L4147" s="209"/>
      <c r="M4147" s="209"/>
      <c r="N4147" s="209"/>
      <c r="O4147" s="209"/>
      <c r="P4147" s="209"/>
      <c r="Q4147" s="209"/>
      <c r="R4147" s="209"/>
      <c r="S4147" s="209"/>
      <c r="T4147" s="209"/>
    </row>
    <row r="4148" spans="1:20" ht="15" hidden="1" customHeight="1">
      <c r="A4148" s="468">
        <v>45481</v>
      </c>
      <c r="B4148" s="208" t="s">
        <v>3564</v>
      </c>
      <c r="C4148" s="208" t="s">
        <v>146</v>
      </c>
      <c r="D4148" s="592">
        <v>-39200</v>
      </c>
      <c r="E4148" s="212">
        <v>45474</v>
      </c>
      <c r="F4148" s="208" t="s">
        <v>130</v>
      </c>
      <c r="G4148" s="208" t="s">
        <v>130</v>
      </c>
      <c r="H4148" s="208" t="s">
        <v>2444</v>
      </c>
      <c r="I4148" s="208"/>
      <c r="J4148" s="209"/>
      <c r="K4148" s="209"/>
      <c r="L4148" s="209"/>
      <c r="M4148" s="209"/>
      <c r="N4148" s="209"/>
      <c r="O4148" s="209"/>
      <c r="P4148" s="209"/>
      <c r="Q4148" s="209"/>
      <c r="R4148" s="209"/>
      <c r="S4148" s="209"/>
      <c r="T4148" s="209"/>
    </row>
    <row r="4149" spans="1:20" ht="15" hidden="1" customHeight="1">
      <c r="A4149" s="468">
        <v>45481</v>
      </c>
      <c r="B4149" s="208" t="s">
        <v>3563</v>
      </c>
      <c r="C4149" s="208" t="s">
        <v>146</v>
      </c>
      <c r="D4149" s="592">
        <v>-58943</v>
      </c>
      <c r="E4149" s="212">
        <v>45474</v>
      </c>
      <c r="F4149" s="208" t="s">
        <v>130</v>
      </c>
      <c r="G4149" s="208" t="s">
        <v>130</v>
      </c>
      <c r="H4149" s="208" t="s">
        <v>2444</v>
      </c>
      <c r="I4149" s="208"/>
      <c r="J4149" s="209"/>
      <c r="K4149" s="209"/>
      <c r="L4149" s="209"/>
      <c r="M4149" s="209"/>
      <c r="N4149" s="209"/>
      <c r="O4149" s="209"/>
      <c r="P4149" s="209"/>
      <c r="Q4149" s="209"/>
      <c r="R4149" s="209"/>
      <c r="S4149" s="209"/>
      <c r="T4149" s="209"/>
    </row>
    <row r="4150" spans="1:20" ht="15" hidden="1" customHeight="1">
      <c r="A4150" s="468">
        <v>45481</v>
      </c>
      <c r="B4150" s="208" t="s">
        <v>3563</v>
      </c>
      <c r="C4150" s="208" t="s">
        <v>146</v>
      </c>
      <c r="D4150" s="592">
        <v>-64915</v>
      </c>
      <c r="E4150" s="212">
        <v>45474</v>
      </c>
      <c r="F4150" s="208" t="s">
        <v>130</v>
      </c>
      <c r="G4150" s="208" t="s">
        <v>130</v>
      </c>
      <c r="H4150" s="208" t="s">
        <v>2444</v>
      </c>
      <c r="I4150" s="208"/>
      <c r="J4150" s="209"/>
      <c r="K4150" s="209"/>
      <c r="L4150" s="209"/>
      <c r="M4150" s="209"/>
      <c r="N4150" s="209"/>
      <c r="O4150" s="209"/>
      <c r="P4150" s="209"/>
      <c r="Q4150" s="209"/>
      <c r="R4150" s="209"/>
      <c r="S4150" s="209"/>
      <c r="T4150" s="209"/>
    </row>
    <row r="4151" spans="1:20" ht="15" hidden="1" customHeight="1">
      <c r="A4151" s="468">
        <v>45499</v>
      </c>
      <c r="B4151" s="208" t="s">
        <v>3565</v>
      </c>
      <c r="C4151" s="223" t="s">
        <v>146</v>
      </c>
      <c r="D4151" s="800">
        <v>-10000</v>
      </c>
      <c r="E4151" s="212">
        <v>45474</v>
      </c>
      <c r="F4151" s="208" t="s">
        <v>109</v>
      </c>
      <c r="G4151" s="201" t="s">
        <v>581</v>
      </c>
      <c r="H4151" s="208" t="s">
        <v>3566</v>
      </c>
      <c r="I4151" s="208" t="s">
        <v>1347</v>
      </c>
      <c r="J4151" s="209"/>
      <c r="K4151" s="209"/>
      <c r="L4151" s="209"/>
      <c r="M4151" s="209"/>
      <c r="N4151" s="209"/>
      <c r="O4151" s="209"/>
      <c r="P4151" s="209"/>
      <c r="Q4151" s="209"/>
      <c r="R4151" s="209"/>
      <c r="S4151" s="209"/>
      <c r="T4151" s="209"/>
    </row>
    <row r="4152" spans="1:20" ht="15" hidden="1" customHeight="1">
      <c r="A4152" s="468">
        <v>45499</v>
      </c>
      <c r="B4152" s="208" t="s">
        <v>3567</v>
      </c>
      <c r="C4152" s="223" t="s">
        <v>146</v>
      </c>
      <c r="D4152" s="800">
        <v>-15000</v>
      </c>
      <c r="E4152" s="212">
        <v>45474</v>
      </c>
      <c r="F4152" s="208" t="s">
        <v>109</v>
      </c>
      <c r="G4152" s="201" t="s">
        <v>581</v>
      </c>
      <c r="H4152" s="208" t="s">
        <v>3566</v>
      </c>
      <c r="I4152" s="208" t="s">
        <v>1347</v>
      </c>
      <c r="J4152" s="209"/>
      <c r="K4152" s="209"/>
      <c r="L4152" s="209"/>
      <c r="M4152" s="209"/>
      <c r="N4152" s="209"/>
      <c r="O4152" s="209"/>
      <c r="P4152" s="209"/>
      <c r="Q4152" s="209"/>
      <c r="R4152" s="209"/>
      <c r="S4152" s="209"/>
      <c r="T4152" s="209"/>
    </row>
    <row r="4153" spans="1:20" ht="15" hidden="1" customHeight="1">
      <c r="A4153" s="468">
        <v>45499</v>
      </c>
      <c r="B4153" s="208" t="s">
        <v>3568</v>
      </c>
      <c r="C4153" s="223" t="s">
        <v>146</v>
      </c>
      <c r="D4153" s="800">
        <v>-20000</v>
      </c>
      <c r="E4153" s="212">
        <v>45474</v>
      </c>
      <c r="F4153" s="208" t="s">
        <v>109</v>
      </c>
      <c r="G4153" s="201" t="s">
        <v>581</v>
      </c>
      <c r="H4153" s="208" t="s">
        <v>175</v>
      </c>
      <c r="I4153" s="208" t="s">
        <v>1347</v>
      </c>
      <c r="J4153" s="209"/>
      <c r="K4153" s="209"/>
      <c r="L4153" s="209"/>
      <c r="M4153" s="209"/>
      <c r="N4153" s="209"/>
      <c r="O4153" s="209"/>
      <c r="P4153" s="209"/>
      <c r="Q4153" s="209"/>
      <c r="R4153" s="209"/>
      <c r="S4153" s="209"/>
      <c r="T4153" s="209"/>
    </row>
    <row r="4154" spans="1:20" ht="15" hidden="1" customHeight="1">
      <c r="A4154" s="468">
        <v>45499</v>
      </c>
      <c r="B4154" s="208" t="s">
        <v>3569</v>
      </c>
      <c r="C4154" s="223" t="s">
        <v>146</v>
      </c>
      <c r="D4154" s="800">
        <v>-100000</v>
      </c>
      <c r="E4154" s="212">
        <v>45474</v>
      </c>
      <c r="F4154" s="208" t="s">
        <v>109</v>
      </c>
      <c r="G4154" s="201" t="s">
        <v>581</v>
      </c>
      <c r="H4154" s="208" t="s">
        <v>3366</v>
      </c>
      <c r="I4154" s="208" t="s">
        <v>1347</v>
      </c>
      <c r="J4154" s="209"/>
      <c r="K4154" s="209"/>
      <c r="L4154" s="209"/>
      <c r="M4154" s="209"/>
      <c r="N4154" s="209"/>
      <c r="O4154" s="209"/>
      <c r="P4154" s="209"/>
      <c r="Q4154" s="209"/>
      <c r="R4154" s="209"/>
      <c r="S4154" s="209"/>
      <c r="T4154" s="209"/>
    </row>
    <row r="4155" spans="1:20" ht="15" hidden="1" customHeight="1">
      <c r="A4155" s="468">
        <v>45499</v>
      </c>
      <c r="B4155" s="208" t="s">
        <v>3570</v>
      </c>
      <c r="C4155" s="223" t="s">
        <v>146</v>
      </c>
      <c r="D4155" s="800">
        <v>-80000</v>
      </c>
      <c r="E4155" s="212">
        <v>45474</v>
      </c>
      <c r="F4155" s="208" t="s">
        <v>109</v>
      </c>
      <c r="G4155" s="201" t="s">
        <v>581</v>
      </c>
      <c r="H4155" s="208" t="s">
        <v>3509</v>
      </c>
      <c r="I4155" s="208" t="s">
        <v>1347</v>
      </c>
      <c r="J4155" s="209"/>
      <c r="K4155" s="209"/>
      <c r="L4155" s="209"/>
      <c r="M4155" s="209"/>
      <c r="N4155" s="209"/>
      <c r="O4155" s="209"/>
      <c r="P4155" s="209"/>
      <c r="Q4155" s="209"/>
      <c r="R4155" s="209"/>
      <c r="S4155" s="209"/>
      <c r="T4155" s="209"/>
    </row>
    <row r="4156" spans="1:20" ht="15" hidden="1" customHeight="1">
      <c r="A4156" s="468">
        <v>45499</v>
      </c>
      <c r="B4156" s="208" t="s">
        <v>2139</v>
      </c>
      <c r="C4156" s="223" t="s">
        <v>146</v>
      </c>
      <c r="D4156" s="800">
        <v>-12900</v>
      </c>
      <c r="E4156" s="212">
        <v>45474</v>
      </c>
      <c r="F4156" s="208" t="s">
        <v>109</v>
      </c>
      <c r="G4156" s="201" t="s">
        <v>581</v>
      </c>
      <c r="H4156" s="208" t="s">
        <v>3368</v>
      </c>
      <c r="I4156" s="208" t="s">
        <v>1347</v>
      </c>
      <c r="J4156" s="209"/>
      <c r="K4156" s="209"/>
      <c r="L4156" s="209"/>
      <c r="M4156" s="209"/>
      <c r="N4156" s="209"/>
      <c r="O4156" s="209"/>
      <c r="P4156" s="209"/>
      <c r="Q4156" s="209"/>
      <c r="R4156" s="209"/>
      <c r="S4156" s="209"/>
      <c r="T4156" s="209"/>
    </row>
    <row r="4157" spans="1:20" ht="15" hidden="1" customHeight="1">
      <c r="A4157" s="468">
        <v>45499</v>
      </c>
      <c r="B4157" s="208" t="s">
        <v>2699</v>
      </c>
      <c r="C4157" s="223" t="s">
        <v>146</v>
      </c>
      <c r="D4157" s="800">
        <v>-12900</v>
      </c>
      <c r="E4157" s="212">
        <v>45474</v>
      </c>
      <c r="F4157" s="208" t="s">
        <v>109</v>
      </c>
      <c r="G4157" s="201" t="s">
        <v>581</v>
      </c>
      <c r="H4157" s="208" t="s">
        <v>3368</v>
      </c>
      <c r="I4157" s="208" t="s">
        <v>1347</v>
      </c>
      <c r="J4157" s="209"/>
      <c r="K4157" s="209"/>
      <c r="L4157" s="209"/>
      <c r="M4157" s="209"/>
      <c r="N4157" s="209"/>
      <c r="O4157" s="209"/>
      <c r="P4157" s="209"/>
      <c r="Q4157" s="209"/>
      <c r="R4157" s="209"/>
      <c r="S4157" s="209"/>
      <c r="T4157" s="209"/>
    </row>
    <row r="4158" spans="1:20" ht="15" hidden="1" customHeight="1">
      <c r="A4158" s="468">
        <v>45474</v>
      </c>
      <c r="B4158" s="208" t="s">
        <v>3571</v>
      </c>
      <c r="C4158" s="223" t="s">
        <v>146</v>
      </c>
      <c r="D4158" s="800">
        <v>-40000</v>
      </c>
      <c r="E4158" s="212">
        <v>45474</v>
      </c>
      <c r="F4158" s="208" t="s">
        <v>109</v>
      </c>
      <c r="G4158" s="201" t="s">
        <v>581</v>
      </c>
      <c r="H4158" s="208" t="s">
        <v>3366</v>
      </c>
      <c r="I4158" s="208" t="s">
        <v>1347</v>
      </c>
      <c r="J4158" s="209"/>
      <c r="K4158" s="209"/>
      <c r="L4158" s="209"/>
      <c r="M4158" s="209"/>
      <c r="N4158" s="209"/>
      <c r="O4158" s="209"/>
      <c r="P4158" s="209"/>
      <c r="Q4158" s="209"/>
      <c r="R4158" s="209"/>
      <c r="S4158" s="209"/>
      <c r="T4158" s="209"/>
    </row>
    <row r="4159" spans="1:20" ht="15" hidden="1" customHeight="1">
      <c r="A4159" s="468">
        <v>45474</v>
      </c>
      <c r="B4159" s="208" t="s">
        <v>3572</v>
      </c>
      <c r="C4159" s="223" t="s">
        <v>146</v>
      </c>
      <c r="D4159" s="800">
        <v>-12900</v>
      </c>
      <c r="E4159" s="212">
        <v>45474</v>
      </c>
      <c r="F4159" s="208" t="s">
        <v>109</v>
      </c>
      <c r="G4159" s="201" t="s">
        <v>581</v>
      </c>
      <c r="H4159" s="208" t="s">
        <v>3368</v>
      </c>
      <c r="I4159" s="208" t="s">
        <v>1347</v>
      </c>
      <c r="J4159" s="209"/>
      <c r="K4159" s="209"/>
      <c r="L4159" s="209"/>
      <c r="M4159" s="209"/>
      <c r="N4159" s="209"/>
      <c r="O4159" s="209"/>
      <c r="P4159" s="209"/>
      <c r="Q4159" s="209"/>
      <c r="R4159" s="209"/>
      <c r="S4159" s="209"/>
      <c r="T4159" s="209"/>
    </row>
    <row r="4160" spans="1:20" ht="15" hidden="1" customHeight="1">
      <c r="A4160" s="468">
        <v>45475</v>
      </c>
      <c r="B4160" s="208" t="s">
        <v>3573</v>
      </c>
      <c r="C4160" s="223" t="s">
        <v>146</v>
      </c>
      <c r="D4160" s="800">
        <v>-378000</v>
      </c>
      <c r="E4160" s="212">
        <v>45474</v>
      </c>
      <c r="F4160" s="208" t="s">
        <v>109</v>
      </c>
      <c r="G4160" s="201" t="s">
        <v>581</v>
      </c>
      <c r="H4160" s="208" t="s">
        <v>175</v>
      </c>
      <c r="I4160" s="208" t="s">
        <v>1347</v>
      </c>
      <c r="J4160" s="209"/>
      <c r="K4160" s="209"/>
      <c r="L4160" s="209"/>
      <c r="M4160" s="209"/>
      <c r="N4160" s="209"/>
      <c r="O4160" s="209"/>
      <c r="P4160" s="209"/>
      <c r="Q4160" s="209"/>
      <c r="R4160" s="209"/>
      <c r="S4160" s="209"/>
      <c r="T4160" s="209"/>
    </row>
    <row r="4161" spans="1:20" ht="15" hidden="1" customHeight="1">
      <c r="A4161" s="468">
        <v>45475</v>
      </c>
      <c r="B4161" s="208" t="s">
        <v>3574</v>
      </c>
      <c r="C4161" s="223" t="s">
        <v>146</v>
      </c>
      <c r="D4161" s="800">
        <v>-142000</v>
      </c>
      <c r="E4161" s="212">
        <v>45474</v>
      </c>
      <c r="F4161" s="208" t="s">
        <v>109</v>
      </c>
      <c r="G4161" s="201" t="s">
        <v>581</v>
      </c>
      <c r="H4161" s="208" t="s">
        <v>3366</v>
      </c>
      <c r="I4161" s="208" t="s">
        <v>1347</v>
      </c>
      <c r="J4161" s="209"/>
      <c r="K4161" s="209"/>
      <c r="L4161" s="209"/>
      <c r="M4161" s="209"/>
      <c r="N4161" s="209"/>
      <c r="O4161" s="209"/>
      <c r="P4161" s="209"/>
      <c r="Q4161" s="209"/>
      <c r="R4161" s="209"/>
      <c r="S4161" s="209"/>
      <c r="T4161" s="209"/>
    </row>
    <row r="4162" spans="1:20" ht="15" hidden="1" customHeight="1">
      <c r="A4162" s="468">
        <v>45475</v>
      </c>
      <c r="B4162" s="208" t="s">
        <v>3575</v>
      </c>
      <c r="C4162" s="223" t="s">
        <v>146</v>
      </c>
      <c r="D4162" s="800">
        <v>-60000</v>
      </c>
      <c r="E4162" s="212">
        <v>45474</v>
      </c>
      <c r="F4162" s="208" t="s">
        <v>109</v>
      </c>
      <c r="G4162" s="201" t="s">
        <v>581</v>
      </c>
      <c r="H4162" s="208" t="s">
        <v>175</v>
      </c>
      <c r="I4162" s="208" t="s">
        <v>1347</v>
      </c>
      <c r="J4162" s="209"/>
      <c r="K4162" s="209"/>
      <c r="L4162" s="209"/>
      <c r="M4162" s="209"/>
      <c r="N4162" s="209"/>
      <c r="O4162" s="209"/>
      <c r="P4162" s="209"/>
      <c r="Q4162" s="209"/>
      <c r="R4162" s="209"/>
      <c r="S4162" s="209"/>
      <c r="T4162" s="209"/>
    </row>
    <row r="4163" spans="1:20" ht="15" hidden="1" customHeight="1">
      <c r="A4163" s="468">
        <v>45475</v>
      </c>
      <c r="B4163" s="208" t="s">
        <v>3576</v>
      </c>
      <c r="C4163" s="223" t="s">
        <v>146</v>
      </c>
      <c r="D4163" s="800">
        <v>-50000</v>
      </c>
      <c r="E4163" s="212">
        <v>45474</v>
      </c>
      <c r="F4163" s="208" t="s">
        <v>109</v>
      </c>
      <c r="G4163" s="201" t="s">
        <v>581</v>
      </c>
      <c r="H4163" s="208" t="s">
        <v>175</v>
      </c>
      <c r="I4163" s="208" t="s">
        <v>1347</v>
      </c>
      <c r="J4163" s="209"/>
      <c r="K4163" s="209"/>
      <c r="L4163" s="209"/>
      <c r="M4163" s="209"/>
      <c r="N4163" s="209"/>
      <c r="O4163" s="209"/>
      <c r="P4163" s="209"/>
      <c r="Q4163" s="209"/>
      <c r="R4163" s="209"/>
      <c r="S4163" s="209"/>
      <c r="T4163" s="209"/>
    </row>
    <row r="4164" spans="1:20" ht="15" hidden="1" customHeight="1">
      <c r="A4164" s="468">
        <v>45475</v>
      </c>
      <c r="B4164" s="208" t="s">
        <v>3577</v>
      </c>
      <c r="C4164" s="223" t="s">
        <v>146</v>
      </c>
      <c r="D4164" s="800">
        <v>-150000</v>
      </c>
      <c r="E4164" s="212">
        <v>45474</v>
      </c>
      <c r="F4164" s="208" t="s">
        <v>109</v>
      </c>
      <c r="G4164" s="201" t="s">
        <v>581</v>
      </c>
      <c r="H4164" s="208" t="s">
        <v>175</v>
      </c>
      <c r="I4164" s="208" t="s">
        <v>1347</v>
      </c>
      <c r="J4164" s="209"/>
      <c r="K4164" s="209"/>
      <c r="L4164" s="209"/>
      <c r="M4164" s="209"/>
      <c r="N4164" s="209"/>
      <c r="O4164" s="209"/>
      <c r="P4164" s="209"/>
      <c r="Q4164" s="209"/>
      <c r="R4164" s="209"/>
      <c r="S4164" s="209"/>
      <c r="T4164" s="209"/>
    </row>
    <row r="4165" spans="1:20" ht="15" hidden="1" customHeight="1">
      <c r="A4165" s="468">
        <v>45475</v>
      </c>
      <c r="B4165" s="208" t="s">
        <v>3578</v>
      </c>
      <c r="C4165" s="223" t="s">
        <v>146</v>
      </c>
      <c r="D4165" s="800">
        <v>-17000</v>
      </c>
      <c r="E4165" s="212">
        <v>45474</v>
      </c>
      <c r="F4165" s="208" t="s">
        <v>109</v>
      </c>
      <c r="G4165" s="201" t="s">
        <v>581</v>
      </c>
      <c r="H4165" s="208" t="s">
        <v>175</v>
      </c>
      <c r="I4165" s="208" t="s">
        <v>1347</v>
      </c>
      <c r="J4165" s="209"/>
      <c r="K4165" s="209"/>
      <c r="L4165" s="209"/>
      <c r="M4165" s="209"/>
      <c r="N4165" s="209"/>
      <c r="O4165" s="209"/>
      <c r="P4165" s="209"/>
      <c r="Q4165" s="209"/>
      <c r="R4165" s="209"/>
      <c r="S4165" s="209"/>
      <c r="T4165" s="209"/>
    </row>
    <row r="4166" spans="1:20" ht="15" hidden="1" customHeight="1">
      <c r="A4166" s="468">
        <v>45475</v>
      </c>
      <c r="B4166" s="208" t="s">
        <v>2709</v>
      </c>
      <c r="C4166" s="223" t="s">
        <v>146</v>
      </c>
      <c r="D4166" s="800">
        <v>-30000</v>
      </c>
      <c r="E4166" s="212">
        <v>45474</v>
      </c>
      <c r="F4166" s="208" t="s">
        <v>109</v>
      </c>
      <c r="G4166" s="201" t="s">
        <v>581</v>
      </c>
      <c r="H4166" s="208" t="s">
        <v>147</v>
      </c>
      <c r="I4166" s="208" t="s">
        <v>1347</v>
      </c>
      <c r="J4166" s="209"/>
      <c r="K4166" s="209"/>
      <c r="L4166" s="209"/>
      <c r="M4166" s="209"/>
      <c r="N4166" s="209"/>
      <c r="O4166" s="209"/>
      <c r="P4166" s="209"/>
      <c r="Q4166" s="209"/>
      <c r="R4166" s="209"/>
      <c r="S4166" s="209"/>
      <c r="T4166" s="209"/>
    </row>
    <row r="4167" spans="1:20" ht="15" hidden="1" customHeight="1">
      <c r="A4167" s="468">
        <v>45475</v>
      </c>
      <c r="B4167" s="208" t="s">
        <v>3579</v>
      </c>
      <c r="C4167" s="223" t="s">
        <v>146</v>
      </c>
      <c r="D4167" s="800">
        <v>-31000</v>
      </c>
      <c r="E4167" s="212">
        <v>45474</v>
      </c>
      <c r="F4167" s="208" t="s">
        <v>109</v>
      </c>
      <c r="G4167" s="201" t="s">
        <v>581</v>
      </c>
      <c r="H4167" s="208" t="s">
        <v>175</v>
      </c>
      <c r="I4167" s="208" t="s">
        <v>1347</v>
      </c>
      <c r="J4167" s="209"/>
      <c r="K4167" s="209"/>
      <c r="L4167" s="209"/>
      <c r="M4167" s="209"/>
      <c r="N4167" s="209"/>
      <c r="O4167" s="209"/>
      <c r="P4167" s="209"/>
      <c r="Q4167" s="209"/>
      <c r="R4167" s="209"/>
      <c r="S4167" s="209"/>
      <c r="T4167" s="209"/>
    </row>
    <row r="4168" spans="1:20" ht="15" hidden="1" customHeight="1">
      <c r="A4168" s="468">
        <v>45476</v>
      </c>
      <c r="B4168" s="208" t="s">
        <v>3580</v>
      </c>
      <c r="C4168" s="223" t="s">
        <v>146</v>
      </c>
      <c r="D4168" s="800">
        <v>-25000</v>
      </c>
      <c r="E4168" s="212">
        <v>45474</v>
      </c>
      <c r="F4168" s="208" t="s">
        <v>109</v>
      </c>
      <c r="G4168" s="201" t="s">
        <v>581</v>
      </c>
      <c r="H4168" s="208" t="s">
        <v>175</v>
      </c>
      <c r="I4168" s="208" t="s">
        <v>1347</v>
      </c>
      <c r="J4168" s="209"/>
      <c r="K4168" s="209"/>
      <c r="L4168" s="209"/>
      <c r="M4168" s="209"/>
      <c r="N4168" s="209"/>
      <c r="O4168" s="209"/>
      <c r="P4168" s="209"/>
      <c r="Q4168" s="209"/>
      <c r="R4168" s="209"/>
      <c r="S4168" s="209"/>
      <c r="T4168" s="209"/>
    </row>
    <row r="4169" spans="1:20" ht="15" hidden="1" customHeight="1">
      <c r="A4169" s="468">
        <v>45476</v>
      </c>
      <c r="B4169" s="208" t="s">
        <v>3581</v>
      </c>
      <c r="C4169" s="223" t="s">
        <v>146</v>
      </c>
      <c r="D4169" s="800">
        <v>-6000</v>
      </c>
      <c r="E4169" s="212">
        <v>45474</v>
      </c>
      <c r="F4169" s="208" t="s">
        <v>109</v>
      </c>
      <c r="G4169" s="201" t="s">
        <v>581</v>
      </c>
      <c r="H4169" s="208" t="s">
        <v>175</v>
      </c>
      <c r="I4169" s="208" t="s">
        <v>1347</v>
      </c>
      <c r="J4169" s="209"/>
      <c r="K4169" s="209"/>
      <c r="L4169" s="209"/>
      <c r="M4169" s="209"/>
      <c r="N4169" s="209"/>
      <c r="O4169" s="209"/>
      <c r="P4169" s="209"/>
      <c r="Q4169" s="209"/>
      <c r="R4169" s="209"/>
      <c r="S4169" s="209"/>
      <c r="T4169" s="209"/>
    </row>
    <row r="4170" spans="1:20" ht="15" hidden="1" customHeight="1">
      <c r="A4170" s="468">
        <v>45477</v>
      </c>
      <c r="B4170" s="208" t="s">
        <v>3582</v>
      </c>
      <c r="C4170" s="223" t="s">
        <v>146</v>
      </c>
      <c r="D4170" s="800">
        <v>-26000</v>
      </c>
      <c r="E4170" s="212">
        <v>45474</v>
      </c>
      <c r="F4170" s="208" t="s">
        <v>109</v>
      </c>
      <c r="G4170" s="201" t="s">
        <v>581</v>
      </c>
      <c r="H4170" s="208" t="s">
        <v>175</v>
      </c>
      <c r="I4170" s="208" t="s">
        <v>1347</v>
      </c>
      <c r="J4170" s="209"/>
      <c r="K4170" s="209"/>
      <c r="L4170" s="209"/>
      <c r="M4170" s="209"/>
      <c r="N4170" s="209"/>
      <c r="O4170" s="209"/>
      <c r="P4170" s="209"/>
      <c r="Q4170" s="209"/>
      <c r="R4170" s="209"/>
      <c r="S4170" s="209"/>
      <c r="T4170" s="209"/>
    </row>
    <row r="4171" spans="1:20" ht="15" hidden="1" customHeight="1">
      <c r="A4171" s="468">
        <v>45477</v>
      </c>
      <c r="B4171" s="208" t="s">
        <v>3583</v>
      </c>
      <c r="C4171" s="223" t="s">
        <v>146</v>
      </c>
      <c r="D4171" s="800">
        <v>-4000</v>
      </c>
      <c r="E4171" s="212">
        <v>45474</v>
      </c>
      <c r="F4171" s="208" t="s">
        <v>109</v>
      </c>
      <c r="G4171" s="201" t="s">
        <v>581</v>
      </c>
      <c r="H4171" s="208" t="s">
        <v>175</v>
      </c>
      <c r="I4171" s="208" t="s">
        <v>1347</v>
      </c>
      <c r="J4171" s="209"/>
      <c r="K4171" s="209"/>
      <c r="L4171" s="209"/>
      <c r="M4171" s="209"/>
      <c r="N4171" s="209"/>
      <c r="O4171" s="209"/>
      <c r="P4171" s="209"/>
      <c r="Q4171" s="209"/>
      <c r="R4171" s="209"/>
      <c r="S4171" s="209"/>
      <c r="T4171" s="209"/>
    </row>
    <row r="4172" spans="1:20" ht="15" hidden="1" customHeight="1">
      <c r="A4172" s="468">
        <v>45478</v>
      </c>
      <c r="B4172" s="208" t="s">
        <v>3584</v>
      </c>
      <c r="C4172" s="223" t="s">
        <v>146</v>
      </c>
      <c r="D4172" s="800">
        <v>-23000</v>
      </c>
      <c r="E4172" s="212">
        <v>45474</v>
      </c>
      <c r="F4172" s="208" t="s">
        <v>109</v>
      </c>
      <c r="G4172" s="201" t="s">
        <v>581</v>
      </c>
      <c r="H4172" s="208" t="s">
        <v>175</v>
      </c>
      <c r="I4172" s="208" t="s">
        <v>1347</v>
      </c>
      <c r="J4172" s="209"/>
      <c r="K4172" s="209"/>
      <c r="L4172" s="209"/>
      <c r="M4172" s="209"/>
      <c r="N4172" s="209"/>
      <c r="O4172" s="209"/>
      <c r="P4172" s="209"/>
      <c r="Q4172" s="209"/>
      <c r="R4172" s="209"/>
      <c r="S4172" s="209"/>
      <c r="T4172" s="209"/>
    </row>
    <row r="4173" spans="1:20" ht="15" hidden="1" customHeight="1">
      <c r="A4173" s="468">
        <v>45478</v>
      </c>
      <c r="B4173" s="208" t="s">
        <v>3585</v>
      </c>
      <c r="C4173" s="223" t="s">
        <v>146</v>
      </c>
      <c r="D4173" s="800">
        <v>-11000</v>
      </c>
      <c r="E4173" s="212">
        <v>45474</v>
      </c>
      <c r="F4173" s="208" t="s">
        <v>109</v>
      </c>
      <c r="G4173" s="201" t="s">
        <v>581</v>
      </c>
      <c r="H4173" s="208" t="s">
        <v>175</v>
      </c>
      <c r="I4173" s="208" t="s">
        <v>1347</v>
      </c>
      <c r="J4173" s="209"/>
      <c r="K4173" s="209"/>
      <c r="L4173" s="209"/>
      <c r="M4173" s="209"/>
      <c r="N4173" s="209"/>
      <c r="O4173" s="209"/>
      <c r="P4173" s="209"/>
      <c r="Q4173" s="209"/>
      <c r="R4173" s="209"/>
      <c r="S4173" s="209"/>
      <c r="T4173" s="209"/>
    </row>
    <row r="4174" spans="1:20" ht="15" hidden="1" customHeight="1">
      <c r="A4174" s="468">
        <v>45478</v>
      </c>
      <c r="B4174" s="208" t="s">
        <v>3586</v>
      </c>
      <c r="C4174" s="223" t="s">
        <v>146</v>
      </c>
      <c r="D4174" s="800">
        <v>-80000</v>
      </c>
      <c r="E4174" s="212">
        <v>45474</v>
      </c>
      <c r="F4174" s="208" t="s">
        <v>109</v>
      </c>
      <c r="G4174" s="201" t="s">
        <v>581</v>
      </c>
      <c r="H4174" s="208" t="s">
        <v>3509</v>
      </c>
      <c r="I4174" s="208" t="s">
        <v>1347</v>
      </c>
      <c r="J4174" s="209"/>
      <c r="K4174" s="209"/>
      <c r="L4174" s="209"/>
      <c r="M4174" s="209"/>
      <c r="N4174" s="209"/>
      <c r="O4174" s="209"/>
      <c r="P4174" s="209"/>
      <c r="Q4174" s="209"/>
      <c r="R4174" s="209"/>
      <c r="S4174" s="209"/>
      <c r="T4174" s="209"/>
    </row>
    <row r="4175" spans="1:20" ht="15" hidden="1" customHeight="1">
      <c r="A4175" s="468">
        <v>45485</v>
      </c>
      <c r="B4175" s="208" t="s">
        <v>3587</v>
      </c>
      <c r="C4175" s="208" t="s">
        <v>146</v>
      </c>
      <c r="D4175" s="592">
        <v>-61000</v>
      </c>
      <c r="E4175" s="212">
        <v>45474</v>
      </c>
      <c r="F4175" s="208" t="s">
        <v>130</v>
      </c>
      <c r="G4175" s="208" t="s">
        <v>130</v>
      </c>
      <c r="H4175" s="208" t="s">
        <v>2444</v>
      </c>
      <c r="I4175" s="208"/>
      <c r="J4175" s="209"/>
      <c r="K4175" s="209"/>
      <c r="L4175" s="209"/>
      <c r="M4175" s="209"/>
      <c r="N4175" s="209"/>
      <c r="O4175" s="209"/>
      <c r="P4175" s="209"/>
      <c r="Q4175" s="209"/>
      <c r="R4175" s="209"/>
      <c r="S4175" s="209"/>
      <c r="T4175" s="209"/>
    </row>
    <row r="4176" spans="1:20" ht="15" hidden="1" customHeight="1">
      <c r="A4176" s="468">
        <v>45485</v>
      </c>
      <c r="B4176" s="208" t="s">
        <v>3588</v>
      </c>
      <c r="C4176" s="208" t="s">
        <v>146</v>
      </c>
      <c r="D4176" s="592">
        <v>-56000</v>
      </c>
      <c r="E4176" s="212">
        <v>45474</v>
      </c>
      <c r="F4176" s="208" t="s">
        <v>130</v>
      </c>
      <c r="G4176" s="208" t="s">
        <v>130</v>
      </c>
      <c r="H4176" s="208" t="s">
        <v>2444</v>
      </c>
      <c r="I4176" s="208"/>
      <c r="J4176" s="209"/>
      <c r="K4176" s="209"/>
      <c r="L4176" s="209"/>
      <c r="M4176" s="209"/>
      <c r="N4176" s="209"/>
      <c r="O4176" s="209"/>
      <c r="P4176" s="209"/>
      <c r="Q4176" s="209"/>
      <c r="R4176" s="209"/>
      <c r="S4176" s="209"/>
      <c r="T4176" s="209"/>
    </row>
    <row r="4177" spans="1:20" ht="15" hidden="1" customHeight="1">
      <c r="A4177" s="468">
        <v>45478</v>
      </c>
      <c r="B4177" s="208" t="s">
        <v>3589</v>
      </c>
      <c r="C4177" s="223" t="s">
        <v>146</v>
      </c>
      <c r="D4177" s="592">
        <v>-6200</v>
      </c>
      <c r="E4177" s="212">
        <v>45474</v>
      </c>
      <c r="F4177" s="208" t="s">
        <v>130</v>
      </c>
      <c r="G4177" s="208" t="s">
        <v>130</v>
      </c>
      <c r="H4177" s="208" t="s">
        <v>138</v>
      </c>
      <c r="I4177" s="208" t="s">
        <v>47</v>
      </c>
      <c r="J4177" s="209"/>
      <c r="K4177" s="209"/>
      <c r="L4177" s="209"/>
      <c r="M4177" s="209"/>
      <c r="N4177" s="209"/>
      <c r="O4177" s="209"/>
      <c r="P4177" s="209"/>
      <c r="Q4177" s="209"/>
      <c r="R4177" s="209"/>
      <c r="S4177" s="209"/>
      <c r="T4177" s="209"/>
    </row>
    <row r="4178" spans="1:20" ht="15" hidden="1" customHeight="1">
      <c r="A4178" s="468">
        <v>45478</v>
      </c>
      <c r="B4178" s="208" t="s">
        <v>3590</v>
      </c>
      <c r="C4178" s="223" t="s">
        <v>146</v>
      </c>
      <c r="D4178" s="592">
        <v>-6200</v>
      </c>
      <c r="E4178" s="212">
        <v>45474</v>
      </c>
      <c r="F4178" s="208" t="s">
        <v>109</v>
      </c>
      <c r="G4178" s="201" t="s">
        <v>1306</v>
      </c>
      <c r="H4178" s="208" t="s">
        <v>138</v>
      </c>
      <c r="I4178" s="208" t="s">
        <v>47</v>
      </c>
      <c r="J4178" s="209"/>
      <c r="K4178" s="209"/>
      <c r="L4178" s="209"/>
      <c r="M4178" s="209"/>
      <c r="N4178" s="209"/>
      <c r="O4178" s="209"/>
      <c r="P4178" s="209"/>
      <c r="Q4178" s="209"/>
      <c r="R4178" s="209"/>
      <c r="S4178" s="209"/>
      <c r="T4178" s="209"/>
    </row>
    <row r="4179" spans="1:20" ht="15" hidden="1" customHeight="1">
      <c r="A4179" s="468">
        <v>45478</v>
      </c>
      <c r="B4179" s="208" t="s">
        <v>3591</v>
      </c>
      <c r="C4179" s="223" t="s">
        <v>146</v>
      </c>
      <c r="D4179" s="592">
        <v>-6200</v>
      </c>
      <c r="E4179" s="212">
        <v>45474</v>
      </c>
      <c r="F4179" s="208" t="s">
        <v>110</v>
      </c>
      <c r="G4179" s="208" t="s">
        <v>774</v>
      </c>
      <c r="H4179" s="208" t="s">
        <v>138</v>
      </c>
      <c r="I4179" s="208" t="s">
        <v>47</v>
      </c>
      <c r="J4179" s="209"/>
      <c r="K4179" s="209"/>
      <c r="L4179" s="209"/>
      <c r="M4179" s="209"/>
      <c r="N4179" s="209"/>
      <c r="O4179" s="209"/>
      <c r="P4179" s="209"/>
      <c r="Q4179" s="209"/>
      <c r="R4179" s="209"/>
      <c r="S4179" s="209"/>
      <c r="T4179" s="209"/>
    </row>
    <row r="4180" spans="1:20" ht="15" hidden="1" customHeight="1">
      <c r="A4180" s="468">
        <v>45482</v>
      </c>
      <c r="B4180" s="208" t="s">
        <v>3592</v>
      </c>
      <c r="C4180" s="223" t="s">
        <v>146</v>
      </c>
      <c r="D4180" s="592">
        <v>-14000</v>
      </c>
      <c r="E4180" s="212">
        <v>45474</v>
      </c>
      <c r="F4180" s="208" t="s">
        <v>130</v>
      </c>
      <c r="G4180" s="208" t="s">
        <v>130</v>
      </c>
      <c r="H4180" s="208" t="s">
        <v>138</v>
      </c>
      <c r="I4180" s="208" t="s">
        <v>47</v>
      </c>
      <c r="J4180" s="209"/>
      <c r="K4180" s="209"/>
      <c r="L4180" s="209"/>
      <c r="M4180" s="209"/>
      <c r="N4180" s="209"/>
      <c r="O4180" s="209"/>
      <c r="P4180" s="209"/>
      <c r="Q4180" s="209"/>
      <c r="R4180" s="209"/>
      <c r="S4180" s="209"/>
      <c r="T4180" s="209"/>
    </row>
    <row r="4181" spans="1:20" ht="15" hidden="1" customHeight="1">
      <c r="A4181" s="468">
        <v>45482</v>
      </c>
      <c r="B4181" s="208" t="s">
        <v>3593</v>
      </c>
      <c r="C4181" s="223" t="s">
        <v>146</v>
      </c>
      <c r="D4181" s="592">
        <v>-7000</v>
      </c>
      <c r="E4181" s="212">
        <v>45474</v>
      </c>
      <c r="F4181" s="208" t="s">
        <v>109</v>
      </c>
      <c r="G4181" s="201" t="s">
        <v>1306</v>
      </c>
      <c r="H4181" s="208" t="s">
        <v>138</v>
      </c>
      <c r="I4181" s="208" t="s">
        <v>47</v>
      </c>
      <c r="J4181" s="209"/>
      <c r="K4181" s="209"/>
      <c r="L4181" s="209"/>
      <c r="M4181" s="209"/>
      <c r="N4181" s="209"/>
      <c r="O4181" s="209"/>
      <c r="P4181" s="209"/>
      <c r="Q4181" s="209"/>
      <c r="R4181" s="209"/>
      <c r="S4181" s="209"/>
      <c r="T4181" s="209"/>
    </row>
    <row r="4182" spans="1:20" ht="15" hidden="1" customHeight="1">
      <c r="A4182" s="468">
        <v>45482</v>
      </c>
      <c r="B4182" s="208" t="s">
        <v>3594</v>
      </c>
      <c r="C4182" s="223" t="s">
        <v>146</v>
      </c>
      <c r="D4182" s="592">
        <v>-6200</v>
      </c>
      <c r="E4182" s="212">
        <v>45474</v>
      </c>
      <c r="F4182" s="208" t="s">
        <v>130</v>
      </c>
      <c r="G4182" s="208" t="s">
        <v>130</v>
      </c>
      <c r="H4182" s="208" t="s">
        <v>138</v>
      </c>
      <c r="I4182" s="208" t="s">
        <v>47</v>
      </c>
      <c r="J4182" s="209"/>
      <c r="K4182" s="209"/>
      <c r="L4182" s="209"/>
      <c r="M4182" s="209"/>
      <c r="N4182" s="209"/>
      <c r="O4182" s="209"/>
      <c r="P4182" s="209"/>
      <c r="Q4182" s="209"/>
      <c r="R4182" s="209"/>
      <c r="S4182" s="209"/>
      <c r="T4182" s="209"/>
    </row>
    <row r="4183" spans="1:20" ht="15" hidden="1" customHeight="1">
      <c r="A4183" s="468">
        <v>45482</v>
      </c>
      <c r="B4183" s="208" t="s">
        <v>3595</v>
      </c>
      <c r="C4183" s="223" t="s">
        <v>146</v>
      </c>
      <c r="D4183" s="592">
        <v>-6000</v>
      </c>
      <c r="E4183" s="212">
        <v>45474</v>
      </c>
      <c r="F4183" s="208" t="s">
        <v>130</v>
      </c>
      <c r="G4183" s="208" t="s">
        <v>130</v>
      </c>
      <c r="H4183" s="208" t="s">
        <v>138</v>
      </c>
      <c r="I4183" s="208" t="s">
        <v>47</v>
      </c>
      <c r="J4183" s="209"/>
      <c r="K4183" s="209"/>
      <c r="L4183" s="209"/>
      <c r="M4183" s="209"/>
      <c r="N4183" s="209"/>
      <c r="O4183" s="209"/>
      <c r="P4183" s="209"/>
      <c r="Q4183" s="209"/>
      <c r="R4183" s="209"/>
      <c r="S4183" s="209"/>
      <c r="T4183" s="209"/>
    </row>
    <row r="4184" spans="1:20" ht="15" hidden="1" customHeight="1">
      <c r="A4184" s="468">
        <v>45482</v>
      </c>
      <c r="B4184" s="208" t="s">
        <v>3596</v>
      </c>
      <c r="C4184" s="223" t="s">
        <v>146</v>
      </c>
      <c r="D4184" s="592">
        <v>-6000</v>
      </c>
      <c r="E4184" s="212">
        <v>45474</v>
      </c>
      <c r="F4184" s="208" t="s">
        <v>130</v>
      </c>
      <c r="G4184" s="208" t="s">
        <v>130</v>
      </c>
      <c r="H4184" s="208" t="s">
        <v>138</v>
      </c>
      <c r="I4184" s="208" t="s">
        <v>47</v>
      </c>
      <c r="J4184" s="209"/>
      <c r="K4184" s="209"/>
      <c r="L4184" s="209"/>
      <c r="M4184" s="209"/>
      <c r="N4184" s="209"/>
      <c r="O4184" s="209"/>
      <c r="P4184" s="209"/>
      <c r="Q4184" s="209"/>
      <c r="R4184" s="209"/>
      <c r="S4184" s="209"/>
      <c r="T4184" s="209"/>
    </row>
    <row r="4185" spans="1:20" ht="15" hidden="1" customHeight="1">
      <c r="A4185" s="468">
        <v>45482</v>
      </c>
      <c r="B4185" s="208" t="s">
        <v>3597</v>
      </c>
      <c r="C4185" s="223" t="s">
        <v>146</v>
      </c>
      <c r="D4185" s="592">
        <v>-8000</v>
      </c>
      <c r="E4185" s="212">
        <v>45474</v>
      </c>
      <c r="F4185" s="208" t="s">
        <v>130</v>
      </c>
      <c r="G4185" s="208" t="s">
        <v>130</v>
      </c>
      <c r="H4185" s="208" t="s">
        <v>138</v>
      </c>
      <c r="I4185" s="208" t="s">
        <v>47</v>
      </c>
      <c r="J4185" s="209"/>
      <c r="K4185" s="209"/>
      <c r="L4185" s="209"/>
      <c r="M4185" s="209"/>
      <c r="N4185" s="209"/>
      <c r="O4185" s="209"/>
      <c r="P4185" s="209"/>
      <c r="Q4185" s="209"/>
      <c r="R4185" s="209"/>
      <c r="S4185" s="209"/>
      <c r="T4185" s="209"/>
    </row>
    <row r="4186" spans="1:20" ht="15" hidden="1" customHeight="1">
      <c r="A4186" s="468">
        <v>45483</v>
      </c>
      <c r="B4186" s="208" t="s">
        <v>3598</v>
      </c>
      <c r="C4186" s="223" t="s">
        <v>146</v>
      </c>
      <c r="D4186" s="592">
        <v>-7000</v>
      </c>
      <c r="E4186" s="212">
        <v>45474</v>
      </c>
      <c r="F4186" s="208" t="s">
        <v>130</v>
      </c>
      <c r="G4186" s="208" t="s">
        <v>130</v>
      </c>
      <c r="H4186" s="208" t="s">
        <v>138</v>
      </c>
      <c r="I4186" s="208" t="s">
        <v>47</v>
      </c>
      <c r="J4186" s="209"/>
      <c r="K4186" s="209"/>
      <c r="L4186" s="209"/>
      <c r="M4186" s="209"/>
      <c r="N4186" s="209"/>
      <c r="O4186" s="209"/>
      <c r="P4186" s="209"/>
      <c r="Q4186" s="209"/>
      <c r="R4186" s="209"/>
      <c r="S4186" s="209"/>
      <c r="T4186" s="209"/>
    </row>
    <row r="4187" spans="1:20" ht="15" hidden="1" customHeight="1">
      <c r="A4187" s="468">
        <v>45483</v>
      </c>
      <c r="B4187" s="208" t="s">
        <v>3599</v>
      </c>
      <c r="C4187" s="223" t="s">
        <v>146</v>
      </c>
      <c r="D4187" s="592">
        <v>-6200</v>
      </c>
      <c r="E4187" s="212">
        <v>45474</v>
      </c>
      <c r="F4187" s="208" t="s">
        <v>130</v>
      </c>
      <c r="G4187" s="208" t="s">
        <v>257</v>
      </c>
      <c r="H4187" s="208" t="s">
        <v>138</v>
      </c>
      <c r="I4187" s="208" t="s">
        <v>47</v>
      </c>
      <c r="J4187" s="209"/>
      <c r="K4187" s="209"/>
      <c r="L4187" s="209"/>
      <c r="M4187" s="209"/>
      <c r="N4187" s="209"/>
      <c r="O4187" s="209"/>
      <c r="P4187" s="209"/>
      <c r="Q4187" s="209"/>
      <c r="R4187" s="209"/>
      <c r="S4187" s="209"/>
      <c r="T4187" s="209"/>
    </row>
    <row r="4188" spans="1:20" ht="15" hidden="1" customHeight="1">
      <c r="A4188" s="468">
        <v>45483</v>
      </c>
      <c r="B4188" s="208" t="s">
        <v>3600</v>
      </c>
      <c r="C4188" s="223" t="s">
        <v>146</v>
      </c>
      <c r="D4188" s="592">
        <v>-6800</v>
      </c>
      <c r="E4188" s="212">
        <v>45474</v>
      </c>
      <c r="F4188" s="208" t="s">
        <v>130</v>
      </c>
      <c r="G4188" s="208" t="s">
        <v>130</v>
      </c>
      <c r="H4188" s="208" t="s">
        <v>2444</v>
      </c>
      <c r="I4188" s="208" t="s">
        <v>47</v>
      </c>
      <c r="J4188" s="209"/>
      <c r="K4188" s="209"/>
      <c r="L4188" s="209"/>
      <c r="M4188" s="209"/>
      <c r="N4188" s="209"/>
      <c r="O4188" s="209"/>
      <c r="P4188" s="209"/>
      <c r="Q4188" s="209"/>
      <c r="R4188" s="209"/>
      <c r="S4188" s="209"/>
      <c r="T4188" s="209"/>
    </row>
    <row r="4189" spans="1:20" ht="15" hidden="1" customHeight="1">
      <c r="A4189" s="468">
        <v>45483</v>
      </c>
      <c r="B4189" s="208" t="s">
        <v>3601</v>
      </c>
      <c r="C4189" s="223" t="s">
        <v>146</v>
      </c>
      <c r="D4189" s="592">
        <v>-6200</v>
      </c>
      <c r="E4189" s="212">
        <v>45474</v>
      </c>
      <c r="F4189" s="208" t="s">
        <v>109</v>
      </c>
      <c r="G4189" s="201" t="s">
        <v>1306</v>
      </c>
      <c r="H4189" s="208" t="s">
        <v>138</v>
      </c>
      <c r="I4189" s="208" t="s">
        <v>47</v>
      </c>
      <c r="J4189" s="209"/>
      <c r="K4189" s="209"/>
      <c r="L4189" s="209"/>
      <c r="M4189" s="209"/>
      <c r="N4189" s="209"/>
      <c r="O4189" s="209"/>
      <c r="P4189" s="209"/>
      <c r="Q4189" s="209"/>
      <c r="R4189" s="209"/>
      <c r="S4189" s="209"/>
      <c r="T4189" s="209"/>
    </row>
    <row r="4190" spans="1:20" ht="15" hidden="1" customHeight="1">
      <c r="A4190" s="468">
        <v>45483</v>
      </c>
      <c r="B4190" s="208" t="s">
        <v>3594</v>
      </c>
      <c r="C4190" s="223" t="s">
        <v>146</v>
      </c>
      <c r="D4190" s="592">
        <v>-6200</v>
      </c>
      <c r="E4190" s="212">
        <v>45474</v>
      </c>
      <c r="F4190" s="208" t="s">
        <v>130</v>
      </c>
      <c r="G4190" s="208" t="s">
        <v>130</v>
      </c>
      <c r="H4190" s="208" t="s">
        <v>138</v>
      </c>
      <c r="I4190" s="208" t="s">
        <v>47</v>
      </c>
      <c r="J4190" s="209"/>
      <c r="K4190" s="209"/>
      <c r="L4190" s="209"/>
      <c r="M4190" s="209"/>
      <c r="N4190" s="209"/>
      <c r="O4190" s="209"/>
      <c r="P4190" s="209"/>
      <c r="Q4190" s="209"/>
      <c r="R4190" s="209"/>
      <c r="S4190" s="209"/>
      <c r="T4190" s="209"/>
    </row>
    <row r="4191" spans="1:20" ht="15" hidden="1" customHeight="1">
      <c r="A4191" s="468">
        <v>45484</v>
      </c>
      <c r="B4191" s="208" t="s">
        <v>3601</v>
      </c>
      <c r="C4191" s="223" t="s">
        <v>146</v>
      </c>
      <c r="D4191" s="592">
        <v>-6500</v>
      </c>
      <c r="E4191" s="212">
        <v>45474</v>
      </c>
      <c r="F4191" s="208" t="s">
        <v>109</v>
      </c>
      <c r="G4191" s="201" t="s">
        <v>1306</v>
      </c>
      <c r="H4191" s="208" t="s">
        <v>138</v>
      </c>
      <c r="I4191" s="208" t="s">
        <v>47</v>
      </c>
      <c r="J4191" s="209"/>
      <c r="K4191" s="209"/>
      <c r="L4191" s="209"/>
      <c r="M4191" s="209"/>
      <c r="N4191" s="209"/>
      <c r="O4191" s="209"/>
      <c r="P4191" s="209"/>
      <c r="Q4191" s="209"/>
      <c r="R4191" s="209"/>
      <c r="S4191" s="209"/>
      <c r="T4191" s="209"/>
    </row>
    <row r="4192" spans="1:20" ht="15" hidden="1" customHeight="1">
      <c r="A4192" s="468">
        <v>45484</v>
      </c>
      <c r="B4192" s="208" t="s">
        <v>3594</v>
      </c>
      <c r="C4192" s="223" t="s">
        <v>146</v>
      </c>
      <c r="D4192" s="592">
        <v>-6200</v>
      </c>
      <c r="E4192" s="212">
        <v>45474</v>
      </c>
      <c r="F4192" s="208" t="s">
        <v>130</v>
      </c>
      <c r="G4192" s="208" t="s">
        <v>130</v>
      </c>
      <c r="H4192" s="208" t="s">
        <v>138</v>
      </c>
      <c r="I4192" s="208" t="s">
        <v>47</v>
      </c>
      <c r="J4192" s="209"/>
      <c r="K4192" s="209"/>
      <c r="L4192" s="209"/>
      <c r="M4192" s="209"/>
      <c r="N4192" s="209"/>
      <c r="O4192" s="209"/>
      <c r="P4192" s="209"/>
      <c r="Q4192" s="209"/>
      <c r="R4192" s="209"/>
      <c r="S4192" s="209"/>
      <c r="T4192" s="209"/>
    </row>
    <row r="4193" spans="1:20" ht="15" hidden="1" customHeight="1">
      <c r="A4193" s="468">
        <v>45487</v>
      </c>
      <c r="B4193" s="208" t="s">
        <v>3602</v>
      </c>
      <c r="C4193" s="223" t="s">
        <v>146</v>
      </c>
      <c r="D4193" s="592">
        <v>-368000</v>
      </c>
      <c r="E4193" s="212">
        <v>45474</v>
      </c>
      <c r="F4193" s="208" t="s">
        <v>110</v>
      </c>
      <c r="G4193" s="658" t="s">
        <v>3245</v>
      </c>
      <c r="H4193" s="208" t="s">
        <v>416</v>
      </c>
      <c r="I4193" s="208"/>
      <c r="J4193" s="209"/>
      <c r="K4193" s="209"/>
      <c r="L4193" s="209"/>
      <c r="M4193" s="209"/>
      <c r="N4193" s="209"/>
      <c r="O4193" s="209"/>
      <c r="P4193" s="209"/>
      <c r="Q4193" s="209"/>
      <c r="R4193" s="209"/>
      <c r="S4193" s="209"/>
      <c r="T4193" s="209"/>
    </row>
    <row r="4194" spans="1:20" ht="15" hidden="1" customHeight="1">
      <c r="A4194" s="468">
        <v>45482</v>
      </c>
      <c r="B4194" s="208" t="s">
        <v>2663</v>
      </c>
      <c r="C4194" s="223" t="s">
        <v>146</v>
      </c>
      <c r="D4194" s="592">
        <v>-175000</v>
      </c>
      <c r="E4194" s="212">
        <v>45474</v>
      </c>
      <c r="F4194" s="635" t="s">
        <v>130</v>
      </c>
      <c r="G4194" s="635" t="s">
        <v>130</v>
      </c>
      <c r="H4194" s="208" t="s">
        <v>138</v>
      </c>
      <c r="I4194" s="208" t="s">
        <v>138</v>
      </c>
      <c r="J4194" s="209"/>
      <c r="K4194" s="209"/>
      <c r="L4194" s="209"/>
      <c r="M4194" s="209"/>
      <c r="N4194" s="209"/>
      <c r="O4194" s="209"/>
      <c r="P4194" s="209"/>
      <c r="Q4194" s="209"/>
      <c r="R4194" s="209"/>
      <c r="S4194" s="209"/>
      <c r="T4194" s="209"/>
    </row>
    <row r="4195" spans="1:20" ht="15" hidden="1" customHeight="1">
      <c r="A4195" s="468">
        <v>45476</v>
      </c>
      <c r="B4195" s="208" t="s">
        <v>3603</v>
      </c>
      <c r="C4195" s="590" t="s">
        <v>146</v>
      </c>
      <c r="D4195" s="800">
        <v>-15000</v>
      </c>
      <c r="E4195" s="212">
        <v>45474</v>
      </c>
      <c r="F4195" s="208" t="s">
        <v>109</v>
      </c>
      <c r="G4195" s="201" t="s">
        <v>581</v>
      </c>
      <c r="H4195" s="208" t="s">
        <v>3310</v>
      </c>
      <c r="I4195" s="208" t="s">
        <v>173</v>
      </c>
      <c r="J4195" s="209"/>
      <c r="K4195" s="209"/>
      <c r="L4195" s="209"/>
      <c r="M4195" s="209"/>
      <c r="N4195" s="209"/>
      <c r="O4195" s="209"/>
      <c r="P4195" s="209"/>
      <c r="Q4195" s="209"/>
      <c r="R4195" s="209"/>
      <c r="S4195" s="209"/>
      <c r="T4195" s="209"/>
    </row>
    <row r="4196" spans="1:20" ht="15" hidden="1" customHeight="1">
      <c r="A4196" s="468">
        <v>45477</v>
      </c>
      <c r="B4196" s="208" t="s">
        <v>3604</v>
      </c>
      <c r="C4196" s="666" t="s">
        <v>146</v>
      </c>
      <c r="D4196" s="800">
        <v>-10000</v>
      </c>
      <c r="E4196" s="212">
        <v>45474</v>
      </c>
      <c r="F4196" s="208" t="s">
        <v>109</v>
      </c>
      <c r="G4196" s="201" t="s">
        <v>581</v>
      </c>
      <c r="H4196" s="208" t="s">
        <v>3310</v>
      </c>
      <c r="I4196" s="208" t="s">
        <v>173</v>
      </c>
      <c r="J4196" s="209"/>
      <c r="K4196" s="209"/>
      <c r="L4196" s="209"/>
      <c r="M4196" s="209"/>
      <c r="N4196" s="209"/>
      <c r="O4196" s="209"/>
      <c r="P4196" s="209"/>
      <c r="Q4196" s="209"/>
      <c r="R4196" s="209"/>
      <c r="S4196" s="209"/>
      <c r="T4196" s="209"/>
    </row>
    <row r="4197" spans="1:20" ht="15" hidden="1" customHeight="1">
      <c r="A4197" s="468">
        <v>45476</v>
      </c>
      <c r="B4197" s="208" t="s">
        <v>3605</v>
      </c>
      <c r="C4197" s="666" t="s">
        <v>146</v>
      </c>
      <c r="D4197" s="592">
        <v>-20000</v>
      </c>
      <c r="E4197" s="212">
        <v>45474</v>
      </c>
      <c r="F4197" s="208" t="s">
        <v>110</v>
      </c>
      <c r="G4197" s="208" t="s">
        <v>774</v>
      </c>
      <c r="H4197" s="208" t="s">
        <v>138</v>
      </c>
      <c r="I4197" s="208" t="s">
        <v>173</v>
      </c>
      <c r="J4197" s="209"/>
      <c r="K4197" s="209"/>
      <c r="L4197" s="209"/>
      <c r="M4197" s="209"/>
      <c r="N4197" s="209"/>
      <c r="O4197" s="209"/>
      <c r="P4197" s="209"/>
      <c r="Q4197" s="209"/>
      <c r="R4197" s="209"/>
      <c r="S4197" s="209"/>
      <c r="T4197" s="209"/>
    </row>
    <row r="4198" spans="1:20" ht="15" hidden="1" customHeight="1">
      <c r="A4198" s="468">
        <v>45476</v>
      </c>
      <c r="B4198" s="208" t="s">
        <v>3606</v>
      </c>
      <c r="C4198" s="666" t="s">
        <v>146</v>
      </c>
      <c r="D4198" s="592">
        <v>-15000</v>
      </c>
      <c r="E4198" s="212">
        <v>45474</v>
      </c>
      <c r="F4198" s="208" t="s">
        <v>110</v>
      </c>
      <c r="G4198" s="208" t="s">
        <v>774</v>
      </c>
      <c r="H4198" s="208" t="s">
        <v>138</v>
      </c>
      <c r="I4198" s="208" t="s">
        <v>173</v>
      </c>
      <c r="J4198" s="209"/>
      <c r="K4198" s="209"/>
      <c r="L4198" s="209"/>
      <c r="M4198" s="209"/>
      <c r="N4198" s="209"/>
      <c r="O4198" s="209"/>
      <c r="P4198" s="209"/>
      <c r="Q4198" s="209"/>
      <c r="R4198" s="209"/>
      <c r="S4198" s="209"/>
      <c r="T4198" s="209"/>
    </row>
    <row r="4199" spans="1:20" ht="15" hidden="1" customHeight="1">
      <c r="A4199" s="468">
        <v>45476</v>
      </c>
      <c r="B4199" s="208" t="s">
        <v>3607</v>
      </c>
      <c r="C4199" s="666" t="s">
        <v>146</v>
      </c>
      <c r="D4199" s="592">
        <v>-6000</v>
      </c>
      <c r="E4199" s="212">
        <v>45474</v>
      </c>
      <c r="F4199" s="208" t="s">
        <v>110</v>
      </c>
      <c r="G4199" s="208" t="s">
        <v>774</v>
      </c>
      <c r="H4199" s="208" t="s">
        <v>138</v>
      </c>
      <c r="I4199" s="208" t="s">
        <v>173</v>
      </c>
      <c r="J4199" s="209"/>
      <c r="K4199" s="209"/>
      <c r="L4199" s="209"/>
      <c r="M4199" s="209"/>
      <c r="N4199" s="209"/>
      <c r="O4199" s="209"/>
      <c r="P4199" s="209"/>
      <c r="Q4199" s="209"/>
      <c r="R4199" s="209"/>
      <c r="S4199" s="209"/>
      <c r="T4199" s="209"/>
    </row>
    <row r="4200" spans="1:20" ht="15" hidden="1" customHeight="1">
      <c r="A4200" s="468">
        <v>45476</v>
      </c>
      <c r="B4200" s="208" t="s">
        <v>3608</v>
      </c>
      <c r="C4200" s="666" t="s">
        <v>146</v>
      </c>
      <c r="D4200" s="592">
        <v>-6000</v>
      </c>
      <c r="E4200" s="212">
        <v>45474</v>
      </c>
      <c r="F4200" s="208" t="s">
        <v>110</v>
      </c>
      <c r="G4200" s="208" t="s">
        <v>774</v>
      </c>
      <c r="H4200" s="208" t="s">
        <v>138</v>
      </c>
      <c r="I4200" s="208" t="s">
        <v>173</v>
      </c>
      <c r="J4200" s="209"/>
      <c r="K4200" s="209"/>
      <c r="L4200" s="209"/>
      <c r="M4200" s="209"/>
      <c r="N4200" s="209"/>
      <c r="O4200" s="209"/>
      <c r="P4200" s="209"/>
      <c r="Q4200" s="209"/>
      <c r="R4200" s="209"/>
      <c r="S4200" s="209"/>
      <c r="T4200" s="209"/>
    </row>
    <row r="4201" spans="1:20" ht="15" hidden="1" customHeight="1">
      <c r="A4201" s="468">
        <v>45477</v>
      </c>
      <c r="B4201" s="208" t="s">
        <v>3609</v>
      </c>
      <c r="C4201" s="666" t="s">
        <v>146</v>
      </c>
      <c r="D4201" s="592">
        <v>-40610</v>
      </c>
      <c r="E4201" s="212">
        <v>45474</v>
      </c>
      <c r="F4201" s="208" t="s">
        <v>110</v>
      </c>
      <c r="G4201" s="208" t="s">
        <v>774</v>
      </c>
      <c r="H4201" s="208" t="s">
        <v>175</v>
      </c>
      <c r="I4201" s="208" t="s">
        <v>173</v>
      </c>
      <c r="J4201" s="209"/>
      <c r="K4201" s="209"/>
      <c r="L4201" s="209"/>
      <c r="M4201" s="209"/>
      <c r="N4201" s="209"/>
      <c r="O4201" s="209"/>
      <c r="P4201" s="209"/>
      <c r="Q4201" s="209"/>
      <c r="R4201" s="209"/>
      <c r="S4201" s="209"/>
      <c r="T4201" s="209"/>
    </row>
    <row r="4202" spans="1:20" ht="15" hidden="1" customHeight="1">
      <c r="A4202" s="468">
        <v>45478</v>
      </c>
      <c r="B4202" s="208" t="s">
        <v>3610</v>
      </c>
      <c r="C4202" s="666" t="s">
        <v>146</v>
      </c>
      <c r="D4202" s="592">
        <v>-12272</v>
      </c>
      <c r="E4202" s="212">
        <v>45474</v>
      </c>
      <c r="F4202" s="208" t="s">
        <v>110</v>
      </c>
      <c r="G4202" s="208" t="s">
        <v>774</v>
      </c>
      <c r="H4202" s="208" t="s">
        <v>175</v>
      </c>
      <c r="I4202" s="208" t="s">
        <v>173</v>
      </c>
      <c r="J4202" s="209"/>
      <c r="K4202" s="209"/>
      <c r="L4202" s="209"/>
      <c r="M4202" s="209"/>
      <c r="N4202" s="209"/>
      <c r="O4202" s="209"/>
      <c r="P4202" s="209"/>
      <c r="Q4202" s="209"/>
      <c r="R4202" s="209"/>
      <c r="S4202" s="209"/>
      <c r="T4202" s="209"/>
    </row>
    <row r="4203" spans="1:20" ht="15" hidden="1" customHeight="1">
      <c r="A4203" s="468">
        <v>45481</v>
      </c>
      <c r="B4203" s="208" t="s">
        <v>3611</v>
      </c>
      <c r="C4203" s="666" t="s">
        <v>146</v>
      </c>
      <c r="D4203" s="592">
        <v>-96000</v>
      </c>
      <c r="E4203" s="212">
        <v>45474</v>
      </c>
      <c r="F4203" s="208" t="s">
        <v>110</v>
      </c>
      <c r="G4203" s="590" t="s">
        <v>2444</v>
      </c>
      <c r="H4203" s="208"/>
      <c r="I4203" s="208" t="s">
        <v>173</v>
      </c>
      <c r="J4203" s="209"/>
      <c r="K4203" s="209"/>
      <c r="L4203" s="209"/>
      <c r="M4203" s="209"/>
      <c r="N4203" s="209"/>
      <c r="O4203" s="209"/>
      <c r="P4203" s="209"/>
      <c r="Q4203" s="209"/>
      <c r="R4203" s="209"/>
      <c r="S4203" s="209"/>
      <c r="T4203" s="209"/>
    </row>
    <row r="4204" spans="1:20" ht="15" hidden="1" customHeight="1">
      <c r="A4204" s="468">
        <v>45481</v>
      </c>
      <c r="B4204" s="208" t="s">
        <v>3612</v>
      </c>
      <c r="C4204" s="590" t="s">
        <v>146</v>
      </c>
      <c r="D4204" s="592">
        <v>-188174</v>
      </c>
      <c r="E4204" s="212">
        <v>45474</v>
      </c>
      <c r="F4204" s="208" t="s">
        <v>109</v>
      </c>
      <c r="G4204" s="201" t="s">
        <v>1306</v>
      </c>
      <c r="H4204" s="208" t="s">
        <v>175</v>
      </c>
      <c r="I4204" s="208" t="s">
        <v>173</v>
      </c>
      <c r="J4204" s="209"/>
      <c r="K4204" s="209"/>
      <c r="L4204" s="209"/>
      <c r="M4204" s="209"/>
      <c r="N4204" s="209"/>
      <c r="O4204" s="209"/>
      <c r="P4204" s="209"/>
      <c r="Q4204" s="209"/>
      <c r="R4204" s="209"/>
      <c r="S4204" s="209"/>
      <c r="T4204" s="209"/>
    </row>
    <row r="4205" spans="1:20" ht="15" hidden="1" customHeight="1">
      <c r="A4205" s="468">
        <v>45481</v>
      </c>
      <c r="B4205" s="208" t="s">
        <v>3613</v>
      </c>
      <c r="C4205" s="590" t="s">
        <v>146</v>
      </c>
      <c r="D4205" s="592">
        <v>-40799</v>
      </c>
      <c r="E4205" s="212">
        <v>45474</v>
      </c>
      <c r="F4205" s="208" t="s">
        <v>109</v>
      </c>
      <c r="G4205" s="201" t="s">
        <v>1306</v>
      </c>
      <c r="H4205" s="208" t="s">
        <v>175</v>
      </c>
      <c r="I4205" s="208" t="s">
        <v>173</v>
      </c>
      <c r="J4205" s="209"/>
      <c r="K4205" s="209"/>
      <c r="L4205" s="209"/>
      <c r="M4205" s="209"/>
      <c r="N4205" s="209"/>
      <c r="O4205" s="209"/>
      <c r="P4205" s="209"/>
      <c r="Q4205" s="209"/>
      <c r="R4205" s="209"/>
      <c r="S4205" s="209"/>
      <c r="T4205" s="209"/>
    </row>
    <row r="4206" spans="1:20" ht="15" hidden="1" customHeight="1">
      <c r="A4206" s="468">
        <v>45482</v>
      </c>
      <c r="B4206" s="208" t="s">
        <v>3614</v>
      </c>
      <c r="C4206" s="590" t="s">
        <v>146</v>
      </c>
      <c r="D4206" s="592">
        <v>-14399</v>
      </c>
      <c r="E4206" s="212">
        <v>45474</v>
      </c>
      <c r="F4206" s="208" t="s">
        <v>109</v>
      </c>
      <c r="G4206" s="201" t="s">
        <v>1306</v>
      </c>
      <c r="H4206" s="208" t="s">
        <v>175</v>
      </c>
      <c r="I4206" s="208" t="s">
        <v>173</v>
      </c>
      <c r="J4206" s="209"/>
      <c r="K4206" s="209"/>
      <c r="L4206" s="209"/>
      <c r="M4206" s="209"/>
      <c r="N4206" s="209"/>
      <c r="O4206" s="209"/>
      <c r="P4206" s="209"/>
      <c r="Q4206" s="209"/>
      <c r="R4206" s="209"/>
      <c r="S4206" s="209"/>
      <c r="T4206" s="209"/>
    </row>
    <row r="4207" spans="1:20" ht="15" hidden="1" customHeight="1">
      <c r="A4207" s="468">
        <v>45482</v>
      </c>
      <c r="B4207" s="208" t="s">
        <v>3615</v>
      </c>
      <c r="C4207" s="590" t="s">
        <v>146</v>
      </c>
      <c r="D4207" s="592">
        <v>-28000</v>
      </c>
      <c r="E4207" s="212">
        <v>45474</v>
      </c>
      <c r="F4207" s="208" t="s">
        <v>110</v>
      </c>
      <c r="G4207" s="208" t="s">
        <v>774</v>
      </c>
      <c r="H4207" s="208" t="s">
        <v>147</v>
      </c>
      <c r="I4207" s="208" t="s">
        <v>173</v>
      </c>
      <c r="J4207" s="209"/>
      <c r="K4207" s="209"/>
      <c r="L4207" s="209"/>
      <c r="M4207" s="209"/>
      <c r="N4207" s="209"/>
      <c r="O4207" s="209"/>
      <c r="P4207" s="209"/>
      <c r="Q4207" s="209"/>
      <c r="R4207" s="209"/>
      <c r="S4207" s="209"/>
      <c r="T4207" s="209"/>
    </row>
    <row r="4208" spans="1:20" ht="15" hidden="1" customHeight="1">
      <c r="A4208" s="468">
        <v>45483</v>
      </c>
      <c r="B4208" s="208" t="s">
        <v>3616</v>
      </c>
      <c r="C4208" s="590" t="s">
        <v>146</v>
      </c>
      <c r="D4208" s="592">
        <v>-60616</v>
      </c>
      <c r="E4208" s="212">
        <v>45474</v>
      </c>
      <c r="F4208" s="208" t="s">
        <v>110</v>
      </c>
      <c r="G4208" s="208" t="s">
        <v>774</v>
      </c>
      <c r="H4208" s="208" t="s">
        <v>175</v>
      </c>
      <c r="I4208" s="208" t="s">
        <v>173</v>
      </c>
      <c r="J4208" s="209"/>
      <c r="K4208" s="209"/>
      <c r="L4208" s="209"/>
      <c r="M4208" s="209"/>
      <c r="N4208" s="209"/>
      <c r="O4208" s="209"/>
      <c r="P4208" s="209"/>
      <c r="Q4208" s="209"/>
      <c r="R4208" s="209"/>
      <c r="S4208" s="209"/>
      <c r="T4208" s="209"/>
    </row>
    <row r="4209" spans="1:20" ht="15" hidden="1" customHeight="1">
      <c r="A4209" s="468">
        <v>45483</v>
      </c>
      <c r="B4209" s="208" t="s">
        <v>3617</v>
      </c>
      <c r="C4209" s="590" t="s">
        <v>146</v>
      </c>
      <c r="D4209" s="592">
        <v>-124018</v>
      </c>
      <c r="E4209" s="212">
        <v>45474</v>
      </c>
      <c r="F4209" s="208" t="s">
        <v>110</v>
      </c>
      <c r="G4209" s="658" t="s">
        <v>3245</v>
      </c>
      <c r="H4209" s="208" t="s">
        <v>175</v>
      </c>
      <c r="I4209" s="208" t="s">
        <v>173</v>
      </c>
      <c r="J4209" s="209"/>
      <c r="K4209" s="209"/>
      <c r="L4209" s="209"/>
      <c r="M4209" s="209"/>
      <c r="N4209" s="209"/>
      <c r="O4209" s="209"/>
      <c r="P4209" s="209"/>
      <c r="Q4209" s="209"/>
      <c r="R4209" s="209"/>
      <c r="S4209" s="209"/>
      <c r="T4209" s="209"/>
    </row>
    <row r="4210" spans="1:20" ht="15" hidden="1" customHeight="1">
      <c r="A4210" s="468">
        <v>45483</v>
      </c>
      <c r="B4210" s="208" t="s">
        <v>3618</v>
      </c>
      <c r="C4210" s="590" t="s">
        <v>146</v>
      </c>
      <c r="D4210" s="592">
        <v>-100000</v>
      </c>
      <c r="E4210" s="212">
        <v>45474</v>
      </c>
      <c r="F4210" s="635" t="s">
        <v>130</v>
      </c>
      <c r="G4210" s="635" t="s">
        <v>130</v>
      </c>
      <c r="H4210" s="208" t="s">
        <v>138</v>
      </c>
      <c r="I4210" s="208" t="s">
        <v>1347</v>
      </c>
      <c r="J4210" s="209"/>
      <c r="K4210" s="209"/>
      <c r="L4210" s="209"/>
      <c r="M4210" s="209"/>
      <c r="N4210" s="209"/>
      <c r="O4210" s="209"/>
      <c r="P4210" s="209"/>
      <c r="Q4210" s="209"/>
      <c r="R4210" s="209"/>
      <c r="S4210" s="209"/>
      <c r="T4210" s="209"/>
    </row>
    <row r="4211" spans="1:20" ht="15" hidden="1" customHeight="1">
      <c r="A4211" s="468">
        <v>45492</v>
      </c>
      <c r="B4211" s="208" t="s">
        <v>3619</v>
      </c>
      <c r="C4211" s="590" t="s">
        <v>27</v>
      </c>
      <c r="D4211" s="592">
        <v>-14031360</v>
      </c>
      <c r="E4211" s="212">
        <v>45474</v>
      </c>
      <c r="F4211" s="201" t="s">
        <v>110</v>
      </c>
      <c r="G4211" s="208" t="s">
        <v>774</v>
      </c>
      <c r="H4211" s="208" t="s">
        <v>123</v>
      </c>
      <c r="I4211" s="208"/>
      <c r="J4211" s="209"/>
      <c r="K4211" s="209"/>
      <c r="L4211" s="209"/>
      <c r="M4211" s="209"/>
      <c r="N4211" s="209"/>
      <c r="O4211" s="209"/>
      <c r="P4211" s="209"/>
      <c r="Q4211" s="209"/>
      <c r="R4211" s="209"/>
      <c r="S4211" s="209"/>
      <c r="T4211" s="209"/>
    </row>
    <row r="4212" spans="1:20" s="454" customFormat="1" ht="15" hidden="1" customHeight="1">
      <c r="A4212" s="468">
        <v>45482</v>
      </c>
      <c r="B4212" s="208" t="s">
        <v>3620</v>
      </c>
      <c r="C4212" s="208" t="s">
        <v>3331</v>
      </c>
      <c r="D4212" s="592">
        <v>-385765</v>
      </c>
      <c r="E4212" s="212">
        <v>45474</v>
      </c>
      <c r="F4212" s="201" t="s">
        <v>110</v>
      </c>
      <c r="G4212" s="208" t="s">
        <v>774</v>
      </c>
      <c r="H4212" s="208" t="s">
        <v>175</v>
      </c>
      <c r="I4212" s="208"/>
      <c r="J4212" s="209"/>
      <c r="K4212" s="209"/>
      <c r="L4212" s="209"/>
      <c r="M4212" s="209"/>
      <c r="N4212" s="209"/>
      <c r="O4212" s="209"/>
      <c r="P4212" s="209"/>
      <c r="Q4212" s="209"/>
      <c r="R4212" s="209"/>
      <c r="S4212" s="209"/>
      <c r="T4212" s="209"/>
    </row>
    <row r="4213" spans="1:20" ht="15" hidden="1" customHeight="1">
      <c r="A4213" s="468">
        <v>45482</v>
      </c>
      <c r="B4213" s="208" t="s">
        <v>3621</v>
      </c>
      <c r="C4213" s="208" t="s">
        <v>3331</v>
      </c>
      <c r="D4213" s="592">
        <v>-3100000</v>
      </c>
      <c r="E4213" s="212">
        <v>45474</v>
      </c>
      <c r="F4213" s="201" t="s">
        <v>110</v>
      </c>
      <c r="G4213" s="590" t="s">
        <v>2444</v>
      </c>
      <c r="H4213" s="208"/>
      <c r="I4213" s="208" t="s">
        <v>3622</v>
      </c>
      <c r="J4213" s="209"/>
      <c r="K4213" s="209"/>
      <c r="L4213" s="209"/>
      <c r="M4213" s="209"/>
      <c r="N4213" s="209"/>
      <c r="O4213" s="209"/>
      <c r="P4213" s="209"/>
      <c r="Q4213" s="209"/>
      <c r="R4213" s="209"/>
      <c r="S4213" s="209"/>
      <c r="T4213" s="209"/>
    </row>
    <row r="4214" spans="1:20" ht="15" hidden="1" customHeight="1">
      <c r="A4214" s="468">
        <v>45482</v>
      </c>
      <c r="B4214" s="208" t="s">
        <v>1668</v>
      </c>
      <c r="C4214" s="208" t="s">
        <v>3331</v>
      </c>
      <c r="D4214" s="592">
        <v>-65000</v>
      </c>
      <c r="E4214" s="212">
        <v>45474</v>
      </c>
      <c r="F4214" s="208" t="s">
        <v>130</v>
      </c>
      <c r="G4214" s="208" t="s">
        <v>130</v>
      </c>
      <c r="H4214" s="208" t="s">
        <v>1156</v>
      </c>
      <c r="I4214" s="208" t="s">
        <v>1156</v>
      </c>
      <c r="J4214" s="209"/>
      <c r="K4214" s="209"/>
      <c r="L4214" s="209"/>
      <c r="M4214" s="209"/>
      <c r="N4214" s="209"/>
      <c r="O4214" s="209"/>
      <c r="P4214" s="209"/>
      <c r="Q4214" s="209"/>
      <c r="R4214" s="209"/>
      <c r="S4214" s="209"/>
      <c r="T4214" s="209"/>
    </row>
    <row r="4215" spans="1:20" ht="15" hidden="1" customHeight="1">
      <c r="A4215" s="468">
        <v>45482</v>
      </c>
      <c r="B4215" s="208" t="s">
        <v>2615</v>
      </c>
      <c r="C4215" s="208" t="s">
        <v>3331</v>
      </c>
      <c r="D4215" s="800">
        <v>-620000</v>
      </c>
      <c r="E4215" s="212">
        <v>45474</v>
      </c>
      <c r="F4215" s="208" t="s">
        <v>109</v>
      </c>
      <c r="G4215" s="201" t="s">
        <v>581</v>
      </c>
      <c r="H4215" s="208"/>
      <c r="I4215" s="208"/>
      <c r="J4215" s="209"/>
      <c r="K4215" s="209"/>
      <c r="L4215" s="209"/>
      <c r="M4215" s="209"/>
      <c r="N4215" s="209"/>
      <c r="O4215" s="209"/>
      <c r="P4215" s="209"/>
      <c r="Q4215" s="209"/>
      <c r="R4215" s="209"/>
      <c r="S4215" s="209"/>
      <c r="T4215" s="209"/>
    </row>
    <row r="4216" spans="1:20" ht="15" hidden="1" customHeight="1">
      <c r="A4216" s="468">
        <v>45482</v>
      </c>
      <c r="B4216" s="208" t="s">
        <v>3623</v>
      </c>
      <c r="C4216" s="208" t="s">
        <v>3331</v>
      </c>
      <c r="D4216" s="592">
        <v>-5040327</v>
      </c>
      <c r="E4216" s="212">
        <v>45474</v>
      </c>
      <c r="F4216" s="654" t="s">
        <v>130</v>
      </c>
      <c r="G4216" s="654" t="s">
        <v>130</v>
      </c>
      <c r="H4216" s="208" t="s">
        <v>2444</v>
      </c>
      <c r="I4216" s="208"/>
      <c r="J4216" s="209"/>
      <c r="K4216" s="209"/>
      <c r="L4216" s="209"/>
      <c r="M4216" s="209"/>
      <c r="N4216" s="209"/>
      <c r="O4216" s="209"/>
      <c r="P4216" s="209"/>
      <c r="Q4216" s="209"/>
      <c r="R4216" s="209"/>
      <c r="S4216" s="209"/>
      <c r="T4216" s="209"/>
    </row>
    <row r="4217" spans="1:20" ht="15" hidden="1" customHeight="1">
      <c r="A4217" s="468">
        <v>45482</v>
      </c>
      <c r="B4217" s="208" t="s">
        <v>3624</v>
      </c>
      <c r="C4217" s="208" t="s">
        <v>3331</v>
      </c>
      <c r="D4217" s="592">
        <v>-606998</v>
      </c>
      <c r="E4217" s="212">
        <v>45474</v>
      </c>
      <c r="F4217" s="201" t="s">
        <v>110</v>
      </c>
      <c r="G4217" s="208" t="s">
        <v>2844</v>
      </c>
      <c r="H4217" s="208" t="s">
        <v>1463</v>
      </c>
      <c r="I4217" s="208"/>
      <c r="J4217" s="209"/>
      <c r="K4217" s="209"/>
      <c r="L4217" s="209"/>
      <c r="M4217" s="209"/>
      <c r="N4217" s="209"/>
      <c r="O4217" s="209"/>
      <c r="P4217" s="209"/>
      <c r="Q4217" s="209"/>
      <c r="R4217" s="209"/>
      <c r="S4217" s="209"/>
      <c r="T4217" s="209"/>
    </row>
    <row r="4218" spans="1:20" ht="15" hidden="1" customHeight="1">
      <c r="A4218" s="468">
        <v>45482</v>
      </c>
      <c r="B4218" s="208" t="s">
        <v>3625</v>
      </c>
      <c r="C4218" s="208" t="s">
        <v>3331</v>
      </c>
      <c r="D4218" s="592">
        <v>-6319770</v>
      </c>
      <c r="E4218" s="212">
        <v>45474</v>
      </c>
      <c r="F4218" s="201" t="s">
        <v>110</v>
      </c>
      <c r="G4218" s="223" t="s">
        <v>2938</v>
      </c>
      <c r="H4218" s="208" t="s">
        <v>212</v>
      </c>
      <c r="I4218" s="475" t="s">
        <v>3626</v>
      </c>
      <c r="J4218" s="209"/>
      <c r="K4218" s="209"/>
      <c r="L4218" s="209"/>
      <c r="M4218" s="209"/>
      <c r="N4218" s="209"/>
      <c r="O4218" s="209"/>
      <c r="P4218" s="209"/>
      <c r="Q4218" s="209"/>
      <c r="R4218" s="209"/>
      <c r="S4218" s="209"/>
      <c r="T4218" s="209"/>
    </row>
    <row r="4219" spans="1:20" ht="15" hidden="1" customHeight="1">
      <c r="A4219" s="468">
        <v>45482</v>
      </c>
      <c r="B4219" s="208" t="s">
        <v>3627</v>
      </c>
      <c r="C4219" s="208" t="s">
        <v>3331</v>
      </c>
      <c r="D4219" s="800">
        <v>-1700000</v>
      </c>
      <c r="E4219" s="212">
        <v>45474</v>
      </c>
      <c r="F4219" s="208" t="s">
        <v>109</v>
      </c>
      <c r="G4219" s="201" t="s">
        <v>581</v>
      </c>
      <c r="H4219" s="208"/>
      <c r="I4219" s="208"/>
      <c r="J4219" s="209"/>
      <c r="K4219" s="209"/>
      <c r="L4219" s="209"/>
      <c r="M4219" s="209"/>
      <c r="N4219" s="209"/>
      <c r="O4219" s="209"/>
      <c r="P4219" s="209"/>
      <c r="Q4219" s="209"/>
      <c r="R4219" s="209"/>
      <c r="S4219" s="209"/>
      <c r="T4219" s="209"/>
    </row>
    <row r="4220" spans="1:20" ht="15" hidden="1" customHeight="1">
      <c r="A4220" s="468">
        <v>45482</v>
      </c>
      <c r="B4220" s="208" t="s">
        <v>3628</v>
      </c>
      <c r="C4220" s="208" t="s">
        <v>3331</v>
      </c>
      <c r="D4220" s="592">
        <v>-4085150</v>
      </c>
      <c r="E4220" s="212">
        <v>45474</v>
      </c>
      <c r="F4220" s="201" t="s">
        <v>110</v>
      </c>
      <c r="G4220" s="658" t="s">
        <v>3245</v>
      </c>
      <c r="H4220" s="208" t="s">
        <v>147</v>
      </c>
      <c r="I4220" s="208"/>
      <c r="J4220" s="209"/>
      <c r="K4220" s="209"/>
      <c r="L4220" s="209"/>
      <c r="M4220" s="209"/>
      <c r="N4220" s="209"/>
      <c r="O4220" s="209"/>
      <c r="P4220" s="209"/>
      <c r="Q4220" s="209"/>
      <c r="R4220" s="209"/>
      <c r="S4220" s="209"/>
      <c r="T4220" s="209"/>
    </row>
    <row r="4221" spans="1:20" ht="15" hidden="1" customHeight="1">
      <c r="A4221" s="468">
        <v>45482</v>
      </c>
      <c r="B4221" s="208" t="s">
        <v>3629</v>
      </c>
      <c r="C4221" s="208" t="s">
        <v>3331</v>
      </c>
      <c r="D4221" s="800">
        <v>-209200</v>
      </c>
      <c r="E4221" s="212">
        <v>45474</v>
      </c>
      <c r="F4221" s="208" t="s">
        <v>109</v>
      </c>
      <c r="G4221" s="201" t="s">
        <v>581</v>
      </c>
      <c r="H4221" s="208"/>
      <c r="I4221" s="208"/>
      <c r="J4221" s="209"/>
      <c r="K4221" s="209"/>
      <c r="L4221" s="209"/>
      <c r="M4221" s="209"/>
      <c r="N4221" s="209"/>
      <c r="O4221" s="209"/>
      <c r="P4221" s="209"/>
      <c r="Q4221" s="209"/>
      <c r="R4221" s="209"/>
      <c r="S4221" s="209"/>
      <c r="T4221" s="209"/>
    </row>
    <row r="4222" spans="1:20" ht="15" hidden="1" customHeight="1">
      <c r="A4222" s="468">
        <v>45482</v>
      </c>
      <c r="B4222" s="208" t="s">
        <v>3630</v>
      </c>
      <c r="C4222" s="208" t="s">
        <v>3331</v>
      </c>
      <c r="D4222" s="592">
        <v>-382210</v>
      </c>
      <c r="E4222" s="212">
        <v>45474</v>
      </c>
      <c r="F4222" s="208" t="s">
        <v>130</v>
      </c>
      <c r="G4222" s="208" t="s">
        <v>257</v>
      </c>
      <c r="H4222" s="208" t="s">
        <v>2272</v>
      </c>
      <c r="I4222" s="208"/>
      <c r="J4222" s="209"/>
      <c r="K4222" s="209"/>
      <c r="L4222" s="209"/>
      <c r="M4222" s="209"/>
      <c r="N4222" s="209"/>
      <c r="O4222" s="209"/>
      <c r="P4222" s="209"/>
      <c r="Q4222" s="209"/>
      <c r="R4222" s="209"/>
      <c r="S4222" s="209"/>
      <c r="T4222" s="209"/>
    </row>
    <row r="4223" spans="1:20" ht="15" hidden="1" customHeight="1">
      <c r="A4223" s="468">
        <v>45482</v>
      </c>
      <c r="B4223" s="208" t="s">
        <v>3631</v>
      </c>
      <c r="C4223" s="208" t="s">
        <v>3331</v>
      </c>
      <c r="D4223" s="592">
        <v>-295000</v>
      </c>
      <c r="E4223" s="212">
        <v>45474</v>
      </c>
      <c r="F4223" s="201" t="s">
        <v>110</v>
      </c>
      <c r="G4223" s="208" t="s">
        <v>774</v>
      </c>
      <c r="H4223" s="208" t="s">
        <v>175</v>
      </c>
      <c r="I4223" s="208"/>
      <c r="J4223" s="209"/>
      <c r="K4223" s="209"/>
      <c r="L4223" s="209"/>
      <c r="M4223" s="209"/>
      <c r="N4223" s="209"/>
      <c r="O4223" s="209"/>
      <c r="P4223" s="209"/>
      <c r="Q4223" s="209"/>
      <c r="R4223" s="209"/>
      <c r="S4223" s="209"/>
      <c r="T4223" s="209"/>
    </row>
    <row r="4224" spans="1:20" ht="15" hidden="1" customHeight="1">
      <c r="A4224" s="468">
        <v>45482</v>
      </c>
      <c r="B4224" s="208" t="s">
        <v>3346</v>
      </c>
      <c r="C4224" s="208" t="s">
        <v>3331</v>
      </c>
      <c r="D4224" s="592">
        <v>-629888</v>
      </c>
      <c r="E4224" s="212">
        <v>45474</v>
      </c>
      <c r="F4224" s="201" t="s">
        <v>110</v>
      </c>
      <c r="G4224" s="658" t="s">
        <v>3245</v>
      </c>
      <c r="H4224" s="208" t="s">
        <v>549</v>
      </c>
      <c r="I4224" s="208"/>
      <c r="J4224" s="209"/>
      <c r="K4224" s="209"/>
      <c r="L4224" s="209"/>
      <c r="M4224" s="209"/>
      <c r="N4224" s="209"/>
      <c r="O4224" s="209"/>
      <c r="P4224" s="209"/>
      <c r="Q4224" s="209"/>
      <c r="R4224" s="209"/>
      <c r="S4224" s="209"/>
      <c r="T4224" s="209"/>
    </row>
    <row r="4225" spans="1:20" ht="15" hidden="1" customHeight="1">
      <c r="A4225" s="468">
        <v>45482</v>
      </c>
      <c r="B4225" s="208" t="s">
        <v>3632</v>
      </c>
      <c r="C4225" s="208" t="s">
        <v>3331</v>
      </c>
      <c r="D4225" s="592">
        <v>-1096000</v>
      </c>
      <c r="E4225" s="212">
        <v>45474</v>
      </c>
      <c r="F4225" s="201" t="s">
        <v>110</v>
      </c>
      <c r="G4225" s="658" t="s">
        <v>3245</v>
      </c>
      <c r="H4225" s="208" t="s">
        <v>175</v>
      </c>
      <c r="I4225" s="208"/>
      <c r="J4225" s="209"/>
      <c r="K4225" s="209"/>
      <c r="L4225" s="209"/>
      <c r="M4225" s="209"/>
      <c r="N4225" s="209"/>
      <c r="O4225" s="209"/>
      <c r="P4225" s="209"/>
      <c r="Q4225" s="209"/>
      <c r="R4225" s="209"/>
      <c r="S4225" s="209"/>
      <c r="T4225" s="209"/>
    </row>
    <row r="4226" spans="1:20" ht="15" hidden="1" customHeight="1">
      <c r="A4226" s="468">
        <v>45482</v>
      </c>
      <c r="B4226" s="208" t="s">
        <v>3633</v>
      </c>
      <c r="C4226" s="208" t="s">
        <v>3331</v>
      </c>
      <c r="D4226" s="800">
        <v>-1743309</v>
      </c>
      <c r="E4226" s="212">
        <v>45474</v>
      </c>
      <c r="F4226" s="208" t="s">
        <v>109</v>
      </c>
      <c r="G4226" s="201" t="s">
        <v>581</v>
      </c>
      <c r="H4226" s="208"/>
      <c r="I4226" s="208"/>
      <c r="J4226" s="209"/>
      <c r="K4226" s="209"/>
      <c r="L4226" s="209"/>
      <c r="M4226" s="209"/>
      <c r="N4226" s="209"/>
      <c r="O4226" s="209"/>
      <c r="P4226" s="209"/>
      <c r="Q4226" s="209"/>
      <c r="R4226" s="209"/>
      <c r="S4226" s="209"/>
      <c r="T4226" s="209"/>
    </row>
    <row r="4227" spans="1:20" ht="15" hidden="1" customHeight="1">
      <c r="A4227" s="468">
        <v>45482</v>
      </c>
      <c r="B4227" s="208" t="s">
        <v>3634</v>
      </c>
      <c r="C4227" s="208" t="s">
        <v>3331</v>
      </c>
      <c r="D4227" s="592">
        <v>-279110</v>
      </c>
      <c r="E4227" s="212">
        <v>45474</v>
      </c>
      <c r="F4227" s="208" t="s">
        <v>130</v>
      </c>
      <c r="G4227" s="208" t="s">
        <v>257</v>
      </c>
      <c r="H4227" s="208" t="s">
        <v>138</v>
      </c>
      <c r="I4227" s="208"/>
      <c r="J4227" s="209"/>
      <c r="K4227" s="209"/>
      <c r="L4227" s="209"/>
      <c r="M4227" s="209"/>
      <c r="N4227" s="209"/>
      <c r="O4227" s="209"/>
      <c r="P4227" s="209"/>
      <c r="Q4227" s="209"/>
      <c r="R4227" s="209"/>
      <c r="S4227" s="209"/>
      <c r="T4227" s="209"/>
    </row>
    <row r="4228" spans="1:20" ht="15" hidden="1" customHeight="1">
      <c r="A4228" s="468">
        <v>45482</v>
      </c>
      <c r="B4228" s="208" t="s">
        <v>3635</v>
      </c>
      <c r="C4228" s="208" t="s">
        <v>3331</v>
      </c>
      <c r="D4228" s="592">
        <v>-2585950</v>
      </c>
      <c r="E4228" s="212">
        <v>45474</v>
      </c>
      <c r="F4228" s="208" t="s">
        <v>130</v>
      </c>
      <c r="G4228" s="208" t="s">
        <v>257</v>
      </c>
      <c r="H4228" s="208" t="s">
        <v>663</v>
      </c>
      <c r="I4228" s="208"/>
      <c r="J4228" s="209"/>
      <c r="K4228" s="209"/>
      <c r="L4228" s="209"/>
      <c r="M4228" s="209"/>
      <c r="N4228" s="209"/>
      <c r="O4228" s="209"/>
      <c r="P4228" s="209"/>
      <c r="Q4228" s="209"/>
      <c r="R4228" s="209"/>
      <c r="S4228" s="209"/>
      <c r="T4228" s="209"/>
    </row>
    <row r="4229" spans="1:20" ht="15" hidden="1" customHeight="1">
      <c r="A4229" s="468">
        <v>45482</v>
      </c>
      <c r="B4229" s="208" t="s">
        <v>3636</v>
      </c>
      <c r="C4229" s="208" t="s">
        <v>3331</v>
      </c>
      <c r="D4229" s="592">
        <v>-4262041</v>
      </c>
      <c r="E4229" s="212">
        <v>45474</v>
      </c>
      <c r="F4229" s="201" t="s">
        <v>207</v>
      </c>
      <c r="G4229" s="208" t="s">
        <v>494</v>
      </c>
      <c r="H4229" s="208" t="s">
        <v>3637</v>
      </c>
      <c r="I4229" s="208"/>
      <c r="J4229" s="209"/>
      <c r="K4229" s="209"/>
      <c r="L4229" s="209"/>
      <c r="M4229" s="209"/>
      <c r="N4229" s="209"/>
      <c r="O4229" s="209"/>
      <c r="P4229" s="209"/>
      <c r="Q4229" s="209"/>
      <c r="R4229" s="209"/>
      <c r="S4229" s="209"/>
      <c r="T4229" s="209"/>
    </row>
    <row r="4230" spans="1:20" ht="15" hidden="1" customHeight="1">
      <c r="A4230" s="468">
        <v>45482</v>
      </c>
      <c r="B4230" s="208" t="s">
        <v>3638</v>
      </c>
      <c r="C4230" s="208" t="s">
        <v>3331</v>
      </c>
      <c r="D4230" s="592">
        <v>-8047059</v>
      </c>
      <c r="E4230" s="212">
        <v>45474</v>
      </c>
      <c r="F4230" s="208" t="s">
        <v>109</v>
      </c>
      <c r="G4230" s="654" t="s">
        <v>2585</v>
      </c>
      <c r="H4230" s="208" t="s">
        <v>549</v>
      </c>
      <c r="I4230" s="208"/>
      <c r="J4230" s="209"/>
      <c r="K4230" s="209"/>
      <c r="L4230" s="209"/>
      <c r="M4230" s="209"/>
      <c r="N4230" s="209"/>
      <c r="O4230" s="209"/>
      <c r="P4230" s="209"/>
      <c r="Q4230" s="209"/>
      <c r="R4230" s="209"/>
      <c r="S4230" s="209"/>
      <c r="T4230" s="209"/>
    </row>
    <row r="4231" spans="1:20" ht="15" hidden="1" customHeight="1">
      <c r="A4231" s="468">
        <v>45482</v>
      </c>
      <c r="B4231" s="208" t="s">
        <v>3639</v>
      </c>
      <c r="C4231" s="208" t="s">
        <v>3331</v>
      </c>
      <c r="D4231" s="592">
        <v>-630671</v>
      </c>
      <c r="E4231" s="212">
        <v>45474</v>
      </c>
      <c r="F4231" s="208" t="s">
        <v>109</v>
      </c>
      <c r="G4231" s="201" t="s">
        <v>1306</v>
      </c>
      <c r="H4231" s="208" t="s">
        <v>585</v>
      </c>
      <c r="I4231" s="208"/>
      <c r="J4231" s="209"/>
      <c r="K4231" s="209"/>
      <c r="L4231" s="209"/>
      <c r="M4231" s="209"/>
      <c r="N4231" s="209"/>
      <c r="O4231" s="209"/>
      <c r="P4231" s="209"/>
      <c r="Q4231" s="209"/>
      <c r="R4231" s="209"/>
      <c r="S4231" s="209"/>
      <c r="T4231" s="209"/>
    </row>
    <row r="4232" spans="1:20" ht="15" hidden="1" customHeight="1">
      <c r="A4232" s="468">
        <v>45482</v>
      </c>
      <c r="B4232" s="208" t="s">
        <v>2969</v>
      </c>
      <c r="C4232" s="208" t="s">
        <v>3331</v>
      </c>
      <c r="D4232" s="592">
        <v>-264000</v>
      </c>
      <c r="E4232" s="212">
        <v>45474</v>
      </c>
      <c r="F4232" s="201" t="s">
        <v>110</v>
      </c>
      <c r="G4232" s="658" t="s">
        <v>3245</v>
      </c>
      <c r="H4232" s="208" t="s">
        <v>175</v>
      </c>
      <c r="I4232" s="208"/>
      <c r="J4232" s="209"/>
      <c r="K4232" s="209"/>
      <c r="L4232" s="209"/>
      <c r="M4232" s="209"/>
      <c r="N4232" s="209"/>
      <c r="O4232" s="209"/>
      <c r="P4232" s="209"/>
      <c r="Q4232" s="209"/>
      <c r="R4232" s="209"/>
      <c r="S4232" s="209"/>
      <c r="T4232" s="209"/>
    </row>
    <row r="4233" spans="1:20" ht="15" hidden="1" customHeight="1">
      <c r="A4233" s="468">
        <v>45482</v>
      </c>
      <c r="B4233" s="208" t="s">
        <v>3061</v>
      </c>
      <c r="C4233" s="208" t="s">
        <v>3331</v>
      </c>
      <c r="D4233" s="592">
        <v>-2440718</v>
      </c>
      <c r="E4233" s="212">
        <v>45474</v>
      </c>
      <c r="F4233" s="201" t="s">
        <v>110</v>
      </c>
      <c r="G4233" s="658" t="s">
        <v>3245</v>
      </c>
      <c r="H4233" s="208" t="s">
        <v>147</v>
      </c>
      <c r="I4233" s="208"/>
      <c r="J4233" s="209"/>
      <c r="K4233" s="209"/>
      <c r="L4233" s="209"/>
      <c r="M4233" s="209"/>
      <c r="N4233" s="209"/>
      <c r="O4233" s="209"/>
      <c r="P4233" s="209"/>
      <c r="Q4233" s="209"/>
      <c r="R4233" s="209"/>
      <c r="S4233" s="209"/>
      <c r="T4233" s="209"/>
    </row>
    <row r="4234" spans="1:20" ht="15" hidden="1" customHeight="1">
      <c r="A4234" s="468">
        <v>45482</v>
      </c>
      <c r="B4234" s="208" t="s">
        <v>3640</v>
      </c>
      <c r="C4234" s="208" t="s">
        <v>3331</v>
      </c>
      <c r="D4234" s="592">
        <v>-96001</v>
      </c>
      <c r="E4234" s="212">
        <v>45474</v>
      </c>
      <c r="F4234" s="208" t="s">
        <v>130</v>
      </c>
      <c r="G4234" s="208" t="s">
        <v>130</v>
      </c>
      <c r="H4234" s="208" t="s">
        <v>1032</v>
      </c>
      <c r="I4234" s="208"/>
      <c r="J4234" s="209"/>
      <c r="K4234" s="209"/>
      <c r="L4234" s="209"/>
      <c r="M4234" s="209"/>
      <c r="N4234" s="209"/>
      <c r="O4234" s="209"/>
      <c r="P4234" s="209"/>
      <c r="Q4234" s="209"/>
      <c r="R4234" s="209"/>
      <c r="S4234" s="209"/>
      <c r="T4234" s="209"/>
    </row>
    <row r="4235" spans="1:20" ht="15" hidden="1" customHeight="1">
      <c r="A4235" s="468">
        <v>45484</v>
      </c>
      <c r="B4235" s="208" t="s">
        <v>3641</v>
      </c>
      <c r="C4235" s="208" t="s">
        <v>3331</v>
      </c>
      <c r="D4235" s="800">
        <v>-650000</v>
      </c>
      <c r="E4235" s="212">
        <v>45474</v>
      </c>
      <c r="F4235" s="208" t="s">
        <v>109</v>
      </c>
      <c r="G4235" s="201" t="s">
        <v>581</v>
      </c>
      <c r="H4235" s="208"/>
      <c r="I4235" s="208"/>
      <c r="J4235" s="209"/>
      <c r="K4235" s="209"/>
      <c r="L4235" s="209"/>
      <c r="M4235" s="209"/>
      <c r="N4235" s="209"/>
      <c r="O4235" s="209"/>
      <c r="P4235" s="209"/>
      <c r="Q4235" s="209"/>
      <c r="R4235" s="209"/>
      <c r="S4235" s="209"/>
      <c r="T4235" s="209"/>
    </row>
    <row r="4236" spans="1:20" ht="15" hidden="1" customHeight="1">
      <c r="A4236" s="468">
        <v>45484</v>
      </c>
      <c r="B4236" s="208" t="s">
        <v>3642</v>
      </c>
      <c r="C4236" s="208" t="s">
        <v>3331</v>
      </c>
      <c r="D4236" s="800">
        <v>-1350000</v>
      </c>
      <c r="E4236" s="212">
        <v>45474</v>
      </c>
      <c r="F4236" s="208" t="s">
        <v>109</v>
      </c>
      <c r="G4236" s="201" t="s">
        <v>581</v>
      </c>
      <c r="H4236" s="208"/>
      <c r="I4236" s="208"/>
      <c r="J4236" s="209"/>
      <c r="K4236" s="209"/>
      <c r="L4236" s="209"/>
      <c r="M4236" s="209"/>
      <c r="N4236" s="209"/>
      <c r="O4236" s="209"/>
      <c r="P4236" s="209"/>
      <c r="Q4236" s="209"/>
      <c r="R4236" s="209"/>
      <c r="S4236" s="209"/>
      <c r="T4236" s="209"/>
    </row>
    <row r="4237" spans="1:20" ht="15" hidden="1" customHeight="1">
      <c r="A4237" s="468">
        <v>45484</v>
      </c>
      <c r="B4237" s="208" t="s">
        <v>3643</v>
      </c>
      <c r="C4237" s="208" t="s">
        <v>3331</v>
      </c>
      <c r="D4237" s="592">
        <v>-750000</v>
      </c>
      <c r="E4237" s="212">
        <v>45474</v>
      </c>
      <c r="F4237" s="208" t="s">
        <v>109</v>
      </c>
      <c r="G4237" s="208" t="s">
        <v>3644</v>
      </c>
      <c r="H4237" s="208" t="s">
        <v>3645</v>
      </c>
      <c r="I4237" s="208"/>
      <c r="J4237" s="209"/>
      <c r="K4237" s="209"/>
      <c r="L4237" s="209"/>
      <c r="M4237" s="209"/>
      <c r="N4237" s="209"/>
      <c r="O4237" s="209"/>
      <c r="P4237" s="209"/>
      <c r="Q4237" s="209"/>
      <c r="R4237" s="209"/>
      <c r="S4237" s="209"/>
      <c r="T4237" s="209"/>
    </row>
    <row r="4238" spans="1:20" ht="15" hidden="1" customHeight="1">
      <c r="A4238" s="468">
        <v>45484</v>
      </c>
      <c r="B4238" s="208" t="s">
        <v>3623</v>
      </c>
      <c r="C4238" s="208" t="s">
        <v>3331</v>
      </c>
      <c r="D4238" s="592">
        <v>-2188867</v>
      </c>
      <c r="E4238" s="212">
        <v>45474</v>
      </c>
      <c r="F4238" s="654" t="s">
        <v>207</v>
      </c>
      <c r="G4238" s="654" t="s">
        <v>207</v>
      </c>
      <c r="H4238" s="208" t="s">
        <v>318</v>
      </c>
      <c r="I4238" s="208"/>
      <c r="J4238" s="209"/>
      <c r="K4238" s="209"/>
      <c r="L4238" s="209"/>
      <c r="M4238" s="209"/>
      <c r="N4238" s="209"/>
      <c r="O4238" s="209"/>
      <c r="P4238" s="209"/>
      <c r="Q4238" s="209"/>
      <c r="R4238" s="209"/>
      <c r="S4238" s="209"/>
      <c r="T4238" s="209"/>
    </row>
    <row r="4239" spans="1:20" ht="15" hidden="1" customHeight="1">
      <c r="A4239" s="468">
        <v>45484</v>
      </c>
      <c r="B4239" s="208" t="s">
        <v>2961</v>
      </c>
      <c r="C4239" s="208" t="s">
        <v>3331</v>
      </c>
      <c r="D4239" s="592">
        <v>-136630</v>
      </c>
      <c r="E4239" s="212">
        <v>45474</v>
      </c>
      <c r="F4239" s="208" t="s">
        <v>130</v>
      </c>
      <c r="G4239" s="208" t="s">
        <v>130</v>
      </c>
      <c r="H4239" s="208" t="s">
        <v>249</v>
      </c>
      <c r="I4239" s="208"/>
      <c r="J4239" s="209"/>
      <c r="K4239" s="209"/>
      <c r="L4239" s="209"/>
      <c r="M4239" s="209"/>
      <c r="N4239" s="209"/>
      <c r="O4239" s="209"/>
      <c r="P4239" s="209"/>
      <c r="Q4239" s="209"/>
      <c r="R4239" s="209"/>
      <c r="S4239" s="209"/>
      <c r="T4239" s="209"/>
    </row>
    <row r="4240" spans="1:20" ht="15" hidden="1" customHeight="1">
      <c r="A4240" s="468">
        <v>45484</v>
      </c>
      <c r="B4240" s="208" t="s">
        <v>3646</v>
      </c>
      <c r="C4240" s="208" t="s">
        <v>3331</v>
      </c>
      <c r="D4240" s="592">
        <v>-108670</v>
      </c>
      <c r="E4240" s="212">
        <v>45474</v>
      </c>
      <c r="F4240" s="208" t="s">
        <v>130</v>
      </c>
      <c r="G4240" s="208" t="s">
        <v>257</v>
      </c>
      <c r="H4240" s="208" t="s">
        <v>1032</v>
      </c>
      <c r="I4240" s="208"/>
      <c r="J4240" s="209"/>
      <c r="K4240" s="209"/>
      <c r="L4240" s="209"/>
      <c r="M4240" s="209"/>
      <c r="N4240" s="209"/>
      <c r="O4240" s="209"/>
      <c r="P4240" s="209"/>
      <c r="Q4240" s="209"/>
      <c r="R4240" s="209"/>
      <c r="S4240" s="209"/>
      <c r="T4240" s="209"/>
    </row>
    <row r="4241" spans="1:20" ht="15" hidden="1" customHeight="1">
      <c r="A4241" s="468">
        <v>45484</v>
      </c>
      <c r="B4241" s="208" t="s">
        <v>1958</v>
      </c>
      <c r="C4241" s="208" t="s">
        <v>3331</v>
      </c>
      <c r="D4241" s="592">
        <v>-435650</v>
      </c>
      <c r="E4241" s="212">
        <v>45474</v>
      </c>
      <c r="F4241" s="201" t="s">
        <v>110</v>
      </c>
      <c r="G4241" s="208" t="s">
        <v>774</v>
      </c>
      <c r="H4241" s="208" t="s">
        <v>212</v>
      </c>
      <c r="I4241" s="208"/>
      <c r="J4241" s="209"/>
      <c r="K4241" s="209"/>
      <c r="L4241" s="209"/>
      <c r="M4241" s="209"/>
      <c r="N4241" s="209"/>
      <c r="O4241" s="209"/>
      <c r="P4241" s="209"/>
      <c r="Q4241" s="209"/>
      <c r="R4241" s="209"/>
      <c r="S4241" s="209"/>
      <c r="T4241" s="209"/>
    </row>
    <row r="4242" spans="1:20" ht="15" hidden="1" customHeight="1">
      <c r="A4242" s="468">
        <v>45484</v>
      </c>
      <c r="B4242" s="208" t="s">
        <v>3346</v>
      </c>
      <c r="C4242" s="208" t="s">
        <v>3331</v>
      </c>
      <c r="D4242" s="592">
        <v>-978180</v>
      </c>
      <c r="E4242" s="212">
        <v>45474</v>
      </c>
      <c r="F4242" s="208" t="s">
        <v>109</v>
      </c>
      <c r="G4242" s="654" t="s">
        <v>2585</v>
      </c>
      <c r="H4242" s="208" t="s">
        <v>310</v>
      </c>
      <c r="I4242" s="208"/>
      <c r="J4242" s="209"/>
      <c r="K4242" s="209"/>
      <c r="L4242" s="209"/>
      <c r="M4242" s="209"/>
      <c r="N4242" s="209"/>
      <c r="O4242" s="209"/>
      <c r="P4242" s="209"/>
      <c r="Q4242" s="209"/>
      <c r="R4242" s="209"/>
      <c r="S4242" s="209"/>
      <c r="T4242" s="209"/>
    </row>
    <row r="4243" spans="1:20" ht="15" hidden="1" customHeight="1">
      <c r="A4243" s="468">
        <v>45484</v>
      </c>
      <c r="B4243" s="208" t="s">
        <v>3647</v>
      </c>
      <c r="C4243" s="208" t="s">
        <v>3331</v>
      </c>
      <c r="D4243" s="592">
        <v>-1728000</v>
      </c>
      <c r="E4243" s="212">
        <v>45474</v>
      </c>
      <c r="F4243" s="208" t="s">
        <v>109</v>
      </c>
      <c r="G4243" s="201" t="s">
        <v>1306</v>
      </c>
      <c r="H4243" s="208" t="s">
        <v>631</v>
      </c>
      <c r="I4243" s="208"/>
      <c r="J4243" s="209"/>
      <c r="K4243" s="209"/>
      <c r="L4243" s="209"/>
      <c r="M4243" s="209"/>
      <c r="N4243" s="209"/>
      <c r="O4243" s="209"/>
      <c r="P4243" s="209"/>
      <c r="Q4243" s="209"/>
      <c r="R4243" s="209"/>
      <c r="S4243" s="209"/>
      <c r="T4243" s="209"/>
    </row>
    <row r="4244" spans="1:20" ht="15" hidden="1" customHeight="1">
      <c r="A4244" s="468">
        <v>45484</v>
      </c>
      <c r="B4244" s="208" t="s">
        <v>2957</v>
      </c>
      <c r="C4244" s="208" t="s">
        <v>3331</v>
      </c>
      <c r="D4244" s="800">
        <v>-655531</v>
      </c>
      <c r="E4244" s="212">
        <v>45474</v>
      </c>
      <c r="F4244" s="208" t="s">
        <v>109</v>
      </c>
      <c r="G4244" s="201" t="s">
        <v>581</v>
      </c>
      <c r="H4244" s="208"/>
      <c r="I4244" s="208"/>
      <c r="J4244" s="209"/>
      <c r="K4244" s="209"/>
      <c r="L4244" s="209"/>
      <c r="M4244" s="209"/>
      <c r="N4244" s="209"/>
      <c r="O4244" s="209"/>
      <c r="P4244" s="209"/>
      <c r="Q4244" s="209"/>
      <c r="R4244" s="209"/>
      <c r="S4244" s="209"/>
      <c r="T4244" s="209"/>
    </row>
    <row r="4245" spans="1:20" ht="15" hidden="1" customHeight="1">
      <c r="A4245" s="468">
        <v>45484</v>
      </c>
      <c r="B4245" s="208" t="s">
        <v>3648</v>
      </c>
      <c r="C4245" s="208" t="s">
        <v>3331</v>
      </c>
      <c r="D4245" s="592">
        <v>-52000</v>
      </c>
      <c r="E4245" s="212">
        <v>45474</v>
      </c>
      <c r="F4245" s="208" t="s">
        <v>130</v>
      </c>
      <c r="G4245" s="208" t="s">
        <v>130</v>
      </c>
      <c r="H4245" s="208" t="s">
        <v>1156</v>
      </c>
      <c r="I4245" s="208"/>
      <c r="J4245" s="209"/>
      <c r="K4245" s="209"/>
      <c r="L4245" s="209"/>
      <c r="M4245" s="209"/>
      <c r="N4245" s="209"/>
      <c r="O4245" s="209"/>
      <c r="P4245" s="209"/>
      <c r="Q4245" s="209"/>
      <c r="R4245" s="209"/>
      <c r="S4245" s="209"/>
      <c r="T4245" s="209"/>
    </row>
    <row r="4246" spans="1:20" ht="15" hidden="1" customHeight="1">
      <c r="A4246" s="468">
        <v>45485</v>
      </c>
      <c r="B4246" s="208" t="s">
        <v>3649</v>
      </c>
      <c r="C4246" s="208" t="s">
        <v>3331</v>
      </c>
      <c r="D4246" s="592">
        <v>-699240</v>
      </c>
      <c r="E4246" s="212">
        <v>45474</v>
      </c>
      <c r="F4246" s="201" t="s">
        <v>110</v>
      </c>
      <c r="G4246" s="208" t="s">
        <v>774</v>
      </c>
      <c r="H4246" s="208" t="s">
        <v>147</v>
      </c>
      <c r="I4246" s="208"/>
      <c r="J4246" s="209"/>
      <c r="K4246" s="209"/>
      <c r="L4246" s="209"/>
      <c r="M4246" s="209"/>
      <c r="N4246" s="209"/>
      <c r="O4246" s="209"/>
      <c r="P4246" s="209"/>
      <c r="Q4246" s="209"/>
      <c r="R4246" s="209"/>
      <c r="S4246" s="209"/>
      <c r="T4246" s="209"/>
    </row>
    <row r="4247" spans="1:20" ht="15" hidden="1" customHeight="1">
      <c r="A4247" s="468">
        <v>45485</v>
      </c>
      <c r="B4247" s="208" t="s">
        <v>3650</v>
      </c>
      <c r="C4247" s="208" t="s">
        <v>3331</v>
      </c>
      <c r="D4247" s="800">
        <v>-1153100</v>
      </c>
      <c r="E4247" s="212">
        <v>45474</v>
      </c>
      <c r="F4247" s="208" t="s">
        <v>109</v>
      </c>
      <c r="G4247" s="201" t="s">
        <v>581</v>
      </c>
      <c r="H4247" s="208"/>
      <c r="I4247" s="208"/>
      <c r="J4247" s="209"/>
      <c r="K4247" s="209"/>
      <c r="L4247" s="209"/>
      <c r="M4247" s="209"/>
      <c r="N4247" s="209"/>
      <c r="O4247" s="209"/>
      <c r="P4247" s="209"/>
      <c r="Q4247" s="209"/>
      <c r="R4247" s="209"/>
      <c r="S4247" s="209"/>
      <c r="T4247" s="209"/>
    </row>
    <row r="4248" spans="1:20" ht="15" hidden="1" customHeight="1">
      <c r="A4248" s="468">
        <v>45485</v>
      </c>
      <c r="B4248" s="208" t="s">
        <v>3651</v>
      </c>
      <c r="C4248" s="208" t="s">
        <v>3331</v>
      </c>
      <c r="D4248" s="592">
        <v>-1000000</v>
      </c>
      <c r="E4248" s="212">
        <v>45474</v>
      </c>
      <c r="F4248" s="208" t="s">
        <v>109</v>
      </c>
      <c r="G4248" s="208" t="s">
        <v>3644</v>
      </c>
      <c r="H4248" s="208" t="s">
        <v>3652</v>
      </c>
      <c r="I4248" s="208"/>
      <c r="J4248" s="209"/>
      <c r="K4248" s="209"/>
      <c r="L4248" s="209"/>
      <c r="M4248" s="209"/>
      <c r="N4248" s="209"/>
      <c r="O4248" s="209"/>
      <c r="P4248" s="209"/>
      <c r="Q4248" s="209"/>
      <c r="R4248" s="209"/>
      <c r="S4248" s="209"/>
      <c r="T4248" s="209"/>
    </row>
    <row r="4249" spans="1:20" ht="15" hidden="1" customHeight="1">
      <c r="A4249" s="468">
        <v>45485</v>
      </c>
      <c r="B4249" s="208" t="s">
        <v>3204</v>
      </c>
      <c r="C4249" s="208" t="s">
        <v>3331</v>
      </c>
      <c r="D4249" s="592">
        <v>-480000</v>
      </c>
      <c r="E4249" s="212">
        <v>45474</v>
      </c>
      <c r="F4249" s="208" t="s">
        <v>130</v>
      </c>
      <c r="G4249" s="208" t="s">
        <v>257</v>
      </c>
      <c r="H4249" s="208" t="s">
        <v>663</v>
      </c>
      <c r="I4249" s="208"/>
      <c r="J4249" s="209"/>
      <c r="K4249" s="209"/>
      <c r="L4249" s="209"/>
      <c r="M4249" s="209"/>
      <c r="N4249" s="209"/>
      <c r="O4249" s="209"/>
      <c r="P4249" s="209"/>
      <c r="Q4249" s="209"/>
      <c r="R4249" s="209"/>
      <c r="S4249" s="209"/>
      <c r="T4249" s="209"/>
    </row>
    <row r="4250" spans="1:20" ht="15" hidden="1" customHeight="1">
      <c r="A4250" s="468">
        <v>45485</v>
      </c>
      <c r="B4250" s="208" t="s">
        <v>3653</v>
      </c>
      <c r="C4250" s="208" t="s">
        <v>3331</v>
      </c>
      <c r="D4250" s="592">
        <v>-500000</v>
      </c>
      <c r="E4250" s="212">
        <v>45474</v>
      </c>
      <c r="F4250" s="208" t="s">
        <v>109</v>
      </c>
      <c r="G4250" s="208" t="s">
        <v>10</v>
      </c>
      <c r="H4250" s="208" t="s">
        <v>147</v>
      </c>
      <c r="I4250" s="208"/>
      <c r="J4250" s="209"/>
      <c r="K4250" s="209"/>
      <c r="L4250" s="209"/>
      <c r="M4250" s="209"/>
      <c r="N4250" s="209"/>
      <c r="O4250" s="209"/>
      <c r="P4250" s="209"/>
      <c r="Q4250" s="209"/>
      <c r="R4250" s="209"/>
      <c r="S4250" s="209"/>
      <c r="T4250" s="209"/>
    </row>
    <row r="4251" spans="1:20" ht="15" hidden="1" customHeight="1">
      <c r="A4251" s="468">
        <v>45485</v>
      </c>
      <c r="B4251" s="208" t="s">
        <v>2284</v>
      </c>
      <c r="C4251" s="208" t="s">
        <v>3331</v>
      </c>
      <c r="D4251" s="592">
        <v>-101490</v>
      </c>
      <c r="E4251" s="212">
        <v>45474</v>
      </c>
      <c r="F4251" s="208" t="s">
        <v>130</v>
      </c>
      <c r="G4251" s="208" t="s">
        <v>130</v>
      </c>
      <c r="H4251" s="208" t="s">
        <v>249</v>
      </c>
      <c r="I4251" s="208"/>
      <c r="J4251" s="209"/>
      <c r="K4251" s="209"/>
      <c r="L4251" s="209"/>
      <c r="M4251" s="209"/>
      <c r="N4251" s="209"/>
      <c r="O4251" s="209"/>
      <c r="P4251" s="209"/>
      <c r="Q4251" s="209"/>
      <c r="R4251" s="209"/>
      <c r="S4251" s="209"/>
      <c r="T4251" s="209"/>
    </row>
    <row r="4252" spans="1:20" ht="15" hidden="1" customHeight="1">
      <c r="A4252" s="468">
        <v>45485</v>
      </c>
      <c r="B4252" s="208" t="s">
        <v>3654</v>
      </c>
      <c r="C4252" s="208" t="s">
        <v>3331</v>
      </c>
      <c r="D4252" s="592">
        <v>-336448</v>
      </c>
      <c r="E4252" s="212">
        <v>45474</v>
      </c>
      <c r="F4252" s="201" t="s">
        <v>110</v>
      </c>
      <c r="G4252" s="208" t="s">
        <v>774</v>
      </c>
      <c r="H4252" s="208" t="s">
        <v>310</v>
      </c>
      <c r="I4252" s="208"/>
      <c r="J4252" s="209"/>
      <c r="K4252" s="209"/>
      <c r="L4252" s="209"/>
      <c r="M4252" s="209"/>
      <c r="N4252" s="209"/>
      <c r="O4252" s="209"/>
      <c r="P4252" s="209"/>
      <c r="Q4252" s="209"/>
      <c r="R4252" s="209"/>
      <c r="S4252" s="209"/>
      <c r="T4252" s="209"/>
    </row>
    <row r="4253" spans="1:20" ht="15" hidden="1" customHeight="1">
      <c r="A4253" s="468">
        <v>45485</v>
      </c>
      <c r="B4253" s="208" t="s">
        <v>3208</v>
      </c>
      <c r="C4253" s="208" t="s">
        <v>3331</v>
      </c>
      <c r="D4253" s="592">
        <v>-278698</v>
      </c>
      <c r="E4253" s="212">
        <v>45474</v>
      </c>
      <c r="F4253" s="208" t="s">
        <v>207</v>
      </c>
      <c r="G4253" s="208" t="s">
        <v>207</v>
      </c>
      <c r="H4253" s="208" t="s">
        <v>175</v>
      </c>
      <c r="I4253" s="208"/>
      <c r="J4253" s="209"/>
      <c r="K4253" s="209"/>
      <c r="L4253" s="209"/>
      <c r="M4253" s="209"/>
      <c r="N4253" s="209"/>
      <c r="O4253" s="209"/>
      <c r="P4253" s="209"/>
      <c r="Q4253" s="209"/>
      <c r="R4253" s="209"/>
      <c r="S4253" s="209"/>
      <c r="T4253" s="209"/>
    </row>
    <row r="4254" spans="1:20" ht="15" hidden="1" customHeight="1">
      <c r="A4254" s="468">
        <v>45485</v>
      </c>
      <c r="B4254" s="208" t="s">
        <v>3655</v>
      </c>
      <c r="C4254" s="208" t="s">
        <v>3331</v>
      </c>
      <c r="D4254" s="592">
        <v>-293800</v>
      </c>
      <c r="E4254" s="212">
        <v>45474</v>
      </c>
      <c r="F4254" s="201" t="s">
        <v>110</v>
      </c>
      <c r="G4254" s="208" t="s">
        <v>774</v>
      </c>
      <c r="H4254" s="208" t="s">
        <v>508</v>
      </c>
      <c r="I4254" s="208"/>
      <c r="J4254" s="209"/>
      <c r="K4254" s="209"/>
      <c r="L4254" s="209"/>
      <c r="M4254" s="209"/>
      <c r="N4254" s="209"/>
      <c r="O4254" s="209"/>
      <c r="P4254" s="209"/>
      <c r="Q4254" s="209"/>
      <c r="R4254" s="209"/>
      <c r="S4254" s="209"/>
      <c r="T4254" s="209"/>
    </row>
    <row r="4255" spans="1:20" ht="15" hidden="1" customHeight="1">
      <c r="A4255" s="468">
        <v>45485</v>
      </c>
      <c r="B4255" s="208" t="s">
        <v>3655</v>
      </c>
      <c r="C4255" s="208" t="s">
        <v>3331</v>
      </c>
      <c r="D4255" s="592">
        <v>-293800</v>
      </c>
      <c r="E4255" s="212">
        <v>45474</v>
      </c>
      <c r="F4255" s="208" t="s">
        <v>109</v>
      </c>
      <c r="G4255" s="201" t="s">
        <v>1306</v>
      </c>
      <c r="H4255" s="208" t="s">
        <v>147</v>
      </c>
      <c r="I4255" s="208"/>
      <c r="J4255" s="209"/>
      <c r="K4255" s="209"/>
      <c r="L4255" s="209"/>
      <c r="M4255" s="209"/>
      <c r="N4255" s="209"/>
      <c r="O4255" s="209"/>
      <c r="P4255" s="209"/>
      <c r="Q4255" s="209"/>
      <c r="R4255" s="209"/>
      <c r="S4255" s="209"/>
      <c r="T4255" s="209"/>
    </row>
    <row r="4256" spans="1:20" ht="15" hidden="1" customHeight="1">
      <c r="A4256" s="468">
        <v>45485</v>
      </c>
      <c r="B4256" s="208" t="s">
        <v>3655</v>
      </c>
      <c r="C4256" s="208" t="s">
        <v>3331</v>
      </c>
      <c r="D4256" s="592">
        <v>-293800</v>
      </c>
      <c r="E4256" s="212">
        <v>45474</v>
      </c>
      <c r="F4256" s="208" t="s">
        <v>207</v>
      </c>
      <c r="G4256" s="81" t="s">
        <v>2226</v>
      </c>
      <c r="H4256" s="208" t="s">
        <v>508</v>
      </c>
      <c r="I4256" s="208"/>
      <c r="J4256" s="209"/>
      <c r="K4256" s="209"/>
      <c r="L4256" s="209"/>
      <c r="M4256" s="209"/>
      <c r="N4256" s="209"/>
      <c r="O4256" s="209"/>
      <c r="P4256" s="209"/>
      <c r="Q4256" s="209"/>
      <c r="R4256" s="209"/>
      <c r="S4256" s="209"/>
      <c r="T4256" s="209"/>
    </row>
    <row r="4257" spans="1:20" ht="15" hidden="1" customHeight="1">
      <c r="A4257" s="468">
        <v>45485</v>
      </c>
      <c r="B4257" s="208" t="s">
        <v>3656</v>
      </c>
      <c r="C4257" s="208" t="s">
        <v>3331</v>
      </c>
      <c r="D4257" s="592">
        <v>-679000</v>
      </c>
      <c r="E4257" s="212">
        <v>45474</v>
      </c>
      <c r="F4257" s="201" t="s">
        <v>110</v>
      </c>
      <c r="G4257" s="638" t="s">
        <v>774</v>
      </c>
      <c r="H4257" s="208" t="s">
        <v>147</v>
      </c>
      <c r="I4257" s="208"/>
      <c r="J4257" s="209"/>
      <c r="K4257" s="209"/>
      <c r="L4257" s="209"/>
      <c r="M4257" s="209"/>
      <c r="N4257" s="209"/>
      <c r="O4257" s="209"/>
      <c r="P4257" s="209"/>
      <c r="Q4257" s="209"/>
      <c r="R4257" s="209"/>
      <c r="S4257" s="209"/>
      <c r="T4257" s="209"/>
    </row>
    <row r="4258" spans="1:20" ht="15" hidden="1" customHeight="1">
      <c r="A4258" s="468">
        <v>45485</v>
      </c>
      <c r="B4258" s="208" t="s">
        <v>3657</v>
      </c>
      <c r="C4258" s="208" t="s">
        <v>3331</v>
      </c>
      <c r="D4258" s="592">
        <v>-233080</v>
      </c>
      <c r="E4258" s="212">
        <v>45474</v>
      </c>
      <c r="F4258" s="201" t="s">
        <v>110</v>
      </c>
      <c r="G4258" s="208" t="s">
        <v>774</v>
      </c>
      <c r="H4258" s="208" t="s">
        <v>147</v>
      </c>
      <c r="I4258" s="208"/>
      <c r="J4258" s="209"/>
      <c r="K4258" s="209"/>
      <c r="L4258" s="209"/>
      <c r="M4258" s="209"/>
      <c r="N4258" s="209"/>
      <c r="O4258" s="209"/>
      <c r="P4258" s="209"/>
      <c r="Q4258" s="209"/>
      <c r="R4258" s="209"/>
      <c r="S4258" s="209"/>
      <c r="T4258" s="209"/>
    </row>
    <row r="4259" spans="1:20" ht="15" hidden="1" customHeight="1">
      <c r="A4259" s="468">
        <v>45485</v>
      </c>
      <c r="B4259" s="208" t="s">
        <v>3657</v>
      </c>
      <c r="C4259" s="208" t="s">
        <v>3331</v>
      </c>
      <c r="D4259" s="592">
        <v>-233080</v>
      </c>
      <c r="E4259" s="212">
        <v>45474</v>
      </c>
      <c r="F4259" s="208" t="s">
        <v>109</v>
      </c>
      <c r="G4259" s="201" t="s">
        <v>1306</v>
      </c>
      <c r="H4259" s="208" t="s">
        <v>147</v>
      </c>
      <c r="I4259" s="208"/>
      <c r="J4259" s="209"/>
      <c r="K4259" s="209"/>
      <c r="L4259" s="209"/>
      <c r="M4259" s="209"/>
      <c r="N4259" s="209"/>
      <c r="O4259" s="209"/>
      <c r="P4259" s="209"/>
      <c r="Q4259" s="209"/>
      <c r="R4259" s="209"/>
      <c r="S4259" s="209"/>
      <c r="T4259" s="209"/>
    </row>
    <row r="4260" spans="1:20" ht="15" hidden="1" customHeight="1">
      <c r="A4260" s="468">
        <v>45485</v>
      </c>
      <c r="B4260" s="208" t="s">
        <v>3657</v>
      </c>
      <c r="C4260" s="208" t="s">
        <v>3331</v>
      </c>
      <c r="D4260" s="592">
        <v>-233080</v>
      </c>
      <c r="E4260" s="212">
        <v>45474</v>
      </c>
      <c r="F4260" s="208" t="s">
        <v>207</v>
      </c>
      <c r="G4260" s="81" t="s">
        <v>2226</v>
      </c>
      <c r="H4260" s="208" t="s">
        <v>147</v>
      </c>
      <c r="I4260" s="208"/>
      <c r="J4260" s="209"/>
      <c r="K4260" s="209"/>
      <c r="L4260" s="209"/>
      <c r="M4260" s="209"/>
      <c r="N4260" s="209"/>
      <c r="O4260" s="209"/>
      <c r="P4260" s="209"/>
      <c r="Q4260" s="209"/>
      <c r="R4260" s="209"/>
      <c r="S4260" s="209"/>
      <c r="T4260" s="209"/>
    </row>
    <row r="4261" spans="1:20" ht="15" hidden="1" customHeight="1">
      <c r="A4261" s="468">
        <v>45485</v>
      </c>
      <c r="B4261" s="208" t="s">
        <v>3252</v>
      </c>
      <c r="C4261" s="208" t="s">
        <v>3331</v>
      </c>
      <c r="D4261" s="592">
        <v>-1038260</v>
      </c>
      <c r="E4261" s="212">
        <v>45474</v>
      </c>
      <c r="F4261" s="201" t="s">
        <v>110</v>
      </c>
      <c r="G4261" s="638" t="s">
        <v>774</v>
      </c>
      <c r="H4261" s="208" t="s">
        <v>147</v>
      </c>
      <c r="I4261" s="208"/>
      <c r="J4261" s="209"/>
      <c r="K4261" s="209"/>
      <c r="L4261" s="209"/>
      <c r="M4261" s="209"/>
      <c r="N4261" s="209"/>
      <c r="O4261" s="209"/>
      <c r="P4261" s="209"/>
      <c r="Q4261" s="209"/>
      <c r="R4261" s="209"/>
      <c r="S4261" s="209"/>
      <c r="T4261" s="209"/>
    </row>
    <row r="4262" spans="1:20" ht="15" hidden="1" customHeight="1">
      <c r="A4262" s="468">
        <v>45485</v>
      </c>
      <c r="B4262" s="208" t="s">
        <v>3210</v>
      </c>
      <c r="C4262" s="208" t="s">
        <v>3331</v>
      </c>
      <c r="D4262" s="592">
        <v>-679000</v>
      </c>
      <c r="E4262" s="212">
        <v>45474</v>
      </c>
      <c r="F4262" s="208" t="s">
        <v>130</v>
      </c>
      <c r="G4262" s="208" t="s">
        <v>130</v>
      </c>
      <c r="H4262" s="208" t="s">
        <v>182</v>
      </c>
      <c r="I4262" s="208"/>
      <c r="J4262" s="209"/>
      <c r="K4262" s="209"/>
      <c r="L4262" s="209"/>
      <c r="M4262" s="209"/>
      <c r="N4262" s="209"/>
      <c r="O4262" s="209"/>
      <c r="P4262" s="209"/>
      <c r="Q4262" s="209"/>
      <c r="R4262" s="209"/>
      <c r="S4262" s="209"/>
      <c r="T4262" s="209"/>
    </row>
    <row r="4263" spans="1:20" ht="15" hidden="1" customHeight="1">
      <c r="A4263" s="468">
        <v>45485</v>
      </c>
      <c r="B4263" s="208" t="s">
        <v>3658</v>
      </c>
      <c r="C4263" s="208" t="s">
        <v>3331</v>
      </c>
      <c r="D4263" s="592">
        <v>-673600</v>
      </c>
      <c r="E4263" s="212">
        <v>45474</v>
      </c>
      <c r="F4263" s="201" t="s">
        <v>110</v>
      </c>
      <c r="G4263" s="208" t="s">
        <v>774</v>
      </c>
      <c r="H4263" s="208" t="s">
        <v>147</v>
      </c>
      <c r="I4263" s="208"/>
      <c r="J4263" s="209"/>
      <c r="K4263" s="209"/>
      <c r="L4263" s="209"/>
      <c r="M4263" s="209"/>
      <c r="N4263" s="209"/>
      <c r="O4263" s="209"/>
      <c r="P4263" s="209"/>
      <c r="Q4263" s="209"/>
      <c r="R4263" s="209"/>
      <c r="S4263" s="209"/>
      <c r="T4263" s="209"/>
    </row>
    <row r="4264" spans="1:20" ht="15" hidden="1" customHeight="1">
      <c r="A4264" s="468">
        <v>45485</v>
      </c>
      <c r="B4264" s="208" t="s">
        <v>1069</v>
      </c>
      <c r="C4264" s="208" t="s">
        <v>3331</v>
      </c>
      <c r="D4264" s="592">
        <v>-1185000</v>
      </c>
      <c r="E4264" s="212">
        <v>45474</v>
      </c>
      <c r="F4264" s="208" t="s">
        <v>207</v>
      </c>
      <c r="G4264" s="81" t="s">
        <v>2226</v>
      </c>
      <c r="H4264" s="208" t="s">
        <v>147</v>
      </c>
      <c r="I4264" s="208"/>
      <c r="J4264" s="209"/>
      <c r="K4264" s="209"/>
      <c r="L4264" s="209"/>
      <c r="M4264" s="209"/>
      <c r="N4264" s="209"/>
      <c r="O4264" s="209"/>
      <c r="P4264" s="209"/>
      <c r="Q4264" s="209"/>
      <c r="R4264" s="209"/>
      <c r="S4264" s="209"/>
      <c r="T4264" s="209"/>
    </row>
    <row r="4265" spans="1:20" ht="15" hidden="1" customHeight="1">
      <c r="A4265" s="468">
        <v>45485</v>
      </c>
      <c r="B4265" s="208" t="s">
        <v>3262</v>
      </c>
      <c r="C4265" s="208" t="s">
        <v>3331</v>
      </c>
      <c r="D4265" s="592">
        <v>-719715</v>
      </c>
      <c r="E4265" s="212">
        <v>45474</v>
      </c>
      <c r="F4265" s="208" t="s">
        <v>207</v>
      </c>
      <c r="G4265" s="81" t="s">
        <v>2226</v>
      </c>
      <c r="H4265" s="208" t="s">
        <v>147</v>
      </c>
      <c r="I4265" s="208"/>
      <c r="J4265" s="209"/>
      <c r="K4265" s="209"/>
      <c r="L4265" s="209"/>
      <c r="M4265" s="209"/>
      <c r="N4265" s="209"/>
      <c r="O4265" s="209"/>
      <c r="P4265" s="209"/>
      <c r="Q4265" s="209"/>
      <c r="R4265" s="209"/>
      <c r="S4265" s="209"/>
      <c r="T4265" s="209"/>
    </row>
    <row r="4266" spans="1:20" ht="15" hidden="1" customHeight="1">
      <c r="A4266" s="468">
        <v>45485</v>
      </c>
      <c r="B4266" s="208" t="s">
        <v>3261</v>
      </c>
      <c r="C4266" s="208" t="s">
        <v>3331</v>
      </c>
      <c r="D4266" s="592">
        <v>-679000</v>
      </c>
      <c r="E4266" s="212">
        <v>45474</v>
      </c>
      <c r="F4266" s="201" t="s">
        <v>110</v>
      </c>
      <c r="G4266" s="638" t="s">
        <v>774</v>
      </c>
      <c r="H4266" s="208" t="s">
        <v>147</v>
      </c>
      <c r="I4266" s="208"/>
      <c r="J4266" s="209"/>
      <c r="K4266" s="209"/>
      <c r="L4266" s="209"/>
      <c r="M4266" s="209"/>
      <c r="N4266" s="209"/>
      <c r="O4266" s="209"/>
      <c r="P4266" s="209"/>
      <c r="Q4266" s="209"/>
      <c r="R4266" s="209"/>
      <c r="S4266" s="209"/>
      <c r="T4266" s="209"/>
    </row>
    <row r="4267" spans="1:20" ht="15" hidden="1" customHeight="1">
      <c r="A4267" s="468">
        <v>45485</v>
      </c>
      <c r="B4267" s="208" t="s">
        <v>3659</v>
      </c>
      <c r="C4267" s="208" t="s">
        <v>3331</v>
      </c>
      <c r="D4267" s="800">
        <v>-679000</v>
      </c>
      <c r="E4267" s="212">
        <v>45474</v>
      </c>
      <c r="F4267" s="208" t="s">
        <v>109</v>
      </c>
      <c r="G4267" s="201" t="s">
        <v>581</v>
      </c>
      <c r="H4267" s="208"/>
      <c r="I4267" s="208"/>
      <c r="J4267" s="209"/>
      <c r="K4267" s="209"/>
      <c r="L4267" s="209"/>
      <c r="M4267" s="209"/>
      <c r="N4267" s="209"/>
      <c r="O4267" s="209"/>
      <c r="P4267" s="209"/>
      <c r="Q4267" s="209"/>
      <c r="R4267" s="209"/>
      <c r="S4267" s="209"/>
      <c r="T4267" s="209"/>
    </row>
    <row r="4268" spans="1:20" ht="15" hidden="1" customHeight="1">
      <c r="A4268" s="468">
        <v>45485</v>
      </c>
      <c r="B4268" s="208" t="s">
        <v>3660</v>
      </c>
      <c r="C4268" s="208" t="s">
        <v>3331</v>
      </c>
      <c r="D4268" s="592">
        <v>-679000</v>
      </c>
      <c r="E4268" s="212">
        <v>45474</v>
      </c>
      <c r="F4268" s="208" t="s">
        <v>130</v>
      </c>
      <c r="G4268" s="208" t="s">
        <v>130</v>
      </c>
      <c r="H4268" s="208" t="s">
        <v>182</v>
      </c>
      <c r="I4268" s="208"/>
      <c r="J4268" s="209"/>
      <c r="K4268" s="209"/>
      <c r="L4268" s="209"/>
      <c r="M4268" s="209"/>
      <c r="N4268" s="209"/>
      <c r="O4268" s="209"/>
      <c r="P4268" s="209"/>
      <c r="Q4268" s="209"/>
      <c r="R4268" s="209"/>
      <c r="S4268" s="209"/>
      <c r="T4268" s="209"/>
    </row>
    <row r="4269" spans="1:20" ht="15" hidden="1" customHeight="1">
      <c r="A4269" s="468">
        <v>45485</v>
      </c>
      <c r="B4269" s="208" t="s">
        <v>3661</v>
      </c>
      <c r="C4269" s="208" t="s">
        <v>3331</v>
      </c>
      <c r="D4269" s="592">
        <v>-606667</v>
      </c>
      <c r="E4269" s="212">
        <v>45474</v>
      </c>
      <c r="F4269" s="208" t="s">
        <v>130</v>
      </c>
      <c r="G4269" s="208" t="s">
        <v>130</v>
      </c>
      <c r="H4269" s="208" t="s">
        <v>182</v>
      </c>
      <c r="I4269" s="208"/>
      <c r="J4269" s="209"/>
      <c r="K4269" s="209"/>
      <c r="L4269" s="209"/>
      <c r="M4269" s="209"/>
      <c r="N4269" s="209"/>
      <c r="O4269" s="209"/>
      <c r="P4269" s="209"/>
      <c r="Q4269" s="209"/>
      <c r="R4269" s="209"/>
      <c r="S4269" s="209"/>
      <c r="T4269" s="209"/>
    </row>
    <row r="4270" spans="1:20" ht="15" hidden="1" customHeight="1">
      <c r="A4270" s="468">
        <v>45485</v>
      </c>
      <c r="B4270" s="208" t="s">
        <v>3255</v>
      </c>
      <c r="C4270" s="208" t="s">
        <v>3331</v>
      </c>
      <c r="D4270" s="592">
        <v>-679000</v>
      </c>
      <c r="E4270" s="212">
        <v>45474</v>
      </c>
      <c r="F4270" s="208" t="s">
        <v>130</v>
      </c>
      <c r="G4270" s="208" t="s">
        <v>130</v>
      </c>
      <c r="H4270" s="208" t="s">
        <v>182</v>
      </c>
      <c r="I4270" s="208"/>
      <c r="J4270" s="209"/>
      <c r="K4270" s="209"/>
      <c r="L4270" s="209"/>
      <c r="M4270" s="209"/>
      <c r="N4270" s="209"/>
      <c r="O4270" s="209"/>
      <c r="P4270" s="209"/>
      <c r="Q4270" s="209"/>
      <c r="R4270" s="209"/>
      <c r="S4270" s="209"/>
      <c r="T4270" s="209"/>
    </row>
    <row r="4271" spans="1:20" ht="15" hidden="1" customHeight="1">
      <c r="A4271" s="468">
        <v>45485</v>
      </c>
      <c r="B4271" s="208" t="s">
        <v>1104</v>
      </c>
      <c r="C4271" s="208" t="s">
        <v>3331</v>
      </c>
      <c r="D4271" s="592">
        <v>-2024000</v>
      </c>
      <c r="E4271" s="212">
        <v>45474</v>
      </c>
      <c r="F4271" s="208" t="s">
        <v>130</v>
      </c>
      <c r="G4271" s="208" t="s">
        <v>130</v>
      </c>
      <c r="H4271" s="208" t="s">
        <v>182</v>
      </c>
      <c r="I4271" s="208"/>
      <c r="J4271" s="209"/>
      <c r="K4271" s="209"/>
      <c r="L4271" s="209"/>
      <c r="M4271" s="209"/>
      <c r="N4271" s="209"/>
      <c r="O4271" s="209"/>
      <c r="P4271" s="209"/>
      <c r="Q4271" s="209"/>
      <c r="R4271" s="209"/>
      <c r="S4271" s="209"/>
      <c r="T4271" s="209"/>
    </row>
    <row r="4272" spans="1:20" ht="15" hidden="1" customHeight="1">
      <c r="A4272" s="468">
        <v>45485</v>
      </c>
      <c r="B4272" s="208" t="s">
        <v>3662</v>
      </c>
      <c r="C4272" s="208" t="s">
        <v>3331</v>
      </c>
      <c r="D4272" s="592">
        <v>-705719</v>
      </c>
      <c r="E4272" s="212">
        <v>45474</v>
      </c>
      <c r="F4272" s="208" t="s">
        <v>109</v>
      </c>
      <c r="G4272" s="201" t="s">
        <v>1306</v>
      </c>
      <c r="H4272" s="208" t="s">
        <v>147</v>
      </c>
      <c r="I4272" s="208"/>
      <c r="J4272" s="209"/>
      <c r="K4272" s="209"/>
      <c r="L4272" s="209"/>
      <c r="M4272" s="209"/>
      <c r="N4272" s="209"/>
      <c r="O4272" s="209"/>
      <c r="P4272" s="209"/>
      <c r="Q4272" s="209"/>
      <c r="R4272" s="209"/>
      <c r="S4272" s="209"/>
      <c r="T4272" s="209"/>
    </row>
    <row r="4273" spans="1:20" ht="15" hidden="1" customHeight="1">
      <c r="A4273" s="468">
        <v>45485</v>
      </c>
      <c r="B4273" s="208" t="s">
        <v>3259</v>
      </c>
      <c r="C4273" s="208" t="s">
        <v>3331</v>
      </c>
      <c r="D4273" s="592">
        <v>-843719</v>
      </c>
      <c r="E4273" s="212">
        <v>45474</v>
      </c>
      <c r="F4273" s="208" t="s">
        <v>109</v>
      </c>
      <c r="G4273" s="201" t="s">
        <v>1306</v>
      </c>
      <c r="H4273" s="208" t="s">
        <v>147</v>
      </c>
      <c r="I4273" s="208"/>
      <c r="J4273" s="209"/>
      <c r="K4273" s="209"/>
      <c r="L4273" s="209"/>
      <c r="M4273" s="209"/>
      <c r="N4273" s="209"/>
      <c r="O4273" s="209"/>
      <c r="P4273" s="209"/>
      <c r="Q4273" s="209"/>
      <c r="R4273" s="209"/>
      <c r="S4273" s="209"/>
      <c r="T4273" s="209"/>
    </row>
    <row r="4274" spans="1:20" ht="15" hidden="1" customHeight="1">
      <c r="A4274" s="468">
        <v>45485</v>
      </c>
      <c r="B4274" s="208" t="s">
        <v>3260</v>
      </c>
      <c r="C4274" s="208" t="s">
        <v>3331</v>
      </c>
      <c r="D4274" s="592">
        <v>-252247</v>
      </c>
      <c r="E4274" s="212">
        <v>45474</v>
      </c>
      <c r="F4274" s="201" t="s">
        <v>110</v>
      </c>
      <c r="G4274" s="208" t="s">
        <v>774</v>
      </c>
      <c r="H4274" s="208" t="s">
        <v>147</v>
      </c>
      <c r="I4274" s="208"/>
      <c r="J4274" s="209"/>
      <c r="K4274" s="209"/>
      <c r="L4274" s="209"/>
      <c r="M4274" s="209"/>
      <c r="N4274" s="209"/>
      <c r="O4274" s="209"/>
      <c r="P4274" s="209"/>
      <c r="Q4274" s="209"/>
      <c r="R4274" s="209"/>
      <c r="S4274" s="209"/>
      <c r="T4274" s="209"/>
    </row>
    <row r="4275" spans="1:20" ht="15" hidden="1" customHeight="1">
      <c r="A4275" s="468">
        <v>45485</v>
      </c>
      <c r="B4275" s="208" t="s">
        <v>3260</v>
      </c>
      <c r="C4275" s="208" t="s">
        <v>3331</v>
      </c>
      <c r="D4275" s="592">
        <v>-252247</v>
      </c>
      <c r="E4275" s="212">
        <v>45474</v>
      </c>
      <c r="F4275" s="208" t="s">
        <v>109</v>
      </c>
      <c r="G4275" s="201" t="s">
        <v>1306</v>
      </c>
      <c r="H4275" s="208" t="s">
        <v>147</v>
      </c>
      <c r="I4275" s="208"/>
      <c r="J4275" s="209"/>
      <c r="K4275" s="209"/>
      <c r="L4275" s="209"/>
      <c r="M4275" s="209"/>
      <c r="N4275" s="209"/>
      <c r="O4275" s="209"/>
      <c r="P4275" s="209"/>
      <c r="Q4275" s="209"/>
      <c r="R4275" s="209"/>
      <c r="S4275" s="209"/>
      <c r="T4275" s="209"/>
    </row>
    <row r="4276" spans="1:20" ht="15" hidden="1" customHeight="1">
      <c r="A4276" s="468">
        <v>45485</v>
      </c>
      <c r="B4276" s="208" t="s">
        <v>3260</v>
      </c>
      <c r="C4276" s="208" t="s">
        <v>3331</v>
      </c>
      <c r="D4276" s="592">
        <v>-252246</v>
      </c>
      <c r="E4276" s="212">
        <v>45474</v>
      </c>
      <c r="F4276" s="208" t="s">
        <v>207</v>
      </c>
      <c r="G4276" s="81" t="s">
        <v>2226</v>
      </c>
      <c r="H4276" s="208" t="s">
        <v>147</v>
      </c>
      <c r="I4276" s="208"/>
      <c r="J4276" s="209"/>
      <c r="K4276" s="209"/>
      <c r="L4276" s="209"/>
      <c r="M4276" s="209"/>
      <c r="N4276" s="209"/>
      <c r="O4276" s="209"/>
      <c r="P4276" s="209"/>
      <c r="Q4276" s="209"/>
      <c r="R4276" s="209"/>
      <c r="S4276" s="209"/>
      <c r="T4276" s="209"/>
    </row>
    <row r="4277" spans="1:20" ht="15" hidden="1" customHeight="1">
      <c r="A4277" s="468">
        <v>45485</v>
      </c>
      <c r="B4277" s="208" t="s">
        <v>3253</v>
      </c>
      <c r="C4277" s="208" t="s">
        <v>3331</v>
      </c>
      <c r="D4277" s="592">
        <v>-487500</v>
      </c>
      <c r="E4277" s="212">
        <v>45474</v>
      </c>
      <c r="F4277" s="208" t="s">
        <v>130</v>
      </c>
      <c r="G4277" s="638" t="s">
        <v>130</v>
      </c>
      <c r="H4277" s="208" t="s">
        <v>182</v>
      </c>
      <c r="I4277" s="208"/>
      <c r="J4277" s="209"/>
      <c r="K4277" s="209"/>
      <c r="L4277" s="564">
        <v>2863371.62</v>
      </c>
      <c r="M4277" s="209"/>
      <c r="N4277" s="209"/>
      <c r="O4277" s="209"/>
      <c r="P4277" s="209"/>
      <c r="Q4277" s="209"/>
      <c r="R4277" s="209"/>
      <c r="S4277" s="209"/>
      <c r="T4277" s="209"/>
    </row>
    <row r="4278" spans="1:20" ht="15" hidden="1" customHeight="1">
      <c r="A4278" s="468">
        <v>45485</v>
      </c>
      <c r="B4278" s="208" t="s">
        <v>3239</v>
      </c>
      <c r="C4278" s="208" t="s">
        <v>3331</v>
      </c>
      <c r="D4278" s="800">
        <v>-679000</v>
      </c>
      <c r="E4278" s="212">
        <v>45474</v>
      </c>
      <c r="F4278" s="208" t="s">
        <v>109</v>
      </c>
      <c r="G4278" s="201" t="s">
        <v>581</v>
      </c>
      <c r="H4278" s="208"/>
      <c r="I4278" s="208"/>
      <c r="J4278" s="209"/>
      <c r="K4278" s="209"/>
      <c r="L4278" s="209"/>
      <c r="M4278" s="209"/>
      <c r="N4278" s="209"/>
      <c r="O4278" s="209"/>
      <c r="P4278" s="209"/>
      <c r="Q4278" s="209"/>
      <c r="R4278" s="209"/>
      <c r="S4278" s="209"/>
      <c r="T4278" s="209"/>
    </row>
    <row r="4279" spans="1:20" ht="15" hidden="1" customHeight="1">
      <c r="A4279" s="468">
        <v>45485</v>
      </c>
      <c r="B4279" s="208" t="s">
        <v>3663</v>
      </c>
      <c r="C4279" s="208" t="s">
        <v>3331</v>
      </c>
      <c r="D4279" s="800">
        <v>-679000</v>
      </c>
      <c r="E4279" s="212">
        <v>45474</v>
      </c>
      <c r="F4279" s="208" t="s">
        <v>109</v>
      </c>
      <c r="G4279" s="201" t="s">
        <v>581</v>
      </c>
      <c r="H4279" s="208"/>
      <c r="I4279" s="208"/>
      <c r="J4279" s="209"/>
      <c r="K4279" s="209"/>
      <c r="L4279" s="209"/>
      <c r="M4279" s="209"/>
      <c r="N4279" s="209"/>
      <c r="O4279" s="209"/>
      <c r="P4279" s="209"/>
      <c r="Q4279" s="209"/>
      <c r="R4279" s="209"/>
      <c r="S4279" s="209"/>
      <c r="T4279" s="209"/>
    </row>
    <row r="4280" spans="1:20" ht="15" hidden="1" customHeight="1">
      <c r="A4280" s="468">
        <v>45485</v>
      </c>
      <c r="B4280" s="208" t="s">
        <v>3664</v>
      </c>
      <c r="C4280" s="208" t="s">
        <v>3331</v>
      </c>
      <c r="D4280" s="800">
        <v>-679000</v>
      </c>
      <c r="E4280" s="212">
        <v>45474</v>
      </c>
      <c r="F4280" s="208" t="s">
        <v>109</v>
      </c>
      <c r="G4280" s="201" t="s">
        <v>581</v>
      </c>
      <c r="H4280" s="208"/>
      <c r="I4280" s="208"/>
      <c r="J4280" s="209"/>
      <c r="K4280" s="209"/>
      <c r="L4280" s="209"/>
      <c r="M4280" s="209"/>
      <c r="N4280" s="209"/>
      <c r="O4280" s="209"/>
      <c r="P4280" s="209"/>
      <c r="Q4280" s="209"/>
      <c r="R4280" s="209"/>
      <c r="S4280" s="209"/>
      <c r="T4280" s="209"/>
    </row>
    <row r="4281" spans="1:20" ht="15" hidden="1" customHeight="1">
      <c r="A4281" s="468">
        <v>45485</v>
      </c>
      <c r="B4281" s="208" t="s">
        <v>3238</v>
      </c>
      <c r="C4281" s="208" t="s">
        <v>3331</v>
      </c>
      <c r="D4281" s="800">
        <v>-679000</v>
      </c>
      <c r="E4281" s="212">
        <v>45474</v>
      </c>
      <c r="F4281" s="208" t="s">
        <v>109</v>
      </c>
      <c r="G4281" s="201" t="s">
        <v>581</v>
      </c>
      <c r="H4281" s="208"/>
      <c r="I4281" s="208"/>
      <c r="J4281" s="209"/>
      <c r="K4281" s="209"/>
      <c r="L4281" s="209"/>
      <c r="M4281" s="209"/>
      <c r="N4281" s="209"/>
      <c r="O4281" s="209"/>
      <c r="P4281" s="209"/>
      <c r="Q4281" s="209"/>
      <c r="R4281" s="209"/>
      <c r="S4281" s="209"/>
      <c r="T4281" s="209"/>
    </row>
    <row r="4282" spans="1:20" ht="15" hidden="1" customHeight="1">
      <c r="A4282" s="468">
        <v>45485</v>
      </c>
      <c r="B4282" s="208" t="s">
        <v>3665</v>
      </c>
      <c r="C4282" s="208" t="s">
        <v>3331</v>
      </c>
      <c r="D4282" s="800">
        <v>-679000</v>
      </c>
      <c r="E4282" s="212">
        <v>45474</v>
      </c>
      <c r="F4282" s="208" t="s">
        <v>109</v>
      </c>
      <c r="G4282" s="201" t="s">
        <v>581</v>
      </c>
      <c r="H4282" s="208"/>
      <c r="I4282" s="208"/>
      <c r="J4282" s="209"/>
      <c r="K4282" s="209"/>
      <c r="L4282" s="209"/>
      <c r="M4282" s="209"/>
      <c r="N4282" s="209"/>
      <c r="O4282" s="209"/>
      <c r="P4282" s="209"/>
      <c r="Q4282" s="209"/>
      <c r="R4282" s="209"/>
      <c r="S4282" s="209"/>
      <c r="T4282" s="209"/>
    </row>
    <row r="4283" spans="1:20" ht="15" hidden="1" customHeight="1">
      <c r="A4283" s="468">
        <v>45485</v>
      </c>
      <c r="B4283" s="208" t="s">
        <v>3235</v>
      </c>
      <c r="C4283" s="208" t="s">
        <v>3331</v>
      </c>
      <c r="D4283" s="592">
        <v>-1228700</v>
      </c>
      <c r="E4283" s="212">
        <v>45474</v>
      </c>
      <c r="F4283" s="201" t="s">
        <v>110</v>
      </c>
      <c r="G4283" s="208" t="s">
        <v>774</v>
      </c>
      <c r="H4283" s="208" t="s">
        <v>147</v>
      </c>
      <c r="I4283" s="208"/>
      <c r="J4283" s="209"/>
      <c r="K4283" s="209"/>
      <c r="L4283" s="209"/>
      <c r="M4283" s="209"/>
      <c r="N4283" s="209"/>
      <c r="O4283" s="209"/>
      <c r="P4283" s="209"/>
      <c r="Q4283" s="209"/>
      <c r="R4283" s="209"/>
      <c r="S4283" s="209"/>
      <c r="T4283" s="209"/>
    </row>
    <row r="4284" spans="1:20" ht="15" hidden="1" customHeight="1">
      <c r="A4284" s="468">
        <v>45485</v>
      </c>
      <c r="B4284" s="208" t="s">
        <v>3254</v>
      </c>
      <c r="C4284" s="208" t="s">
        <v>3331</v>
      </c>
      <c r="D4284" s="592">
        <v>-500000</v>
      </c>
      <c r="E4284" s="212">
        <v>45474</v>
      </c>
      <c r="F4284" s="208" t="s">
        <v>130</v>
      </c>
      <c r="G4284" s="208" t="s">
        <v>130</v>
      </c>
      <c r="H4284" s="208" t="s">
        <v>182</v>
      </c>
      <c r="I4284" s="208"/>
      <c r="J4284" s="209"/>
      <c r="K4284" s="209"/>
      <c r="L4284" s="564">
        <v>200257</v>
      </c>
      <c r="M4284" s="209"/>
      <c r="N4284" s="209"/>
      <c r="O4284" s="209"/>
      <c r="P4284" s="209"/>
      <c r="Q4284" s="209"/>
      <c r="R4284" s="209"/>
      <c r="S4284" s="209"/>
      <c r="T4284" s="209"/>
    </row>
    <row r="4285" spans="1:20" ht="15" hidden="1" customHeight="1">
      <c r="A4285" s="468">
        <v>45485</v>
      </c>
      <c r="B4285" s="208" t="s">
        <v>3246</v>
      </c>
      <c r="C4285" s="208" t="s">
        <v>3331</v>
      </c>
      <c r="D4285" s="800">
        <v>-1038260</v>
      </c>
      <c r="E4285" s="212">
        <v>45474</v>
      </c>
      <c r="F4285" s="208" t="s">
        <v>109</v>
      </c>
      <c r="G4285" s="201" t="s">
        <v>581</v>
      </c>
      <c r="H4285" s="208"/>
      <c r="I4285" s="208"/>
      <c r="J4285" s="209"/>
      <c r="K4285" s="209"/>
      <c r="L4285" s="209"/>
      <c r="M4285" s="209"/>
      <c r="N4285" s="209"/>
      <c r="O4285" s="209"/>
      <c r="P4285" s="209"/>
      <c r="Q4285" s="209"/>
      <c r="R4285" s="209"/>
      <c r="S4285" s="209"/>
      <c r="T4285" s="209"/>
    </row>
    <row r="4286" spans="1:20" ht="15" hidden="1" customHeight="1">
      <c r="A4286" s="468">
        <v>45485</v>
      </c>
      <c r="B4286" s="208" t="s">
        <v>3248</v>
      </c>
      <c r="C4286" s="208" t="s">
        <v>3331</v>
      </c>
      <c r="D4286" s="800">
        <v>-679000</v>
      </c>
      <c r="E4286" s="212">
        <v>45474</v>
      </c>
      <c r="F4286" s="208" t="s">
        <v>109</v>
      </c>
      <c r="G4286" s="201" t="s">
        <v>581</v>
      </c>
      <c r="H4286" s="208"/>
      <c r="I4286" s="208"/>
      <c r="J4286" s="209"/>
      <c r="K4286" s="209"/>
      <c r="L4286" s="209"/>
      <c r="M4286" s="209"/>
      <c r="N4286" s="209"/>
      <c r="O4286" s="209"/>
      <c r="P4286" s="209"/>
      <c r="Q4286" s="209"/>
      <c r="R4286" s="209"/>
      <c r="S4286" s="209"/>
      <c r="T4286" s="209"/>
    </row>
    <row r="4287" spans="1:20" ht="15" hidden="1" customHeight="1">
      <c r="A4287" s="468">
        <v>45485</v>
      </c>
      <c r="B4287" s="208" t="s">
        <v>3226</v>
      </c>
      <c r="C4287" s="208" t="s">
        <v>3331</v>
      </c>
      <c r="D4287" s="592">
        <v>-679000</v>
      </c>
      <c r="E4287" s="212">
        <v>45474</v>
      </c>
      <c r="F4287" s="208" t="s">
        <v>109</v>
      </c>
      <c r="G4287" s="201" t="s">
        <v>1306</v>
      </c>
      <c r="H4287" s="208" t="s">
        <v>147</v>
      </c>
      <c r="I4287" s="208"/>
      <c r="J4287" s="209"/>
      <c r="K4287" s="209"/>
      <c r="L4287" s="209"/>
      <c r="M4287" s="209"/>
      <c r="N4287" s="209"/>
      <c r="O4287" s="209"/>
      <c r="P4287" s="209"/>
      <c r="Q4287" s="209"/>
      <c r="R4287" s="209"/>
      <c r="S4287" s="209"/>
      <c r="T4287" s="209"/>
    </row>
    <row r="4288" spans="1:20" ht="15" hidden="1" customHeight="1">
      <c r="A4288" s="468">
        <v>45485</v>
      </c>
      <c r="B4288" s="208" t="s">
        <v>3225</v>
      </c>
      <c r="C4288" s="208" t="s">
        <v>3331</v>
      </c>
      <c r="D4288" s="592">
        <v>-679000</v>
      </c>
      <c r="E4288" s="212">
        <v>45474</v>
      </c>
      <c r="F4288" s="201" t="s">
        <v>110</v>
      </c>
      <c r="G4288" s="208" t="s">
        <v>774</v>
      </c>
      <c r="H4288" s="208" t="s">
        <v>147</v>
      </c>
      <c r="I4288" s="208"/>
      <c r="J4288" s="209"/>
      <c r="K4288" s="209"/>
      <c r="L4288" s="209"/>
      <c r="M4288" s="209"/>
      <c r="N4288" s="209"/>
      <c r="O4288" s="209"/>
      <c r="P4288" s="209"/>
      <c r="Q4288" s="209"/>
      <c r="R4288" s="209"/>
      <c r="S4288" s="209"/>
      <c r="T4288" s="209"/>
    </row>
    <row r="4289" spans="1:20" ht="15" hidden="1" customHeight="1">
      <c r="A4289" s="468">
        <v>45485</v>
      </c>
      <c r="B4289" s="208" t="s">
        <v>3247</v>
      </c>
      <c r="C4289" s="208" t="s">
        <v>3331</v>
      </c>
      <c r="D4289" s="800">
        <v>-679000</v>
      </c>
      <c r="E4289" s="212">
        <v>45474</v>
      </c>
      <c r="F4289" s="208" t="s">
        <v>109</v>
      </c>
      <c r="G4289" s="201" t="s">
        <v>581</v>
      </c>
      <c r="H4289" s="208"/>
      <c r="I4289" s="208"/>
      <c r="J4289" s="209"/>
      <c r="K4289" s="209"/>
      <c r="L4289" s="209"/>
      <c r="M4289" s="209"/>
      <c r="N4289" s="209"/>
      <c r="O4289" s="209"/>
      <c r="P4289" s="209"/>
      <c r="Q4289" s="209"/>
      <c r="R4289" s="209"/>
      <c r="S4289" s="209"/>
      <c r="T4289" s="209"/>
    </row>
    <row r="4290" spans="1:20" ht="15" hidden="1" customHeight="1">
      <c r="A4290" s="468">
        <v>45485</v>
      </c>
      <c r="B4290" s="208" t="s">
        <v>3243</v>
      </c>
      <c r="C4290" s="208" t="s">
        <v>3331</v>
      </c>
      <c r="D4290" s="800">
        <v>-679000</v>
      </c>
      <c r="E4290" s="212">
        <v>45474</v>
      </c>
      <c r="F4290" s="208" t="s">
        <v>109</v>
      </c>
      <c r="G4290" s="201" t="s">
        <v>581</v>
      </c>
      <c r="H4290" s="208"/>
      <c r="I4290" s="208"/>
      <c r="J4290" s="209"/>
      <c r="K4290" s="209"/>
      <c r="L4290" s="209"/>
      <c r="M4290" s="209"/>
      <c r="N4290" s="209"/>
      <c r="O4290" s="209"/>
      <c r="P4290" s="209"/>
      <c r="Q4290" s="209"/>
      <c r="R4290" s="209"/>
      <c r="S4290" s="209"/>
      <c r="T4290" s="209"/>
    </row>
    <row r="4291" spans="1:20" ht="15" hidden="1" customHeight="1">
      <c r="A4291" s="468">
        <v>45485</v>
      </c>
      <c r="B4291" s="208" t="s">
        <v>3242</v>
      </c>
      <c r="C4291" s="208" t="s">
        <v>3331</v>
      </c>
      <c r="D4291" s="800">
        <v>-679000</v>
      </c>
      <c r="E4291" s="212">
        <v>45474</v>
      </c>
      <c r="F4291" s="208" t="s">
        <v>109</v>
      </c>
      <c r="G4291" s="201" t="s">
        <v>581</v>
      </c>
      <c r="H4291" s="208"/>
      <c r="I4291" s="208"/>
      <c r="J4291" s="209"/>
      <c r="K4291" s="209"/>
      <c r="L4291" s="209"/>
      <c r="M4291" s="209"/>
      <c r="N4291" s="209"/>
      <c r="O4291" s="209"/>
      <c r="P4291" s="209"/>
      <c r="Q4291" s="209"/>
      <c r="R4291" s="209"/>
      <c r="S4291" s="209"/>
      <c r="T4291" s="209"/>
    </row>
    <row r="4292" spans="1:20" ht="15" hidden="1" customHeight="1">
      <c r="A4292" s="468">
        <v>45485</v>
      </c>
      <c r="B4292" s="208" t="s">
        <v>3223</v>
      </c>
      <c r="C4292" s="208" t="s">
        <v>3331</v>
      </c>
      <c r="D4292" s="592">
        <v>-679000</v>
      </c>
      <c r="E4292" s="212">
        <v>45474</v>
      </c>
      <c r="F4292" s="201" t="s">
        <v>110</v>
      </c>
      <c r="G4292" s="208" t="s">
        <v>774</v>
      </c>
      <c r="H4292" s="208" t="s">
        <v>147</v>
      </c>
      <c r="I4292" s="208"/>
      <c r="J4292" s="209"/>
      <c r="K4292" s="209"/>
      <c r="L4292" s="209"/>
      <c r="M4292" s="209"/>
      <c r="N4292" s="209"/>
      <c r="O4292" s="209"/>
      <c r="P4292" s="209"/>
      <c r="Q4292" s="209"/>
      <c r="R4292" s="209"/>
      <c r="S4292" s="209"/>
      <c r="T4292" s="209"/>
    </row>
    <row r="4293" spans="1:20" ht="15" hidden="1" customHeight="1">
      <c r="A4293" s="468">
        <v>45485</v>
      </c>
      <c r="B4293" s="208" t="s">
        <v>3666</v>
      </c>
      <c r="C4293" s="208" t="s">
        <v>3331</v>
      </c>
      <c r="D4293" s="592">
        <v>-679000</v>
      </c>
      <c r="E4293" s="212">
        <v>45474</v>
      </c>
      <c r="F4293" s="208" t="s">
        <v>109</v>
      </c>
      <c r="G4293" s="201" t="s">
        <v>1306</v>
      </c>
      <c r="H4293" s="208" t="s">
        <v>147</v>
      </c>
      <c r="I4293" s="208"/>
      <c r="J4293" s="209"/>
      <c r="K4293" s="209"/>
      <c r="L4293" s="209"/>
      <c r="M4293" s="209"/>
      <c r="N4293" s="209"/>
      <c r="O4293" s="209"/>
      <c r="P4293" s="209"/>
      <c r="Q4293" s="209"/>
      <c r="R4293" s="209"/>
      <c r="S4293" s="209"/>
      <c r="T4293" s="209"/>
    </row>
    <row r="4294" spans="1:20" ht="15" hidden="1" customHeight="1">
      <c r="A4294" s="468">
        <v>45485</v>
      </c>
      <c r="B4294" s="208" t="s">
        <v>3667</v>
      </c>
      <c r="C4294" s="208" t="s">
        <v>3331</v>
      </c>
      <c r="D4294" s="592">
        <v>-719715</v>
      </c>
      <c r="E4294" s="212">
        <v>45474</v>
      </c>
      <c r="F4294" s="208" t="s">
        <v>207</v>
      </c>
      <c r="G4294" s="81" t="s">
        <v>2226</v>
      </c>
      <c r="H4294" s="208" t="s">
        <v>147</v>
      </c>
      <c r="I4294" s="208"/>
      <c r="J4294" s="209"/>
      <c r="K4294" s="209"/>
      <c r="L4294" s="209"/>
      <c r="M4294" s="209"/>
      <c r="N4294" s="209"/>
      <c r="O4294" s="209"/>
      <c r="P4294" s="209"/>
      <c r="Q4294" s="209"/>
      <c r="R4294" s="209"/>
      <c r="S4294" s="209"/>
      <c r="T4294" s="209"/>
    </row>
    <row r="4295" spans="1:20" ht="15" hidden="1" customHeight="1">
      <c r="A4295" s="468">
        <v>45485</v>
      </c>
      <c r="B4295" s="208" t="s">
        <v>3668</v>
      </c>
      <c r="C4295" s="208" t="s">
        <v>3331</v>
      </c>
      <c r="D4295" s="592">
        <v>-780000</v>
      </c>
      <c r="E4295" s="212">
        <v>45474</v>
      </c>
      <c r="F4295" s="201" t="s">
        <v>110</v>
      </c>
      <c r="G4295" s="638" t="s">
        <v>774</v>
      </c>
      <c r="H4295" s="208" t="s">
        <v>147</v>
      </c>
      <c r="I4295" s="208"/>
      <c r="J4295" s="209"/>
      <c r="K4295" s="209"/>
      <c r="L4295" s="564">
        <f>+L4277-L4284</f>
        <v>2663114.62</v>
      </c>
      <c r="M4295" s="209"/>
      <c r="N4295" s="209"/>
      <c r="O4295" s="209"/>
      <c r="P4295" s="209"/>
      <c r="Q4295" s="209"/>
      <c r="R4295" s="209"/>
      <c r="S4295" s="209"/>
      <c r="T4295" s="209"/>
    </row>
    <row r="4296" spans="1:20" ht="15" hidden="1" customHeight="1">
      <c r="A4296" s="468">
        <v>45485</v>
      </c>
      <c r="B4296" s="208" t="s">
        <v>3669</v>
      </c>
      <c r="C4296" s="208" t="s">
        <v>3331</v>
      </c>
      <c r="D4296" s="800">
        <v>-1126596</v>
      </c>
      <c r="E4296" s="212">
        <v>45474</v>
      </c>
      <c r="F4296" s="208" t="s">
        <v>109</v>
      </c>
      <c r="G4296" s="201" t="s">
        <v>581</v>
      </c>
      <c r="H4296" s="208"/>
      <c r="I4296" s="208"/>
      <c r="J4296" s="209"/>
      <c r="K4296" s="209"/>
      <c r="L4296" s="209"/>
      <c r="M4296" s="209"/>
      <c r="N4296" s="209"/>
      <c r="O4296" s="209"/>
      <c r="P4296" s="209"/>
      <c r="Q4296" s="209"/>
      <c r="R4296" s="209"/>
      <c r="S4296" s="209"/>
      <c r="T4296" s="209"/>
    </row>
    <row r="4297" spans="1:20" ht="15" hidden="1" customHeight="1">
      <c r="A4297" s="468">
        <v>45485</v>
      </c>
      <c r="B4297" s="208" t="s">
        <v>3008</v>
      </c>
      <c r="C4297" s="208" t="s">
        <v>3331</v>
      </c>
      <c r="D4297" s="592">
        <v>-390000</v>
      </c>
      <c r="E4297" s="212">
        <v>45474</v>
      </c>
      <c r="F4297" s="208" t="s">
        <v>130</v>
      </c>
      <c r="G4297" s="208" t="s">
        <v>257</v>
      </c>
      <c r="H4297" s="208" t="s">
        <v>182</v>
      </c>
      <c r="I4297" s="208"/>
      <c r="J4297" s="209"/>
      <c r="K4297" s="209"/>
      <c r="L4297" s="209"/>
      <c r="M4297" s="209"/>
      <c r="N4297" s="209"/>
      <c r="O4297" s="209"/>
      <c r="P4297" s="209"/>
      <c r="Q4297" s="209"/>
      <c r="R4297" s="209"/>
      <c r="S4297" s="209"/>
      <c r="T4297" s="209"/>
    </row>
    <row r="4298" spans="1:20" ht="15" hidden="1" customHeight="1">
      <c r="A4298" s="468">
        <v>45485</v>
      </c>
      <c r="B4298" s="208" t="s">
        <v>3268</v>
      </c>
      <c r="C4298" s="208" t="s">
        <v>3331</v>
      </c>
      <c r="D4298" s="592">
        <v>-679000</v>
      </c>
      <c r="E4298" s="212">
        <v>45474</v>
      </c>
      <c r="F4298" s="208" t="s">
        <v>207</v>
      </c>
      <c r="G4298" s="81" t="s">
        <v>2226</v>
      </c>
      <c r="H4298" s="208" t="s">
        <v>147</v>
      </c>
      <c r="I4298" s="208"/>
      <c r="J4298" s="209"/>
      <c r="K4298" s="209"/>
      <c r="L4298" s="209"/>
      <c r="M4298" s="209"/>
      <c r="N4298" s="209"/>
      <c r="O4298" s="209"/>
      <c r="P4298" s="209"/>
      <c r="Q4298" s="209"/>
      <c r="R4298" s="209"/>
      <c r="S4298" s="209"/>
      <c r="T4298" s="209"/>
    </row>
    <row r="4299" spans="1:20" ht="15" hidden="1" customHeight="1">
      <c r="A4299" s="468">
        <v>45485</v>
      </c>
      <c r="B4299" s="208" t="s">
        <v>3670</v>
      </c>
      <c r="C4299" s="208" t="s">
        <v>27</v>
      </c>
      <c r="D4299" s="592">
        <v>36000000</v>
      </c>
      <c r="E4299" s="212">
        <v>45474</v>
      </c>
      <c r="F4299" s="208" t="s">
        <v>109</v>
      </c>
      <c r="G4299" s="201" t="s">
        <v>1306</v>
      </c>
      <c r="H4299" s="208"/>
      <c r="I4299" s="208"/>
      <c r="J4299" s="209"/>
      <c r="K4299" s="209"/>
      <c r="L4299" s="209"/>
      <c r="M4299" s="209"/>
      <c r="N4299" s="209"/>
      <c r="O4299" s="209"/>
      <c r="P4299" s="209"/>
      <c r="Q4299" s="209"/>
      <c r="R4299" s="209"/>
      <c r="S4299" s="209"/>
      <c r="T4299" s="209"/>
    </row>
    <row r="4300" spans="1:20" ht="15" hidden="1" customHeight="1">
      <c r="A4300" s="468">
        <v>45485</v>
      </c>
      <c r="B4300" s="208" t="s">
        <v>3670</v>
      </c>
      <c r="C4300" s="208" t="s">
        <v>27</v>
      </c>
      <c r="D4300" s="592">
        <v>6622641</v>
      </c>
      <c r="E4300" s="212">
        <v>45474</v>
      </c>
      <c r="F4300" s="208" t="s">
        <v>109</v>
      </c>
      <c r="G4300" s="201" t="s">
        <v>1306</v>
      </c>
      <c r="H4300" s="208"/>
      <c r="I4300" s="208"/>
      <c r="J4300" s="209"/>
      <c r="K4300" s="209"/>
      <c r="L4300" s="209"/>
      <c r="M4300" s="209"/>
      <c r="N4300" s="209"/>
      <c r="O4300" s="209"/>
      <c r="P4300" s="209"/>
      <c r="Q4300" s="209"/>
      <c r="R4300" s="209"/>
      <c r="S4300" s="209"/>
      <c r="T4300" s="209"/>
    </row>
    <row r="4301" spans="1:20" ht="15" hidden="1" customHeight="1">
      <c r="A4301" s="468">
        <v>45485</v>
      </c>
      <c r="B4301" s="208" t="s">
        <v>3671</v>
      </c>
      <c r="C4301" s="208" t="s">
        <v>27</v>
      </c>
      <c r="D4301" s="592">
        <v>-675282</v>
      </c>
      <c r="E4301" s="212">
        <v>45474</v>
      </c>
      <c r="F4301" s="201" t="s">
        <v>110</v>
      </c>
      <c r="G4301" s="208" t="s">
        <v>2444</v>
      </c>
      <c r="H4301" s="208" t="s">
        <v>2444</v>
      </c>
      <c r="I4301" s="208"/>
      <c r="J4301" s="209"/>
      <c r="K4301" s="209"/>
      <c r="L4301" s="209"/>
      <c r="M4301" s="209"/>
      <c r="N4301" s="209"/>
      <c r="O4301" s="209"/>
      <c r="P4301" s="209"/>
      <c r="Q4301" s="209"/>
      <c r="R4301" s="209"/>
      <c r="S4301" s="209"/>
      <c r="T4301" s="209"/>
    </row>
    <row r="4302" spans="1:20" ht="15" hidden="1" customHeight="1">
      <c r="A4302" s="468">
        <v>45485</v>
      </c>
      <c r="B4302" s="208" t="s">
        <v>3672</v>
      </c>
      <c r="C4302" s="208" t="s">
        <v>27</v>
      </c>
      <c r="D4302" s="592">
        <v>-1300000</v>
      </c>
      <c r="E4302" s="212">
        <v>45474</v>
      </c>
      <c r="F4302" s="635" t="s">
        <v>130</v>
      </c>
      <c r="G4302" s="208" t="s">
        <v>130</v>
      </c>
      <c r="H4302" s="208" t="s">
        <v>182</v>
      </c>
      <c r="I4302" s="208"/>
      <c r="J4302" s="209"/>
      <c r="K4302" s="209"/>
      <c r="L4302" s="209"/>
      <c r="M4302" s="209"/>
      <c r="N4302" s="209"/>
      <c r="O4302" s="209"/>
      <c r="P4302" s="209"/>
      <c r="Q4302" s="209"/>
      <c r="R4302" s="209"/>
      <c r="S4302" s="209"/>
      <c r="T4302" s="209"/>
    </row>
    <row r="4303" spans="1:20" ht="15" hidden="1" customHeight="1">
      <c r="A4303" s="468">
        <v>45481</v>
      </c>
      <c r="B4303" s="81" t="s">
        <v>3673</v>
      </c>
      <c r="C4303" s="208" t="s">
        <v>643</v>
      </c>
      <c r="D4303" s="592">
        <v>-37400</v>
      </c>
      <c r="E4303" s="212">
        <v>45474</v>
      </c>
      <c r="F4303" s="208" t="s">
        <v>130</v>
      </c>
      <c r="G4303" s="208" t="s">
        <v>257</v>
      </c>
      <c r="H4303" s="208" t="s">
        <v>303</v>
      </c>
      <c r="I4303" s="208"/>
      <c r="J4303" s="209"/>
      <c r="K4303" s="209"/>
      <c r="L4303" s="209"/>
      <c r="M4303" s="209"/>
      <c r="N4303" s="209"/>
      <c r="O4303" s="209"/>
      <c r="P4303" s="209"/>
      <c r="Q4303" s="209"/>
      <c r="R4303" s="209"/>
      <c r="S4303" s="209"/>
      <c r="T4303" s="209"/>
    </row>
    <row r="4304" spans="1:20" ht="14.15" hidden="1">
      <c r="A4304" s="468">
        <v>45481</v>
      </c>
      <c r="B4304" s="81" t="s">
        <v>3018</v>
      </c>
      <c r="C4304" s="208" t="s">
        <v>643</v>
      </c>
      <c r="D4304" s="592">
        <v>-60000</v>
      </c>
      <c r="E4304" s="212">
        <v>45474</v>
      </c>
      <c r="F4304" s="208" t="s">
        <v>109</v>
      </c>
      <c r="G4304" s="208" t="s">
        <v>3644</v>
      </c>
      <c r="H4304" s="208" t="s">
        <v>3674</v>
      </c>
      <c r="I4304" s="208"/>
      <c r="J4304" s="209"/>
      <c r="K4304" s="209"/>
      <c r="L4304" s="209"/>
      <c r="M4304" s="209"/>
      <c r="N4304" s="209"/>
      <c r="O4304" s="209"/>
      <c r="P4304" s="209"/>
      <c r="Q4304" s="209"/>
      <c r="R4304" s="209"/>
      <c r="S4304" s="209"/>
      <c r="T4304" s="209"/>
    </row>
    <row r="4305" spans="1:20" ht="15" hidden="1" customHeight="1">
      <c r="A4305" s="468">
        <v>45481</v>
      </c>
      <c r="B4305" s="81" t="s">
        <v>3675</v>
      </c>
      <c r="C4305" s="208" t="s">
        <v>643</v>
      </c>
      <c r="D4305" s="592">
        <v>-61000</v>
      </c>
      <c r="E4305" s="212">
        <v>45474</v>
      </c>
      <c r="F4305" s="208" t="s">
        <v>130</v>
      </c>
      <c r="G4305" s="208" t="s">
        <v>257</v>
      </c>
      <c r="H4305" s="208" t="s">
        <v>1138</v>
      </c>
      <c r="I4305" s="208" t="s">
        <v>77</v>
      </c>
      <c r="J4305" s="209"/>
      <c r="K4305" s="209"/>
      <c r="L4305" s="209"/>
      <c r="M4305" s="209"/>
      <c r="N4305" s="209"/>
      <c r="O4305" s="209"/>
      <c r="P4305" s="209"/>
      <c r="Q4305" s="209"/>
      <c r="R4305" s="209"/>
      <c r="S4305" s="209"/>
      <c r="T4305" s="209"/>
    </row>
    <row r="4306" spans="1:20" ht="15" hidden="1" customHeight="1">
      <c r="A4306" s="468">
        <v>45482</v>
      </c>
      <c r="B4306" s="81" t="s">
        <v>3676</v>
      </c>
      <c r="C4306" s="208" t="s">
        <v>643</v>
      </c>
      <c r="D4306" s="592">
        <v>-6500</v>
      </c>
      <c r="E4306" s="212">
        <v>45474</v>
      </c>
      <c r="F4306" s="208" t="s">
        <v>130</v>
      </c>
      <c r="G4306" s="208" t="s">
        <v>257</v>
      </c>
      <c r="H4306" s="208" t="s">
        <v>1138</v>
      </c>
      <c r="I4306" s="208" t="s">
        <v>77</v>
      </c>
      <c r="J4306" s="209"/>
      <c r="K4306" s="209"/>
      <c r="L4306" s="209"/>
      <c r="M4306" s="209"/>
      <c r="N4306" s="209"/>
      <c r="O4306" s="209"/>
      <c r="P4306" s="209"/>
      <c r="Q4306" s="209"/>
      <c r="R4306" s="209"/>
      <c r="S4306" s="209"/>
      <c r="T4306" s="209"/>
    </row>
    <row r="4307" spans="1:20" ht="15" hidden="1" customHeight="1">
      <c r="A4307" s="468">
        <v>45482</v>
      </c>
      <c r="B4307" s="81" t="s">
        <v>3017</v>
      </c>
      <c r="C4307" s="208" t="s">
        <v>643</v>
      </c>
      <c r="D4307" s="592">
        <v>-95520</v>
      </c>
      <c r="E4307" s="212">
        <v>45474</v>
      </c>
      <c r="F4307" s="208" t="s">
        <v>130</v>
      </c>
      <c r="G4307" s="208" t="s">
        <v>130</v>
      </c>
      <c r="H4307" s="208" t="s">
        <v>1245</v>
      </c>
      <c r="I4307" s="208"/>
      <c r="J4307" s="209"/>
      <c r="K4307" s="209"/>
      <c r="L4307" s="209"/>
      <c r="M4307" s="209"/>
      <c r="N4307" s="209"/>
      <c r="O4307" s="209"/>
      <c r="P4307" s="209"/>
      <c r="Q4307" s="209"/>
      <c r="R4307" s="209"/>
      <c r="S4307" s="209"/>
      <c r="T4307" s="209"/>
    </row>
    <row r="4308" spans="1:20" ht="15" hidden="1" customHeight="1">
      <c r="A4308" s="468">
        <v>45482</v>
      </c>
      <c r="B4308" s="81" t="s">
        <v>3677</v>
      </c>
      <c r="C4308" s="208" t="s">
        <v>643</v>
      </c>
      <c r="D4308" s="592">
        <v>-72178</v>
      </c>
      <c r="E4308" s="212">
        <v>45474</v>
      </c>
      <c r="F4308" s="208" t="s">
        <v>130</v>
      </c>
      <c r="G4308" s="208" t="s">
        <v>257</v>
      </c>
      <c r="H4308" s="208" t="s">
        <v>303</v>
      </c>
      <c r="I4308" s="208"/>
      <c r="J4308" s="209"/>
      <c r="K4308" s="209"/>
      <c r="L4308" s="209"/>
      <c r="M4308" s="209"/>
      <c r="N4308" s="209"/>
      <c r="O4308" s="209"/>
      <c r="P4308" s="209"/>
      <c r="Q4308" s="209"/>
      <c r="R4308" s="209"/>
      <c r="S4308" s="209"/>
      <c r="T4308" s="209"/>
    </row>
    <row r="4309" spans="1:20" s="454" customFormat="1" ht="15" hidden="1" customHeight="1">
      <c r="A4309" s="468">
        <v>45484</v>
      </c>
      <c r="B4309" s="208" t="s">
        <v>3678</v>
      </c>
      <c r="C4309" s="208" t="s">
        <v>3331</v>
      </c>
      <c r="D4309" s="592">
        <v>-55661000</v>
      </c>
      <c r="E4309" s="212">
        <v>45474</v>
      </c>
      <c r="F4309" s="208" t="s">
        <v>3679</v>
      </c>
      <c r="G4309" s="208"/>
      <c r="H4309" s="208"/>
      <c r="I4309" s="208"/>
      <c r="J4309" s="209"/>
      <c r="K4309" s="209"/>
      <c r="L4309" s="209"/>
      <c r="M4309" s="209"/>
      <c r="N4309" s="209"/>
      <c r="O4309" s="209"/>
      <c r="P4309" s="209"/>
      <c r="Q4309" s="209"/>
      <c r="R4309" s="209"/>
      <c r="S4309" s="209"/>
      <c r="T4309" s="209"/>
    </row>
    <row r="4310" spans="1:20" ht="15" hidden="1" customHeight="1">
      <c r="A4310" s="468">
        <v>45484</v>
      </c>
      <c r="B4310" s="208" t="s">
        <v>3022</v>
      </c>
      <c r="C4310" s="208" t="s">
        <v>3331</v>
      </c>
      <c r="D4310" s="291">
        <v>1227000</v>
      </c>
      <c r="E4310" s="212">
        <v>45474</v>
      </c>
      <c r="F4310" s="654" t="s">
        <v>108</v>
      </c>
      <c r="G4310" s="635"/>
      <c r="H4310" s="208"/>
      <c r="I4310" s="208"/>
      <c r="J4310" s="209"/>
      <c r="K4310" s="209"/>
      <c r="L4310" s="209"/>
      <c r="M4310" s="209"/>
      <c r="N4310" s="209"/>
      <c r="O4310" s="209"/>
      <c r="P4310" s="209"/>
      <c r="Q4310" s="209"/>
      <c r="R4310" s="209"/>
      <c r="S4310" s="209"/>
      <c r="T4310" s="209"/>
    </row>
    <row r="4311" spans="1:20" ht="15" hidden="1" customHeight="1">
      <c r="A4311" s="468">
        <v>45484</v>
      </c>
      <c r="B4311" s="208" t="s">
        <v>3680</v>
      </c>
      <c r="C4311" s="208" t="s">
        <v>3331</v>
      </c>
      <c r="D4311" s="291">
        <v>438000</v>
      </c>
      <c r="E4311" s="212">
        <v>45474</v>
      </c>
      <c r="F4311" s="654" t="s">
        <v>108</v>
      </c>
      <c r="G4311" s="635"/>
      <c r="H4311" s="208"/>
      <c r="I4311" s="208"/>
      <c r="J4311" s="209"/>
      <c r="K4311" s="209"/>
      <c r="L4311" s="209"/>
      <c r="M4311" s="209"/>
      <c r="N4311" s="209"/>
      <c r="O4311" s="209"/>
      <c r="P4311" s="209"/>
      <c r="Q4311" s="209"/>
      <c r="R4311" s="209"/>
      <c r="S4311" s="209"/>
      <c r="T4311" s="209"/>
    </row>
    <row r="4312" spans="1:20" ht="15" hidden="1" customHeight="1">
      <c r="A4312" s="468">
        <v>45485</v>
      </c>
      <c r="B4312" s="208" t="s">
        <v>3228</v>
      </c>
      <c r="C4312" s="208" t="s">
        <v>3331</v>
      </c>
      <c r="D4312" s="592">
        <v>-226333</v>
      </c>
      <c r="E4312" s="212">
        <v>45474</v>
      </c>
      <c r="F4312" s="201" t="s">
        <v>110</v>
      </c>
      <c r="G4312" s="208" t="s">
        <v>774</v>
      </c>
      <c r="H4312" s="208" t="s">
        <v>508</v>
      </c>
      <c r="I4312" s="208"/>
      <c r="J4312" s="209"/>
      <c r="K4312" s="209"/>
      <c r="L4312" s="209"/>
      <c r="M4312" s="209"/>
      <c r="N4312" s="209"/>
      <c r="O4312" s="209"/>
      <c r="P4312" s="209"/>
      <c r="Q4312" s="209"/>
      <c r="R4312" s="209"/>
      <c r="S4312" s="209"/>
      <c r="T4312" s="209"/>
    </row>
    <row r="4313" spans="1:20" ht="15" hidden="1" customHeight="1">
      <c r="A4313" s="468">
        <v>45485</v>
      </c>
      <c r="B4313" s="208" t="s">
        <v>3228</v>
      </c>
      <c r="C4313" s="208" t="s">
        <v>3331</v>
      </c>
      <c r="D4313" s="592">
        <v>-226333</v>
      </c>
      <c r="E4313" s="212">
        <v>45474</v>
      </c>
      <c r="F4313" s="208" t="s">
        <v>109</v>
      </c>
      <c r="G4313" s="201" t="s">
        <v>1306</v>
      </c>
      <c r="H4313" s="208" t="s">
        <v>508</v>
      </c>
      <c r="I4313" s="208"/>
      <c r="J4313" s="209"/>
      <c r="K4313" s="209"/>
      <c r="L4313" s="209"/>
      <c r="M4313" s="209"/>
      <c r="N4313" s="209"/>
      <c r="O4313" s="209"/>
      <c r="P4313" s="209"/>
      <c r="Q4313" s="209"/>
      <c r="R4313" s="209"/>
      <c r="S4313" s="209"/>
      <c r="T4313" s="209"/>
    </row>
    <row r="4314" spans="1:20" ht="15" hidden="1" customHeight="1">
      <c r="A4314" s="468">
        <v>45485</v>
      </c>
      <c r="B4314" s="208" t="s">
        <v>3228</v>
      </c>
      <c r="C4314" s="208" t="s">
        <v>3331</v>
      </c>
      <c r="D4314" s="592">
        <v>-226334</v>
      </c>
      <c r="E4314" s="212">
        <v>45474</v>
      </c>
      <c r="F4314" s="208" t="s">
        <v>207</v>
      </c>
      <c r="G4314" s="81" t="s">
        <v>2226</v>
      </c>
      <c r="H4314" s="208" t="s">
        <v>147</v>
      </c>
      <c r="I4314" s="208"/>
      <c r="J4314" s="209"/>
      <c r="K4314" s="209"/>
      <c r="L4314" s="209"/>
      <c r="M4314" s="209"/>
      <c r="N4314" s="209"/>
      <c r="O4314" s="209"/>
      <c r="P4314" s="209"/>
      <c r="Q4314" s="209"/>
      <c r="R4314" s="209"/>
      <c r="S4314" s="209"/>
      <c r="T4314" s="209"/>
    </row>
    <row r="4315" spans="1:20" ht="15" hidden="1" customHeight="1">
      <c r="A4315" s="468">
        <v>45485</v>
      </c>
      <c r="B4315" s="208" t="s">
        <v>3681</v>
      </c>
      <c r="C4315" s="208" t="s">
        <v>3331</v>
      </c>
      <c r="D4315" s="592">
        <v>-224434</v>
      </c>
      <c r="E4315" s="212">
        <v>45474</v>
      </c>
      <c r="F4315" s="201" t="s">
        <v>110</v>
      </c>
      <c r="G4315" s="638" t="s">
        <v>774</v>
      </c>
      <c r="H4315" s="208" t="s">
        <v>175</v>
      </c>
      <c r="I4315" s="208"/>
      <c r="J4315" s="209"/>
      <c r="K4315" s="209"/>
      <c r="L4315" s="209"/>
      <c r="M4315" s="209"/>
      <c r="N4315" s="209"/>
      <c r="O4315" s="209"/>
      <c r="P4315" s="209"/>
      <c r="Q4315" s="209"/>
      <c r="R4315" s="209"/>
      <c r="S4315" s="209"/>
      <c r="T4315" s="209"/>
    </row>
    <row r="4316" spans="1:20" s="474" customFormat="1" ht="15" hidden="1" customHeight="1">
      <c r="A4316" s="468">
        <v>45488</v>
      </c>
      <c r="B4316" s="208" t="s">
        <v>3682</v>
      </c>
      <c r="C4316" s="208" t="s">
        <v>3331</v>
      </c>
      <c r="D4316" s="291">
        <v>467701</v>
      </c>
      <c r="E4316" s="212">
        <v>45474</v>
      </c>
      <c r="F4316" s="208" t="s">
        <v>108</v>
      </c>
      <c r="G4316" s="208"/>
      <c r="H4316" s="208"/>
      <c r="I4316" s="208"/>
      <c r="J4316" s="209"/>
      <c r="K4316" s="209"/>
      <c r="L4316" s="209"/>
      <c r="M4316" s="209"/>
      <c r="N4316" s="209"/>
      <c r="O4316" s="209"/>
      <c r="P4316" s="209"/>
      <c r="Q4316" s="209"/>
      <c r="R4316" s="209"/>
      <c r="S4316" s="209"/>
      <c r="T4316" s="209"/>
    </row>
    <row r="4317" spans="1:20" ht="15" hidden="1" customHeight="1">
      <c r="A4317" s="468">
        <v>45492</v>
      </c>
      <c r="B4317" s="208" t="s">
        <v>3683</v>
      </c>
      <c r="C4317" s="208" t="s">
        <v>27</v>
      </c>
      <c r="D4317" s="592">
        <v>-9354240</v>
      </c>
      <c r="E4317" s="212">
        <v>45474</v>
      </c>
      <c r="F4317" s="208" t="s">
        <v>109</v>
      </c>
      <c r="G4317" s="201" t="s">
        <v>1306</v>
      </c>
      <c r="H4317" s="208" t="s">
        <v>123</v>
      </c>
      <c r="I4317" s="208"/>
      <c r="J4317" s="209"/>
      <c r="K4317" s="209"/>
      <c r="L4317" s="209"/>
      <c r="M4317" s="209"/>
      <c r="N4317" s="209"/>
      <c r="O4317" s="209"/>
      <c r="P4317" s="209"/>
      <c r="Q4317" s="209"/>
      <c r="R4317" s="209"/>
      <c r="S4317" s="209"/>
      <c r="T4317" s="209"/>
    </row>
    <row r="4318" spans="1:20" s="474" customFormat="1" ht="15" hidden="1" customHeight="1">
      <c r="A4318" s="468">
        <v>45479</v>
      </c>
      <c r="B4318" s="208" t="s">
        <v>2699</v>
      </c>
      <c r="C4318" s="223" t="s">
        <v>146</v>
      </c>
      <c r="D4318" s="800">
        <v>-12900</v>
      </c>
      <c r="E4318" s="212">
        <v>45474</v>
      </c>
      <c r="F4318" s="208" t="s">
        <v>109</v>
      </c>
      <c r="G4318" s="201" t="s">
        <v>581</v>
      </c>
      <c r="H4318" s="208" t="s">
        <v>138</v>
      </c>
      <c r="I4318" s="208" t="s">
        <v>1347</v>
      </c>
      <c r="J4318" s="209"/>
      <c r="K4318" s="209"/>
      <c r="L4318" s="209"/>
      <c r="M4318" s="209"/>
      <c r="N4318" s="209"/>
      <c r="O4318" s="209"/>
      <c r="P4318" s="209"/>
      <c r="Q4318" s="209"/>
      <c r="R4318" s="209"/>
      <c r="S4318" s="209"/>
      <c r="T4318" s="209"/>
    </row>
    <row r="4319" spans="1:20" ht="15" hidden="1" customHeight="1">
      <c r="A4319" s="468">
        <v>45480</v>
      </c>
      <c r="B4319" s="208" t="s">
        <v>3684</v>
      </c>
      <c r="C4319" s="223" t="s">
        <v>146</v>
      </c>
      <c r="D4319" s="800">
        <v>-132000</v>
      </c>
      <c r="E4319" s="212">
        <v>45474</v>
      </c>
      <c r="F4319" s="208" t="s">
        <v>109</v>
      </c>
      <c r="G4319" s="201" t="s">
        <v>581</v>
      </c>
      <c r="H4319" s="208" t="s">
        <v>138</v>
      </c>
      <c r="I4319" s="208" t="s">
        <v>1347</v>
      </c>
      <c r="J4319" s="209"/>
      <c r="K4319" s="209"/>
      <c r="L4319" s="209"/>
      <c r="M4319" s="209"/>
      <c r="N4319" s="209"/>
      <c r="O4319" s="209"/>
      <c r="P4319" s="209"/>
      <c r="Q4319" s="209"/>
      <c r="R4319" s="209"/>
      <c r="S4319" s="209"/>
      <c r="T4319" s="209"/>
    </row>
    <row r="4320" spans="1:20" ht="15" hidden="1" customHeight="1">
      <c r="A4320" s="468">
        <v>45480</v>
      </c>
      <c r="B4320" s="208" t="s">
        <v>3685</v>
      </c>
      <c r="C4320" s="223" t="s">
        <v>146</v>
      </c>
      <c r="D4320" s="800">
        <v>-12900</v>
      </c>
      <c r="E4320" s="212">
        <v>45474</v>
      </c>
      <c r="F4320" s="208" t="s">
        <v>109</v>
      </c>
      <c r="G4320" s="201" t="s">
        <v>581</v>
      </c>
      <c r="H4320" s="208" t="s">
        <v>138</v>
      </c>
      <c r="I4320" s="208" t="s">
        <v>1347</v>
      </c>
      <c r="J4320" s="209"/>
      <c r="K4320" s="209"/>
      <c r="L4320" s="209"/>
      <c r="M4320" s="209"/>
      <c r="N4320" s="209"/>
      <c r="O4320" s="209"/>
      <c r="P4320" s="209"/>
      <c r="Q4320" s="209"/>
      <c r="R4320" s="209"/>
      <c r="S4320" s="209"/>
      <c r="T4320" s="209"/>
    </row>
    <row r="4321" spans="1:20" ht="15" hidden="1" customHeight="1">
      <c r="A4321" s="468">
        <v>45481</v>
      </c>
      <c r="B4321" s="208" t="s">
        <v>3686</v>
      </c>
      <c r="C4321" s="223" t="s">
        <v>146</v>
      </c>
      <c r="D4321" s="800">
        <v>-74000</v>
      </c>
      <c r="E4321" s="212">
        <v>45474</v>
      </c>
      <c r="F4321" s="208" t="s">
        <v>109</v>
      </c>
      <c r="G4321" s="201" t="s">
        <v>581</v>
      </c>
      <c r="H4321" s="208" t="s">
        <v>138</v>
      </c>
      <c r="I4321" s="208" t="s">
        <v>1347</v>
      </c>
      <c r="J4321" s="209"/>
      <c r="K4321" s="209"/>
      <c r="L4321" s="209"/>
      <c r="M4321" s="209"/>
      <c r="N4321" s="209"/>
      <c r="O4321" s="209"/>
      <c r="P4321" s="209"/>
      <c r="Q4321" s="209"/>
      <c r="R4321" s="209"/>
      <c r="S4321" s="209"/>
      <c r="T4321" s="209"/>
    </row>
    <row r="4322" spans="1:20" ht="15" hidden="1" customHeight="1">
      <c r="A4322" s="468">
        <v>45481</v>
      </c>
      <c r="B4322" s="208" t="s">
        <v>3687</v>
      </c>
      <c r="C4322" s="223" t="s">
        <v>146</v>
      </c>
      <c r="D4322" s="800">
        <v>-30000</v>
      </c>
      <c r="E4322" s="212">
        <v>45474</v>
      </c>
      <c r="F4322" s="208" t="s">
        <v>109</v>
      </c>
      <c r="G4322" s="201" t="s">
        <v>581</v>
      </c>
      <c r="H4322" s="208" t="s">
        <v>175</v>
      </c>
      <c r="I4322" s="208" t="s">
        <v>1347</v>
      </c>
      <c r="J4322" s="209"/>
      <c r="K4322" s="209"/>
      <c r="L4322" s="209"/>
      <c r="M4322" s="209"/>
      <c r="N4322" s="209"/>
      <c r="O4322" s="209"/>
      <c r="P4322" s="209"/>
      <c r="Q4322" s="209"/>
      <c r="R4322" s="209"/>
      <c r="S4322" s="209"/>
      <c r="T4322" s="209"/>
    </row>
    <row r="4323" spans="1:20" ht="15" hidden="1" customHeight="1">
      <c r="A4323" s="468">
        <v>45482</v>
      </c>
      <c r="B4323" s="208" t="s">
        <v>3688</v>
      </c>
      <c r="C4323" s="223" t="s">
        <v>146</v>
      </c>
      <c r="D4323" s="800">
        <v>-100000</v>
      </c>
      <c r="E4323" s="212">
        <v>45474</v>
      </c>
      <c r="F4323" s="208" t="s">
        <v>109</v>
      </c>
      <c r="G4323" s="201" t="s">
        <v>581</v>
      </c>
      <c r="H4323" s="208" t="s">
        <v>175</v>
      </c>
      <c r="I4323" s="208" t="s">
        <v>1347</v>
      </c>
      <c r="J4323" s="209"/>
      <c r="K4323" s="209"/>
      <c r="L4323" s="209"/>
      <c r="M4323" s="209"/>
      <c r="N4323" s="209"/>
      <c r="O4323" s="209"/>
      <c r="P4323" s="209"/>
      <c r="Q4323" s="209"/>
      <c r="R4323" s="209"/>
      <c r="S4323" s="209"/>
      <c r="T4323" s="209"/>
    </row>
    <row r="4324" spans="1:20" ht="15" hidden="1" customHeight="1">
      <c r="A4324" s="468">
        <v>45482</v>
      </c>
      <c r="B4324" s="208" t="s">
        <v>3689</v>
      </c>
      <c r="C4324" s="223" t="s">
        <v>146</v>
      </c>
      <c r="D4324" s="800">
        <v>-4000</v>
      </c>
      <c r="E4324" s="212">
        <v>45474</v>
      </c>
      <c r="F4324" s="208" t="s">
        <v>109</v>
      </c>
      <c r="G4324" s="201" t="s">
        <v>581</v>
      </c>
      <c r="H4324" s="208" t="s">
        <v>175</v>
      </c>
      <c r="I4324" s="208" t="s">
        <v>1347</v>
      </c>
      <c r="J4324" s="209"/>
      <c r="K4324" s="209"/>
      <c r="L4324" s="209"/>
      <c r="M4324" s="209"/>
      <c r="N4324" s="209"/>
      <c r="O4324" s="209"/>
      <c r="P4324" s="209"/>
      <c r="Q4324" s="209"/>
      <c r="R4324" s="209"/>
      <c r="S4324" s="209"/>
      <c r="T4324" s="209"/>
    </row>
    <row r="4325" spans="1:20" ht="15" hidden="1" customHeight="1">
      <c r="A4325" s="468">
        <v>45482</v>
      </c>
      <c r="B4325" s="208" t="s">
        <v>3690</v>
      </c>
      <c r="C4325" s="223" t="s">
        <v>146</v>
      </c>
      <c r="D4325" s="800">
        <v>-16000</v>
      </c>
      <c r="E4325" s="212">
        <v>45474</v>
      </c>
      <c r="F4325" s="208" t="s">
        <v>109</v>
      </c>
      <c r="G4325" s="201" t="s">
        <v>581</v>
      </c>
      <c r="H4325" s="208" t="s">
        <v>175</v>
      </c>
      <c r="I4325" s="208" t="s">
        <v>1347</v>
      </c>
      <c r="J4325" s="209"/>
      <c r="K4325" s="209"/>
      <c r="L4325" s="209"/>
      <c r="M4325" s="209"/>
      <c r="N4325" s="209"/>
      <c r="O4325" s="209"/>
      <c r="P4325" s="209"/>
      <c r="Q4325" s="209"/>
      <c r="R4325" s="209"/>
      <c r="S4325" s="209"/>
      <c r="T4325" s="209"/>
    </row>
    <row r="4326" spans="1:20" ht="15" hidden="1" customHeight="1">
      <c r="A4326" s="468">
        <v>45483</v>
      </c>
      <c r="B4326" s="208" t="s">
        <v>3691</v>
      </c>
      <c r="C4326" s="223" t="s">
        <v>146</v>
      </c>
      <c r="D4326" s="800">
        <v>-5000</v>
      </c>
      <c r="E4326" s="212">
        <v>45474</v>
      </c>
      <c r="F4326" s="208" t="s">
        <v>109</v>
      </c>
      <c r="G4326" s="201" t="s">
        <v>581</v>
      </c>
      <c r="H4326" s="208" t="s">
        <v>138</v>
      </c>
      <c r="I4326" s="208" t="s">
        <v>1347</v>
      </c>
      <c r="J4326" s="209"/>
      <c r="K4326" s="209"/>
      <c r="L4326" s="209"/>
      <c r="M4326" s="209"/>
      <c r="N4326" s="209"/>
      <c r="O4326" s="209"/>
      <c r="P4326" s="209"/>
      <c r="Q4326" s="209"/>
      <c r="R4326" s="209"/>
      <c r="S4326" s="209"/>
      <c r="T4326" s="209"/>
    </row>
    <row r="4327" spans="1:20" ht="15" hidden="1" customHeight="1">
      <c r="A4327" s="468">
        <v>45483</v>
      </c>
      <c r="B4327" s="208" t="s">
        <v>3692</v>
      </c>
      <c r="C4327" s="223" t="s">
        <v>146</v>
      </c>
      <c r="D4327" s="800">
        <v>-10000</v>
      </c>
      <c r="E4327" s="212">
        <v>45474</v>
      </c>
      <c r="F4327" s="208" t="s">
        <v>109</v>
      </c>
      <c r="G4327" s="201" t="s">
        <v>581</v>
      </c>
      <c r="H4327" s="208" t="s">
        <v>138</v>
      </c>
      <c r="I4327" s="208" t="s">
        <v>1347</v>
      </c>
      <c r="J4327" s="209"/>
      <c r="K4327" s="209"/>
      <c r="L4327" s="209"/>
      <c r="M4327" s="209"/>
      <c r="N4327" s="209"/>
      <c r="O4327" s="209"/>
      <c r="P4327" s="209"/>
      <c r="Q4327" s="209"/>
      <c r="R4327" s="209"/>
      <c r="S4327" s="209"/>
      <c r="T4327" s="209"/>
    </row>
    <row r="4328" spans="1:20" ht="15" hidden="1" customHeight="1">
      <c r="A4328" s="468">
        <v>45483</v>
      </c>
      <c r="B4328" s="208" t="s">
        <v>3693</v>
      </c>
      <c r="C4328" s="223" t="s">
        <v>146</v>
      </c>
      <c r="D4328" s="800">
        <v>-12000</v>
      </c>
      <c r="E4328" s="212">
        <v>45474</v>
      </c>
      <c r="F4328" s="208" t="s">
        <v>109</v>
      </c>
      <c r="G4328" s="201" t="s">
        <v>581</v>
      </c>
      <c r="H4328" s="208" t="s">
        <v>147</v>
      </c>
      <c r="I4328" s="208" t="s">
        <v>1347</v>
      </c>
      <c r="J4328" s="209"/>
      <c r="K4328" s="209"/>
      <c r="L4328" s="209"/>
      <c r="M4328" s="209"/>
      <c r="N4328" s="209"/>
      <c r="O4328" s="209"/>
      <c r="P4328" s="209"/>
      <c r="Q4328" s="209"/>
      <c r="R4328" s="209"/>
      <c r="S4328" s="209"/>
      <c r="T4328" s="209"/>
    </row>
    <row r="4329" spans="1:20" ht="15" hidden="1" customHeight="1">
      <c r="A4329" s="468">
        <v>45483</v>
      </c>
      <c r="B4329" s="208" t="s">
        <v>3694</v>
      </c>
      <c r="C4329" s="223" t="s">
        <v>146</v>
      </c>
      <c r="D4329" s="800">
        <v>-25000</v>
      </c>
      <c r="E4329" s="212">
        <v>45474</v>
      </c>
      <c r="F4329" s="208" t="s">
        <v>109</v>
      </c>
      <c r="G4329" s="201" t="s">
        <v>581</v>
      </c>
      <c r="H4329" s="208" t="s">
        <v>175</v>
      </c>
      <c r="I4329" s="208" t="s">
        <v>1347</v>
      </c>
      <c r="J4329" s="209"/>
      <c r="K4329" s="209"/>
      <c r="L4329" s="209"/>
      <c r="M4329" s="209"/>
      <c r="N4329" s="209"/>
      <c r="O4329" s="209"/>
      <c r="P4329" s="209"/>
      <c r="Q4329" s="209"/>
      <c r="R4329" s="209"/>
      <c r="S4329" s="209"/>
      <c r="T4329" s="209"/>
    </row>
    <row r="4330" spans="1:20" ht="15" hidden="1" customHeight="1">
      <c r="A4330" s="468">
        <v>45484</v>
      </c>
      <c r="B4330" s="208" t="s">
        <v>3695</v>
      </c>
      <c r="C4330" s="223" t="s">
        <v>146</v>
      </c>
      <c r="D4330" s="800">
        <v>-25000</v>
      </c>
      <c r="E4330" s="212">
        <v>45474</v>
      </c>
      <c r="F4330" s="208" t="s">
        <v>109</v>
      </c>
      <c r="G4330" s="201" t="s">
        <v>581</v>
      </c>
      <c r="H4330" s="208" t="s">
        <v>175</v>
      </c>
      <c r="I4330" s="208" t="s">
        <v>1347</v>
      </c>
      <c r="J4330" s="209"/>
      <c r="K4330" s="209"/>
      <c r="L4330" s="209"/>
      <c r="M4330" s="209"/>
      <c r="N4330" s="209"/>
      <c r="O4330" s="209"/>
      <c r="P4330" s="209"/>
      <c r="Q4330" s="209"/>
      <c r="R4330" s="209"/>
      <c r="S4330" s="209"/>
      <c r="T4330" s="209"/>
    </row>
    <row r="4331" spans="1:20" ht="15" hidden="1" customHeight="1">
      <c r="A4331" s="468">
        <v>45484</v>
      </c>
      <c r="B4331" s="208" t="s">
        <v>3696</v>
      </c>
      <c r="C4331" s="223" t="s">
        <v>146</v>
      </c>
      <c r="D4331" s="800">
        <v>-12900</v>
      </c>
      <c r="E4331" s="212">
        <v>45474</v>
      </c>
      <c r="F4331" s="208" t="s">
        <v>109</v>
      </c>
      <c r="G4331" s="201" t="s">
        <v>581</v>
      </c>
      <c r="H4331" s="208" t="s">
        <v>138</v>
      </c>
      <c r="I4331" s="208" t="s">
        <v>1347</v>
      </c>
      <c r="J4331" s="209"/>
      <c r="K4331" s="209"/>
      <c r="L4331" s="209"/>
      <c r="M4331" s="209"/>
      <c r="N4331" s="209"/>
      <c r="O4331" s="209"/>
      <c r="P4331" s="209"/>
      <c r="Q4331" s="209"/>
      <c r="R4331" s="209"/>
      <c r="S4331" s="209"/>
      <c r="T4331" s="209"/>
    </row>
    <row r="4332" spans="1:20" ht="15" hidden="1" customHeight="1">
      <c r="A4332" s="468">
        <v>45484</v>
      </c>
      <c r="B4332" s="208" t="s">
        <v>3697</v>
      </c>
      <c r="C4332" s="223" t="s">
        <v>146</v>
      </c>
      <c r="D4332" s="800">
        <v>-20000</v>
      </c>
      <c r="E4332" s="212">
        <v>45474</v>
      </c>
      <c r="F4332" s="208" t="s">
        <v>109</v>
      </c>
      <c r="G4332" s="201" t="s">
        <v>581</v>
      </c>
      <c r="H4332" s="208" t="s">
        <v>138</v>
      </c>
      <c r="I4332" s="208" t="s">
        <v>1347</v>
      </c>
      <c r="J4332" s="209"/>
      <c r="K4332" s="209"/>
      <c r="L4332" s="209"/>
      <c r="M4332" s="209"/>
      <c r="N4332" s="209"/>
      <c r="O4332" s="209"/>
      <c r="P4332" s="209"/>
      <c r="Q4332" s="209"/>
      <c r="R4332" s="209"/>
      <c r="S4332" s="209"/>
      <c r="T4332" s="209"/>
    </row>
    <row r="4333" spans="1:20" ht="15" hidden="1" customHeight="1">
      <c r="A4333" s="468">
        <v>45485</v>
      </c>
      <c r="B4333" s="208" t="s">
        <v>3698</v>
      </c>
      <c r="C4333" s="223" t="s">
        <v>146</v>
      </c>
      <c r="D4333" s="800">
        <v>-8000</v>
      </c>
      <c r="E4333" s="212">
        <v>45474</v>
      </c>
      <c r="F4333" s="208" t="s">
        <v>109</v>
      </c>
      <c r="G4333" s="201" t="s">
        <v>581</v>
      </c>
      <c r="H4333" s="208" t="s">
        <v>175</v>
      </c>
      <c r="I4333" s="208" t="s">
        <v>1347</v>
      </c>
      <c r="J4333" s="209"/>
      <c r="K4333" s="209"/>
      <c r="L4333" s="209"/>
      <c r="M4333" s="209"/>
      <c r="N4333" s="209"/>
      <c r="O4333" s="209"/>
      <c r="P4333" s="209"/>
      <c r="Q4333" s="209"/>
      <c r="R4333" s="209"/>
      <c r="S4333" s="209"/>
      <c r="T4333" s="209"/>
    </row>
    <row r="4334" spans="1:20" ht="15" hidden="1" customHeight="1">
      <c r="A4334" s="468">
        <v>45485</v>
      </c>
      <c r="B4334" s="208" t="s">
        <v>3699</v>
      </c>
      <c r="C4334" s="223" t="s">
        <v>146</v>
      </c>
      <c r="D4334" s="800">
        <v>-72000</v>
      </c>
      <c r="E4334" s="212">
        <v>45474</v>
      </c>
      <c r="F4334" s="208" t="s">
        <v>109</v>
      </c>
      <c r="G4334" s="201" t="s">
        <v>581</v>
      </c>
      <c r="H4334" s="208" t="s">
        <v>175</v>
      </c>
      <c r="I4334" s="208" t="s">
        <v>1347</v>
      </c>
      <c r="J4334" s="209"/>
      <c r="K4334" s="209"/>
      <c r="L4334" s="209"/>
      <c r="M4334" s="209"/>
      <c r="N4334" s="209"/>
      <c r="O4334" s="209"/>
      <c r="P4334" s="209"/>
      <c r="Q4334" s="209"/>
      <c r="R4334" s="209"/>
      <c r="S4334" s="209"/>
      <c r="T4334" s="209"/>
    </row>
    <row r="4335" spans="1:20" ht="15" hidden="1" customHeight="1">
      <c r="A4335" s="468">
        <v>45485</v>
      </c>
      <c r="B4335" s="208" t="s">
        <v>3700</v>
      </c>
      <c r="C4335" s="223" t="s">
        <v>146</v>
      </c>
      <c r="D4335" s="800">
        <v>-48000</v>
      </c>
      <c r="E4335" s="212">
        <v>45474</v>
      </c>
      <c r="F4335" s="208" t="s">
        <v>109</v>
      </c>
      <c r="G4335" s="201" t="s">
        <v>581</v>
      </c>
      <c r="H4335" s="208" t="s">
        <v>175</v>
      </c>
      <c r="I4335" s="208" t="s">
        <v>1347</v>
      </c>
      <c r="J4335" s="209"/>
      <c r="K4335" s="209"/>
      <c r="L4335" s="209"/>
      <c r="M4335" s="209"/>
      <c r="N4335" s="209"/>
      <c r="O4335" s="209"/>
      <c r="P4335" s="209"/>
      <c r="Q4335" s="209"/>
      <c r="R4335" s="209"/>
      <c r="S4335" s="209"/>
      <c r="T4335" s="209"/>
    </row>
    <row r="4336" spans="1:20" ht="15" hidden="1" customHeight="1">
      <c r="A4336" s="468">
        <v>45485</v>
      </c>
      <c r="B4336" s="208" t="s">
        <v>3701</v>
      </c>
      <c r="C4336" s="223" t="s">
        <v>146</v>
      </c>
      <c r="D4336" s="800">
        <v>-40000</v>
      </c>
      <c r="E4336" s="212">
        <v>45474</v>
      </c>
      <c r="F4336" s="208" t="s">
        <v>109</v>
      </c>
      <c r="G4336" s="201" t="s">
        <v>581</v>
      </c>
      <c r="H4336" s="208" t="s">
        <v>138</v>
      </c>
      <c r="I4336" s="208" t="s">
        <v>1347</v>
      </c>
      <c r="J4336" s="209"/>
      <c r="K4336" s="209"/>
      <c r="L4336" s="209"/>
      <c r="M4336" s="209"/>
      <c r="N4336" s="209"/>
      <c r="O4336" s="209"/>
      <c r="P4336" s="209"/>
      <c r="Q4336" s="209"/>
      <c r="R4336" s="209"/>
      <c r="S4336" s="209"/>
      <c r="T4336" s="209"/>
    </row>
    <row r="4337" spans="1:20" ht="15" hidden="1" customHeight="1">
      <c r="A4337" s="468">
        <v>45485</v>
      </c>
      <c r="B4337" s="208" t="s">
        <v>3702</v>
      </c>
      <c r="C4337" s="223" t="s">
        <v>146</v>
      </c>
      <c r="D4337" s="800">
        <v>-40000</v>
      </c>
      <c r="E4337" s="212">
        <v>45474</v>
      </c>
      <c r="F4337" s="208" t="s">
        <v>109</v>
      </c>
      <c r="G4337" s="201" t="s">
        <v>581</v>
      </c>
      <c r="H4337" s="208" t="s">
        <v>138</v>
      </c>
      <c r="I4337" s="208" t="s">
        <v>1347</v>
      </c>
      <c r="J4337" s="209"/>
      <c r="K4337" s="209"/>
      <c r="L4337" s="209"/>
      <c r="M4337" s="209"/>
      <c r="N4337" s="209"/>
      <c r="O4337" s="209"/>
      <c r="P4337" s="209"/>
      <c r="Q4337" s="209"/>
      <c r="R4337" s="209"/>
      <c r="S4337" s="209"/>
      <c r="T4337" s="209"/>
    </row>
    <row r="4338" spans="1:20" ht="15" hidden="1" customHeight="1">
      <c r="A4338" s="468">
        <v>45486</v>
      </c>
      <c r="B4338" s="208" t="s">
        <v>3703</v>
      </c>
      <c r="C4338" s="223" t="s">
        <v>146</v>
      </c>
      <c r="D4338" s="800">
        <v>-40000</v>
      </c>
      <c r="E4338" s="212">
        <v>45474</v>
      </c>
      <c r="F4338" s="208" t="s">
        <v>109</v>
      </c>
      <c r="G4338" s="201" t="s">
        <v>581</v>
      </c>
      <c r="H4338" s="208" t="s">
        <v>138</v>
      </c>
      <c r="I4338" s="208" t="s">
        <v>1347</v>
      </c>
      <c r="J4338" s="209"/>
      <c r="K4338" s="209"/>
      <c r="L4338" s="209"/>
      <c r="M4338" s="209"/>
      <c r="N4338" s="209"/>
      <c r="O4338" s="209"/>
      <c r="P4338" s="209"/>
      <c r="Q4338" s="209"/>
      <c r="R4338" s="209"/>
      <c r="S4338" s="209"/>
      <c r="T4338" s="209"/>
    </row>
    <row r="4339" spans="1:20" ht="15" hidden="1" customHeight="1">
      <c r="A4339" s="468">
        <v>45488</v>
      </c>
      <c r="B4339" s="208" t="s">
        <v>3704</v>
      </c>
      <c r="C4339" s="223" t="s">
        <v>146</v>
      </c>
      <c r="D4339" s="800">
        <v>-12900</v>
      </c>
      <c r="E4339" s="212">
        <v>45474</v>
      </c>
      <c r="F4339" s="208" t="s">
        <v>109</v>
      </c>
      <c r="G4339" s="201" t="s">
        <v>581</v>
      </c>
      <c r="H4339" s="208" t="s">
        <v>138</v>
      </c>
      <c r="I4339" s="208" t="s">
        <v>1347</v>
      </c>
      <c r="J4339" s="209"/>
      <c r="K4339" s="209"/>
      <c r="L4339" s="209"/>
      <c r="M4339" s="209"/>
      <c r="N4339" s="209"/>
      <c r="O4339" s="209"/>
      <c r="P4339" s="209"/>
      <c r="Q4339" s="209"/>
      <c r="R4339" s="209"/>
      <c r="S4339" s="209"/>
      <c r="T4339" s="209"/>
    </row>
    <row r="4340" spans="1:20" ht="15" hidden="1" customHeight="1">
      <c r="A4340" s="468">
        <v>45488</v>
      </c>
      <c r="B4340" s="208" t="s">
        <v>3705</v>
      </c>
      <c r="C4340" s="223" t="s">
        <v>146</v>
      </c>
      <c r="D4340" s="800">
        <v>-80000</v>
      </c>
      <c r="E4340" s="212">
        <v>45474</v>
      </c>
      <c r="F4340" s="208" t="s">
        <v>109</v>
      </c>
      <c r="G4340" s="201" t="s">
        <v>581</v>
      </c>
      <c r="H4340" s="208" t="s">
        <v>147</v>
      </c>
      <c r="I4340" s="208" t="s">
        <v>1347</v>
      </c>
      <c r="J4340" s="209"/>
      <c r="K4340" s="209"/>
      <c r="L4340" s="209"/>
      <c r="M4340" s="209"/>
      <c r="N4340" s="209"/>
      <c r="O4340" s="209"/>
      <c r="P4340" s="209"/>
      <c r="Q4340" s="209"/>
      <c r="R4340" s="209"/>
      <c r="S4340" s="209"/>
      <c r="T4340" s="209"/>
    </row>
    <row r="4341" spans="1:20" ht="15" hidden="1" customHeight="1">
      <c r="A4341" s="468">
        <v>45489</v>
      </c>
      <c r="B4341" s="208" t="s">
        <v>3706</v>
      </c>
      <c r="C4341" s="223" t="s">
        <v>146</v>
      </c>
      <c r="D4341" s="800">
        <v>-50000</v>
      </c>
      <c r="E4341" s="212">
        <v>45474</v>
      </c>
      <c r="F4341" s="208" t="s">
        <v>109</v>
      </c>
      <c r="G4341" s="201" t="s">
        <v>581</v>
      </c>
      <c r="H4341" s="208" t="s">
        <v>147</v>
      </c>
      <c r="I4341" s="208" t="s">
        <v>1347</v>
      </c>
      <c r="J4341" s="209"/>
      <c r="K4341" s="209"/>
      <c r="L4341" s="209"/>
      <c r="M4341" s="209"/>
      <c r="N4341" s="209"/>
      <c r="O4341" s="209"/>
      <c r="P4341" s="209"/>
      <c r="Q4341" s="209"/>
      <c r="R4341" s="209"/>
      <c r="S4341" s="209"/>
      <c r="T4341" s="209"/>
    </row>
    <row r="4342" spans="1:20" ht="15" hidden="1" customHeight="1">
      <c r="A4342" s="468">
        <v>45489</v>
      </c>
      <c r="B4342" s="208" t="s">
        <v>3707</v>
      </c>
      <c r="C4342" s="223" t="s">
        <v>146</v>
      </c>
      <c r="D4342" s="800">
        <v>-73000</v>
      </c>
      <c r="E4342" s="212">
        <v>45474</v>
      </c>
      <c r="F4342" s="208" t="s">
        <v>109</v>
      </c>
      <c r="G4342" s="201" t="s">
        <v>581</v>
      </c>
      <c r="H4342" s="208" t="s">
        <v>175</v>
      </c>
      <c r="I4342" s="208" t="s">
        <v>1347</v>
      </c>
      <c r="J4342" s="209"/>
      <c r="K4342" s="209"/>
      <c r="L4342" s="209"/>
      <c r="M4342" s="209"/>
      <c r="N4342" s="209"/>
      <c r="O4342" s="209"/>
      <c r="P4342" s="209"/>
      <c r="Q4342" s="209"/>
      <c r="R4342" s="209"/>
      <c r="S4342" s="209"/>
      <c r="T4342" s="209"/>
    </row>
    <row r="4343" spans="1:20" ht="15" hidden="1" customHeight="1">
      <c r="A4343" s="468">
        <v>45491</v>
      </c>
      <c r="B4343" s="208" t="s">
        <v>3708</v>
      </c>
      <c r="C4343" s="223" t="s">
        <v>146</v>
      </c>
      <c r="D4343" s="800">
        <v>-192400</v>
      </c>
      <c r="E4343" s="212">
        <v>45474</v>
      </c>
      <c r="F4343" s="208" t="s">
        <v>109</v>
      </c>
      <c r="G4343" s="201" t="s">
        <v>581</v>
      </c>
      <c r="H4343" s="208" t="s">
        <v>175</v>
      </c>
      <c r="I4343" s="208" t="s">
        <v>1347</v>
      </c>
      <c r="J4343" s="209"/>
      <c r="K4343" s="209"/>
      <c r="L4343" s="209"/>
      <c r="M4343" s="209"/>
      <c r="N4343" s="209"/>
      <c r="O4343" s="209"/>
      <c r="P4343" s="209"/>
      <c r="Q4343" s="209"/>
      <c r="R4343" s="209"/>
      <c r="S4343" s="209"/>
      <c r="T4343" s="209"/>
    </row>
    <row r="4344" spans="1:20" ht="15" hidden="1" customHeight="1">
      <c r="A4344" s="468">
        <v>45490</v>
      </c>
      <c r="B4344" s="208" t="s">
        <v>3709</v>
      </c>
      <c r="C4344" s="208" t="s">
        <v>146</v>
      </c>
      <c r="D4344" s="592">
        <v>-60000</v>
      </c>
      <c r="E4344" s="212">
        <v>45474</v>
      </c>
      <c r="F4344" s="208" t="s">
        <v>130</v>
      </c>
      <c r="G4344" s="208" t="s">
        <v>130</v>
      </c>
      <c r="H4344" s="208" t="s">
        <v>1156</v>
      </c>
      <c r="I4344" s="208"/>
      <c r="J4344" s="209"/>
      <c r="K4344" s="209"/>
      <c r="L4344" s="209"/>
      <c r="M4344" s="209"/>
      <c r="N4344" s="209"/>
      <c r="O4344" s="209"/>
      <c r="P4344" s="209"/>
      <c r="Q4344" s="209"/>
      <c r="R4344" s="209"/>
      <c r="S4344" s="209"/>
      <c r="T4344" s="209"/>
    </row>
    <row r="4345" spans="1:20" ht="15" hidden="1" customHeight="1">
      <c r="A4345" s="468">
        <v>45489</v>
      </c>
      <c r="B4345" s="208" t="s">
        <v>3710</v>
      </c>
      <c r="C4345" s="208" t="s">
        <v>146</v>
      </c>
      <c r="D4345" s="592">
        <v>-15400</v>
      </c>
      <c r="E4345" s="212">
        <v>45474</v>
      </c>
      <c r="F4345" s="208" t="s">
        <v>130</v>
      </c>
      <c r="G4345" s="208" t="s">
        <v>130</v>
      </c>
      <c r="H4345" s="208" t="s">
        <v>1156</v>
      </c>
      <c r="I4345" s="208"/>
      <c r="J4345" s="209"/>
      <c r="K4345" s="209"/>
      <c r="L4345" s="209"/>
      <c r="M4345" s="209"/>
      <c r="N4345" s="209"/>
      <c r="O4345" s="209"/>
      <c r="P4345" s="209"/>
      <c r="Q4345" s="209"/>
      <c r="R4345" s="209"/>
      <c r="S4345" s="209"/>
      <c r="T4345" s="209"/>
    </row>
    <row r="4346" spans="1:20" ht="15" hidden="1" customHeight="1">
      <c r="A4346" s="468">
        <v>45489</v>
      </c>
      <c r="B4346" s="208" t="s">
        <v>3602</v>
      </c>
      <c r="C4346" s="208" t="s">
        <v>146</v>
      </c>
      <c r="D4346" s="592">
        <v>-121700</v>
      </c>
      <c r="E4346" s="212">
        <v>45474</v>
      </c>
      <c r="F4346" s="208" t="s">
        <v>110</v>
      </c>
      <c r="G4346" s="658" t="s">
        <v>3245</v>
      </c>
      <c r="H4346" s="208" t="s">
        <v>416</v>
      </c>
      <c r="I4346" s="208"/>
      <c r="J4346" s="209"/>
      <c r="K4346" s="209"/>
      <c r="L4346" s="209"/>
      <c r="M4346" s="209"/>
      <c r="N4346" s="209"/>
      <c r="O4346" s="209"/>
      <c r="P4346" s="209"/>
      <c r="Q4346" s="209"/>
      <c r="R4346" s="209"/>
      <c r="S4346" s="209"/>
      <c r="T4346" s="209"/>
    </row>
    <row r="4347" spans="1:20" ht="15" hidden="1" customHeight="1">
      <c r="A4347" s="667">
        <v>45489</v>
      </c>
      <c r="B4347" s="208" t="s">
        <v>3711</v>
      </c>
      <c r="C4347" s="208" t="s">
        <v>146</v>
      </c>
      <c r="D4347" s="592">
        <v>-43800</v>
      </c>
      <c r="E4347" s="212">
        <v>45474</v>
      </c>
      <c r="F4347" s="208" t="s">
        <v>130</v>
      </c>
      <c r="G4347" s="208" t="s">
        <v>130</v>
      </c>
      <c r="H4347" s="208" t="s">
        <v>3622</v>
      </c>
      <c r="I4347" s="208"/>
      <c r="J4347" s="209"/>
      <c r="K4347" s="209"/>
      <c r="L4347" s="209"/>
      <c r="M4347" s="209"/>
      <c r="N4347" s="209"/>
      <c r="O4347" s="209"/>
      <c r="P4347" s="209"/>
      <c r="Q4347" s="209"/>
      <c r="R4347" s="209"/>
      <c r="S4347" s="209"/>
      <c r="T4347" s="209"/>
    </row>
    <row r="4348" spans="1:20" ht="15" hidden="1" customHeight="1">
      <c r="A4348" s="468">
        <v>45490</v>
      </c>
      <c r="B4348" s="208" t="s">
        <v>3712</v>
      </c>
      <c r="C4348" s="208" t="s">
        <v>146</v>
      </c>
      <c r="D4348" s="592">
        <v>14600</v>
      </c>
      <c r="E4348" s="212">
        <v>45474</v>
      </c>
      <c r="F4348" s="208" t="s">
        <v>130</v>
      </c>
      <c r="G4348" s="208" t="s">
        <v>130</v>
      </c>
      <c r="H4348" s="208" t="s">
        <v>275</v>
      </c>
      <c r="I4348" s="208"/>
      <c r="J4348" s="209"/>
      <c r="K4348" s="209"/>
      <c r="L4348" s="209"/>
      <c r="M4348" s="209"/>
      <c r="N4348" s="209"/>
      <c r="O4348" s="209"/>
      <c r="P4348" s="209"/>
      <c r="Q4348" s="209"/>
      <c r="R4348" s="209"/>
      <c r="S4348" s="209"/>
      <c r="T4348" s="209"/>
    </row>
    <row r="4349" spans="1:20" ht="15" hidden="1" customHeight="1">
      <c r="A4349" s="468">
        <v>45492</v>
      </c>
      <c r="B4349" s="208" t="s">
        <v>3713</v>
      </c>
      <c r="C4349" s="208" t="s">
        <v>146</v>
      </c>
      <c r="D4349" s="592">
        <v>-74000</v>
      </c>
      <c r="E4349" s="212">
        <v>45474</v>
      </c>
      <c r="F4349" s="208" t="s">
        <v>130</v>
      </c>
      <c r="G4349" s="208" t="s">
        <v>130</v>
      </c>
      <c r="H4349" s="208" t="s">
        <v>138</v>
      </c>
      <c r="I4349" s="208"/>
      <c r="J4349" s="209"/>
      <c r="K4349" s="209"/>
      <c r="L4349" s="209"/>
      <c r="M4349" s="209"/>
      <c r="N4349" s="209"/>
      <c r="O4349" s="209"/>
      <c r="P4349" s="209"/>
      <c r="Q4349" s="209"/>
      <c r="R4349" s="209"/>
      <c r="S4349" s="209"/>
      <c r="T4349" s="209"/>
    </row>
    <row r="4350" spans="1:20" ht="15" hidden="1" customHeight="1">
      <c r="A4350" s="468">
        <v>45491</v>
      </c>
      <c r="B4350" s="208" t="s">
        <v>2663</v>
      </c>
      <c r="C4350" s="208" t="s">
        <v>146</v>
      </c>
      <c r="D4350" s="592">
        <v>-7000</v>
      </c>
      <c r="E4350" s="212">
        <v>45474</v>
      </c>
      <c r="F4350" s="208" t="s">
        <v>110</v>
      </c>
      <c r="G4350" s="208" t="s">
        <v>450</v>
      </c>
      <c r="H4350" s="208" t="s">
        <v>138</v>
      </c>
      <c r="I4350" s="208"/>
      <c r="J4350" s="209"/>
      <c r="K4350" s="209"/>
      <c r="L4350" s="209"/>
      <c r="M4350" s="209"/>
      <c r="N4350" s="209"/>
      <c r="O4350" s="209"/>
      <c r="P4350" s="209"/>
      <c r="Q4350" s="209"/>
      <c r="R4350" s="209"/>
      <c r="S4350" s="209"/>
      <c r="T4350" s="209"/>
    </row>
    <row r="4351" spans="1:20" ht="15" hidden="1" customHeight="1">
      <c r="A4351" s="468">
        <v>45491</v>
      </c>
      <c r="B4351" s="208" t="s">
        <v>2663</v>
      </c>
      <c r="C4351" s="208" t="s">
        <v>146</v>
      </c>
      <c r="D4351" s="592">
        <v>-56000</v>
      </c>
      <c r="E4351" s="212">
        <v>45474</v>
      </c>
      <c r="F4351" s="208" t="s">
        <v>110</v>
      </c>
      <c r="G4351" s="208" t="s">
        <v>774</v>
      </c>
      <c r="H4351" s="208" t="s">
        <v>138</v>
      </c>
      <c r="I4351" s="208"/>
      <c r="J4351" s="209"/>
      <c r="K4351" s="209"/>
      <c r="L4351" s="209"/>
      <c r="M4351" s="209"/>
      <c r="N4351" s="209"/>
      <c r="O4351" s="209"/>
      <c r="P4351" s="209"/>
      <c r="Q4351" s="209"/>
      <c r="R4351" s="209"/>
      <c r="S4351" s="209"/>
      <c r="T4351" s="209"/>
    </row>
    <row r="4352" spans="1:20" ht="15" hidden="1" customHeight="1">
      <c r="A4352" s="468">
        <v>45491</v>
      </c>
      <c r="B4352" s="208" t="s">
        <v>2663</v>
      </c>
      <c r="C4352" s="208" t="s">
        <v>146</v>
      </c>
      <c r="D4352" s="592">
        <v>-14000</v>
      </c>
      <c r="E4352" s="212">
        <v>45474</v>
      </c>
      <c r="F4352" s="208" t="s">
        <v>110</v>
      </c>
      <c r="G4352" s="658" t="s">
        <v>3245</v>
      </c>
      <c r="H4352" s="208" t="s">
        <v>138</v>
      </c>
      <c r="I4352" s="208"/>
      <c r="J4352" s="209"/>
      <c r="K4352" s="209"/>
      <c r="L4352" s="209"/>
      <c r="M4352" s="209"/>
      <c r="N4352" s="209"/>
      <c r="O4352" s="209"/>
      <c r="P4352" s="209"/>
      <c r="Q4352" s="209"/>
      <c r="R4352" s="209"/>
      <c r="S4352" s="209"/>
      <c r="T4352" s="209"/>
    </row>
    <row r="4353" spans="1:20" ht="15" hidden="1" customHeight="1">
      <c r="A4353" s="468">
        <v>45491</v>
      </c>
      <c r="B4353" s="208" t="s">
        <v>2663</v>
      </c>
      <c r="C4353" s="208" t="s">
        <v>146</v>
      </c>
      <c r="D4353" s="592">
        <v>-38944</v>
      </c>
      <c r="E4353" s="212">
        <v>45474</v>
      </c>
      <c r="F4353" s="208" t="s">
        <v>109</v>
      </c>
      <c r="G4353" s="201" t="s">
        <v>1306</v>
      </c>
      <c r="H4353" s="208" t="s">
        <v>138</v>
      </c>
      <c r="I4353" s="208"/>
      <c r="J4353" s="209"/>
      <c r="K4353" s="209"/>
      <c r="L4353" s="209"/>
      <c r="M4353" s="209"/>
      <c r="N4353" s="209"/>
      <c r="O4353" s="209"/>
      <c r="P4353" s="209"/>
      <c r="Q4353" s="209"/>
      <c r="R4353" s="209"/>
      <c r="S4353" s="209"/>
      <c r="T4353" s="209"/>
    </row>
    <row r="4354" spans="1:20" ht="15" hidden="1" customHeight="1">
      <c r="A4354" s="468">
        <v>45491</v>
      </c>
      <c r="B4354" s="208" t="s">
        <v>2663</v>
      </c>
      <c r="C4354" s="208" t="s">
        <v>146</v>
      </c>
      <c r="D4354" s="592">
        <v>-14000</v>
      </c>
      <c r="E4354" s="212">
        <v>45474</v>
      </c>
      <c r="F4354" s="208" t="s">
        <v>207</v>
      </c>
      <c r="G4354" s="208" t="s">
        <v>414</v>
      </c>
      <c r="H4354" s="208" t="s">
        <v>138</v>
      </c>
      <c r="I4354" s="208"/>
      <c r="J4354" s="209"/>
      <c r="K4354" s="209"/>
      <c r="L4354" s="209"/>
      <c r="M4354" s="209"/>
      <c r="N4354" s="209"/>
      <c r="O4354" s="209"/>
      <c r="P4354" s="209"/>
      <c r="Q4354" s="209"/>
      <c r="R4354" s="209"/>
      <c r="S4354" s="209"/>
      <c r="T4354" s="209"/>
    </row>
    <row r="4355" spans="1:20" ht="15" hidden="1" customHeight="1">
      <c r="A4355" s="468">
        <v>45491</v>
      </c>
      <c r="B4355" s="208" t="s">
        <v>2663</v>
      </c>
      <c r="C4355" s="208" t="s">
        <v>146</v>
      </c>
      <c r="D4355" s="592">
        <v>-14000</v>
      </c>
      <c r="E4355" s="212">
        <v>45474</v>
      </c>
      <c r="F4355" s="208" t="s">
        <v>109</v>
      </c>
      <c r="G4355" s="654" t="s">
        <v>2585</v>
      </c>
      <c r="H4355" s="208" t="s">
        <v>138</v>
      </c>
      <c r="I4355" s="208"/>
      <c r="J4355" s="209"/>
      <c r="K4355" s="209"/>
      <c r="L4355" s="209"/>
      <c r="M4355" s="209"/>
      <c r="N4355" s="209"/>
      <c r="O4355" s="209"/>
      <c r="P4355" s="209"/>
      <c r="Q4355" s="209"/>
      <c r="R4355" s="209"/>
      <c r="S4355" s="209"/>
      <c r="T4355" s="209"/>
    </row>
    <row r="4356" spans="1:20" ht="15" hidden="1" customHeight="1">
      <c r="A4356" s="468">
        <v>45491</v>
      </c>
      <c r="B4356" s="208" t="s">
        <v>2663</v>
      </c>
      <c r="C4356" s="208" t="s">
        <v>146</v>
      </c>
      <c r="D4356" s="592">
        <v>-15000</v>
      </c>
      <c r="E4356" s="212">
        <v>45474</v>
      </c>
      <c r="F4356" s="208" t="s">
        <v>109</v>
      </c>
      <c r="G4356" s="208" t="s">
        <v>125</v>
      </c>
      <c r="H4356" s="208" t="s">
        <v>138</v>
      </c>
      <c r="I4356" s="208"/>
      <c r="J4356" s="209"/>
      <c r="K4356" s="209"/>
      <c r="L4356" s="209"/>
      <c r="M4356" s="209"/>
      <c r="N4356" s="209"/>
      <c r="O4356" s="209"/>
      <c r="P4356" s="209"/>
      <c r="Q4356" s="209"/>
      <c r="R4356" s="209"/>
      <c r="S4356" s="209"/>
      <c r="T4356" s="209"/>
    </row>
    <row r="4357" spans="1:20" ht="15" hidden="1" customHeight="1">
      <c r="A4357" s="468">
        <v>45491</v>
      </c>
      <c r="B4357" s="208" t="s">
        <v>2663</v>
      </c>
      <c r="C4357" s="208" t="s">
        <v>146</v>
      </c>
      <c r="D4357" s="592">
        <v>-14000</v>
      </c>
      <c r="E4357" s="212">
        <v>45474</v>
      </c>
      <c r="F4357" s="208" t="s">
        <v>109</v>
      </c>
      <c r="G4357" s="201" t="s">
        <v>1261</v>
      </c>
      <c r="H4357" s="208" t="s">
        <v>138</v>
      </c>
      <c r="I4357" s="208"/>
      <c r="J4357" s="209"/>
      <c r="K4357" s="209"/>
      <c r="L4357" s="209"/>
      <c r="M4357" s="209"/>
      <c r="N4357" s="209"/>
      <c r="O4357" s="209"/>
      <c r="P4357" s="209"/>
      <c r="Q4357" s="209"/>
      <c r="R4357" s="209"/>
      <c r="S4357" s="209"/>
      <c r="T4357" s="209"/>
    </row>
    <row r="4358" spans="1:20" ht="15" hidden="1" customHeight="1">
      <c r="A4358" s="468">
        <v>45491</v>
      </c>
      <c r="B4358" s="208" t="s">
        <v>2663</v>
      </c>
      <c r="C4358" s="208" t="s">
        <v>146</v>
      </c>
      <c r="D4358" s="592">
        <v>-15000</v>
      </c>
      <c r="E4358" s="212">
        <v>45474</v>
      </c>
      <c r="F4358" s="208" t="s">
        <v>110</v>
      </c>
      <c r="G4358" s="81" t="s">
        <v>1621</v>
      </c>
      <c r="H4358" s="208" t="s">
        <v>138</v>
      </c>
      <c r="I4358" s="475" t="s">
        <v>3626</v>
      </c>
      <c r="J4358" s="209"/>
      <c r="K4358" s="209"/>
      <c r="L4358" s="209"/>
      <c r="M4358" s="209"/>
      <c r="N4358" s="209"/>
      <c r="O4358" s="209"/>
      <c r="P4358" s="209"/>
      <c r="Q4358" s="209"/>
      <c r="R4358" s="209"/>
      <c r="S4358" s="209"/>
      <c r="T4358" s="209"/>
    </row>
    <row r="4359" spans="1:20" ht="15" hidden="1" customHeight="1">
      <c r="A4359" s="468">
        <v>45491</v>
      </c>
      <c r="B4359" s="208" t="s">
        <v>3187</v>
      </c>
      <c r="C4359" s="208" t="s">
        <v>133</v>
      </c>
      <c r="D4359" s="592">
        <v>-1910</v>
      </c>
      <c r="E4359" s="212">
        <v>45474</v>
      </c>
      <c r="F4359" s="208" t="s">
        <v>109</v>
      </c>
      <c r="G4359" s="201" t="s">
        <v>1306</v>
      </c>
      <c r="H4359" s="208" t="s">
        <v>138</v>
      </c>
      <c r="I4359" s="208"/>
      <c r="J4359" s="209"/>
      <c r="K4359" s="209"/>
      <c r="L4359" s="209"/>
      <c r="M4359" s="209"/>
      <c r="N4359" s="209"/>
      <c r="O4359" s="209"/>
      <c r="P4359" s="209"/>
      <c r="Q4359" s="209"/>
      <c r="R4359" s="209"/>
      <c r="S4359" s="209"/>
      <c r="T4359" s="209"/>
    </row>
    <row r="4360" spans="1:20" ht="15" hidden="1" customHeight="1">
      <c r="A4360" s="468">
        <v>45491</v>
      </c>
      <c r="B4360" s="208" t="s">
        <v>3714</v>
      </c>
      <c r="C4360" s="208" t="s">
        <v>133</v>
      </c>
      <c r="D4360" s="592">
        <v>-1146</v>
      </c>
      <c r="E4360" s="212">
        <v>45474</v>
      </c>
      <c r="F4360" s="208" t="s">
        <v>109</v>
      </c>
      <c r="G4360" s="201" t="s">
        <v>1306</v>
      </c>
      <c r="H4360" s="208" t="s">
        <v>138</v>
      </c>
      <c r="I4360" s="208"/>
      <c r="J4360" s="209"/>
      <c r="K4360" s="209"/>
      <c r="L4360" s="209"/>
      <c r="M4360" s="209"/>
      <c r="N4360" s="209"/>
      <c r="O4360" s="209"/>
      <c r="P4360" s="209"/>
      <c r="Q4360" s="209"/>
      <c r="R4360" s="209"/>
      <c r="S4360" s="209"/>
      <c r="T4360" s="209"/>
    </row>
    <row r="4361" spans="1:20" ht="15" hidden="1" customHeight="1">
      <c r="A4361" s="468">
        <v>45490</v>
      </c>
      <c r="B4361" s="208" t="s">
        <v>3715</v>
      </c>
      <c r="C4361" s="208" t="s">
        <v>146</v>
      </c>
      <c r="D4361" s="592">
        <v>-123000</v>
      </c>
      <c r="E4361" s="212">
        <v>45474</v>
      </c>
      <c r="F4361" s="208" t="s">
        <v>110</v>
      </c>
      <c r="G4361" s="208" t="s">
        <v>774</v>
      </c>
      <c r="H4361" s="208" t="s">
        <v>138</v>
      </c>
      <c r="I4361" s="208"/>
      <c r="J4361" s="209"/>
      <c r="K4361" s="209"/>
      <c r="L4361" s="209"/>
      <c r="M4361" s="209"/>
      <c r="N4361" s="209"/>
      <c r="O4361" s="209"/>
      <c r="P4361" s="209"/>
      <c r="Q4361" s="209"/>
      <c r="R4361" s="209"/>
      <c r="S4361" s="209"/>
      <c r="T4361" s="209"/>
    </row>
    <row r="4362" spans="1:20" ht="15" hidden="1" customHeight="1">
      <c r="A4362" s="468">
        <v>45490</v>
      </c>
      <c r="B4362" s="208" t="s">
        <v>3715</v>
      </c>
      <c r="C4362" s="208" t="s">
        <v>146</v>
      </c>
      <c r="D4362" s="592">
        <v>-102000</v>
      </c>
      <c r="E4362" s="212">
        <v>45474</v>
      </c>
      <c r="F4362" s="208" t="s">
        <v>109</v>
      </c>
      <c r="G4362" s="201" t="s">
        <v>1306</v>
      </c>
      <c r="H4362" s="208" t="s">
        <v>138</v>
      </c>
      <c r="I4362" s="208"/>
      <c r="J4362" s="209"/>
      <c r="K4362" s="209"/>
      <c r="L4362" s="209"/>
      <c r="M4362" s="209"/>
      <c r="N4362" s="209"/>
      <c r="O4362" s="209"/>
      <c r="P4362" s="209"/>
      <c r="Q4362" s="209"/>
      <c r="R4362" s="209"/>
      <c r="S4362" s="209"/>
      <c r="T4362" s="209"/>
    </row>
    <row r="4363" spans="1:20" ht="15" hidden="1" customHeight="1">
      <c r="A4363" s="468">
        <v>45490</v>
      </c>
      <c r="B4363" s="208" t="s">
        <v>3715</v>
      </c>
      <c r="C4363" s="208" t="s">
        <v>146</v>
      </c>
      <c r="D4363" s="592">
        <v>-262712</v>
      </c>
      <c r="E4363" s="212">
        <v>45474</v>
      </c>
      <c r="F4363" s="208" t="s">
        <v>207</v>
      </c>
      <c r="G4363" s="208" t="s">
        <v>207</v>
      </c>
      <c r="H4363" s="208"/>
      <c r="I4363" s="208"/>
      <c r="J4363" s="209"/>
      <c r="K4363" s="209"/>
      <c r="L4363" s="209"/>
      <c r="M4363" s="209"/>
      <c r="N4363" s="209"/>
      <c r="O4363" s="209"/>
      <c r="P4363" s="209"/>
      <c r="Q4363" s="209"/>
      <c r="R4363" s="209"/>
      <c r="S4363" s="209"/>
      <c r="T4363" s="209"/>
    </row>
    <row r="4364" spans="1:20" ht="15" hidden="1" customHeight="1">
      <c r="A4364" s="468">
        <v>45490</v>
      </c>
      <c r="B4364" s="208" t="s">
        <v>3715</v>
      </c>
      <c r="C4364" s="208" t="s">
        <v>146</v>
      </c>
      <c r="D4364" s="800">
        <v>-28000</v>
      </c>
      <c r="E4364" s="212">
        <v>45474</v>
      </c>
      <c r="F4364" s="208" t="s">
        <v>109</v>
      </c>
      <c r="G4364" s="201" t="s">
        <v>581</v>
      </c>
      <c r="H4364" s="208" t="s">
        <v>138</v>
      </c>
      <c r="I4364" s="208"/>
      <c r="J4364" s="209"/>
      <c r="K4364" s="209"/>
      <c r="L4364" s="209"/>
      <c r="M4364" s="209"/>
      <c r="N4364" s="209"/>
      <c r="O4364" s="209"/>
      <c r="P4364" s="209"/>
      <c r="Q4364" s="209"/>
      <c r="R4364" s="209"/>
      <c r="S4364" s="209"/>
      <c r="T4364" s="209"/>
    </row>
    <row r="4365" spans="1:20" ht="15" hidden="1" customHeight="1">
      <c r="A4365" s="468">
        <v>45490</v>
      </c>
      <c r="B4365" s="208" t="s">
        <v>3715</v>
      </c>
      <c r="C4365" s="208" t="s">
        <v>146</v>
      </c>
      <c r="D4365" s="592">
        <v>-45000</v>
      </c>
      <c r="E4365" s="212">
        <v>45474</v>
      </c>
      <c r="F4365" s="208" t="s">
        <v>110</v>
      </c>
      <c r="G4365" s="658" t="s">
        <v>3245</v>
      </c>
      <c r="H4365" s="208" t="s">
        <v>138</v>
      </c>
      <c r="I4365" s="208"/>
      <c r="J4365" s="209"/>
      <c r="K4365" s="209"/>
      <c r="L4365" s="209"/>
      <c r="M4365" s="209"/>
      <c r="N4365" s="209"/>
      <c r="O4365" s="209"/>
      <c r="P4365" s="209"/>
      <c r="Q4365" s="209"/>
      <c r="R4365" s="209"/>
      <c r="S4365" s="209"/>
      <c r="T4365" s="209"/>
    </row>
    <row r="4366" spans="1:20" ht="15" hidden="1" customHeight="1">
      <c r="A4366" s="468">
        <v>45490</v>
      </c>
      <c r="B4366" s="208" t="s">
        <v>3715</v>
      </c>
      <c r="C4366" s="208" t="s">
        <v>146</v>
      </c>
      <c r="D4366" s="592">
        <v>-90000</v>
      </c>
      <c r="E4366" s="212">
        <v>45474</v>
      </c>
      <c r="F4366" s="208" t="s">
        <v>109</v>
      </c>
      <c r="G4366" s="654" t="s">
        <v>2585</v>
      </c>
      <c r="H4366" s="208" t="s">
        <v>138</v>
      </c>
      <c r="I4366" s="208"/>
      <c r="J4366" s="209"/>
      <c r="K4366" s="209"/>
      <c r="L4366" s="209"/>
      <c r="M4366" s="209"/>
      <c r="N4366" s="209"/>
      <c r="O4366" s="209"/>
      <c r="P4366" s="209"/>
      <c r="Q4366" s="209"/>
      <c r="R4366" s="209"/>
      <c r="S4366" s="209"/>
      <c r="T4366" s="209"/>
    </row>
    <row r="4367" spans="1:20" ht="15" hidden="1" customHeight="1">
      <c r="A4367" s="468">
        <v>45490</v>
      </c>
      <c r="B4367" s="208" t="s">
        <v>3715</v>
      </c>
      <c r="C4367" s="208" t="s">
        <v>146</v>
      </c>
      <c r="D4367" s="592">
        <v>-42000</v>
      </c>
      <c r="E4367" s="212">
        <v>45474</v>
      </c>
      <c r="F4367" s="208" t="s">
        <v>207</v>
      </c>
      <c r="G4367" s="208" t="s">
        <v>414</v>
      </c>
      <c r="H4367" s="208" t="s">
        <v>138</v>
      </c>
      <c r="I4367" s="208"/>
      <c r="J4367" s="209"/>
      <c r="K4367" s="209"/>
      <c r="L4367" s="209"/>
      <c r="M4367" s="209"/>
      <c r="N4367" s="209"/>
      <c r="O4367" s="209"/>
      <c r="P4367" s="209"/>
      <c r="Q4367" s="209"/>
      <c r="R4367" s="209"/>
      <c r="S4367" s="209"/>
      <c r="T4367" s="209"/>
    </row>
    <row r="4368" spans="1:20" ht="15" hidden="1" customHeight="1">
      <c r="A4368" s="468">
        <v>45490</v>
      </c>
      <c r="B4368" s="208" t="s">
        <v>3715</v>
      </c>
      <c r="C4368" s="208" t="s">
        <v>146</v>
      </c>
      <c r="D4368" s="592">
        <v>-20000</v>
      </c>
      <c r="E4368" s="212">
        <v>45474</v>
      </c>
      <c r="F4368" s="208" t="s">
        <v>207</v>
      </c>
      <c r="G4368" s="208" t="s">
        <v>207</v>
      </c>
      <c r="H4368" s="208"/>
      <c r="I4368" s="208"/>
      <c r="J4368" s="209"/>
      <c r="K4368" s="209"/>
      <c r="L4368" s="209"/>
      <c r="M4368" s="209"/>
      <c r="N4368" s="209"/>
      <c r="O4368" s="209"/>
      <c r="P4368" s="209"/>
      <c r="Q4368" s="209"/>
      <c r="R4368" s="209"/>
      <c r="S4368" s="209"/>
      <c r="T4368" s="209"/>
    </row>
    <row r="4369" spans="1:20" ht="15" hidden="1" customHeight="1">
      <c r="A4369" s="468">
        <v>45490</v>
      </c>
      <c r="B4369" s="208" t="s">
        <v>3715</v>
      </c>
      <c r="C4369" s="208" t="s">
        <v>146</v>
      </c>
      <c r="D4369" s="592">
        <v>-36000</v>
      </c>
      <c r="E4369" s="212">
        <v>45474</v>
      </c>
      <c r="F4369" s="208" t="s">
        <v>207</v>
      </c>
      <c r="G4369" s="208" t="s">
        <v>207</v>
      </c>
      <c r="H4369" s="208" t="s">
        <v>138</v>
      </c>
      <c r="I4369" s="208"/>
      <c r="J4369" s="209"/>
      <c r="K4369" s="209"/>
      <c r="L4369" s="209"/>
      <c r="M4369" s="209"/>
      <c r="N4369" s="209"/>
      <c r="O4369" s="209"/>
      <c r="P4369" s="209"/>
      <c r="Q4369" s="209"/>
      <c r="R4369" s="209"/>
      <c r="S4369" s="209"/>
      <c r="T4369" s="209"/>
    </row>
    <row r="4370" spans="1:20" ht="15" hidden="1" customHeight="1">
      <c r="A4370" s="468">
        <v>45490</v>
      </c>
      <c r="B4370" s="208" t="s">
        <v>3715</v>
      </c>
      <c r="C4370" s="208" t="s">
        <v>146</v>
      </c>
      <c r="D4370" s="592">
        <v>-7000</v>
      </c>
      <c r="E4370" s="212">
        <v>45474</v>
      </c>
      <c r="F4370" s="208" t="s">
        <v>109</v>
      </c>
      <c r="G4370" s="208" t="s">
        <v>125</v>
      </c>
      <c r="H4370" s="208" t="s">
        <v>138</v>
      </c>
      <c r="I4370" s="208"/>
      <c r="J4370" s="209"/>
      <c r="K4370" s="209"/>
      <c r="L4370" s="209"/>
      <c r="M4370" s="209"/>
      <c r="N4370" s="209"/>
      <c r="O4370" s="209"/>
      <c r="P4370" s="209"/>
      <c r="Q4370" s="209"/>
      <c r="R4370" s="209"/>
      <c r="S4370" s="209"/>
      <c r="T4370" s="209"/>
    </row>
    <row r="4371" spans="1:20" ht="15" hidden="1" customHeight="1">
      <c r="A4371" s="468">
        <v>45490</v>
      </c>
      <c r="B4371" s="208" t="s">
        <v>3716</v>
      </c>
      <c r="C4371" s="208" t="s">
        <v>133</v>
      </c>
      <c r="D4371" s="592">
        <v>-7680</v>
      </c>
      <c r="E4371" s="212">
        <v>45474</v>
      </c>
      <c r="F4371" s="208" t="s">
        <v>207</v>
      </c>
      <c r="G4371" s="81" t="s">
        <v>2226</v>
      </c>
      <c r="H4371" s="208" t="s">
        <v>138</v>
      </c>
      <c r="I4371" s="208"/>
      <c r="J4371" s="209"/>
      <c r="K4371" s="209"/>
      <c r="L4371" s="209"/>
      <c r="M4371" s="209"/>
      <c r="N4371" s="209"/>
      <c r="O4371" s="209"/>
      <c r="P4371" s="209"/>
      <c r="Q4371" s="209"/>
      <c r="R4371" s="209"/>
      <c r="S4371" s="209"/>
      <c r="T4371" s="209"/>
    </row>
    <row r="4372" spans="1:20" ht="15" hidden="1" customHeight="1">
      <c r="A4372" s="468">
        <v>45490</v>
      </c>
      <c r="B4372" s="208" t="s">
        <v>3717</v>
      </c>
      <c r="C4372" s="208" t="s">
        <v>133</v>
      </c>
      <c r="D4372" s="592">
        <v>-4608</v>
      </c>
      <c r="E4372" s="212">
        <v>45474</v>
      </c>
      <c r="F4372" s="208" t="s">
        <v>207</v>
      </c>
      <c r="G4372" s="81" t="s">
        <v>2226</v>
      </c>
      <c r="H4372" s="208" t="s">
        <v>138</v>
      </c>
      <c r="I4372" s="208"/>
      <c r="J4372" s="209"/>
      <c r="K4372" s="209"/>
      <c r="L4372" s="209"/>
      <c r="M4372" s="209"/>
      <c r="N4372" s="209"/>
      <c r="O4372" s="209"/>
      <c r="P4372" s="209"/>
      <c r="Q4372" s="209"/>
      <c r="R4372" s="209"/>
      <c r="S4372" s="209"/>
      <c r="T4372" s="209"/>
    </row>
    <row r="4373" spans="1:20" ht="15" hidden="1" customHeight="1">
      <c r="A4373" s="468">
        <v>45484</v>
      </c>
      <c r="B4373" s="208" t="s">
        <v>3718</v>
      </c>
      <c r="C4373" s="590" t="s">
        <v>146</v>
      </c>
      <c r="D4373" s="592">
        <v>-25001</v>
      </c>
      <c r="E4373" s="212">
        <v>45474</v>
      </c>
      <c r="F4373" s="208" t="s">
        <v>110</v>
      </c>
      <c r="G4373" s="638" t="s">
        <v>774</v>
      </c>
      <c r="H4373" s="208" t="s">
        <v>175</v>
      </c>
      <c r="I4373" s="208" t="s">
        <v>173</v>
      </c>
      <c r="J4373" s="209"/>
      <c r="K4373" s="209"/>
      <c r="L4373" s="209"/>
      <c r="M4373" s="209"/>
      <c r="N4373" s="209"/>
      <c r="O4373" s="209"/>
      <c r="P4373" s="209"/>
      <c r="Q4373" s="209"/>
      <c r="R4373" s="209"/>
      <c r="S4373" s="209"/>
      <c r="T4373" s="209"/>
    </row>
    <row r="4374" spans="1:20" ht="15" hidden="1" customHeight="1">
      <c r="A4374" s="468">
        <v>45484</v>
      </c>
      <c r="B4374" s="208" t="s">
        <v>3719</v>
      </c>
      <c r="C4374" s="590" t="s">
        <v>146</v>
      </c>
      <c r="D4374" s="592">
        <v>-20000</v>
      </c>
      <c r="E4374" s="212">
        <v>45474</v>
      </c>
      <c r="F4374" s="208" t="s">
        <v>110</v>
      </c>
      <c r="G4374" s="208" t="s">
        <v>774</v>
      </c>
      <c r="H4374" s="208" t="s">
        <v>175</v>
      </c>
      <c r="I4374" s="208" t="s">
        <v>173</v>
      </c>
      <c r="J4374" s="209"/>
      <c r="K4374" s="209"/>
      <c r="L4374" s="209"/>
      <c r="M4374" s="209"/>
      <c r="N4374" s="209"/>
      <c r="O4374" s="209"/>
      <c r="P4374" s="209"/>
      <c r="Q4374" s="209"/>
      <c r="R4374" s="209"/>
      <c r="S4374" s="209"/>
      <c r="T4374" s="209"/>
    </row>
    <row r="4375" spans="1:20" ht="15" hidden="1" customHeight="1">
      <c r="A4375" s="468">
        <v>45485</v>
      </c>
      <c r="B4375" s="208" t="s">
        <v>3720</v>
      </c>
      <c r="C4375" s="590" t="s">
        <v>146</v>
      </c>
      <c r="D4375" s="592">
        <v>-6500</v>
      </c>
      <c r="E4375" s="212">
        <v>45474</v>
      </c>
      <c r="F4375" s="208" t="s">
        <v>109</v>
      </c>
      <c r="G4375" s="654" t="s">
        <v>2585</v>
      </c>
      <c r="H4375" s="208" t="s">
        <v>175</v>
      </c>
      <c r="I4375" s="208" t="s">
        <v>173</v>
      </c>
      <c r="J4375" s="209"/>
      <c r="K4375" s="209"/>
      <c r="L4375" s="209"/>
      <c r="M4375" s="209"/>
      <c r="N4375" s="209"/>
      <c r="O4375" s="209"/>
      <c r="P4375" s="209"/>
      <c r="Q4375" s="209"/>
      <c r="R4375" s="209"/>
      <c r="S4375" s="209"/>
      <c r="T4375" s="209"/>
    </row>
    <row r="4376" spans="1:20" ht="15" hidden="1" customHeight="1">
      <c r="A4376" s="468">
        <v>45485</v>
      </c>
      <c r="B4376" s="208" t="s">
        <v>3721</v>
      </c>
      <c r="C4376" s="590" t="s">
        <v>146</v>
      </c>
      <c r="D4376" s="592">
        <v>-165000</v>
      </c>
      <c r="E4376" s="212">
        <v>45474</v>
      </c>
      <c r="F4376" s="208" t="s">
        <v>110</v>
      </c>
      <c r="G4376" s="208" t="s">
        <v>774</v>
      </c>
      <c r="H4376" s="208" t="s">
        <v>147</v>
      </c>
      <c r="I4376" s="208" t="s">
        <v>173</v>
      </c>
      <c r="J4376" s="209"/>
      <c r="K4376" s="209"/>
      <c r="L4376" s="209"/>
      <c r="M4376" s="209"/>
      <c r="N4376" s="209"/>
      <c r="O4376" s="209"/>
      <c r="P4376" s="209"/>
      <c r="Q4376" s="209"/>
      <c r="R4376" s="209"/>
      <c r="S4376" s="209"/>
      <c r="T4376" s="209"/>
    </row>
    <row r="4377" spans="1:20" ht="15" hidden="1" customHeight="1">
      <c r="A4377" s="468">
        <v>45485</v>
      </c>
      <c r="B4377" s="208" t="s">
        <v>3722</v>
      </c>
      <c r="C4377" s="590" t="s">
        <v>146</v>
      </c>
      <c r="D4377" s="592">
        <v>-31800</v>
      </c>
      <c r="E4377" s="212">
        <v>45474</v>
      </c>
      <c r="F4377" s="208" t="s">
        <v>110</v>
      </c>
      <c r="G4377" s="208" t="s">
        <v>774</v>
      </c>
      <c r="H4377" s="208" t="s">
        <v>175</v>
      </c>
      <c r="I4377" s="208" t="s">
        <v>173</v>
      </c>
      <c r="J4377" s="209"/>
      <c r="K4377" s="209"/>
      <c r="L4377" s="209"/>
      <c r="M4377" s="209"/>
      <c r="N4377" s="209"/>
      <c r="O4377" s="209"/>
      <c r="P4377" s="209"/>
      <c r="Q4377" s="209"/>
      <c r="R4377" s="209"/>
      <c r="S4377" s="209"/>
      <c r="T4377" s="209"/>
    </row>
    <row r="4378" spans="1:20" ht="15" hidden="1" customHeight="1">
      <c r="A4378" s="468">
        <v>45485</v>
      </c>
      <c r="B4378" s="208" t="s">
        <v>3723</v>
      </c>
      <c r="C4378" s="590" t="s">
        <v>146</v>
      </c>
      <c r="D4378" s="592">
        <v>-12000</v>
      </c>
      <c r="E4378" s="212">
        <v>45474</v>
      </c>
      <c r="F4378" s="208" t="s">
        <v>207</v>
      </c>
      <c r="G4378" s="208" t="s">
        <v>414</v>
      </c>
      <c r="H4378" s="208" t="s">
        <v>175</v>
      </c>
      <c r="I4378" s="208" t="s">
        <v>173</v>
      </c>
      <c r="J4378" s="209"/>
      <c r="K4378" s="209"/>
      <c r="L4378" s="209"/>
      <c r="M4378" s="209"/>
      <c r="N4378" s="209"/>
      <c r="O4378" s="209"/>
      <c r="P4378" s="209"/>
      <c r="Q4378" s="209"/>
      <c r="R4378" s="209"/>
      <c r="S4378" s="209"/>
      <c r="T4378" s="209"/>
    </row>
    <row r="4379" spans="1:20" ht="15" hidden="1" customHeight="1">
      <c r="A4379" s="468">
        <v>45485</v>
      </c>
      <c r="B4379" s="208" t="s">
        <v>3722</v>
      </c>
      <c r="C4379" s="590" t="s">
        <v>146</v>
      </c>
      <c r="D4379" s="592">
        <v>-38880</v>
      </c>
      <c r="E4379" s="212">
        <v>45474</v>
      </c>
      <c r="F4379" s="208" t="s">
        <v>110</v>
      </c>
      <c r="G4379" s="208" t="s">
        <v>774</v>
      </c>
      <c r="H4379" s="208" t="s">
        <v>175</v>
      </c>
      <c r="I4379" s="208" t="s">
        <v>173</v>
      </c>
      <c r="J4379" s="209"/>
      <c r="K4379" s="209"/>
      <c r="L4379" s="209"/>
      <c r="M4379" s="209"/>
      <c r="N4379" s="209"/>
      <c r="O4379" s="209"/>
      <c r="P4379" s="209"/>
      <c r="Q4379" s="209"/>
      <c r="R4379" s="209"/>
      <c r="S4379" s="209"/>
      <c r="T4379" s="209"/>
    </row>
    <row r="4380" spans="1:20" ht="15" hidden="1" customHeight="1">
      <c r="A4380" s="468">
        <v>45489</v>
      </c>
      <c r="B4380" s="208" t="s">
        <v>3724</v>
      </c>
      <c r="C4380" s="590" t="s">
        <v>146</v>
      </c>
      <c r="D4380" s="592">
        <v>-5100</v>
      </c>
      <c r="E4380" s="212">
        <v>45474</v>
      </c>
      <c r="F4380" s="208" t="s">
        <v>109</v>
      </c>
      <c r="G4380" s="654" t="s">
        <v>2585</v>
      </c>
      <c r="H4380" s="208" t="s">
        <v>147</v>
      </c>
      <c r="I4380" s="208" t="s">
        <v>173</v>
      </c>
      <c r="J4380" s="209"/>
      <c r="K4380" s="209"/>
      <c r="L4380" s="209"/>
      <c r="M4380" s="209"/>
      <c r="N4380" s="209"/>
      <c r="O4380" s="209"/>
      <c r="P4380" s="209"/>
      <c r="Q4380" s="209"/>
      <c r="R4380" s="209"/>
      <c r="S4380" s="209"/>
      <c r="T4380" s="209"/>
    </row>
    <row r="4381" spans="1:20" ht="15" hidden="1" customHeight="1">
      <c r="A4381" s="468">
        <v>45489</v>
      </c>
      <c r="B4381" s="208" t="s">
        <v>3725</v>
      </c>
      <c r="C4381" s="590" t="s">
        <v>146</v>
      </c>
      <c r="D4381" s="592">
        <v>-250000</v>
      </c>
      <c r="E4381" s="212">
        <v>45474</v>
      </c>
      <c r="F4381" s="208" t="s">
        <v>110</v>
      </c>
      <c r="G4381" s="208" t="s">
        <v>774</v>
      </c>
      <c r="H4381" s="208" t="s">
        <v>175</v>
      </c>
      <c r="I4381" s="208" t="s">
        <v>173</v>
      </c>
      <c r="J4381" s="209"/>
      <c r="K4381" s="209"/>
      <c r="L4381" s="209"/>
      <c r="M4381" s="209"/>
      <c r="N4381" s="209"/>
      <c r="O4381" s="209"/>
      <c r="P4381" s="209"/>
      <c r="Q4381" s="209"/>
      <c r="R4381" s="209"/>
      <c r="S4381" s="209"/>
      <c r="T4381" s="209"/>
    </row>
    <row r="4382" spans="1:20" ht="15" hidden="1" customHeight="1">
      <c r="A4382" s="468">
        <v>45483</v>
      </c>
      <c r="B4382" s="208" t="s">
        <v>3726</v>
      </c>
      <c r="C4382" s="590" t="s">
        <v>269</v>
      </c>
      <c r="D4382" s="592">
        <v>-6500</v>
      </c>
      <c r="E4382" s="212">
        <v>45474</v>
      </c>
      <c r="F4382" s="208" t="s">
        <v>207</v>
      </c>
      <c r="G4382" s="208" t="s">
        <v>414</v>
      </c>
      <c r="H4382" s="208" t="s">
        <v>138</v>
      </c>
      <c r="I4382" s="208" t="s">
        <v>3354</v>
      </c>
      <c r="J4382" s="209"/>
      <c r="K4382" s="209"/>
      <c r="L4382" s="209"/>
      <c r="M4382" s="209"/>
      <c r="N4382" s="209"/>
      <c r="O4382" s="209"/>
      <c r="P4382" s="209"/>
      <c r="Q4382" s="209"/>
      <c r="R4382" s="209"/>
      <c r="S4382" s="209"/>
      <c r="T4382" s="209"/>
    </row>
    <row r="4383" spans="1:20" ht="15" hidden="1" customHeight="1">
      <c r="A4383" s="468">
        <v>45483</v>
      </c>
      <c r="B4383" s="208" t="s">
        <v>3727</v>
      </c>
      <c r="C4383" s="590" t="s">
        <v>269</v>
      </c>
      <c r="D4383" s="592">
        <v>-6000</v>
      </c>
      <c r="E4383" s="212">
        <v>45474</v>
      </c>
      <c r="F4383" s="208" t="s">
        <v>207</v>
      </c>
      <c r="G4383" s="208" t="s">
        <v>414</v>
      </c>
      <c r="H4383" s="208" t="s">
        <v>138</v>
      </c>
      <c r="I4383" s="208" t="s">
        <v>3354</v>
      </c>
      <c r="J4383" s="209"/>
      <c r="K4383" s="209"/>
      <c r="L4383" s="209"/>
      <c r="M4383" s="209"/>
      <c r="N4383" s="209"/>
      <c r="O4383" s="209"/>
      <c r="P4383" s="209"/>
      <c r="Q4383" s="209"/>
      <c r="R4383" s="209"/>
      <c r="S4383" s="209"/>
      <c r="T4383" s="209"/>
    </row>
    <row r="4384" spans="1:20" ht="15" hidden="1" customHeight="1">
      <c r="A4384" s="468">
        <v>45483</v>
      </c>
      <c r="B4384" s="208" t="s">
        <v>3728</v>
      </c>
      <c r="C4384" s="590" t="s">
        <v>269</v>
      </c>
      <c r="D4384" s="592">
        <v>-6500</v>
      </c>
      <c r="E4384" s="212">
        <v>45474</v>
      </c>
      <c r="F4384" s="208" t="s">
        <v>207</v>
      </c>
      <c r="G4384" s="208" t="s">
        <v>414</v>
      </c>
      <c r="H4384" s="208" t="s">
        <v>138</v>
      </c>
      <c r="I4384" s="208" t="s">
        <v>3354</v>
      </c>
      <c r="J4384" s="209"/>
      <c r="K4384" s="209"/>
      <c r="L4384" s="209"/>
      <c r="M4384" s="209"/>
      <c r="N4384" s="209"/>
      <c r="O4384" s="209"/>
      <c r="P4384" s="209"/>
      <c r="Q4384" s="209"/>
      <c r="R4384" s="209"/>
      <c r="S4384" s="209"/>
      <c r="T4384" s="209"/>
    </row>
    <row r="4385" spans="1:20" ht="15" hidden="1" customHeight="1">
      <c r="A4385" s="468">
        <v>45484</v>
      </c>
      <c r="B4385" s="208" t="s">
        <v>3729</v>
      </c>
      <c r="C4385" s="590" t="s">
        <v>269</v>
      </c>
      <c r="D4385" s="592">
        <v>-6500</v>
      </c>
      <c r="E4385" s="212">
        <v>45474</v>
      </c>
      <c r="F4385" s="208" t="s">
        <v>109</v>
      </c>
      <c r="G4385" s="201" t="s">
        <v>918</v>
      </c>
      <c r="H4385" s="208" t="s">
        <v>138</v>
      </c>
      <c r="I4385" s="208" t="s">
        <v>3354</v>
      </c>
      <c r="J4385" s="209"/>
      <c r="K4385" s="209"/>
      <c r="L4385" s="209"/>
      <c r="M4385" s="209"/>
      <c r="N4385" s="209"/>
      <c r="O4385" s="209"/>
      <c r="P4385" s="209"/>
      <c r="Q4385" s="209"/>
      <c r="R4385" s="209"/>
      <c r="S4385" s="209"/>
      <c r="T4385" s="209"/>
    </row>
    <row r="4386" spans="1:20" ht="15" hidden="1" customHeight="1">
      <c r="A4386" s="468">
        <v>45484</v>
      </c>
      <c r="B4386" s="208" t="s">
        <v>3730</v>
      </c>
      <c r="C4386" s="590" t="s">
        <v>269</v>
      </c>
      <c r="D4386" s="592">
        <v>-16000</v>
      </c>
      <c r="E4386" s="212">
        <v>45474</v>
      </c>
      <c r="F4386" s="208" t="s">
        <v>109</v>
      </c>
      <c r="G4386" s="201" t="s">
        <v>918</v>
      </c>
      <c r="H4386" s="208" t="s">
        <v>138</v>
      </c>
      <c r="I4386" s="208" t="s">
        <v>3354</v>
      </c>
      <c r="J4386" s="209"/>
      <c r="K4386" s="209"/>
      <c r="L4386" s="209"/>
      <c r="M4386" s="209"/>
      <c r="N4386" s="209"/>
      <c r="O4386" s="209"/>
      <c r="P4386" s="209"/>
      <c r="Q4386" s="209"/>
      <c r="R4386" s="209"/>
      <c r="S4386" s="209"/>
      <c r="T4386" s="209"/>
    </row>
    <row r="4387" spans="1:20" ht="15" hidden="1" customHeight="1">
      <c r="A4387" s="468">
        <v>45484</v>
      </c>
      <c r="B4387" s="208" t="s">
        <v>3731</v>
      </c>
      <c r="C4387" s="590" t="s">
        <v>269</v>
      </c>
      <c r="D4387" s="592">
        <v>-16000</v>
      </c>
      <c r="E4387" s="212">
        <v>45474</v>
      </c>
      <c r="F4387" s="208" t="s">
        <v>109</v>
      </c>
      <c r="G4387" s="201" t="s">
        <v>918</v>
      </c>
      <c r="H4387" s="208" t="s">
        <v>138</v>
      </c>
      <c r="I4387" s="208" t="s">
        <v>3354</v>
      </c>
      <c r="J4387" s="209"/>
      <c r="K4387" s="209"/>
      <c r="L4387" s="209"/>
      <c r="M4387" s="209"/>
      <c r="N4387" s="209"/>
      <c r="O4387" s="209"/>
      <c r="P4387" s="209"/>
      <c r="Q4387" s="209"/>
      <c r="R4387" s="209"/>
      <c r="S4387" s="209"/>
      <c r="T4387" s="209"/>
    </row>
    <row r="4388" spans="1:20" ht="15" hidden="1" customHeight="1">
      <c r="A4388" s="468">
        <v>45484</v>
      </c>
      <c r="B4388" s="208" t="s">
        <v>3732</v>
      </c>
      <c r="C4388" s="666" t="s">
        <v>269</v>
      </c>
      <c r="D4388" s="592">
        <v>-6000</v>
      </c>
      <c r="E4388" s="212">
        <v>45474</v>
      </c>
      <c r="F4388" s="208" t="s">
        <v>109</v>
      </c>
      <c r="G4388" s="201" t="s">
        <v>918</v>
      </c>
      <c r="H4388" s="208" t="s">
        <v>138</v>
      </c>
      <c r="I4388" s="208" t="s">
        <v>3354</v>
      </c>
      <c r="J4388" s="209"/>
      <c r="K4388" s="209"/>
      <c r="L4388" s="209"/>
      <c r="M4388" s="209"/>
      <c r="N4388" s="209"/>
      <c r="O4388" s="209"/>
      <c r="P4388" s="209"/>
      <c r="Q4388" s="209"/>
      <c r="R4388" s="209"/>
      <c r="S4388" s="209"/>
      <c r="T4388" s="209"/>
    </row>
    <row r="4389" spans="1:20" ht="15" hidden="1" customHeight="1">
      <c r="A4389" s="468">
        <v>45484</v>
      </c>
      <c r="B4389" s="208" t="s">
        <v>3733</v>
      </c>
      <c r="C4389" s="223" t="s">
        <v>269</v>
      </c>
      <c r="D4389" s="592">
        <v>-6000</v>
      </c>
      <c r="E4389" s="212">
        <v>45474</v>
      </c>
      <c r="F4389" s="208" t="s">
        <v>109</v>
      </c>
      <c r="G4389" s="201" t="s">
        <v>918</v>
      </c>
      <c r="H4389" s="208" t="s">
        <v>138</v>
      </c>
      <c r="I4389" s="208" t="s">
        <v>3354</v>
      </c>
      <c r="J4389" s="209"/>
      <c r="K4389" s="209"/>
      <c r="L4389" s="209"/>
      <c r="M4389" s="209"/>
      <c r="N4389" s="209"/>
      <c r="O4389" s="209"/>
      <c r="P4389" s="209"/>
      <c r="Q4389" s="209"/>
      <c r="R4389" s="209"/>
      <c r="S4389" s="209"/>
      <c r="T4389" s="209"/>
    </row>
    <row r="4390" spans="1:20" ht="15" hidden="1" customHeight="1">
      <c r="A4390" s="468">
        <v>45484</v>
      </c>
      <c r="B4390" s="208" t="s">
        <v>3734</v>
      </c>
      <c r="C4390" s="223" t="s">
        <v>269</v>
      </c>
      <c r="D4390" s="592">
        <v>-12000</v>
      </c>
      <c r="E4390" s="212">
        <v>45474</v>
      </c>
      <c r="F4390" s="208" t="s">
        <v>109</v>
      </c>
      <c r="G4390" s="201" t="s">
        <v>918</v>
      </c>
      <c r="H4390" s="208" t="s">
        <v>138</v>
      </c>
      <c r="I4390" s="208" t="s">
        <v>3354</v>
      </c>
      <c r="J4390" s="209"/>
      <c r="K4390" s="209"/>
      <c r="L4390" s="209"/>
      <c r="M4390" s="209"/>
      <c r="N4390" s="209"/>
      <c r="O4390" s="209"/>
      <c r="P4390" s="209"/>
      <c r="Q4390" s="209"/>
      <c r="R4390" s="209"/>
      <c r="S4390" s="209"/>
      <c r="T4390" s="209"/>
    </row>
    <row r="4391" spans="1:20" ht="15" hidden="1" customHeight="1">
      <c r="A4391" s="468">
        <v>45484</v>
      </c>
      <c r="B4391" s="208" t="s">
        <v>3735</v>
      </c>
      <c r="C4391" s="656" t="s">
        <v>269</v>
      </c>
      <c r="D4391" s="592">
        <v>-6000</v>
      </c>
      <c r="E4391" s="212">
        <v>45474</v>
      </c>
      <c r="F4391" s="208" t="s">
        <v>109</v>
      </c>
      <c r="G4391" s="201" t="s">
        <v>918</v>
      </c>
      <c r="H4391" s="208" t="s">
        <v>138</v>
      </c>
      <c r="I4391" s="208" t="s">
        <v>3354</v>
      </c>
      <c r="J4391" s="209"/>
      <c r="K4391" s="209"/>
      <c r="L4391" s="209"/>
      <c r="M4391" s="209"/>
      <c r="N4391" s="209"/>
      <c r="O4391" s="209"/>
      <c r="P4391" s="209"/>
      <c r="Q4391" s="209"/>
      <c r="R4391" s="209"/>
      <c r="S4391" s="209"/>
      <c r="T4391" s="209"/>
    </row>
    <row r="4392" spans="1:20" ht="15" hidden="1" customHeight="1">
      <c r="A4392" s="468">
        <v>45484</v>
      </c>
      <c r="B4392" s="208" t="s">
        <v>3736</v>
      </c>
      <c r="C4392" s="590" t="s">
        <v>269</v>
      </c>
      <c r="D4392" s="592">
        <v>-7000</v>
      </c>
      <c r="E4392" s="212">
        <v>45474</v>
      </c>
      <c r="F4392" s="208" t="s">
        <v>109</v>
      </c>
      <c r="G4392" s="201" t="s">
        <v>918</v>
      </c>
      <c r="H4392" s="208" t="s">
        <v>138</v>
      </c>
      <c r="I4392" s="208" t="s">
        <v>3354</v>
      </c>
      <c r="J4392" s="209"/>
      <c r="K4392" s="209"/>
      <c r="L4392" s="209"/>
      <c r="M4392" s="209"/>
      <c r="N4392" s="209"/>
      <c r="O4392" s="209"/>
      <c r="P4392" s="209"/>
      <c r="Q4392" s="209"/>
      <c r="R4392" s="209"/>
      <c r="S4392" s="209"/>
      <c r="T4392" s="209"/>
    </row>
    <row r="4393" spans="1:20" ht="15" hidden="1" customHeight="1">
      <c r="A4393" s="468">
        <v>45489</v>
      </c>
      <c r="B4393" s="208" t="s">
        <v>3737</v>
      </c>
      <c r="C4393" s="590" t="s">
        <v>269</v>
      </c>
      <c r="D4393" s="592">
        <v>-6200</v>
      </c>
      <c r="E4393" s="212">
        <v>45474</v>
      </c>
      <c r="F4393" s="208" t="s">
        <v>130</v>
      </c>
      <c r="G4393" s="668" t="s">
        <v>130</v>
      </c>
      <c r="H4393" s="208" t="s">
        <v>138</v>
      </c>
      <c r="I4393" s="208" t="s">
        <v>3354</v>
      </c>
      <c r="J4393" s="209"/>
      <c r="K4393" s="209"/>
      <c r="L4393" s="209"/>
      <c r="M4393" s="209"/>
      <c r="N4393" s="209"/>
      <c r="O4393" s="209"/>
      <c r="P4393" s="209"/>
      <c r="Q4393" s="209"/>
      <c r="R4393" s="209"/>
      <c r="S4393" s="209"/>
      <c r="T4393" s="209"/>
    </row>
    <row r="4394" spans="1:20" ht="15" hidden="1" customHeight="1">
      <c r="A4394" s="468">
        <v>45489</v>
      </c>
      <c r="B4394" s="208" t="s">
        <v>3738</v>
      </c>
      <c r="C4394" s="590" t="s">
        <v>269</v>
      </c>
      <c r="D4394" s="592">
        <v>-6200</v>
      </c>
      <c r="E4394" s="212">
        <v>45474</v>
      </c>
      <c r="F4394" s="208" t="s">
        <v>130</v>
      </c>
      <c r="G4394" s="668" t="s">
        <v>130</v>
      </c>
      <c r="H4394" s="208" t="s">
        <v>138</v>
      </c>
      <c r="I4394" s="208" t="s">
        <v>3354</v>
      </c>
      <c r="J4394" s="209"/>
      <c r="K4394" s="209"/>
      <c r="L4394" s="209"/>
      <c r="M4394" s="209"/>
      <c r="N4394" s="209"/>
      <c r="O4394" s="209"/>
      <c r="P4394" s="209"/>
      <c r="Q4394" s="209"/>
      <c r="R4394" s="209"/>
      <c r="S4394" s="209"/>
      <c r="T4394" s="209"/>
    </row>
    <row r="4395" spans="1:20" ht="15" hidden="1" customHeight="1">
      <c r="A4395" s="468">
        <v>45490</v>
      </c>
      <c r="B4395" s="208" t="s">
        <v>3737</v>
      </c>
      <c r="C4395" s="590" t="s">
        <v>269</v>
      </c>
      <c r="D4395" s="592">
        <v>-6200</v>
      </c>
      <c r="E4395" s="212">
        <v>45474</v>
      </c>
      <c r="F4395" s="208" t="s">
        <v>130</v>
      </c>
      <c r="G4395" s="668" t="s">
        <v>130</v>
      </c>
      <c r="H4395" s="208" t="s">
        <v>138</v>
      </c>
      <c r="I4395" s="208" t="s">
        <v>3354</v>
      </c>
      <c r="J4395" s="209"/>
      <c r="K4395" s="209"/>
      <c r="L4395" s="209"/>
      <c r="M4395" s="209"/>
      <c r="N4395" s="209"/>
      <c r="O4395" s="209"/>
      <c r="P4395" s="209"/>
      <c r="Q4395" s="209"/>
      <c r="R4395" s="209"/>
      <c r="S4395" s="209"/>
      <c r="T4395" s="209"/>
    </row>
    <row r="4396" spans="1:20" ht="15" hidden="1" customHeight="1">
      <c r="A4396" s="468">
        <v>45490</v>
      </c>
      <c r="B4396" s="208" t="s">
        <v>3739</v>
      </c>
      <c r="C4396" s="590" t="s">
        <v>269</v>
      </c>
      <c r="D4396" s="592">
        <v>-6500</v>
      </c>
      <c r="E4396" s="212">
        <v>45474</v>
      </c>
      <c r="F4396" s="208" t="s">
        <v>109</v>
      </c>
      <c r="G4396" s="201" t="s">
        <v>1306</v>
      </c>
      <c r="H4396" s="208" t="s">
        <v>138</v>
      </c>
      <c r="I4396" s="208" t="s">
        <v>3354</v>
      </c>
      <c r="J4396" s="209"/>
      <c r="K4396" s="209"/>
      <c r="L4396" s="209"/>
      <c r="M4396" s="209"/>
      <c r="N4396" s="209"/>
      <c r="O4396" s="209"/>
      <c r="P4396" s="209"/>
      <c r="Q4396" s="209"/>
      <c r="R4396" s="209"/>
      <c r="S4396" s="209"/>
      <c r="T4396" s="209"/>
    </row>
    <row r="4397" spans="1:20" ht="15" hidden="1" customHeight="1">
      <c r="A4397" s="468">
        <v>45490</v>
      </c>
      <c r="B4397" s="208" t="s">
        <v>3740</v>
      </c>
      <c r="C4397" s="590" t="s">
        <v>269</v>
      </c>
      <c r="D4397" s="592">
        <v>-6500</v>
      </c>
      <c r="E4397" s="212">
        <v>45474</v>
      </c>
      <c r="F4397" s="208" t="s">
        <v>109</v>
      </c>
      <c r="G4397" s="201" t="s">
        <v>1306</v>
      </c>
      <c r="H4397" s="208" t="s">
        <v>138</v>
      </c>
      <c r="I4397" s="208" t="s">
        <v>3354</v>
      </c>
      <c r="J4397" s="209"/>
      <c r="K4397" s="209"/>
      <c r="L4397" s="209"/>
      <c r="M4397" s="209"/>
      <c r="N4397" s="209"/>
      <c r="O4397" s="209"/>
      <c r="P4397" s="209"/>
      <c r="Q4397" s="209"/>
      <c r="R4397" s="209"/>
      <c r="S4397" s="209"/>
      <c r="T4397" s="209"/>
    </row>
    <row r="4398" spans="1:20" ht="15" hidden="1" customHeight="1">
      <c r="A4398" s="468">
        <v>45488</v>
      </c>
      <c r="B4398" s="208" t="s">
        <v>3741</v>
      </c>
      <c r="C4398" s="590" t="s">
        <v>269</v>
      </c>
      <c r="D4398" s="592">
        <v>-24000</v>
      </c>
      <c r="E4398" s="212">
        <v>45474</v>
      </c>
      <c r="F4398" s="208" t="s">
        <v>130</v>
      </c>
      <c r="G4398" s="208" t="s">
        <v>257</v>
      </c>
      <c r="H4398" s="208" t="s">
        <v>303</v>
      </c>
      <c r="I4398" s="208" t="s">
        <v>3742</v>
      </c>
      <c r="J4398" s="209"/>
      <c r="K4398" s="209"/>
      <c r="L4398" s="209"/>
      <c r="M4398" s="209"/>
      <c r="N4398" s="209"/>
      <c r="O4398" s="209"/>
      <c r="P4398" s="209"/>
      <c r="Q4398" s="209"/>
      <c r="R4398" s="209"/>
      <c r="S4398" s="209"/>
      <c r="T4398" s="209"/>
    </row>
    <row r="4399" spans="1:20" ht="15" hidden="1" customHeight="1">
      <c r="A4399" s="468">
        <v>45488</v>
      </c>
      <c r="B4399" s="208" t="s">
        <v>3743</v>
      </c>
      <c r="C4399" s="590" t="s">
        <v>269</v>
      </c>
      <c r="D4399" s="592">
        <v>-16000</v>
      </c>
      <c r="E4399" s="212">
        <v>45474</v>
      </c>
      <c r="F4399" s="208" t="s">
        <v>130</v>
      </c>
      <c r="G4399" s="208" t="s">
        <v>257</v>
      </c>
      <c r="H4399" s="208" t="s">
        <v>303</v>
      </c>
      <c r="I4399" s="208" t="s">
        <v>3742</v>
      </c>
      <c r="J4399" s="209"/>
      <c r="K4399" s="209"/>
      <c r="L4399" s="209"/>
      <c r="M4399" s="209"/>
      <c r="N4399" s="209"/>
      <c r="O4399" s="209"/>
      <c r="P4399" s="209"/>
      <c r="Q4399" s="209"/>
      <c r="R4399" s="209"/>
      <c r="S4399" s="209"/>
      <c r="T4399" s="209"/>
    </row>
    <row r="4400" spans="1:20" ht="15" hidden="1" customHeight="1">
      <c r="A4400" s="468">
        <v>45489</v>
      </c>
      <c r="B4400" s="208" t="s">
        <v>3741</v>
      </c>
      <c r="C4400" s="590" t="s">
        <v>269</v>
      </c>
      <c r="D4400" s="592">
        <v>-24000</v>
      </c>
      <c r="E4400" s="212">
        <v>45474</v>
      </c>
      <c r="F4400" s="208" t="s">
        <v>130</v>
      </c>
      <c r="G4400" s="208" t="s">
        <v>257</v>
      </c>
      <c r="H4400" s="208" t="s">
        <v>303</v>
      </c>
      <c r="I4400" s="208" t="s">
        <v>3742</v>
      </c>
      <c r="J4400" s="209"/>
      <c r="K4400" s="209"/>
      <c r="L4400" s="209"/>
      <c r="M4400" s="209"/>
      <c r="N4400" s="209"/>
      <c r="O4400" s="209"/>
      <c r="P4400" s="209"/>
      <c r="Q4400" s="209"/>
      <c r="R4400" s="209"/>
      <c r="S4400" s="209"/>
      <c r="T4400" s="209"/>
    </row>
    <row r="4401" spans="1:20" ht="15" hidden="1" customHeight="1">
      <c r="A4401" s="468">
        <v>45489</v>
      </c>
      <c r="B4401" s="208" t="s">
        <v>3744</v>
      </c>
      <c r="C4401" s="590" t="s">
        <v>269</v>
      </c>
      <c r="D4401" s="592">
        <v>-24000</v>
      </c>
      <c r="E4401" s="212">
        <v>45474</v>
      </c>
      <c r="F4401" s="208" t="s">
        <v>130</v>
      </c>
      <c r="G4401" s="208" t="s">
        <v>257</v>
      </c>
      <c r="H4401" s="208" t="s">
        <v>303</v>
      </c>
      <c r="I4401" s="208" t="s">
        <v>3742</v>
      </c>
      <c r="J4401" s="209"/>
      <c r="K4401" s="209"/>
      <c r="L4401" s="209"/>
      <c r="M4401" s="209"/>
      <c r="N4401" s="209"/>
      <c r="O4401" s="209"/>
      <c r="P4401" s="209"/>
      <c r="Q4401" s="209"/>
      <c r="R4401" s="209"/>
      <c r="S4401" s="209"/>
      <c r="T4401" s="209"/>
    </row>
    <row r="4402" spans="1:20" ht="15" hidden="1" customHeight="1">
      <c r="A4402" s="468">
        <v>45490</v>
      </c>
      <c r="B4402" s="208" t="s">
        <v>3745</v>
      </c>
      <c r="C4402" s="590" t="s">
        <v>269</v>
      </c>
      <c r="D4402" s="592">
        <v>-15000</v>
      </c>
      <c r="E4402" s="212">
        <v>45474</v>
      </c>
      <c r="F4402" s="208" t="s">
        <v>130</v>
      </c>
      <c r="G4402" s="208" t="s">
        <v>257</v>
      </c>
      <c r="H4402" s="208" t="s">
        <v>303</v>
      </c>
      <c r="I4402" s="208" t="s">
        <v>3742</v>
      </c>
      <c r="J4402" s="209"/>
      <c r="K4402" s="209"/>
      <c r="L4402" s="209"/>
      <c r="M4402" s="209"/>
      <c r="N4402" s="209"/>
      <c r="O4402" s="209"/>
      <c r="P4402" s="209"/>
      <c r="Q4402" s="209"/>
      <c r="R4402" s="209"/>
      <c r="S4402" s="209"/>
      <c r="T4402" s="209"/>
    </row>
    <row r="4403" spans="1:20" ht="15" hidden="1" customHeight="1">
      <c r="A4403" s="468">
        <v>45490</v>
      </c>
      <c r="B4403" s="208" t="s">
        <v>3741</v>
      </c>
      <c r="C4403" s="590" t="s">
        <v>269</v>
      </c>
      <c r="D4403" s="592">
        <v>-24000</v>
      </c>
      <c r="E4403" s="212">
        <v>45474</v>
      </c>
      <c r="F4403" s="208" t="s">
        <v>130</v>
      </c>
      <c r="G4403" s="208" t="s">
        <v>257</v>
      </c>
      <c r="H4403" s="208" t="s">
        <v>303</v>
      </c>
      <c r="I4403" s="208" t="s">
        <v>3742</v>
      </c>
      <c r="J4403" s="209"/>
      <c r="K4403" s="209"/>
      <c r="L4403" s="209"/>
      <c r="M4403" s="209"/>
      <c r="N4403" s="209"/>
      <c r="O4403" s="209"/>
      <c r="P4403" s="209"/>
      <c r="Q4403" s="209"/>
      <c r="R4403" s="209"/>
      <c r="S4403" s="209"/>
      <c r="T4403" s="209"/>
    </row>
    <row r="4404" spans="1:20" ht="15" hidden="1" customHeight="1">
      <c r="A4404" s="468">
        <v>45490</v>
      </c>
      <c r="B4404" s="208" t="s">
        <v>3746</v>
      </c>
      <c r="C4404" s="590" t="s">
        <v>269</v>
      </c>
      <c r="D4404" s="592">
        <v>-21000</v>
      </c>
      <c r="E4404" s="212">
        <v>45474</v>
      </c>
      <c r="F4404" s="208" t="s">
        <v>130</v>
      </c>
      <c r="G4404" s="208" t="s">
        <v>257</v>
      </c>
      <c r="H4404" s="208" t="s">
        <v>303</v>
      </c>
      <c r="I4404" s="208" t="s">
        <v>3742</v>
      </c>
      <c r="J4404" s="209"/>
      <c r="K4404" s="209"/>
      <c r="L4404" s="209"/>
      <c r="M4404" s="209"/>
      <c r="N4404" s="209"/>
      <c r="O4404" s="209"/>
      <c r="P4404" s="209"/>
      <c r="Q4404" s="209"/>
      <c r="R4404" s="209"/>
      <c r="S4404" s="209"/>
      <c r="T4404" s="209"/>
    </row>
    <row r="4405" spans="1:20" ht="15" hidden="1" customHeight="1">
      <c r="A4405" s="468">
        <v>45489</v>
      </c>
      <c r="B4405" s="208" t="s">
        <v>3747</v>
      </c>
      <c r="C4405" s="590" t="s">
        <v>269</v>
      </c>
      <c r="D4405" s="592">
        <v>-75000</v>
      </c>
      <c r="E4405" s="212">
        <v>45474</v>
      </c>
      <c r="F4405" s="208" t="s">
        <v>130</v>
      </c>
      <c r="G4405" s="208" t="s">
        <v>257</v>
      </c>
      <c r="H4405" s="208" t="s">
        <v>1138</v>
      </c>
      <c r="I4405" s="208" t="s">
        <v>3742</v>
      </c>
      <c r="J4405" s="209"/>
      <c r="K4405" s="209"/>
      <c r="L4405" s="209"/>
      <c r="M4405" s="209"/>
      <c r="N4405" s="209"/>
      <c r="O4405" s="209"/>
      <c r="P4405" s="209"/>
      <c r="Q4405" s="209"/>
      <c r="R4405" s="209"/>
      <c r="S4405" s="209"/>
      <c r="T4405" s="209"/>
    </row>
    <row r="4406" spans="1:20" ht="15" hidden="1" customHeight="1">
      <c r="A4406" s="468">
        <v>45490</v>
      </c>
      <c r="B4406" s="208" t="s">
        <v>3747</v>
      </c>
      <c r="C4406" s="590" t="s">
        <v>269</v>
      </c>
      <c r="D4406" s="592">
        <v>-75000</v>
      </c>
      <c r="E4406" s="212">
        <v>45474</v>
      </c>
      <c r="F4406" s="208" t="s">
        <v>130</v>
      </c>
      <c r="G4406" s="208" t="s">
        <v>257</v>
      </c>
      <c r="H4406" s="208" t="s">
        <v>1138</v>
      </c>
      <c r="I4406" s="208" t="s">
        <v>3742</v>
      </c>
      <c r="J4406" s="209"/>
      <c r="K4406" s="209"/>
      <c r="L4406" s="209"/>
      <c r="M4406" s="209"/>
      <c r="N4406" s="209"/>
      <c r="O4406" s="209"/>
      <c r="P4406" s="209"/>
      <c r="Q4406" s="209"/>
      <c r="R4406" s="209"/>
      <c r="S4406" s="209"/>
      <c r="T4406" s="209"/>
    </row>
    <row r="4407" spans="1:20" ht="15" hidden="1" customHeight="1">
      <c r="A4407" s="468">
        <v>45488</v>
      </c>
      <c r="B4407" s="208" t="s">
        <v>3748</v>
      </c>
      <c r="C4407" s="590" t="s">
        <v>269</v>
      </c>
      <c r="D4407" s="592">
        <v>-50000</v>
      </c>
      <c r="E4407" s="212">
        <v>45474</v>
      </c>
      <c r="F4407" s="208" t="s">
        <v>130</v>
      </c>
      <c r="G4407" s="208" t="s">
        <v>257</v>
      </c>
      <c r="H4407" s="208" t="s">
        <v>138</v>
      </c>
      <c r="I4407" s="208" t="s">
        <v>3742</v>
      </c>
      <c r="J4407" s="209"/>
      <c r="K4407" s="209"/>
      <c r="L4407" s="209"/>
      <c r="M4407" s="209"/>
      <c r="N4407" s="209"/>
      <c r="O4407" s="209"/>
      <c r="P4407" s="209"/>
      <c r="Q4407" s="209"/>
      <c r="R4407" s="209"/>
      <c r="S4407" s="209"/>
      <c r="T4407" s="209"/>
    </row>
    <row r="4408" spans="1:20" ht="15" hidden="1" customHeight="1">
      <c r="A4408" s="468">
        <v>45490</v>
      </c>
      <c r="B4408" s="208" t="s">
        <v>3749</v>
      </c>
      <c r="C4408" s="590" t="s">
        <v>269</v>
      </c>
      <c r="D4408" s="592">
        <v>-50000</v>
      </c>
      <c r="E4408" s="212">
        <v>45474</v>
      </c>
      <c r="F4408" s="208" t="s">
        <v>130</v>
      </c>
      <c r="G4408" s="208" t="s">
        <v>257</v>
      </c>
      <c r="H4408" s="208" t="s">
        <v>138</v>
      </c>
      <c r="I4408" s="208" t="s">
        <v>3742</v>
      </c>
      <c r="J4408" s="209"/>
      <c r="K4408" s="209"/>
      <c r="L4408" s="209"/>
      <c r="M4408" s="209"/>
      <c r="N4408" s="209"/>
      <c r="O4408" s="209"/>
      <c r="P4408" s="209"/>
      <c r="Q4408" s="209"/>
      <c r="R4408" s="209"/>
      <c r="S4408" s="209"/>
      <c r="T4408" s="209"/>
    </row>
    <row r="4409" spans="1:20" ht="15" hidden="1" customHeight="1">
      <c r="A4409" s="468">
        <v>45489</v>
      </c>
      <c r="B4409" s="208" t="s">
        <v>3750</v>
      </c>
      <c r="C4409" s="590" t="s">
        <v>269</v>
      </c>
      <c r="D4409" s="592">
        <v>-10000</v>
      </c>
      <c r="E4409" s="212">
        <v>45474</v>
      </c>
      <c r="F4409" s="208" t="s">
        <v>130</v>
      </c>
      <c r="G4409" s="208" t="s">
        <v>257</v>
      </c>
      <c r="H4409" s="208" t="s">
        <v>138</v>
      </c>
      <c r="I4409" s="208" t="s">
        <v>3742</v>
      </c>
      <c r="J4409" s="209"/>
      <c r="K4409" s="209"/>
      <c r="L4409" s="209"/>
      <c r="M4409" s="209"/>
      <c r="N4409" s="209"/>
      <c r="O4409" s="209"/>
      <c r="P4409" s="209"/>
      <c r="Q4409" s="209"/>
      <c r="R4409" s="209"/>
      <c r="S4409" s="209"/>
      <c r="T4409" s="209"/>
    </row>
    <row r="4410" spans="1:20" ht="15" hidden="1" customHeight="1">
      <c r="A4410" s="468">
        <v>45490</v>
      </c>
      <c r="B4410" s="208" t="s">
        <v>3750</v>
      </c>
      <c r="C4410" s="590" t="s">
        <v>269</v>
      </c>
      <c r="D4410" s="592">
        <v>-10000</v>
      </c>
      <c r="E4410" s="212">
        <v>45474</v>
      </c>
      <c r="F4410" s="208" t="s">
        <v>130</v>
      </c>
      <c r="G4410" s="208" t="s">
        <v>257</v>
      </c>
      <c r="H4410" s="208" t="s">
        <v>138</v>
      </c>
      <c r="I4410" s="208" t="s">
        <v>3742</v>
      </c>
      <c r="J4410" s="209"/>
      <c r="K4410" s="209"/>
      <c r="L4410" s="209"/>
      <c r="M4410" s="209"/>
      <c r="N4410" s="209"/>
      <c r="O4410" s="209"/>
      <c r="P4410" s="209"/>
      <c r="Q4410" s="209"/>
      <c r="R4410" s="209"/>
      <c r="S4410" s="209"/>
      <c r="T4410" s="209"/>
    </row>
    <row r="4411" spans="1:20" ht="15" hidden="1" customHeight="1">
      <c r="A4411" s="468">
        <v>45491</v>
      </c>
      <c r="B4411" s="208" t="s">
        <v>3751</v>
      </c>
      <c r="C4411" s="590" t="s">
        <v>269</v>
      </c>
      <c r="D4411" s="592">
        <v>-12000</v>
      </c>
      <c r="E4411" s="212">
        <v>45474</v>
      </c>
      <c r="F4411" s="208" t="s">
        <v>130</v>
      </c>
      <c r="G4411" s="208" t="s">
        <v>257</v>
      </c>
      <c r="H4411" s="208" t="s">
        <v>138</v>
      </c>
      <c r="I4411" s="208" t="s">
        <v>3742</v>
      </c>
      <c r="J4411" s="209"/>
      <c r="K4411" s="209"/>
      <c r="L4411" s="209"/>
      <c r="M4411" s="209"/>
      <c r="N4411" s="209"/>
      <c r="O4411" s="209"/>
      <c r="P4411" s="209"/>
      <c r="Q4411" s="209"/>
      <c r="R4411" s="209"/>
      <c r="S4411" s="209"/>
      <c r="T4411" s="209"/>
    </row>
    <row r="4412" spans="1:20" ht="15" hidden="1" customHeight="1">
      <c r="A4412" s="468">
        <v>45492</v>
      </c>
      <c r="B4412" s="208" t="s">
        <v>3752</v>
      </c>
      <c r="C4412" s="590" t="s">
        <v>269</v>
      </c>
      <c r="D4412" s="592">
        <v>-24000</v>
      </c>
      <c r="E4412" s="212">
        <v>45474</v>
      </c>
      <c r="F4412" s="208" t="s">
        <v>130</v>
      </c>
      <c r="G4412" s="208" t="s">
        <v>257</v>
      </c>
      <c r="H4412" s="208" t="s">
        <v>138</v>
      </c>
      <c r="I4412" s="208" t="s">
        <v>3742</v>
      </c>
      <c r="J4412" s="209"/>
      <c r="K4412" s="209"/>
      <c r="L4412" s="209"/>
      <c r="M4412" s="209"/>
      <c r="N4412" s="209"/>
      <c r="O4412" s="209"/>
      <c r="P4412" s="209"/>
      <c r="Q4412" s="209"/>
      <c r="R4412" s="209"/>
      <c r="S4412" s="209"/>
      <c r="T4412" s="209"/>
    </row>
    <row r="4413" spans="1:20" ht="15" hidden="1" customHeight="1">
      <c r="A4413" s="468">
        <v>45492</v>
      </c>
      <c r="B4413" s="208" t="s">
        <v>3753</v>
      </c>
      <c r="C4413" s="590" t="s">
        <v>146</v>
      </c>
      <c r="D4413" s="592">
        <v>-46000</v>
      </c>
      <c r="E4413" s="212">
        <v>45474</v>
      </c>
      <c r="F4413" s="208" t="s">
        <v>130</v>
      </c>
      <c r="G4413" s="208" t="s">
        <v>257</v>
      </c>
      <c r="H4413" s="208" t="s">
        <v>138</v>
      </c>
      <c r="I4413" s="208" t="s">
        <v>3742</v>
      </c>
      <c r="J4413" s="209"/>
      <c r="K4413" s="209"/>
      <c r="L4413" s="209"/>
      <c r="M4413" s="209"/>
      <c r="N4413" s="209"/>
      <c r="O4413" s="209"/>
      <c r="P4413" s="209"/>
      <c r="Q4413" s="209"/>
      <c r="R4413" s="209"/>
      <c r="S4413" s="209"/>
      <c r="T4413" s="209"/>
    </row>
    <row r="4414" spans="1:20" ht="15" hidden="1" customHeight="1">
      <c r="A4414" s="468">
        <v>45490</v>
      </c>
      <c r="B4414" s="208" t="s">
        <v>3754</v>
      </c>
      <c r="C4414" s="208" t="s">
        <v>146</v>
      </c>
      <c r="D4414" s="800">
        <v>-55000</v>
      </c>
      <c r="E4414" s="212">
        <v>45474</v>
      </c>
      <c r="F4414" s="208" t="s">
        <v>109</v>
      </c>
      <c r="G4414" s="201" t="s">
        <v>581</v>
      </c>
      <c r="H4414" s="208" t="s">
        <v>175</v>
      </c>
      <c r="I4414" s="208" t="s">
        <v>173</v>
      </c>
      <c r="J4414" s="209"/>
      <c r="K4414" s="209"/>
      <c r="L4414" s="209"/>
      <c r="M4414" s="209"/>
      <c r="N4414" s="209"/>
      <c r="O4414" s="209"/>
      <c r="P4414" s="209"/>
      <c r="Q4414" s="209"/>
      <c r="R4414" s="209"/>
      <c r="S4414" s="209"/>
      <c r="T4414" s="209"/>
    </row>
    <row r="4415" spans="1:20" ht="15" hidden="1" customHeight="1">
      <c r="A4415" s="468">
        <v>45490</v>
      </c>
      <c r="B4415" s="208" t="s">
        <v>3755</v>
      </c>
      <c r="C4415" s="208" t="s">
        <v>146</v>
      </c>
      <c r="D4415" s="800">
        <v>-54500</v>
      </c>
      <c r="E4415" s="212">
        <v>45474</v>
      </c>
      <c r="F4415" s="208" t="s">
        <v>109</v>
      </c>
      <c r="G4415" s="201" t="s">
        <v>581</v>
      </c>
      <c r="H4415" s="208" t="s">
        <v>175</v>
      </c>
      <c r="I4415" s="208" t="s">
        <v>173</v>
      </c>
      <c r="J4415" s="209"/>
      <c r="K4415" s="209"/>
      <c r="L4415" s="209"/>
      <c r="M4415" s="209"/>
      <c r="N4415" s="209"/>
      <c r="O4415" s="209"/>
      <c r="P4415" s="209"/>
      <c r="Q4415" s="209"/>
      <c r="R4415" s="209"/>
      <c r="S4415" s="209"/>
      <c r="T4415" s="209"/>
    </row>
    <row r="4416" spans="1:20" ht="15" hidden="1" customHeight="1">
      <c r="A4416" s="468">
        <v>45482</v>
      </c>
      <c r="B4416" s="208" t="s">
        <v>3756</v>
      </c>
      <c r="C4416" s="208" t="s">
        <v>146</v>
      </c>
      <c r="D4416" s="592">
        <v>-15000</v>
      </c>
      <c r="E4416" s="212">
        <v>45474</v>
      </c>
      <c r="F4416" s="208" t="s">
        <v>109</v>
      </c>
      <c r="G4416" s="201" t="s">
        <v>918</v>
      </c>
      <c r="H4416" s="208" t="s">
        <v>416</v>
      </c>
      <c r="I4416" s="208" t="s">
        <v>173</v>
      </c>
      <c r="J4416" s="209"/>
      <c r="K4416" s="209"/>
      <c r="L4416" s="209"/>
      <c r="M4416" s="209"/>
      <c r="N4416" s="209"/>
      <c r="O4416" s="209"/>
      <c r="P4416" s="209"/>
      <c r="Q4416" s="209"/>
      <c r="R4416" s="209"/>
      <c r="S4416" s="209"/>
      <c r="T4416" s="209"/>
    </row>
    <row r="4417" spans="1:20" ht="15" hidden="1" customHeight="1">
      <c r="A4417" s="468">
        <v>45482</v>
      </c>
      <c r="B4417" s="208" t="s">
        <v>3757</v>
      </c>
      <c r="C4417" s="208" t="s">
        <v>146</v>
      </c>
      <c r="D4417" s="592">
        <v>-35000</v>
      </c>
      <c r="E4417" s="212">
        <v>45474</v>
      </c>
      <c r="F4417" s="208" t="s">
        <v>109</v>
      </c>
      <c r="G4417" s="654" t="s">
        <v>2585</v>
      </c>
      <c r="H4417" s="208" t="s">
        <v>138</v>
      </c>
      <c r="I4417" s="208" t="s">
        <v>173</v>
      </c>
      <c r="J4417" s="209"/>
      <c r="K4417" s="209"/>
      <c r="L4417" s="209"/>
      <c r="M4417" s="209"/>
      <c r="N4417" s="209"/>
      <c r="O4417" s="209"/>
      <c r="P4417" s="209"/>
      <c r="Q4417" s="209"/>
      <c r="R4417" s="209"/>
      <c r="S4417" s="209"/>
      <c r="T4417" s="209"/>
    </row>
    <row r="4418" spans="1:20" ht="15" hidden="1" customHeight="1">
      <c r="A4418" s="468">
        <v>45485</v>
      </c>
      <c r="B4418" s="208" t="s">
        <v>3758</v>
      </c>
      <c r="C4418" s="208" t="s">
        <v>146</v>
      </c>
      <c r="D4418" s="592">
        <v>-30000</v>
      </c>
      <c r="E4418" s="212">
        <v>45474</v>
      </c>
      <c r="F4418" s="208" t="s">
        <v>110</v>
      </c>
      <c r="G4418" s="208" t="s">
        <v>774</v>
      </c>
      <c r="H4418" s="208" t="s">
        <v>138</v>
      </c>
      <c r="I4418" s="208" t="s">
        <v>173</v>
      </c>
      <c r="J4418" s="209"/>
      <c r="K4418" s="209"/>
      <c r="L4418" s="209"/>
      <c r="M4418" s="209"/>
      <c r="N4418" s="209"/>
      <c r="O4418" s="209"/>
      <c r="P4418" s="209"/>
      <c r="Q4418" s="209"/>
      <c r="R4418" s="209"/>
      <c r="S4418" s="209"/>
      <c r="T4418" s="209"/>
    </row>
    <row r="4419" spans="1:20" ht="15" hidden="1" customHeight="1">
      <c r="A4419" s="468">
        <v>45485</v>
      </c>
      <c r="B4419" s="208" t="s">
        <v>3759</v>
      </c>
      <c r="C4419" s="208" t="s">
        <v>146</v>
      </c>
      <c r="D4419" s="592">
        <v>-200000</v>
      </c>
      <c r="E4419" s="212">
        <v>45474</v>
      </c>
      <c r="F4419" s="208" t="s">
        <v>109</v>
      </c>
      <c r="G4419" s="201" t="s">
        <v>1306</v>
      </c>
      <c r="H4419" s="208" t="s">
        <v>175</v>
      </c>
      <c r="I4419" s="208" t="s">
        <v>173</v>
      </c>
      <c r="J4419" s="209"/>
      <c r="K4419" s="209"/>
      <c r="L4419" s="209"/>
      <c r="M4419" s="209"/>
      <c r="N4419" s="209"/>
      <c r="O4419" s="209"/>
      <c r="P4419" s="209"/>
      <c r="Q4419" s="209"/>
      <c r="R4419" s="209"/>
      <c r="S4419" s="209"/>
      <c r="T4419" s="209"/>
    </row>
    <row r="4420" spans="1:20" ht="15" hidden="1" customHeight="1">
      <c r="A4420" s="468">
        <v>45486</v>
      </c>
      <c r="B4420" s="208" t="s">
        <v>3760</v>
      </c>
      <c r="C4420" s="208" t="s">
        <v>146</v>
      </c>
      <c r="D4420" s="592">
        <v>-253250</v>
      </c>
      <c r="E4420" s="212">
        <v>45474</v>
      </c>
      <c r="F4420" s="208" t="s">
        <v>110</v>
      </c>
      <c r="G4420" s="658" t="s">
        <v>3245</v>
      </c>
      <c r="H4420" s="208" t="s">
        <v>147</v>
      </c>
      <c r="I4420" s="208" t="s">
        <v>173</v>
      </c>
      <c r="J4420" s="209"/>
      <c r="K4420" s="209"/>
      <c r="L4420" s="209"/>
      <c r="M4420" s="209"/>
      <c r="N4420" s="209"/>
      <c r="O4420" s="209"/>
      <c r="P4420" s="209"/>
      <c r="Q4420" s="209"/>
      <c r="R4420" s="209"/>
      <c r="S4420" s="209"/>
      <c r="T4420" s="209"/>
    </row>
    <row r="4421" spans="1:20" ht="15" hidden="1" customHeight="1">
      <c r="A4421" s="468">
        <v>45489</v>
      </c>
      <c r="B4421" s="208" t="s">
        <v>3761</v>
      </c>
      <c r="C4421" s="208" t="s">
        <v>146</v>
      </c>
      <c r="D4421" s="592">
        <v>-31200</v>
      </c>
      <c r="E4421" s="212">
        <v>45474</v>
      </c>
      <c r="F4421" s="208" t="s">
        <v>109</v>
      </c>
      <c r="G4421" s="654" t="s">
        <v>2585</v>
      </c>
      <c r="H4421" s="208" t="s">
        <v>175</v>
      </c>
      <c r="I4421" s="208" t="s">
        <v>173</v>
      </c>
      <c r="J4421" s="209"/>
      <c r="K4421" s="209"/>
      <c r="L4421" s="209"/>
      <c r="M4421" s="209"/>
      <c r="N4421" s="209"/>
      <c r="O4421" s="209"/>
      <c r="P4421" s="209"/>
      <c r="Q4421" s="209"/>
      <c r="R4421" s="209"/>
      <c r="S4421" s="209"/>
      <c r="T4421" s="209"/>
    </row>
    <row r="4422" spans="1:20" ht="15" hidden="1" customHeight="1">
      <c r="A4422" s="468">
        <v>45489</v>
      </c>
      <c r="B4422" s="208" t="s">
        <v>3762</v>
      </c>
      <c r="C4422" s="208" t="s">
        <v>146</v>
      </c>
      <c r="D4422" s="592">
        <v>-23000</v>
      </c>
      <c r="E4422" s="212">
        <v>45474</v>
      </c>
      <c r="F4422" s="208" t="s">
        <v>207</v>
      </c>
      <c r="G4422" s="208" t="s">
        <v>414</v>
      </c>
      <c r="H4422" s="208" t="s">
        <v>175</v>
      </c>
      <c r="I4422" s="208" t="s">
        <v>173</v>
      </c>
      <c r="J4422" s="209"/>
      <c r="K4422" s="209"/>
      <c r="L4422" s="209"/>
      <c r="M4422" s="209"/>
      <c r="N4422" s="209"/>
      <c r="O4422" s="209"/>
      <c r="P4422" s="209"/>
      <c r="Q4422" s="209"/>
      <c r="R4422" s="209"/>
      <c r="S4422" s="209"/>
      <c r="T4422" s="209"/>
    </row>
    <row r="4423" spans="1:20" ht="15" hidden="1" customHeight="1">
      <c r="A4423" s="468">
        <v>45490</v>
      </c>
      <c r="B4423" s="208" t="s">
        <v>3763</v>
      </c>
      <c r="C4423" s="208" t="s">
        <v>146</v>
      </c>
      <c r="D4423" s="592">
        <v>-79271</v>
      </c>
      <c r="E4423" s="212">
        <v>45474</v>
      </c>
      <c r="F4423" s="208" t="s">
        <v>110</v>
      </c>
      <c r="G4423" s="208" t="s">
        <v>774</v>
      </c>
      <c r="H4423" s="208" t="s">
        <v>175</v>
      </c>
      <c r="I4423" s="208" t="s">
        <v>173</v>
      </c>
      <c r="J4423" s="209"/>
      <c r="K4423" s="209"/>
      <c r="L4423" s="209"/>
      <c r="M4423" s="209"/>
      <c r="N4423" s="209"/>
      <c r="O4423" s="209"/>
      <c r="P4423" s="209"/>
      <c r="Q4423" s="209"/>
      <c r="R4423" s="209"/>
      <c r="S4423" s="209"/>
      <c r="T4423" s="209"/>
    </row>
    <row r="4424" spans="1:20" ht="15" hidden="1" customHeight="1">
      <c r="A4424" s="468">
        <v>45490</v>
      </c>
      <c r="B4424" s="208" t="s">
        <v>3764</v>
      </c>
      <c r="C4424" s="208" t="s">
        <v>146</v>
      </c>
      <c r="D4424" s="592">
        <v>-12000</v>
      </c>
      <c r="E4424" s="212">
        <v>45474</v>
      </c>
      <c r="F4424" s="208" t="s">
        <v>207</v>
      </c>
      <c r="G4424" s="590" t="s">
        <v>207</v>
      </c>
      <c r="H4424" s="208" t="s">
        <v>175</v>
      </c>
      <c r="I4424" s="208" t="s">
        <v>173</v>
      </c>
      <c r="J4424" s="209"/>
      <c r="K4424" s="209"/>
      <c r="L4424" s="209"/>
      <c r="M4424" s="209"/>
      <c r="N4424" s="209"/>
      <c r="O4424" s="209"/>
      <c r="P4424" s="209"/>
      <c r="Q4424" s="209"/>
      <c r="R4424" s="209"/>
      <c r="S4424" s="209"/>
      <c r="T4424" s="209"/>
    </row>
    <row r="4425" spans="1:20" ht="15" hidden="1" customHeight="1">
      <c r="A4425" s="468">
        <v>45490</v>
      </c>
      <c r="B4425" s="208" t="s">
        <v>3765</v>
      </c>
      <c r="C4425" s="208" t="s">
        <v>146</v>
      </c>
      <c r="D4425" s="592">
        <v>-5000</v>
      </c>
      <c r="E4425" s="212">
        <v>45474</v>
      </c>
      <c r="F4425" s="208" t="s">
        <v>130</v>
      </c>
      <c r="G4425" s="590" t="s">
        <v>130</v>
      </c>
      <c r="H4425" s="208" t="s">
        <v>2444</v>
      </c>
      <c r="I4425" s="208" t="s">
        <v>173</v>
      </c>
      <c r="J4425" s="209"/>
      <c r="K4425" s="209"/>
      <c r="L4425" s="209"/>
      <c r="M4425" s="209"/>
      <c r="N4425" s="209"/>
      <c r="O4425" s="209"/>
      <c r="P4425" s="209"/>
      <c r="Q4425" s="209"/>
      <c r="R4425" s="209"/>
      <c r="S4425" s="209"/>
      <c r="T4425" s="209"/>
    </row>
    <row r="4426" spans="1:20" ht="15" hidden="1" customHeight="1">
      <c r="A4426" s="468">
        <v>45491</v>
      </c>
      <c r="B4426" s="208" t="s">
        <v>3766</v>
      </c>
      <c r="C4426" s="208" t="s">
        <v>146</v>
      </c>
      <c r="D4426" s="592">
        <v>-11999</v>
      </c>
      <c r="E4426" s="212">
        <v>45474</v>
      </c>
      <c r="F4426" s="208" t="s">
        <v>110</v>
      </c>
      <c r="G4426" s="208" t="s">
        <v>774</v>
      </c>
      <c r="H4426" s="208" t="s">
        <v>175</v>
      </c>
      <c r="I4426" s="208" t="s">
        <v>173</v>
      </c>
      <c r="J4426" s="209"/>
      <c r="K4426" s="209"/>
      <c r="L4426" s="209"/>
      <c r="M4426" s="209"/>
      <c r="N4426" s="209"/>
      <c r="O4426" s="209"/>
      <c r="P4426" s="209"/>
      <c r="Q4426" s="209"/>
      <c r="R4426" s="209"/>
      <c r="S4426" s="209"/>
      <c r="T4426" s="209"/>
    </row>
    <row r="4427" spans="1:20" s="474" customFormat="1" ht="15" hidden="1" customHeight="1">
      <c r="A4427" s="468">
        <v>45489</v>
      </c>
      <c r="B4427" s="208" t="s">
        <v>3767</v>
      </c>
      <c r="C4427" s="208" t="s">
        <v>27</v>
      </c>
      <c r="D4427" s="592">
        <v>-836400</v>
      </c>
      <c r="E4427" s="212">
        <v>45474</v>
      </c>
      <c r="F4427" s="208" t="s">
        <v>109</v>
      </c>
      <c r="G4427" s="654" t="s">
        <v>2585</v>
      </c>
      <c r="H4427" s="208" t="s">
        <v>416</v>
      </c>
      <c r="I4427" s="208"/>
      <c r="J4427" s="209"/>
      <c r="K4427" s="209"/>
      <c r="L4427" s="209"/>
      <c r="M4427" s="209"/>
      <c r="N4427" s="209"/>
      <c r="O4427" s="209"/>
      <c r="P4427" s="209"/>
      <c r="Q4427" s="209"/>
      <c r="R4427" s="209"/>
      <c r="S4427" s="209"/>
      <c r="T4427" s="209"/>
    </row>
    <row r="4428" spans="1:20" ht="15" hidden="1" customHeight="1">
      <c r="A4428" s="468">
        <v>45489</v>
      </c>
      <c r="B4428" s="208" t="s">
        <v>3768</v>
      </c>
      <c r="C4428" s="208" t="s">
        <v>27</v>
      </c>
      <c r="D4428" s="800">
        <v>-3416766</v>
      </c>
      <c r="E4428" s="212">
        <v>45474</v>
      </c>
      <c r="F4428" s="208" t="s">
        <v>109</v>
      </c>
      <c r="G4428" s="201" t="s">
        <v>581</v>
      </c>
      <c r="H4428" s="208"/>
      <c r="I4428" s="208"/>
      <c r="J4428" s="209"/>
      <c r="K4428" s="209"/>
      <c r="L4428" s="209"/>
      <c r="M4428" s="209"/>
      <c r="N4428" s="209"/>
      <c r="O4428" s="209"/>
      <c r="P4428" s="209"/>
      <c r="Q4428" s="209"/>
      <c r="R4428" s="209"/>
      <c r="S4428" s="209"/>
      <c r="T4428" s="209"/>
    </row>
    <row r="4429" spans="1:20" ht="15" hidden="1" customHeight="1">
      <c r="A4429" s="468">
        <v>45489</v>
      </c>
      <c r="B4429" s="208" t="s">
        <v>3348</v>
      </c>
      <c r="C4429" s="208" t="s">
        <v>27</v>
      </c>
      <c r="D4429" s="800">
        <v>-570000</v>
      </c>
      <c r="E4429" s="212">
        <v>45474</v>
      </c>
      <c r="F4429" s="208" t="s">
        <v>109</v>
      </c>
      <c r="G4429" s="201" t="s">
        <v>581</v>
      </c>
      <c r="H4429" s="208"/>
      <c r="I4429" s="208"/>
      <c r="J4429" s="209"/>
      <c r="K4429" s="209"/>
      <c r="L4429" s="209"/>
      <c r="M4429" s="209"/>
      <c r="N4429" s="209"/>
      <c r="O4429" s="209"/>
      <c r="P4429" s="209"/>
      <c r="Q4429" s="209"/>
      <c r="R4429" s="209"/>
      <c r="S4429" s="209"/>
      <c r="T4429" s="209"/>
    </row>
    <row r="4430" spans="1:20" ht="15" hidden="1" customHeight="1">
      <c r="A4430" s="468">
        <v>45489</v>
      </c>
      <c r="B4430" s="208" t="s">
        <v>3769</v>
      </c>
      <c r="C4430" s="208" t="s">
        <v>3331</v>
      </c>
      <c r="D4430" s="800">
        <v>-217400</v>
      </c>
      <c r="E4430" s="212">
        <v>45474</v>
      </c>
      <c r="F4430" s="208" t="s">
        <v>109</v>
      </c>
      <c r="G4430" s="201" t="s">
        <v>581</v>
      </c>
      <c r="H4430" s="208"/>
      <c r="I4430" s="208"/>
      <c r="J4430" s="209"/>
      <c r="K4430" s="209"/>
      <c r="L4430" s="209"/>
      <c r="M4430" s="209"/>
      <c r="N4430" s="209"/>
      <c r="O4430" s="209"/>
      <c r="P4430" s="209"/>
      <c r="Q4430" s="209"/>
      <c r="R4430" s="209"/>
      <c r="S4430" s="209"/>
      <c r="T4430" s="209"/>
    </row>
    <row r="4431" spans="1:20" ht="15" hidden="1" customHeight="1">
      <c r="A4431" s="468">
        <v>45489</v>
      </c>
      <c r="B4431" s="208" t="s">
        <v>3770</v>
      </c>
      <c r="C4431" s="208" t="s">
        <v>27</v>
      </c>
      <c r="D4431" s="592">
        <v>-478900</v>
      </c>
      <c r="E4431" s="212">
        <v>45474</v>
      </c>
      <c r="F4431" s="208" t="s">
        <v>109</v>
      </c>
      <c r="G4431" s="654" t="s">
        <v>2585</v>
      </c>
      <c r="H4431" s="208" t="s">
        <v>175</v>
      </c>
      <c r="I4431" s="208"/>
      <c r="J4431" s="209"/>
      <c r="K4431" s="209"/>
      <c r="L4431" s="209"/>
      <c r="M4431" s="209"/>
      <c r="N4431" s="209"/>
      <c r="O4431" s="209"/>
      <c r="P4431" s="209"/>
      <c r="Q4431" s="209"/>
      <c r="R4431" s="209"/>
      <c r="S4431" s="209"/>
      <c r="T4431" s="209"/>
    </row>
    <row r="4432" spans="1:20" ht="15" hidden="1" customHeight="1">
      <c r="A4432" s="468">
        <v>45489</v>
      </c>
      <c r="B4432" s="208" t="s">
        <v>3771</v>
      </c>
      <c r="C4432" s="208" t="s">
        <v>27</v>
      </c>
      <c r="D4432" s="592">
        <v>-4287510</v>
      </c>
      <c r="E4432" s="212">
        <v>45474</v>
      </c>
      <c r="F4432" t="s">
        <v>207</v>
      </c>
      <c r="G4432" s="201" t="s">
        <v>2009</v>
      </c>
      <c r="H4432" s="208" t="s">
        <v>3637</v>
      </c>
      <c r="I4432" s="208"/>
      <c r="J4432" s="209"/>
      <c r="K4432" s="209"/>
      <c r="L4432" s="209"/>
      <c r="M4432" s="209"/>
      <c r="N4432" s="209"/>
      <c r="O4432" s="209"/>
      <c r="P4432" s="209"/>
      <c r="Q4432" s="209"/>
      <c r="R4432" s="209"/>
      <c r="S4432" s="209"/>
      <c r="T4432" s="209"/>
    </row>
    <row r="4433" spans="1:20" ht="15" hidden="1" customHeight="1">
      <c r="A4433" s="468">
        <v>45489</v>
      </c>
      <c r="B4433" s="208" t="s">
        <v>3772</v>
      </c>
      <c r="C4433" s="208" t="s">
        <v>27</v>
      </c>
      <c r="D4433" s="800">
        <v>-6229500</v>
      </c>
      <c r="E4433" s="212">
        <v>45474</v>
      </c>
      <c r="F4433" s="208" t="s">
        <v>109</v>
      </c>
      <c r="G4433" s="201" t="s">
        <v>581</v>
      </c>
      <c r="H4433" s="208"/>
      <c r="I4433" s="208"/>
      <c r="J4433" s="209"/>
      <c r="K4433" s="209"/>
      <c r="L4433" s="209"/>
      <c r="M4433" s="209"/>
      <c r="N4433" s="209"/>
      <c r="O4433" s="209"/>
      <c r="P4433" s="209"/>
      <c r="Q4433" s="209"/>
      <c r="R4433" s="209"/>
      <c r="S4433" s="209"/>
      <c r="T4433" s="209"/>
    </row>
    <row r="4434" spans="1:20" ht="15" hidden="1" customHeight="1">
      <c r="A4434" s="468">
        <v>45489</v>
      </c>
      <c r="B4434" s="208" t="s">
        <v>3773</v>
      </c>
      <c r="C4434" s="208" t="s">
        <v>27</v>
      </c>
      <c r="D4434" s="592">
        <v>-26001210</v>
      </c>
      <c r="E4434" s="212">
        <v>45474</v>
      </c>
      <c r="F4434" s="201" t="s">
        <v>110</v>
      </c>
      <c r="G4434" s="201" t="s">
        <v>1489</v>
      </c>
      <c r="H4434" s="208" t="s">
        <v>549</v>
      </c>
      <c r="I4434" s="208"/>
      <c r="J4434" s="209"/>
      <c r="K4434" s="209"/>
      <c r="L4434" s="209"/>
      <c r="M4434" s="209"/>
      <c r="N4434" s="209"/>
      <c r="O4434" s="209"/>
      <c r="P4434" s="209"/>
      <c r="Q4434" s="209"/>
      <c r="R4434" s="209"/>
      <c r="S4434" s="209"/>
      <c r="T4434" s="209"/>
    </row>
    <row r="4435" spans="1:20" ht="15" hidden="1" customHeight="1">
      <c r="A4435" s="468">
        <v>45489</v>
      </c>
      <c r="B4435" s="208" t="s">
        <v>3774</v>
      </c>
      <c r="C4435" s="208" t="s">
        <v>27</v>
      </c>
      <c r="D4435" s="800">
        <v>-1143450</v>
      </c>
      <c r="E4435" s="212">
        <v>45474</v>
      </c>
      <c r="F4435" s="208" t="s">
        <v>109</v>
      </c>
      <c r="G4435" s="201" t="s">
        <v>581</v>
      </c>
      <c r="H4435" s="208"/>
      <c r="I4435" s="208"/>
      <c r="J4435" s="209"/>
      <c r="K4435" s="209"/>
      <c r="L4435" s="209"/>
      <c r="M4435" s="209"/>
      <c r="N4435" s="209"/>
      <c r="O4435" s="209"/>
      <c r="P4435" s="209"/>
      <c r="Q4435" s="209"/>
      <c r="R4435" s="209"/>
      <c r="S4435" s="209"/>
      <c r="T4435" s="209"/>
    </row>
    <row r="4436" spans="1:20" ht="15" hidden="1" customHeight="1">
      <c r="A4436" s="468">
        <v>45489</v>
      </c>
      <c r="B4436" s="208" t="s">
        <v>3775</v>
      </c>
      <c r="C4436" s="208" t="s">
        <v>3331</v>
      </c>
      <c r="D4436" s="592">
        <v>-146424</v>
      </c>
      <c r="E4436" s="212">
        <v>45474</v>
      </c>
      <c r="F4436" s="201" t="s">
        <v>110</v>
      </c>
      <c r="G4436" s="208" t="s">
        <v>2444</v>
      </c>
      <c r="H4436" s="208" t="s">
        <v>2444</v>
      </c>
      <c r="I4436" s="208"/>
      <c r="J4436" s="209"/>
      <c r="K4436" s="209"/>
      <c r="L4436" s="209"/>
      <c r="M4436" s="209"/>
      <c r="N4436" s="209"/>
      <c r="O4436" s="209"/>
      <c r="P4436" s="209"/>
      <c r="Q4436" s="209"/>
      <c r="R4436" s="209"/>
      <c r="S4436" s="209"/>
      <c r="T4436" s="209"/>
    </row>
    <row r="4437" spans="1:20" ht="15" hidden="1" customHeight="1">
      <c r="A4437" s="468">
        <v>45489</v>
      </c>
      <c r="B4437" s="208" t="s">
        <v>3776</v>
      </c>
      <c r="C4437" s="208" t="s">
        <v>3331</v>
      </c>
      <c r="D4437" s="592">
        <v>-79000</v>
      </c>
      <c r="E4437" s="212">
        <v>45474</v>
      </c>
      <c r="F4437" s="208" t="s">
        <v>130</v>
      </c>
      <c r="G4437" s="208" t="s">
        <v>130</v>
      </c>
      <c r="H4437" s="208" t="s">
        <v>1156</v>
      </c>
      <c r="I4437" s="208"/>
      <c r="J4437" s="209"/>
      <c r="K4437" s="209"/>
      <c r="L4437" s="209"/>
      <c r="M4437" s="209"/>
      <c r="N4437" s="209"/>
      <c r="O4437" s="209"/>
      <c r="P4437" s="209"/>
      <c r="Q4437" s="209"/>
      <c r="R4437" s="209"/>
      <c r="S4437" s="209"/>
      <c r="T4437" s="209"/>
    </row>
    <row r="4438" spans="1:20" ht="15" hidden="1" customHeight="1">
      <c r="A4438" s="468">
        <v>45491</v>
      </c>
      <c r="B4438" s="208" t="s">
        <v>3777</v>
      </c>
      <c r="C4438" s="208" t="s">
        <v>27</v>
      </c>
      <c r="D4438" s="592">
        <v>-527000</v>
      </c>
      <c r="E4438" s="212">
        <v>45474</v>
      </c>
      <c r="F4438" s="201" t="s">
        <v>110</v>
      </c>
      <c r="G4438" s="208" t="s">
        <v>2444</v>
      </c>
      <c r="H4438" s="208" t="s">
        <v>2444</v>
      </c>
      <c r="I4438" s="208"/>
      <c r="J4438" s="209"/>
      <c r="K4438" s="209"/>
      <c r="L4438" s="209"/>
      <c r="M4438" s="209"/>
      <c r="N4438" s="209"/>
      <c r="O4438" s="209"/>
      <c r="P4438" s="209"/>
      <c r="Q4438" s="209"/>
      <c r="R4438" s="209"/>
      <c r="S4438" s="209"/>
      <c r="T4438" s="209"/>
    </row>
    <row r="4439" spans="1:20" ht="15" hidden="1" customHeight="1">
      <c r="A4439" s="468">
        <v>45491</v>
      </c>
      <c r="B4439" s="208" t="s">
        <v>3778</v>
      </c>
      <c r="C4439" s="208" t="s">
        <v>27</v>
      </c>
      <c r="D4439" s="800">
        <v>-100000</v>
      </c>
      <c r="E4439" s="212">
        <v>45474</v>
      </c>
      <c r="F4439" s="208" t="s">
        <v>109</v>
      </c>
      <c r="G4439" s="201" t="s">
        <v>581</v>
      </c>
      <c r="H4439" s="208"/>
      <c r="I4439" s="208"/>
      <c r="J4439" s="209"/>
      <c r="K4439" s="209"/>
      <c r="L4439" s="209"/>
      <c r="M4439" s="209"/>
      <c r="N4439" s="209"/>
      <c r="O4439" s="209"/>
      <c r="P4439" s="209"/>
      <c r="Q4439" s="209"/>
      <c r="R4439" s="209"/>
      <c r="S4439" s="209"/>
      <c r="T4439" s="209"/>
    </row>
    <row r="4440" spans="1:20" ht="15" hidden="1" customHeight="1">
      <c r="A4440" s="468">
        <v>45491</v>
      </c>
      <c r="B4440" s="208" t="s">
        <v>3779</v>
      </c>
      <c r="C4440" s="208" t="s">
        <v>27</v>
      </c>
      <c r="D4440" s="592">
        <v>-440000</v>
      </c>
      <c r="E4440" s="212">
        <v>45474</v>
      </c>
      <c r="F4440" s="208" t="s">
        <v>109</v>
      </c>
      <c r="G4440" s="201" t="s">
        <v>918</v>
      </c>
      <c r="H4440" s="208" t="s">
        <v>147</v>
      </c>
      <c r="I4440" s="475" t="s">
        <v>3626</v>
      </c>
      <c r="J4440" s="209"/>
      <c r="K4440" s="209"/>
      <c r="L4440" s="209"/>
      <c r="M4440" s="209"/>
      <c r="N4440" s="209"/>
      <c r="O4440" s="209"/>
      <c r="P4440" s="209"/>
      <c r="Q4440" s="209"/>
      <c r="R4440" s="209"/>
      <c r="S4440" s="209"/>
      <c r="T4440" s="209"/>
    </row>
    <row r="4441" spans="1:20" ht="15" hidden="1" customHeight="1">
      <c r="A4441" s="468">
        <v>45491</v>
      </c>
      <c r="B4441" s="208" t="s">
        <v>3780</v>
      </c>
      <c r="C4441" s="208" t="s">
        <v>27</v>
      </c>
      <c r="D4441" s="592">
        <v>-3060000</v>
      </c>
      <c r="E4441" s="212">
        <v>45474</v>
      </c>
      <c r="F4441" s="201" t="s">
        <v>110</v>
      </c>
      <c r="G4441" s="208" t="s">
        <v>2444</v>
      </c>
      <c r="H4441" s="208" t="s">
        <v>2444</v>
      </c>
      <c r="I4441" s="208"/>
      <c r="J4441" s="209"/>
      <c r="K4441" s="209"/>
      <c r="L4441" s="209"/>
      <c r="M4441" s="209"/>
      <c r="N4441" s="209"/>
      <c r="O4441" s="209"/>
      <c r="P4441" s="209"/>
      <c r="Q4441" s="209"/>
      <c r="R4441" s="209"/>
      <c r="S4441" s="209"/>
      <c r="T4441" s="209"/>
    </row>
    <row r="4442" spans="1:20" ht="15" hidden="1" customHeight="1">
      <c r="A4442" s="468">
        <v>45491</v>
      </c>
      <c r="B4442" s="208" t="s">
        <v>3781</v>
      </c>
      <c r="C4442" s="208" t="s">
        <v>27</v>
      </c>
      <c r="D4442" s="800">
        <v>-24294</v>
      </c>
      <c r="E4442" s="212">
        <v>45474</v>
      </c>
      <c r="F4442" s="208" t="s">
        <v>109</v>
      </c>
      <c r="G4442" s="201" t="s">
        <v>581</v>
      </c>
      <c r="H4442" s="208"/>
      <c r="I4442" s="208"/>
      <c r="J4442" s="209"/>
      <c r="K4442" s="209"/>
      <c r="L4442" s="209"/>
      <c r="M4442" s="209"/>
      <c r="N4442" s="209"/>
      <c r="O4442" s="209"/>
      <c r="P4442" s="209"/>
      <c r="Q4442" s="209"/>
      <c r="R4442" s="209"/>
      <c r="S4442" s="209"/>
      <c r="T4442" s="209"/>
    </row>
    <row r="4443" spans="1:20" ht="15" hidden="1" customHeight="1">
      <c r="A4443" s="468">
        <v>45491</v>
      </c>
      <c r="B4443" s="208" t="s">
        <v>3782</v>
      </c>
      <c r="C4443" s="208" t="s">
        <v>27</v>
      </c>
      <c r="D4443" s="800">
        <v>-20900</v>
      </c>
      <c r="E4443" s="212">
        <v>45474</v>
      </c>
      <c r="F4443" s="208" t="s">
        <v>109</v>
      </c>
      <c r="G4443" s="201" t="s">
        <v>581</v>
      </c>
      <c r="H4443" s="208"/>
      <c r="I4443" s="208"/>
      <c r="J4443" s="209"/>
      <c r="K4443" s="209"/>
      <c r="L4443" s="209"/>
      <c r="M4443" s="209"/>
      <c r="N4443" s="209"/>
      <c r="O4443" s="209"/>
      <c r="P4443" s="209"/>
      <c r="Q4443" s="209"/>
      <c r="R4443" s="209"/>
      <c r="S4443" s="209"/>
      <c r="T4443" s="209"/>
    </row>
    <row r="4444" spans="1:20" ht="15" hidden="1" customHeight="1">
      <c r="A4444" s="468">
        <v>45491</v>
      </c>
      <c r="B4444" s="208" t="s">
        <v>3783</v>
      </c>
      <c r="C4444" s="208" t="s">
        <v>27</v>
      </c>
      <c r="D4444" s="800">
        <v>-76461427</v>
      </c>
      <c r="E4444" s="212">
        <v>45474</v>
      </c>
      <c r="F4444" s="208" t="s">
        <v>109</v>
      </c>
      <c r="G4444" s="201" t="s">
        <v>581</v>
      </c>
      <c r="H4444" s="208"/>
      <c r="I4444" s="208"/>
      <c r="J4444" s="209"/>
      <c r="K4444" s="209"/>
      <c r="L4444" s="209"/>
      <c r="M4444" s="209"/>
      <c r="N4444" s="209"/>
      <c r="O4444" s="209"/>
      <c r="P4444" s="209"/>
      <c r="Q4444" s="209"/>
      <c r="R4444" s="209"/>
      <c r="S4444" s="209"/>
      <c r="T4444" s="209"/>
    </row>
    <row r="4445" spans="1:20" ht="15" hidden="1" customHeight="1">
      <c r="A4445" s="468">
        <v>45491</v>
      </c>
      <c r="B4445" s="208" t="s">
        <v>3784</v>
      </c>
      <c r="C4445" s="208" t="s">
        <v>3331</v>
      </c>
      <c r="D4445" s="592">
        <v>-285386</v>
      </c>
      <c r="E4445" s="212">
        <v>45474</v>
      </c>
      <c r="F4445" s="208" t="s">
        <v>207</v>
      </c>
      <c r="G4445" s="208" t="s">
        <v>207</v>
      </c>
      <c r="H4445" s="208"/>
      <c r="I4445" s="208"/>
      <c r="J4445" s="209"/>
      <c r="K4445" s="209"/>
      <c r="L4445" s="209"/>
      <c r="M4445" s="209"/>
      <c r="N4445" s="209"/>
      <c r="O4445" s="209"/>
      <c r="P4445" s="209"/>
      <c r="Q4445" s="209"/>
      <c r="R4445" s="209"/>
      <c r="S4445" s="209"/>
      <c r="T4445" s="209"/>
    </row>
    <row r="4446" spans="1:20" ht="15" hidden="1" customHeight="1">
      <c r="A4446" s="468">
        <v>45489</v>
      </c>
      <c r="B4446" s="208" t="s">
        <v>3066</v>
      </c>
      <c r="C4446" s="208" t="s">
        <v>27</v>
      </c>
      <c r="D4446" s="800">
        <v>-1230000</v>
      </c>
      <c r="E4446" s="212">
        <v>45474</v>
      </c>
      <c r="F4446" s="208" t="s">
        <v>109</v>
      </c>
      <c r="G4446" s="201" t="s">
        <v>581</v>
      </c>
      <c r="H4446" s="208"/>
      <c r="I4446" s="208"/>
      <c r="J4446" s="209"/>
      <c r="K4446" s="209"/>
      <c r="L4446" s="209"/>
      <c r="M4446" s="209"/>
      <c r="N4446" s="209"/>
      <c r="O4446" s="209"/>
      <c r="P4446" s="209"/>
      <c r="Q4446" s="209"/>
      <c r="R4446" s="209"/>
      <c r="S4446" s="209"/>
      <c r="T4446" s="209"/>
    </row>
    <row r="4447" spans="1:20" ht="15" hidden="1" customHeight="1">
      <c r="A4447" s="468">
        <v>45491</v>
      </c>
      <c r="B4447" s="208" t="s">
        <v>3207</v>
      </c>
      <c r="C4447" s="208" t="s">
        <v>27</v>
      </c>
      <c r="D4447" s="800">
        <v>-4049540</v>
      </c>
      <c r="E4447" s="212">
        <v>45474</v>
      </c>
      <c r="F4447" s="208" t="s">
        <v>109</v>
      </c>
      <c r="G4447" s="201" t="s">
        <v>581</v>
      </c>
      <c r="H4447" s="208"/>
      <c r="I4447" s="208"/>
      <c r="J4447" s="209"/>
      <c r="K4447" s="209"/>
      <c r="L4447" s="209"/>
      <c r="M4447" s="209"/>
      <c r="N4447" s="209"/>
      <c r="O4447" s="209"/>
      <c r="P4447" s="209"/>
      <c r="Q4447" s="209"/>
      <c r="R4447" s="209"/>
      <c r="S4447" s="209"/>
      <c r="T4447" s="209"/>
    </row>
    <row r="4448" spans="1:20" ht="15" hidden="1" customHeight="1">
      <c r="A4448" s="468">
        <v>45491</v>
      </c>
      <c r="B4448" s="208" t="s">
        <v>3785</v>
      </c>
      <c r="C4448" s="208" t="s">
        <v>27</v>
      </c>
      <c r="D4448" s="800">
        <v>-6500000</v>
      </c>
      <c r="E4448" s="212">
        <v>45474</v>
      </c>
      <c r="F4448" s="208" t="s">
        <v>109</v>
      </c>
      <c r="G4448" s="201" t="s">
        <v>581</v>
      </c>
      <c r="H4448" s="208"/>
      <c r="I4448" s="208"/>
      <c r="J4448" s="209"/>
      <c r="K4448" s="209"/>
      <c r="L4448" s="209"/>
      <c r="M4448" s="209"/>
      <c r="N4448" s="209"/>
      <c r="O4448" s="209"/>
      <c r="P4448" s="209"/>
      <c r="Q4448" s="209"/>
      <c r="R4448" s="209"/>
      <c r="S4448" s="209"/>
      <c r="T4448" s="209"/>
    </row>
    <row r="4449" spans="1:20" ht="15" hidden="1" customHeight="1">
      <c r="A4449" s="468">
        <v>45491</v>
      </c>
      <c r="B4449" s="208" t="s">
        <v>3786</v>
      </c>
      <c r="C4449" s="208" t="s">
        <v>27</v>
      </c>
      <c r="D4449" s="592">
        <v>-6372000</v>
      </c>
      <c r="E4449" s="212">
        <v>45474</v>
      </c>
      <c r="F4449" s="208" t="s">
        <v>109</v>
      </c>
      <c r="G4449" s="208" t="s">
        <v>2809</v>
      </c>
      <c r="H4449" s="208" t="s">
        <v>3787</v>
      </c>
      <c r="I4449" s="208"/>
      <c r="J4449" s="209"/>
      <c r="K4449" s="209"/>
      <c r="L4449" s="209"/>
      <c r="M4449" s="209"/>
      <c r="N4449" s="209"/>
      <c r="O4449" s="209"/>
      <c r="P4449" s="209"/>
      <c r="Q4449" s="209"/>
      <c r="R4449" s="209"/>
      <c r="S4449" s="209"/>
      <c r="T4449" s="209"/>
    </row>
    <row r="4450" spans="1:20" ht="15" hidden="1" customHeight="1">
      <c r="A4450" s="468">
        <v>45491</v>
      </c>
      <c r="B4450" s="208" t="s">
        <v>3788</v>
      </c>
      <c r="C4450" s="208" t="s">
        <v>27</v>
      </c>
      <c r="D4450" s="592">
        <v>-26227768</v>
      </c>
      <c r="E4450" s="212">
        <v>45474</v>
      </c>
      <c r="F4450" s="208" t="s">
        <v>109</v>
      </c>
      <c r="G4450" s="208" t="s">
        <v>120</v>
      </c>
      <c r="H4450" s="208"/>
      <c r="I4450" s="208"/>
      <c r="J4450" s="209"/>
      <c r="K4450" s="209"/>
      <c r="L4450" s="209"/>
      <c r="M4450" s="209"/>
      <c r="N4450" s="209"/>
      <c r="O4450" s="209"/>
      <c r="P4450" s="209"/>
      <c r="Q4450" s="209"/>
      <c r="R4450" s="209"/>
      <c r="S4450" s="209"/>
      <c r="T4450" s="209"/>
    </row>
    <row r="4451" spans="1:20" ht="15" hidden="1" customHeight="1">
      <c r="A4451" s="468">
        <v>45491</v>
      </c>
      <c r="B4451" s="208" t="s">
        <v>3789</v>
      </c>
      <c r="C4451" s="208" t="s">
        <v>27</v>
      </c>
      <c r="D4451" s="592">
        <v>-6800</v>
      </c>
      <c r="E4451" s="212">
        <v>45474</v>
      </c>
      <c r="F4451" s="208" t="s">
        <v>130</v>
      </c>
      <c r="G4451" s="208" t="s">
        <v>130</v>
      </c>
      <c r="H4451" s="208" t="s">
        <v>182</v>
      </c>
      <c r="I4451" s="208"/>
      <c r="J4451" s="209"/>
      <c r="K4451" s="209"/>
      <c r="L4451" s="209"/>
      <c r="M4451" s="209"/>
      <c r="N4451" s="209"/>
      <c r="O4451" s="209"/>
      <c r="P4451" s="209"/>
      <c r="Q4451" s="209"/>
      <c r="R4451" s="209"/>
      <c r="S4451" s="209"/>
      <c r="T4451" s="209"/>
    </row>
    <row r="4452" spans="1:20" ht="15" hidden="1" customHeight="1">
      <c r="A4452" s="468">
        <v>45491</v>
      </c>
      <c r="B4452" s="208" t="s">
        <v>2589</v>
      </c>
      <c r="C4452" s="208" t="s">
        <v>27</v>
      </c>
      <c r="D4452" s="592">
        <v>-7900</v>
      </c>
      <c r="E4452" s="212">
        <v>45474</v>
      </c>
      <c r="F4452" s="208" t="s">
        <v>130</v>
      </c>
      <c r="G4452" s="208" t="s">
        <v>130</v>
      </c>
      <c r="H4452" s="208" t="s">
        <v>2444</v>
      </c>
      <c r="I4452" s="208"/>
      <c r="J4452" s="209"/>
      <c r="K4452" s="209"/>
      <c r="L4452" s="209"/>
      <c r="M4452" s="209"/>
      <c r="N4452" s="209"/>
      <c r="O4452" s="209"/>
      <c r="P4452" s="209"/>
      <c r="Q4452" s="209"/>
      <c r="R4452" s="209"/>
      <c r="S4452" s="209"/>
      <c r="T4452" s="209"/>
    </row>
    <row r="4453" spans="1:20" ht="15" hidden="1" customHeight="1">
      <c r="A4453" s="468">
        <v>45491</v>
      </c>
      <c r="B4453" s="208" t="s">
        <v>3790</v>
      </c>
      <c r="C4453" s="208" t="s">
        <v>27</v>
      </c>
      <c r="D4453" s="592">
        <v>-4200</v>
      </c>
      <c r="E4453" s="212">
        <v>45474</v>
      </c>
      <c r="F4453" s="208" t="s">
        <v>130</v>
      </c>
      <c r="G4453" s="208" t="s">
        <v>130</v>
      </c>
      <c r="H4453" s="208" t="s">
        <v>182</v>
      </c>
      <c r="I4453" s="208"/>
      <c r="J4453" s="209"/>
      <c r="K4453" s="209"/>
      <c r="L4453" s="209"/>
      <c r="M4453" s="209"/>
      <c r="N4453" s="209"/>
      <c r="O4453" s="209"/>
      <c r="P4453" s="209"/>
      <c r="Q4453" s="209"/>
      <c r="R4453" s="209"/>
      <c r="S4453" s="209"/>
      <c r="T4453" s="209"/>
    </row>
    <row r="4454" spans="1:20" ht="15" hidden="1" customHeight="1">
      <c r="A4454" s="468">
        <v>45491</v>
      </c>
      <c r="B4454" s="208" t="s">
        <v>3791</v>
      </c>
      <c r="C4454" s="208" t="s">
        <v>27</v>
      </c>
      <c r="D4454" s="592">
        <v>-330000</v>
      </c>
      <c r="E4454" s="212">
        <v>45474</v>
      </c>
      <c r="F4454" s="208" t="s">
        <v>109</v>
      </c>
      <c r="G4454" s="201" t="s">
        <v>1306</v>
      </c>
      <c r="H4454" s="208" t="s">
        <v>175</v>
      </c>
      <c r="I4454" s="208"/>
      <c r="J4454" s="209"/>
      <c r="K4454" s="209"/>
      <c r="L4454" s="209"/>
      <c r="M4454" s="209"/>
      <c r="N4454" s="209"/>
      <c r="O4454" s="209"/>
      <c r="P4454" s="209"/>
      <c r="Q4454" s="209"/>
      <c r="R4454" s="209"/>
      <c r="S4454" s="209"/>
      <c r="T4454" s="209"/>
    </row>
    <row r="4455" spans="1:20" ht="15" hidden="1" customHeight="1">
      <c r="A4455" s="468">
        <v>45491</v>
      </c>
      <c r="B4455" s="208" t="s">
        <v>3792</v>
      </c>
      <c r="C4455" s="208" t="s">
        <v>27</v>
      </c>
      <c r="D4455" s="592">
        <v>-350000</v>
      </c>
      <c r="E4455" s="212">
        <v>45474</v>
      </c>
      <c r="F4455" s="208" t="s">
        <v>207</v>
      </c>
      <c r="G4455" s="208" t="s">
        <v>207</v>
      </c>
      <c r="H4455" s="208"/>
      <c r="I4455" s="208"/>
      <c r="J4455" s="209"/>
      <c r="K4455" s="209"/>
      <c r="L4455" s="209"/>
      <c r="M4455" s="209"/>
      <c r="N4455" s="209"/>
      <c r="O4455" s="209"/>
      <c r="P4455" s="209"/>
      <c r="Q4455" s="209"/>
      <c r="R4455" s="209"/>
      <c r="S4455" s="209"/>
      <c r="T4455" s="209"/>
    </row>
    <row r="4456" spans="1:20" ht="15" hidden="1" customHeight="1">
      <c r="A4456" s="468">
        <v>45491</v>
      </c>
      <c r="B4456" s="208" t="s">
        <v>3793</v>
      </c>
      <c r="C4456" s="208" t="s">
        <v>27</v>
      </c>
      <c r="D4456" s="800">
        <v>-600000</v>
      </c>
      <c r="E4456" s="212">
        <v>45474</v>
      </c>
      <c r="F4456" s="208" t="s">
        <v>109</v>
      </c>
      <c r="G4456" s="201" t="s">
        <v>583</v>
      </c>
      <c r="H4456" s="208"/>
      <c r="I4456" s="208"/>
      <c r="J4456" s="209"/>
      <c r="K4456" s="209"/>
      <c r="L4456" s="209"/>
      <c r="M4456" s="209"/>
      <c r="N4456" s="209"/>
      <c r="O4456" s="209"/>
      <c r="P4456" s="209"/>
      <c r="Q4456" s="209"/>
      <c r="R4456" s="209"/>
      <c r="S4456" s="209"/>
      <c r="T4456" s="209"/>
    </row>
    <row r="4457" spans="1:20" ht="15" hidden="1" customHeight="1">
      <c r="A4457" s="468">
        <v>45491</v>
      </c>
      <c r="B4457" s="208" t="s">
        <v>3794</v>
      </c>
      <c r="C4457" s="208" t="s">
        <v>27</v>
      </c>
      <c r="D4457" s="592">
        <v>-613760</v>
      </c>
      <c r="E4457" s="212">
        <v>45474</v>
      </c>
      <c r="F4457" s="208" t="s">
        <v>109</v>
      </c>
      <c r="G4457" s="654" t="s">
        <v>2585</v>
      </c>
      <c r="H4457" s="208" t="s">
        <v>549</v>
      </c>
      <c r="I4457" s="208"/>
      <c r="J4457" s="209"/>
      <c r="K4457" s="209"/>
      <c r="L4457" s="209"/>
      <c r="M4457" s="209"/>
      <c r="N4457" s="209"/>
      <c r="O4457" s="209"/>
      <c r="P4457" s="209"/>
      <c r="Q4457" s="209"/>
      <c r="R4457" s="209"/>
      <c r="S4457" s="209"/>
      <c r="T4457" s="209"/>
    </row>
    <row r="4458" spans="1:20" ht="15" hidden="1" customHeight="1">
      <c r="A4458" s="468">
        <v>45491</v>
      </c>
      <c r="B4458" s="208" t="s">
        <v>3795</v>
      </c>
      <c r="C4458" s="208" t="s">
        <v>27</v>
      </c>
      <c r="D4458" s="592">
        <v>-1258518</v>
      </c>
      <c r="E4458" s="212">
        <v>45474</v>
      </c>
      <c r="F4458" s="201" t="s">
        <v>110</v>
      </c>
      <c r="G4458" s="201" t="s">
        <v>1489</v>
      </c>
      <c r="H4458" s="208" t="s">
        <v>585</v>
      </c>
      <c r="I4458" s="475" t="s">
        <v>3626</v>
      </c>
      <c r="J4458" s="209"/>
      <c r="K4458" s="209"/>
      <c r="L4458" s="209"/>
      <c r="M4458" s="209"/>
      <c r="N4458" s="209"/>
      <c r="O4458" s="209"/>
      <c r="P4458" s="209"/>
      <c r="Q4458" s="209"/>
      <c r="R4458" s="209"/>
      <c r="S4458" s="209"/>
      <c r="T4458" s="209"/>
    </row>
    <row r="4459" spans="1:20" ht="15" hidden="1" customHeight="1">
      <c r="A4459" s="468">
        <v>45491</v>
      </c>
      <c r="B4459" s="208" t="s">
        <v>3796</v>
      </c>
      <c r="C4459" s="208" t="s">
        <v>27</v>
      </c>
      <c r="D4459" s="592">
        <v>-1078730</v>
      </c>
      <c r="E4459" s="212">
        <v>45474</v>
      </c>
      <c r="F4459" s="208" t="s">
        <v>109</v>
      </c>
      <c r="G4459" s="654" t="s">
        <v>2585</v>
      </c>
      <c r="H4459" s="208" t="s">
        <v>585</v>
      </c>
      <c r="I4459" s="208"/>
      <c r="J4459" s="209"/>
      <c r="K4459" s="209"/>
      <c r="L4459" s="209"/>
      <c r="M4459" s="209"/>
      <c r="N4459" s="209"/>
      <c r="O4459" s="209"/>
      <c r="P4459" s="209"/>
      <c r="Q4459" s="209"/>
      <c r="R4459" s="209"/>
      <c r="S4459" s="209"/>
      <c r="T4459" s="209"/>
    </row>
    <row r="4460" spans="1:20" ht="15" hidden="1" customHeight="1">
      <c r="A4460" s="468">
        <v>45491</v>
      </c>
      <c r="B4460" s="208" t="s">
        <v>2969</v>
      </c>
      <c r="C4460" s="208" t="s">
        <v>27</v>
      </c>
      <c r="D4460" s="592">
        <v>-591430</v>
      </c>
      <c r="E4460" s="212">
        <v>45474</v>
      </c>
      <c r="F4460" s="201" t="s">
        <v>110</v>
      </c>
      <c r="G4460" s="208" t="s">
        <v>774</v>
      </c>
      <c r="H4460" s="208" t="s">
        <v>175</v>
      </c>
      <c r="I4460" s="475" t="s">
        <v>3626</v>
      </c>
      <c r="J4460" s="209"/>
      <c r="K4460" s="209"/>
      <c r="L4460" s="209"/>
      <c r="M4460" s="209"/>
      <c r="N4460" s="209"/>
      <c r="O4460" s="209"/>
      <c r="P4460" s="209"/>
      <c r="Q4460" s="209"/>
      <c r="R4460" s="209"/>
      <c r="S4460" s="209"/>
      <c r="T4460" s="209"/>
    </row>
    <row r="4461" spans="1:20" ht="15" hidden="1" customHeight="1">
      <c r="A4461" s="468">
        <v>45488</v>
      </c>
      <c r="B4461" s="208" t="s">
        <v>3140</v>
      </c>
      <c r="C4461" s="208" t="s">
        <v>27</v>
      </c>
      <c r="D4461" s="592">
        <f>500000000*0.4896240234375</f>
        <v>244812011.71875</v>
      </c>
      <c r="E4461" s="212">
        <v>45474</v>
      </c>
      <c r="F4461" s="883" t="s">
        <v>707</v>
      </c>
      <c r="G4461" s="201" t="s">
        <v>581</v>
      </c>
      <c r="H4461" s="208"/>
      <c r="I4461" s="208"/>
      <c r="J4461" s="209"/>
      <c r="K4461" s="209"/>
      <c r="L4461" s="209"/>
      <c r="M4461" s="209"/>
      <c r="N4461" s="209"/>
      <c r="O4461" s="209"/>
      <c r="P4461" s="209"/>
      <c r="Q4461" s="209"/>
      <c r="R4461" s="209"/>
      <c r="S4461" s="209"/>
      <c r="T4461" s="209"/>
    </row>
    <row r="4462" spans="1:20" ht="15" hidden="1" customHeight="1">
      <c r="A4462" s="468">
        <v>45488</v>
      </c>
      <c r="B4462" s="208" t="s">
        <v>3141</v>
      </c>
      <c r="C4462" s="208" t="s">
        <v>27</v>
      </c>
      <c r="D4462" s="592">
        <f>500000000*0.5103759765625</f>
        <v>255187988.28125</v>
      </c>
      <c r="E4462" s="212">
        <v>45474</v>
      </c>
      <c r="F4462" s="883" t="s">
        <v>707</v>
      </c>
      <c r="G4462" s="201" t="s">
        <v>583</v>
      </c>
      <c r="H4462" s="208"/>
      <c r="I4462" s="208"/>
      <c r="J4462" s="209"/>
      <c r="K4462" s="209"/>
      <c r="L4462" s="209"/>
      <c r="M4462" s="209"/>
      <c r="N4462" s="209"/>
      <c r="O4462" s="209"/>
      <c r="P4462" s="209"/>
      <c r="Q4462" s="209"/>
      <c r="R4462" s="209"/>
      <c r="S4462" s="209"/>
      <c r="T4462" s="209"/>
    </row>
    <row r="4463" spans="1:20" ht="15" hidden="1" customHeight="1">
      <c r="A4463" s="468">
        <v>45488</v>
      </c>
      <c r="B4463" s="208" t="s">
        <v>2781</v>
      </c>
      <c r="C4463" s="208" t="s">
        <v>3331</v>
      </c>
      <c r="D4463" s="592">
        <v>-11111111</v>
      </c>
      <c r="E4463" s="212">
        <v>45474</v>
      </c>
      <c r="F4463" s="84" t="s">
        <v>111</v>
      </c>
      <c r="G4463" s="208"/>
      <c r="H4463" s="208"/>
      <c r="I4463" s="208"/>
      <c r="J4463" s="209"/>
      <c r="K4463" s="209"/>
      <c r="L4463" s="209"/>
      <c r="M4463" s="209"/>
      <c r="N4463" s="209"/>
      <c r="O4463" s="209"/>
      <c r="P4463" s="209"/>
      <c r="Q4463" s="209"/>
      <c r="R4463" s="209"/>
      <c r="S4463" s="209"/>
      <c r="T4463" s="209"/>
    </row>
    <row r="4464" spans="1:20" ht="15" hidden="1" customHeight="1">
      <c r="A4464" s="468">
        <v>45488</v>
      </c>
      <c r="B4464" s="208" t="s">
        <v>3797</v>
      </c>
      <c r="C4464" s="208" t="s">
        <v>27</v>
      </c>
      <c r="D4464" s="592">
        <v>-176166643</v>
      </c>
      <c r="E4464" s="212">
        <v>45474</v>
      </c>
      <c r="F4464" s="208" t="s">
        <v>2986</v>
      </c>
      <c r="G4464" s="208"/>
      <c r="H4464" s="208"/>
      <c r="I4464" s="208"/>
      <c r="J4464" s="209"/>
      <c r="K4464" s="209"/>
      <c r="L4464" s="209"/>
      <c r="M4464" s="209"/>
      <c r="N4464" s="209"/>
      <c r="O4464" s="209"/>
      <c r="P4464" s="209"/>
      <c r="Q4464" s="209"/>
      <c r="R4464" s="209"/>
      <c r="S4464" s="209"/>
      <c r="T4464" s="209"/>
    </row>
    <row r="4465" spans="1:20" ht="15" hidden="1" customHeight="1">
      <c r="A4465" s="468">
        <v>45492</v>
      </c>
      <c r="B4465" s="208" t="s">
        <v>3140</v>
      </c>
      <c r="C4465" s="208" t="s">
        <v>27</v>
      </c>
      <c r="D4465" s="592">
        <f>650000000*0.4896240234375</f>
        <v>318255615.234375</v>
      </c>
      <c r="E4465" s="212">
        <v>45474</v>
      </c>
      <c r="F4465" s="883" t="s">
        <v>707</v>
      </c>
      <c r="G4465" s="201" t="s">
        <v>581</v>
      </c>
      <c r="H4465" s="208"/>
      <c r="I4465" s="208"/>
      <c r="J4465" s="209"/>
      <c r="K4465" s="209"/>
      <c r="L4465" s="209"/>
      <c r="M4465" s="209"/>
      <c r="N4465" s="209"/>
      <c r="O4465" s="209"/>
      <c r="P4465" s="209"/>
      <c r="Q4465" s="209"/>
      <c r="R4465" s="209"/>
      <c r="S4465" s="209"/>
      <c r="T4465" s="209"/>
    </row>
    <row r="4466" spans="1:20" ht="15" hidden="1" customHeight="1">
      <c r="A4466" s="468">
        <v>45492</v>
      </c>
      <c r="B4466" s="208" t="s">
        <v>3141</v>
      </c>
      <c r="C4466" s="208" t="s">
        <v>27</v>
      </c>
      <c r="D4466" s="592">
        <f>650000000*0.5103759765625</f>
        <v>331744384.765625</v>
      </c>
      <c r="E4466" s="212">
        <v>45474</v>
      </c>
      <c r="F4466" s="883" t="s">
        <v>707</v>
      </c>
      <c r="G4466" s="201" t="s">
        <v>583</v>
      </c>
      <c r="H4466" s="208"/>
      <c r="I4466" s="208"/>
      <c r="J4466" s="209"/>
      <c r="K4466" s="209"/>
      <c r="L4466" s="209"/>
      <c r="M4466" s="209"/>
      <c r="N4466" s="209"/>
      <c r="O4466" s="209"/>
      <c r="P4466" s="209"/>
      <c r="Q4466" s="209"/>
      <c r="R4466" s="209"/>
      <c r="S4466" s="209"/>
      <c r="T4466" s="209"/>
    </row>
    <row r="4467" spans="1:20" ht="15" hidden="1" customHeight="1">
      <c r="A4467" s="468">
        <v>45490</v>
      </c>
      <c r="B4467" s="208" t="s">
        <v>3798</v>
      </c>
      <c r="C4467" s="208" t="s">
        <v>27</v>
      </c>
      <c r="D4467" s="291">
        <v>3670191</v>
      </c>
      <c r="E4467" s="212">
        <v>45474</v>
      </c>
      <c r="F4467" s="208" t="s">
        <v>108</v>
      </c>
      <c r="G4467" s="208"/>
      <c r="H4467" s="208"/>
      <c r="I4467" s="208"/>
      <c r="J4467" s="209"/>
      <c r="K4467" s="209"/>
      <c r="L4467" s="209"/>
      <c r="M4467" s="209"/>
      <c r="N4467" s="209"/>
      <c r="O4467" s="209"/>
      <c r="P4467" s="209"/>
      <c r="Q4467" s="209"/>
      <c r="R4467" s="209"/>
      <c r="S4467" s="209"/>
      <c r="T4467" s="209"/>
    </row>
    <row r="4468" spans="1:20" ht="15" hidden="1" customHeight="1">
      <c r="A4468" s="468">
        <v>45488</v>
      </c>
      <c r="B4468" s="208" t="s">
        <v>3799</v>
      </c>
      <c r="C4468" s="208" t="s">
        <v>27</v>
      </c>
      <c r="D4468" s="291">
        <v>399606</v>
      </c>
      <c r="E4468" s="212">
        <v>45474</v>
      </c>
      <c r="F4468" s="208" t="s">
        <v>3800</v>
      </c>
      <c r="G4468" s="208"/>
      <c r="H4468" s="208"/>
      <c r="I4468" s="208"/>
      <c r="J4468" s="209"/>
      <c r="K4468" s="209"/>
      <c r="L4468" s="209"/>
      <c r="M4468" s="209"/>
      <c r="N4468" s="209"/>
      <c r="O4468" s="209"/>
      <c r="P4468" s="209"/>
      <c r="Q4468" s="209"/>
      <c r="R4468" s="209"/>
      <c r="S4468" s="209"/>
      <c r="T4468" s="209"/>
    </row>
    <row r="4469" spans="1:20" ht="15" hidden="1" customHeight="1">
      <c r="A4469" s="468">
        <v>45489</v>
      </c>
      <c r="B4469" s="208" t="s">
        <v>3801</v>
      </c>
      <c r="C4469" s="208" t="s">
        <v>643</v>
      </c>
      <c r="D4469" s="592">
        <v>-150829</v>
      </c>
      <c r="E4469" s="212">
        <v>45474</v>
      </c>
      <c r="F4469" s="208" t="s">
        <v>130</v>
      </c>
      <c r="G4469" s="208" t="s">
        <v>257</v>
      </c>
      <c r="H4469" s="208" t="s">
        <v>663</v>
      </c>
      <c r="I4469" s="208"/>
      <c r="J4469" s="209"/>
      <c r="K4469" s="209"/>
      <c r="L4469" s="209"/>
      <c r="M4469" s="209"/>
      <c r="N4469" s="209"/>
      <c r="O4469" s="209"/>
      <c r="P4469" s="209"/>
      <c r="Q4469" s="209"/>
      <c r="R4469" s="209"/>
      <c r="S4469" s="209"/>
      <c r="T4469" s="209"/>
    </row>
    <row r="4470" spans="1:20" ht="15" hidden="1" customHeight="1">
      <c r="A4470" s="468">
        <v>45490</v>
      </c>
      <c r="B4470" s="208" t="s">
        <v>3106</v>
      </c>
      <c r="C4470" s="208" t="s">
        <v>643</v>
      </c>
      <c r="D4470" s="592">
        <v>-124261</v>
      </c>
      <c r="E4470" s="212">
        <v>45474</v>
      </c>
      <c r="F4470" s="208" t="s">
        <v>130</v>
      </c>
      <c r="G4470" s="208" t="s">
        <v>130</v>
      </c>
      <c r="H4470" s="208" t="s">
        <v>1245</v>
      </c>
      <c r="I4470" s="208"/>
      <c r="J4470" s="209"/>
      <c r="K4470" s="209"/>
      <c r="L4470" s="209"/>
      <c r="M4470" s="209"/>
      <c r="N4470" s="209"/>
      <c r="O4470" s="209"/>
      <c r="P4470" s="209"/>
      <c r="Q4470" s="209"/>
      <c r="R4470" s="209"/>
      <c r="S4470" s="209"/>
      <c r="T4470" s="209"/>
    </row>
    <row r="4471" spans="1:20" ht="15" hidden="1" customHeight="1">
      <c r="A4471" s="468">
        <v>45490</v>
      </c>
      <c r="B4471" s="208" t="s">
        <v>3017</v>
      </c>
      <c r="C4471" s="208" t="s">
        <v>643</v>
      </c>
      <c r="D4471" s="592">
        <v>-123500</v>
      </c>
      <c r="E4471" s="212">
        <v>45474</v>
      </c>
      <c r="F4471" s="208" t="s">
        <v>130</v>
      </c>
      <c r="G4471" s="208" t="s">
        <v>130</v>
      </c>
      <c r="H4471" s="208" t="s">
        <v>1245</v>
      </c>
      <c r="I4471" s="208"/>
      <c r="J4471" s="209"/>
      <c r="K4471" s="209"/>
      <c r="L4471" s="209"/>
      <c r="M4471" s="209"/>
      <c r="N4471" s="209"/>
      <c r="O4471" s="209"/>
      <c r="P4471" s="209"/>
      <c r="Q4471" s="209"/>
      <c r="R4471" s="209"/>
      <c r="S4471" s="209"/>
      <c r="T4471" s="209"/>
    </row>
    <row r="4472" spans="1:20" ht="15" hidden="1" customHeight="1">
      <c r="A4472" s="468">
        <v>45491</v>
      </c>
      <c r="B4472" s="208" t="s">
        <v>3802</v>
      </c>
      <c r="C4472" s="208" t="s">
        <v>643</v>
      </c>
      <c r="D4472" s="291">
        <v>4640721</v>
      </c>
      <c r="E4472" s="212">
        <v>45474</v>
      </c>
      <c r="F4472" s="208" t="s">
        <v>108</v>
      </c>
      <c r="G4472" s="208"/>
      <c r="H4472" s="208"/>
      <c r="I4472" s="208"/>
      <c r="J4472" s="209"/>
      <c r="K4472" s="209"/>
      <c r="L4472" s="209"/>
      <c r="M4472" s="209"/>
      <c r="N4472" s="209"/>
      <c r="O4472" s="209"/>
      <c r="P4472" s="209"/>
      <c r="Q4472" s="209"/>
      <c r="R4472" s="209"/>
      <c r="S4472" s="209"/>
      <c r="T4472" s="209"/>
    </row>
    <row r="4473" spans="1:20" ht="15" hidden="1" customHeight="1">
      <c r="A4473" s="468">
        <v>45489</v>
      </c>
      <c r="B4473" s="208" t="s">
        <v>1834</v>
      </c>
      <c r="C4473" s="208" t="s">
        <v>3331</v>
      </c>
      <c r="D4473" s="291">
        <v>4410826</v>
      </c>
      <c r="E4473" s="212">
        <v>45474</v>
      </c>
      <c r="F4473" s="208" t="s">
        <v>108</v>
      </c>
      <c r="G4473" s="208"/>
      <c r="H4473" s="208"/>
      <c r="I4473" s="208"/>
      <c r="J4473" s="209"/>
      <c r="K4473" s="209"/>
      <c r="L4473" s="209"/>
      <c r="M4473" s="209"/>
      <c r="N4473" s="209"/>
      <c r="O4473" s="209"/>
      <c r="P4473" s="209"/>
      <c r="Q4473" s="209"/>
      <c r="R4473" s="209"/>
      <c r="S4473" s="209"/>
      <c r="T4473" s="209"/>
    </row>
    <row r="4474" spans="1:20" ht="15" hidden="1" customHeight="1">
      <c r="A4474" s="468">
        <v>45489</v>
      </c>
      <c r="B4474" s="208" t="s">
        <v>2031</v>
      </c>
      <c r="C4474" s="208" t="s">
        <v>3331</v>
      </c>
      <c r="D4474" s="291">
        <v>548506</v>
      </c>
      <c r="E4474" s="212">
        <v>45474</v>
      </c>
      <c r="F4474" s="208" t="s">
        <v>108</v>
      </c>
      <c r="G4474" s="208"/>
      <c r="H4474" s="208"/>
      <c r="I4474" s="208"/>
      <c r="J4474" s="209"/>
      <c r="K4474" s="209"/>
      <c r="L4474" s="209"/>
      <c r="M4474" s="209"/>
      <c r="N4474" s="209"/>
      <c r="O4474" s="209"/>
      <c r="P4474" s="209"/>
      <c r="Q4474" s="209"/>
      <c r="R4474" s="209"/>
      <c r="S4474" s="209"/>
      <c r="T4474" s="209"/>
    </row>
    <row r="4475" spans="1:20" s="451" customFormat="1" ht="15" hidden="1" customHeight="1">
      <c r="A4475" s="468">
        <v>45489</v>
      </c>
      <c r="B4475" s="208" t="s">
        <v>3803</v>
      </c>
      <c r="C4475" s="208" t="s">
        <v>3331</v>
      </c>
      <c r="D4475" s="592">
        <v>71500</v>
      </c>
      <c r="E4475" s="212">
        <v>45474</v>
      </c>
      <c r="F4475" s="208" t="s">
        <v>130</v>
      </c>
      <c r="G4475" s="208" t="s">
        <v>130</v>
      </c>
      <c r="H4475" s="208" t="s">
        <v>360</v>
      </c>
      <c r="I4475" s="208"/>
      <c r="J4475" s="209"/>
      <c r="K4475" s="209"/>
      <c r="L4475" s="209"/>
      <c r="M4475" s="209"/>
      <c r="N4475" s="209"/>
      <c r="O4475" s="209"/>
      <c r="P4475" s="209"/>
      <c r="Q4475" s="209"/>
      <c r="R4475" s="209"/>
      <c r="S4475" s="209"/>
      <c r="T4475" s="209"/>
    </row>
    <row r="4476" spans="1:20" ht="15" hidden="1" customHeight="1">
      <c r="A4476" s="468">
        <v>45496</v>
      </c>
      <c r="B4476" s="208" t="s">
        <v>3804</v>
      </c>
      <c r="C4476" s="208" t="s">
        <v>3331</v>
      </c>
      <c r="D4476" s="592">
        <v>-20000</v>
      </c>
      <c r="E4476" s="212">
        <v>45474</v>
      </c>
      <c r="F4476" s="201" t="s">
        <v>110</v>
      </c>
      <c r="G4476" s="658" t="s">
        <v>3245</v>
      </c>
      <c r="H4476" s="208" t="s">
        <v>138</v>
      </c>
      <c r="I4476" s="208" t="s">
        <v>3805</v>
      </c>
      <c r="J4476" s="209"/>
      <c r="K4476" s="209"/>
      <c r="L4476" s="209"/>
      <c r="M4476" s="209"/>
      <c r="N4476" s="209"/>
      <c r="O4476" s="209"/>
      <c r="P4476" s="209"/>
      <c r="Q4476" s="209"/>
      <c r="R4476" s="209"/>
      <c r="S4476" s="209"/>
      <c r="T4476" s="209"/>
    </row>
    <row r="4477" spans="1:20" ht="15" hidden="1" customHeight="1">
      <c r="A4477" s="468">
        <v>45496</v>
      </c>
      <c r="B4477" s="208" t="s">
        <v>3806</v>
      </c>
      <c r="C4477" s="208" t="s">
        <v>3331</v>
      </c>
      <c r="D4477" s="592">
        <v>-60000</v>
      </c>
      <c r="E4477" s="212">
        <v>45474</v>
      </c>
      <c r="F4477" s="201" t="s">
        <v>110</v>
      </c>
      <c r="G4477" s="658" t="s">
        <v>3245</v>
      </c>
      <c r="H4477" s="208" t="s">
        <v>138</v>
      </c>
      <c r="I4477" s="208" t="s">
        <v>3805</v>
      </c>
      <c r="J4477" s="209"/>
      <c r="K4477" s="209"/>
      <c r="L4477" s="209"/>
      <c r="M4477" s="209"/>
      <c r="N4477" s="209"/>
      <c r="O4477" s="209"/>
      <c r="P4477" s="209"/>
      <c r="Q4477" s="209"/>
      <c r="R4477" s="209"/>
      <c r="S4477" s="209"/>
      <c r="T4477" s="209"/>
    </row>
    <row r="4478" spans="1:20" ht="15" hidden="1" customHeight="1">
      <c r="A4478" s="468">
        <v>45496</v>
      </c>
      <c r="B4478" s="208" t="s">
        <v>3807</v>
      </c>
      <c r="C4478" s="208" t="s">
        <v>3331</v>
      </c>
      <c r="D4478" s="592">
        <v>-28000</v>
      </c>
      <c r="E4478" s="212">
        <v>45474</v>
      </c>
      <c r="F4478" s="201" t="s">
        <v>110</v>
      </c>
      <c r="G4478" s="658" t="s">
        <v>3245</v>
      </c>
      <c r="H4478" s="208" t="s">
        <v>147</v>
      </c>
      <c r="I4478" s="208" t="s">
        <v>3805</v>
      </c>
      <c r="J4478" s="209"/>
      <c r="K4478" s="209"/>
      <c r="L4478" s="209"/>
      <c r="M4478" s="209"/>
      <c r="N4478" s="209"/>
      <c r="O4478" s="209"/>
      <c r="P4478" s="209"/>
      <c r="Q4478" s="209"/>
      <c r="R4478" s="209"/>
      <c r="S4478" s="209"/>
      <c r="T4478" s="209"/>
    </row>
    <row r="4479" spans="1:20" ht="15" hidden="1" customHeight="1">
      <c r="A4479" s="468">
        <v>45496</v>
      </c>
      <c r="B4479" s="208" t="s">
        <v>3808</v>
      </c>
      <c r="C4479" s="208" t="s">
        <v>3331</v>
      </c>
      <c r="D4479" s="592">
        <v>-15000.12</v>
      </c>
      <c r="E4479" s="212">
        <v>45474</v>
      </c>
      <c r="F4479" s="201" t="s">
        <v>110</v>
      </c>
      <c r="G4479" s="658" t="s">
        <v>3245</v>
      </c>
      <c r="H4479" s="208" t="s">
        <v>147</v>
      </c>
      <c r="I4479" s="208" t="s">
        <v>3805</v>
      </c>
      <c r="J4479" s="209"/>
      <c r="K4479" s="209"/>
      <c r="L4479" s="209"/>
      <c r="M4479" s="209"/>
      <c r="N4479" s="209"/>
      <c r="O4479" s="209"/>
      <c r="P4479" s="209"/>
      <c r="Q4479" s="209"/>
      <c r="R4479" s="209"/>
      <c r="S4479" s="209"/>
      <c r="T4479" s="209"/>
    </row>
    <row r="4480" spans="1:20" ht="15" hidden="1" customHeight="1">
      <c r="A4480" s="468">
        <v>45496</v>
      </c>
      <c r="B4480" s="208" t="s">
        <v>3809</v>
      </c>
      <c r="C4480" s="208" t="s">
        <v>3331</v>
      </c>
      <c r="D4480" s="592">
        <v>-11999.88</v>
      </c>
      <c r="E4480" s="212">
        <v>45474</v>
      </c>
      <c r="F4480" s="201" t="s">
        <v>110</v>
      </c>
      <c r="G4480" s="658" t="s">
        <v>3245</v>
      </c>
      <c r="H4480" s="208" t="s">
        <v>147</v>
      </c>
      <c r="I4480" s="208" t="s">
        <v>3805</v>
      </c>
      <c r="J4480" s="209"/>
      <c r="K4480" s="209"/>
      <c r="L4480" s="209"/>
      <c r="M4480" s="209"/>
      <c r="N4480" s="209"/>
      <c r="O4480" s="209"/>
      <c r="P4480" s="209"/>
      <c r="Q4480" s="209"/>
      <c r="R4480" s="209"/>
      <c r="S4480" s="209"/>
      <c r="T4480" s="209"/>
    </row>
    <row r="4481" spans="1:20" ht="15" hidden="1" customHeight="1">
      <c r="A4481" s="468">
        <v>45496</v>
      </c>
      <c r="B4481" s="208" t="s">
        <v>3809</v>
      </c>
      <c r="C4481" s="208" t="s">
        <v>3331</v>
      </c>
      <c r="D4481" s="592">
        <v>-11000.000016</v>
      </c>
      <c r="E4481" s="212">
        <v>45474</v>
      </c>
      <c r="F4481" s="201" t="s">
        <v>110</v>
      </c>
      <c r="G4481" s="658" t="s">
        <v>3245</v>
      </c>
      <c r="H4481" s="208" t="s">
        <v>147</v>
      </c>
      <c r="I4481" s="208" t="s">
        <v>3805</v>
      </c>
      <c r="J4481" s="209"/>
      <c r="K4481" s="209"/>
      <c r="L4481" s="209"/>
      <c r="M4481" s="209"/>
      <c r="N4481" s="209"/>
      <c r="O4481" s="209"/>
      <c r="P4481" s="209"/>
      <c r="Q4481" s="209"/>
      <c r="R4481" s="209"/>
      <c r="S4481" s="209"/>
      <c r="T4481" s="209"/>
    </row>
    <row r="4482" spans="1:20" ht="15" hidden="1" customHeight="1">
      <c r="A4482" s="468">
        <v>45496</v>
      </c>
      <c r="B4482" s="208" t="s">
        <v>3810</v>
      </c>
      <c r="C4482" s="208" t="s">
        <v>3331</v>
      </c>
      <c r="D4482" s="592">
        <v>-23000</v>
      </c>
      <c r="E4482" s="212">
        <v>45474</v>
      </c>
      <c r="F4482" s="201" t="s">
        <v>110</v>
      </c>
      <c r="G4482" s="658" t="s">
        <v>3245</v>
      </c>
      <c r="H4482" s="208" t="s">
        <v>147</v>
      </c>
      <c r="I4482" s="208" t="s">
        <v>3805</v>
      </c>
      <c r="J4482" s="209"/>
      <c r="K4482" s="209"/>
      <c r="L4482" s="209"/>
      <c r="M4482" s="209"/>
      <c r="N4482" s="209"/>
      <c r="O4482" s="209"/>
      <c r="P4482" s="209"/>
      <c r="Q4482" s="209"/>
      <c r="R4482" s="209"/>
      <c r="S4482" s="209"/>
      <c r="T4482" s="209"/>
    </row>
    <row r="4483" spans="1:20" ht="15" hidden="1" customHeight="1">
      <c r="A4483" s="468">
        <v>45496</v>
      </c>
      <c r="B4483" s="208" t="s">
        <v>3811</v>
      </c>
      <c r="C4483" s="208" t="s">
        <v>3331</v>
      </c>
      <c r="D4483" s="592">
        <v>-15000.12</v>
      </c>
      <c r="E4483" s="212">
        <v>45474</v>
      </c>
      <c r="F4483" s="201" t="s">
        <v>110</v>
      </c>
      <c r="G4483" s="658" t="s">
        <v>3245</v>
      </c>
      <c r="H4483" s="208" t="s">
        <v>147</v>
      </c>
      <c r="I4483" s="208" t="s">
        <v>3805</v>
      </c>
      <c r="J4483" s="209"/>
      <c r="K4483" s="209"/>
      <c r="L4483" s="209"/>
      <c r="M4483" s="209"/>
      <c r="N4483" s="209"/>
      <c r="O4483" s="209"/>
      <c r="P4483" s="209"/>
      <c r="Q4483" s="209"/>
      <c r="R4483" s="209"/>
      <c r="S4483" s="209"/>
      <c r="T4483" s="209"/>
    </row>
    <row r="4484" spans="1:20" ht="15" hidden="1" customHeight="1">
      <c r="A4484" s="468">
        <v>45496</v>
      </c>
      <c r="B4484" s="208" t="s">
        <v>3809</v>
      </c>
      <c r="C4484" s="208" t="s">
        <v>3331</v>
      </c>
      <c r="D4484" s="592">
        <v>-11000.000016</v>
      </c>
      <c r="E4484" s="212">
        <v>45474</v>
      </c>
      <c r="F4484" s="201" t="s">
        <v>110</v>
      </c>
      <c r="G4484" s="658" t="s">
        <v>3245</v>
      </c>
      <c r="H4484" s="208" t="s">
        <v>147</v>
      </c>
      <c r="I4484" s="208" t="s">
        <v>3805</v>
      </c>
      <c r="J4484" s="209"/>
      <c r="K4484" s="209"/>
      <c r="L4484" s="209"/>
      <c r="M4484" s="209"/>
      <c r="N4484" s="209"/>
      <c r="O4484" s="209"/>
      <c r="P4484" s="209"/>
      <c r="Q4484" s="209"/>
      <c r="R4484" s="209"/>
      <c r="S4484" s="209"/>
      <c r="T4484" s="209"/>
    </row>
    <row r="4485" spans="1:20" ht="15" hidden="1" customHeight="1">
      <c r="A4485" s="468">
        <v>45496</v>
      </c>
      <c r="B4485" s="208" t="s">
        <v>3810</v>
      </c>
      <c r="C4485" s="208" t="s">
        <v>3331</v>
      </c>
      <c r="D4485" s="592">
        <v>-33500</v>
      </c>
      <c r="E4485" s="212">
        <v>45474</v>
      </c>
      <c r="F4485" s="201" t="s">
        <v>110</v>
      </c>
      <c r="G4485" s="658" t="s">
        <v>3245</v>
      </c>
      <c r="H4485" s="208" t="s">
        <v>147</v>
      </c>
      <c r="I4485" s="208" t="s">
        <v>3805</v>
      </c>
      <c r="J4485" s="209"/>
      <c r="K4485" s="209"/>
      <c r="L4485" s="209"/>
      <c r="M4485" s="209"/>
      <c r="N4485" s="209"/>
      <c r="O4485" s="209"/>
      <c r="P4485" s="209"/>
      <c r="Q4485" s="209"/>
      <c r="R4485" s="209"/>
      <c r="S4485" s="209"/>
      <c r="T4485" s="209"/>
    </row>
    <row r="4486" spans="1:20" ht="15" hidden="1" customHeight="1">
      <c r="A4486" s="468">
        <v>45496</v>
      </c>
      <c r="B4486" s="208" t="s">
        <v>3811</v>
      </c>
      <c r="C4486" s="208" t="s">
        <v>3331</v>
      </c>
      <c r="D4486" s="592">
        <v>-15000.12</v>
      </c>
      <c r="E4486" s="212">
        <v>45474</v>
      </c>
      <c r="F4486" s="201" t="s">
        <v>110</v>
      </c>
      <c r="G4486" s="658" t="s">
        <v>3245</v>
      </c>
      <c r="H4486" s="208" t="s">
        <v>147</v>
      </c>
      <c r="I4486" s="208" t="s">
        <v>3805</v>
      </c>
      <c r="J4486" s="209"/>
      <c r="K4486" s="209"/>
      <c r="L4486" s="209"/>
      <c r="M4486" s="209"/>
      <c r="N4486" s="209"/>
      <c r="O4486" s="209"/>
      <c r="P4486" s="209"/>
      <c r="Q4486" s="209"/>
      <c r="R4486" s="209"/>
      <c r="S4486" s="209"/>
      <c r="T4486" s="209"/>
    </row>
    <row r="4487" spans="1:20" ht="15" hidden="1" customHeight="1">
      <c r="A4487" s="468">
        <v>45496</v>
      </c>
      <c r="B4487" s="208" t="s">
        <v>3809</v>
      </c>
      <c r="C4487" s="208" t="s">
        <v>3331</v>
      </c>
      <c r="D4487" s="592">
        <v>-11000.000016</v>
      </c>
      <c r="E4487" s="212">
        <v>45474</v>
      </c>
      <c r="F4487" s="201" t="s">
        <v>110</v>
      </c>
      <c r="G4487" s="658" t="s">
        <v>3245</v>
      </c>
      <c r="H4487" s="208" t="s">
        <v>147</v>
      </c>
      <c r="I4487" s="208" t="s">
        <v>3805</v>
      </c>
      <c r="J4487" s="209"/>
      <c r="K4487" s="209"/>
      <c r="L4487" s="209"/>
      <c r="M4487" s="209"/>
      <c r="N4487" s="209"/>
      <c r="O4487" s="209"/>
      <c r="P4487" s="209"/>
      <c r="Q4487" s="209"/>
      <c r="R4487" s="209"/>
      <c r="S4487" s="209"/>
      <c r="T4487" s="209"/>
    </row>
    <row r="4488" spans="1:20" ht="15" hidden="1" customHeight="1">
      <c r="A4488" s="468">
        <v>45496</v>
      </c>
      <c r="B4488" s="208" t="s">
        <v>3810</v>
      </c>
      <c r="C4488" s="208" t="s">
        <v>3331</v>
      </c>
      <c r="D4488" s="592">
        <v>-24999.999999999996</v>
      </c>
      <c r="E4488" s="212">
        <v>45474</v>
      </c>
      <c r="F4488" s="201" t="s">
        <v>110</v>
      </c>
      <c r="G4488" s="658" t="s">
        <v>3245</v>
      </c>
      <c r="H4488" s="208" t="s">
        <v>147</v>
      </c>
      <c r="I4488" s="208" t="s">
        <v>3805</v>
      </c>
      <c r="J4488" s="209"/>
      <c r="K4488" s="209"/>
      <c r="L4488" s="209"/>
      <c r="M4488" s="209"/>
      <c r="N4488" s="209"/>
      <c r="O4488" s="209"/>
      <c r="P4488" s="209"/>
      <c r="Q4488" s="209"/>
      <c r="R4488" s="209"/>
      <c r="S4488" s="209"/>
      <c r="T4488" s="209"/>
    </row>
    <row r="4489" spans="1:20" ht="15" hidden="1" customHeight="1">
      <c r="A4489" s="468">
        <v>45496</v>
      </c>
      <c r="B4489" s="208" t="s">
        <v>3811</v>
      </c>
      <c r="C4489" s="208" t="s">
        <v>3331</v>
      </c>
      <c r="D4489" s="592">
        <v>-11699.76</v>
      </c>
      <c r="E4489" s="212">
        <v>45474</v>
      </c>
      <c r="F4489" s="201" t="s">
        <v>110</v>
      </c>
      <c r="G4489" s="658" t="s">
        <v>3245</v>
      </c>
      <c r="H4489" s="208" t="s">
        <v>147</v>
      </c>
      <c r="I4489" s="208" t="s">
        <v>3805</v>
      </c>
      <c r="J4489" s="209"/>
      <c r="K4489" s="209"/>
      <c r="L4489" s="209"/>
      <c r="M4489" s="209"/>
      <c r="N4489" s="209"/>
      <c r="O4489" s="209"/>
      <c r="P4489" s="209"/>
      <c r="Q4489" s="209"/>
      <c r="R4489" s="209"/>
      <c r="S4489" s="209"/>
      <c r="T4489" s="209"/>
    </row>
    <row r="4490" spans="1:20" ht="15" hidden="1" customHeight="1">
      <c r="A4490" s="468">
        <v>45496</v>
      </c>
      <c r="B4490" s="208" t="s">
        <v>3812</v>
      </c>
      <c r="C4490" s="208" t="s">
        <v>3331</v>
      </c>
      <c r="D4490" s="592">
        <v>-15000</v>
      </c>
      <c r="E4490" s="212">
        <v>45474</v>
      </c>
      <c r="F4490" s="201" t="s">
        <v>110</v>
      </c>
      <c r="G4490" s="658" t="s">
        <v>3245</v>
      </c>
      <c r="H4490" s="208" t="s">
        <v>138</v>
      </c>
      <c r="I4490" s="208" t="s">
        <v>3805</v>
      </c>
      <c r="J4490" s="209"/>
      <c r="K4490" s="209"/>
      <c r="L4490" s="209"/>
      <c r="M4490" s="209"/>
      <c r="N4490" s="209"/>
      <c r="O4490" s="209"/>
      <c r="P4490" s="209"/>
      <c r="Q4490" s="209"/>
      <c r="R4490" s="209"/>
      <c r="S4490" s="209"/>
      <c r="T4490" s="209"/>
    </row>
    <row r="4491" spans="1:20" ht="15" hidden="1" customHeight="1">
      <c r="A4491" s="468">
        <v>45496</v>
      </c>
      <c r="B4491" s="208" t="s">
        <v>3813</v>
      </c>
      <c r="C4491" s="208" t="s">
        <v>3331</v>
      </c>
      <c r="D4491" s="592">
        <v>-20000</v>
      </c>
      <c r="E4491" s="212">
        <v>45474</v>
      </c>
      <c r="F4491" s="201" t="s">
        <v>110</v>
      </c>
      <c r="G4491" s="658" t="s">
        <v>3245</v>
      </c>
      <c r="H4491" s="208" t="s">
        <v>138</v>
      </c>
      <c r="I4491" s="208" t="s">
        <v>3805</v>
      </c>
      <c r="J4491" s="209"/>
      <c r="K4491" s="209"/>
      <c r="L4491" s="209"/>
      <c r="M4491" s="209"/>
      <c r="N4491" s="209"/>
      <c r="O4491" s="209"/>
      <c r="P4491" s="209"/>
      <c r="Q4491" s="209"/>
      <c r="R4491" s="209"/>
      <c r="S4491" s="209"/>
      <c r="T4491" s="209"/>
    </row>
    <row r="4492" spans="1:20" ht="15" hidden="1" customHeight="1">
      <c r="A4492" s="468">
        <v>45478</v>
      </c>
      <c r="B4492" s="208" t="s">
        <v>3814</v>
      </c>
      <c r="C4492" s="208" t="s">
        <v>3331</v>
      </c>
      <c r="D4492" s="592">
        <v>-11000</v>
      </c>
      <c r="E4492" s="212">
        <v>45474</v>
      </c>
      <c r="F4492" s="201" t="s">
        <v>110</v>
      </c>
      <c r="G4492" s="658" t="s">
        <v>3245</v>
      </c>
      <c r="H4492" s="208" t="s">
        <v>138</v>
      </c>
      <c r="I4492" s="208" t="s">
        <v>3805</v>
      </c>
      <c r="J4492" s="209"/>
      <c r="K4492" s="209"/>
      <c r="L4492" s="209"/>
      <c r="M4492" s="209"/>
      <c r="N4492" s="209"/>
      <c r="O4492" s="209"/>
      <c r="P4492" s="209"/>
      <c r="Q4492" s="209"/>
      <c r="R4492" s="209"/>
      <c r="S4492" s="209"/>
      <c r="T4492" s="209"/>
    </row>
    <row r="4493" spans="1:20" ht="15" hidden="1" customHeight="1">
      <c r="A4493" s="468">
        <v>45478</v>
      </c>
      <c r="B4493" s="208" t="s">
        <v>3814</v>
      </c>
      <c r="C4493" s="208" t="s">
        <v>3331</v>
      </c>
      <c r="D4493" s="592">
        <v>-11000</v>
      </c>
      <c r="E4493" s="212">
        <v>45474</v>
      </c>
      <c r="F4493" s="201" t="s">
        <v>110</v>
      </c>
      <c r="G4493" s="658" t="s">
        <v>3245</v>
      </c>
      <c r="H4493" s="208" t="s">
        <v>138</v>
      </c>
      <c r="I4493" s="208" t="s">
        <v>3805</v>
      </c>
      <c r="J4493" s="209"/>
      <c r="K4493" s="209"/>
      <c r="L4493" s="209"/>
      <c r="M4493" s="209"/>
      <c r="N4493" s="209"/>
      <c r="O4493" s="209"/>
      <c r="P4493" s="209"/>
      <c r="Q4493" s="209"/>
      <c r="R4493" s="209"/>
      <c r="S4493" s="209"/>
      <c r="T4493" s="209"/>
    </row>
    <row r="4494" spans="1:20" ht="15" hidden="1" customHeight="1">
      <c r="A4494" s="468">
        <v>45478</v>
      </c>
      <c r="B4494" s="208" t="s">
        <v>3815</v>
      </c>
      <c r="C4494" s="208" t="s">
        <v>3331</v>
      </c>
      <c r="D4494" s="592">
        <v>-11000</v>
      </c>
      <c r="E4494" s="212">
        <v>45474</v>
      </c>
      <c r="F4494" s="201" t="s">
        <v>110</v>
      </c>
      <c r="G4494" s="658" t="s">
        <v>3245</v>
      </c>
      <c r="H4494" s="208" t="s">
        <v>138</v>
      </c>
      <c r="I4494" s="208" t="s">
        <v>3805</v>
      </c>
      <c r="J4494" s="209"/>
      <c r="K4494" s="209"/>
      <c r="L4494" s="209"/>
      <c r="M4494" s="209"/>
      <c r="N4494" s="209"/>
      <c r="O4494" s="209"/>
      <c r="P4494" s="209"/>
      <c r="Q4494" s="209"/>
      <c r="R4494" s="209"/>
      <c r="S4494" s="209"/>
      <c r="T4494" s="209"/>
    </row>
    <row r="4495" spans="1:20" ht="15" hidden="1" customHeight="1">
      <c r="A4495" s="468">
        <v>45478</v>
      </c>
      <c r="B4495" s="208" t="s">
        <v>3816</v>
      </c>
      <c r="C4495" s="208" t="s">
        <v>3331</v>
      </c>
      <c r="D4495" s="592">
        <v>-50000</v>
      </c>
      <c r="E4495" s="212">
        <v>45474</v>
      </c>
      <c r="F4495" s="201" t="s">
        <v>110</v>
      </c>
      <c r="G4495" s="658" t="s">
        <v>3245</v>
      </c>
      <c r="H4495" s="208" t="s">
        <v>138</v>
      </c>
      <c r="I4495" s="208" t="s">
        <v>3805</v>
      </c>
      <c r="J4495" s="209"/>
      <c r="K4495" s="209"/>
      <c r="L4495" s="209"/>
      <c r="M4495" s="209"/>
      <c r="N4495" s="209"/>
      <c r="O4495" s="209"/>
      <c r="P4495" s="209"/>
      <c r="Q4495" s="209"/>
      <c r="R4495" s="209"/>
      <c r="S4495" s="209"/>
      <c r="T4495" s="209"/>
    </row>
    <row r="4496" spans="1:20" ht="15" hidden="1" customHeight="1">
      <c r="A4496" s="468">
        <v>45481</v>
      </c>
      <c r="B4496" s="208" t="s">
        <v>3817</v>
      </c>
      <c r="C4496" s="208" t="s">
        <v>3331</v>
      </c>
      <c r="D4496" s="592">
        <v>-3900</v>
      </c>
      <c r="E4496" s="212">
        <v>45474</v>
      </c>
      <c r="F4496" s="201" t="s">
        <v>110</v>
      </c>
      <c r="G4496" s="658" t="s">
        <v>3245</v>
      </c>
      <c r="H4496" s="208" t="s">
        <v>175</v>
      </c>
      <c r="I4496" s="208" t="s">
        <v>3805</v>
      </c>
      <c r="J4496" s="209"/>
      <c r="K4496" s="209"/>
      <c r="L4496" s="209"/>
      <c r="M4496" s="209"/>
      <c r="N4496" s="209"/>
      <c r="O4496" s="209"/>
      <c r="P4496" s="209"/>
      <c r="Q4496" s="209"/>
      <c r="R4496" s="209"/>
      <c r="S4496" s="209"/>
      <c r="T4496" s="209"/>
    </row>
    <row r="4497" spans="1:20" ht="15" hidden="1" customHeight="1">
      <c r="A4497" s="468">
        <v>45484</v>
      </c>
      <c r="B4497" s="208" t="s">
        <v>3818</v>
      </c>
      <c r="C4497" s="208" t="s">
        <v>3331</v>
      </c>
      <c r="D4497" s="592">
        <v>-586900</v>
      </c>
      <c r="E4497" s="212">
        <v>45474</v>
      </c>
      <c r="F4497" s="201" t="s">
        <v>110</v>
      </c>
      <c r="G4497" s="658" t="s">
        <v>3245</v>
      </c>
      <c r="H4497" s="208" t="s">
        <v>175</v>
      </c>
      <c r="I4497" s="208" t="s">
        <v>3805</v>
      </c>
      <c r="J4497" s="209"/>
      <c r="K4497" s="209"/>
      <c r="L4497" s="209"/>
      <c r="M4497" s="209"/>
      <c r="N4497" s="209"/>
      <c r="O4497" s="209"/>
      <c r="P4497" s="209"/>
      <c r="Q4497" s="209"/>
      <c r="R4497" s="209"/>
      <c r="S4497" s="209"/>
      <c r="T4497" s="209"/>
    </row>
    <row r="4498" spans="1:20" ht="15" hidden="1" customHeight="1">
      <c r="A4498" s="468">
        <v>45495</v>
      </c>
      <c r="B4498" s="208" t="s">
        <v>3819</v>
      </c>
      <c r="C4498" s="208" t="s">
        <v>27</v>
      </c>
      <c r="D4498" s="592">
        <v>-2987996</v>
      </c>
      <c r="E4498" s="212">
        <v>45474</v>
      </c>
      <c r="F4498" s="84" t="s">
        <v>111</v>
      </c>
      <c r="G4498" s="208"/>
      <c r="H4498" s="208"/>
      <c r="I4498" s="208"/>
      <c r="J4498" s="209"/>
      <c r="K4498" s="209"/>
      <c r="L4498" s="209"/>
      <c r="M4498" s="209"/>
      <c r="N4498" s="209"/>
      <c r="O4498" s="209"/>
      <c r="P4498" s="209"/>
      <c r="Q4498" s="209"/>
      <c r="R4498" s="209"/>
      <c r="S4498" s="209"/>
      <c r="T4498" s="209"/>
    </row>
    <row r="4499" spans="1:20" ht="15" hidden="1" customHeight="1">
      <c r="A4499" s="468">
        <v>45495</v>
      </c>
      <c r="B4499" s="208" t="s">
        <v>3819</v>
      </c>
      <c r="C4499" s="208" t="s">
        <v>27</v>
      </c>
      <c r="D4499" s="592">
        <f>-1004139.14+70297-35556</f>
        <v>-969398.14</v>
      </c>
      <c r="E4499" s="212">
        <v>45474</v>
      </c>
      <c r="F4499" s="208" t="s">
        <v>118</v>
      </c>
      <c r="G4499" s="208"/>
      <c r="H4499" s="208"/>
      <c r="I4499" s="208"/>
      <c r="J4499" s="209"/>
      <c r="K4499" s="209"/>
      <c r="L4499" s="209"/>
      <c r="M4499" s="209"/>
      <c r="N4499" s="209"/>
      <c r="O4499" s="209"/>
      <c r="P4499" s="209"/>
      <c r="Q4499" s="209"/>
      <c r="R4499" s="209"/>
      <c r="S4499" s="209"/>
      <c r="T4499" s="209"/>
    </row>
    <row r="4500" spans="1:20" ht="15" hidden="1" customHeight="1">
      <c r="A4500" s="468">
        <v>45495</v>
      </c>
      <c r="B4500" s="208" t="s">
        <v>3820</v>
      </c>
      <c r="C4500" s="208" t="s">
        <v>27</v>
      </c>
      <c r="D4500" s="592">
        <v>-2603139</v>
      </c>
      <c r="E4500" s="212">
        <v>45474</v>
      </c>
      <c r="F4500" s="208" t="s">
        <v>118</v>
      </c>
      <c r="G4500" s="208"/>
      <c r="H4500" s="208"/>
      <c r="I4500" s="208"/>
      <c r="J4500" s="209"/>
      <c r="K4500" s="209"/>
      <c r="L4500" s="209"/>
      <c r="M4500" s="209"/>
      <c r="N4500" s="209"/>
      <c r="O4500" s="209"/>
      <c r="P4500" s="209"/>
      <c r="Q4500" s="209"/>
      <c r="R4500" s="209"/>
      <c r="S4500" s="209"/>
      <c r="T4500" s="209"/>
    </row>
    <row r="4501" spans="1:20" ht="15" hidden="1" customHeight="1">
      <c r="A4501" s="468">
        <v>45495</v>
      </c>
      <c r="B4501" s="208" t="s">
        <v>3820</v>
      </c>
      <c r="C4501" s="208" t="s">
        <v>27</v>
      </c>
      <c r="D4501" s="592">
        <f>-79456400.79-D4500</f>
        <v>-76853261.790000007</v>
      </c>
      <c r="E4501" s="212">
        <v>45474</v>
      </c>
      <c r="F4501" s="84" t="s">
        <v>111</v>
      </c>
      <c r="G4501" s="208"/>
      <c r="H4501" s="208"/>
      <c r="I4501" s="208"/>
      <c r="J4501" s="209"/>
      <c r="K4501" s="209"/>
      <c r="L4501" s="209"/>
      <c r="M4501" s="209"/>
      <c r="N4501" s="209"/>
      <c r="O4501" s="209"/>
      <c r="P4501" s="209"/>
      <c r="Q4501" s="209"/>
      <c r="R4501" s="209"/>
      <c r="S4501" s="209"/>
      <c r="T4501" s="209"/>
    </row>
    <row r="4502" spans="1:20" ht="15" hidden="1" customHeight="1">
      <c r="A4502" s="468">
        <v>45495</v>
      </c>
      <c r="B4502" s="208" t="s">
        <v>3821</v>
      </c>
      <c r="C4502" s="208" t="s">
        <v>27</v>
      </c>
      <c r="D4502" s="592">
        <v>-232000</v>
      </c>
      <c r="E4502" s="212">
        <v>45474</v>
      </c>
      <c r="F4502" s="208" t="s">
        <v>130</v>
      </c>
      <c r="G4502" s="208" t="s">
        <v>130</v>
      </c>
      <c r="H4502" s="208" t="s">
        <v>275</v>
      </c>
      <c r="I4502" s="208"/>
      <c r="J4502" s="209"/>
      <c r="K4502" s="209"/>
      <c r="L4502" s="209"/>
      <c r="M4502" s="209"/>
      <c r="N4502" s="209"/>
      <c r="O4502" s="209"/>
      <c r="P4502" s="209"/>
      <c r="Q4502" s="209"/>
      <c r="R4502" s="209"/>
      <c r="S4502" s="209"/>
      <c r="T4502" s="209"/>
    </row>
    <row r="4503" spans="1:20" ht="15" hidden="1" customHeight="1">
      <c r="A4503" s="468">
        <v>45491</v>
      </c>
      <c r="B4503" s="208" t="s">
        <v>2055</v>
      </c>
      <c r="C4503" s="208" t="s">
        <v>27</v>
      </c>
      <c r="D4503" s="718">
        <v>-1404280</v>
      </c>
      <c r="E4503" s="212">
        <v>45474</v>
      </c>
      <c r="F4503" s="208" t="s">
        <v>109</v>
      </c>
      <c r="G4503" s="201" t="s">
        <v>581</v>
      </c>
      <c r="H4503" s="208" t="s">
        <v>310</v>
      </c>
      <c r="I4503" s="208"/>
      <c r="J4503" s="209"/>
      <c r="K4503" s="209"/>
      <c r="L4503" s="209"/>
      <c r="M4503" s="209"/>
      <c r="N4503" s="209"/>
      <c r="O4503" s="209"/>
      <c r="P4503" s="209"/>
      <c r="Q4503" s="209"/>
      <c r="R4503" s="209"/>
      <c r="S4503" s="209"/>
      <c r="T4503" s="209"/>
    </row>
    <row r="4504" spans="1:20" s="209" customFormat="1" ht="15" hidden="1" customHeight="1">
      <c r="A4504" s="468">
        <v>45491</v>
      </c>
      <c r="B4504" s="208" t="s">
        <v>3822</v>
      </c>
      <c r="C4504" s="208" t="s">
        <v>27</v>
      </c>
      <c r="D4504" s="211">
        <v>-1118224</v>
      </c>
      <c r="E4504" s="212">
        <v>45474</v>
      </c>
      <c r="F4504" s="201" t="s">
        <v>110</v>
      </c>
      <c r="G4504" s="208" t="s">
        <v>774</v>
      </c>
      <c r="H4504" s="208" t="s">
        <v>310</v>
      </c>
      <c r="I4504" s="475" t="s">
        <v>3626</v>
      </c>
    </row>
    <row r="4505" spans="1:20" s="209" customFormat="1" ht="15" hidden="1" customHeight="1">
      <c r="A4505" s="468">
        <v>45491</v>
      </c>
      <c r="B4505" s="208" t="s">
        <v>3823</v>
      </c>
      <c r="C4505" s="208" t="s">
        <v>27</v>
      </c>
      <c r="D4505" s="211">
        <v>-2053448</v>
      </c>
      <c r="E4505" s="212">
        <v>45474</v>
      </c>
      <c r="F4505" s="208" t="s">
        <v>109</v>
      </c>
      <c r="G4505" s="208" t="s">
        <v>125</v>
      </c>
      <c r="H4505" s="208" t="s">
        <v>310</v>
      </c>
      <c r="I4505" s="208"/>
    </row>
    <row r="4506" spans="1:20" s="209" customFormat="1" ht="15" hidden="1" customHeight="1">
      <c r="A4506" s="468">
        <v>45491</v>
      </c>
      <c r="B4506" s="208" t="s">
        <v>3824</v>
      </c>
      <c r="C4506" s="208" t="s">
        <v>27</v>
      </c>
      <c r="D4506" s="211">
        <v>-6352459</v>
      </c>
      <c r="E4506" s="212">
        <v>45474</v>
      </c>
      <c r="F4506" s="208" t="s">
        <v>109</v>
      </c>
      <c r="G4506" s="201" t="s">
        <v>1306</v>
      </c>
      <c r="H4506" s="208" t="s">
        <v>310</v>
      </c>
      <c r="I4506" s="208"/>
    </row>
    <row r="4507" spans="1:20" s="209" customFormat="1" ht="15" hidden="1" customHeight="1">
      <c r="A4507" s="468">
        <v>45491</v>
      </c>
      <c r="B4507" s="208" t="s">
        <v>3825</v>
      </c>
      <c r="C4507" s="208" t="s">
        <v>27</v>
      </c>
      <c r="D4507" s="211">
        <v>-4409384</v>
      </c>
      <c r="E4507" s="212">
        <v>45474</v>
      </c>
      <c r="F4507" s="208" t="s">
        <v>109</v>
      </c>
      <c r="G4507" s="201" t="s">
        <v>1261</v>
      </c>
      <c r="H4507" s="208" t="s">
        <v>310</v>
      </c>
      <c r="I4507" s="475" t="s">
        <v>3626</v>
      </c>
    </row>
    <row r="4508" spans="1:20" s="209" customFormat="1" ht="15" hidden="1" customHeight="1">
      <c r="A4508" s="468">
        <v>45491</v>
      </c>
      <c r="B4508" s="208" t="s">
        <v>3826</v>
      </c>
      <c r="C4508" s="208" t="s">
        <v>27</v>
      </c>
      <c r="D4508" s="211">
        <v>-32524623</v>
      </c>
      <c r="E4508" s="212">
        <v>45474</v>
      </c>
      <c r="F4508" s="201" t="s">
        <v>110</v>
      </c>
      <c r="G4508" s="201" t="s">
        <v>1489</v>
      </c>
      <c r="H4508" s="208" t="s">
        <v>310</v>
      </c>
      <c r="I4508" s="475" t="s">
        <v>3626</v>
      </c>
    </row>
    <row r="4509" spans="1:20" s="209" customFormat="1" ht="15" hidden="1" customHeight="1">
      <c r="A4509" s="468">
        <v>45491</v>
      </c>
      <c r="B4509" s="208" t="s">
        <v>3827</v>
      </c>
      <c r="C4509" s="208" t="s">
        <v>27</v>
      </c>
      <c r="D4509" s="211">
        <v>-516499</v>
      </c>
      <c r="E4509" s="212">
        <v>45474</v>
      </c>
      <c r="F4509" s="208" t="s">
        <v>109</v>
      </c>
      <c r="G4509" s="201" t="s">
        <v>918</v>
      </c>
      <c r="H4509" s="208" t="s">
        <v>310</v>
      </c>
      <c r="I4509" s="475" t="s">
        <v>3626</v>
      </c>
    </row>
    <row r="4510" spans="1:20" s="209" customFormat="1" ht="15" hidden="1" customHeight="1">
      <c r="A4510" s="468">
        <v>45486</v>
      </c>
      <c r="B4510" s="208" t="s">
        <v>3828</v>
      </c>
      <c r="C4510" s="208" t="s">
        <v>269</v>
      </c>
      <c r="D4510" s="211">
        <v>-70000</v>
      </c>
      <c r="E4510" s="212">
        <v>45474</v>
      </c>
      <c r="F4510" s="208" t="s">
        <v>130</v>
      </c>
      <c r="G4510" s="208" t="s">
        <v>130</v>
      </c>
      <c r="H4510" s="208" t="s">
        <v>2444</v>
      </c>
      <c r="I4510" s="208"/>
    </row>
    <row r="4511" spans="1:20" ht="15" hidden="1" customHeight="1">
      <c r="A4511" s="468">
        <v>45496</v>
      </c>
      <c r="B4511" s="208" t="s">
        <v>3829</v>
      </c>
      <c r="C4511" s="208" t="s">
        <v>146</v>
      </c>
      <c r="D4511" s="211">
        <v>-15000</v>
      </c>
      <c r="E4511" s="212">
        <v>45474</v>
      </c>
      <c r="F4511" s="208" t="s">
        <v>130</v>
      </c>
      <c r="G4511" s="208" t="s">
        <v>130</v>
      </c>
      <c r="H4511" s="208" t="s">
        <v>2444</v>
      </c>
      <c r="I4511" s="208"/>
      <c r="J4511" s="209"/>
      <c r="K4511" s="209"/>
      <c r="L4511" s="209"/>
      <c r="M4511" s="209"/>
      <c r="N4511" s="209"/>
      <c r="O4511" s="209"/>
      <c r="P4511" s="209"/>
      <c r="Q4511" s="209"/>
      <c r="R4511" s="209"/>
      <c r="S4511" s="209"/>
      <c r="T4511" s="209"/>
    </row>
    <row r="4512" spans="1:20" ht="15" hidden="1" customHeight="1">
      <c r="A4512" s="468">
        <v>45496</v>
      </c>
      <c r="B4512" s="208" t="s">
        <v>3830</v>
      </c>
      <c r="C4512" s="208" t="s">
        <v>146</v>
      </c>
      <c r="D4512" s="211">
        <v>-500</v>
      </c>
      <c r="E4512" s="212">
        <v>45474</v>
      </c>
      <c r="F4512" s="208" t="s">
        <v>130</v>
      </c>
      <c r="G4512" s="208" t="s">
        <v>130</v>
      </c>
      <c r="H4512" s="208" t="s">
        <v>2444</v>
      </c>
      <c r="I4512" s="208"/>
      <c r="J4512" s="209"/>
      <c r="K4512" s="209"/>
      <c r="L4512" s="209"/>
      <c r="M4512" s="209"/>
      <c r="N4512" s="209"/>
      <c r="O4512" s="209"/>
      <c r="P4512" s="209"/>
      <c r="Q4512" s="209"/>
      <c r="R4512" s="209"/>
      <c r="S4512" s="209"/>
      <c r="T4512" s="209"/>
    </row>
    <row r="4513" spans="1:20" ht="15" hidden="1" customHeight="1">
      <c r="A4513" s="468">
        <v>45495</v>
      </c>
      <c r="B4513" s="208" t="s">
        <v>3831</v>
      </c>
      <c r="C4513" s="208" t="s">
        <v>146</v>
      </c>
      <c r="D4513" s="211">
        <v>-41999</v>
      </c>
      <c r="E4513" s="212">
        <v>45474</v>
      </c>
      <c r="F4513" s="208" t="s">
        <v>207</v>
      </c>
      <c r="G4513" s="208" t="s">
        <v>3832</v>
      </c>
      <c r="H4513" s="208" t="s">
        <v>175</v>
      </c>
      <c r="I4513" s="208" t="s">
        <v>173</v>
      </c>
      <c r="J4513" s="209"/>
      <c r="K4513" s="209"/>
      <c r="L4513" s="209"/>
      <c r="M4513" s="209"/>
      <c r="N4513" s="209"/>
      <c r="O4513" s="209"/>
      <c r="P4513" s="209"/>
      <c r="Q4513" s="209"/>
      <c r="R4513" s="209"/>
      <c r="S4513" s="209"/>
      <c r="T4513" s="209"/>
    </row>
    <row r="4514" spans="1:20" ht="15" hidden="1" customHeight="1">
      <c r="A4514" s="468">
        <v>45495</v>
      </c>
      <c r="B4514" s="208" t="s">
        <v>3833</v>
      </c>
      <c r="C4514" s="208" t="s">
        <v>146</v>
      </c>
      <c r="D4514" s="211">
        <v>-39000</v>
      </c>
      <c r="E4514" s="212">
        <v>45474</v>
      </c>
      <c r="F4514" s="208" t="s">
        <v>109</v>
      </c>
      <c r="G4514" s="654" t="s">
        <v>2585</v>
      </c>
      <c r="H4514" s="208" t="s">
        <v>175</v>
      </c>
      <c r="I4514" s="208" t="s">
        <v>173</v>
      </c>
      <c r="J4514" s="209"/>
      <c r="K4514" s="209"/>
      <c r="L4514" s="209"/>
      <c r="M4514" s="209"/>
      <c r="N4514" s="209"/>
      <c r="O4514" s="209"/>
      <c r="P4514" s="209"/>
      <c r="Q4514" s="209"/>
      <c r="R4514" s="209"/>
      <c r="S4514" s="209"/>
      <c r="T4514" s="209"/>
    </row>
    <row r="4515" spans="1:20" ht="15" hidden="1" customHeight="1">
      <c r="A4515" s="468">
        <v>45495</v>
      </c>
      <c r="B4515" s="208" t="s">
        <v>3834</v>
      </c>
      <c r="C4515" s="208" t="s">
        <v>146</v>
      </c>
      <c r="D4515" s="211">
        <v>-40000</v>
      </c>
      <c r="E4515" s="212">
        <v>45474</v>
      </c>
      <c r="F4515" s="208" t="s">
        <v>109</v>
      </c>
      <c r="G4515" s="654" t="s">
        <v>2585</v>
      </c>
      <c r="H4515" s="208" t="s">
        <v>175</v>
      </c>
      <c r="I4515" s="208" t="s">
        <v>173</v>
      </c>
      <c r="J4515" s="209"/>
      <c r="K4515" s="209"/>
      <c r="L4515" s="209"/>
      <c r="M4515" s="209"/>
      <c r="N4515" s="209"/>
      <c r="O4515" s="209"/>
      <c r="P4515" s="209"/>
      <c r="Q4515" s="209"/>
      <c r="R4515" s="209"/>
      <c r="S4515" s="209"/>
      <c r="T4515" s="209"/>
    </row>
    <row r="4516" spans="1:20" ht="15" hidden="1" customHeight="1">
      <c r="A4516" s="468">
        <v>45495</v>
      </c>
      <c r="B4516" s="208" t="s">
        <v>3835</v>
      </c>
      <c r="C4516" s="208" t="s">
        <v>146</v>
      </c>
      <c r="D4516" s="211">
        <v>-29550</v>
      </c>
      <c r="E4516" s="212">
        <v>45474</v>
      </c>
      <c r="F4516" s="208" t="s">
        <v>110</v>
      </c>
      <c r="G4516" s="208" t="s">
        <v>774</v>
      </c>
      <c r="H4516" s="208" t="s">
        <v>175</v>
      </c>
      <c r="I4516" s="208" t="s">
        <v>173</v>
      </c>
      <c r="J4516" s="209"/>
      <c r="K4516" s="209"/>
      <c r="L4516" s="209"/>
      <c r="M4516" s="209"/>
      <c r="N4516" s="209"/>
      <c r="O4516" s="209"/>
      <c r="P4516" s="209"/>
      <c r="Q4516" s="209"/>
      <c r="R4516" s="209"/>
      <c r="S4516" s="209"/>
      <c r="T4516" s="209"/>
    </row>
    <row r="4517" spans="1:20" ht="15" hidden="1" customHeight="1">
      <c r="A4517" s="468">
        <v>45495</v>
      </c>
      <c r="B4517" s="208" t="s">
        <v>3836</v>
      </c>
      <c r="C4517" s="208" t="s">
        <v>146</v>
      </c>
      <c r="D4517" s="211">
        <v>-75000</v>
      </c>
      <c r="E4517" s="212">
        <v>45474</v>
      </c>
      <c r="F4517" s="208" t="s">
        <v>110</v>
      </c>
      <c r="G4517" s="590" t="s">
        <v>2444</v>
      </c>
      <c r="H4517" s="208"/>
      <c r="I4517" s="208" t="s">
        <v>173</v>
      </c>
      <c r="J4517" s="209"/>
      <c r="K4517" s="209"/>
      <c r="L4517" s="209"/>
      <c r="M4517" s="209"/>
      <c r="N4517" s="209"/>
      <c r="O4517" s="209"/>
      <c r="P4517" s="209"/>
      <c r="Q4517" s="209"/>
      <c r="R4517" s="209"/>
      <c r="S4517" s="209"/>
      <c r="T4517" s="209"/>
    </row>
    <row r="4518" spans="1:20" ht="15" hidden="1" customHeight="1">
      <c r="A4518" s="468">
        <v>45496</v>
      </c>
      <c r="B4518" s="208" t="s">
        <v>3837</v>
      </c>
      <c r="C4518" s="208" t="s">
        <v>146</v>
      </c>
      <c r="D4518" s="211">
        <v>-20000</v>
      </c>
      <c r="E4518" s="212">
        <v>45474</v>
      </c>
      <c r="F4518" s="208" t="s">
        <v>207</v>
      </c>
      <c r="G4518" s="208" t="s">
        <v>3838</v>
      </c>
      <c r="H4518" s="208" t="s">
        <v>138</v>
      </c>
      <c r="I4518" s="208" t="s">
        <v>173</v>
      </c>
      <c r="J4518" s="209"/>
      <c r="K4518" s="209"/>
      <c r="L4518" s="209"/>
      <c r="M4518" s="209"/>
      <c r="N4518" s="209"/>
      <c r="O4518" s="209"/>
      <c r="P4518" s="209"/>
      <c r="Q4518" s="209"/>
      <c r="R4518" s="209"/>
      <c r="S4518" s="209"/>
      <c r="T4518" s="209"/>
    </row>
    <row r="4519" spans="1:20" ht="15" hidden="1" customHeight="1">
      <c r="A4519" s="468">
        <v>45496</v>
      </c>
      <c r="B4519" s="208" t="s">
        <v>3839</v>
      </c>
      <c r="C4519" s="208" t="s">
        <v>146</v>
      </c>
      <c r="D4519" s="211">
        <v>-7000</v>
      </c>
      <c r="E4519" s="212">
        <v>45474</v>
      </c>
      <c r="F4519" s="208" t="s">
        <v>207</v>
      </c>
      <c r="G4519" s="208" t="s">
        <v>3838</v>
      </c>
      <c r="H4519" s="208" t="s">
        <v>138</v>
      </c>
      <c r="I4519" s="208" t="s">
        <v>173</v>
      </c>
      <c r="J4519" s="209"/>
      <c r="K4519" s="209"/>
      <c r="L4519" s="209"/>
      <c r="M4519" s="209"/>
      <c r="N4519" s="209"/>
      <c r="O4519" s="209"/>
      <c r="P4519" s="209"/>
      <c r="Q4519" s="209"/>
      <c r="R4519" s="209"/>
      <c r="S4519" s="209"/>
      <c r="T4519" s="209"/>
    </row>
    <row r="4520" spans="1:20" ht="15" hidden="1" customHeight="1">
      <c r="A4520" s="468">
        <v>45496</v>
      </c>
      <c r="B4520" s="208" t="s">
        <v>3840</v>
      </c>
      <c r="C4520" s="208" t="s">
        <v>146</v>
      </c>
      <c r="D4520" s="211">
        <v>-12000</v>
      </c>
      <c r="E4520" s="212">
        <v>45474</v>
      </c>
      <c r="F4520" s="208" t="s">
        <v>109</v>
      </c>
      <c r="G4520" s="654" t="s">
        <v>2585</v>
      </c>
      <c r="H4520" s="208" t="s">
        <v>138</v>
      </c>
      <c r="I4520" s="208" t="s">
        <v>173</v>
      </c>
      <c r="J4520" s="209"/>
      <c r="K4520" s="209"/>
      <c r="L4520" s="209"/>
      <c r="M4520" s="209"/>
      <c r="N4520" s="209"/>
      <c r="O4520" s="209"/>
      <c r="P4520" s="209"/>
      <c r="Q4520" s="209"/>
      <c r="R4520" s="209"/>
      <c r="S4520" s="209"/>
      <c r="T4520" s="209"/>
    </row>
    <row r="4521" spans="1:20" ht="15" hidden="1" customHeight="1">
      <c r="A4521" s="468">
        <v>45497</v>
      </c>
      <c r="B4521" s="208" t="s">
        <v>3841</v>
      </c>
      <c r="C4521" s="208" t="s">
        <v>146</v>
      </c>
      <c r="D4521" s="211">
        <v>-112800</v>
      </c>
      <c r="E4521" s="212">
        <v>45474</v>
      </c>
      <c r="F4521" s="208" t="s">
        <v>110</v>
      </c>
      <c r="G4521" s="208" t="s">
        <v>774</v>
      </c>
      <c r="H4521" s="208" t="s">
        <v>175</v>
      </c>
      <c r="I4521" s="208" t="s">
        <v>173</v>
      </c>
      <c r="J4521" s="209"/>
      <c r="K4521" s="209"/>
      <c r="L4521" s="209"/>
      <c r="M4521" s="209"/>
      <c r="N4521" s="209"/>
      <c r="O4521" s="209"/>
      <c r="P4521" s="209"/>
      <c r="Q4521" s="209"/>
      <c r="R4521" s="209"/>
      <c r="S4521" s="209"/>
      <c r="T4521" s="209"/>
    </row>
    <row r="4522" spans="1:20" ht="15" hidden="1" customHeight="1">
      <c r="A4522" s="468">
        <v>45497</v>
      </c>
      <c r="B4522" s="208" t="s">
        <v>3842</v>
      </c>
      <c r="C4522" s="208" t="s">
        <v>146</v>
      </c>
      <c r="D4522" s="211">
        <v>-14000</v>
      </c>
      <c r="E4522" s="212">
        <v>45474</v>
      </c>
      <c r="F4522" s="208" t="s">
        <v>207</v>
      </c>
      <c r="G4522" s="208" t="s">
        <v>3838</v>
      </c>
      <c r="H4522" s="208" t="s">
        <v>175</v>
      </c>
      <c r="I4522" s="208" t="s">
        <v>173</v>
      </c>
      <c r="J4522" s="209"/>
      <c r="K4522" s="209"/>
      <c r="L4522" s="209"/>
      <c r="M4522" s="209"/>
      <c r="N4522" s="209"/>
      <c r="O4522" s="209"/>
      <c r="P4522" s="209"/>
      <c r="Q4522" s="209"/>
      <c r="R4522" s="209"/>
      <c r="S4522" s="209"/>
      <c r="T4522" s="209"/>
    </row>
    <row r="4523" spans="1:20" ht="15" hidden="1" customHeight="1">
      <c r="A4523" s="468">
        <v>45497</v>
      </c>
      <c r="B4523" s="208" t="s">
        <v>3843</v>
      </c>
      <c r="C4523" s="208" t="s">
        <v>146</v>
      </c>
      <c r="D4523" s="718">
        <v>-20000</v>
      </c>
      <c r="E4523" s="212">
        <v>45474</v>
      </c>
      <c r="F4523" s="208" t="s">
        <v>109</v>
      </c>
      <c r="G4523" s="201" t="s">
        <v>581</v>
      </c>
      <c r="H4523" s="208" t="s">
        <v>3310</v>
      </c>
      <c r="I4523" s="208" t="s">
        <v>173</v>
      </c>
      <c r="J4523" s="209"/>
      <c r="K4523" s="209"/>
      <c r="L4523" s="209"/>
      <c r="M4523" s="209"/>
      <c r="N4523" s="209"/>
      <c r="O4523" s="209"/>
      <c r="P4523" s="209"/>
      <c r="Q4523" s="209"/>
      <c r="R4523" s="209"/>
      <c r="S4523" s="209"/>
      <c r="T4523" s="209"/>
    </row>
    <row r="4524" spans="1:20" ht="15" hidden="1" customHeight="1">
      <c r="A4524" s="468">
        <v>45496</v>
      </c>
      <c r="B4524" s="208" t="s">
        <v>3844</v>
      </c>
      <c r="C4524" s="208" t="s">
        <v>146</v>
      </c>
      <c r="D4524" s="718">
        <v>-14000</v>
      </c>
      <c r="E4524" s="212">
        <v>45474</v>
      </c>
      <c r="F4524" s="208" t="s">
        <v>109</v>
      </c>
      <c r="G4524" s="201" t="s">
        <v>581</v>
      </c>
      <c r="H4524" s="208" t="s">
        <v>138</v>
      </c>
      <c r="I4524" s="208"/>
      <c r="J4524" s="209"/>
      <c r="K4524" s="209"/>
      <c r="L4524" s="209"/>
      <c r="M4524" s="209"/>
      <c r="N4524" s="209"/>
      <c r="O4524" s="209"/>
      <c r="P4524" s="209"/>
      <c r="Q4524" s="209"/>
      <c r="R4524" s="209"/>
      <c r="S4524" s="209"/>
      <c r="T4524" s="209"/>
    </row>
    <row r="4525" spans="1:20" ht="15" hidden="1" customHeight="1">
      <c r="A4525" s="468">
        <v>45496</v>
      </c>
      <c r="B4525" s="208" t="s">
        <v>3844</v>
      </c>
      <c r="C4525" s="208" t="s">
        <v>146</v>
      </c>
      <c r="D4525" s="211">
        <v>-96000</v>
      </c>
      <c r="E4525" s="212">
        <v>45474</v>
      </c>
      <c r="F4525" s="208" t="s">
        <v>110</v>
      </c>
      <c r="G4525" s="208" t="s">
        <v>774</v>
      </c>
      <c r="H4525" s="208" t="s">
        <v>138</v>
      </c>
      <c r="I4525" s="208"/>
      <c r="J4525" s="209"/>
      <c r="K4525" s="209"/>
      <c r="L4525" s="209"/>
      <c r="M4525" s="209"/>
      <c r="N4525" s="209"/>
      <c r="O4525" s="209"/>
      <c r="P4525" s="209"/>
      <c r="Q4525" s="209"/>
      <c r="R4525" s="209"/>
      <c r="S4525" s="209"/>
      <c r="T4525" s="209"/>
    </row>
    <row r="4526" spans="1:20" ht="15" hidden="1" customHeight="1">
      <c r="A4526" s="468">
        <v>45496</v>
      </c>
      <c r="B4526" s="208" t="s">
        <v>3844</v>
      </c>
      <c r="C4526" s="208" t="s">
        <v>146</v>
      </c>
      <c r="D4526" s="211">
        <v>-67000</v>
      </c>
      <c r="E4526" s="212">
        <v>45474</v>
      </c>
      <c r="F4526" s="208" t="s">
        <v>109</v>
      </c>
      <c r="G4526" s="654" t="s">
        <v>2585</v>
      </c>
      <c r="H4526" s="208" t="s">
        <v>138</v>
      </c>
      <c r="I4526" s="208"/>
      <c r="J4526" s="209"/>
      <c r="K4526" s="209"/>
      <c r="L4526" s="209"/>
      <c r="M4526" s="209"/>
      <c r="N4526" s="209"/>
      <c r="O4526" s="209"/>
      <c r="P4526" s="209"/>
      <c r="Q4526" s="209"/>
      <c r="R4526" s="209"/>
      <c r="S4526" s="209"/>
      <c r="T4526" s="209"/>
    </row>
    <row r="4527" spans="1:20" ht="15" hidden="1" customHeight="1">
      <c r="A4527" s="468">
        <v>45498</v>
      </c>
      <c r="B4527" s="208" t="s">
        <v>3844</v>
      </c>
      <c r="C4527" s="208" t="s">
        <v>146</v>
      </c>
      <c r="D4527" s="211">
        <v>-28000</v>
      </c>
      <c r="E4527" s="212">
        <v>45474</v>
      </c>
      <c r="F4527" s="208" t="s">
        <v>207</v>
      </c>
      <c r="G4527" s="208" t="s">
        <v>3832</v>
      </c>
      <c r="H4527" s="208" t="s">
        <v>138</v>
      </c>
      <c r="I4527" s="208"/>
      <c r="J4527" s="209"/>
      <c r="K4527" s="209"/>
      <c r="L4527" s="209"/>
      <c r="M4527" s="209"/>
      <c r="N4527" s="209"/>
      <c r="O4527" s="209"/>
      <c r="P4527" s="209"/>
      <c r="Q4527" s="209"/>
      <c r="R4527" s="209"/>
      <c r="S4527" s="209"/>
      <c r="T4527" s="209"/>
    </row>
    <row r="4528" spans="1:20" ht="15" hidden="1" customHeight="1">
      <c r="A4528" s="468">
        <v>45498</v>
      </c>
      <c r="B4528" s="208" t="s">
        <v>3844</v>
      </c>
      <c r="C4528" s="208" t="s">
        <v>146</v>
      </c>
      <c r="D4528" s="211">
        <v>-66000</v>
      </c>
      <c r="E4528" s="212">
        <v>45474</v>
      </c>
      <c r="F4528" s="208" t="s">
        <v>109</v>
      </c>
      <c r="G4528" s="654" t="s">
        <v>2585</v>
      </c>
      <c r="H4528" s="208" t="s">
        <v>138</v>
      </c>
      <c r="I4528" s="208"/>
      <c r="J4528" s="209"/>
      <c r="K4528" s="209"/>
      <c r="L4528" s="209"/>
      <c r="M4528" s="209"/>
      <c r="N4528" s="209"/>
      <c r="O4528" s="209"/>
      <c r="P4528" s="209"/>
      <c r="Q4528" s="209"/>
      <c r="R4528" s="209"/>
      <c r="S4528" s="209"/>
      <c r="T4528" s="209"/>
    </row>
    <row r="4529" spans="1:20" ht="15" hidden="1" customHeight="1">
      <c r="A4529" s="468">
        <v>45498</v>
      </c>
      <c r="B4529" s="208" t="s">
        <v>3844</v>
      </c>
      <c r="C4529" s="208" t="s">
        <v>146</v>
      </c>
      <c r="D4529" s="211">
        <v>-7000</v>
      </c>
      <c r="E4529" s="212">
        <v>45474</v>
      </c>
      <c r="F4529" s="208" t="s">
        <v>110</v>
      </c>
      <c r="G4529" s="81" t="s">
        <v>1621</v>
      </c>
      <c r="H4529" s="208" t="s">
        <v>138</v>
      </c>
      <c r="I4529" s="208"/>
      <c r="J4529" s="209"/>
      <c r="K4529" s="209"/>
      <c r="L4529" s="209"/>
      <c r="M4529" s="209"/>
      <c r="N4529" s="209"/>
      <c r="O4529" s="209"/>
      <c r="P4529" s="209"/>
      <c r="Q4529" s="209"/>
      <c r="R4529" s="209"/>
      <c r="S4529" s="209"/>
      <c r="T4529" s="209"/>
    </row>
    <row r="4530" spans="1:20" ht="15" hidden="1" customHeight="1">
      <c r="A4530" s="468">
        <v>45498</v>
      </c>
      <c r="B4530" s="208" t="s">
        <v>3844</v>
      </c>
      <c r="C4530" s="208" t="s">
        <v>146</v>
      </c>
      <c r="D4530" s="211">
        <v>-14000</v>
      </c>
      <c r="E4530" s="212">
        <v>45474</v>
      </c>
      <c r="F4530" s="208" t="s">
        <v>207</v>
      </c>
      <c r="G4530" s="208" t="s">
        <v>207</v>
      </c>
      <c r="H4530" s="208"/>
      <c r="I4530" s="208"/>
      <c r="J4530" s="209"/>
      <c r="K4530" s="209"/>
      <c r="L4530" s="209"/>
      <c r="M4530" s="209"/>
      <c r="N4530" s="209"/>
      <c r="O4530" s="209"/>
      <c r="P4530" s="209"/>
      <c r="Q4530" s="209"/>
      <c r="R4530" s="209"/>
      <c r="S4530" s="209"/>
      <c r="T4530" s="209"/>
    </row>
    <row r="4531" spans="1:20" ht="15" hidden="1" customHeight="1">
      <c r="A4531" s="468">
        <v>45498</v>
      </c>
      <c r="B4531" s="208" t="s">
        <v>3844</v>
      </c>
      <c r="C4531" s="208" t="s">
        <v>146</v>
      </c>
      <c r="D4531" s="211">
        <v>-15000</v>
      </c>
      <c r="E4531" s="212">
        <v>45474</v>
      </c>
      <c r="F4531" s="208" t="s">
        <v>109</v>
      </c>
      <c r="G4531" s="208" t="s">
        <v>125</v>
      </c>
      <c r="H4531" s="208" t="s">
        <v>138</v>
      </c>
      <c r="I4531" s="208"/>
      <c r="J4531" s="209"/>
      <c r="K4531" s="209"/>
      <c r="L4531" s="209"/>
      <c r="M4531" s="209"/>
      <c r="N4531" s="209"/>
      <c r="O4531" s="209"/>
      <c r="P4531" s="209"/>
      <c r="Q4531" s="209"/>
      <c r="R4531" s="209"/>
      <c r="S4531" s="209"/>
      <c r="T4531" s="209"/>
    </row>
    <row r="4532" spans="1:20" ht="15" hidden="1" customHeight="1">
      <c r="A4532" s="468">
        <v>45498</v>
      </c>
      <c r="B4532" s="208" t="s">
        <v>3844</v>
      </c>
      <c r="C4532" s="208" t="s">
        <v>146</v>
      </c>
      <c r="D4532" s="211">
        <v>-49000</v>
      </c>
      <c r="E4532" s="212">
        <v>45474</v>
      </c>
      <c r="F4532" s="208" t="s">
        <v>110</v>
      </c>
      <c r="G4532" s="208" t="s">
        <v>774</v>
      </c>
      <c r="H4532" s="208" t="s">
        <v>138</v>
      </c>
      <c r="I4532" s="208"/>
      <c r="J4532" s="209"/>
      <c r="K4532" s="209"/>
      <c r="L4532" s="209"/>
      <c r="M4532" s="209"/>
      <c r="N4532" s="209"/>
      <c r="O4532" s="209"/>
      <c r="P4532" s="209"/>
      <c r="Q4532" s="209"/>
      <c r="R4532" s="209"/>
      <c r="S4532" s="209"/>
      <c r="T4532" s="209"/>
    </row>
    <row r="4533" spans="1:20" ht="15" hidden="1" customHeight="1">
      <c r="A4533" s="468">
        <v>45498</v>
      </c>
      <c r="B4533" s="208" t="s">
        <v>3845</v>
      </c>
      <c r="C4533" s="208" t="s">
        <v>146</v>
      </c>
      <c r="D4533" s="211">
        <v>-92000</v>
      </c>
      <c r="E4533" s="212">
        <v>45474</v>
      </c>
      <c r="F4533" s="208" t="s">
        <v>109</v>
      </c>
      <c r="G4533" s="654" t="s">
        <v>2585</v>
      </c>
      <c r="H4533" s="208" t="s">
        <v>138</v>
      </c>
      <c r="I4533" s="208"/>
      <c r="J4533" s="209"/>
      <c r="K4533" s="209"/>
      <c r="L4533" s="209"/>
      <c r="M4533" s="209"/>
      <c r="N4533" s="209"/>
      <c r="O4533" s="209"/>
      <c r="P4533" s="209"/>
      <c r="Q4533" s="209"/>
      <c r="R4533" s="209"/>
      <c r="S4533" s="209"/>
      <c r="T4533" s="209"/>
    </row>
    <row r="4534" spans="1:20" ht="15" hidden="1" customHeight="1">
      <c r="A4534" s="468">
        <v>45498</v>
      </c>
      <c r="B4534" s="208" t="s">
        <v>3845</v>
      </c>
      <c r="C4534" s="208" t="s">
        <v>146</v>
      </c>
      <c r="D4534" s="211">
        <v>-7000</v>
      </c>
      <c r="E4534" s="212">
        <v>45474</v>
      </c>
      <c r="F4534" s="208" t="s">
        <v>110</v>
      </c>
      <c r="G4534" s="208" t="s">
        <v>450</v>
      </c>
      <c r="H4534" s="208" t="s">
        <v>138</v>
      </c>
      <c r="I4534" s="475" t="s">
        <v>3626</v>
      </c>
      <c r="J4534" s="209"/>
      <c r="K4534" s="209"/>
      <c r="L4534" s="209"/>
      <c r="M4534" s="209"/>
      <c r="N4534" s="209"/>
      <c r="O4534" s="209"/>
      <c r="P4534" s="209"/>
      <c r="Q4534" s="209"/>
      <c r="R4534" s="209"/>
      <c r="S4534" s="209"/>
      <c r="T4534" s="209"/>
    </row>
    <row r="4535" spans="1:20" ht="15" hidden="1" customHeight="1">
      <c r="A4535" s="468">
        <v>45498</v>
      </c>
      <c r="B4535" s="208" t="s">
        <v>3845</v>
      </c>
      <c r="C4535" s="208" t="s">
        <v>146</v>
      </c>
      <c r="D4535" s="211">
        <v>-14000</v>
      </c>
      <c r="E4535" s="212">
        <v>45474</v>
      </c>
      <c r="F4535" s="208" t="s">
        <v>130</v>
      </c>
      <c r="G4535" s="208" t="s">
        <v>130</v>
      </c>
      <c r="H4535" s="208" t="s">
        <v>138</v>
      </c>
      <c r="I4535" s="208"/>
      <c r="J4535" s="209"/>
      <c r="K4535" s="209"/>
      <c r="L4535" s="209"/>
      <c r="M4535" s="209"/>
      <c r="N4535" s="209"/>
      <c r="O4535" s="209"/>
      <c r="P4535" s="209"/>
      <c r="Q4535" s="209"/>
      <c r="R4535" s="209"/>
      <c r="S4535" s="209"/>
      <c r="T4535" s="209"/>
    </row>
    <row r="4536" spans="1:20" ht="15" hidden="1" customHeight="1">
      <c r="A4536" s="468">
        <v>45498</v>
      </c>
      <c r="B4536" s="208" t="s">
        <v>3845</v>
      </c>
      <c r="C4536" s="208" t="s">
        <v>146</v>
      </c>
      <c r="D4536" s="211">
        <v>-21000</v>
      </c>
      <c r="E4536" s="212">
        <v>45474</v>
      </c>
      <c r="F4536" s="208" t="s">
        <v>109</v>
      </c>
      <c r="G4536" s="201" t="s">
        <v>1306</v>
      </c>
      <c r="H4536" s="208" t="s">
        <v>138</v>
      </c>
      <c r="I4536" s="208"/>
      <c r="J4536" s="209"/>
      <c r="K4536" s="209"/>
      <c r="L4536" s="209"/>
      <c r="M4536" s="209"/>
      <c r="N4536" s="209"/>
      <c r="O4536" s="209"/>
      <c r="P4536" s="209"/>
      <c r="Q4536" s="209"/>
      <c r="R4536" s="209"/>
      <c r="S4536" s="209"/>
      <c r="T4536" s="209"/>
    </row>
    <row r="4537" spans="1:20" ht="15" hidden="1" customHeight="1">
      <c r="A4537" s="468">
        <v>45498</v>
      </c>
      <c r="B4537" s="208" t="s">
        <v>3845</v>
      </c>
      <c r="C4537" s="208" t="s">
        <v>146</v>
      </c>
      <c r="D4537" s="211">
        <v>-15000</v>
      </c>
      <c r="E4537" s="212">
        <v>45474</v>
      </c>
      <c r="F4537" s="208" t="s">
        <v>109</v>
      </c>
      <c r="G4537" s="208" t="s">
        <v>125</v>
      </c>
      <c r="H4537" s="208" t="s">
        <v>138</v>
      </c>
      <c r="I4537" s="475" t="s">
        <v>3626</v>
      </c>
      <c r="J4537" s="209"/>
      <c r="K4537" s="209"/>
      <c r="L4537" s="209"/>
      <c r="M4537" s="209"/>
      <c r="N4537" s="209"/>
      <c r="O4537" s="209"/>
      <c r="P4537" s="209"/>
      <c r="Q4537" s="209"/>
      <c r="R4537" s="209"/>
      <c r="S4537" s="209"/>
      <c r="T4537" s="209"/>
    </row>
    <row r="4538" spans="1:20" ht="15" hidden="1" customHeight="1">
      <c r="A4538" s="468">
        <v>45498</v>
      </c>
      <c r="B4538" s="208" t="s">
        <v>3845</v>
      </c>
      <c r="C4538" s="208" t="s">
        <v>146</v>
      </c>
      <c r="D4538" s="211">
        <v>-7000</v>
      </c>
      <c r="E4538" s="212">
        <v>45474</v>
      </c>
      <c r="F4538" s="208" t="s">
        <v>207</v>
      </c>
      <c r="G4538" s="208" t="s">
        <v>3832</v>
      </c>
      <c r="H4538" s="208" t="s">
        <v>138</v>
      </c>
      <c r="I4538" s="208"/>
      <c r="J4538" s="209"/>
      <c r="K4538" s="209"/>
      <c r="L4538" s="209"/>
      <c r="M4538" s="209"/>
      <c r="N4538" s="209"/>
      <c r="O4538" s="209"/>
      <c r="P4538" s="209"/>
      <c r="Q4538" s="209"/>
      <c r="R4538" s="209"/>
      <c r="S4538" s="209"/>
      <c r="T4538" s="209"/>
    </row>
    <row r="4539" spans="1:20" ht="15" hidden="1" customHeight="1">
      <c r="A4539" s="468">
        <v>45498</v>
      </c>
      <c r="B4539" s="208" t="s">
        <v>3845</v>
      </c>
      <c r="C4539" s="208" t="s">
        <v>146</v>
      </c>
      <c r="D4539" s="211">
        <v>-22000</v>
      </c>
      <c r="E4539" s="212">
        <v>45474</v>
      </c>
      <c r="F4539" s="208" t="s">
        <v>110</v>
      </c>
      <c r="G4539" s="208" t="s">
        <v>774</v>
      </c>
      <c r="H4539" s="208" t="s">
        <v>138</v>
      </c>
      <c r="I4539" s="208"/>
      <c r="J4539" s="209"/>
      <c r="K4539" s="209"/>
      <c r="L4539" s="209"/>
      <c r="M4539" s="209"/>
      <c r="N4539" s="209"/>
      <c r="O4539" s="209"/>
      <c r="P4539" s="209"/>
      <c r="Q4539" s="209"/>
      <c r="R4539" s="209"/>
      <c r="S4539" s="209"/>
      <c r="T4539" s="209"/>
    </row>
    <row r="4540" spans="1:20" ht="15" hidden="1" customHeight="1">
      <c r="A4540" s="468">
        <v>45497</v>
      </c>
      <c r="B4540" s="208" t="s">
        <v>3846</v>
      </c>
      <c r="C4540" s="208" t="s">
        <v>146</v>
      </c>
      <c r="D4540" s="718">
        <v>-51000</v>
      </c>
      <c r="E4540" s="212">
        <v>45474</v>
      </c>
      <c r="F4540" s="208" t="s">
        <v>109</v>
      </c>
      <c r="G4540" s="201" t="s">
        <v>581</v>
      </c>
      <c r="H4540" s="208" t="s">
        <v>138</v>
      </c>
      <c r="I4540" s="208"/>
      <c r="J4540" s="209"/>
      <c r="K4540" s="209"/>
      <c r="L4540" s="209"/>
      <c r="M4540" s="209"/>
      <c r="N4540" s="209"/>
      <c r="O4540" s="209"/>
      <c r="P4540" s="209"/>
      <c r="Q4540" s="209"/>
      <c r="R4540" s="209"/>
      <c r="S4540" s="209"/>
      <c r="T4540" s="209"/>
    </row>
    <row r="4541" spans="1:20" ht="15" hidden="1" customHeight="1">
      <c r="A4541" s="468">
        <v>45497</v>
      </c>
      <c r="B4541" s="208" t="s">
        <v>3846</v>
      </c>
      <c r="C4541" s="208" t="s">
        <v>146</v>
      </c>
      <c r="D4541" s="211">
        <v>-169496</v>
      </c>
      <c r="E4541" s="212">
        <v>45474</v>
      </c>
      <c r="F4541" s="208" t="s">
        <v>109</v>
      </c>
      <c r="G4541" s="654" t="s">
        <v>2585</v>
      </c>
      <c r="H4541" s="208" t="s">
        <v>138</v>
      </c>
      <c r="I4541" s="208"/>
      <c r="J4541" s="209"/>
      <c r="K4541" s="209"/>
      <c r="L4541" s="209"/>
      <c r="M4541" s="209"/>
      <c r="N4541" s="209"/>
      <c r="O4541" s="209"/>
      <c r="P4541" s="209"/>
      <c r="Q4541" s="209"/>
      <c r="R4541" s="209"/>
      <c r="S4541" s="209"/>
      <c r="T4541" s="209"/>
    </row>
    <row r="4542" spans="1:20" ht="15" hidden="1" customHeight="1">
      <c r="A4542" s="468">
        <v>45497</v>
      </c>
      <c r="B4542" s="208" t="s">
        <v>3846</v>
      </c>
      <c r="C4542" s="208" t="s">
        <v>146</v>
      </c>
      <c r="D4542" s="211">
        <v>-7000</v>
      </c>
      <c r="E4542" s="212">
        <v>45474</v>
      </c>
      <c r="F4542" s="208" t="s">
        <v>207</v>
      </c>
      <c r="G4542" s="208" t="s">
        <v>207</v>
      </c>
      <c r="H4542" s="208"/>
      <c r="I4542" s="208"/>
      <c r="J4542" s="209"/>
      <c r="K4542" s="209"/>
      <c r="L4542" s="209"/>
      <c r="M4542" s="209"/>
      <c r="N4542" s="209"/>
      <c r="O4542" s="209"/>
      <c r="P4542" s="209"/>
      <c r="Q4542" s="209"/>
      <c r="R4542" s="209"/>
      <c r="S4542" s="209"/>
      <c r="T4542" s="209"/>
    </row>
    <row r="4543" spans="1:20" ht="15" hidden="1" customHeight="1">
      <c r="A4543" s="468">
        <v>45497</v>
      </c>
      <c r="B4543" s="208" t="s">
        <v>3846</v>
      </c>
      <c r="C4543" s="208" t="s">
        <v>146</v>
      </c>
      <c r="D4543" s="211">
        <v>-85000</v>
      </c>
      <c r="E4543" s="212">
        <v>45474</v>
      </c>
      <c r="F4543" s="208" t="s">
        <v>110</v>
      </c>
      <c r="G4543" s="208" t="s">
        <v>774</v>
      </c>
      <c r="H4543" s="208" t="s">
        <v>138</v>
      </c>
      <c r="I4543" s="208"/>
      <c r="J4543" s="209"/>
      <c r="K4543" s="209"/>
      <c r="L4543" s="209"/>
      <c r="M4543" s="209"/>
      <c r="N4543" s="209"/>
      <c r="O4543" s="209"/>
      <c r="P4543" s="209"/>
      <c r="Q4543" s="209"/>
      <c r="R4543" s="209"/>
      <c r="S4543" s="209"/>
      <c r="T4543" s="209"/>
    </row>
    <row r="4544" spans="1:20" ht="15" hidden="1" customHeight="1">
      <c r="A4544" s="468">
        <v>45497</v>
      </c>
      <c r="B4544" s="208" t="s">
        <v>3846</v>
      </c>
      <c r="C4544" s="208" t="s">
        <v>146</v>
      </c>
      <c r="D4544" s="211">
        <v>-44000</v>
      </c>
      <c r="E4544" s="212">
        <v>45474</v>
      </c>
      <c r="F4544" s="208" t="s">
        <v>207</v>
      </c>
      <c r="G4544" s="208" t="s">
        <v>3832</v>
      </c>
      <c r="H4544" s="208" t="s">
        <v>138</v>
      </c>
      <c r="I4544" s="208"/>
      <c r="J4544" s="209"/>
      <c r="K4544" s="209"/>
      <c r="L4544" s="209"/>
      <c r="M4544" s="209"/>
      <c r="N4544" s="209"/>
      <c r="O4544" s="209"/>
      <c r="P4544" s="209"/>
      <c r="Q4544" s="209"/>
      <c r="R4544" s="209"/>
      <c r="S4544" s="209"/>
      <c r="T4544" s="209"/>
    </row>
    <row r="4545" spans="1:20" ht="15" hidden="1" customHeight="1">
      <c r="A4545" s="468">
        <v>45497</v>
      </c>
      <c r="B4545" s="208" t="s">
        <v>3846</v>
      </c>
      <c r="C4545" s="208" t="s">
        <v>146</v>
      </c>
      <c r="D4545" s="211">
        <v>-30000</v>
      </c>
      <c r="E4545" s="212">
        <v>45474</v>
      </c>
      <c r="F4545" s="208" t="s">
        <v>207</v>
      </c>
      <c r="G4545" s="208" t="s">
        <v>207</v>
      </c>
      <c r="H4545" s="208"/>
      <c r="I4545" s="208"/>
      <c r="J4545" s="209"/>
      <c r="K4545" s="209"/>
      <c r="L4545" s="209"/>
      <c r="M4545" s="209"/>
      <c r="N4545" s="209"/>
      <c r="O4545" s="209"/>
      <c r="P4545" s="209"/>
      <c r="Q4545" s="209"/>
      <c r="R4545" s="209"/>
      <c r="S4545" s="209"/>
      <c r="T4545" s="209"/>
    </row>
    <row r="4546" spans="1:20" ht="15" hidden="1" customHeight="1">
      <c r="A4546" s="468">
        <v>45497</v>
      </c>
      <c r="B4546" s="208" t="s">
        <v>3846</v>
      </c>
      <c r="C4546" s="208" t="s">
        <v>146</v>
      </c>
      <c r="D4546" s="211">
        <v>-15000</v>
      </c>
      <c r="E4546" s="212">
        <v>45474</v>
      </c>
      <c r="F4546" s="208" t="s">
        <v>130</v>
      </c>
      <c r="G4546" s="208" t="s">
        <v>130</v>
      </c>
      <c r="H4546" s="208" t="s">
        <v>138</v>
      </c>
      <c r="I4546" s="208"/>
      <c r="J4546" s="209"/>
      <c r="K4546" s="209"/>
      <c r="L4546" s="209"/>
      <c r="M4546" s="209"/>
      <c r="N4546" s="209"/>
      <c r="O4546" s="209"/>
      <c r="P4546" s="209"/>
      <c r="Q4546" s="209"/>
      <c r="R4546" s="209"/>
      <c r="S4546" s="209"/>
      <c r="T4546" s="209"/>
    </row>
    <row r="4547" spans="1:20" ht="15" hidden="1" customHeight="1">
      <c r="A4547" s="468">
        <v>45497</v>
      </c>
      <c r="B4547" s="208" t="s">
        <v>3846</v>
      </c>
      <c r="C4547" s="208" t="s">
        <v>146</v>
      </c>
      <c r="D4547" s="211">
        <v>-30000</v>
      </c>
      <c r="E4547" s="212">
        <v>45474</v>
      </c>
      <c r="F4547" s="208" t="s">
        <v>130</v>
      </c>
      <c r="G4547" s="208" t="s">
        <v>130</v>
      </c>
      <c r="H4547" s="208" t="s">
        <v>138</v>
      </c>
      <c r="I4547" s="208"/>
      <c r="J4547" s="209"/>
      <c r="K4547" s="209"/>
      <c r="L4547" s="209"/>
      <c r="M4547" s="209"/>
      <c r="N4547" s="209"/>
      <c r="O4547" s="209"/>
      <c r="P4547" s="209"/>
      <c r="Q4547" s="209"/>
      <c r="R4547" s="209"/>
      <c r="S4547" s="209"/>
      <c r="T4547" s="209"/>
    </row>
    <row r="4548" spans="1:20" ht="15" hidden="1" customHeight="1">
      <c r="A4548" s="468">
        <v>45497</v>
      </c>
      <c r="B4548" s="208" t="s">
        <v>3846</v>
      </c>
      <c r="C4548" s="208" t="s">
        <v>146</v>
      </c>
      <c r="D4548" s="211">
        <v>-30000</v>
      </c>
      <c r="E4548" s="212">
        <v>45474</v>
      </c>
      <c r="F4548" s="208" t="s">
        <v>207</v>
      </c>
      <c r="G4548" s="208" t="s">
        <v>207</v>
      </c>
      <c r="H4548" s="208"/>
      <c r="I4548" s="208"/>
      <c r="J4548" s="209"/>
      <c r="K4548" s="209"/>
      <c r="L4548" s="209"/>
      <c r="M4548" s="209"/>
      <c r="N4548" s="209"/>
      <c r="O4548" s="209"/>
      <c r="P4548" s="209"/>
      <c r="Q4548" s="209"/>
      <c r="R4548" s="209"/>
      <c r="S4548" s="209"/>
      <c r="T4548" s="209"/>
    </row>
    <row r="4549" spans="1:20" ht="15" hidden="1" customHeight="1">
      <c r="A4549" s="468">
        <v>45497</v>
      </c>
      <c r="B4549" s="208" t="s">
        <v>3716</v>
      </c>
      <c r="C4549" s="208" t="s">
        <v>133</v>
      </c>
      <c r="D4549" s="211">
        <v>-4690</v>
      </c>
      <c r="E4549" s="212">
        <v>45474</v>
      </c>
      <c r="F4549" s="208" t="s">
        <v>109</v>
      </c>
      <c r="G4549" s="654" t="s">
        <v>2585</v>
      </c>
      <c r="H4549" s="208" t="s">
        <v>138</v>
      </c>
      <c r="I4549" s="208"/>
      <c r="J4549" s="209"/>
      <c r="K4549" s="209"/>
      <c r="L4549" s="209"/>
      <c r="M4549" s="209"/>
      <c r="N4549" s="209"/>
      <c r="O4549" s="209"/>
      <c r="P4549" s="209"/>
      <c r="Q4549" s="209"/>
      <c r="R4549" s="209"/>
      <c r="S4549" s="209"/>
      <c r="T4549" s="209"/>
    </row>
    <row r="4550" spans="1:20" ht="15" hidden="1" customHeight="1">
      <c r="A4550" s="468">
        <v>45497</v>
      </c>
      <c r="B4550" s="208" t="s">
        <v>3717</v>
      </c>
      <c r="C4550" s="208" t="s">
        <v>133</v>
      </c>
      <c r="D4550" s="211">
        <v>-2814</v>
      </c>
      <c r="E4550" s="212">
        <v>45474</v>
      </c>
      <c r="F4550" s="208" t="s">
        <v>109</v>
      </c>
      <c r="G4550" s="654" t="s">
        <v>2585</v>
      </c>
      <c r="H4550" s="208" t="s">
        <v>138</v>
      </c>
      <c r="I4550" s="208"/>
      <c r="J4550" s="209"/>
      <c r="K4550" s="209"/>
      <c r="L4550" s="209"/>
      <c r="M4550" s="209"/>
      <c r="N4550" s="209"/>
      <c r="O4550" s="209"/>
      <c r="P4550" s="209"/>
      <c r="Q4550" s="209"/>
      <c r="R4550" s="209"/>
      <c r="S4550" s="209"/>
      <c r="T4550" s="209"/>
    </row>
    <row r="4551" spans="1:20" ht="15" hidden="1" customHeight="1">
      <c r="A4551" s="468">
        <v>45490</v>
      </c>
      <c r="B4551" s="208" t="s">
        <v>3847</v>
      </c>
      <c r="C4551" s="208" t="s">
        <v>146</v>
      </c>
      <c r="D4551" s="211">
        <v>-7000</v>
      </c>
      <c r="E4551" s="212">
        <v>45474</v>
      </c>
      <c r="F4551" s="208" t="s">
        <v>110</v>
      </c>
      <c r="G4551" s="208" t="s">
        <v>774</v>
      </c>
      <c r="H4551" s="208" t="s">
        <v>138</v>
      </c>
      <c r="I4551" s="208" t="s">
        <v>173</v>
      </c>
      <c r="J4551" s="209"/>
      <c r="K4551" s="209"/>
      <c r="L4551" s="209"/>
      <c r="M4551" s="209"/>
      <c r="N4551" s="209"/>
      <c r="O4551" s="209"/>
      <c r="P4551" s="209"/>
      <c r="Q4551" s="209"/>
      <c r="R4551" s="209"/>
      <c r="S4551" s="209"/>
      <c r="T4551" s="209"/>
    </row>
    <row r="4552" spans="1:20" ht="15" hidden="1" customHeight="1">
      <c r="A4552" s="468">
        <v>45490</v>
      </c>
      <c r="B4552" s="208" t="s">
        <v>3848</v>
      </c>
      <c r="C4552" s="208" t="s">
        <v>146</v>
      </c>
      <c r="D4552" s="211">
        <v>-6200</v>
      </c>
      <c r="E4552" s="212">
        <v>45474</v>
      </c>
      <c r="F4552" s="208" t="s">
        <v>110</v>
      </c>
      <c r="G4552" s="208" t="s">
        <v>774</v>
      </c>
      <c r="H4552" s="208" t="s">
        <v>138</v>
      </c>
      <c r="I4552" s="208" t="s">
        <v>173</v>
      </c>
      <c r="J4552" s="209"/>
      <c r="K4552" s="209"/>
      <c r="L4552" s="209"/>
      <c r="M4552" s="209"/>
      <c r="N4552" s="209"/>
      <c r="O4552" s="209"/>
      <c r="P4552" s="209"/>
      <c r="Q4552" s="209"/>
      <c r="R4552" s="209"/>
      <c r="S4552" s="209"/>
      <c r="T4552" s="209"/>
    </row>
    <row r="4553" spans="1:20" ht="15" hidden="1" customHeight="1">
      <c r="A4553" s="468">
        <v>45491</v>
      </c>
      <c r="B4553" s="208" t="s">
        <v>3849</v>
      </c>
      <c r="C4553" s="208" t="s">
        <v>146</v>
      </c>
      <c r="D4553" s="211">
        <v>-107758</v>
      </c>
      <c r="E4553" s="212">
        <v>45474</v>
      </c>
      <c r="F4553" s="208" t="s">
        <v>110</v>
      </c>
      <c r="G4553" s="208" t="s">
        <v>774</v>
      </c>
      <c r="H4553" s="208" t="s">
        <v>175</v>
      </c>
      <c r="I4553" s="208" t="s">
        <v>173</v>
      </c>
      <c r="J4553" s="209"/>
      <c r="K4553" s="209"/>
      <c r="L4553" s="209"/>
      <c r="M4553" s="209"/>
      <c r="N4553" s="209"/>
      <c r="O4553" s="209"/>
      <c r="P4553" s="209"/>
      <c r="Q4553" s="209"/>
      <c r="R4553" s="209"/>
      <c r="S4553" s="209"/>
      <c r="T4553" s="209"/>
    </row>
    <row r="4554" spans="1:20" ht="15" hidden="1" customHeight="1">
      <c r="A4554" s="468">
        <v>45491</v>
      </c>
      <c r="B4554" s="208" t="s">
        <v>3850</v>
      </c>
      <c r="C4554" s="208" t="s">
        <v>146</v>
      </c>
      <c r="D4554" s="211">
        <v>-36000</v>
      </c>
      <c r="E4554" s="212">
        <v>45474</v>
      </c>
      <c r="F4554" s="208" t="s">
        <v>110</v>
      </c>
      <c r="G4554" s="208" t="s">
        <v>774</v>
      </c>
      <c r="H4554" s="208" t="s">
        <v>175</v>
      </c>
      <c r="I4554" s="208" t="s">
        <v>173</v>
      </c>
      <c r="J4554" s="209"/>
      <c r="K4554" s="209"/>
      <c r="L4554" s="209"/>
      <c r="M4554" s="209"/>
      <c r="N4554" s="209"/>
      <c r="O4554" s="209"/>
      <c r="P4554" s="209"/>
      <c r="Q4554" s="209"/>
      <c r="R4554" s="209"/>
      <c r="S4554" s="209"/>
      <c r="T4554" s="209"/>
    </row>
    <row r="4555" spans="1:20" ht="15" hidden="1" customHeight="1">
      <c r="A4555" s="468">
        <v>45491</v>
      </c>
      <c r="B4555" s="208" t="s">
        <v>3851</v>
      </c>
      <c r="C4555" s="208" t="s">
        <v>146</v>
      </c>
      <c r="D4555" s="211">
        <v>-77799</v>
      </c>
      <c r="E4555" s="212">
        <v>45474</v>
      </c>
      <c r="F4555" s="208" t="s">
        <v>109</v>
      </c>
      <c r="G4555" s="654" t="s">
        <v>2585</v>
      </c>
      <c r="H4555" s="208" t="s">
        <v>175</v>
      </c>
      <c r="I4555" s="208" t="s">
        <v>173</v>
      </c>
      <c r="J4555" s="209"/>
      <c r="K4555" s="209"/>
      <c r="L4555" s="209"/>
      <c r="M4555" s="209"/>
      <c r="N4555" s="209"/>
      <c r="O4555" s="209"/>
      <c r="P4555" s="209"/>
      <c r="Q4555" s="209"/>
      <c r="R4555" s="209"/>
      <c r="S4555" s="209"/>
      <c r="T4555" s="209"/>
    </row>
    <row r="4556" spans="1:20" ht="15" hidden="1" customHeight="1">
      <c r="A4556" s="468">
        <v>45491</v>
      </c>
      <c r="B4556" s="208" t="s">
        <v>3852</v>
      </c>
      <c r="C4556" s="208" t="s">
        <v>146</v>
      </c>
      <c r="D4556" s="211">
        <v>-41940</v>
      </c>
      <c r="E4556" s="212">
        <v>45474</v>
      </c>
      <c r="F4556" s="208" t="s">
        <v>110</v>
      </c>
      <c r="G4556" s="208" t="s">
        <v>774</v>
      </c>
      <c r="H4556" s="208" t="s">
        <v>175</v>
      </c>
      <c r="I4556" s="208" t="s">
        <v>173</v>
      </c>
      <c r="J4556" s="209"/>
      <c r="K4556" s="209"/>
      <c r="L4556" s="209"/>
      <c r="M4556" s="209"/>
      <c r="N4556" s="209"/>
      <c r="O4556" s="209"/>
      <c r="P4556" s="209"/>
      <c r="Q4556" s="209"/>
      <c r="R4556" s="209"/>
      <c r="S4556" s="209"/>
      <c r="T4556" s="209"/>
    </row>
    <row r="4557" spans="1:20" ht="15" hidden="1" customHeight="1">
      <c r="A4557" s="468">
        <v>45492</v>
      </c>
      <c r="B4557" s="208" t="s">
        <v>3853</v>
      </c>
      <c r="C4557" s="208" t="s">
        <v>146</v>
      </c>
      <c r="D4557" s="211">
        <v>-9000</v>
      </c>
      <c r="E4557" s="212">
        <v>45474</v>
      </c>
      <c r="F4557" s="208" t="s">
        <v>110</v>
      </c>
      <c r="G4557" s="208" t="s">
        <v>774</v>
      </c>
      <c r="H4557" s="208" t="s">
        <v>175</v>
      </c>
      <c r="I4557" s="208" t="s">
        <v>173</v>
      </c>
      <c r="J4557" s="209"/>
      <c r="K4557" s="209"/>
      <c r="L4557" s="209"/>
      <c r="M4557" s="209"/>
      <c r="N4557" s="209"/>
      <c r="O4557" s="209"/>
      <c r="P4557" s="209"/>
      <c r="Q4557" s="209"/>
      <c r="R4557" s="209"/>
      <c r="S4557" s="209"/>
      <c r="T4557" s="209"/>
    </row>
    <row r="4558" spans="1:20" ht="15" hidden="1" customHeight="1">
      <c r="A4558" s="468">
        <v>45492</v>
      </c>
      <c r="B4558" s="208" t="s">
        <v>3854</v>
      </c>
      <c r="C4558" s="208" t="s">
        <v>146</v>
      </c>
      <c r="D4558" s="211">
        <v>-9300</v>
      </c>
      <c r="E4558" s="212">
        <v>45474</v>
      </c>
      <c r="F4558" s="208" t="s">
        <v>109</v>
      </c>
      <c r="G4558" s="208" t="s">
        <v>317</v>
      </c>
      <c r="H4558" s="208" t="s">
        <v>175</v>
      </c>
      <c r="I4558" s="208" t="s">
        <v>173</v>
      </c>
      <c r="J4558" s="209"/>
      <c r="K4558" s="209"/>
      <c r="L4558" s="209"/>
      <c r="M4558" s="209"/>
      <c r="N4558" s="209"/>
      <c r="O4558" s="209"/>
      <c r="P4558" s="209"/>
      <c r="Q4558" s="209"/>
      <c r="R4558" s="209"/>
      <c r="S4558" s="209"/>
      <c r="T4558" s="209"/>
    </row>
    <row r="4559" spans="1:20" ht="15" hidden="1" customHeight="1">
      <c r="A4559" s="468">
        <v>45495</v>
      </c>
      <c r="B4559" s="208" t="s">
        <v>3855</v>
      </c>
      <c r="C4559" s="208" t="s">
        <v>146</v>
      </c>
      <c r="D4559" s="211">
        <v>-12199</v>
      </c>
      <c r="E4559" s="212">
        <v>45474</v>
      </c>
      <c r="F4559" s="208" t="s">
        <v>109</v>
      </c>
      <c r="G4559" s="654" t="s">
        <v>2585</v>
      </c>
      <c r="H4559" s="208" t="s">
        <v>175</v>
      </c>
      <c r="I4559" s="208" t="s">
        <v>173</v>
      </c>
      <c r="J4559" s="209"/>
      <c r="K4559" s="209"/>
      <c r="L4559" s="209"/>
      <c r="M4559" s="209"/>
      <c r="N4559" s="209"/>
      <c r="O4559" s="209"/>
      <c r="P4559" s="209"/>
      <c r="Q4559" s="209"/>
      <c r="R4559" s="209"/>
      <c r="S4559" s="209"/>
      <c r="T4559" s="209"/>
    </row>
    <row r="4560" spans="1:20" ht="15" hidden="1" customHeight="1">
      <c r="A4560" s="468">
        <v>45490</v>
      </c>
      <c r="B4560" s="208" t="s">
        <v>3856</v>
      </c>
      <c r="C4560" s="208" t="s">
        <v>146</v>
      </c>
      <c r="D4560" s="718">
        <v>-60000</v>
      </c>
      <c r="E4560" s="212">
        <v>45474</v>
      </c>
      <c r="F4560" s="208" t="s">
        <v>109</v>
      </c>
      <c r="G4560" s="201" t="s">
        <v>581</v>
      </c>
      <c r="H4560" s="208" t="s">
        <v>416</v>
      </c>
      <c r="I4560" s="208" t="s">
        <v>173</v>
      </c>
      <c r="J4560" s="209"/>
      <c r="K4560" s="209"/>
      <c r="L4560" s="209"/>
      <c r="M4560" s="209"/>
      <c r="N4560" s="209"/>
      <c r="O4560" s="209"/>
      <c r="P4560" s="209"/>
      <c r="Q4560" s="209"/>
      <c r="R4560" s="209"/>
      <c r="S4560" s="209"/>
      <c r="T4560" s="209"/>
    </row>
    <row r="4561" spans="1:20" ht="15" hidden="1" customHeight="1">
      <c r="A4561" s="468">
        <v>45490</v>
      </c>
      <c r="B4561" s="208" t="s">
        <v>3857</v>
      </c>
      <c r="C4561" s="208" t="s">
        <v>146</v>
      </c>
      <c r="D4561" s="718">
        <v>-6200</v>
      </c>
      <c r="E4561" s="212">
        <v>45474</v>
      </c>
      <c r="F4561" s="208" t="s">
        <v>109</v>
      </c>
      <c r="G4561" s="201" t="s">
        <v>581</v>
      </c>
      <c r="H4561" s="208" t="s">
        <v>138</v>
      </c>
      <c r="I4561" s="208" t="s">
        <v>173</v>
      </c>
      <c r="J4561" s="209"/>
      <c r="K4561" s="209"/>
      <c r="L4561" s="209"/>
      <c r="M4561" s="209"/>
      <c r="N4561" s="209"/>
      <c r="O4561" s="209"/>
      <c r="P4561" s="209"/>
      <c r="Q4561" s="209"/>
      <c r="R4561" s="209"/>
      <c r="S4561" s="209"/>
      <c r="T4561" s="209"/>
    </row>
    <row r="4562" spans="1:20" ht="15" hidden="1" customHeight="1">
      <c r="A4562" s="468">
        <v>45491</v>
      </c>
      <c r="B4562" s="208" t="s">
        <v>3858</v>
      </c>
      <c r="C4562" s="208" t="s">
        <v>146</v>
      </c>
      <c r="D4562" s="718">
        <v>-20000</v>
      </c>
      <c r="E4562" s="212">
        <v>45474</v>
      </c>
      <c r="F4562" s="208" t="s">
        <v>109</v>
      </c>
      <c r="G4562" s="201" t="s">
        <v>581</v>
      </c>
      <c r="H4562" s="208" t="s">
        <v>138</v>
      </c>
      <c r="I4562" s="208" t="s">
        <v>173</v>
      </c>
      <c r="J4562" s="209"/>
      <c r="K4562" s="209"/>
      <c r="L4562" s="209"/>
      <c r="M4562" s="209"/>
      <c r="N4562" s="209"/>
      <c r="O4562" s="209"/>
      <c r="P4562" s="209"/>
      <c r="Q4562" s="209"/>
      <c r="R4562" s="209"/>
      <c r="S4562" s="209"/>
      <c r="T4562" s="209"/>
    </row>
    <row r="4563" spans="1:20" ht="15" hidden="1" customHeight="1">
      <c r="A4563" s="468">
        <v>45497</v>
      </c>
      <c r="B4563" s="208" t="s">
        <v>3859</v>
      </c>
      <c r="C4563" s="208" t="s">
        <v>146</v>
      </c>
      <c r="D4563" s="211">
        <v>-100000</v>
      </c>
      <c r="E4563" s="212">
        <v>45474</v>
      </c>
      <c r="F4563" s="208" t="s">
        <v>130</v>
      </c>
      <c r="G4563" s="208" t="s">
        <v>130</v>
      </c>
      <c r="H4563" s="208" t="s">
        <v>2444</v>
      </c>
      <c r="I4563" s="208"/>
      <c r="J4563" s="209"/>
      <c r="K4563" s="209"/>
      <c r="L4563" s="209"/>
      <c r="M4563" s="209"/>
      <c r="N4563" s="209"/>
      <c r="O4563" s="209"/>
      <c r="P4563" s="209"/>
      <c r="Q4563" s="209"/>
      <c r="R4563" s="209"/>
      <c r="S4563" s="209"/>
      <c r="T4563" s="209"/>
    </row>
    <row r="4564" spans="1:20" s="476" customFormat="1" ht="15" hidden="1" customHeight="1">
      <c r="A4564" s="468">
        <v>45495</v>
      </c>
      <c r="B4564" s="208" t="s">
        <v>3860</v>
      </c>
      <c r="C4564" s="208" t="s">
        <v>27</v>
      </c>
      <c r="D4564" s="718">
        <v>-100000000</v>
      </c>
      <c r="E4564" s="212">
        <v>45474</v>
      </c>
      <c r="F4564" s="208" t="s">
        <v>109</v>
      </c>
      <c r="G4564" s="201" t="s">
        <v>581</v>
      </c>
      <c r="H4564" s="208"/>
      <c r="I4564" s="208"/>
      <c r="J4564" s="209"/>
      <c r="K4564" s="209"/>
      <c r="L4564" s="209"/>
      <c r="M4564" s="209"/>
      <c r="N4564" s="209"/>
      <c r="O4564" s="209"/>
      <c r="P4564" s="209"/>
      <c r="Q4564" s="209"/>
      <c r="R4564" s="209"/>
      <c r="S4564" s="209"/>
      <c r="T4564" s="209"/>
    </row>
    <row r="4565" spans="1:20" ht="15" hidden="1" customHeight="1">
      <c r="A4565" s="468">
        <v>45496</v>
      </c>
      <c r="B4565" s="208" t="s">
        <v>3861</v>
      </c>
      <c r="C4565" s="208" t="s">
        <v>27</v>
      </c>
      <c r="D4565" s="211">
        <v>-710378</v>
      </c>
      <c r="E4565" s="212">
        <v>45474</v>
      </c>
      <c r="F4565" s="208" t="s">
        <v>130</v>
      </c>
      <c r="G4565" s="208" t="s">
        <v>130</v>
      </c>
      <c r="H4565" s="208" t="s">
        <v>2444</v>
      </c>
      <c r="I4565" s="208"/>
      <c r="J4565" s="209"/>
      <c r="K4565" s="209"/>
      <c r="L4565" s="209"/>
      <c r="M4565" s="209"/>
      <c r="N4565" s="209"/>
      <c r="O4565" s="209"/>
      <c r="P4565" s="209"/>
      <c r="Q4565" s="209"/>
      <c r="R4565" s="209"/>
      <c r="S4565" s="209"/>
      <c r="T4565" s="209"/>
    </row>
    <row r="4566" spans="1:20" ht="15" hidden="1" customHeight="1">
      <c r="A4566" s="468">
        <v>45496</v>
      </c>
      <c r="B4566" s="208" t="s">
        <v>3862</v>
      </c>
      <c r="C4566" s="208" t="s">
        <v>27</v>
      </c>
      <c r="D4566" s="718">
        <v>-500000</v>
      </c>
      <c r="E4566" s="212">
        <v>45474</v>
      </c>
      <c r="F4566" s="208" t="s">
        <v>109</v>
      </c>
      <c r="G4566" s="201" t="s">
        <v>581</v>
      </c>
      <c r="H4566" s="208"/>
      <c r="I4566" s="208"/>
      <c r="J4566" s="209"/>
      <c r="K4566" s="209"/>
      <c r="L4566" s="209"/>
      <c r="M4566" s="209"/>
      <c r="N4566" s="209"/>
      <c r="O4566" s="209"/>
      <c r="P4566" s="209"/>
      <c r="Q4566" s="209"/>
      <c r="R4566" s="209"/>
      <c r="S4566" s="209"/>
      <c r="T4566" s="209"/>
    </row>
    <row r="4567" spans="1:20" ht="15" hidden="1" customHeight="1">
      <c r="A4567" s="468">
        <v>45496</v>
      </c>
      <c r="B4567" s="208" t="s">
        <v>3863</v>
      </c>
      <c r="C4567" s="208" t="s">
        <v>27</v>
      </c>
      <c r="D4567" s="718">
        <v>-605040</v>
      </c>
      <c r="E4567" s="212">
        <v>45474</v>
      </c>
      <c r="F4567" s="208" t="s">
        <v>109</v>
      </c>
      <c r="G4567" s="201" t="s">
        <v>581</v>
      </c>
      <c r="H4567" s="208"/>
      <c r="I4567" s="208"/>
      <c r="J4567" s="209"/>
      <c r="K4567" s="209"/>
      <c r="L4567" s="209"/>
      <c r="M4567" s="209"/>
      <c r="N4567" s="209"/>
      <c r="O4567" s="209"/>
      <c r="P4567" s="209"/>
      <c r="Q4567" s="209"/>
      <c r="R4567" s="209"/>
      <c r="S4567" s="209"/>
      <c r="T4567" s="209"/>
    </row>
    <row r="4568" spans="1:20" ht="15" hidden="1" customHeight="1">
      <c r="A4568" s="468">
        <v>45496</v>
      </c>
      <c r="B4568" s="208" t="s">
        <v>3863</v>
      </c>
      <c r="C4568" s="208" t="s">
        <v>27</v>
      </c>
      <c r="D4568" s="718">
        <v>-605039</v>
      </c>
      <c r="E4568" s="212">
        <v>45474</v>
      </c>
      <c r="F4568" s="208" t="s">
        <v>109</v>
      </c>
      <c r="G4568" s="201" t="s">
        <v>581</v>
      </c>
      <c r="H4568" s="208"/>
      <c r="I4568" s="208"/>
      <c r="J4568" s="209"/>
      <c r="K4568" s="209"/>
      <c r="L4568" s="209"/>
      <c r="M4568" s="209"/>
      <c r="N4568" s="209"/>
      <c r="O4568" s="209"/>
      <c r="P4568" s="209"/>
      <c r="Q4568" s="209"/>
      <c r="R4568" s="209"/>
      <c r="S4568" s="209"/>
      <c r="T4568" s="209"/>
    </row>
    <row r="4569" spans="1:20" ht="15" hidden="1" customHeight="1">
      <c r="A4569" s="468">
        <v>45496</v>
      </c>
      <c r="B4569" s="208" t="s">
        <v>3864</v>
      </c>
      <c r="C4569" s="208" t="s">
        <v>27</v>
      </c>
      <c r="D4569" s="211">
        <v>-467000</v>
      </c>
      <c r="E4569" s="212">
        <v>45474</v>
      </c>
      <c r="F4569" s="208" t="s">
        <v>109</v>
      </c>
      <c r="G4569" s="654" t="s">
        <v>2585</v>
      </c>
      <c r="H4569" s="208" t="s">
        <v>175</v>
      </c>
      <c r="I4569" s="208"/>
      <c r="J4569" s="209"/>
      <c r="K4569" s="209"/>
      <c r="L4569" s="209"/>
      <c r="M4569" s="209"/>
      <c r="N4569" s="209"/>
      <c r="O4569" s="209"/>
      <c r="P4569" s="209"/>
      <c r="Q4569" s="209"/>
      <c r="R4569" s="209"/>
      <c r="S4569" s="209"/>
      <c r="T4569" s="209"/>
    </row>
    <row r="4570" spans="1:20" ht="15" hidden="1" customHeight="1">
      <c r="A4570" s="468">
        <v>45496</v>
      </c>
      <c r="B4570" s="208" t="s">
        <v>3865</v>
      </c>
      <c r="C4570" s="208" t="s">
        <v>27</v>
      </c>
      <c r="D4570" s="211">
        <v>-884588</v>
      </c>
      <c r="E4570" s="212">
        <v>45474</v>
      </c>
      <c r="F4570" s="201" t="s">
        <v>110</v>
      </c>
      <c r="G4570" s="208" t="s">
        <v>774</v>
      </c>
      <c r="H4570" s="208" t="s">
        <v>175</v>
      </c>
      <c r="I4570" s="208"/>
      <c r="J4570" s="209"/>
      <c r="K4570" s="209"/>
      <c r="L4570" s="209"/>
      <c r="M4570" s="209"/>
      <c r="N4570" s="209"/>
      <c r="O4570" s="209"/>
      <c r="P4570" s="209"/>
      <c r="Q4570" s="209"/>
      <c r="R4570" s="209"/>
      <c r="S4570" s="209"/>
      <c r="T4570" s="209"/>
    </row>
    <row r="4571" spans="1:20" ht="15" hidden="1" customHeight="1">
      <c r="A4571" s="468">
        <v>45496</v>
      </c>
      <c r="B4571" s="208" t="s">
        <v>3866</v>
      </c>
      <c r="C4571" s="208" t="s">
        <v>27</v>
      </c>
      <c r="D4571" s="211">
        <v>-232000</v>
      </c>
      <c r="E4571" s="212">
        <v>45474</v>
      </c>
      <c r="F4571" s="208" t="s">
        <v>130</v>
      </c>
      <c r="G4571" s="208" t="s">
        <v>130</v>
      </c>
      <c r="H4571" s="208" t="s">
        <v>1156</v>
      </c>
      <c r="I4571" s="208"/>
      <c r="J4571" s="209"/>
      <c r="K4571" s="209"/>
      <c r="L4571" s="209"/>
      <c r="M4571" s="209"/>
      <c r="N4571" s="209"/>
      <c r="O4571" s="209"/>
      <c r="P4571" s="209"/>
      <c r="Q4571" s="209"/>
      <c r="R4571" s="209"/>
      <c r="S4571" s="209"/>
      <c r="T4571" s="209"/>
    </row>
    <row r="4572" spans="1:20" ht="15" hidden="1" customHeight="1">
      <c r="A4572" s="468">
        <v>45496</v>
      </c>
      <c r="B4572" s="208" t="s">
        <v>3867</v>
      </c>
      <c r="C4572" s="208" t="s">
        <v>27</v>
      </c>
      <c r="D4572" s="211">
        <v>-529659</v>
      </c>
      <c r="E4572" s="212">
        <v>45474</v>
      </c>
      <c r="F4572" s="208" t="s">
        <v>130</v>
      </c>
      <c r="G4572" s="208" t="s">
        <v>130</v>
      </c>
      <c r="H4572" s="208" t="s">
        <v>2444</v>
      </c>
      <c r="I4572" s="208"/>
      <c r="J4572" s="209"/>
      <c r="K4572" s="209"/>
      <c r="L4572" s="209"/>
      <c r="M4572" s="209"/>
      <c r="N4572" s="209"/>
      <c r="O4572" s="209"/>
      <c r="P4572" s="209"/>
      <c r="Q4572" s="209"/>
      <c r="R4572" s="209"/>
      <c r="S4572" s="209"/>
      <c r="T4572" s="209"/>
    </row>
    <row r="4573" spans="1:20" ht="15" hidden="1" customHeight="1">
      <c r="A4573" s="468">
        <v>45496</v>
      </c>
      <c r="B4573" s="208" t="s">
        <v>3868</v>
      </c>
      <c r="C4573" s="208" t="s">
        <v>27</v>
      </c>
      <c r="D4573" s="211">
        <v>-1592000</v>
      </c>
      <c r="E4573" s="212">
        <v>45474</v>
      </c>
      <c r="F4573" s="201" t="s">
        <v>110</v>
      </c>
      <c r="G4573" s="658" t="s">
        <v>3245</v>
      </c>
      <c r="H4573" s="208" t="s">
        <v>175</v>
      </c>
      <c r="I4573" s="208"/>
      <c r="J4573" s="209"/>
      <c r="K4573" s="209"/>
      <c r="L4573" s="209"/>
      <c r="M4573" s="209"/>
      <c r="N4573" s="209"/>
      <c r="O4573" s="209"/>
      <c r="P4573" s="209"/>
      <c r="Q4573" s="209"/>
      <c r="R4573" s="209"/>
      <c r="S4573" s="209"/>
      <c r="T4573" s="209"/>
    </row>
    <row r="4574" spans="1:20" ht="15" hidden="1" customHeight="1">
      <c r="A4574" s="468">
        <v>45496</v>
      </c>
      <c r="B4574" s="208" t="s">
        <v>3869</v>
      </c>
      <c r="C4574" s="208" t="s">
        <v>27</v>
      </c>
      <c r="D4574" s="211">
        <v>-429000</v>
      </c>
      <c r="E4574" s="212">
        <v>45474</v>
      </c>
      <c r="F4574" s="208" t="s">
        <v>3679</v>
      </c>
      <c r="G4574" s="208"/>
      <c r="H4574" s="208"/>
      <c r="I4574" s="208"/>
      <c r="J4574" s="209"/>
      <c r="K4574" s="209"/>
      <c r="L4574" s="209"/>
      <c r="M4574" s="209"/>
      <c r="N4574" s="209"/>
      <c r="O4574" s="209"/>
      <c r="P4574" s="209"/>
      <c r="Q4574" s="209"/>
      <c r="R4574" s="209"/>
      <c r="S4574" s="209"/>
      <c r="T4574" s="209"/>
    </row>
    <row r="4575" spans="1:20" ht="15" hidden="1" customHeight="1">
      <c r="A4575" s="468">
        <v>45496</v>
      </c>
      <c r="B4575" s="208" t="s">
        <v>3870</v>
      </c>
      <c r="C4575" s="208" t="s">
        <v>27</v>
      </c>
      <c r="D4575" s="211">
        <v>-217082</v>
      </c>
      <c r="E4575" s="212">
        <v>45474</v>
      </c>
      <c r="F4575" s="201" t="s">
        <v>110</v>
      </c>
      <c r="G4575" s="208" t="s">
        <v>2444</v>
      </c>
      <c r="H4575" s="208"/>
      <c r="I4575" s="208"/>
      <c r="J4575" s="209"/>
      <c r="K4575" s="209"/>
      <c r="L4575" s="209"/>
      <c r="M4575" s="209"/>
      <c r="N4575" s="209"/>
      <c r="O4575" s="209"/>
      <c r="P4575" s="209"/>
      <c r="Q4575" s="209"/>
      <c r="R4575" s="209"/>
      <c r="S4575" s="209"/>
      <c r="T4575" s="209"/>
    </row>
    <row r="4576" spans="1:20" ht="15" hidden="1" customHeight="1">
      <c r="A4576" s="468">
        <v>45497</v>
      </c>
      <c r="B4576" s="208" t="s">
        <v>3871</v>
      </c>
      <c r="C4576" s="208" t="s">
        <v>27</v>
      </c>
      <c r="D4576" s="211">
        <v>-710830</v>
      </c>
      <c r="E4576" s="212">
        <v>45474</v>
      </c>
      <c r="F4576" s="208" t="s">
        <v>130</v>
      </c>
      <c r="G4576" s="208" t="s">
        <v>130</v>
      </c>
      <c r="H4576" s="208" t="s">
        <v>275</v>
      </c>
      <c r="I4576" s="208"/>
      <c r="J4576" s="209"/>
      <c r="K4576" s="209"/>
      <c r="L4576" s="209"/>
      <c r="M4576" s="209"/>
      <c r="N4576" s="209"/>
      <c r="O4576" s="209"/>
      <c r="P4576" s="209"/>
      <c r="Q4576" s="209"/>
      <c r="R4576" s="209"/>
      <c r="S4576" s="209"/>
      <c r="T4576" s="209"/>
    </row>
    <row r="4577" spans="1:20" ht="15" hidden="1" customHeight="1">
      <c r="A4577" s="468">
        <v>45497</v>
      </c>
      <c r="B4577" s="208" t="s">
        <v>3872</v>
      </c>
      <c r="C4577" s="208" t="s">
        <v>27</v>
      </c>
      <c r="D4577" s="211">
        <v>-20900</v>
      </c>
      <c r="E4577" s="212">
        <v>45474</v>
      </c>
      <c r="F4577" s="208" t="s">
        <v>130</v>
      </c>
      <c r="G4577" s="208" t="s">
        <v>257</v>
      </c>
      <c r="H4577" s="208" t="s">
        <v>659</v>
      </c>
      <c r="I4577" s="208"/>
      <c r="J4577" s="209"/>
      <c r="K4577" s="209"/>
      <c r="L4577" s="209"/>
      <c r="M4577" s="209"/>
      <c r="N4577" s="209"/>
      <c r="O4577" s="209"/>
      <c r="P4577" s="209"/>
      <c r="Q4577" s="209"/>
      <c r="R4577" s="209"/>
      <c r="S4577" s="209"/>
      <c r="T4577" s="209"/>
    </row>
    <row r="4578" spans="1:20" ht="15" hidden="1" customHeight="1">
      <c r="A4578" s="468">
        <v>45498</v>
      </c>
      <c r="B4578" s="208" t="s">
        <v>3873</v>
      </c>
      <c r="C4578" s="208" t="s">
        <v>27</v>
      </c>
      <c r="D4578" s="211">
        <v>-315336</v>
      </c>
      <c r="E4578" s="212">
        <v>45474</v>
      </c>
      <c r="F4578" s="291" t="s">
        <v>109</v>
      </c>
      <c r="G4578" s="208" t="s">
        <v>525</v>
      </c>
      <c r="H4578" s="208" t="s">
        <v>585</v>
      </c>
      <c r="I4578" s="475" t="s">
        <v>3626</v>
      </c>
      <c r="J4578" s="209"/>
      <c r="K4578" s="209"/>
      <c r="L4578" s="209"/>
      <c r="M4578" s="209"/>
      <c r="N4578" s="209"/>
      <c r="O4578" s="209"/>
      <c r="P4578" s="209"/>
      <c r="Q4578" s="209"/>
      <c r="R4578" s="209"/>
      <c r="S4578" s="209"/>
      <c r="T4578" s="209"/>
    </row>
    <row r="4579" spans="1:20" ht="15" hidden="1" customHeight="1">
      <c r="A4579" s="468">
        <v>45496</v>
      </c>
      <c r="B4579" s="208" t="s">
        <v>3874</v>
      </c>
      <c r="C4579" s="208" t="s">
        <v>27</v>
      </c>
      <c r="D4579" s="211">
        <v>-1022551</v>
      </c>
      <c r="E4579" s="212">
        <v>45474</v>
      </c>
      <c r="F4579" s="208" t="s">
        <v>207</v>
      </c>
      <c r="G4579" s="208" t="s">
        <v>3838</v>
      </c>
      <c r="H4579" s="208" t="s">
        <v>175</v>
      </c>
      <c r="I4579" s="208"/>
      <c r="J4579" s="209"/>
      <c r="K4579" s="209"/>
      <c r="L4579" s="209"/>
      <c r="M4579" s="209"/>
      <c r="N4579" s="209"/>
      <c r="O4579" s="209"/>
      <c r="P4579" s="209"/>
      <c r="Q4579" s="209"/>
      <c r="R4579" s="209"/>
      <c r="S4579" s="209"/>
      <c r="T4579" s="209"/>
    </row>
    <row r="4580" spans="1:20" ht="15" hidden="1" customHeight="1">
      <c r="A4580" s="468">
        <v>45496</v>
      </c>
      <c r="B4580" s="208" t="s">
        <v>3875</v>
      </c>
      <c r="C4580" s="208" t="s">
        <v>27</v>
      </c>
      <c r="D4580" s="211">
        <v>-156509</v>
      </c>
      <c r="E4580" s="212">
        <v>45474</v>
      </c>
      <c r="F4580" s="208" t="s">
        <v>207</v>
      </c>
      <c r="G4580" s="208" t="s">
        <v>3838</v>
      </c>
      <c r="H4580" s="208" t="s">
        <v>175</v>
      </c>
      <c r="I4580" s="208"/>
      <c r="J4580" s="209"/>
      <c r="K4580" s="209"/>
      <c r="L4580" s="209"/>
      <c r="M4580" s="209"/>
      <c r="N4580" s="209"/>
      <c r="O4580" s="209"/>
      <c r="P4580" s="209"/>
      <c r="Q4580" s="209"/>
      <c r="R4580" s="209"/>
      <c r="S4580" s="209"/>
      <c r="T4580" s="209"/>
    </row>
    <row r="4581" spans="1:20" ht="15" hidden="1" customHeight="1">
      <c r="A4581" s="468">
        <v>45496</v>
      </c>
      <c r="B4581" s="208" t="s">
        <v>3876</v>
      </c>
      <c r="C4581" s="208" t="s">
        <v>27</v>
      </c>
      <c r="D4581" s="211">
        <v>-255000</v>
      </c>
      <c r="E4581" s="212">
        <v>45474</v>
      </c>
      <c r="F4581" s="208" t="s">
        <v>207</v>
      </c>
      <c r="G4581" s="208" t="s">
        <v>3838</v>
      </c>
      <c r="H4581" s="208" t="s">
        <v>175</v>
      </c>
      <c r="I4581" s="208"/>
      <c r="J4581" s="209"/>
      <c r="K4581" s="209"/>
      <c r="L4581" s="209"/>
      <c r="M4581" s="209"/>
      <c r="N4581" s="209"/>
      <c r="O4581" s="209"/>
      <c r="P4581" s="209"/>
      <c r="Q4581" s="209"/>
      <c r="R4581" s="209"/>
      <c r="S4581" s="209"/>
      <c r="T4581" s="209"/>
    </row>
    <row r="4582" spans="1:20" ht="15" hidden="1" customHeight="1">
      <c r="A4582" s="468">
        <v>45496</v>
      </c>
      <c r="B4582" s="208" t="s">
        <v>3877</v>
      </c>
      <c r="C4582" s="208" t="s">
        <v>27</v>
      </c>
      <c r="D4582" s="211">
        <v>-400000</v>
      </c>
      <c r="E4582" s="212">
        <v>45474</v>
      </c>
      <c r="F4582" s="208" t="s">
        <v>130</v>
      </c>
      <c r="G4582" s="208" t="s">
        <v>130</v>
      </c>
      <c r="H4582" s="208" t="s">
        <v>275</v>
      </c>
      <c r="I4582" s="208"/>
      <c r="J4582" s="209"/>
      <c r="K4582" s="209"/>
      <c r="L4582" s="209"/>
      <c r="M4582" s="209"/>
      <c r="N4582" s="209"/>
      <c r="O4582" s="209"/>
      <c r="P4582" s="209"/>
      <c r="Q4582" s="209"/>
      <c r="R4582" s="209"/>
      <c r="S4582" s="209"/>
      <c r="T4582" s="209"/>
    </row>
    <row r="4583" spans="1:20" ht="15" hidden="1" customHeight="1">
      <c r="A4583" s="468">
        <v>45496</v>
      </c>
      <c r="B4583" s="208" t="s">
        <v>3878</v>
      </c>
      <c r="C4583" s="208" t="s">
        <v>27</v>
      </c>
      <c r="D4583" s="211">
        <v>-439000</v>
      </c>
      <c r="E4583" s="212">
        <v>45474</v>
      </c>
      <c r="F4583" s="208" t="s">
        <v>109</v>
      </c>
      <c r="G4583" s="654" t="s">
        <v>2585</v>
      </c>
      <c r="H4583" s="208" t="s">
        <v>175</v>
      </c>
      <c r="I4583" s="208"/>
      <c r="J4583" s="209"/>
      <c r="K4583" s="209"/>
      <c r="L4583" s="209"/>
      <c r="M4583" s="209"/>
      <c r="N4583" s="209"/>
      <c r="O4583" s="209"/>
      <c r="P4583" s="209"/>
      <c r="Q4583" s="209"/>
      <c r="R4583" s="209"/>
      <c r="S4583" s="209"/>
      <c r="T4583" s="209"/>
    </row>
    <row r="4584" spans="1:20" ht="15" hidden="1" customHeight="1">
      <c r="A4584" s="468">
        <v>45496</v>
      </c>
      <c r="B4584" s="208" t="s">
        <v>3879</v>
      </c>
      <c r="C4584" s="208" t="s">
        <v>27</v>
      </c>
      <c r="D4584" s="211">
        <v>-630671</v>
      </c>
      <c r="E4584" s="212">
        <v>45474</v>
      </c>
      <c r="F4584" s="201" t="s">
        <v>110</v>
      </c>
      <c r="G4584" s="658" t="s">
        <v>3245</v>
      </c>
      <c r="H4584" s="208" t="s">
        <v>585</v>
      </c>
      <c r="I4584" s="208"/>
      <c r="J4584" s="209"/>
      <c r="K4584" s="209"/>
      <c r="L4584" s="209"/>
      <c r="M4584" s="209"/>
      <c r="N4584" s="209"/>
      <c r="O4584" s="209"/>
      <c r="P4584" s="209"/>
      <c r="Q4584" s="209"/>
      <c r="R4584" s="209"/>
      <c r="S4584" s="209"/>
      <c r="T4584" s="209"/>
    </row>
    <row r="4585" spans="1:20" ht="15" hidden="1" customHeight="1">
      <c r="A4585" s="468">
        <v>45496</v>
      </c>
      <c r="B4585" s="208" t="s">
        <v>3880</v>
      </c>
      <c r="C4585" s="208" t="s">
        <v>27</v>
      </c>
      <c r="D4585" s="211">
        <v>-315336</v>
      </c>
      <c r="E4585" s="212">
        <v>45474</v>
      </c>
      <c r="F4585" s="201" t="s">
        <v>110</v>
      </c>
      <c r="G4585" s="81" t="s">
        <v>1621</v>
      </c>
      <c r="H4585" s="208" t="s">
        <v>585</v>
      </c>
      <c r="I4585" s="208"/>
      <c r="J4585" s="209"/>
      <c r="K4585" s="209"/>
      <c r="L4585" s="209"/>
      <c r="M4585" s="209"/>
      <c r="N4585" s="209"/>
      <c r="O4585" s="209"/>
      <c r="P4585" s="209"/>
      <c r="Q4585" s="209"/>
      <c r="R4585" s="209"/>
      <c r="S4585" s="209"/>
      <c r="T4585" s="209"/>
    </row>
    <row r="4586" spans="1:20" ht="15" hidden="1" customHeight="1">
      <c r="A4586" s="468">
        <v>45498</v>
      </c>
      <c r="B4586" s="208" t="s">
        <v>1673</v>
      </c>
      <c r="C4586" s="208" t="s">
        <v>27</v>
      </c>
      <c r="D4586" s="211">
        <v>-18423529</v>
      </c>
      <c r="E4586" s="212">
        <v>45474</v>
      </c>
      <c r="F4586" s="208" t="s">
        <v>109</v>
      </c>
      <c r="G4586" s="654" t="s">
        <v>2585</v>
      </c>
      <c r="H4586" s="208" t="s">
        <v>310</v>
      </c>
      <c r="I4586" s="208"/>
      <c r="J4586" s="209"/>
      <c r="K4586" s="209"/>
      <c r="L4586" s="209"/>
      <c r="M4586" s="209"/>
      <c r="N4586" s="209"/>
      <c r="O4586" s="209"/>
      <c r="P4586" s="209"/>
      <c r="Q4586" s="209"/>
      <c r="R4586" s="209"/>
      <c r="S4586" s="209"/>
      <c r="T4586" s="209"/>
    </row>
    <row r="4587" spans="1:20" ht="15" hidden="1" customHeight="1">
      <c r="A4587" s="468">
        <v>45499</v>
      </c>
      <c r="B4587" s="208" t="s">
        <v>3881</v>
      </c>
      <c r="C4587" s="208" t="s">
        <v>27</v>
      </c>
      <c r="D4587" s="211">
        <v>-758688</v>
      </c>
      <c r="E4587" s="212">
        <v>45474</v>
      </c>
      <c r="F4587" s="201" t="s">
        <v>110</v>
      </c>
      <c r="G4587" s="208" t="s">
        <v>774</v>
      </c>
      <c r="H4587" s="208" t="s">
        <v>585</v>
      </c>
      <c r="I4587" s="208"/>
      <c r="J4587" s="209"/>
      <c r="K4587" s="209"/>
      <c r="L4587" s="209"/>
      <c r="M4587" s="209"/>
      <c r="N4587" s="209"/>
      <c r="O4587" s="209"/>
      <c r="P4587" s="209"/>
      <c r="Q4587" s="209"/>
      <c r="R4587" s="209"/>
      <c r="S4587" s="209"/>
      <c r="T4587" s="209"/>
    </row>
    <row r="4588" spans="1:20" ht="15" hidden="1" customHeight="1">
      <c r="A4588" s="468">
        <v>45499</v>
      </c>
      <c r="B4588" s="208" t="s">
        <v>3882</v>
      </c>
      <c r="C4588" s="208" t="s">
        <v>27</v>
      </c>
      <c r="D4588" s="211">
        <v>-365960</v>
      </c>
      <c r="E4588" s="212">
        <v>45474</v>
      </c>
      <c r="F4588" s="201" t="s">
        <v>110</v>
      </c>
      <c r="G4588" s="208" t="s">
        <v>2444</v>
      </c>
      <c r="H4588" s="208"/>
      <c r="I4588" s="208"/>
      <c r="J4588" s="209"/>
      <c r="K4588" s="209"/>
      <c r="L4588" s="209"/>
      <c r="M4588" s="209"/>
      <c r="N4588" s="209"/>
      <c r="O4588" s="209"/>
      <c r="P4588" s="209"/>
      <c r="Q4588" s="209"/>
      <c r="R4588" s="209"/>
      <c r="S4588" s="209"/>
      <c r="T4588" s="209"/>
    </row>
    <row r="4589" spans="1:20" ht="15" hidden="1" customHeight="1">
      <c r="A4589" s="669">
        <v>45496</v>
      </c>
      <c r="B4589" s="654" t="s">
        <v>1078</v>
      </c>
      <c r="C4589" s="654" t="s">
        <v>27</v>
      </c>
      <c r="D4589" s="578">
        <v>2214669</v>
      </c>
      <c r="E4589" s="609">
        <v>45474</v>
      </c>
      <c r="F4589" s="654" t="s">
        <v>108</v>
      </c>
      <c r="G4589" s="208"/>
      <c r="H4589" s="208"/>
      <c r="I4589" s="208"/>
      <c r="J4589" s="209"/>
      <c r="K4589" s="209"/>
      <c r="L4589" s="209"/>
      <c r="M4589" s="209"/>
      <c r="N4589" s="209"/>
      <c r="O4589" s="209"/>
      <c r="P4589" s="209"/>
      <c r="Q4589" s="209"/>
      <c r="R4589" s="209"/>
      <c r="S4589" s="209"/>
      <c r="T4589" s="209"/>
    </row>
    <row r="4590" spans="1:20" ht="15" hidden="1" customHeight="1">
      <c r="A4590" s="669">
        <v>45497</v>
      </c>
      <c r="B4590" s="654" t="s">
        <v>3089</v>
      </c>
      <c r="C4590" s="654" t="s">
        <v>27</v>
      </c>
      <c r="D4590" s="578">
        <v>1273943</v>
      </c>
      <c r="E4590" s="609">
        <v>45474</v>
      </c>
      <c r="F4590" s="654" t="s">
        <v>108</v>
      </c>
      <c r="G4590" s="208"/>
      <c r="H4590" s="208"/>
      <c r="I4590" s="208"/>
      <c r="J4590" s="209"/>
      <c r="K4590" s="209"/>
      <c r="L4590" s="209"/>
      <c r="M4590" s="209"/>
      <c r="N4590" s="209"/>
      <c r="O4590" s="209"/>
      <c r="P4590" s="209"/>
      <c r="Q4590" s="209"/>
      <c r="R4590" s="209"/>
      <c r="S4590" s="209"/>
      <c r="T4590" s="209"/>
    </row>
    <row r="4591" spans="1:20" ht="15" hidden="1" customHeight="1">
      <c r="A4591" s="468">
        <v>45497</v>
      </c>
      <c r="B4591" s="208" t="s">
        <v>3883</v>
      </c>
      <c r="C4591" s="208" t="s">
        <v>3331</v>
      </c>
      <c r="D4591" s="211">
        <v>2000000</v>
      </c>
      <c r="E4591" s="212">
        <v>45474</v>
      </c>
      <c r="F4591" s="208" t="s">
        <v>108</v>
      </c>
      <c r="G4591" s="208"/>
      <c r="H4591" s="208"/>
      <c r="I4591" s="208"/>
      <c r="J4591" s="209"/>
      <c r="K4591" s="209"/>
      <c r="L4591" s="209"/>
      <c r="M4591" s="209"/>
      <c r="N4591" s="209"/>
      <c r="O4591" s="209"/>
      <c r="P4591" s="209"/>
      <c r="Q4591" s="209"/>
      <c r="R4591" s="209"/>
      <c r="S4591" s="209"/>
      <c r="T4591" s="209"/>
    </row>
    <row r="4592" spans="1:20" ht="15" hidden="1" customHeight="1">
      <c r="A4592" s="468">
        <v>45498</v>
      </c>
      <c r="B4592" s="208" t="s">
        <v>1635</v>
      </c>
      <c r="C4592" s="208" t="s">
        <v>3331</v>
      </c>
      <c r="D4592" s="211">
        <v>1000000</v>
      </c>
      <c r="E4592" s="212">
        <v>45474</v>
      </c>
      <c r="F4592" s="208" t="s">
        <v>108</v>
      </c>
      <c r="G4592" s="208"/>
      <c r="H4592" s="208"/>
      <c r="I4592" s="208"/>
      <c r="J4592" s="209"/>
      <c r="K4592" s="209"/>
      <c r="L4592" s="209"/>
      <c r="M4592" s="209"/>
      <c r="N4592" s="209"/>
      <c r="O4592" s="209"/>
      <c r="P4592" s="209"/>
      <c r="Q4592" s="209"/>
      <c r="R4592" s="209"/>
      <c r="S4592" s="209"/>
      <c r="T4592" s="209"/>
    </row>
    <row r="4593" spans="1:20" ht="15" hidden="1" customHeight="1">
      <c r="A4593" s="670">
        <v>45495</v>
      </c>
      <c r="B4593" s="671" t="s">
        <v>3270</v>
      </c>
      <c r="C4593" s="208" t="s">
        <v>3331</v>
      </c>
      <c r="D4593" s="672">
        <v>2101074</v>
      </c>
      <c r="E4593" s="212">
        <v>45474</v>
      </c>
      <c r="F4593" s="671" t="s">
        <v>108</v>
      </c>
      <c r="G4593" s="208"/>
      <c r="H4593" s="208"/>
      <c r="I4593" s="208"/>
      <c r="J4593" s="209"/>
      <c r="K4593" s="209"/>
      <c r="L4593" s="209"/>
      <c r="M4593" s="209"/>
      <c r="N4593" s="209"/>
      <c r="O4593" s="209"/>
      <c r="P4593" s="209"/>
      <c r="Q4593" s="209"/>
      <c r="R4593" s="209"/>
      <c r="S4593" s="209"/>
      <c r="T4593" s="209"/>
    </row>
    <row r="4594" spans="1:20" ht="15" hidden="1" customHeight="1">
      <c r="A4594" s="468">
        <v>45495</v>
      </c>
      <c r="B4594" s="208" t="s">
        <v>3884</v>
      </c>
      <c r="C4594" s="208" t="s">
        <v>3331</v>
      </c>
      <c r="D4594" s="211">
        <v>2981513</v>
      </c>
      <c r="E4594" s="212">
        <v>45474</v>
      </c>
      <c r="F4594" s="208" t="s">
        <v>108</v>
      </c>
      <c r="G4594" s="208"/>
      <c r="H4594" s="208"/>
      <c r="I4594" s="208"/>
      <c r="J4594" s="209"/>
      <c r="K4594" s="209"/>
      <c r="L4594" s="209"/>
      <c r="M4594" s="209"/>
      <c r="N4594" s="209"/>
      <c r="O4594" s="209"/>
      <c r="P4594" s="209"/>
      <c r="Q4594" s="209"/>
      <c r="R4594" s="209"/>
      <c r="S4594" s="209"/>
      <c r="T4594" s="209"/>
    </row>
    <row r="4595" spans="1:20" ht="15" hidden="1" customHeight="1">
      <c r="A4595" s="468">
        <v>45497</v>
      </c>
      <c r="B4595" s="81" t="s">
        <v>3885</v>
      </c>
      <c r="C4595" s="208" t="s">
        <v>643</v>
      </c>
      <c r="D4595" s="211">
        <v>-76499</v>
      </c>
      <c r="E4595" s="212">
        <v>45474</v>
      </c>
      <c r="F4595" s="208" t="s">
        <v>130</v>
      </c>
      <c r="G4595" s="208" t="s">
        <v>257</v>
      </c>
      <c r="H4595" s="208" t="s">
        <v>663</v>
      </c>
      <c r="I4595" s="208"/>
      <c r="J4595" s="209"/>
      <c r="K4595" s="209"/>
      <c r="L4595" s="209"/>
      <c r="M4595" s="209"/>
      <c r="N4595" s="209"/>
      <c r="O4595" s="209"/>
      <c r="P4595" s="209"/>
      <c r="Q4595" s="209"/>
      <c r="R4595" s="209"/>
      <c r="S4595" s="209"/>
      <c r="T4595" s="209"/>
    </row>
    <row r="4596" spans="1:20" ht="15" hidden="1" customHeight="1">
      <c r="A4596" s="468">
        <v>45497</v>
      </c>
      <c r="B4596" s="81" t="s">
        <v>3886</v>
      </c>
      <c r="C4596" s="208" t="s">
        <v>643</v>
      </c>
      <c r="D4596" s="211">
        <v>-30800</v>
      </c>
      <c r="E4596" s="212">
        <v>45474</v>
      </c>
      <c r="F4596" s="208" t="s">
        <v>130</v>
      </c>
      <c r="G4596" s="208" t="s">
        <v>130</v>
      </c>
      <c r="H4596" s="208" t="s">
        <v>1245</v>
      </c>
      <c r="I4596" s="208"/>
      <c r="J4596" s="209"/>
      <c r="K4596" s="209"/>
      <c r="L4596" s="209"/>
      <c r="M4596" s="209"/>
      <c r="N4596" s="209"/>
      <c r="O4596" s="209"/>
      <c r="P4596" s="209"/>
      <c r="Q4596" s="209"/>
      <c r="R4596" s="209"/>
      <c r="S4596" s="209"/>
      <c r="T4596" s="209"/>
    </row>
    <row r="4597" spans="1:20" ht="15" hidden="1" customHeight="1">
      <c r="A4597" s="468">
        <v>45493</v>
      </c>
      <c r="B4597" s="81" t="s">
        <v>3887</v>
      </c>
      <c r="C4597" s="208" t="s">
        <v>643</v>
      </c>
      <c r="D4597" s="211">
        <v>-40569.129999999997</v>
      </c>
      <c r="E4597" s="212">
        <v>45474</v>
      </c>
      <c r="F4597" s="208" t="s">
        <v>130</v>
      </c>
      <c r="G4597" s="208" t="s">
        <v>130</v>
      </c>
      <c r="H4597" s="208" t="s">
        <v>1245</v>
      </c>
      <c r="I4597" s="208"/>
      <c r="J4597" s="209"/>
      <c r="K4597" s="209"/>
      <c r="L4597" s="209"/>
      <c r="M4597" s="209"/>
      <c r="N4597" s="209"/>
      <c r="O4597" s="209"/>
      <c r="P4597" s="209"/>
      <c r="Q4597" s="209"/>
      <c r="R4597" s="209"/>
      <c r="S4597" s="209"/>
      <c r="T4597" s="209"/>
    </row>
    <row r="4598" spans="1:20" ht="15" hidden="1" customHeight="1">
      <c r="A4598" s="468">
        <v>45493</v>
      </c>
      <c r="B4598" s="81" t="s">
        <v>3888</v>
      </c>
      <c r="C4598" s="208" t="s">
        <v>643</v>
      </c>
      <c r="D4598" s="211">
        <v>-1284216</v>
      </c>
      <c r="E4598" s="212">
        <v>45474</v>
      </c>
      <c r="F4598" s="208" t="s">
        <v>130</v>
      </c>
      <c r="G4598" s="208" t="s">
        <v>130</v>
      </c>
      <c r="H4598" s="208" t="s">
        <v>1245</v>
      </c>
      <c r="I4598" s="208"/>
      <c r="J4598" s="209"/>
      <c r="K4598" s="209"/>
      <c r="L4598" s="209"/>
      <c r="M4598" s="209"/>
      <c r="N4598" s="209"/>
      <c r="O4598" s="209"/>
      <c r="P4598" s="209"/>
      <c r="Q4598" s="209"/>
      <c r="R4598" s="209"/>
      <c r="S4598" s="209"/>
      <c r="T4598" s="209"/>
    </row>
    <row r="4599" spans="1:20" ht="15" hidden="1" customHeight="1">
      <c r="A4599" s="468">
        <v>45493</v>
      </c>
      <c r="B4599" s="208" t="s">
        <v>3889</v>
      </c>
      <c r="C4599" s="208" t="s">
        <v>3331</v>
      </c>
      <c r="D4599" s="211">
        <v>-135546</v>
      </c>
      <c r="E4599" s="212">
        <v>45474</v>
      </c>
      <c r="F4599" s="208" t="s">
        <v>109</v>
      </c>
      <c r="G4599" s="208" t="s">
        <v>3644</v>
      </c>
      <c r="H4599" s="208" t="s">
        <v>275</v>
      </c>
      <c r="I4599" s="208"/>
      <c r="J4599" s="209"/>
      <c r="K4599" s="209"/>
      <c r="L4599" s="209"/>
      <c r="M4599" s="209"/>
      <c r="N4599" s="209"/>
      <c r="O4599" s="209"/>
      <c r="P4599" s="209"/>
      <c r="Q4599" s="209"/>
      <c r="R4599" s="209"/>
      <c r="S4599" s="209"/>
      <c r="T4599" s="209"/>
    </row>
    <row r="4600" spans="1:20" ht="15" hidden="1" customHeight="1">
      <c r="A4600" s="468">
        <v>45493</v>
      </c>
      <c r="B4600" s="208" t="s">
        <v>288</v>
      </c>
      <c r="C4600" s="208" t="s">
        <v>3331</v>
      </c>
      <c r="D4600" s="211">
        <v>-7900</v>
      </c>
      <c r="E4600" s="212">
        <v>45474</v>
      </c>
      <c r="F4600" s="208" t="s">
        <v>109</v>
      </c>
      <c r="G4600" s="208" t="s">
        <v>2809</v>
      </c>
      <c r="H4600" s="208" t="s">
        <v>3890</v>
      </c>
      <c r="I4600" s="208"/>
      <c r="J4600" s="209"/>
      <c r="K4600" s="209"/>
      <c r="L4600" s="209"/>
      <c r="M4600" s="209"/>
      <c r="N4600" s="209"/>
      <c r="O4600" s="209"/>
      <c r="P4600" s="209"/>
      <c r="Q4600" s="209"/>
      <c r="R4600" s="209"/>
      <c r="S4600" s="209"/>
      <c r="T4600" s="209"/>
    </row>
    <row r="4601" spans="1:20" ht="15" hidden="1" customHeight="1">
      <c r="A4601" s="468">
        <v>45493</v>
      </c>
      <c r="B4601" s="208" t="s">
        <v>2554</v>
      </c>
      <c r="C4601" s="208" t="s">
        <v>3331</v>
      </c>
      <c r="D4601" s="211">
        <v>-324000</v>
      </c>
      <c r="E4601" s="212">
        <v>45474</v>
      </c>
      <c r="F4601" s="208" t="s">
        <v>130</v>
      </c>
      <c r="G4601" s="208" t="s">
        <v>130</v>
      </c>
      <c r="H4601" s="208" t="s">
        <v>2444</v>
      </c>
      <c r="I4601" s="208"/>
      <c r="J4601" s="209"/>
      <c r="K4601" s="209"/>
      <c r="L4601" s="209"/>
      <c r="M4601" s="209"/>
      <c r="N4601" s="209"/>
      <c r="O4601" s="209"/>
      <c r="P4601" s="209"/>
      <c r="Q4601" s="209"/>
      <c r="R4601" s="209"/>
      <c r="S4601" s="209"/>
      <c r="T4601" s="209"/>
    </row>
    <row r="4602" spans="1:20" ht="15" hidden="1" customHeight="1">
      <c r="A4602" s="468">
        <v>45493</v>
      </c>
      <c r="B4602" s="208" t="s">
        <v>2591</v>
      </c>
      <c r="C4602" s="208" t="s">
        <v>3331</v>
      </c>
      <c r="D4602" s="211">
        <v>-2242500</v>
      </c>
      <c r="E4602" s="212">
        <v>45474</v>
      </c>
      <c r="F4602" s="208" t="s">
        <v>130</v>
      </c>
      <c r="G4602" s="208" t="s">
        <v>130</v>
      </c>
      <c r="H4602" s="208" t="s">
        <v>1038</v>
      </c>
      <c r="I4602" s="208"/>
      <c r="J4602" s="209"/>
      <c r="K4602" s="209"/>
      <c r="L4602" s="209"/>
      <c r="M4602" s="209"/>
      <c r="N4602" s="209"/>
      <c r="O4602" s="209"/>
      <c r="P4602" s="209"/>
      <c r="Q4602" s="209"/>
      <c r="R4602" s="209"/>
      <c r="S4602" s="209"/>
      <c r="T4602" s="209"/>
    </row>
    <row r="4603" spans="1:20" ht="15" hidden="1" customHeight="1">
      <c r="A4603" s="468">
        <v>45493</v>
      </c>
      <c r="B4603" s="208" t="s">
        <v>3891</v>
      </c>
      <c r="C4603" s="208" t="s">
        <v>3331</v>
      </c>
      <c r="D4603" s="211">
        <v>-125800</v>
      </c>
      <c r="E4603" s="212">
        <v>45474</v>
      </c>
      <c r="F4603" s="208" t="s">
        <v>130</v>
      </c>
      <c r="G4603" s="208" t="s">
        <v>130</v>
      </c>
      <c r="H4603" s="208" t="s">
        <v>2444</v>
      </c>
      <c r="I4603" s="208"/>
      <c r="J4603" s="209"/>
      <c r="K4603" s="209"/>
      <c r="L4603" s="209"/>
      <c r="M4603" s="209"/>
      <c r="N4603" s="209"/>
      <c r="O4603" s="209"/>
      <c r="P4603" s="209"/>
      <c r="Q4603" s="209"/>
      <c r="R4603" s="209"/>
      <c r="S4603" s="209"/>
      <c r="T4603" s="209"/>
    </row>
    <row r="4604" spans="1:20" ht="15" hidden="1" customHeight="1">
      <c r="A4604" s="468">
        <v>45493</v>
      </c>
      <c r="B4604" s="208" t="s">
        <v>3892</v>
      </c>
      <c r="C4604" s="208" t="s">
        <v>3331</v>
      </c>
      <c r="D4604" s="211">
        <v>-223690</v>
      </c>
      <c r="E4604" s="212">
        <v>45474</v>
      </c>
      <c r="F4604" s="208" t="s">
        <v>130</v>
      </c>
      <c r="G4604" s="208" t="s">
        <v>130</v>
      </c>
      <c r="H4604" s="208" t="s">
        <v>2444</v>
      </c>
      <c r="I4604" s="208"/>
      <c r="J4604" s="209"/>
      <c r="K4604" s="209"/>
      <c r="L4604" s="209"/>
      <c r="M4604" s="209"/>
      <c r="N4604" s="209"/>
      <c r="O4604" s="209"/>
      <c r="P4604" s="209"/>
      <c r="Q4604" s="209"/>
      <c r="R4604" s="209"/>
      <c r="S4604" s="209"/>
      <c r="T4604" s="209"/>
    </row>
    <row r="4605" spans="1:20" ht="15" hidden="1" customHeight="1">
      <c r="A4605" s="468">
        <v>45493</v>
      </c>
      <c r="B4605" s="208" t="s">
        <v>3075</v>
      </c>
      <c r="C4605" s="208" t="s">
        <v>3331</v>
      </c>
      <c r="D4605" s="211">
        <v>-310940</v>
      </c>
      <c r="E4605" s="212">
        <v>45474</v>
      </c>
      <c r="F4605" s="208" t="s">
        <v>130</v>
      </c>
      <c r="G4605" s="208" t="s">
        <v>130</v>
      </c>
      <c r="H4605" s="208" t="s">
        <v>2444</v>
      </c>
      <c r="I4605" s="208"/>
      <c r="J4605" s="209"/>
      <c r="K4605" s="209"/>
      <c r="L4605" s="209"/>
      <c r="M4605" s="209"/>
      <c r="N4605" s="209"/>
      <c r="O4605" s="209"/>
      <c r="P4605" s="209"/>
      <c r="Q4605" s="209"/>
      <c r="R4605" s="209"/>
      <c r="S4605" s="209"/>
      <c r="T4605" s="209"/>
    </row>
    <row r="4606" spans="1:20" ht="15" hidden="1" customHeight="1">
      <c r="A4606" s="468">
        <v>45493</v>
      </c>
      <c r="B4606" s="208" t="s">
        <v>3893</v>
      </c>
      <c r="C4606" s="208" t="s">
        <v>3331</v>
      </c>
      <c r="D4606" s="211">
        <v>-320000</v>
      </c>
      <c r="E4606" s="212">
        <v>45474</v>
      </c>
      <c r="F4606" s="208" t="s">
        <v>130</v>
      </c>
      <c r="G4606" s="208" t="s">
        <v>130</v>
      </c>
      <c r="H4606" s="208" t="s">
        <v>1156</v>
      </c>
      <c r="I4606" s="208"/>
      <c r="J4606" s="209"/>
      <c r="K4606" s="209"/>
      <c r="L4606" s="209"/>
      <c r="M4606" s="209"/>
      <c r="N4606" s="209"/>
      <c r="O4606" s="209"/>
      <c r="P4606" s="209"/>
      <c r="Q4606" s="209"/>
      <c r="R4606" s="209"/>
      <c r="S4606" s="209"/>
      <c r="T4606" s="209"/>
    </row>
    <row r="4607" spans="1:20" ht="15" hidden="1" customHeight="1">
      <c r="A4607" s="468">
        <v>45493</v>
      </c>
      <c r="B4607" s="208" t="s">
        <v>3894</v>
      </c>
      <c r="C4607" s="208" t="s">
        <v>3331</v>
      </c>
      <c r="D4607" s="211">
        <v>-374529</v>
      </c>
      <c r="E4607" s="212">
        <v>45474</v>
      </c>
      <c r="F4607" s="208" t="s">
        <v>130</v>
      </c>
      <c r="G4607" s="208" t="s">
        <v>130</v>
      </c>
      <c r="H4607" s="208" t="s">
        <v>2444</v>
      </c>
      <c r="I4607" s="208"/>
      <c r="J4607" s="209"/>
      <c r="K4607" s="209"/>
      <c r="L4607" s="209"/>
      <c r="M4607" s="209"/>
      <c r="N4607" s="209"/>
      <c r="O4607" s="209"/>
      <c r="P4607" s="209"/>
      <c r="Q4607" s="209"/>
      <c r="R4607" s="209"/>
      <c r="S4607" s="209"/>
      <c r="T4607" s="209"/>
    </row>
    <row r="4608" spans="1:20" ht="15" hidden="1" customHeight="1">
      <c r="A4608" s="468">
        <v>45493</v>
      </c>
      <c r="B4608" s="208" t="s">
        <v>2436</v>
      </c>
      <c r="C4608" s="208" t="s">
        <v>3331</v>
      </c>
      <c r="D4608" s="211">
        <v>-376000</v>
      </c>
      <c r="E4608" s="212">
        <v>45474</v>
      </c>
      <c r="F4608" s="208" t="s">
        <v>130</v>
      </c>
      <c r="G4608" s="208" t="s">
        <v>130</v>
      </c>
      <c r="H4608" s="208" t="s">
        <v>1156</v>
      </c>
      <c r="I4608" s="208"/>
      <c r="J4608" s="209"/>
      <c r="K4608" s="209"/>
      <c r="L4608" s="209"/>
      <c r="M4608" s="209"/>
      <c r="N4608" s="209"/>
      <c r="O4608" s="209"/>
      <c r="P4608" s="209"/>
      <c r="Q4608" s="209"/>
      <c r="R4608" s="209"/>
      <c r="S4608" s="209"/>
      <c r="T4608" s="209"/>
    </row>
    <row r="4609" spans="1:20" ht="15" hidden="1" customHeight="1">
      <c r="A4609" s="468">
        <v>45493</v>
      </c>
      <c r="B4609" s="208" t="s">
        <v>3895</v>
      </c>
      <c r="C4609" s="208" t="s">
        <v>3331</v>
      </c>
      <c r="D4609" s="211">
        <v>-3443907</v>
      </c>
      <c r="E4609" s="212">
        <v>45474</v>
      </c>
      <c r="F4609" s="208" t="s">
        <v>130</v>
      </c>
      <c r="G4609" s="208" t="s">
        <v>130</v>
      </c>
      <c r="H4609" s="208" t="s">
        <v>131</v>
      </c>
      <c r="I4609" s="208"/>
      <c r="J4609" s="209"/>
      <c r="K4609" s="209"/>
      <c r="L4609" s="209"/>
      <c r="M4609" s="209"/>
      <c r="N4609" s="209"/>
      <c r="O4609" s="209"/>
      <c r="P4609" s="209"/>
      <c r="Q4609" s="209"/>
      <c r="R4609" s="209"/>
      <c r="S4609" s="209"/>
      <c r="T4609" s="209"/>
    </row>
    <row r="4610" spans="1:20" ht="15" hidden="1" customHeight="1">
      <c r="A4610" s="468">
        <v>45493</v>
      </c>
      <c r="B4610" s="208" t="s">
        <v>3896</v>
      </c>
      <c r="C4610" s="208" t="s">
        <v>3331</v>
      </c>
      <c r="D4610" s="211">
        <v>-1958016</v>
      </c>
      <c r="E4610" s="212">
        <v>45474</v>
      </c>
      <c r="F4610" s="201" t="s">
        <v>110</v>
      </c>
      <c r="G4610" s="208" t="s">
        <v>774</v>
      </c>
      <c r="H4610" s="208" t="s">
        <v>175</v>
      </c>
      <c r="I4610" s="208"/>
      <c r="J4610" s="209"/>
      <c r="K4610" s="209"/>
      <c r="L4610" s="209"/>
      <c r="M4610" s="209"/>
      <c r="N4610" s="209"/>
      <c r="O4610" s="209"/>
      <c r="P4610" s="209"/>
      <c r="Q4610" s="209"/>
      <c r="R4610" s="209"/>
      <c r="S4610" s="209"/>
      <c r="T4610" s="209"/>
    </row>
    <row r="4611" spans="1:20" ht="15" hidden="1" customHeight="1">
      <c r="A4611" s="468">
        <v>45474</v>
      </c>
      <c r="B4611" s="81" t="s">
        <v>3018</v>
      </c>
      <c r="C4611" s="208" t="s">
        <v>643</v>
      </c>
      <c r="D4611" s="211">
        <v>-351100</v>
      </c>
      <c r="E4611" s="212">
        <v>45474</v>
      </c>
      <c r="F4611" s="208" t="s">
        <v>130</v>
      </c>
      <c r="G4611" s="208" t="s">
        <v>257</v>
      </c>
      <c r="H4611" s="208" t="s">
        <v>1138</v>
      </c>
      <c r="I4611" s="208" t="s">
        <v>77</v>
      </c>
      <c r="J4611" s="209"/>
      <c r="K4611" s="209"/>
      <c r="L4611" s="209"/>
      <c r="M4611" s="209"/>
      <c r="N4611" s="209"/>
      <c r="O4611" s="209"/>
      <c r="P4611" s="209"/>
      <c r="Q4611" s="209"/>
      <c r="R4611" s="209"/>
      <c r="S4611" s="209"/>
      <c r="T4611" s="209"/>
    </row>
    <row r="4612" spans="1:20" ht="15" hidden="1" customHeight="1">
      <c r="A4612" s="468">
        <v>45474</v>
      </c>
      <c r="B4612" s="81" t="s">
        <v>3018</v>
      </c>
      <c r="C4612" s="208" t="s">
        <v>643</v>
      </c>
      <c r="D4612" s="211">
        <v>-60000</v>
      </c>
      <c r="E4612" s="212">
        <v>45474</v>
      </c>
      <c r="F4612" s="208" t="s">
        <v>130</v>
      </c>
      <c r="G4612" s="208" t="s">
        <v>257</v>
      </c>
      <c r="H4612" s="208" t="s">
        <v>1138</v>
      </c>
      <c r="I4612" s="208" t="s">
        <v>77</v>
      </c>
      <c r="J4612" s="209"/>
      <c r="K4612" s="209"/>
      <c r="L4612" s="209"/>
      <c r="M4612" s="209"/>
      <c r="N4612" s="209"/>
      <c r="O4612" s="209"/>
      <c r="P4612" s="209"/>
      <c r="Q4612" s="209"/>
      <c r="R4612" s="209"/>
      <c r="S4612" s="209"/>
      <c r="T4612" s="209"/>
    </row>
    <row r="4613" spans="1:20" ht="15" hidden="1" customHeight="1">
      <c r="A4613" s="468">
        <v>45474</v>
      </c>
      <c r="B4613" s="81" t="s">
        <v>3018</v>
      </c>
      <c r="C4613" s="208" t="s">
        <v>643</v>
      </c>
      <c r="D4613" s="211">
        <v>-196600</v>
      </c>
      <c r="E4613" s="212">
        <v>45474</v>
      </c>
      <c r="F4613" s="208" t="s">
        <v>130</v>
      </c>
      <c r="G4613" s="208" t="s">
        <v>257</v>
      </c>
      <c r="H4613" s="208" t="s">
        <v>1138</v>
      </c>
      <c r="I4613" s="208" t="s">
        <v>77</v>
      </c>
      <c r="J4613" s="209"/>
      <c r="K4613" s="209"/>
      <c r="L4613" s="209"/>
      <c r="M4613" s="209"/>
      <c r="N4613" s="209"/>
      <c r="O4613" s="209"/>
      <c r="P4613" s="209"/>
      <c r="Q4613" s="209"/>
      <c r="R4613" s="209"/>
      <c r="S4613" s="209"/>
      <c r="T4613" s="209"/>
    </row>
    <row r="4614" spans="1:20" ht="15" hidden="1" customHeight="1">
      <c r="A4614" s="468">
        <v>45480</v>
      </c>
      <c r="B4614" s="208" t="s">
        <v>3678</v>
      </c>
      <c r="C4614" s="208" t="s">
        <v>3331</v>
      </c>
      <c r="D4614" s="211">
        <v>-92000</v>
      </c>
      <c r="E4614" s="212">
        <v>45474</v>
      </c>
      <c r="F4614" s="208" t="s">
        <v>3679</v>
      </c>
      <c r="G4614" s="208"/>
      <c r="H4614" s="208"/>
      <c r="I4614" s="208"/>
      <c r="J4614" s="209"/>
      <c r="K4614" s="209"/>
      <c r="L4614" s="209"/>
      <c r="M4614" s="209"/>
      <c r="N4614" s="209"/>
      <c r="O4614" s="209"/>
      <c r="P4614" s="209"/>
      <c r="Q4614" s="209"/>
      <c r="R4614" s="209"/>
      <c r="S4614" s="209"/>
      <c r="T4614" s="209"/>
    </row>
    <row r="4615" spans="1:20" s="451" customFormat="1" ht="15" hidden="1" customHeight="1">
      <c r="A4615" s="468">
        <v>45502</v>
      </c>
      <c r="B4615" s="208" t="s">
        <v>3897</v>
      </c>
      <c r="C4615" s="208" t="s">
        <v>146</v>
      </c>
      <c r="D4615" s="211">
        <v>-85352</v>
      </c>
      <c r="E4615" s="212">
        <v>45474</v>
      </c>
      <c r="F4615" s="208" t="s">
        <v>110</v>
      </c>
      <c r="G4615" s="208" t="s">
        <v>2444</v>
      </c>
      <c r="H4615" s="208"/>
      <c r="I4615" s="208"/>
      <c r="J4615" s="209"/>
      <c r="K4615" s="209"/>
      <c r="L4615" s="209"/>
      <c r="M4615" s="209"/>
      <c r="N4615" s="209"/>
      <c r="O4615" s="209"/>
      <c r="P4615" s="209"/>
      <c r="Q4615" s="209"/>
      <c r="R4615" s="209"/>
      <c r="S4615" s="209"/>
      <c r="T4615" s="209"/>
    </row>
    <row r="4616" spans="1:20" ht="15" hidden="1" customHeight="1">
      <c r="A4616" s="468">
        <v>45502</v>
      </c>
      <c r="B4616" s="208" t="s">
        <v>3897</v>
      </c>
      <c r="C4616" s="208" t="s">
        <v>146</v>
      </c>
      <c r="D4616" s="211">
        <v>-93800</v>
      </c>
      <c r="E4616" s="212">
        <v>45474</v>
      </c>
      <c r="F4616" s="208" t="s">
        <v>110</v>
      </c>
      <c r="G4616" s="208" t="s">
        <v>2444</v>
      </c>
      <c r="H4616" s="208"/>
      <c r="I4616" s="208"/>
      <c r="J4616" s="209"/>
      <c r="K4616" s="209"/>
      <c r="L4616" s="209"/>
      <c r="M4616" s="209"/>
      <c r="N4616" s="209"/>
      <c r="O4616" s="209"/>
      <c r="P4616" s="209"/>
      <c r="Q4616" s="209"/>
      <c r="R4616" s="209"/>
      <c r="S4616" s="209"/>
      <c r="T4616" s="209"/>
    </row>
    <row r="4617" spans="1:20" ht="15" hidden="1" customHeight="1">
      <c r="A4617" s="468">
        <v>45502</v>
      </c>
      <c r="B4617" s="208" t="s">
        <v>3711</v>
      </c>
      <c r="C4617" s="208" t="s">
        <v>146</v>
      </c>
      <c r="D4617" s="211">
        <v>-38900</v>
      </c>
      <c r="E4617" s="212">
        <v>45474</v>
      </c>
      <c r="F4617" s="208" t="s">
        <v>110</v>
      </c>
      <c r="G4617" s="208" t="s">
        <v>2444</v>
      </c>
      <c r="H4617" s="208"/>
      <c r="I4617" s="208"/>
      <c r="J4617" s="209"/>
      <c r="K4617" s="209"/>
      <c r="L4617" s="209"/>
      <c r="M4617" s="209"/>
      <c r="N4617" s="209"/>
      <c r="O4617" s="209"/>
      <c r="P4617" s="209"/>
      <c r="Q4617" s="209"/>
      <c r="R4617" s="209"/>
      <c r="S4617" s="209"/>
      <c r="T4617" s="209"/>
    </row>
    <row r="4618" spans="1:20" ht="15" hidden="1" customHeight="1">
      <c r="A4618" s="468">
        <v>45502</v>
      </c>
      <c r="B4618" s="208" t="s">
        <v>3898</v>
      </c>
      <c r="C4618" s="208" t="s">
        <v>146</v>
      </c>
      <c r="D4618" s="211">
        <v>-28100</v>
      </c>
      <c r="E4618" s="212">
        <v>45474</v>
      </c>
      <c r="F4618" s="208" t="s">
        <v>130</v>
      </c>
      <c r="G4618" s="208" t="s">
        <v>130</v>
      </c>
      <c r="H4618" s="208" t="s">
        <v>138</v>
      </c>
      <c r="I4618" s="208"/>
      <c r="J4618" s="209"/>
      <c r="K4618" s="209"/>
      <c r="L4618" s="209"/>
      <c r="M4618" s="209"/>
      <c r="N4618" s="209"/>
      <c r="O4618" s="209"/>
      <c r="P4618" s="209"/>
      <c r="Q4618" s="209"/>
      <c r="R4618" s="209"/>
      <c r="S4618" s="209"/>
      <c r="T4618" s="209"/>
    </row>
    <row r="4619" spans="1:20" ht="15" hidden="1" customHeight="1">
      <c r="A4619" s="468">
        <v>45502</v>
      </c>
      <c r="B4619" s="208" t="s">
        <v>3899</v>
      </c>
      <c r="C4619" s="208" t="s">
        <v>146</v>
      </c>
      <c r="D4619" s="211">
        <v>-47600</v>
      </c>
      <c r="E4619" s="212">
        <v>45474</v>
      </c>
      <c r="F4619" s="208" t="s">
        <v>130</v>
      </c>
      <c r="G4619" s="208" t="s">
        <v>130</v>
      </c>
      <c r="H4619" s="208" t="s">
        <v>1156</v>
      </c>
      <c r="I4619" s="208"/>
      <c r="J4619" s="209"/>
      <c r="K4619" s="209"/>
      <c r="L4619" s="209"/>
      <c r="M4619" s="209"/>
      <c r="N4619" s="209"/>
      <c r="O4619" s="209"/>
      <c r="P4619" s="209"/>
      <c r="Q4619" s="209"/>
      <c r="R4619" s="209"/>
      <c r="S4619" s="209"/>
      <c r="T4619" s="209"/>
    </row>
    <row r="4620" spans="1:20" ht="15" hidden="1" customHeight="1">
      <c r="A4620" s="468">
        <v>45497</v>
      </c>
      <c r="B4620" s="208" t="s">
        <v>3900</v>
      </c>
      <c r="C4620" s="673" t="s">
        <v>146</v>
      </c>
      <c r="D4620" s="211">
        <v>-5960</v>
      </c>
      <c r="E4620" s="212">
        <v>45474</v>
      </c>
      <c r="F4620" s="208" t="s">
        <v>109</v>
      </c>
      <c r="G4620" s="654" t="s">
        <v>2585</v>
      </c>
      <c r="H4620" s="208" t="s">
        <v>175</v>
      </c>
      <c r="I4620" s="208" t="s">
        <v>173</v>
      </c>
      <c r="J4620" s="209"/>
      <c r="K4620" s="209"/>
      <c r="L4620" s="209"/>
      <c r="M4620" s="209"/>
      <c r="N4620" s="209"/>
      <c r="O4620" s="209"/>
      <c r="P4620" s="209"/>
      <c r="Q4620" s="209"/>
      <c r="R4620" s="209"/>
      <c r="S4620" s="209"/>
      <c r="T4620" s="209"/>
    </row>
    <row r="4621" spans="1:20" ht="15" hidden="1" customHeight="1">
      <c r="A4621" s="468">
        <v>45497</v>
      </c>
      <c r="B4621" s="208" t="s">
        <v>3901</v>
      </c>
      <c r="C4621" s="673" t="s">
        <v>146</v>
      </c>
      <c r="D4621" s="211">
        <v>-12000</v>
      </c>
      <c r="E4621" s="212">
        <v>45474</v>
      </c>
      <c r="F4621" s="208" t="s">
        <v>207</v>
      </c>
      <c r="G4621" s="208" t="s">
        <v>3838</v>
      </c>
      <c r="H4621" s="208" t="s">
        <v>175</v>
      </c>
      <c r="I4621" s="208" t="s">
        <v>173</v>
      </c>
      <c r="J4621" s="209"/>
      <c r="K4621" s="209"/>
      <c r="L4621" s="209"/>
      <c r="M4621" s="209"/>
      <c r="N4621" s="209"/>
      <c r="O4621" s="209"/>
      <c r="P4621" s="209"/>
      <c r="Q4621" s="209"/>
      <c r="R4621" s="209"/>
      <c r="S4621" s="209"/>
      <c r="T4621" s="209"/>
    </row>
    <row r="4622" spans="1:20" ht="15" hidden="1" customHeight="1">
      <c r="A4622" s="468">
        <v>45498</v>
      </c>
      <c r="B4622" s="208" t="s">
        <v>3902</v>
      </c>
      <c r="C4622" s="673" t="s">
        <v>146</v>
      </c>
      <c r="D4622" s="211">
        <v>-9000</v>
      </c>
      <c r="E4622" s="212">
        <v>45474</v>
      </c>
      <c r="F4622" s="208" t="s">
        <v>110</v>
      </c>
      <c r="G4622" s="208" t="s">
        <v>774</v>
      </c>
      <c r="H4622" s="208" t="s">
        <v>175</v>
      </c>
      <c r="I4622" s="208" t="s">
        <v>173</v>
      </c>
      <c r="J4622" s="209"/>
      <c r="K4622" s="209"/>
      <c r="L4622" s="209"/>
      <c r="M4622" s="209"/>
      <c r="N4622" s="209"/>
      <c r="O4622" s="209"/>
      <c r="P4622" s="209"/>
      <c r="Q4622" s="209"/>
      <c r="R4622" s="209"/>
      <c r="S4622" s="209"/>
      <c r="T4622" s="209"/>
    </row>
    <row r="4623" spans="1:20" ht="15" hidden="1" customHeight="1">
      <c r="A4623" s="468">
        <v>45498</v>
      </c>
      <c r="B4623" s="208" t="s">
        <v>3903</v>
      </c>
      <c r="C4623" s="673" t="s">
        <v>146</v>
      </c>
      <c r="D4623" s="211">
        <v>-120000</v>
      </c>
      <c r="E4623" s="212">
        <v>45474</v>
      </c>
      <c r="F4623" s="208" t="s">
        <v>109</v>
      </c>
      <c r="G4623" s="654" t="s">
        <v>2585</v>
      </c>
      <c r="H4623" s="208" t="s">
        <v>175</v>
      </c>
      <c r="I4623" s="208" t="s">
        <v>173</v>
      </c>
      <c r="J4623" s="209"/>
      <c r="K4623" s="209"/>
      <c r="L4623" s="209"/>
      <c r="M4623" s="209"/>
      <c r="N4623" s="209"/>
      <c r="O4623" s="209"/>
      <c r="P4623" s="209"/>
      <c r="Q4623" s="209"/>
      <c r="R4623" s="209"/>
      <c r="S4623" s="209"/>
      <c r="T4623" s="209"/>
    </row>
    <row r="4624" spans="1:20" ht="15" hidden="1" customHeight="1">
      <c r="A4624" s="468">
        <v>45498</v>
      </c>
      <c r="B4624" s="208" t="s">
        <v>3904</v>
      </c>
      <c r="C4624" s="673" t="s">
        <v>146</v>
      </c>
      <c r="D4624" s="211">
        <v>-128162</v>
      </c>
      <c r="E4624" s="212">
        <v>45474</v>
      </c>
      <c r="F4624" s="208" t="s">
        <v>110</v>
      </c>
      <c r="G4624" s="208" t="s">
        <v>774</v>
      </c>
      <c r="H4624" s="208" t="s">
        <v>175</v>
      </c>
      <c r="I4624" s="208" t="s">
        <v>173</v>
      </c>
      <c r="J4624" s="209"/>
      <c r="K4624" s="209"/>
      <c r="L4624" s="209"/>
      <c r="M4624" s="209"/>
      <c r="N4624" s="209"/>
      <c r="O4624" s="209"/>
      <c r="P4624" s="209"/>
      <c r="Q4624" s="209"/>
      <c r="R4624" s="209"/>
      <c r="S4624" s="209"/>
      <c r="T4624" s="209"/>
    </row>
    <row r="4625" spans="1:20" ht="15" hidden="1" customHeight="1">
      <c r="A4625" s="468">
        <v>45499</v>
      </c>
      <c r="B4625" s="208" t="s">
        <v>3905</v>
      </c>
      <c r="C4625" s="673" t="s">
        <v>146</v>
      </c>
      <c r="D4625" s="211">
        <v>-4500</v>
      </c>
      <c r="E4625" s="212">
        <v>45474</v>
      </c>
      <c r="F4625" s="208" t="s">
        <v>110</v>
      </c>
      <c r="G4625" s="208" t="s">
        <v>122</v>
      </c>
      <c r="H4625" s="208" t="s">
        <v>175</v>
      </c>
      <c r="I4625" s="208" t="s">
        <v>173</v>
      </c>
      <c r="J4625" s="209"/>
      <c r="K4625" s="209"/>
      <c r="L4625" s="209"/>
      <c r="M4625" s="209"/>
      <c r="N4625" s="209"/>
      <c r="O4625" s="209"/>
      <c r="P4625" s="209"/>
      <c r="Q4625" s="209"/>
      <c r="R4625" s="209"/>
      <c r="S4625" s="209"/>
      <c r="T4625" s="209"/>
    </row>
    <row r="4626" spans="1:20" ht="15" hidden="1" customHeight="1">
      <c r="A4626" s="468">
        <v>45499</v>
      </c>
      <c r="B4626" s="208" t="s">
        <v>3906</v>
      </c>
      <c r="C4626" s="673" t="s">
        <v>146</v>
      </c>
      <c r="D4626" s="211">
        <v>-69000</v>
      </c>
      <c r="E4626" s="212">
        <v>45474</v>
      </c>
      <c r="F4626" s="208" t="s">
        <v>110</v>
      </c>
      <c r="G4626" s="208" t="s">
        <v>122</v>
      </c>
      <c r="H4626" s="208" t="s">
        <v>175</v>
      </c>
      <c r="I4626" s="208" t="s">
        <v>173</v>
      </c>
      <c r="J4626" s="209"/>
      <c r="K4626" s="209"/>
      <c r="L4626" s="209"/>
      <c r="M4626" s="209"/>
      <c r="N4626" s="209"/>
      <c r="O4626" s="209"/>
      <c r="P4626" s="209"/>
      <c r="Q4626" s="209"/>
      <c r="R4626" s="209"/>
      <c r="S4626" s="209"/>
      <c r="T4626" s="209"/>
    </row>
    <row r="4627" spans="1:20" ht="15" hidden="1" customHeight="1">
      <c r="A4627" s="468">
        <v>45499</v>
      </c>
      <c r="B4627" s="208" t="s">
        <v>3907</v>
      </c>
      <c r="C4627" s="673" t="s">
        <v>146</v>
      </c>
      <c r="D4627" s="211">
        <v>-20000</v>
      </c>
      <c r="E4627" s="212">
        <v>45474</v>
      </c>
      <c r="F4627" s="208" t="s">
        <v>207</v>
      </c>
      <c r="G4627" s="208" t="s">
        <v>207</v>
      </c>
      <c r="H4627" s="208"/>
      <c r="I4627" s="208" t="s">
        <v>173</v>
      </c>
      <c r="J4627" s="209"/>
      <c r="K4627" s="209"/>
      <c r="L4627" s="209"/>
      <c r="M4627" s="209"/>
      <c r="N4627" s="209"/>
      <c r="O4627" s="209"/>
      <c r="P4627" s="209"/>
      <c r="Q4627" s="209"/>
      <c r="R4627" s="209"/>
      <c r="S4627" s="209"/>
      <c r="T4627" s="209"/>
    </row>
    <row r="4628" spans="1:20" ht="15" hidden="1" customHeight="1">
      <c r="A4628" s="468">
        <v>45499</v>
      </c>
      <c r="B4628" s="208" t="s">
        <v>3908</v>
      </c>
      <c r="C4628" s="673" t="s">
        <v>146</v>
      </c>
      <c r="D4628" s="211">
        <v>-20000</v>
      </c>
      <c r="E4628" s="212">
        <v>45474</v>
      </c>
      <c r="F4628" s="208" t="s">
        <v>207</v>
      </c>
      <c r="G4628" s="208" t="s">
        <v>207</v>
      </c>
      <c r="H4628" s="208"/>
      <c r="I4628" s="208" t="s">
        <v>173</v>
      </c>
      <c r="J4628" s="209"/>
      <c r="K4628" s="209"/>
      <c r="L4628" s="209"/>
      <c r="M4628" s="209"/>
      <c r="N4628" s="209"/>
      <c r="O4628" s="209"/>
      <c r="P4628" s="209"/>
      <c r="Q4628" s="209"/>
      <c r="R4628" s="209"/>
      <c r="S4628" s="209"/>
      <c r="T4628" s="209"/>
    </row>
    <row r="4629" spans="1:20" ht="15" hidden="1" customHeight="1">
      <c r="A4629" s="468">
        <v>45499</v>
      </c>
      <c r="B4629" s="208" t="s">
        <v>3909</v>
      </c>
      <c r="C4629" s="673" t="s">
        <v>146</v>
      </c>
      <c r="D4629" s="211">
        <v>-24000</v>
      </c>
      <c r="E4629" s="212">
        <v>45474</v>
      </c>
      <c r="F4629" s="208" t="s">
        <v>110</v>
      </c>
      <c r="G4629" s="590" t="s">
        <v>2444</v>
      </c>
      <c r="H4629" s="208"/>
      <c r="I4629" s="208" t="s">
        <v>173</v>
      </c>
      <c r="J4629" s="209"/>
      <c r="K4629" s="209"/>
      <c r="L4629" s="209"/>
      <c r="M4629" s="209"/>
      <c r="N4629" s="209"/>
      <c r="O4629" s="209"/>
      <c r="P4629" s="209"/>
      <c r="Q4629" s="209"/>
      <c r="R4629" s="209"/>
      <c r="S4629" s="209"/>
      <c r="T4629" s="209"/>
    </row>
    <row r="4630" spans="1:20" ht="15" hidden="1" customHeight="1">
      <c r="A4630" s="468">
        <v>45499</v>
      </c>
      <c r="B4630" s="208" t="s">
        <v>3910</v>
      </c>
      <c r="C4630" s="673" t="s">
        <v>146</v>
      </c>
      <c r="D4630" s="211">
        <v>-6500</v>
      </c>
      <c r="E4630" s="212">
        <v>45474</v>
      </c>
      <c r="F4630" s="208" t="s">
        <v>110</v>
      </c>
      <c r="G4630" s="208" t="s">
        <v>122</v>
      </c>
      <c r="H4630" s="208" t="s">
        <v>175</v>
      </c>
      <c r="I4630" s="208" t="s">
        <v>173</v>
      </c>
      <c r="J4630" s="209"/>
      <c r="K4630" s="209"/>
      <c r="L4630" s="209"/>
      <c r="M4630" s="209"/>
      <c r="N4630" s="209"/>
      <c r="O4630" s="209"/>
      <c r="P4630" s="209"/>
      <c r="Q4630" s="209"/>
      <c r="R4630" s="209"/>
      <c r="S4630" s="209"/>
      <c r="T4630" s="209"/>
    </row>
    <row r="4631" spans="1:20" ht="15" hidden="1" customHeight="1">
      <c r="A4631" s="468">
        <v>45499</v>
      </c>
      <c r="B4631" s="208" t="s">
        <v>3911</v>
      </c>
      <c r="C4631" s="673" t="s">
        <v>146</v>
      </c>
      <c r="D4631" s="211">
        <v>-29999</v>
      </c>
      <c r="E4631" s="212">
        <v>45474</v>
      </c>
      <c r="F4631" s="208" t="s">
        <v>110</v>
      </c>
      <c r="G4631" s="208" t="s">
        <v>774</v>
      </c>
      <c r="H4631" s="208" t="s">
        <v>175</v>
      </c>
      <c r="I4631" s="208" t="s">
        <v>173</v>
      </c>
      <c r="J4631" s="209"/>
      <c r="K4631" s="209"/>
      <c r="L4631" s="209"/>
      <c r="M4631" s="209"/>
      <c r="N4631" s="209"/>
      <c r="O4631" s="209"/>
      <c r="P4631" s="209"/>
      <c r="Q4631" s="209"/>
      <c r="R4631" s="209"/>
      <c r="S4631" s="209"/>
      <c r="T4631" s="209"/>
    </row>
    <row r="4632" spans="1:20" ht="15" hidden="1" customHeight="1">
      <c r="A4632" s="468">
        <v>45499</v>
      </c>
      <c r="B4632" s="208" t="s">
        <v>3912</v>
      </c>
      <c r="C4632" s="673" t="s">
        <v>146</v>
      </c>
      <c r="D4632" s="211">
        <v>-18599</v>
      </c>
      <c r="E4632" s="212">
        <v>45474</v>
      </c>
      <c r="F4632" s="208" t="s">
        <v>110</v>
      </c>
      <c r="G4632" s="208" t="s">
        <v>122</v>
      </c>
      <c r="H4632" s="208" t="s">
        <v>175</v>
      </c>
      <c r="I4632" s="208" t="s">
        <v>173</v>
      </c>
      <c r="J4632" s="209"/>
      <c r="K4632" s="209"/>
      <c r="L4632" s="209"/>
      <c r="M4632" s="209"/>
      <c r="N4632" s="209"/>
      <c r="O4632" s="209"/>
      <c r="P4632" s="209"/>
      <c r="Q4632" s="209"/>
      <c r="R4632" s="209"/>
      <c r="S4632" s="209"/>
      <c r="T4632" s="209"/>
    </row>
    <row r="4633" spans="1:20" ht="15" hidden="1" customHeight="1">
      <c r="A4633" s="468">
        <v>45499</v>
      </c>
      <c r="B4633" s="208" t="s">
        <v>3913</v>
      </c>
      <c r="C4633" s="673" t="s">
        <v>146</v>
      </c>
      <c r="D4633" s="211">
        <v>-6000</v>
      </c>
      <c r="E4633" s="212">
        <v>45474</v>
      </c>
      <c r="F4633" s="208" t="s">
        <v>110</v>
      </c>
      <c r="G4633" s="590" t="s">
        <v>2444</v>
      </c>
      <c r="H4633" s="208"/>
      <c r="I4633" s="208" t="s">
        <v>173</v>
      </c>
      <c r="J4633" s="209"/>
      <c r="K4633" s="209"/>
      <c r="L4633" s="209"/>
      <c r="M4633" s="209"/>
      <c r="N4633" s="209"/>
      <c r="O4633" s="209"/>
      <c r="P4633" s="209"/>
      <c r="Q4633" s="209"/>
      <c r="R4633" s="209"/>
      <c r="S4633" s="209"/>
      <c r="T4633" s="209"/>
    </row>
    <row r="4634" spans="1:20" s="451" customFormat="1" ht="15" hidden="1" customHeight="1">
      <c r="A4634" s="468">
        <v>45499</v>
      </c>
      <c r="B4634" s="208" t="s">
        <v>3914</v>
      </c>
      <c r="C4634" s="208" t="s">
        <v>27</v>
      </c>
      <c r="D4634" s="211">
        <v>-473395</v>
      </c>
      <c r="E4634" s="212">
        <v>45474</v>
      </c>
      <c r="F4634" s="208" t="s">
        <v>109</v>
      </c>
      <c r="G4634" s="654" t="s">
        <v>2585</v>
      </c>
      <c r="H4634" s="208" t="s">
        <v>175</v>
      </c>
      <c r="I4634" s="208"/>
      <c r="J4634" s="209"/>
      <c r="K4634" s="209"/>
      <c r="L4634" s="209"/>
      <c r="M4634" s="209"/>
      <c r="N4634" s="209"/>
      <c r="O4634" s="209"/>
      <c r="P4634" s="209"/>
      <c r="Q4634" s="209"/>
      <c r="R4634" s="209"/>
      <c r="S4634" s="209"/>
      <c r="T4634" s="209"/>
    </row>
    <row r="4635" spans="1:20" ht="15" hidden="1" customHeight="1">
      <c r="A4635" s="468">
        <v>45499</v>
      </c>
      <c r="B4635" s="208" t="s">
        <v>3915</v>
      </c>
      <c r="C4635" s="208" t="s">
        <v>27</v>
      </c>
      <c r="D4635" s="211">
        <v>-2691887</v>
      </c>
      <c r="E4635" s="212">
        <v>45474</v>
      </c>
      <c r="F4635" s="201" t="s">
        <v>110</v>
      </c>
      <c r="G4635" s="590" t="s">
        <v>2444</v>
      </c>
      <c r="H4635" s="208"/>
      <c r="I4635" s="208"/>
      <c r="J4635" s="209"/>
      <c r="K4635" s="209"/>
      <c r="L4635" s="209"/>
      <c r="M4635" s="209"/>
      <c r="N4635" s="209"/>
      <c r="O4635" s="209"/>
      <c r="P4635" s="209"/>
      <c r="Q4635" s="209"/>
      <c r="R4635" s="209"/>
      <c r="S4635" s="209"/>
      <c r="T4635" s="209"/>
    </row>
    <row r="4636" spans="1:20" ht="15" hidden="1" customHeight="1">
      <c r="A4636" s="468">
        <v>45499</v>
      </c>
      <c r="B4636" s="208" t="s">
        <v>3916</v>
      </c>
      <c r="C4636" s="208" t="s">
        <v>27</v>
      </c>
      <c r="D4636" s="211">
        <v>-775166</v>
      </c>
      <c r="E4636" s="212">
        <v>45474</v>
      </c>
      <c r="F4636" s="201" t="s">
        <v>110</v>
      </c>
      <c r="G4636" s="208" t="s">
        <v>774</v>
      </c>
      <c r="H4636" s="208" t="s">
        <v>175</v>
      </c>
      <c r="I4636" s="208"/>
      <c r="J4636" s="209"/>
      <c r="K4636" s="209"/>
      <c r="L4636" s="209"/>
      <c r="M4636" s="209"/>
      <c r="N4636" s="209"/>
      <c r="O4636" s="209"/>
      <c r="P4636" s="209"/>
      <c r="Q4636" s="209"/>
      <c r="R4636" s="209"/>
      <c r="S4636" s="209"/>
      <c r="T4636" s="209"/>
    </row>
    <row r="4637" spans="1:20" ht="15" hidden="1" customHeight="1">
      <c r="A4637" s="468">
        <v>45499</v>
      </c>
      <c r="B4637" s="208" t="s">
        <v>3917</v>
      </c>
      <c r="C4637" s="208" t="s">
        <v>27</v>
      </c>
      <c r="D4637" s="211">
        <v>-999799</v>
      </c>
      <c r="E4637" s="212">
        <v>45474</v>
      </c>
      <c r="F4637" s="208" t="s">
        <v>109</v>
      </c>
      <c r="G4637" s="208" t="s">
        <v>3245</v>
      </c>
      <c r="H4637" s="208" t="s">
        <v>175</v>
      </c>
      <c r="I4637" s="208"/>
      <c r="J4637" s="209"/>
      <c r="K4637" s="209"/>
      <c r="L4637" s="209"/>
      <c r="M4637" s="209"/>
      <c r="N4637" s="209"/>
      <c r="O4637" s="209"/>
      <c r="P4637" s="209"/>
      <c r="Q4637" s="209"/>
      <c r="R4637" s="209"/>
      <c r="S4637" s="209"/>
      <c r="T4637" s="209"/>
    </row>
    <row r="4638" spans="1:20" ht="15" hidden="1" customHeight="1">
      <c r="A4638" s="468">
        <v>45499</v>
      </c>
      <c r="B4638" s="208" t="s">
        <v>2442</v>
      </c>
      <c r="C4638" s="208" t="s">
        <v>27</v>
      </c>
      <c r="D4638" s="211">
        <v>-366766</v>
      </c>
      <c r="E4638" s="212">
        <v>45474</v>
      </c>
      <c r="F4638" s="208" t="s">
        <v>109</v>
      </c>
      <c r="G4638" s="208" t="s">
        <v>3644</v>
      </c>
      <c r="H4638" s="208" t="s">
        <v>275</v>
      </c>
      <c r="I4638" s="208"/>
      <c r="J4638" s="209"/>
      <c r="K4638" s="209"/>
      <c r="L4638" s="209"/>
      <c r="M4638" s="209"/>
      <c r="N4638" s="209"/>
      <c r="O4638" s="209"/>
      <c r="P4638" s="209"/>
      <c r="Q4638" s="209"/>
      <c r="R4638" s="209"/>
      <c r="S4638" s="209"/>
      <c r="T4638" s="209"/>
    </row>
    <row r="4639" spans="1:20" ht="15" hidden="1" customHeight="1">
      <c r="A4639" s="468">
        <v>45499</v>
      </c>
      <c r="B4639" s="208" t="s">
        <v>3918</v>
      </c>
      <c r="C4639" s="208" t="s">
        <v>27</v>
      </c>
      <c r="D4639" s="718">
        <v>-13854720</v>
      </c>
      <c r="E4639" s="212">
        <v>45474</v>
      </c>
      <c r="F4639" s="208" t="s">
        <v>109</v>
      </c>
      <c r="G4639" s="201" t="s">
        <v>581</v>
      </c>
      <c r="H4639" s="208"/>
      <c r="I4639" s="208"/>
      <c r="J4639" s="209"/>
      <c r="K4639" s="209"/>
      <c r="L4639" s="209"/>
      <c r="M4639" s="209"/>
      <c r="N4639" s="209"/>
      <c r="O4639" s="209"/>
      <c r="P4639" s="209"/>
      <c r="Q4639" s="209"/>
      <c r="R4639" s="209"/>
      <c r="S4639" s="209"/>
      <c r="T4639" s="209"/>
    </row>
    <row r="4640" spans="1:20" ht="15" hidden="1" customHeight="1">
      <c r="A4640" s="468">
        <v>45502</v>
      </c>
      <c r="B4640" s="208" t="s">
        <v>3919</v>
      </c>
      <c r="C4640" s="208" t="s">
        <v>27</v>
      </c>
      <c r="D4640" s="211">
        <v>-20900</v>
      </c>
      <c r="E4640" s="212">
        <v>45474</v>
      </c>
      <c r="F4640" s="208" t="s">
        <v>109</v>
      </c>
      <c r="G4640" s="208" t="s">
        <v>3644</v>
      </c>
      <c r="H4640" s="208" t="s">
        <v>3890</v>
      </c>
      <c r="I4640" s="208"/>
      <c r="J4640" s="209"/>
      <c r="K4640" s="209"/>
      <c r="L4640" s="209"/>
      <c r="M4640" s="209"/>
      <c r="N4640" s="209"/>
      <c r="O4640" s="209"/>
      <c r="P4640" s="209"/>
      <c r="Q4640" s="209"/>
      <c r="R4640" s="209"/>
      <c r="S4640" s="209"/>
      <c r="T4640" s="209"/>
    </row>
    <row r="4641" spans="1:20" ht="15" hidden="1" customHeight="1">
      <c r="A4641" s="468">
        <v>45502</v>
      </c>
      <c r="B4641" s="208" t="s">
        <v>3919</v>
      </c>
      <c r="C4641" s="208" t="s">
        <v>27</v>
      </c>
      <c r="D4641" s="211">
        <v>-20900</v>
      </c>
      <c r="E4641" s="212">
        <v>45474</v>
      </c>
      <c r="F4641" s="208" t="s">
        <v>109</v>
      </c>
      <c r="G4641" s="208" t="s">
        <v>3644</v>
      </c>
      <c r="H4641" s="208" t="s">
        <v>3890</v>
      </c>
      <c r="I4641" s="208"/>
      <c r="J4641" s="209"/>
      <c r="K4641" s="209"/>
      <c r="L4641" s="209"/>
      <c r="M4641" s="209"/>
      <c r="N4641" s="209"/>
      <c r="O4641" s="209"/>
      <c r="P4641" s="209"/>
      <c r="Q4641" s="209"/>
      <c r="R4641" s="209"/>
      <c r="S4641" s="209"/>
      <c r="T4641" s="209"/>
    </row>
    <row r="4642" spans="1:20" ht="15" hidden="1" customHeight="1">
      <c r="A4642" s="468">
        <v>45502</v>
      </c>
      <c r="B4642" s="208" t="s">
        <v>3920</v>
      </c>
      <c r="C4642" s="208" t="s">
        <v>27</v>
      </c>
      <c r="D4642" s="211">
        <v>-801584</v>
      </c>
      <c r="E4642" s="212">
        <v>45474</v>
      </c>
      <c r="F4642" s="208" t="s">
        <v>130</v>
      </c>
      <c r="G4642" s="208" t="s">
        <v>130</v>
      </c>
      <c r="H4642" s="208" t="s">
        <v>182</v>
      </c>
      <c r="I4642" s="208"/>
      <c r="J4642" s="209"/>
      <c r="K4642" s="209"/>
      <c r="L4642" s="209"/>
      <c r="M4642" s="209"/>
      <c r="N4642" s="209"/>
      <c r="O4642" s="209"/>
      <c r="P4642" s="209"/>
      <c r="Q4642" s="209"/>
      <c r="R4642" s="209"/>
      <c r="S4642" s="209"/>
      <c r="T4642" s="209"/>
    </row>
    <row r="4643" spans="1:20" ht="15" hidden="1" customHeight="1">
      <c r="A4643" s="468">
        <v>45499</v>
      </c>
      <c r="B4643" s="208" t="s">
        <v>3921</v>
      </c>
      <c r="C4643" s="208" t="s">
        <v>27</v>
      </c>
      <c r="D4643" s="211">
        <v>-100000</v>
      </c>
      <c r="E4643" s="212">
        <v>45474</v>
      </c>
      <c r="F4643" s="208" t="s">
        <v>130</v>
      </c>
      <c r="G4643" s="208" t="s">
        <v>130</v>
      </c>
      <c r="H4643" s="208" t="s">
        <v>2444</v>
      </c>
      <c r="I4643" s="208"/>
      <c r="J4643" s="209"/>
      <c r="K4643" s="209"/>
      <c r="L4643" s="209"/>
      <c r="M4643" s="209"/>
      <c r="N4643" s="209"/>
      <c r="O4643" s="209"/>
      <c r="P4643" s="209"/>
      <c r="Q4643" s="209"/>
      <c r="R4643" s="209"/>
      <c r="S4643" s="209"/>
      <c r="T4643" s="209"/>
    </row>
    <row r="4644" spans="1:20" ht="15" hidden="1" customHeight="1">
      <c r="A4644" s="468">
        <v>45503</v>
      </c>
      <c r="B4644" s="208" t="s">
        <v>3922</v>
      </c>
      <c r="C4644" s="208" t="s">
        <v>27</v>
      </c>
      <c r="D4644" s="718">
        <v>-16000</v>
      </c>
      <c r="E4644" s="212">
        <v>45474</v>
      </c>
      <c r="F4644" s="208" t="s">
        <v>109</v>
      </c>
      <c r="G4644" s="201" t="s">
        <v>581</v>
      </c>
      <c r="H4644" s="208"/>
      <c r="I4644" s="208"/>
      <c r="J4644" s="209"/>
      <c r="K4644" s="209"/>
      <c r="L4644" s="209"/>
      <c r="M4644" s="209"/>
      <c r="N4644" s="209"/>
      <c r="O4644" s="209"/>
      <c r="P4644" s="209"/>
      <c r="Q4644" s="209"/>
      <c r="R4644" s="209"/>
      <c r="S4644" s="209"/>
      <c r="T4644" s="209"/>
    </row>
    <row r="4645" spans="1:20" ht="15" hidden="1" customHeight="1">
      <c r="A4645" s="468">
        <v>45504</v>
      </c>
      <c r="B4645" s="208" t="s">
        <v>3923</v>
      </c>
      <c r="C4645" s="208" t="s">
        <v>27</v>
      </c>
      <c r="D4645" s="211">
        <v>-1124000</v>
      </c>
      <c r="E4645" s="212">
        <v>45474</v>
      </c>
      <c r="F4645" s="201" t="s">
        <v>110</v>
      </c>
      <c r="G4645" s="208" t="s">
        <v>2444</v>
      </c>
      <c r="H4645" s="208"/>
      <c r="I4645" s="208"/>
      <c r="J4645" s="209"/>
      <c r="K4645" s="209"/>
      <c r="L4645" s="209"/>
      <c r="M4645" s="209"/>
      <c r="N4645" s="209"/>
      <c r="O4645" s="209"/>
      <c r="P4645" s="209"/>
      <c r="Q4645" s="209"/>
      <c r="R4645" s="209"/>
      <c r="S4645" s="209"/>
      <c r="T4645" s="209"/>
    </row>
    <row r="4646" spans="1:20" ht="15" hidden="1" customHeight="1">
      <c r="A4646" s="468">
        <v>45504</v>
      </c>
      <c r="B4646" s="208" t="s">
        <v>3924</v>
      </c>
      <c r="C4646" s="208" t="s">
        <v>27</v>
      </c>
      <c r="D4646" s="718">
        <v>-1000000</v>
      </c>
      <c r="E4646" s="212">
        <v>45474</v>
      </c>
      <c r="F4646" s="208" t="s">
        <v>109</v>
      </c>
      <c r="G4646" s="201" t="s">
        <v>581</v>
      </c>
      <c r="H4646" s="208"/>
      <c r="I4646" s="208"/>
      <c r="J4646" s="209"/>
      <c r="K4646" s="209"/>
      <c r="L4646" s="209"/>
      <c r="M4646" s="209"/>
      <c r="N4646" s="209"/>
      <c r="O4646" s="209"/>
      <c r="P4646" s="209"/>
      <c r="Q4646" s="209"/>
      <c r="R4646" s="209"/>
      <c r="S4646" s="209"/>
      <c r="T4646" s="209"/>
    </row>
    <row r="4647" spans="1:20" ht="15" hidden="1" customHeight="1">
      <c r="A4647" s="468">
        <v>45503</v>
      </c>
      <c r="B4647" s="208" t="s">
        <v>3925</v>
      </c>
      <c r="C4647" s="208" t="s">
        <v>27</v>
      </c>
      <c r="D4647" s="526">
        <v>-84490</v>
      </c>
      <c r="E4647" s="212">
        <v>45474</v>
      </c>
      <c r="F4647" s="208" t="s">
        <v>130</v>
      </c>
      <c r="G4647" s="208" t="s">
        <v>130</v>
      </c>
      <c r="H4647" s="208" t="s">
        <v>1156</v>
      </c>
      <c r="I4647" s="208"/>
      <c r="J4647" s="209"/>
      <c r="K4647" s="209"/>
      <c r="L4647" s="209"/>
      <c r="M4647" s="209"/>
      <c r="N4647" s="209"/>
      <c r="O4647" s="209"/>
      <c r="P4647" s="209"/>
      <c r="Q4647" s="209"/>
      <c r="R4647" s="209"/>
      <c r="S4647" s="209"/>
      <c r="T4647" s="209"/>
    </row>
    <row r="4648" spans="1:20" ht="15" hidden="1" customHeight="1">
      <c r="A4648" s="468">
        <v>45503</v>
      </c>
      <c r="B4648" s="208" t="s">
        <v>3926</v>
      </c>
      <c r="C4648" s="208" t="s">
        <v>27</v>
      </c>
      <c r="D4648" s="211">
        <v>-216800</v>
      </c>
      <c r="E4648" s="212">
        <v>45474</v>
      </c>
      <c r="F4648" s="208" t="s">
        <v>109</v>
      </c>
      <c r="G4648" s="654" t="s">
        <v>2585</v>
      </c>
      <c r="H4648" s="208" t="s">
        <v>175</v>
      </c>
      <c r="I4648" s="208"/>
      <c r="J4648" s="209"/>
      <c r="K4648" s="209"/>
      <c r="L4648" s="209"/>
      <c r="M4648" s="209"/>
      <c r="N4648" s="209"/>
      <c r="O4648" s="209"/>
      <c r="P4648" s="209"/>
      <c r="Q4648" s="209"/>
      <c r="R4648" s="209"/>
      <c r="S4648" s="209"/>
      <c r="T4648" s="209"/>
    </row>
    <row r="4649" spans="1:20" ht="15" hidden="1" customHeight="1">
      <c r="A4649" s="468">
        <v>45504</v>
      </c>
      <c r="B4649" s="208" t="s">
        <v>2970</v>
      </c>
      <c r="C4649" s="208" t="s">
        <v>27</v>
      </c>
      <c r="D4649" s="211">
        <v>-225000</v>
      </c>
      <c r="E4649" s="212">
        <v>45474</v>
      </c>
      <c r="F4649" s="208" t="s">
        <v>109</v>
      </c>
      <c r="G4649" s="654" t="s">
        <v>2585</v>
      </c>
      <c r="H4649" s="208" t="s">
        <v>175</v>
      </c>
      <c r="I4649" s="208"/>
      <c r="J4649" s="209"/>
      <c r="K4649" s="209"/>
      <c r="L4649" s="209"/>
      <c r="M4649" s="209"/>
      <c r="N4649" s="209"/>
      <c r="O4649" s="209"/>
      <c r="P4649" s="209"/>
      <c r="Q4649" s="209"/>
      <c r="R4649" s="209"/>
      <c r="S4649" s="209"/>
      <c r="T4649" s="209"/>
    </row>
    <row r="4650" spans="1:20" ht="15" hidden="1" customHeight="1">
      <c r="A4650" s="468">
        <v>45504</v>
      </c>
      <c r="B4650" s="208" t="s">
        <v>3927</v>
      </c>
      <c r="C4650" s="208" t="s">
        <v>27</v>
      </c>
      <c r="D4650" s="211">
        <v>-500000</v>
      </c>
      <c r="E4650" s="212">
        <v>45474</v>
      </c>
      <c r="F4650" s="208" t="s">
        <v>130</v>
      </c>
      <c r="G4650" s="208" t="s">
        <v>257</v>
      </c>
      <c r="H4650" s="208" t="s">
        <v>138</v>
      </c>
      <c r="I4650" s="208"/>
      <c r="J4650" s="209"/>
      <c r="K4650" s="209"/>
      <c r="L4650" s="209"/>
      <c r="M4650" s="209"/>
      <c r="N4650" s="209"/>
      <c r="O4650" s="209"/>
      <c r="P4650" s="209"/>
      <c r="Q4650" s="209"/>
      <c r="R4650" s="209"/>
      <c r="S4650" s="209"/>
      <c r="T4650" s="209"/>
    </row>
    <row r="4651" spans="1:20" ht="15" hidden="1" customHeight="1">
      <c r="A4651" s="468">
        <v>45504</v>
      </c>
      <c r="B4651" s="208" t="s">
        <v>3928</v>
      </c>
      <c r="C4651" s="208" t="s">
        <v>27</v>
      </c>
      <c r="D4651" s="211">
        <v>-590400</v>
      </c>
      <c r="E4651" s="212">
        <v>45474</v>
      </c>
      <c r="F4651" s="208" t="s">
        <v>109</v>
      </c>
      <c r="G4651" s="654" t="s">
        <v>2585</v>
      </c>
      <c r="H4651" s="208" t="s">
        <v>138</v>
      </c>
      <c r="I4651" s="208"/>
      <c r="J4651" s="209"/>
      <c r="K4651" s="209"/>
      <c r="L4651" s="209"/>
      <c r="M4651" s="209"/>
      <c r="N4651" s="209"/>
      <c r="O4651" s="209"/>
      <c r="P4651" s="209"/>
      <c r="Q4651" s="209"/>
      <c r="R4651" s="209"/>
      <c r="S4651" s="209"/>
      <c r="T4651" s="209"/>
    </row>
    <row r="4652" spans="1:20" ht="15" hidden="1" customHeight="1">
      <c r="A4652" s="468">
        <v>45504</v>
      </c>
      <c r="B4652" s="208" t="s">
        <v>3929</v>
      </c>
      <c r="C4652" s="208" t="s">
        <v>27</v>
      </c>
      <c r="D4652" s="211">
        <v>-4832000</v>
      </c>
      <c r="E4652" s="212">
        <v>45474</v>
      </c>
      <c r="F4652" s="208" t="s">
        <v>109</v>
      </c>
      <c r="G4652" s="208" t="s">
        <v>3644</v>
      </c>
      <c r="H4652" s="208" t="s">
        <v>3652</v>
      </c>
      <c r="I4652" s="208"/>
      <c r="J4652" s="209"/>
      <c r="K4652" s="209"/>
      <c r="L4652" s="209"/>
      <c r="M4652" s="209"/>
      <c r="N4652" s="209"/>
      <c r="O4652" s="209"/>
      <c r="P4652" s="209"/>
      <c r="Q4652" s="209"/>
      <c r="R4652" s="209"/>
      <c r="S4652" s="209"/>
      <c r="T4652" s="209"/>
    </row>
    <row r="4653" spans="1:20" ht="15" hidden="1" customHeight="1">
      <c r="A4653" s="468">
        <v>45504</v>
      </c>
      <c r="B4653" s="208" t="s">
        <v>3930</v>
      </c>
      <c r="C4653" s="208" t="s">
        <v>27</v>
      </c>
      <c r="D4653" s="211">
        <v>-300000</v>
      </c>
      <c r="E4653" s="212">
        <v>45474</v>
      </c>
      <c r="F4653" s="208" t="s">
        <v>130</v>
      </c>
      <c r="G4653" s="208" t="s">
        <v>130</v>
      </c>
      <c r="H4653" s="208" t="s">
        <v>2444</v>
      </c>
      <c r="I4653" s="208"/>
      <c r="J4653" s="209"/>
      <c r="K4653" s="209"/>
      <c r="L4653" s="209"/>
      <c r="M4653" s="209"/>
      <c r="N4653" s="209"/>
      <c r="O4653" s="209"/>
      <c r="P4653" s="209"/>
      <c r="Q4653" s="209"/>
      <c r="R4653" s="209"/>
      <c r="S4653" s="209"/>
      <c r="T4653" s="209"/>
    </row>
    <row r="4654" spans="1:20" ht="15" hidden="1" customHeight="1">
      <c r="A4654" s="468">
        <v>45504</v>
      </c>
      <c r="B4654" s="208" t="s">
        <v>3931</v>
      </c>
      <c r="C4654" s="208" t="s">
        <v>27</v>
      </c>
      <c r="D4654" s="211">
        <v>-277168</v>
      </c>
      <c r="E4654" s="212">
        <v>45474</v>
      </c>
      <c r="F4654" s="208" t="s">
        <v>109</v>
      </c>
      <c r="G4654" s="208" t="s">
        <v>3529</v>
      </c>
      <c r="H4654" s="208" t="s">
        <v>1463</v>
      </c>
      <c r="I4654" s="208"/>
      <c r="J4654" s="209"/>
      <c r="K4654" s="209"/>
      <c r="L4654" s="209"/>
      <c r="M4654" s="209"/>
      <c r="N4654" s="209"/>
      <c r="O4654" s="209"/>
      <c r="P4654" s="209"/>
      <c r="Q4654" s="209"/>
      <c r="R4654" s="209"/>
      <c r="S4654" s="209"/>
      <c r="T4654" s="209"/>
    </row>
    <row r="4655" spans="1:20" ht="15" hidden="1" customHeight="1">
      <c r="A4655" s="468">
        <v>45504</v>
      </c>
      <c r="B4655" s="208" t="s">
        <v>3932</v>
      </c>
      <c r="C4655" s="208" t="s">
        <v>27</v>
      </c>
      <c r="D4655" s="718">
        <v>-250000</v>
      </c>
      <c r="E4655" s="212">
        <v>45474</v>
      </c>
      <c r="F4655" s="208" t="s">
        <v>109</v>
      </c>
      <c r="G4655" s="201" t="s">
        <v>581</v>
      </c>
      <c r="H4655" s="208"/>
      <c r="I4655" s="208"/>
      <c r="J4655" s="209"/>
      <c r="K4655" s="209"/>
      <c r="L4655" s="209"/>
      <c r="M4655" s="209"/>
      <c r="N4655" s="209"/>
      <c r="O4655" s="209"/>
      <c r="P4655" s="209"/>
      <c r="Q4655" s="209"/>
      <c r="R4655" s="209"/>
      <c r="S4655" s="209"/>
      <c r="T4655" s="209"/>
    </row>
    <row r="4656" spans="1:20" ht="15" hidden="1" customHeight="1">
      <c r="A4656" s="468">
        <v>45504</v>
      </c>
      <c r="B4656" s="208" t="s">
        <v>3933</v>
      </c>
      <c r="C4656" s="208" t="s">
        <v>27</v>
      </c>
      <c r="D4656" s="211">
        <v>-2450000</v>
      </c>
      <c r="E4656" s="212">
        <v>45474</v>
      </c>
      <c r="F4656" s="208" t="s">
        <v>130</v>
      </c>
      <c r="G4656" s="208" t="s">
        <v>130</v>
      </c>
      <c r="H4656" s="208" t="s">
        <v>182</v>
      </c>
      <c r="I4656" s="208"/>
      <c r="J4656" s="209"/>
      <c r="K4656" s="209"/>
      <c r="L4656" s="209"/>
      <c r="M4656" s="209"/>
      <c r="N4656" s="209"/>
      <c r="O4656" s="209"/>
      <c r="P4656" s="209"/>
      <c r="Q4656" s="209"/>
      <c r="R4656" s="209"/>
      <c r="S4656" s="209"/>
      <c r="T4656" s="209"/>
    </row>
    <row r="4657" spans="1:20" ht="15" hidden="1" customHeight="1">
      <c r="A4657" s="468">
        <v>45504</v>
      </c>
      <c r="B4657" s="208" t="s">
        <v>3934</v>
      </c>
      <c r="C4657" s="208" t="s">
        <v>27</v>
      </c>
      <c r="D4657" s="211">
        <v>-800000</v>
      </c>
      <c r="E4657" s="212">
        <v>45474</v>
      </c>
      <c r="F4657" s="208" t="s">
        <v>109</v>
      </c>
      <c r="G4657" s="654" t="s">
        <v>2585</v>
      </c>
      <c r="H4657" s="208" t="s">
        <v>147</v>
      </c>
      <c r="I4657" s="208"/>
      <c r="J4657" s="209"/>
      <c r="K4657" s="209"/>
      <c r="L4657" s="209"/>
      <c r="M4657" s="209"/>
      <c r="N4657" s="209"/>
      <c r="O4657" s="209"/>
      <c r="P4657" s="209"/>
      <c r="Q4657" s="209"/>
      <c r="R4657" s="209"/>
      <c r="S4657" s="209"/>
      <c r="T4657" s="209"/>
    </row>
    <row r="4658" spans="1:20" ht="15" hidden="1" customHeight="1">
      <c r="A4658" s="468">
        <v>45504</v>
      </c>
      <c r="B4658" s="208" t="s">
        <v>3935</v>
      </c>
      <c r="C4658" s="208" t="s">
        <v>27</v>
      </c>
      <c r="D4658" s="211">
        <v>-20900</v>
      </c>
      <c r="E4658" s="212">
        <v>45474</v>
      </c>
      <c r="F4658" s="208" t="s">
        <v>109</v>
      </c>
      <c r="G4658" s="208" t="s">
        <v>3644</v>
      </c>
      <c r="H4658" s="208" t="s">
        <v>3890</v>
      </c>
      <c r="I4658" s="208"/>
      <c r="J4658" s="209"/>
      <c r="K4658" s="209"/>
      <c r="L4658" s="209"/>
      <c r="M4658" s="209"/>
      <c r="N4658" s="209"/>
      <c r="O4658" s="209"/>
      <c r="P4658" s="209"/>
      <c r="Q4658" s="209"/>
      <c r="R4658" s="209"/>
      <c r="S4658" s="209"/>
      <c r="T4658" s="209"/>
    </row>
    <row r="4659" spans="1:20" ht="15" hidden="1" customHeight="1">
      <c r="A4659" s="468">
        <v>45504</v>
      </c>
      <c r="B4659" s="208" t="s">
        <v>3936</v>
      </c>
      <c r="C4659" s="208" t="s">
        <v>27</v>
      </c>
      <c r="D4659" s="211">
        <v>-1518000</v>
      </c>
      <c r="E4659" s="212">
        <v>45474</v>
      </c>
      <c r="F4659" s="201" t="s">
        <v>110</v>
      </c>
      <c r="G4659" s="658" t="s">
        <v>3245</v>
      </c>
      <c r="H4659" s="208" t="s">
        <v>508</v>
      </c>
      <c r="I4659" s="208"/>
      <c r="J4659" s="209"/>
      <c r="K4659" s="209"/>
      <c r="L4659" s="209"/>
      <c r="M4659" s="209"/>
      <c r="N4659" s="209"/>
      <c r="O4659" s="209"/>
      <c r="P4659" s="209"/>
      <c r="Q4659" s="209"/>
      <c r="R4659" s="209"/>
      <c r="S4659" s="209"/>
      <c r="T4659" s="209"/>
    </row>
    <row r="4660" spans="1:20" ht="15" hidden="1" customHeight="1">
      <c r="A4660" s="468">
        <v>45504</v>
      </c>
      <c r="B4660" s="208" t="s">
        <v>3937</v>
      </c>
      <c r="C4660" s="208" t="s">
        <v>27</v>
      </c>
      <c r="D4660" s="211">
        <v>-2407524</v>
      </c>
      <c r="E4660" s="212">
        <v>45474</v>
      </c>
      <c r="F4660" s="208" t="s">
        <v>118</v>
      </c>
      <c r="G4660" s="208"/>
      <c r="H4660" s="208"/>
      <c r="I4660" s="208"/>
      <c r="J4660" s="209"/>
      <c r="K4660" s="209"/>
      <c r="L4660" s="209"/>
      <c r="M4660" s="209"/>
      <c r="N4660" s="209"/>
      <c r="O4660" s="209"/>
      <c r="P4660" s="209"/>
      <c r="Q4660" s="209"/>
      <c r="R4660" s="209"/>
      <c r="S4660" s="209"/>
      <c r="T4660" s="209"/>
    </row>
    <row r="4661" spans="1:20" ht="15" hidden="1" customHeight="1">
      <c r="A4661" s="468">
        <v>45504</v>
      </c>
      <c r="B4661" s="208" t="s">
        <v>3938</v>
      </c>
      <c r="C4661" s="208" t="s">
        <v>27</v>
      </c>
      <c r="D4661" s="211">
        <v>-1915851</v>
      </c>
      <c r="E4661" s="212">
        <v>45474</v>
      </c>
      <c r="F4661" s="208" t="s">
        <v>130</v>
      </c>
      <c r="G4661" s="208" t="s">
        <v>130</v>
      </c>
      <c r="H4661" s="208" t="s">
        <v>3939</v>
      </c>
      <c r="I4661" s="208"/>
      <c r="J4661" s="209"/>
      <c r="K4661" s="209"/>
      <c r="L4661" s="209"/>
      <c r="M4661" s="209"/>
      <c r="N4661" s="209"/>
      <c r="O4661" s="209"/>
      <c r="P4661" s="209"/>
      <c r="Q4661" s="209"/>
      <c r="R4661" s="209"/>
      <c r="S4661" s="209"/>
      <c r="T4661" s="209"/>
    </row>
    <row r="4662" spans="1:20" ht="15" hidden="1" customHeight="1">
      <c r="A4662" s="468">
        <v>45504</v>
      </c>
      <c r="B4662" s="208" t="s">
        <v>1262</v>
      </c>
      <c r="C4662" s="208" t="s">
        <v>27</v>
      </c>
      <c r="D4662" s="718">
        <v>-62226792</v>
      </c>
      <c r="E4662" s="212">
        <v>45474</v>
      </c>
      <c r="F4662" s="208" t="s">
        <v>109</v>
      </c>
      <c r="G4662" s="201" t="s">
        <v>581</v>
      </c>
      <c r="H4662" s="208"/>
      <c r="I4662" s="208"/>
      <c r="J4662" s="209"/>
      <c r="K4662" s="209"/>
      <c r="L4662" s="209"/>
      <c r="M4662" s="209"/>
      <c r="N4662" s="209"/>
      <c r="O4662" s="209"/>
      <c r="P4662" s="209"/>
      <c r="Q4662" s="209"/>
      <c r="R4662" s="209"/>
      <c r="S4662" s="209"/>
      <c r="T4662" s="209"/>
    </row>
    <row r="4663" spans="1:20" ht="15" hidden="1" customHeight="1">
      <c r="A4663" s="468">
        <v>45504</v>
      </c>
      <c r="B4663" s="208" t="s">
        <v>1262</v>
      </c>
      <c r="C4663" s="208" t="s">
        <v>27</v>
      </c>
      <c r="D4663" s="718">
        <v>-40493</v>
      </c>
      <c r="E4663" s="212">
        <v>45474</v>
      </c>
      <c r="F4663" s="208" t="s">
        <v>109</v>
      </c>
      <c r="G4663" s="201" t="s">
        <v>581</v>
      </c>
      <c r="H4663" s="208"/>
      <c r="I4663" s="208"/>
      <c r="J4663" s="209"/>
      <c r="K4663" s="209"/>
      <c r="L4663" s="209"/>
      <c r="M4663" s="209"/>
      <c r="N4663" s="209"/>
      <c r="O4663" s="209"/>
      <c r="P4663" s="209"/>
      <c r="Q4663" s="209"/>
      <c r="R4663" s="209"/>
      <c r="S4663" s="209"/>
      <c r="T4663" s="209"/>
    </row>
    <row r="4664" spans="1:20" ht="15" hidden="1" customHeight="1">
      <c r="A4664" s="468">
        <v>45504</v>
      </c>
      <c r="B4664" s="208" t="s">
        <v>1262</v>
      </c>
      <c r="C4664" s="208" t="s">
        <v>27</v>
      </c>
      <c r="D4664" s="211">
        <v>-350039</v>
      </c>
      <c r="E4664" s="212">
        <v>45474</v>
      </c>
      <c r="F4664" s="208" t="s">
        <v>207</v>
      </c>
      <c r="G4664" s="208" t="s">
        <v>207</v>
      </c>
      <c r="H4664" s="208"/>
      <c r="I4664" s="208"/>
      <c r="J4664" s="209"/>
      <c r="K4664" s="209"/>
      <c r="L4664" s="209"/>
      <c r="M4664" s="209"/>
      <c r="N4664" s="209"/>
      <c r="O4664" s="209"/>
      <c r="P4664" s="209"/>
      <c r="Q4664" s="209"/>
      <c r="R4664" s="209"/>
      <c r="S4664" s="209"/>
      <c r="T4664" s="209"/>
    </row>
    <row r="4665" spans="1:20" ht="15" hidden="1" customHeight="1">
      <c r="A4665" s="468">
        <v>45504</v>
      </c>
      <c r="B4665" s="208" t="s">
        <v>2595</v>
      </c>
      <c r="C4665" s="208" t="s">
        <v>27</v>
      </c>
      <c r="D4665" s="211">
        <v>-349109</v>
      </c>
      <c r="E4665" s="212">
        <v>45474</v>
      </c>
      <c r="F4665" s="208" t="s">
        <v>130</v>
      </c>
      <c r="G4665" s="208" t="s">
        <v>130</v>
      </c>
      <c r="H4665" s="208" t="s">
        <v>249</v>
      </c>
      <c r="I4665" s="208"/>
      <c r="J4665" s="209"/>
      <c r="K4665" s="209"/>
      <c r="L4665" s="209"/>
      <c r="M4665" s="209"/>
      <c r="N4665" s="209"/>
      <c r="O4665" s="209"/>
      <c r="P4665" s="209"/>
      <c r="Q4665" s="209"/>
      <c r="R4665" s="209"/>
      <c r="S4665" s="209"/>
      <c r="T4665" s="209"/>
    </row>
    <row r="4666" spans="1:20" ht="15" hidden="1" customHeight="1">
      <c r="A4666" s="468">
        <v>45504</v>
      </c>
      <c r="B4666" s="208" t="s">
        <v>3940</v>
      </c>
      <c r="C4666" s="208" t="s">
        <v>27</v>
      </c>
      <c r="D4666" s="718">
        <v>-2385600</v>
      </c>
      <c r="E4666" s="212">
        <v>45474</v>
      </c>
      <c r="F4666" s="208" t="s">
        <v>109</v>
      </c>
      <c r="G4666" s="201" t="s">
        <v>581</v>
      </c>
      <c r="H4666" s="208"/>
      <c r="I4666" s="208"/>
      <c r="J4666" s="209"/>
      <c r="K4666" s="209"/>
      <c r="L4666" s="209"/>
      <c r="M4666" s="209"/>
      <c r="N4666" s="209"/>
      <c r="O4666" s="209"/>
      <c r="P4666" s="209"/>
      <c r="Q4666" s="209"/>
      <c r="R4666" s="209"/>
      <c r="S4666" s="209"/>
      <c r="T4666" s="209"/>
    </row>
    <row r="4667" spans="1:20" ht="15" hidden="1" customHeight="1">
      <c r="A4667" s="468">
        <v>45504</v>
      </c>
      <c r="B4667" s="208" t="s">
        <v>3941</v>
      </c>
      <c r="C4667" s="208" t="s">
        <v>27</v>
      </c>
      <c r="D4667" s="211">
        <v>-180000</v>
      </c>
      <c r="E4667" s="212">
        <v>45474</v>
      </c>
      <c r="F4667" s="208" t="s">
        <v>130</v>
      </c>
      <c r="G4667" s="208" t="s">
        <v>130</v>
      </c>
      <c r="H4667" s="208" t="s">
        <v>1245</v>
      </c>
      <c r="I4667" s="208"/>
      <c r="J4667" s="209"/>
      <c r="K4667" s="209"/>
      <c r="L4667" s="209"/>
      <c r="M4667" s="209"/>
      <c r="N4667" s="209"/>
      <c r="O4667" s="209"/>
      <c r="P4667" s="209"/>
      <c r="Q4667" s="209"/>
      <c r="R4667" s="209"/>
      <c r="S4667" s="209"/>
      <c r="T4667" s="209"/>
    </row>
    <row r="4668" spans="1:20" ht="15" hidden="1" customHeight="1">
      <c r="A4668" s="468">
        <v>45504</v>
      </c>
      <c r="B4668" s="208" t="s">
        <v>3942</v>
      </c>
      <c r="C4668" s="208" t="s">
        <v>27</v>
      </c>
      <c r="D4668" s="801">
        <v>-740000</v>
      </c>
      <c r="E4668" s="212">
        <v>45474</v>
      </c>
      <c r="F4668" s="208" t="s">
        <v>109</v>
      </c>
      <c r="G4668" s="201" t="s">
        <v>581</v>
      </c>
      <c r="H4668" s="208"/>
      <c r="I4668" s="208"/>
      <c r="J4668" s="209"/>
      <c r="K4668" s="209"/>
      <c r="L4668" s="209"/>
      <c r="M4668" s="209"/>
      <c r="N4668" s="209"/>
      <c r="O4668" s="209"/>
      <c r="P4668" s="209"/>
      <c r="Q4668" s="209"/>
      <c r="R4668" s="209"/>
      <c r="S4668" s="209"/>
      <c r="T4668" s="209"/>
    </row>
    <row r="4669" spans="1:20" ht="15" hidden="1" customHeight="1">
      <c r="A4669" s="468">
        <v>45504</v>
      </c>
      <c r="B4669" s="208" t="s">
        <v>3943</v>
      </c>
      <c r="C4669" s="208" t="s">
        <v>27</v>
      </c>
      <c r="D4669" s="211">
        <v>-30000</v>
      </c>
      <c r="E4669" s="212">
        <v>45474</v>
      </c>
      <c r="F4669" s="208" t="s">
        <v>130</v>
      </c>
      <c r="G4669" s="208" t="s">
        <v>257</v>
      </c>
      <c r="H4669" s="208" t="s">
        <v>663</v>
      </c>
      <c r="I4669" s="208"/>
      <c r="J4669" s="209"/>
      <c r="K4669" s="209"/>
      <c r="L4669" s="209"/>
      <c r="M4669" s="209"/>
      <c r="N4669" s="209"/>
      <c r="O4669" s="209"/>
      <c r="P4669" s="209"/>
      <c r="Q4669" s="209"/>
      <c r="R4669" s="209"/>
      <c r="S4669" s="209"/>
      <c r="T4669" s="209"/>
    </row>
    <row r="4670" spans="1:20" ht="15" hidden="1" customHeight="1">
      <c r="A4670" s="468">
        <v>45504</v>
      </c>
      <c r="B4670" s="208" t="s">
        <v>3944</v>
      </c>
      <c r="C4670" s="208" t="s">
        <v>27</v>
      </c>
      <c r="D4670" s="718">
        <v>-1269400</v>
      </c>
      <c r="E4670" s="212">
        <v>45474</v>
      </c>
      <c r="F4670" s="208" t="s">
        <v>109</v>
      </c>
      <c r="G4670" s="201" t="s">
        <v>581</v>
      </c>
      <c r="H4670" s="208"/>
      <c r="I4670" s="208"/>
      <c r="J4670" s="209"/>
      <c r="K4670" s="209"/>
      <c r="L4670" s="209"/>
      <c r="M4670" s="209"/>
      <c r="N4670" s="209"/>
      <c r="O4670" s="209"/>
      <c r="P4670" s="209"/>
      <c r="Q4670" s="209"/>
      <c r="R4670" s="209"/>
      <c r="S4670" s="209"/>
      <c r="T4670" s="209"/>
    </row>
    <row r="4671" spans="1:20" ht="15" hidden="1" customHeight="1">
      <c r="A4671" s="468">
        <v>45504</v>
      </c>
      <c r="B4671" s="208" t="s">
        <v>3945</v>
      </c>
      <c r="C4671" s="208" t="s">
        <v>27</v>
      </c>
      <c r="D4671" s="211">
        <f>150000000*0.4896240234375</f>
        <v>73443603.515625</v>
      </c>
      <c r="E4671" s="212">
        <v>45474</v>
      </c>
      <c r="F4671" s="883" t="s">
        <v>707</v>
      </c>
      <c r="G4671" s="201" t="s">
        <v>581</v>
      </c>
      <c r="H4671" s="208"/>
      <c r="I4671" s="208"/>
      <c r="J4671" s="209"/>
      <c r="K4671" s="209"/>
      <c r="L4671" s="209"/>
      <c r="M4671" s="209"/>
      <c r="N4671" s="209"/>
      <c r="O4671" s="209"/>
      <c r="P4671" s="209"/>
      <c r="Q4671" s="209"/>
      <c r="R4671" s="209"/>
      <c r="S4671" s="209"/>
      <c r="T4671" s="209"/>
    </row>
    <row r="4672" spans="1:20" ht="15" hidden="1" customHeight="1">
      <c r="A4672" s="468">
        <v>45504</v>
      </c>
      <c r="B4672" s="208" t="s">
        <v>3945</v>
      </c>
      <c r="C4672" s="208" t="s">
        <v>27</v>
      </c>
      <c r="D4672" s="211">
        <f>150000000*0.5103759765625</f>
        <v>76556396.484375</v>
      </c>
      <c r="E4672" s="212">
        <v>45474</v>
      </c>
      <c r="F4672" s="883" t="s">
        <v>707</v>
      </c>
      <c r="G4672" s="201" t="s">
        <v>583</v>
      </c>
      <c r="H4672" s="208"/>
      <c r="I4672" s="208"/>
      <c r="J4672" s="209"/>
      <c r="K4672" s="209"/>
      <c r="L4672" s="209"/>
      <c r="M4672" s="209"/>
      <c r="N4672" s="209"/>
      <c r="O4672" s="209"/>
      <c r="P4672" s="209"/>
      <c r="Q4672" s="209"/>
      <c r="R4672" s="209"/>
      <c r="S4672" s="209"/>
      <c r="T4672" s="209"/>
    </row>
    <row r="4673" spans="1:20" ht="15" hidden="1" customHeight="1">
      <c r="A4673" s="468">
        <v>45504</v>
      </c>
      <c r="B4673" s="208" t="s">
        <v>3946</v>
      </c>
      <c r="C4673" s="208" t="s">
        <v>27</v>
      </c>
      <c r="D4673" s="718">
        <v>-330000000</v>
      </c>
      <c r="E4673" s="212">
        <v>45474</v>
      </c>
      <c r="F4673" s="635" t="s">
        <v>109</v>
      </c>
      <c r="G4673" s="201" t="s">
        <v>583</v>
      </c>
      <c r="H4673" s="208"/>
      <c r="I4673" s="208"/>
      <c r="J4673" s="209"/>
      <c r="K4673" s="209"/>
      <c r="L4673" s="209"/>
      <c r="M4673" s="209"/>
      <c r="N4673" s="209"/>
      <c r="O4673" s="209"/>
      <c r="P4673" s="209"/>
      <c r="Q4673" s="209"/>
      <c r="R4673" s="209"/>
      <c r="S4673" s="209"/>
      <c r="T4673" s="209"/>
    </row>
    <row r="4674" spans="1:20" ht="15" hidden="1" customHeight="1">
      <c r="A4674" s="468">
        <v>45504</v>
      </c>
      <c r="B4674" s="208" t="s">
        <v>3947</v>
      </c>
      <c r="C4674" s="208" t="s">
        <v>27</v>
      </c>
      <c r="D4674" s="592">
        <v>145350000</v>
      </c>
      <c r="E4674" s="212">
        <v>45474</v>
      </c>
      <c r="F4674" s="84" t="s">
        <v>111</v>
      </c>
      <c r="G4674" s="635"/>
      <c r="H4674" s="208"/>
      <c r="I4674" s="208"/>
      <c r="J4674" s="209"/>
      <c r="K4674" s="209"/>
      <c r="L4674" s="209"/>
      <c r="M4674" s="209"/>
      <c r="N4674" s="209"/>
      <c r="O4674" s="209"/>
      <c r="P4674" s="209"/>
      <c r="Q4674" s="209"/>
      <c r="R4674" s="209"/>
      <c r="S4674" s="209"/>
      <c r="T4674" s="209"/>
    </row>
    <row r="4675" spans="1:20" s="477" customFormat="1" ht="15" hidden="1" customHeight="1">
      <c r="A4675" s="468">
        <v>45504</v>
      </c>
      <c r="B4675" s="81" t="s">
        <v>3948</v>
      </c>
      <c r="C4675" s="208" t="s">
        <v>643</v>
      </c>
      <c r="D4675" s="211">
        <v>-19300</v>
      </c>
      <c r="E4675" s="212">
        <v>45474</v>
      </c>
      <c r="F4675" s="208" t="s">
        <v>130</v>
      </c>
      <c r="G4675" s="208" t="s">
        <v>257</v>
      </c>
      <c r="H4675" s="208" t="s">
        <v>303</v>
      </c>
      <c r="I4675" s="208"/>
      <c r="J4675" s="209"/>
      <c r="K4675" s="209"/>
      <c r="L4675" s="209"/>
      <c r="M4675" s="209"/>
      <c r="N4675" s="209"/>
      <c r="O4675" s="209"/>
      <c r="P4675" s="209"/>
      <c r="Q4675" s="209"/>
      <c r="R4675" s="209"/>
      <c r="S4675" s="209"/>
      <c r="T4675" s="209"/>
    </row>
    <row r="4676" spans="1:20" ht="15" hidden="1" customHeight="1">
      <c r="A4676" s="468">
        <v>45503</v>
      </c>
      <c r="B4676" s="81" t="s">
        <v>3949</v>
      </c>
      <c r="C4676" s="208" t="s">
        <v>643</v>
      </c>
      <c r="D4676" s="211">
        <v>-474140</v>
      </c>
      <c r="E4676" s="212">
        <v>45474</v>
      </c>
      <c r="F4676" s="208" t="s">
        <v>130</v>
      </c>
      <c r="G4676" s="208" t="s">
        <v>257</v>
      </c>
      <c r="H4676" s="208" t="s">
        <v>2272</v>
      </c>
      <c r="I4676" s="208"/>
      <c r="J4676" s="209"/>
      <c r="K4676" s="209"/>
      <c r="L4676" s="209"/>
      <c r="M4676" s="209"/>
      <c r="N4676" s="209"/>
      <c r="O4676" s="209"/>
      <c r="P4676" s="209"/>
      <c r="Q4676" s="209"/>
      <c r="R4676" s="209"/>
      <c r="S4676" s="209"/>
      <c r="T4676" s="209"/>
    </row>
    <row r="4677" spans="1:20" ht="15" hidden="1" customHeight="1">
      <c r="A4677" s="468">
        <v>45503</v>
      </c>
      <c r="B4677" s="81" t="s">
        <v>2793</v>
      </c>
      <c r="C4677" s="208" t="s">
        <v>643</v>
      </c>
      <c r="D4677" s="211">
        <v>-27800</v>
      </c>
      <c r="E4677" s="212">
        <v>45474</v>
      </c>
      <c r="F4677" s="208" t="s">
        <v>130</v>
      </c>
      <c r="G4677" s="208" t="s">
        <v>257</v>
      </c>
      <c r="H4677" s="208" t="s">
        <v>303</v>
      </c>
      <c r="I4677" s="208"/>
      <c r="J4677" s="209"/>
      <c r="K4677" s="209"/>
      <c r="L4677" s="209"/>
      <c r="M4677" s="209"/>
      <c r="N4677" s="209"/>
      <c r="O4677" s="209"/>
      <c r="P4677" s="209"/>
      <c r="Q4677" s="209"/>
      <c r="R4677" s="209"/>
      <c r="S4677" s="209"/>
      <c r="T4677" s="209"/>
    </row>
    <row r="4678" spans="1:20" ht="15" hidden="1" customHeight="1">
      <c r="A4678" s="468">
        <v>45502</v>
      </c>
      <c r="B4678" s="81" t="s">
        <v>3018</v>
      </c>
      <c r="C4678" s="208" t="s">
        <v>643</v>
      </c>
      <c r="D4678" s="211">
        <v>-907180</v>
      </c>
      <c r="E4678" s="212">
        <v>45474</v>
      </c>
      <c r="F4678" s="208" t="s">
        <v>130</v>
      </c>
      <c r="G4678" s="208" t="s">
        <v>257</v>
      </c>
      <c r="H4678" s="208" t="s">
        <v>2272</v>
      </c>
      <c r="I4678" s="208"/>
      <c r="J4678" s="209"/>
      <c r="K4678" s="209"/>
      <c r="L4678" s="209"/>
      <c r="M4678" s="209"/>
      <c r="N4678" s="209"/>
      <c r="O4678" s="209"/>
      <c r="P4678" s="209"/>
      <c r="Q4678" s="209"/>
      <c r="R4678" s="209"/>
      <c r="S4678" s="209"/>
      <c r="T4678" s="209"/>
    </row>
    <row r="4679" spans="1:20" ht="15" hidden="1" customHeight="1">
      <c r="A4679" s="468">
        <v>45502</v>
      </c>
      <c r="B4679" s="81" t="s">
        <v>3950</v>
      </c>
      <c r="C4679" s="208" t="s">
        <v>643</v>
      </c>
      <c r="D4679" s="211">
        <v>-26576</v>
      </c>
      <c r="E4679" s="212">
        <v>45474</v>
      </c>
      <c r="F4679" s="208" t="s">
        <v>130</v>
      </c>
      <c r="G4679" s="208" t="s">
        <v>257</v>
      </c>
      <c r="H4679" s="208" t="s">
        <v>663</v>
      </c>
      <c r="I4679" s="208"/>
      <c r="J4679" s="209"/>
      <c r="K4679" s="209"/>
      <c r="L4679" s="209"/>
      <c r="M4679" s="209"/>
      <c r="N4679" s="209"/>
      <c r="O4679" s="209"/>
      <c r="P4679" s="209"/>
      <c r="Q4679" s="209"/>
      <c r="R4679" s="209"/>
      <c r="S4679" s="209"/>
      <c r="T4679" s="209"/>
    </row>
    <row r="4680" spans="1:20" ht="15" hidden="1" customHeight="1">
      <c r="A4680" s="468">
        <v>45502</v>
      </c>
      <c r="B4680" s="81" t="s">
        <v>3951</v>
      </c>
      <c r="C4680" s="208" t="s">
        <v>643</v>
      </c>
      <c r="D4680" s="211">
        <v>-28423</v>
      </c>
      <c r="E4680" s="212">
        <v>45474</v>
      </c>
      <c r="F4680" s="208" t="s">
        <v>130</v>
      </c>
      <c r="G4680" s="208" t="s">
        <v>257</v>
      </c>
      <c r="H4680" s="208" t="s">
        <v>663</v>
      </c>
      <c r="I4680" s="208"/>
      <c r="J4680" s="209"/>
      <c r="K4680" s="209"/>
      <c r="L4680" s="209"/>
      <c r="M4680" s="209"/>
      <c r="N4680" s="209"/>
      <c r="O4680" s="209"/>
      <c r="P4680" s="209"/>
      <c r="Q4680" s="209"/>
      <c r="R4680" s="209"/>
      <c r="S4680" s="209"/>
      <c r="T4680" s="209"/>
    </row>
    <row r="4681" spans="1:20" ht="15" hidden="1" customHeight="1">
      <c r="A4681" s="468">
        <v>45499</v>
      </c>
      <c r="B4681" s="81" t="s">
        <v>3952</v>
      </c>
      <c r="C4681" s="208" t="s">
        <v>643</v>
      </c>
      <c r="D4681" s="211">
        <v>-149980</v>
      </c>
      <c r="E4681" s="212">
        <v>45474</v>
      </c>
      <c r="F4681" s="208" t="s">
        <v>130</v>
      </c>
      <c r="G4681" s="208" t="s">
        <v>257</v>
      </c>
      <c r="H4681" s="208" t="s">
        <v>663</v>
      </c>
      <c r="I4681" s="208"/>
      <c r="J4681" s="209"/>
      <c r="K4681" s="209"/>
      <c r="L4681" s="209"/>
      <c r="M4681" s="209"/>
      <c r="N4681" s="209"/>
      <c r="O4681" s="209"/>
      <c r="P4681" s="209"/>
      <c r="Q4681" s="209"/>
      <c r="R4681" s="209"/>
      <c r="S4681" s="209"/>
      <c r="T4681" s="209"/>
    </row>
    <row r="4682" spans="1:20" ht="15" hidden="1" customHeight="1">
      <c r="A4682" s="468">
        <v>45498</v>
      </c>
      <c r="B4682" s="208" t="s">
        <v>3953</v>
      </c>
      <c r="C4682" s="673" t="s">
        <v>146</v>
      </c>
      <c r="D4682" s="718">
        <v>-90000</v>
      </c>
      <c r="E4682" s="212">
        <v>45474</v>
      </c>
      <c r="F4682" s="208" t="s">
        <v>109</v>
      </c>
      <c r="G4682" s="201" t="s">
        <v>581</v>
      </c>
      <c r="H4682" s="208" t="s">
        <v>175</v>
      </c>
      <c r="I4682" s="208" t="s">
        <v>173</v>
      </c>
      <c r="J4682" s="209"/>
      <c r="K4682" s="209"/>
      <c r="L4682" s="209"/>
      <c r="M4682" s="209"/>
      <c r="N4682" s="209"/>
      <c r="O4682" s="209"/>
      <c r="P4682" s="209"/>
      <c r="Q4682" s="209"/>
      <c r="R4682" s="209"/>
      <c r="S4682" s="209"/>
      <c r="T4682" s="209"/>
    </row>
    <row r="4683" spans="1:20" ht="15" hidden="1" customHeight="1">
      <c r="A4683" s="468">
        <v>45499</v>
      </c>
      <c r="B4683" s="208" t="s">
        <v>3954</v>
      </c>
      <c r="C4683" s="673" t="s">
        <v>146</v>
      </c>
      <c r="D4683" s="718">
        <v>-15000</v>
      </c>
      <c r="E4683" s="212">
        <v>45474</v>
      </c>
      <c r="F4683" s="208" t="s">
        <v>109</v>
      </c>
      <c r="G4683" s="201" t="s">
        <v>581</v>
      </c>
      <c r="H4683" s="208" t="s">
        <v>175</v>
      </c>
      <c r="I4683" s="208" t="s">
        <v>173</v>
      </c>
      <c r="J4683" s="209"/>
      <c r="K4683" s="209"/>
      <c r="L4683" s="209"/>
      <c r="M4683" s="209"/>
      <c r="N4683" s="209"/>
      <c r="O4683" s="209"/>
      <c r="P4683" s="209"/>
      <c r="Q4683" s="209"/>
      <c r="R4683" s="209"/>
      <c r="S4683" s="209"/>
      <c r="T4683" s="209"/>
    </row>
    <row r="4684" spans="1:20" ht="15" hidden="1" customHeight="1">
      <c r="A4684" s="468">
        <v>45499</v>
      </c>
      <c r="B4684" s="208" t="s">
        <v>3955</v>
      </c>
      <c r="C4684" s="673" t="s">
        <v>146</v>
      </c>
      <c r="D4684" s="718">
        <v>-9920</v>
      </c>
      <c r="E4684" s="212">
        <v>45474</v>
      </c>
      <c r="F4684" s="208" t="s">
        <v>109</v>
      </c>
      <c r="G4684" s="201" t="s">
        <v>581</v>
      </c>
      <c r="H4684" s="208" t="s">
        <v>175</v>
      </c>
      <c r="I4684" s="208" t="s">
        <v>173</v>
      </c>
      <c r="J4684" s="209"/>
      <c r="K4684" s="209"/>
      <c r="L4684" s="209"/>
      <c r="M4684" s="209"/>
      <c r="N4684" s="209"/>
      <c r="O4684" s="209"/>
      <c r="P4684" s="209"/>
      <c r="Q4684" s="209"/>
      <c r="R4684" s="209"/>
      <c r="S4684" s="209"/>
      <c r="T4684" s="209"/>
    </row>
    <row r="4685" spans="1:20" ht="15" hidden="1" customHeight="1">
      <c r="A4685" s="468">
        <v>45503</v>
      </c>
      <c r="B4685" s="208" t="s">
        <v>3956</v>
      </c>
      <c r="C4685" s="673" t="s">
        <v>146</v>
      </c>
      <c r="D4685" s="718">
        <v>-29000</v>
      </c>
      <c r="E4685" s="212">
        <v>45474</v>
      </c>
      <c r="F4685" s="208" t="s">
        <v>109</v>
      </c>
      <c r="G4685" s="201" t="s">
        <v>581</v>
      </c>
      <c r="H4685" s="208" t="s">
        <v>138</v>
      </c>
      <c r="I4685" s="208"/>
      <c r="J4685" s="209"/>
      <c r="K4685" s="209"/>
      <c r="L4685" s="209"/>
      <c r="M4685" s="209"/>
      <c r="N4685" s="209"/>
      <c r="O4685" s="209"/>
      <c r="P4685" s="209"/>
      <c r="Q4685" s="209"/>
      <c r="R4685" s="209"/>
      <c r="S4685" s="209"/>
      <c r="T4685" s="209"/>
    </row>
    <row r="4686" spans="1:20" ht="15" hidden="1" customHeight="1">
      <c r="A4686" s="468">
        <v>45503</v>
      </c>
      <c r="B4686" s="208" t="s">
        <v>3956</v>
      </c>
      <c r="C4686" s="673" t="s">
        <v>146</v>
      </c>
      <c r="D4686" s="211">
        <v>-114000</v>
      </c>
      <c r="E4686" s="212">
        <v>45474</v>
      </c>
      <c r="F4686" s="208" t="s">
        <v>110</v>
      </c>
      <c r="G4686" s="208" t="s">
        <v>774</v>
      </c>
      <c r="H4686" s="208" t="s">
        <v>138</v>
      </c>
      <c r="I4686" s="208"/>
      <c r="J4686" s="209"/>
      <c r="K4686" s="209"/>
      <c r="L4686" s="209"/>
      <c r="M4686" s="209"/>
      <c r="N4686" s="209"/>
      <c r="O4686" s="209"/>
      <c r="P4686" s="209"/>
      <c r="Q4686" s="209"/>
      <c r="R4686" s="209"/>
      <c r="S4686" s="209"/>
      <c r="T4686" s="209"/>
    </row>
    <row r="4687" spans="1:20" ht="15" hidden="1" customHeight="1">
      <c r="A4687" s="468">
        <v>45503</v>
      </c>
      <c r="B4687" s="208" t="s">
        <v>3956</v>
      </c>
      <c r="C4687" s="673" t="s">
        <v>146</v>
      </c>
      <c r="D4687" s="211">
        <v>-7000</v>
      </c>
      <c r="E4687" s="212">
        <v>45474</v>
      </c>
      <c r="F4687" s="208" t="s">
        <v>207</v>
      </c>
      <c r="G4687" s="208" t="s">
        <v>3838</v>
      </c>
      <c r="H4687" s="208" t="s">
        <v>138</v>
      </c>
      <c r="I4687" s="208"/>
      <c r="J4687" s="209"/>
      <c r="K4687" s="209"/>
      <c r="L4687" s="209"/>
      <c r="M4687" s="209"/>
      <c r="N4687" s="209"/>
      <c r="O4687" s="209"/>
      <c r="P4687" s="209"/>
      <c r="Q4687" s="209"/>
      <c r="R4687" s="209"/>
      <c r="S4687" s="209"/>
      <c r="T4687" s="209"/>
    </row>
    <row r="4688" spans="1:20" ht="15" hidden="1" customHeight="1">
      <c r="A4688" s="468">
        <v>45503</v>
      </c>
      <c r="B4688" s="208" t="s">
        <v>3956</v>
      </c>
      <c r="C4688" s="673" t="s">
        <v>146</v>
      </c>
      <c r="D4688" s="211">
        <v>-106168</v>
      </c>
      <c r="E4688" s="212">
        <v>45474</v>
      </c>
      <c r="F4688" s="208" t="s">
        <v>109</v>
      </c>
      <c r="G4688" s="654" t="s">
        <v>2585</v>
      </c>
      <c r="H4688" s="208" t="s">
        <v>138</v>
      </c>
      <c r="I4688" s="208"/>
      <c r="J4688" s="209"/>
      <c r="K4688" s="209"/>
      <c r="L4688" s="209"/>
      <c r="M4688" s="209"/>
      <c r="N4688" s="209"/>
      <c r="O4688" s="209"/>
      <c r="P4688" s="209"/>
      <c r="Q4688" s="209"/>
      <c r="R4688" s="209"/>
      <c r="S4688" s="209"/>
      <c r="T4688" s="209"/>
    </row>
    <row r="4689" spans="1:20" ht="15" hidden="1" customHeight="1">
      <c r="A4689" s="468">
        <v>45503</v>
      </c>
      <c r="B4689" s="208" t="s">
        <v>3956</v>
      </c>
      <c r="C4689" s="673" t="s">
        <v>146</v>
      </c>
      <c r="D4689" s="211">
        <v>-30000</v>
      </c>
      <c r="E4689" s="212">
        <v>45474</v>
      </c>
      <c r="F4689" s="208" t="s">
        <v>207</v>
      </c>
      <c r="G4689" s="208" t="s">
        <v>207</v>
      </c>
      <c r="H4689" s="208"/>
      <c r="I4689" s="208"/>
      <c r="J4689" s="209"/>
      <c r="K4689" s="209"/>
      <c r="L4689" s="209"/>
      <c r="M4689" s="209"/>
      <c r="N4689" s="209"/>
      <c r="O4689" s="209"/>
      <c r="P4689" s="209"/>
      <c r="Q4689" s="209"/>
      <c r="R4689" s="209"/>
      <c r="S4689" s="209"/>
      <c r="T4689" s="209"/>
    </row>
    <row r="4690" spans="1:20" ht="15" hidden="1" customHeight="1">
      <c r="A4690" s="468">
        <v>45503</v>
      </c>
      <c r="B4690" s="208" t="s">
        <v>3956</v>
      </c>
      <c r="C4690" s="673" t="s">
        <v>146</v>
      </c>
      <c r="D4690" s="211">
        <v>-112000</v>
      </c>
      <c r="E4690" s="212">
        <v>45474</v>
      </c>
      <c r="F4690" s="208" t="s">
        <v>110</v>
      </c>
      <c r="G4690" s="208" t="s">
        <v>3957</v>
      </c>
      <c r="H4690" s="208" t="s">
        <v>138</v>
      </c>
      <c r="I4690" s="208"/>
      <c r="J4690" s="209"/>
      <c r="K4690" s="209"/>
      <c r="L4690" s="209"/>
      <c r="M4690" s="209"/>
      <c r="N4690" s="209"/>
      <c r="O4690" s="209"/>
      <c r="P4690" s="209"/>
      <c r="Q4690" s="209"/>
      <c r="R4690" s="209"/>
      <c r="S4690" s="209"/>
      <c r="T4690" s="209"/>
    </row>
    <row r="4691" spans="1:20" ht="15" hidden="1" customHeight="1">
      <c r="A4691" s="468">
        <v>45503</v>
      </c>
      <c r="B4691" s="208" t="s">
        <v>3956</v>
      </c>
      <c r="C4691" s="673" t="s">
        <v>146</v>
      </c>
      <c r="D4691" s="211">
        <v>-15000</v>
      </c>
      <c r="E4691" s="212">
        <v>45474</v>
      </c>
      <c r="F4691" s="291" t="s">
        <v>207</v>
      </c>
      <c r="G4691" s="208" t="s">
        <v>492</v>
      </c>
      <c r="H4691" s="208" t="s">
        <v>138</v>
      </c>
      <c r="I4691" s="208"/>
      <c r="J4691" s="209"/>
      <c r="K4691" s="209"/>
      <c r="L4691" s="209"/>
      <c r="M4691" s="209"/>
      <c r="N4691" s="209"/>
      <c r="O4691" s="209"/>
      <c r="P4691" s="209"/>
      <c r="Q4691" s="209"/>
      <c r="R4691" s="209"/>
      <c r="S4691" s="209"/>
      <c r="T4691" s="209"/>
    </row>
    <row r="4692" spans="1:20" ht="15" hidden="1" customHeight="1">
      <c r="A4692" s="468">
        <v>45503</v>
      </c>
      <c r="B4692" s="208" t="s">
        <v>3956</v>
      </c>
      <c r="C4692" s="673" t="s">
        <v>146</v>
      </c>
      <c r="D4692" s="211">
        <v>-7000</v>
      </c>
      <c r="E4692" s="212">
        <v>45474</v>
      </c>
      <c r="F4692" s="208" t="s">
        <v>130</v>
      </c>
      <c r="G4692" s="208" t="s">
        <v>130</v>
      </c>
      <c r="H4692" s="208" t="s">
        <v>138</v>
      </c>
      <c r="I4692" s="208"/>
      <c r="J4692" s="209"/>
      <c r="K4692" s="209"/>
      <c r="L4692" s="209"/>
      <c r="M4692" s="209"/>
      <c r="N4692" s="209"/>
      <c r="O4692" s="209"/>
      <c r="P4692" s="209"/>
      <c r="Q4692" s="209"/>
      <c r="R4692" s="209"/>
      <c r="S4692" s="209"/>
      <c r="T4692" s="209"/>
    </row>
    <row r="4693" spans="1:20" ht="15" hidden="1" customHeight="1">
      <c r="A4693" s="468">
        <v>45503</v>
      </c>
      <c r="B4693" s="208" t="s">
        <v>3958</v>
      </c>
      <c r="C4693" s="208" t="s">
        <v>133</v>
      </c>
      <c r="D4693" s="211">
        <v>-4270</v>
      </c>
      <c r="E4693" s="212">
        <v>45474</v>
      </c>
      <c r="F4693" s="208" t="s">
        <v>109</v>
      </c>
      <c r="G4693" s="654" t="s">
        <v>2585</v>
      </c>
      <c r="H4693" s="208" t="s">
        <v>138</v>
      </c>
      <c r="I4693" s="208"/>
      <c r="J4693" s="209"/>
      <c r="K4693" s="209"/>
      <c r="L4693" s="209"/>
      <c r="M4693" s="209"/>
      <c r="N4693" s="209"/>
      <c r="O4693" s="209"/>
      <c r="P4693" s="209"/>
      <c r="Q4693" s="209"/>
      <c r="R4693" s="209"/>
      <c r="S4693" s="209"/>
      <c r="T4693" s="209"/>
    </row>
    <row r="4694" spans="1:20" ht="15" hidden="1" customHeight="1">
      <c r="A4694" s="468">
        <v>45503</v>
      </c>
      <c r="B4694" s="208" t="s">
        <v>3959</v>
      </c>
      <c r="C4694" s="208" t="s">
        <v>133</v>
      </c>
      <c r="D4694" s="211">
        <v>-2562</v>
      </c>
      <c r="E4694" s="212">
        <v>45474</v>
      </c>
      <c r="F4694" s="208" t="s">
        <v>109</v>
      </c>
      <c r="G4694" s="654" t="s">
        <v>2585</v>
      </c>
      <c r="H4694" s="208" t="s">
        <v>138</v>
      </c>
      <c r="I4694" s="208"/>
      <c r="J4694" s="209"/>
      <c r="K4694" s="209"/>
      <c r="L4694" s="209"/>
      <c r="M4694" s="209"/>
      <c r="N4694" s="209"/>
      <c r="O4694" s="209"/>
      <c r="P4694" s="209"/>
      <c r="Q4694" s="209"/>
      <c r="R4694" s="209"/>
      <c r="S4694" s="209"/>
      <c r="T4694" s="209"/>
    </row>
    <row r="4695" spans="1:20" ht="15" hidden="1" customHeight="1">
      <c r="A4695" s="468">
        <v>45503</v>
      </c>
      <c r="B4695" s="208" t="s">
        <v>2663</v>
      </c>
      <c r="C4695" s="208" t="s">
        <v>146</v>
      </c>
      <c r="D4695" s="211">
        <v>-28000</v>
      </c>
      <c r="E4695" s="212">
        <v>45474</v>
      </c>
      <c r="F4695" s="208" t="s">
        <v>130</v>
      </c>
      <c r="G4695" s="208" t="s">
        <v>130</v>
      </c>
      <c r="H4695" s="208" t="s">
        <v>138</v>
      </c>
      <c r="I4695" s="208"/>
      <c r="J4695" s="209"/>
      <c r="K4695" s="209"/>
      <c r="L4695" s="209"/>
      <c r="M4695" s="209"/>
      <c r="N4695" s="209"/>
      <c r="O4695" s="209"/>
      <c r="P4695" s="209"/>
      <c r="Q4695" s="209"/>
      <c r="R4695" s="209"/>
      <c r="S4695" s="209"/>
      <c r="T4695" s="209"/>
    </row>
    <row r="4696" spans="1:20" ht="15" hidden="1" customHeight="1">
      <c r="A4696" s="468">
        <v>45503</v>
      </c>
      <c r="B4696" s="208" t="s">
        <v>2663</v>
      </c>
      <c r="C4696" s="208" t="s">
        <v>146</v>
      </c>
      <c r="D4696" s="211">
        <v>-33000</v>
      </c>
      <c r="E4696" s="212">
        <v>45474</v>
      </c>
      <c r="F4696" s="208" t="s">
        <v>109</v>
      </c>
      <c r="G4696" s="654" t="s">
        <v>2585</v>
      </c>
      <c r="H4696" s="208" t="s">
        <v>138</v>
      </c>
      <c r="I4696" s="208"/>
      <c r="J4696" s="209"/>
      <c r="K4696" s="209"/>
      <c r="L4696" s="209"/>
      <c r="M4696" s="209"/>
      <c r="N4696" s="209"/>
      <c r="O4696" s="209"/>
      <c r="P4696" s="209"/>
      <c r="Q4696" s="209"/>
      <c r="R4696" s="209"/>
      <c r="S4696" s="209"/>
      <c r="T4696" s="209"/>
    </row>
    <row r="4697" spans="1:20" ht="15" hidden="1" customHeight="1">
      <c r="A4697" s="468">
        <v>45503</v>
      </c>
      <c r="B4697" s="208" t="s">
        <v>2663</v>
      </c>
      <c r="C4697" s="208" t="s">
        <v>146</v>
      </c>
      <c r="D4697" s="211">
        <v>-7000</v>
      </c>
      <c r="E4697" s="212">
        <v>45474</v>
      </c>
      <c r="F4697" s="208" t="s">
        <v>110</v>
      </c>
      <c r="G4697" s="208" t="s">
        <v>453</v>
      </c>
      <c r="H4697" s="208" t="s">
        <v>138</v>
      </c>
      <c r="I4697" s="475" t="s">
        <v>3626</v>
      </c>
      <c r="J4697" s="209"/>
      <c r="K4697" s="209"/>
      <c r="L4697" s="209"/>
      <c r="M4697" s="209"/>
      <c r="N4697" s="209"/>
      <c r="O4697" s="209"/>
      <c r="P4697" s="209"/>
      <c r="Q4697" s="209"/>
      <c r="R4697" s="209"/>
      <c r="S4697" s="209"/>
      <c r="T4697" s="209"/>
    </row>
    <row r="4698" spans="1:20" ht="15" hidden="1" customHeight="1">
      <c r="A4698" s="468">
        <v>45503</v>
      </c>
      <c r="B4698" s="208" t="s">
        <v>2663</v>
      </c>
      <c r="C4698" s="208" t="s">
        <v>146</v>
      </c>
      <c r="D4698" s="211">
        <v>-7000</v>
      </c>
      <c r="E4698" s="212">
        <v>45474</v>
      </c>
      <c r="F4698" s="208" t="s">
        <v>207</v>
      </c>
      <c r="G4698" s="208" t="s">
        <v>207</v>
      </c>
      <c r="H4698" s="208"/>
      <c r="I4698" s="208"/>
      <c r="J4698" s="209"/>
      <c r="K4698" s="209"/>
      <c r="L4698" s="209"/>
      <c r="M4698" s="209"/>
      <c r="N4698" s="209"/>
      <c r="O4698" s="209"/>
      <c r="P4698" s="209"/>
      <c r="Q4698" s="209"/>
      <c r="R4698" s="209"/>
      <c r="S4698" s="209"/>
      <c r="T4698" s="209"/>
    </row>
    <row r="4699" spans="1:20" ht="15" hidden="1" customHeight="1">
      <c r="A4699" s="468">
        <v>45503</v>
      </c>
      <c r="B4699" s="208" t="s">
        <v>2663</v>
      </c>
      <c r="C4699" s="208" t="s">
        <v>146</v>
      </c>
      <c r="D4699" s="211">
        <v>-49000</v>
      </c>
      <c r="E4699" s="212">
        <v>45474</v>
      </c>
      <c r="F4699" s="208" t="s">
        <v>110</v>
      </c>
      <c r="G4699" s="208" t="s">
        <v>774</v>
      </c>
      <c r="H4699" s="208" t="s">
        <v>138</v>
      </c>
      <c r="I4699" s="208"/>
      <c r="J4699" s="209"/>
      <c r="K4699" s="209"/>
      <c r="L4699" s="209"/>
      <c r="M4699" s="209"/>
      <c r="N4699" s="209"/>
      <c r="O4699" s="209"/>
      <c r="P4699" s="209"/>
      <c r="Q4699" s="209"/>
      <c r="R4699" s="209"/>
      <c r="S4699" s="209"/>
      <c r="T4699" s="209"/>
    </row>
    <row r="4700" spans="1:20" ht="15" hidden="1" customHeight="1">
      <c r="A4700" s="468">
        <v>45503</v>
      </c>
      <c r="B4700" s="208" t="s">
        <v>2663</v>
      </c>
      <c r="C4700" s="208" t="s">
        <v>146</v>
      </c>
      <c r="D4700" s="211">
        <v>-24000</v>
      </c>
      <c r="E4700" s="212">
        <v>45474</v>
      </c>
      <c r="F4700" s="208" t="s">
        <v>110</v>
      </c>
      <c r="G4700" s="208" t="s">
        <v>122</v>
      </c>
      <c r="H4700" s="208" t="s">
        <v>138</v>
      </c>
      <c r="I4700" s="475" t="s">
        <v>3626</v>
      </c>
      <c r="J4700" s="209"/>
      <c r="K4700" s="209"/>
      <c r="L4700" s="209"/>
      <c r="M4700" s="209"/>
      <c r="N4700" s="209"/>
      <c r="O4700" s="209"/>
      <c r="P4700" s="209"/>
      <c r="Q4700" s="209"/>
      <c r="R4700" s="209"/>
      <c r="S4700" s="209"/>
      <c r="T4700" s="209"/>
    </row>
    <row r="4701" spans="1:20" ht="15" hidden="1" customHeight="1">
      <c r="A4701" s="468">
        <v>45503</v>
      </c>
      <c r="B4701" s="208" t="s">
        <v>2663</v>
      </c>
      <c r="C4701" s="208" t="s">
        <v>146</v>
      </c>
      <c r="D4701" s="211">
        <v>-7000</v>
      </c>
      <c r="E4701" s="212">
        <v>45474</v>
      </c>
      <c r="F4701" s="291" t="s">
        <v>207</v>
      </c>
      <c r="G4701" s="208" t="s">
        <v>492</v>
      </c>
      <c r="H4701" s="208" t="s">
        <v>138</v>
      </c>
      <c r="I4701" s="208"/>
      <c r="J4701" s="209"/>
      <c r="K4701" s="209"/>
      <c r="L4701" s="209"/>
      <c r="M4701" s="209"/>
      <c r="N4701" s="209"/>
      <c r="O4701" s="209"/>
      <c r="P4701" s="209"/>
      <c r="Q4701" s="209"/>
      <c r="R4701" s="209"/>
      <c r="S4701" s="209"/>
      <c r="T4701" s="209"/>
    </row>
    <row r="4702" spans="1:20" ht="15" hidden="1" customHeight="1">
      <c r="A4702" s="468">
        <v>45503</v>
      </c>
      <c r="B4702" s="208" t="s">
        <v>2663</v>
      </c>
      <c r="C4702" s="208" t="s">
        <v>146</v>
      </c>
      <c r="D4702" s="718">
        <v>-14000</v>
      </c>
      <c r="E4702" s="212">
        <v>45474</v>
      </c>
      <c r="F4702" s="208" t="s">
        <v>109</v>
      </c>
      <c r="G4702" s="201" t="s">
        <v>581</v>
      </c>
      <c r="H4702" s="208" t="s">
        <v>138</v>
      </c>
      <c r="I4702" s="208"/>
      <c r="J4702" s="209"/>
      <c r="K4702" s="209"/>
      <c r="L4702" s="209"/>
      <c r="M4702" s="209"/>
      <c r="N4702" s="209"/>
      <c r="O4702" s="209"/>
      <c r="P4702" s="209"/>
      <c r="Q4702" s="209"/>
      <c r="R4702" s="209"/>
      <c r="S4702" s="209"/>
      <c r="T4702" s="209"/>
    </row>
    <row r="4703" spans="1:20" ht="15" hidden="1" customHeight="1">
      <c r="A4703" s="468">
        <v>45504</v>
      </c>
      <c r="B4703" s="208" t="s">
        <v>3960</v>
      </c>
      <c r="C4703" s="208" t="s">
        <v>146</v>
      </c>
      <c r="D4703" s="211">
        <v>-32700</v>
      </c>
      <c r="E4703" s="212">
        <v>45474</v>
      </c>
      <c r="F4703" s="208" t="s">
        <v>110</v>
      </c>
      <c r="G4703" s="208" t="s">
        <v>2444</v>
      </c>
      <c r="H4703" s="208"/>
      <c r="I4703" s="208"/>
      <c r="J4703" s="209"/>
      <c r="K4703" s="209"/>
      <c r="L4703" s="209"/>
      <c r="M4703" s="209"/>
      <c r="N4703" s="209"/>
      <c r="O4703" s="209"/>
      <c r="P4703" s="209"/>
      <c r="Q4703" s="209"/>
      <c r="R4703" s="209"/>
      <c r="S4703" s="209"/>
      <c r="T4703" s="209"/>
    </row>
    <row r="4704" spans="1:20" ht="15" hidden="1" customHeight="1">
      <c r="A4704" s="468">
        <v>45504</v>
      </c>
      <c r="B4704" s="208" t="s">
        <v>3961</v>
      </c>
      <c r="C4704" s="208" t="s">
        <v>146</v>
      </c>
      <c r="D4704" s="211">
        <v>7700</v>
      </c>
      <c r="E4704" s="212">
        <v>45474</v>
      </c>
      <c r="F4704" s="208" t="s">
        <v>130</v>
      </c>
      <c r="G4704" s="208" t="s">
        <v>257</v>
      </c>
      <c r="H4704" s="208" t="s">
        <v>2032</v>
      </c>
      <c r="I4704" s="208"/>
      <c r="J4704" s="209"/>
      <c r="K4704" s="209"/>
      <c r="L4704" s="209"/>
      <c r="M4704" s="209"/>
      <c r="N4704" s="209"/>
      <c r="O4704" s="209"/>
      <c r="P4704" s="209"/>
      <c r="Q4704" s="209"/>
      <c r="R4704" s="209"/>
      <c r="S4704" s="209"/>
      <c r="T4704" s="209"/>
    </row>
    <row r="4705" spans="1:20" ht="15" hidden="1" customHeight="1">
      <c r="A4705" s="468">
        <v>45491</v>
      </c>
      <c r="B4705" s="208" t="s">
        <v>3962</v>
      </c>
      <c r="C4705" s="208" t="s">
        <v>146</v>
      </c>
      <c r="D4705" s="718">
        <v>-6000</v>
      </c>
      <c r="E4705" s="212">
        <v>45474</v>
      </c>
      <c r="F4705" s="208" t="s">
        <v>109</v>
      </c>
      <c r="G4705" s="201" t="s">
        <v>581</v>
      </c>
      <c r="H4705" s="208" t="s">
        <v>138</v>
      </c>
      <c r="I4705" s="208" t="s">
        <v>3742</v>
      </c>
      <c r="J4705" s="209"/>
      <c r="K4705" s="209"/>
      <c r="L4705" s="209"/>
      <c r="M4705" s="209"/>
      <c r="N4705" s="209"/>
      <c r="O4705" s="209"/>
      <c r="P4705" s="209"/>
      <c r="Q4705" s="209"/>
      <c r="R4705" s="209"/>
      <c r="S4705" s="209"/>
      <c r="T4705" s="209"/>
    </row>
    <row r="4706" spans="1:20" ht="15" hidden="1" customHeight="1">
      <c r="A4706" s="468">
        <v>45492</v>
      </c>
      <c r="B4706" s="208" t="s">
        <v>3963</v>
      </c>
      <c r="C4706" s="208" t="s">
        <v>146</v>
      </c>
      <c r="D4706" s="211">
        <v>-12000</v>
      </c>
      <c r="E4706" s="212">
        <v>45474</v>
      </c>
      <c r="F4706" s="208" t="s">
        <v>130</v>
      </c>
      <c r="G4706" s="208" t="s">
        <v>257</v>
      </c>
      <c r="H4706" s="208" t="s">
        <v>138</v>
      </c>
      <c r="I4706" s="208" t="s">
        <v>3742</v>
      </c>
      <c r="J4706" s="209"/>
      <c r="K4706" s="209"/>
      <c r="L4706" s="209"/>
      <c r="M4706" s="209"/>
      <c r="N4706" s="209"/>
      <c r="O4706" s="209"/>
      <c r="P4706" s="209"/>
      <c r="Q4706" s="209"/>
      <c r="R4706" s="209"/>
      <c r="S4706" s="209"/>
      <c r="T4706" s="209"/>
    </row>
    <row r="4707" spans="1:20" ht="15" hidden="1" customHeight="1">
      <c r="A4707" s="468">
        <v>45309</v>
      </c>
      <c r="B4707" s="208" t="s">
        <v>3964</v>
      </c>
      <c r="C4707" s="208" t="s">
        <v>146</v>
      </c>
      <c r="D4707" s="211">
        <v>-12000</v>
      </c>
      <c r="E4707" s="212">
        <v>45474</v>
      </c>
      <c r="F4707" s="208" t="s">
        <v>130</v>
      </c>
      <c r="G4707" s="208" t="s">
        <v>257</v>
      </c>
      <c r="H4707" s="208" t="s">
        <v>138</v>
      </c>
      <c r="I4707" s="208" t="s">
        <v>3742</v>
      </c>
      <c r="J4707" s="209"/>
      <c r="K4707" s="209"/>
      <c r="L4707" s="209"/>
      <c r="M4707" s="209"/>
      <c r="N4707" s="209"/>
      <c r="O4707" s="209"/>
      <c r="P4707" s="209"/>
      <c r="Q4707" s="209"/>
      <c r="R4707" s="209"/>
      <c r="S4707" s="209"/>
      <c r="T4707" s="209"/>
    </row>
    <row r="4708" spans="1:20" ht="15" hidden="1" customHeight="1">
      <c r="A4708" s="468">
        <v>45490</v>
      </c>
      <c r="B4708" s="208" t="s">
        <v>3965</v>
      </c>
      <c r="C4708" s="661" t="s">
        <v>146</v>
      </c>
      <c r="D4708" s="718">
        <v>-8000</v>
      </c>
      <c r="E4708" s="212">
        <v>45474</v>
      </c>
      <c r="F4708" s="208" t="s">
        <v>109</v>
      </c>
      <c r="G4708" s="201" t="s">
        <v>581</v>
      </c>
      <c r="H4708" s="208" t="s">
        <v>138</v>
      </c>
      <c r="I4708" s="208" t="s">
        <v>2052</v>
      </c>
      <c r="J4708" s="209"/>
      <c r="K4708" s="209"/>
      <c r="L4708" s="209"/>
      <c r="M4708" s="209"/>
      <c r="N4708" s="209"/>
      <c r="O4708" s="209"/>
      <c r="P4708" s="209"/>
      <c r="Q4708" s="209"/>
      <c r="R4708" s="209"/>
      <c r="S4708" s="209"/>
      <c r="T4708" s="209"/>
    </row>
    <row r="4709" spans="1:20" ht="15" hidden="1" customHeight="1">
      <c r="A4709" s="468">
        <v>45490</v>
      </c>
      <c r="B4709" s="208" t="s">
        <v>3966</v>
      </c>
      <c r="C4709" s="661" t="s">
        <v>146</v>
      </c>
      <c r="D4709" s="718">
        <v>-20000</v>
      </c>
      <c r="E4709" s="212">
        <v>45474</v>
      </c>
      <c r="F4709" s="208" t="s">
        <v>109</v>
      </c>
      <c r="G4709" s="201" t="s">
        <v>581</v>
      </c>
      <c r="H4709" s="208" t="s">
        <v>138</v>
      </c>
      <c r="I4709" s="208" t="s">
        <v>2052</v>
      </c>
      <c r="J4709" s="209"/>
      <c r="K4709" s="209"/>
      <c r="L4709" s="209"/>
      <c r="M4709" s="209"/>
      <c r="N4709" s="209"/>
      <c r="O4709" s="209"/>
      <c r="P4709" s="209"/>
      <c r="Q4709" s="209"/>
      <c r="R4709" s="209"/>
      <c r="S4709" s="209"/>
      <c r="T4709" s="209"/>
    </row>
    <row r="4710" spans="1:20" ht="15" hidden="1" customHeight="1">
      <c r="A4710" s="468">
        <v>45461</v>
      </c>
      <c r="B4710" s="208" t="s">
        <v>3967</v>
      </c>
      <c r="C4710" s="661" t="s">
        <v>146</v>
      </c>
      <c r="D4710" s="718">
        <v>-18000</v>
      </c>
      <c r="E4710" s="212">
        <v>45474</v>
      </c>
      <c r="F4710" s="208" t="s">
        <v>109</v>
      </c>
      <c r="G4710" s="201" t="s">
        <v>581</v>
      </c>
      <c r="H4710" s="208" t="s">
        <v>147</v>
      </c>
      <c r="I4710" s="208" t="s">
        <v>2052</v>
      </c>
      <c r="J4710" s="209"/>
      <c r="K4710" s="209"/>
      <c r="L4710" s="209"/>
      <c r="M4710" s="209"/>
      <c r="N4710" s="209"/>
      <c r="O4710" s="209"/>
      <c r="P4710" s="209"/>
      <c r="Q4710" s="209"/>
      <c r="R4710" s="209"/>
      <c r="S4710" s="209"/>
      <c r="T4710" s="209"/>
    </row>
    <row r="4711" spans="1:20" ht="15" hidden="1" customHeight="1">
      <c r="A4711" s="468">
        <v>45461</v>
      </c>
      <c r="B4711" s="208" t="s">
        <v>3968</v>
      </c>
      <c r="C4711" s="661" t="s">
        <v>146</v>
      </c>
      <c r="D4711" s="718">
        <v>-20000</v>
      </c>
      <c r="E4711" s="212">
        <v>45474</v>
      </c>
      <c r="F4711" s="208" t="s">
        <v>109</v>
      </c>
      <c r="G4711" s="201" t="s">
        <v>581</v>
      </c>
      <c r="H4711" s="208" t="s">
        <v>138</v>
      </c>
      <c r="I4711" s="208" t="s">
        <v>2052</v>
      </c>
      <c r="J4711" s="209"/>
      <c r="K4711" s="209"/>
      <c r="L4711" s="209"/>
      <c r="M4711" s="209"/>
      <c r="N4711" s="209"/>
      <c r="O4711" s="209"/>
      <c r="P4711" s="209"/>
      <c r="Q4711" s="209"/>
      <c r="R4711" s="209"/>
      <c r="S4711" s="209"/>
      <c r="T4711" s="209"/>
    </row>
    <row r="4712" spans="1:20" ht="15" hidden="1" customHeight="1">
      <c r="A4712" s="468">
        <v>45461</v>
      </c>
      <c r="B4712" s="208" t="s">
        <v>3969</v>
      </c>
      <c r="C4712" s="661" t="s">
        <v>146</v>
      </c>
      <c r="D4712" s="718">
        <v>-20000</v>
      </c>
      <c r="E4712" s="212">
        <v>45474</v>
      </c>
      <c r="F4712" s="208" t="s">
        <v>109</v>
      </c>
      <c r="G4712" s="201" t="s">
        <v>581</v>
      </c>
      <c r="H4712" s="208" t="s">
        <v>138</v>
      </c>
      <c r="I4712" s="208" t="s">
        <v>2052</v>
      </c>
      <c r="J4712" s="209"/>
      <c r="K4712" s="209"/>
      <c r="L4712" s="209"/>
      <c r="M4712" s="209"/>
      <c r="N4712" s="209"/>
      <c r="O4712" s="209"/>
      <c r="P4712" s="209"/>
      <c r="Q4712" s="209"/>
      <c r="R4712" s="209"/>
      <c r="S4712" s="209"/>
      <c r="T4712" s="209"/>
    </row>
    <row r="4713" spans="1:20" ht="15" hidden="1" customHeight="1">
      <c r="A4713" s="468">
        <v>45461</v>
      </c>
      <c r="B4713" s="208" t="s">
        <v>3970</v>
      </c>
      <c r="C4713" s="661" t="s">
        <v>146</v>
      </c>
      <c r="D4713" s="718">
        <v>-11400</v>
      </c>
      <c r="E4713" s="212">
        <v>45474</v>
      </c>
      <c r="F4713" s="208" t="s">
        <v>109</v>
      </c>
      <c r="G4713" s="201" t="s">
        <v>581</v>
      </c>
      <c r="H4713" s="208" t="s">
        <v>138</v>
      </c>
      <c r="I4713" s="208" t="s">
        <v>2052</v>
      </c>
      <c r="J4713" s="209"/>
      <c r="K4713" s="209"/>
      <c r="L4713" s="209"/>
      <c r="M4713" s="209"/>
      <c r="N4713" s="209"/>
      <c r="O4713" s="209"/>
      <c r="P4713" s="209"/>
      <c r="Q4713" s="209"/>
      <c r="R4713" s="209"/>
      <c r="S4713" s="209"/>
      <c r="T4713" s="209"/>
    </row>
    <row r="4714" spans="1:20" ht="15" hidden="1" customHeight="1">
      <c r="A4714" s="468">
        <v>45497</v>
      </c>
      <c r="B4714" s="208" t="s">
        <v>3971</v>
      </c>
      <c r="C4714" s="661" t="s">
        <v>146</v>
      </c>
      <c r="D4714" s="211">
        <v>-14600</v>
      </c>
      <c r="E4714" s="212">
        <v>45474</v>
      </c>
      <c r="F4714" s="208" t="s">
        <v>109</v>
      </c>
      <c r="G4714" s="208" t="s">
        <v>317</v>
      </c>
      <c r="H4714" s="208" t="s">
        <v>138</v>
      </c>
      <c r="I4714" s="208" t="s">
        <v>2052</v>
      </c>
      <c r="J4714" s="209"/>
      <c r="K4714" s="209"/>
      <c r="L4714" s="209"/>
      <c r="M4714" s="209"/>
      <c r="N4714" s="209"/>
      <c r="O4714" s="209"/>
      <c r="P4714" s="209"/>
      <c r="Q4714" s="209"/>
      <c r="R4714" s="209"/>
      <c r="S4714" s="209"/>
      <c r="T4714" s="209"/>
    </row>
    <row r="4715" spans="1:20" ht="15" hidden="1" customHeight="1">
      <c r="A4715" s="468">
        <v>45497</v>
      </c>
      <c r="B4715" s="208" t="s">
        <v>3972</v>
      </c>
      <c r="C4715" s="661" t="s">
        <v>146</v>
      </c>
      <c r="D4715" s="211">
        <v>-80000</v>
      </c>
      <c r="E4715" s="212">
        <v>45474</v>
      </c>
      <c r="F4715" s="208" t="s">
        <v>109</v>
      </c>
      <c r="G4715" s="208" t="s">
        <v>317</v>
      </c>
      <c r="H4715" s="208" t="s">
        <v>138</v>
      </c>
      <c r="I4715" s="208" t="s">
        <v>2052</v>
      </c>
      <c r="J4715" s="209"/>
      <c r="K4715" s="209"/>
      <c r="L4715" s="209"/>
      <c r="M4715" s="209"/>
      <c r="N4715" s="209"/>
      <c r="O4715" s="209"/>
      <c r="P4715" s="209"/>
      <c r="Q4715" s="209"/>
      <c r="R4715" s="209"/>
      <c r="S4715" s="209"/>
      <c r="T4715" s="209"/>
    </row>
    <row r="4716" spans="1:20" ht="15" hidden="1" customHeight="1">
      <c r="A4716" s="468">
        <v>45498</v>
      </c>
      <c r="B4716" s="208" t="s">
        <v>3973</v>
      </c>
      <c r="C4716" s="661" t="s">
        <v>146</v>
      </c>
      <c r="D4716" s="211">
        <v>-8000</v>
      </c>
      <c r="E4716" s="212">
        <v>45474</v>
      </c>
      <c r="F4716" s="208" t="s">
        <v>109</v>
      </c>
      <c r="G4716" s="208" t="s">
        <v>317</v>
      </c>
      <c r="H4716" s="208" t="s">
        <v>138</v>
      </c>
      <c r="I4716" s="208" t="s">
        <v>2052</v>
      </c>
      <c r="J4716" s="209"/>
      <c r="K4716" s="209"/>
      <c r="L4716" s="209"/>
      <c r="M4716" s="209"/>
      <c r="N4716" s="209"/>
      <c r="O4716" s="209"/>
      <c r="P4716" s="209"/>
      <c r="Q4716" s="209"/>
      <c r="R4716" s="209"/>
      <c r="S4716" s="209"/>
      <c r="T4716" s="209"/>
    </row>
    <row r="4717" spans="1:20" ht="15" hidden="1" customHeight="1">
      <c r="A4717" s="468">
        <v>45504</v>
      </c>
      <c r="B4717" s="208" t="s">
        <v>3974</v>
      </c>
      <c r="C4717" s="208" t="s">
        <v>146</v>
      </c>
      <c r="D4717" s="211">
        <v>-126900</v>
      </c>
      <c r="E4717" s="212">
        <v>45474</v>
      </c>
      <c r="F4717" s="208" t="s">
        <v>130</v>
      </c>
      <c r="G4717" s="208" t="s">
        <v>130</v>
      </c>
      <c r="H4717" s="208" t="s">
        <v>138</v>
      </c>
      <c r="I4717" s="208" t="s">
        <v>2052</v>
      </c>
      <c r="J4717" s="209"/>
      <c r="K4717" s="209"/>
      <c r="L4717" s="209"/>
      <c r="M4717" s="209"/>
      <c r="N4717" s="209"/>
      <c r="O4717" s="209"/>
      <c r="P4717" s="209"/>
      <c r="Q4717" s="209"/>
      <c r="R4717" s="209"/>
      <c r="S4717" s="209"/>
      <c r="T4717" s="209"/>
    </row>
    <row r="4718" spans="1:20" ht="15" hidden="1" customHeight="1">
      <c r="A4718" s="468">
        <v>45494</v>
      </c>
      <c r="B4718" s="208" t="s">
        <v>3975</v>
      </c>
      <c r="C4718" s="208" t="s">
        <v>146</v>
      </c>
      <c r="D4718" s="211">
        <v>-7000</v>
      </c>
      <c r="E4718" s="212">
        <v>45474</v>
      </c>
      <c r="F4718" s="208" t="s">
        <v>130</v>
      </c>
      <c r="G4718" s="208" t="s">
        <v>257</v>
      </c>
      <c r="H4718" s="208" t="s">
        <v>138</v>
      </c>
      <c r="I4718" s="208" t="s">
        <v>47</v>
      </c>
      <c r="J4718" s="209"/>
      <c r="K4718" s="209"/>
      <c r="L4718" s="209"/>
      <c r="M4718" s="209"/>
      <c r="N4718" s="209"/>
      <c r="O4718" s="209"/>
      <c r="P4718" s="209"/>
      <c r="Q4718" s="209"/>
      <c r="R4718" s="209"/>
      <c r="S4718" s="209"/>
      <c r="T4718" s="209"/>
    </row>
    <row r="4719" spans="1:20" ht="15" hidden="1" customHeight="1">
      <c r="A4719" s="468">
        <v>45494</v>
      </c>
      <c r="B4719" s="208" t="s">
        <v>3976</v>
      </c>
      <c r="C4719" s="208" t="s">
        <v>146</v>
      </c>
      <c r="D4719" s="211">
        <v>-8000</v>
      </c>
      <c r="E4719" s="212">
        <v>45474</v>
      </c>
      <c r="F4719" s="208" t="s">
        <v>130</v>
      </c>
      <c r="G4719" s="208" t="s">
        <v>257</v>
      </c>
      <c r="H4719" s="208" t="s">
        <v>138</v>
      </c>
      <c r="I4719" s="208" t="s">
        <v>47</v>
      </c>
      <c r="J4719" s="209"/>
      <c r="K4719" s="209"/>
      <c r="L4719" s="209"/>
      <c r="M4719" s="209"/>
      <c r="N4719" s="209"/>
      <c r="O4719" s="209"/>
      <c r="P4719" s="209"/>
      <c r="Q4719" s="209"/>
      <c r="R4719" s="209"/>
      <c r="S4719" s="209"/>
      <c r="T4719" s="209"/>
    </row>
    <row r="4720" spans="1:20" ht="15" hidden="1" customHeight="1">
      <c r="A4720" s="468">
        <v>45494</v>
      </c>
      <c r="B4720" s="208" t="s">
        <v>3977</v>
      </c>
      <c r="C4720" s="208" t="s">
        <v>146</v>
      </c>
      <c r="D4720" s="211">
        <v>-8000</v>
      </c>
      <c r="E4720" s="212">
        <v>45474</v>
      </c>
      <c r="F4720" s="208" t="s">
        <v>130</v>
      </c>
      <c r="G4720" s="208" t="s">
        <v>257</v>
      </c>
      <c r="H4720" s="208" t="s">
        <v>138</v>
      </c>
      <c r="I4720" s="208" t="s">
        <v>47</v>
      </c>
      <c r="J4720" s="209"/>
      <c r="K4720" s="209"/>
      <c r="L4720" s="209"/>
      <c r="M4720" s="209"/>
      <c r="N4720" s="209"/>
      <c r="O4720" s="209"/>
      <c r="P4720" s="209"/>
      <c r="Q4720" s="209"/>
      <c r="R4720" s="209"/>
      <c r="S4720" s="209"/>
      <c r="T4720" s="209"/>
    </row>
    <row r="4721" spans="1:20" ht="15" hidden="1" customHeight="1">
      <c r="A4721" s="468">
        <v>45495</v>
      </c>
      <c r="B4721" s="208" t="s">
        <v>3978</v>
      </c>
      <c r="C4721" s="208" t="s">
        <v>146</v>
      </c>
      <c r="D4721" s="211">
        <v>-6000</v>
      </c>
      <c r="E4721" s="212">
        <v>45474</v>
      </c>
      <c r="F4721" s="208" t="s">
        <v>130</v>
      </c>
      <c r="G4721" s="208" t="s">
        <v>257</v>
      </c>
      <c r="H4721" s="208" t="s">
        <v>138</v>
      </c>
      <c r="I4721" s="208" t="s">
        <v>47</v>
      </c>
      <c r="J4721" s="209"/>
      <c r="K4721" s="209"/>
      <c r="L4721" s="209"/>
      <c r="M4721" s="209"/>
      <c r="N4721" s="209"/>
      <c r="O4721" s="209"/>
      <c r="P4721" s="209"/>
      <c r="Q4721" s="209"/>
      <c r="R4721" s="209"/>
      <c r="S4721" s="209"/>
      <c r="T4721" s="209"/>
    </row>
    <row r="4722" spans="1:20" ht="15" hidden="1" customHeight="1">
      <c r="A4722" s="468">
        <v>45495</v>
      </c>
      <c r="B4722" s="208" t="s">
        <v>3979</v>
      </c>
      <c r="C4722" s="208" t="s">
        <v>146</v>
      </c>
      <c r="D4722" s="211">
        <v>-100000</v>
      </c>
      <c r="E4722" s="212">
        <v>45474</v>
      </c>
      <c r="F4722" s="208" t="s">
        <v>130</v>
      </c>
      <c r="G4722" s="208" t="s">
        <v>257</v>
      </c>
      <c r="H4722" s="208" t="s">
        <v>1138</v>
      </c>
      <c r="I4722" s="208" t="s">
        <v>47</v>
      </c>
      <c r="J4722" s="209"/>
      <c r="K4722" s="209"/>
      <c r="L4722" s="209"/>
      <c r="M4722" s="209"/>
      <c r="N4722" s="209"/>
      <c r="O4722" s="209"/>
      <c r="P4722" s="209"/>
      <c r="Q4722" s="209"/>
      <c r="R4722" s="209"/>
      <c r="S4722" s="209"/>
      <c r="T4722" s="209"/>
    </row>
    <row r="4723" spans="1:20" ht="15" hidden="1" customHeight="1">
      <c r="A4723" s="468">
        <v>45495</v>
      </c>
      <c r="B4723" s="208" t="s">
        <v>3980</v>
      </c>
      <c r="C4723" s="208" t="s">
        <v>146</v>
      </c>
      <c r="D4723" s="211">
        <v>-9000</v>
      </c>
      <c r="E4723" s="212">
        <v>45474</v>
      </c>
      <c r="F4723" s="208" t="s">
        <v>130</v>
      </c>
      <c r="G4723" s="208" t="s">
        <v>257</v>
      </c>
      <c r="H4723" s="208" t="s">
        <v>138</v>
      </c>
      <c r="I4723" s="208" t="s">
        <v>47</v>
      </c>
      <c r="J4723" s="209"/>
      <c r="K4723" s="209"/>
      <c r="L4723" s="209"/>
      <c r="M4723" s="209"/>
      <c r="N4723" s="209"/>
      <c r="O4723" s="209"/>
      <c r="P4723" s="209"/>
      <c r="Q4723" s="209"/>
      <c r="R4723" s="209"/>
      <c r="S4723" s="209"/>
      <c r="T4723" s="209"/>
    </row>
    <row r="4724" spans="1:20" ht="15" hidden="1" customHeight="1">
      <c r="A4724" s="468">
        <v>45492</v>
      </c>
      <c r="B4724" s="208" t="s">
        <v>3981</v>
      </c>
      <c r="C4724" s="208" t="s">
        <v>146</v>
      </c>
      <c r="D4724" s="718">
        <v>-189600</v>
      </c>
      <c r="E4724" s="212">
        <v>45474</v>
      </c>
      <c r="F4724" s="208" t="s">
        <v>109</v>
      </c>
      <c r="G4724" s="201" t="s">
        <v>581</v>
      </c>
      <c r="H4724" s="208" t="s">
        <v>3982</v>
      </c>
      <c r="I4724" s="208" t="s">
        <v>47</v>
      </c>
      <c r="J4724" s="209"/>
      <c r="K4724" s="209"/>
      <c r="L4724" s="209"/>
      <c r="M4724" s="209"/>
      <c r="N4724" s="209"/>
      <c r="O4724" s="209"/>
      <c r="P4724" s="209"/>
      <c r="Q4724" s="209"/>
      <c r="R4724" s="209"/>
      <c r="S4724" s="209"/>
      <c r="T4724" s="209"/>
    </row>
    <row r="4725" spans="1:20" ht="15" hidden="1" customHeight="1">
      <c r="A4725" s="468">
        <v>45494</v>
      </c>
      <c r="B4725" s="208" t="s">
        <v>3983</v>
      </c>
      <c r="C4725" s="208" t="s">
        <v>146</v>
      </c>
      <c r="D4725" s="211">
        <v>-6300</v>
      </c>
      <c r="E4725" s="212">
        <v>45474</v>
      </c>
      <c r="F4725" s="208" t="s">
        <v>130</v>
      </c>
      <c r="G4725" s="208" t="s">
        <v>257</v>
      </c>
      <c r="H4725" s="208" t="s">
        <v>138</v>
      </c>
      <c r="I4725" s="208" t="s">
        <v>47</v>
      </c>
      <c r="J4725" s="209"/>
      <c r="K4725" s="209"/>
      <c r="L4725" s="209"/>
      <c r="M4725" s="209"/>
      <c r="N4725" s="209"/>
      <c r="O4725" s="209"/>
      <c r="P4725" s="209"/>
      <c r="Q4725" s="209"/>
      <c r="R4725" s="209"/>
      <c r="S4725" s="209"/>
      <c r="T4725" s="209"/>
    </row>
    <row r="4726" spans="1:20" ht="15" hidden="1" customHeight="1">
      <c r="A4726" s="468">
        <v>45494</v>
      </c>
      <c r="B4726" s="208" t="s">
        <v>3984</v>
      </c>
      <c r="C4726" s="208" t="s">
        <v>146</v>
      </c>
      <c r="D4726" s="211">
        <v>-80000</v>
      </c>
      <c r="E4726" s="212">
        <v>45474</v>
      </c>
      <c r="F4726" s="208" t="s">
        <v>130</v>
      </c>
      <c r="G4726" s="208" t="s">
        <v>257</v>
      </c>
      <c r="H4726" s="208" t="s">
        <v>138</v>
      </c>
      <c r="I4726" s="208" t="s">
        <v>47</v>
      </c>
      <c r="J4726" s="209"/>
      <c r="K4726" s="209"/>
      <c r="L4726" s="209"/>
      <c r="M4726" s="209"/>
      <c r="N4726" s="209"/>
      <c r="O4726" s="209"/>
      <c r="P4726" s="209"/>
      <c r="Q4726" s="209"/>
      <c r="R4726" s="209"/>
      <c r="S4726" s="209"/>
      <c r="T4726" s="209"/>
    </row>
    <row r="4727" spans="1:20" ht="15" hidden="1" customHeight="1">
      <c r="A4727" s="468">
        <v>45494</v>
      </c>
      <c r="B4727" s="208" t="s">
        <v>3985</v>
      </c>
      <c r="C4727" s="208" t="s">
        <v>146</v>
      </c>
      <c r="D4727" s="211">
        <v>-80000</v>
      </c>
      <c r="E4727" s="212">
        <v>45474</v>
      </c>
      <c r="F4727" s="208" t="s">
        <v>130</v>
      </c>
      <c r="G4727" s="208" t="s">
        <v>257</v>
      </c>
      <c r="H4727" s="208" t="s">
        <v>138</v>
      </c>
      <c r="I4727" s="208" t="s">
        <v>47</v>
      </c>
      <c r="J4727" s="209"/>
      <c r="K4727" s="209"/>
      <c r="L4727" s="209"/>
      <c r="M4727" s="209"/>
      <c r="N4727" s="209"/>
      <c r="O4727" s="209"/>
      <c r="P4727" s="209"/>
      <c r="Q4727" s="209"/>
      <c r="R4727" s="209"/>
      <c r="S4727" s="209"/>
      <c r="T4727" s="209"/>
    </row>
    <row r="4728" spans="1:20" ht="15" hidden="1" customHeight="1">
      <c r="A4728" s="468">
        <v>45495</v>
      </c>
      <c r="B4728" s="208" t="s">
        <v>3986</v>
      </c>
      <c r="C4728" s="208" t="s">
        <v>146</v>
      </c>
      <c r="D4728" s="211">
        <v>-10000</v>
      </c>
      <c r="E4728" s="212">
        <v>45474</v>
      </c>
      <c r="F4728" s="208" t="s">
        <v>130</v>
      </c>
      <c r="G4728" s="208" t="s">
        <v>257</v>
      </c>
      <c r="H4728" s="208" t="s">
        <v>138</v>
      </c>
      <c r="I4728" s="208" t="s">
        <v>47</v>
      </c>
      <c r="J4728" s="209"/>
      <c r="K4728" s="209"/>
      <c r="L4728" s="209"/>
      <c r="M4728" s="209"/>
      <c r="N4728" s="209"/>
      <c r="O4728" s="209"/>
      <c r="P4728" s="209"/>
      <c r="Q4728" s="209"/>
      <c r="R4728" s="209"/>
      <c r="S4728" s="209"/>
      <c r="T4728" s="209"/>
    </row>
    <row r="4729" spans="1:20" ht="15" hidden="1" customHeight="1">
      <c r="A4729" s="468">
        <v>45495</v>
      </c>
      <c r="B4729" s="208" t="s">
        <v>3987</v>
      </c>
      <c r="C4729" s="208" t="s">
        <v>146</v>
      </c>
      <c r="D4729" s="211">
        <v>-16200</v>
      </c>
      <c r="E4729" s="212">
        <v>45474</v>
      </c>
      <c r="F4729" s="208" t="s">
        <v>130</v>
      </c>
      <c r="G4729" s="208" t="s">
        <v>257</v>
      </c>
      <c r="H4729" s="208" t="s">
        <v>1138</v>
      </c>
      <c r="I4729" s="208" t="s">
        <v>47</v>
      </c>
      <c r="J4729" s="209"/>
      <c r="K4729" s="209"/>
      <c r="L4729" s="209"/>
      <c r="M4729" s="209"/>
      <c r="N4729" s="209"/>
      <c r="O4729" s="209"/>
      <c r="P4729" s="209"/>
      <c r="Q4729" s="209"/>
      <c r="R4729" s="209"/>
      <c r="S4729" s="209"/>
      <c r="T4729" s="209"/>
    </row>
    <row r="4730" spans="1:20" ht="15" hidden="1" customHeight="1">
      <c r="A4730" s="468">
        <v>45495</v>
      </c>
      <c r="B4730" s="208" t="s">
        <v>3988</v>
      </c>
      <c r="C4730" s="208" t="s">
        <v>146</v>
      </c>
      <c r="D4730" s="211">
        <v>-10000</v>
      </c>
      <c r="E4730" s="212">
        <v>45474</v>
      </c>
      <c r="F4730" s="208" t="s">
        <v>130</v>
      </c>
      <c r="G4730" s="208" t="s">
        <v>257</v>
      </c>
      <c r="H4730" s="208" t="s">
        <v>1138</v>
      </c>
      <c r="I4730" s="208" t="s">
        <v>47</v>
      </c>
      <c r="J4730" s="209"/>
      <c r="K4730" s="209"/>
      <c r="L4730" s="209"/>
      <c r="M4730" s="209"/>
      <c r="N4730" s="209"/>
      <c r="O4730" s="209"/>
      <c r="P4730" s="209"/>
      <c r="Q4730" s="209"/>
      <c r="R4730" s="209"/>
      <c r="S4730" s="209"/>
      <c r="T4730" s="209"/>
    </row>
    <row r="4731" spans="1:20" ht="15" hidden="1" customHeight="1">
      <c r="A4731" s="468">
        <v>45495</v>
      </c>
      <c r="B4731" s="208" t="s">
        <v>3989</v>
      </c>
      <c r="C4731" s="208" t="s">
        <v>146</v>
      </c>
      <c r="D4731" s="211">
        <v>-10000</v>
      </c>
      <c r="E4731" s="212">
        <v>45474</v>
      </c>
      <c r="F4731" s="208" t="s">
        <v>130</v>
      </c>
      <c r="G4731" s="208" t="s">
        <v>257</v>
      </c>
      <c r="H4731" s="208" t="s">
        <v>1138</v>
      </c>
      <c r="I4731" s="208" t="s">
        <v>47</v>
      </c>
      <c r="J4731" s="209"/>
      <c r="K4731" s="209"/>
      <c r="L4731" s="209"/>
      <c r="M4731" s="209"/>
      <c r="N4731" s="209"/>
      <c r="O4731" s="209"/>
      <c r="P4731" s="209"/>
      <c r="Q4731" s="209"/>
      <c r="R4731" s="209"/>
      <c r="S4731" s="209"/>
      <c r="T4731" s="209"/>
    </row>
    <row r="4732" spans="1:20" ht="15" hidden="1" customHeight="1">
      <c r="A4732" s="468">
        <v>45495</v>
      </c>
      <c r="B4732" s="208" t="s">
        <v>3990</v>
      </c>
      <c r="C4732" s="208" t="s">
        <v>146</v>
      </c>
      <c r="D4732" s="211">
        <v>-6000</v>
      </c>
      <c r="E4732" s="212">
        <v>45474</v>
      </c>
      <c r="F4732" s="208" t="s">
        <v>130</v>
      </c>
      <c r="G4732" s="208" t="s">
        <v>257</v>
      </c>
      <c r="H4732" s="208" t="s">
        <v>138</v>
      </c>
      <c r="I4732" s="208" t="s">
        <v>47</v>
      </c>
      <c r="J4732" s="209"/>
      <c r="K4732" s="209"/>
      <c r="L4732" s="209"/>
      <c r="M4732" s="209"/>
      <c r="N4732" s="209"/>
      <c r="O4732" s="209"/>
      <c r="P4732" s="209"/>
      <c r="Q4732" s="209"/>
      <c r="R4732" s="209"/>
      <c r="S4732" s="209"/>
      <c r="T4732" s="209"/>
    </row>
    <row r="4733" spans="1:20" ht="15" hidden="1" customHeight="1">
      <c r="A4733" s="468">
        <v>45495</v>
      </c>
      <c r="B4733" s="208" t="s">
        <v>3991</v>
      </c>
      <c r="C4733" s="208" t="s">
        <v>146</v>
      </c>
      <c r="D4733" s="211">
        <v>-35000</v>
      </c>
      <c r="E4733" s="212">
        <v>45474</v>
      </c>
      <c r="F4733" s="208" t="s">
        <v>109</v>
      </c>
      <c r="G4733" s="208" t="s">
        <v>317</v>
      </c>
      <c r="H4733" s="208" t="s">
        <v>138</v>
      </c>
      <c r="I4733" s="208" t="s">
        <v>47</v>
      </c>
      <c r="J4733" s="209"/>
      <c r="K4733" s="209"/>
      <c r="L4733" s="209"/>
      <c r="M4733" s="209"/>
      <c r="N4733" s="209"/>
      <c r="O4733" s="209"/>
      <c r="P4733" s="209"/>
      <c r="Q4733" s="209"/>
      <c r="R4733" s="209"/>
      <c r="S4733" s="209"/>
      <c r="T4733" s="209"/>
    </row>
    <row r="4734" spans="1:20" ht="15" hidden="1" customHeight="1">
      <c r="A4734" s="468">
        <v>45495</v>
      </c>
      <c r="B4734" s="208" t="s">
        <v>3992</v>
      </c>
      <c r="C4734" s="208" t="s">
        <v>146</v>
      </c>
      <c r="D4734" s="211">
        <v>-35000</v>
      </c>
      <c r="E4734" s="212">
        <v>45474</v>
      </c>
      <c r="F4734" s="208" t="s">
        <v>110</v>
      </c>
      <c r="G4734" s="658" t="s">
        <v>3245</v>
      </c>
      <c r="H4734" s="208" t="s">
        <v>138</v>
      </c>
      <c r="I4734" s="208" t="s">
        <v>47</v>
      </c>
      <c r="J4734" s="209"/>
      <c r="K4734" s="209"/>
      <c r="L4734" s="209"/>
      <c r="M4734" s="209"/>
      <c r="N4734" s="209"/>
      <c r="O4734" s="209"/>
      <c r="P4734" s="209"/>
      <c r="Q4734" s="209"/>
      <c r="R4734" s="209"/>
      <c r="S4734" s="209"/>
      <c r="T4734" s="209"/>
    </row>
    <row r="4735" spans="1:20" ht="15" hidden="1" customHeight="1">
      <c r="A4735" s="468">
        <v>45495</v>
      </c>
      <c r="B4735" s="208" t="s">
        <v>3993</v>
      </c>
      <c r="C4735" s="208" t="s">
        <v>146</v>
      </c>
      <c r="D4735" s="211">
        <v>-16500</v>
      </c>
      <c r="E4735" s="212">
        <v>45474</v>
      </c>
      <c r="F4735" s="208" t="s">
        <v>110</v>
      </c>
      <c r="G4735" s="658" t="s">
        <v>3245</v>
      </c>
      <c r="H4735" s="208" t="s">
        <v>138</v>
      </c>
      <c r="I4735" s="208" t="s">
        <v>47</v>
      </c>
      <c r="J4735" s="209"/>
      <c r="K4735" s="209"/>
      <c r="L4735" s="209"/>
      <c r="M4735" s="209"/>
      <c r="N4735" s="209"/>
      <c r="O4735" s="209"/>
      <c r="P4735" s="209"/>
      <c r="Q4735" s="209"/>
      <c r="R4735" s="209"/>
      <c r="S4735" s="209"/>
      <c r="T4735" s="209"/>
    </row>
    <row r="4736" spans="1:20" ht="15" hidden="1" customHeight="1">
      <c r="A4736" s="468">
        <v>45496</v>
      </c>
      <c r="B4736" s="208" t="s">
        <v>3987</v>
      </c>
      <c r="C4736" s="208" t="s">
        <v>146</v>
      </c>
      <c r="D4736" s="211">
        <v>-19800</v>
      </c>
      <c r="E4736" s="212">
        <v>45474</v>
      </c>
      <c r="F4736" s="208" t="s">
        <v>110</v>
      </c>
      <c r="G4736" s="658" t="s">
        <v>3245</v>
      </c>
      <c r="H4736" s="208" t="s">
        <v>147</v>
      </c>
      <c r="I4736" s="208" t="s">
        <v>47</v>
      </c>
      <c r="J4736" s="209"/>
      <c r="K4736" s="209"/>
      <c r="L4736" s="209"/>
      <c r="M4736" s="209"/>
      <c r="N4736" s="209"/>
      <c r="O4736" s="209"/>
      <c r="P4736" s="209"/>
      <c r="Q4736" s="209"/>
      <c r="R4736" s="209"/>
      <c r="S4736" s="209"/>
      <c r="T4736" s="209"/>
    </row>
    <row r="4737" spans="1:20" ht="15" hidden="1" customHeight="1">
      <c r="A4737" s="468">
        <v>45496</v>
      </c>
      <c r="B4737" s="208" t="s">
        <v>3994</v>
      </c>
      <c r="C4737" s="208" t="s">
        <v>146</v>
      </c>
      <c r="D4737" s="211">
        <v>-29000</v>
      </c>
      <c r="E4737" s="212">
        <v>45474</v>
      </c>
      <c r="F4737" s="208" t="s">
        <v>109</v>
      </c>
      <c r="G4737" s="208" t="s">
        <v>317</v>
      </c>
      <c r="H4737" s="208" t="s">
        <v>138</v>
      </c>
      <c r="I4737" s="475" t="s">
        <v>3475</v>
      </c>
      <c r="J4737" s="209"/>
      <c r="K4737" s="209"/>
      <c r="L4737" s="209"/>
      <c r="M4737" s="209"/>
      <c r="N4737" s="209"/>
      <c r="O4737" s="209"/>
      <c r="P4737" s="209"/>
      <c r="Q4737" s="209"/>
      <c r="R4737" s="209"/>
      <c r="S4737" s="209"/>
      <c r="T4737" s="209"/>
    </row>
    <row r="4738" spans="1:20" ht="15" hidden="1" customHeight="1">
      <c r="A4738" s="468">
        <v>45504</v>
      </c>
      <c r="B4738" s="208" t="s">
        <v>3995</v>
      </c>
      <c r="C4738" s="208" t="s">
        <v>27</v>
      </c>
      <c r="D4738" s="211">
        <v>277168</v>
      </c>
      <c r="E4738" s="212">
        <v>45474</v>
      </c>
      <c r="F4738" s="208" t="s">
        <v>109</v>
      </c>
      <c r="G4738" s="208" t="s">
        <v>3529</v>
      </c>
      <c r="H4738" s="208" t="s">
        <v>1463</v>
      </c>
      <c r="I4738" s="208"/>
      <c r="J4738" s="209"/>
      <c r="K4738" s="209"/>
      <c r="L4738" s="209"/>
      <c r="M4738" s="209"/>
      <c r="N4738" s="209"/>
      <c r="O4738" s="209"/>
      <c r="P4738" s="209"/>
      <c r="Q4738" s="209"/>
      <c r="R4738" s="209"/>
      <c r="S4738" s="209"/>
      <c r="T4738" s="209"/>
    </row>
    <row r="4739" spans="1:20" ht="15" hidden="1" customHeight="1">
      <c r="A4739" s="468">
        <v>45491</v>
      </c>
      <c r="B4739" s="208" t="s">
        <v>3996</v>
      </c>
      <c r="C4739" s="208" t="s">
        <v>27</v>
      </c>
      <c r="D4739" s="592">
        <v>-2029800</v>
      </c>
      <c r="E4739" s="212">
        <v>45474</v>
      </c>
      <c r="F4739" s="208" t="s">
        <v>130</v>
      </c>
      <c r="G4739" s="208" t="s">
        <v>130</v>
      </c>
      <c r="H4739" s="208" t="s">
        <v>182</v>
      </c>
      <c r="I4739" s="208"/>
      <c r="J4739" s="209"/>
      <c r="K4739" s="209"/>
      <c r="L4739" s="209"/>
      <c r="M4739" s="209"/>
      <c r="N4739" s="209"/>
      <c r="O4739" s="209"/>
      <c r="P4739" s="209"/>
      <c r="Q4739" s="209"/>
      <c r="R4739" s="209"/>
      <c r="S4739" s="209"/>
      <c r="T4739" s="209"/>
    </row>
    <row r="4740" spans="1:20" ht="15" hidden="1" customHeight="1">
      <c r="A4740" s="468">
        <v>45491</v>
      </c>
      <c r="B4740" s="208" t="s">
        <v>3997</v>
      </c>
      <c r="C4740" s="208" t="s">
        <v>27</v>
      </c>
      <c r="D4740" s="592">
        <v>-1562000</v>
      </c>
      <c r="E4740" s="212">
        <v>45474</v>
      </c>
      <c r="F4740" s="208" t="s">
        <v>130</v>
      </c>
      <c r="G4740" s="208" t="s">
        <v>130</v>
      </c>
      <c r="H4740" s="208" t="s">
        <v>182</v>
      </c>
      <c r="I4740" s="208"/>
      <c r="J4740" s="209"/>
      <c r="K4740" s="209"/>
      <c r="L4740" s="209"/>
      <c r="M4740" s="209"/>
      <c r="N4740" s="209"/>
      <c r="O4740" s="209"/>
      <c r="P4740" s="209"/>
      <c r="Q4740" s="209"/>
      <c r="R4740" s="209"/>
      <c r="S4740" s="209"/>
      <c r="T4740" s="209"/>
    </row>
    <row r="4741" spans="1:20" ht="15" hidden="1" customHeight="1">
      <c r="A4741" s="468">
        <v>45491</v>
      </c>
      <c r="B4741" s="208" t="s">
        <v>3998</v>
      </c>
      <c r="C4741" s="208" t="s">
        <v>27</v>
      </c>
      <c r="D4741" s="211">
        <v>-169300</v>
      </c>
      <c r="E4741" s="212">
        <v>45474</v>
      </c>
      <c r="F4741" s="208" t="s">
        <v>130</v>
      </c>
      <c r="G4741" s="208" t="s">
        <v>130</v>
      </c>
      <c r="H4741" s="208" t="s">
        <v>182</v>
      </c>
      <c r="I4741" s="208"/>
      <c r="J4741" s="209"/>
      <c r="K4741" s="209"/>
      <c r="L4741" s="209"/>
      <c r="M4741" s="209"/>
      <c r="N4741" s="209"/>
      <c r="O4741" s="209"/>
      <c r="P4741" s="209"/>
      <c r="Q4741" s="209"/>
      <c r="R4741" s="209"/>
      <c r="S4741" s="209"/>
      <c r="T4741" s="209"/>
    </row>
    <row r="4742" spans="1:20" ht="15" hidden="1" customHeight="1">
      <c r="A4742" s="468">
        <v>45491</v>
      </c>
      <c r="B4742" s="208" t="s">
        <v>3999</v>
      </c>
      <c r="C4742" s="208" t="s">
        <v>27</v>
      </c>
      <c r="D4742" s="211">
        <v>-637500</v>
      </c>
      <c r="E4742" s="212">
        <v>45474</v>
      </c>
      <c r="F4742" s="208" t="s">
        <v>130</v>
      </c>
      <c r="G4742" s="208" t="s">
        <v>130</v>
      </c>
      <c r="H4742" s="208" t="s">
        <v>182</v>
      </c>
      <c r="I4742" s="208"/>
      <c r="J4742" s="209"/>
      <c r="K4742" s="209"/>
      <c r="L4742" s="209"/>
      <c r="M4742" s="209"/>
      <c r="N4742" s="209"/>
      <c r="O4742" s="209"/>
      <c r="P4742" s="209"/>
      <c r="Q4742" s="209"/>
      <c r="R4742" s="209"/>
      <c r="S4742" s="209"/>
      <c r="T4742" s="209"/>
    </row>
    <row r="4743" spans="1:20" ht="15" hidden="1" customHeight="1">
      <c r="A4743" s="468">
        <v>45491</v>
      </c>
      <c r="B4743" s="208" t="s">
        <v>4000</v>
      </c>
      <c r="C4743" s="208" t="s">
        <v>27</v>
      </c>
      <c r="D4743" s="211">
        <v>-387200</v>
      </c>
      <c r="E4743" s="212">
        <v>45474</v>
      </c>
      <c r="F4743" s="208" t="s">
        <v>130</v>
      </c>
      <c r="G4743" s="208" t="s">
        <v>130</v>
      </c>
      <c r="H4743" s="208" t="s">
        <v>182</v>
      </c>
      <c r="I4743" s="208"/>
      <c r="J4743" s="209"/>
      <c r="K4743" s="209"/>
      <c r="L4743" s="209"/>
      <c r="M4743" s="209"/>
      <c r="N4743" s="209"/>
      <c r="O4743" s="209"/>
      <c r="P4743" s="209"/>
      <c r="Q4743" s="209"/>
      <c r="R4743" s="209"/>
      <c r="S4743" s="209"/>
      <c r="T4743" s="209"/>
    </row>
    <row r="4744" spans="1:20" ht="15" hidden="1" customHeight="1">
      <c r="A4744" s="468">
        <v>45491</v>
      </c>
      <c r="B4744" s="208" t="s">
        <v>4001</v>
      </c>
      <c r="C4744" s="208" t="s">
        <v>27</v>
      </c>
      <c r="D4744" s="211">
        <v>-318900</v>
      </c>
      <c r="E4744" s="212">
        <v>45474</v>
      </c>
      <c r="F4744" s="208" t="s">
        <v>130</v>
      </c>
      <c r="G4744" s="208" t="s">
        <v>130</v>
      </c>
      <c r="H4744" s="208" t="s">
        <v>182</v>
      </c>
      <c r="I4744" s="208"/>
      <c r="J4744" s="209"/>
      <c r="K4744" s="209"/>
      <c r="L4744" s="209"/>
      <c r="M4744" s="209"/>
      <c r="N4744" s="209"/>
      <c r="O4744" s="209"/>
      <c r="P4744" s="209"/>
      <c r="Q4744" s="209"/>
      <c r="R4744" s="209"/>
      <c r="S4744" s="209"/>
      <c r="T4744" s="209"/>
    </row>
    <row r="4745" spans="1:20" ht="15" hidden="1" customHeight="1">
      <c r="A4745" s="468">
        <v>45491</v>
      </c>
      <c r="B4745" s="208" t="s">
        <v>4002</v>
      </c>
      <c r="C4745" s="208" t="s">
        <v>27</v>
      </c>
      <c r="D4745" s="211">
        <v>-318800</v>
      </c>
      <c r="E4745" s="212">
        <v>45474</v>
      </c>
      <c r="F4745" s="208" t="s">
        <v>130</v>
      </c>
      <c r="G4745" s="208" t="s">
        <v>130</v>
      </c>
      <c r="H4745" s="208" t="s">
        <v>182</v>
      </c>
      <c r="I4745" s="208"/>
      <c r="J4745" s="209"/>
      <c r="K4745" s="209"/>
      <c r="L4745" s="209"/>
      <c r="M4745" s="209"/>
      <c r="N4745" s="209"/>
      <c r="O4745" s="209"/>
      <c r="P4745" s="209"/>
      <c r="Q4745" s="209"/>
      <c r="R4745" s="209"/>
      <c r="S4745" s="209"/>
      <c r="T4745" s="209"/>
    </row>
    <row r="4746" spans="1:20" ht="15" hidden="1" customHeight="1">
      <c r="A4746" s="468">
        <v>45491</v>
      </c>
      <c r="B4746" s="208" t="s">
        <v>4003</v>
      </c>
      <c r="C4746" s="208" t="s">
        <v>27</v>
      </c>
      <c r="D4746" s="211">
        <v>-414400</v>
      </c>
      <c r="E4746" s="212">
        <v>45474</v>
      </c>
      <c r="F4746" s="208" t="s">
        <v>130</v>
      </c>
      <c r="G4746" s="208" t="s">
        <v>130</v>
      </c>
      <c r="H4746" s="208" t="s">
        <v>182</v>
      </c>
      <c r="I4746" s="208"/>
      <c r="J4746" s="209"/>
      <c r="K4746" s="209"/>
      <c r="L4746" s="209"/>
      <c r="M4746" s="209"/>
      <c r="N4746" s="209"/>
      <c r="O4746" s="209"/>
      <c r="P4746" s="209"/>
      <c r="Q4746" s="209"/>
      <c r="R4746" s="209"/>
      <c r="S4746" s="209"/>
      <c r="T4746" s="209"/>
    </row>
    <row r="4747" spans="1:20" ht="15" hidden="1" customHeight="1">
      <c r="A4747" s="468">
        <v>45491</v>
      </c>
      <c r="B4747" s="208" t="s">
        <v>4004</v>
      </c>
      <c r="C4747" s="208" t="s">
        <v>27</v>
      </c>
      <c r="D4747" s="211">
        <v>-256200</v>
      </c>
      <c r="E4747" s="212">
        <v>45474</v>
      </c>
      <c r="F4747" s="208" t="s">
        <v>109</v>
      </c>
      <c r="G4747" s="201" t="s">
        <v>1306</v>
      </c>
      <c r="H4747" s="208" t="s">
        <v>508</v>
      </c>
      <c r="I4747" s="208"/>
      <c r="J4747" s="209"/>
      <c r="K4747" s="209"/>
      <c r="L4747" s="209"/>
      <c r="M4747" s="209"/>
      <c r="N4747" s="209"/>
      <c r="O4747" s="209"/>
      <c r="P4747" s="209"/>
      <c r="Q4747" s="209"/>
      <c r="R4747" s="209"/>
      <c r="S4747" s="209"/>
      <c r="T4747" s="209"/>
    </row>
    <row r="4748" spans="1:20" ht="15" hidden="1" customHeight="1">
      <c r="A4748" s="468">
        <v>45491</v>
      </c>
      <c r="B4748" s="208" t="s">
        <v>4004</v>
      </c>
      <c r="C4748" s="208" t="s">
        <v>27</v>
      </c>
      <c r="D4748" s="211">
        <v>-256200</v>
      </c>
      <c r="E4748" s="212">
        <v>45474</v>
      </c>
      <c r="F4748" s="201" t="s">
        <v>110</v>
      </c>
      <c r="G4748" s="208" t="s">
        <v>774</v>
      </c>
      <c r="H4748" s="208" t="s">
        <v>508</v>
      </c>
      <c r="I4748" s="208"/>
      <c r="J4748" s="209"/>
      <c r="K4748" s="209"/>
      <c r="L4748" s="209"/>
      <c r="M4748" s="209"/>
      <c r="N4748" s="209"/>
      <c r="O4748" s="209"/>
      <c r="P4748" s="209"/>
      <c r="Q4748" s="209"/>
      <c r="R4748" s="209"/>
      <c r="S4748" s="209"/>
      <c r="T4748" s="209"/>
    </row>
    <row r="4749" spans="1:20" ht="15" hidden="1" customHeight="1">
      <c r="A4749" s="468">
        <v>45491</v>
      </c>
      <c r="B4749" s="208" t="s">
        <v>4004</v>
      </c>
      <c r="C4749" s="208" t="s">
        <v>27</v>
      </c>
      <c r="D4749" s="211">
        <v>-256200</v>
      </c>
      <c r="E4749" s="212">
        <v>45474</v>
      </c>
      <c r="F4749" s="208" t="s">
        <v>207</v>
      </c>
      <c r="G4749" s="81" t="s">
        <v>2226</v>
      </c>
      <c r="H4749" s="208" t="s">
        <v>508</v>
      </c>
      <c r="I4749" s="208"/>
      <c r="J4749" s="209"/>
      <c r="K4749" s="209"/>
      <c r="L4749" s="209"/>
      <c r="M4749" s="209"/>
      <c r="N4749" s="209"/>
      <c r="O4749" s="209"/>
      <c r="P4749" s="209"/>
      <c r="Q4749" s="209"/>
      <c r="R4749" s="209"/>
      <c r="S4749" s="209"/>
      <c r="T4749" s="209"/>
    </row>
    <row r="4750" spans="1:20" ht="15" hidden="1" customHeight="1">
      <c r="A4750" s="468">
        <v>45491</v>
      </c>
      <c r="B4750" s="208" t="s">
        <v>4005</v>
      </c>
      <c r="C4750" s="208" t="s">
        <v>27</v>
      </c>
      <c r="D4750" s="211">
        <v>-315800</v>
      </c>
      <c r="E4750" s="212">
        <v>45474</v>
      </c>
      <c r="F4750" s="208" t="s">
        <v>109</v>
      </c>
      <c r="G4750" s="201" t="s">
        <v>1306</v>
      </c>
      <c r="H4750" s="208" t="s">
        <v>508</v>
      </c>
      <c r="I4750" s="208"/>
      <c r="J4750" s="209"/>
      <c r="K4750" s="209"/>
      <c r="L4750" s="209"/>
      <c r="M4750" s="209"/>
      <c r="N4750" s="209"/>
      <c r="O4750" s="209"/>
      <c r="P4750" s="209"/>
      <c r="Q4750" s="209"/>
      <c r="R4750" s="209"/>
      <c r="S4750" s="209"/>
      <c r="T4750" s="209"/>
    </row>
    <row r="4751" spans="1:20" ht="15" hidden="1" customHeight="1">
      <c r="A4751" s="468">
        <v>45491</v>
      </c>
      <c r="B4751" s="208" t="s">
        <v>4005</v>
      </c>
      <c r="C4751" s="208" t="s">
        <v>27</v>
      </c>
      <c r="D4751" s="211">
        <v>-315800</v>
      </c>
      <c r="E4751" s="212">
        <v>45474</v>
      </c>
      <c r="F4751" s="201" t="s">
        <v>110</v>
      </c>
      <c r="G4751" s="208" t="s">
        <v>774</v>
      </c>
      <c r="H4751" s="208" t="s">
        <v>508</v>
      </c>
      <c r="I4751" s="208"/>
      <c r="J4751" s="209"/>
      <c r="K4751" s="209"/>
      <c r="L4751" s="209"/>
      <c r="M4751" s="209"/>
      <c r="N4751" s="209"/>
      <c r="O4751" s="209"/>
      <c r="P4751" s="209"/>
      <c r="Q4751" s="209"/>
      <c r="R4751" s="209"/>
      <c r="S4751" s="209"/>
      <c r="T4751" s="209"/>
    </row>
    <row r="4752" spans="1:20" ht="15" hidden="1" customHeight="1">
      <c r="A4752" s="468">
        <v>45491</v>
      </c>
      <c r="B4752" s="208" t="s">
        <v>4005</v>
      </c>
      <c r="C4752" s="208" t="s">
        <v>27</v>
      </c>
      <c r="D4752" s="211">
        <v>-315800</v>
      </c>
      <c r="E4752" s="212">
        <v>45474</v>
      </c>
      <c r="F4752" s="208" t="s">
        <v>207</v>
      </c>
      <c r="G4752" s="81" t="s">
        <v>2226</v>
      </c>
      <c r="H4752" s="208" t="s">
        <v>508</v>
      </c>
      <c r="I4752" s="208"/>
      <c r="J4752" s="209"/>
      <c r="K4752" s="209"/>
      <c r="L4752" s="209"/>
      <c r="M4752" s="209"/>
      <c r="N4752" s="209"/>
      <c r="O4752" s="209"/>
      <c r="P4752" s="209"/>
      <c r="Q4752" s="209"/>
      <c r="R4752" s="209"/>
      <c r="S4752" s="209"/>
      <c r="T4752" s="209"/>
    </row>
    <row r="4753" spans="1:20" ht="15" hidden="1" customHeight="1">
      <c r="A4753" s="468">
        <v>45491</v>
      </c>
      <c r="B4753" s="208" t="s">
        <v>4006</v>
      </c>
      <c r="C4753" s="208" t="s">
        <v>27</v>
      </c>
      <c r="D4753" s="211">
        <v>-891500</v>
      </c>
      <c r="E4753" s="212">
        <v>45474</v>
      </c>
      <c r="F4753" s="208" t="s">
        <v>130</v>
      </c>
      <c r="G4753" s="638" t="s">
        <v>257</v>
      </c>
      <c r="H4753" s="208" t="s">
        <v>182</v>
      </c>
      <c r="I4753" s="208"/>
      <c r="J4753" s="209"/>
      <c r="K4753" s="209"/>
      <c r="L4753" s="209"/>
      <c r="M4753" s="209"/>
      <c r="N4753" s="209"/>
      <c r="O4753" s="209"/>
      <c r="P4753" s="209"/>
      <c r="Q4753" s="209"/>
      <c r="R4753" s="209"/>
      <c r="S4753" s="209"/>
      <c r="T4753" s="209"/>
    </row>
    <row r="4754" spans="1:20" ht="15" hidden="1" customHeight="1">
      <c r="A4754" s="468">
        <v>45491</v>
      </c>
      <c r="B4754" s="208" t="s">
        <v>4007</v>
      </c>
      <c r="C4754" s="208" t="s">
        <v>27</v>
      </c>
      <c r="D4754" s="718">
        <v>-2051900</v>
      </c>
      <c r="E4754" s="212">
        <v>45474</v>
      </c>
      <c r="F4754" s="208" t="s">
        <v>109</v>
      </c>
      <c r="G4754" s="201" t="s">
        <v>581</v>
      </c>
      <c r="H4754" s="208" t="s">
        <v>508</v>
      </c>
      <c r="I4754" s="208"/>
      <c r="J4754" s="209"/>
      <c r="K4754" s="209"/>
      <c r="L4754" s="209"/>
      <c r="M4754" s="209"/>
      <c r="N4754" s="209"/>
      <c r="O4754" s="209"/>
      <c r="P4754" s="209"/>
      <c r="Q4754" s="209"/>
      <c r="R4754" s="209"/>
      <c r="S4754" s="209"/>
      <c r="T4754" s="209"/>
    </row>
    <row r="4755" spans="1:20" ht="15" hidden="1" customHeight="1">
      <c r="A4755" s="468">
        <v>45491</v>
      </c>
      <c r="B4755" s="208" t="s">
        <v>4008</v>
      </c>
      <c r="C4755" s="208" t="s">
        <v>27</v>
      </c>
      <c r="D4755" s="718">
        <v>-947400</v>
      </c>
      <c r="E4755" s="212">
        <v>45474</v>
      </c>
      <c r="F4755" s="208" t="s">
        <v>109</v>
      </c>
      <c r="G4755" s="201" t="s">
        <v>581</v>
      </c>
      <c r="H4755" s="208" t="s">
        <v>508</v>
      </c>
      <c r="I4755" s="208"/>
      <c r="J4755" s="209"/>
      <c r="K4755" s="209"/>
      <c r="L4755" s="209"/>
      <c r="M4755" s="209"/>
      <c r="N4755" s="209"/>
      <c r="O4755" s="209"/>
      <c r="P4755" s="209"/>
      <c r="Q4755" s="209"/>
      <c r="R4755" s="209"/>
      <c r="S4755" s="209"/>
      <c r="T4755" s="209"/>
    </row>
    <row r="4756" spans="1:20" ht="15" hidden="1" customHeight="1">
      <c r="A4756" s="468">
        <v>45491</v>
      </c>
      <c r="B4756" s="208" t="s">
        <v>4009</v>
      </c>
      <c r="C4756" s="208" t="s">
        <v>27</v>
      </c>
      <c r="D4756" s="211">
        <v>-614900</v>
      </c>
      <c r="E4756" s="212">
        <v>45474</v>
      </c>
      <c r="F4756" s="208" t="s">
        <v>130</v>
      </c>
      <c r="G4756" s="208" t="s">
        <v>257</v>
      </c>
      <c r="H4756" s="208" t="s">
        <v>182</v>
      </c>
      <c r="I4756" s="208"/>
      <c r="J4756" s="209"/>
      <c r="K4756" s="209"/>
      <c r="L4756" s="209"/>
      <c r="M4756" s="209"/>
      <c r="N4756" s="209"/>
      <c r="O4756" s="209"/>
      <c r="P4756" s="209"/>
      <c r="Q4756" s="209"/>
      <c r="R4756" s="209"/>
      <c r="S4756" s="209"/>
      <c r="T4756" s="209"/>
    </row>
    <row r="4757" spans="1:20" ht="15" hidden="1" customHeight="1">
      <c r="A4757" s="468">
        <v>45491</v>
      </c>
      <c r="B4757" s="208" t="s">
        <v>4010</v>
      </c>
      <c r="C4757" s="208" t="s">
        <v>27</v>
      </c>
      <c r="D4757" s="211">
        <v>-179600</v>
      </c>
      <c r="E4757" s="212">
        <v>45474</v>
      </c>
      <c r="F4757" s="208" t="s">
        <v>109</v>
      </c>
      <c r="G4757" s="201" t="s">
        <v>1306</v>
      </c>
      <c r="H4757" s="208" t="s">
        <v>147</v>
      </c>
      <c r="I4757" s="208"/>
      <c r="J4757" s="209"/>
      <c r="K4757" s="209"/>
      <c r="L4757" s="209"/>
      <c r="M4757" s="209"/>
      <c r="N4757" s="209"/>
      <c r="O4757" s="209"/>
      <c r="P4757" s="209"/>
      <c r="Q4757" s="209"/>
      <c r="R4757" s="209"/>
      <c r="S4757" s="209"/>
      <c r="T4757" s="209"/>
    </row>
    <row r="4758" spans="1:20" ht="15" hidden="1" customHeight="1">
      <c r="A4758" s="468">
        <v>45491</v>
      </c>
      <c r="B4758" s="208" t="s">
        <v>4010</v>
      </c>
      <c r="C4758" s="208" t="s">
        <v>27</v>
      </c>
      <c r="D4758" s="211">
        <v>-179600</v>
      </c>
      <c r="E4758" s="212">
        <v>45474</v>
      </c>
      <c r="F4758" s="201" t="s">
        <v>110</v>
      </c>
      <c r="G4758" s="208" t="s">
        <v>774</v>
      </c>
      <c r="H4758" s="208" t="s">
        <v>147</v>
      </c>
      <c r="I4758" s="208"/>
      <c r="J4758" s="209"/>
      <c r="K4758" s="209"/>
      <c r="L4758" s="209"/>
      <c r="M4758" s="209"/>
      <c r="N4758" s="209"/>
      <c r="O4758" s="209"/>
      <c r="P4758" s="209"/>
      <c r="Q4758" s="209"/>
      <c r="R4758" s="209"/>
      <c r="S4758" s="209"/>
      <c r="T4758" s="209"/>
    </row>
    <row r="4759" spans="1:20" ht="15" hidden="1" customHeight="1">
      <c r="A4759" s="468">
        <v>45491</v>
      </c>
      <c r="B4759" s="208" t="s">
        <v>4010</v>
      </c>
      <c r="C4759" s="208" t="s">
        <v>27</v>
      </c>
      <c r="D4759" s="211">
        <v>-179600</v>
      </c>
      <c r="E4759" s="212">
        <v>45474</v>
      </c>
      <c r="F4759" s="208" t="s">
        <v>207</v>
      </c>
      <c r="G4759" s="81" t="s">
        <v>2226</v>
      </c>
      <c r="H4759" s="208" t="s">
        <v>147</v>
      </c>
      <c r="I4759" s="208"/>
      <c r="J4759" s="209"/>
      <c r="K4759" s="209"/>
      <c r="L4759" s="209"/>
      <c r="M4759" s="209"/>
      <c r="N4759" s="209"/>
      <c r="O4759" s="209"/>
      <c r="P4759" s="209"/>
      <c r="Q4759" s="209"/>
      <c r="R4759" s="209"/>
      <c r="S4759" s="209"/>
      <c r="T4759" s="209"/>
    </row>
    <row r="4760" spans="1:20" ht="15" hidden="1" customHeight="1">
      <c r="A4760" s="468">
        <v>45491</v>
      </c>
      <c r="B4760" s="208" t="s">
        <v>4011</v>
      </c>
      <c r="C4760" s="208" t="s">
        <v>27</v>
      </c>
      <c r="D4760" s="211">
        <v>-750400</v>
      </c>
      <c r="E4760" s="212">
        <v>45474</v>
      </c>
      <c r="F4760" s="208" t="s">
        <v>109</v>
      </c>
      <c r="G4760" s="638" t="s">
        <v>3644</v>
      </c>
      <c r="H4760" s="208" t="s">
        <v>2421</v>
      </c>
      <c r="I4760" s="208"/>
      <c r="J4760" s="209"/>
      <c r="K4760" s="209"/>
      <c r="L4760" s="209"/>
      <c r="M4760" s="209"/>
      <c r="N4760" s="209"/>
      <c r="O4760" s="209"/>
      <c r="P4760" s="209"/>
      <c r="Q4760" s="209"/>
      <c r="R4760" s="209"/>
      <c r="S4760" s="209"/>
      <c r="T4760" s="209"/>
    </row>
    <row r="4761" spans="1:20" ht="15" hidden="1" customHeight="1">
      <c r="A4761" s="468">
        <v>45491</v>
      </c>
      <c r="B4761" s="208" t="s">
        <v>4012</v>
      </c>
      <c r="C4761" s="208" t="s">
        <v>27</v>
      </c>
      <c r="D4761" s="211">
        <v>-1562000</v>
      </c>
      <c r="E4761" s="212">
        <v>45474</v>
      </c>
      <c r="F4761" s="208" t="s">
        <v>130</v>
      </c>
      <c r="G4761" s="208" t="s">
        <v>257</v>
      </c>
      <c r="H4761" s="208" t="s">
        <v>182</v>
      </c>
      <c r="I4761" s="208"/>
      <c r="J4761" s="209"/>
      <c r="K4761" s="209"/>
      <c r="L4761" s="209"/>
      <c r="M4761" s="209"/>
      <c r="N4761" s="209"/>
      <c r="O4761" s="209"/>
      <c r="P4761" s="209"/>
      <c r="Q4761" s="209"/>
      <c r="R4761" s="209"/>
      <c r="S4761" s="209"/>
      <c r="T4761" s="209"/>
    </row>
    <row r="4762" spans="1:20" ht="15" hidden="1" customHeight="1">
      <c r="A4762" s="468">
        <v>45491</v>
      </c>
      <c r="B4762" s="208" t="s">
        <v>4013</v>
      </c>
      <c r="C4762" s="208" t="s">
        <v>27</v>
      </c>
      <c r="D4762" s="211">
        <v>-1078600</v>
      </c>
      <c r="E4762" s="212">
        <v>45474</v>
      </c>
      <c r="F4762" s="208" t="s">
        <v>130</v>
      </c>
      <c r="G4762" s="208" t="s">
        <v>130</v>
      </c>
      <c r="H4762" s="208" t="s">
        <v>182</v>
      </c>
      <c r="I4762" s="208"/>
      <c r="J4762" s="209"/>
      <c r="K4762" s="209"/>
      <c r="L4762" s="209"/>
      <c r="M4762" s="209"/>
      <c r="N4762" s="209"/>
      <c r="O4762" s="209"/>
      <c r="P4762" s="209"/>
      <c r="Q4762" s="209"/>
      <c r="R4762" s="209"/>
      <c r="S4762" s="209"/>
      <c r="T4762" s="209"/>
    </row>
    <row r="4763" spans="1:20" ht="15" hidden="1" customHeight="1">
      <c r="A4763" s="468">
        <v>45491</v>
      </c>
      <c r="B4763" s="208" t="s">
        <v>4014</v>
      </c>
      <c r="C4763" s="208" t="s">
        <v>27</v>
      </c>
      <c r="D4763" s="211">
        <v>-1562000</v>
      </c>
      <c r="E4763" s="212">
        <v>45474</v>
      </c>
      <c r="F4763" s="208" t="s">
        <v>109</v>
      </c>
      <c r="G4763" s="208" t="s">
        <v>3644</v>
      </c>
      <c r="H4763" s="208" t="s">
        <v>2421</v>
      </c>
      <c r="I4763" s="208"/>
      <c r="J4763" s="209"/>
      <c r="K4763" s="209"/>
      <c r="L4763" s="209"/>
      <c r="M4763" s="209"/>
      <c r="N4763" s="209"/>
      <c r="O4763" s="209"/>
      <c r="P4763" s="209"/>
      <c r="Q4763" s="209"/>
      <c r="R4763" s="209"/>
      <c r="S4763" s="209"/>
      <c r="T4763" s="209"/>
    </row>
    <row r="4764" spans="1:20" ht="15" hidden="1" customHeight="1">
      <c r="A4764" s="468">
        <v>45491</v>
      </c>
      <c r="B4764" s="208" t="s">
        <v>4015</v>
      </c>
      <c r="C4764" s="208" t="s">
        <v>27</v>
      </c>
      <c r="D4764" s="718">
        <v>-402500</v>
      </c>
      <c r="E4764" s="212">
        <v>45474</v>
      </c>
      <c r="F4764" s="208" t="s">
        <v>109</v>
      </c>
      <c r="G4764" s="201" t="s">
        <v>581</v>
      </c>
      <c r="H4764" s="208" t="s">
        <v>147</v>
      </c>
      <c r="I4764" s="208"/>
      <c r="J4764" s="209"/>
      <c r="K4764" s="209"/>
      <c r="L4764" s="209"/>
      <c r="M4764" s="209"/>
      <c r="N4764" s="209"/>
      <c r="O4764" s="209"/>
      <c r="P4764" s="209"/>
      <c r="Q4764" s="209"/>
      <c r="R4764" s="209"/>
      <c r="S4764" s="209"/>
      <c r="T4764" s="209"/>
    </row>
    <row r="4765" spans="1:20" ht="15" hidden="1" customHeight="1">
      <c r="A4765" s="468">
        <v>45491</v>
      </c>
      <c r="B4765" s="208" t="s">
        <v>4016</v>
      </c>
      <c r="C4765" s="208" t="s">
        <v>27</v>
      </c>
      <c r="D4765" s="718">
        <v>-895100</v>
      </c>
      <c r="E4765" s="212">
        <v>45474</v>
      </c>
      <c r="F4765" s="208" t="s">
        <v>109</v>
      </c>
      <c r="G4765" s="201" t="s">
        <v>581</v>
      </c>
      <c r="H4765" s="208" t="s">
        <v>147</v>
      </c>
      <c r="I4765" s="208"/>
      <c r="J4765" s="209"/>
      <c r="K4765" s="209"/>
      <c r="L4765" s="209"/>
      <c r="M4765" s="209"/>
      <c r="N4765" s="209"/>
      <c r="O4765" s="209"/>
      <c r="P4765" s="209"/>
      <c r="Q4765" s="209"/>
      <c r="R4765" s="209"/>
      <c r="S4765" s="209"/>
      <c r="T4765" s="209"/>
    </row>
    <row r="4766" spans="1:20" ht="15" hidden="1" customHeight="1">
      <c r="A4766" s="468">
        <v>45491</v>
      </c>
      <c r="B4766" s="208" t="s">
        <v>4017</v>
      </c>
      <c r="C4766" s="208" t="s">
        <v>27</v>
      </c>
      <c r="D4766" s="718">
        <v>-685600</v>
      </c>
      <c r="E4766" s="212">
        <v>45474</v>
      </c>
      <c r="F4766" s="208" t="s">
        <v>109</v>
      </c>
      <c r="G4766" s="201" t="s">
        <v>581</v>
      </c>
      <c r="H4766" s="208" t="s">
        <v>147</v>
      </c>
      <c r="I4766" s="208"/>
      <c r="J4766" s="209"/>
      <c r="K4766" s="209"/>
      <c r="L4766" s="209"/>
      <c r="M4766" s="209"/>
      <c r="N4766" s="209"/>
      <c r="O4766" s="209"/>
      <c r="P4766" s="209"/>
      <c r="Q4766" s="209"/>
      <c r="R4766" s="209"/>
      <c r="S4766" s="209"/>
      <c r="T4766" s="209"/>
    </row>
    <row r="4767" spans="1:20" ht="15" hidden="1" customHeight="1">
      <c r="A4767" s="468">
        <v>45491</v>
      </c>
      <c r="B4767" s="208" t="s">
        <v>4018</v>
      </c>
      <c r="C4767" s="208" t="s">
        <v>27</v>
      </c>
      <c r="D4767" s="718">
        <v>-416500</v>
      </c>
      <c r="E4767" s="212">
        <v>45474</v>
      </c>
      <c r="F4767" s="208" t="s">
        <v>109</v>
      </c>
      <c r="G4767" s="201" t="s">
        <v>581</v>
      </c>
      <c r="H4767" s="208" t="s">
        <v>147</v>
      </c>
      <c r="I4767" s="208"/>
      <c r="J4767" s="209"/>
      <c r="K4767" s="209"/>
      <c r="L4767" s="209"/>
      <c r="M4767" s="209"/>
      <c r="N4767" s="209"/>
      <c r="O4767" s="209"/>
      <c r="P4767" s="209"/>
      <c r="Q4767" s="209"/>
      <c r="R4767" s="209"/>
      <c r="S4767" s="209"/>
      <c r="T4767" s="209"/>
    </row>
    <row r="4768" spans="1:20" ht="15" hidden="1" customHeight="1">
      <c r="A4768" s="468">
        <v>45491</v>
      </c>
      <c r="B4768" s="208" t="s">
        <v>4019</v>
      </c>
      <c r="C4768" s="208" t="s">
        <v>27</v>
      </c>
      <c r="D4768" s="211">
        <v>-349000</v>
      </c>
      <c r="E4768" s="212">
        <v>45474</v>
      </c>
      <c r="F4768" s="208" t="s">
        <v>207</v>
      </c>
      <c r="G4768" s="81" t="s">
        <v>2226</v>
      </c>
      <c r="H4768" s="208" t="s">
        <v>147</v>
      </c>
      <c r="I4768" s="208"/>
      <c r="J4768" s="209"/>
      <c r="K4768" s="209"/>
      <c r="L4768" s="209"/>
      <c r="M4768" s="209"/>
      <c r="N4768" s="209"/>
      <c r="O4768" s="209"/>
      <c r="P4768" s="209"/>
      <c r="Q4768" s="209"/>
      <c r="R4768" s="209"/>
      <c r="S4768" s="209"/>
      <c r="T4768" s="209"/>
    </row>
    <row r="4769" spans="1:20" ht="15" hidden="1" customHeight="1">
      <c r="A4769" s="468">
        <v>45491</v>
      </c>
      <c r="B4769" s="208" t="s">
        <v>4020</v>
      </c>
      <c r="C4769" s="208" t="s">
        <v>27</v>
      </c>
      <c r="D4769" s="211">
        <v>-411700</v>
      </c>
      <c r="E4769" s="212">
        <v>45474</v>
      </c>
      <c r="F4769" s="208" t="s">
        <v>109</v>
      </c>
      <c r="G4769" s="201" t="s">
        <v>1306</v>
      </c>
      <c r="H4769" s="208" t="s">
        <v>147</v>
      </c>
      <c r="I4769" s="208"/>
      <c r="J4769" s="209"/>
      <c r="K4769" s="209"/>
      <c r="L4769" s="209"/>
      <c r="M4769" s="209"/>
      <c r="N4769" s="209"/>
      <c r="O4769" s="209"/>
      <c r="P4769" s="209"/>
      <c r="Q4769" s="209"/>
      <c r="R4769" s="209"/>
      <c r="S4769" s="209"/>
      <c r="T4769" s="209"/>
    </row>
    <row r="4770" spans="1:20" ht="15" hidden="1" customHeight="1">
      <c r="A4770" s="468">
        <v>45491</v>
      </c>
      <c r="B4770" s="208" t="s">
        <v>4021</v>
      </c>
      <c r="C4770" s="208" t="s">
        <v>27</v>
      </c>
      <c r="D4770" s="211">
        <v>-448200</v>
      </c>
      <c r="E4770" s="212">
        <v>45474</v>
      </c>
      <c r="F4770" s="201" t="s">
        <v>110</v>
      </c>
      <c r="G4770" s="208" t="s">
        <v>774</v>
      </c>
      <c r="H4770" s="208" t="s">
        <v>147</v>
      </c>
      <c r="I4770" s="208"/>
      <c r="J4770" s="209"/>
      <c r="K4770" s="209"/>
      <c r="L4770" s="209"/>
      <c r="M4770" s="209"/>
      <c r="N4770" s="209"/>
      <c r="O4770" s="209"/>
      <c r="P4770" s="209"/>
      <c r="Q4770" s="209"/>
      <c r="R4770" s="209"/>
      <c r="S4770" s="209"/>
      <c r="T4770" s="209"/>
    </row>
    <row r="4771" spans="1:20" ht="15" hidden="1" customHeight="1">
      <c r="A4771" s="468">
        <v>45491</v>
      </c>
      <c r="B4771" s="208" t="s">
        <v>4022</v>
      </c>
      <c r="C4771" s="208" t="s">
        <v>27</v>
      </c>
      <c r="D4771" s="211">
        <v>-134600</v>
      </c>
      <c r="E4771" s="212">
        <v>45474</v>
      </c>
      <c r="F4771" s="208" t="s">
        <v>130</v>
      </c>
      <c r="G4771" s="208" t="s">
        <v>130</v>
      </c>
      <c r="H4771" s="208" t="s">
        <v>182</v>
      </c>
      <c r="I4771" s="208"/>
      <c r="J4771" s="209"/>
      <c r="K4771" s="209"/>
      <c r="L4771" s="209"/>
      <c r="M4771" s="209"/>
      <c r="N4771" s="209"/>
      <c r="O4771" s="209"/>
      <c r="P4771" s="209"/>
      <c r="Q4771" s="209"/>
      <c r="R4771" s="209"/>
      <c r="S4771" s="209"/>
      <c r="T4771" s="209"/>
    </row>
    <row r="4772" spans="1:20" ht="15" hidden="1" customHeight="1">
      <c r="A4772" s="468">
        <v>45491</v>
      </c>
      <c r="B4772" s="208" t="s">
        <v>4023</v>
      </c>
      <c r="C4772" s="208" t="s">
        <v>27</v>
      </c>
      <c r="D4772" s="718">
        <v>-410100</v>
      </c>
      <c r="E4772" s="212">
        <v>45474</v>
      </c>
      <c r="F4772" s="208" t="s">
        <v>109</v>
      </c>
      <c r="G4772" s="201" t="s">
        <v>581</v>
      </c>
      <c r="H4772" s="208" t="s">
        <v>147</v>
      </c>
      <c r="I4772" s="208"/>
      <c r="J4772" s="209"/>
      <c r="K4772" s="209"/>
      <c r="L4772" s="209"/>
      <c r="M4772" s="209"/>
      <c r="N4772" s="209"/>
      <c r="O4772" s="209"/>
      <c r="P4772" s="209"/>
      <c r="Q4772" s="209"/>
      <c r="R4772" s="209"/>
      <c r="S4772" s="209"/>
      <c r="T4772" s="209"/>
    </row>
    <row r="4773" spans="1:20" s="209" customFormat="1" ht="15" hidden="1" customHeight="1">
      <c r="A4773" s="468">
        <v>45491</v>
      </c>
      <c r="B4773" s="208" t="s">
        <v>4024</v>
      </c>
      <c r="C4773" s="208" t="s">
        <v>27</v>
      </c>
      <c r="D4773" s="718">
        <v>-415500</v>
      </c>
      <c r="E4773" s="212">
        <v>45474</v>
      </c>
      <c r="F4773" s="208" t="s">
        <v>109</v>
      </c>
      <c r="G4773" s="201" t="s">
        <v>581</v>
      </c>
      <c r="H4773" s="208" t="s">
        <v>147</v>
      </c>
      <c r="I4773" s="208"/>
    </row>
    <row r="4774" spans="1:20" ht="15" hidden="1" customHeight="1">
      <c r="A4774" s="468">
        <v>45491</v>
      </c>
      <c r="B4774" s="208" t="s">
        <v>4025</v>
      </c>
      <c r="C4774" s="208" t="s">
        <v>27</v>
      </c>
      <c r="D4774" s="211">
        <v>-349000</v>
      </c>
      <c r="E4774" s="212">
        <v>45474</v>
      </c>
      <c r="F4774" s="201" t="s">
        <v>110</v>
      </c>
      <c r="G4774" s="208" t="s">
        <v>774</v>
      </c>
      <c r="H4774" s="208" t="s">
        <v>147</v>
      </c>
      <c r="I4774" s="208"/>
      <c r="J4774" s="209"/>
      <c r="K4774" s="209"/>
      <c r="L4774" s="209"/>
      <c r="M4774" s="209"/>
      <c r="N4774" s="209"/>
      <c r="O4774" s="209"/>
      <c r="P4774" s="209"/>
      <c r="Q4774" s="209"/>
      <c r="R4774" s="209"/>
      <c r="S4774" s="209"/>
      <c r="T4774" s="209"/>
    </row>
    <row r="4775" spans="1:20" ht="15" hidden="1" customHeight="1">
      <c r="A4775" s="468">
        <v>45491</v>
      </c>
      <c r="B4775" s="208" t="s">
        <v>4026</v>
      </c>
      <c r="C4775" s="208" t="s">
        <v>27</v>
      </c>
      <c r="D4775" s="718">
        <v>-407000</v>
      </c>
      <c r="E4775" s="212">
        <v>45474</v>
      </c>
      <c r="F4775" s="208" t="s">
        <v>109</v>
      </c>
      <c r="G4775" s="201" t="s">
        <v>581</v>
      </c>
      <c r="H4775" s="208" t="s">
        <v>147</v>
      </c>
      <c r="I4775" s="208"/>
      <c r="J4775" s="209"/>
      <c r="K4775" s="209"/>
      <c r="L4775" s="209"/>
      <c r="M4775" s="209"/>
      <c r="N4775" s="209"/>
      <c r="O4775" s="209"/>
      <c r="P4775" s="209"/>
      <c r="Q4775" s="209"/>
      <c r="R4775" s="209"/>
      <c r="S4775" s="209"/>
      <c r="T4775" s="209"/>
    </row>
    <row r="4776" spans="1:20" ht="15" hidden="1" customHeight="1">
      <c r="A4776" s="468">
        <v>45491</v>
      </c>
      <c r="B4776" s="208" t="s">
        <v>4027</v>
      </c>
      <c r="C4776" s="208" t="s">
        <v>27</v>
      </c>
      <c r="D4776" s="211">
        <v>-805500</v>
      </c>
      <c r="E4776" s="212">
        <v>45474</v>
      </c>
      <c r="F4776" s="201" t="s">
        <v>110</v>
      </c>
      <c r="G4776" s="208" t="s">
        <v>774</v>
      </c>
      <c r="H4776" s="208" t="s">
        <v>147</v>
      </c>
      <c r="I4776" s="208"/>
      <c r="J4776" s="209"/>
      <c r="K4776" s="209"/>
      <c r="L4776" s="209"/>
      <c r="M4776" s="209"/>
      <c r="N4776" s="209"/>
      <c r="O4776" s="209"/>
      <c r="P4776" s="209"/>
      <c r="Q4776" s="209"/>
      <c r="R4776" s="209"/>
      <c r="S4776" s="209"/>
      <c r="T4776" s="209"/>
    </row>
    <row r="4777" spans="1:20" ht="15" hidden="1" customHeight="1">
      <c r="A4777" s="468">
        <v>45491</v>
      </c>
      <c r="B4777" s="208" t="s">
        <v>4028</v>
      </c>
      <c r="C4777" s="208" t="s">
        <v>27</v>
      </c>
      <c r="D4777" s="211">
        <v>-398300</v>
      </c>
      <c r="E4777" s="212">
        <v>45474</v>
      </c>
      <c r="F4777" s="201" t="s">
        <v>110</v>
      </c>
      <c r="G4777" s="208" t="s">
        <v>774</v>
      </c>
      <c r="H4777" s="208" t="s">
        <v>147</v>
      </c>
      <c r="I4777" s="208"/>
      <c r="J4777" s="209"/>
      <c r="K4777" s="209"/>
      <c r="L4777" s="209"/>
      <c r="M4777" s="209"/>
      <c r="N4777" s="209"/>
      <c r="O4777" s="209"/>
      <c r="P4777" s="209"/>
      <c r="Q4777" s="209"/>
      <c r="R4777" s="209"/>
      <c r="S4777" s="209"/>
      <c r="T4777" s="209"/>
    </row>
    <row r="4778" spans="1:20" ht="15" hidden="1" customHeight="1">
      <c r="A4778" s="468">
        <v>45491</v>
      </c>
      <c r="B4778" s="208" t="s">
        <v>4029</v>
      </c>
      <c r="C4778" s="208" t="s">
        <v>27</v>
      </c>
      <c r="D4778" s="718">
        <v>-413300</v>
      </c>
      <c r="E4778" s="212">
        <v>45474</v>
      </c>
      <c r="F4778" s="208" t="s">
        <v>109</v>
      </c>
      <c r="G4778" s="201" t="s">
        <v>581</v>
      </c>
      <c r="H4778" s="208" t="s">
        <v>147</v>
      </c>
      <c r="I4778" s="208"/>
      <c r="J4778" s="209"/>
      <c r="K4778" s="209"/>
      <c r="L4778" s="209"/>
      <c r="M4778" s="209"/>
      <c r="N4778" s="209"/>
      <c r="O4778" s="209"/>
      <c r="P4778" s="209"/>
      <c r="Q4778" s="209"/>
      <c r="R4778" s="209"/>
      <c r="S4778" s="209"/>
      <c r="T4778" s="209"/>
    </row>
    <row r="4779" spans="1:20" ht="15" hidden="1" customHeight="1">
      <c r="A4779" s="468">
        <v>45491</v>
      </c>
      <c r="B4779" s="208" t="s">
        <v>4030</v>
      </c>
      <c r="C4779" s="208" t="s">
        <v>27</v>
      </c>
      <c r="D4779" s="211">
        <v>-349000</v>
      </c>
      <c r="E4779" s="212">
        <v>45474</v>
      </c>
      <c r="F4779" s="201" t="s">
        <v>110</v>
      </c>
      <c r="G4779" s="208" t="s">
        <v>774</v>
      </c>
      <c r="H4779" s="208" t="s">
        <v>147</v>
      </c>
      <c r="I4779" s="208"/>
      <c r="J4779" s="209"/>
      <c r="K4779" s="209"/>
      <c r="L4779" s="209"/>
      <c r="M4779" s="209"/>
      <c r="N4779" s="209"/>
      <c r="O4779" s="209"/>
      <c r="P4779" s="209"/>
      <c r="Q4779" s="209"/>
      <c r="R4779" s="209"/>
      <c r="S4779" s="209"/>
      <c r="T4779" s="209"/>
    </row>
    <row r="4780" spans="1:20" ht="15" hidden="1" customHeight="1">
      <c r="A4780" s="468">
        <v>45491</v>
      </c>
      <c r="B4780" s="208" t="s">
        <v>4031</v>
      </c>
      <c r="C4780" s="208" t="s">
        <v>27</v>
      </c>
      <c r="D4780" s="718">
        <v>-434300</v>
      </c>
      <c r="E4780" s="212">
        <v>45474</v>
      </c>
      <c r="F4780" s="208" t="s">
        <v>109</v>
      </c>
      <c r="G4780" s="201" t="s">
        <v>581</v>
      </c>
      <c r="H4780" s="208" t="s">
        <v>147</v>
      </c>
      <c r="I4780" s="208"/>
      <c r="J4780" s="209"/>
      <c r="K4780" s="209"/>
      <c r="L4780" s="209"/>
      <c r="M4780" s="209"/>
      <c r="N4780" s="209"/>
      <c r="O4780" s="209"/>
      <c r="P4780" s="209"/>
      <c r="Q4780" s="209"/>
      <c r="R4780" s="209"/>
      <c r="S4780" s="209"/>
      <c r="T4780" s="209"/>
    </row>
    <row r="4781" spans="1:20" ht="15" hidden="1" customHeight="1">
      <c r="A4781" s="468">
        <v>45491</v>
      </c>
      <c r="B4781" s="208" t="s">
        <v>4032</v>
      </c>
      <c r="C4781" s="208" t="s">
        <v>27</v>
      </c>
      <c r="D4781" s="211">
        <v>-572000</v>
      </c>
      <c r="E4781" s="212">
        <v>45474</v>
      </c>
      <c r="F4781" s="208" t="s">
        <v>109</v>
      </c>
      <c r="G4781" s="201" t="s">
        <v>1306</v>
      </c>
      <c r="H4781" s="208" t="s">
        <v>147</v>
      </c>
      <c r="I4781" s="208"/>
      <c r="J4781" s="209"/>
      <c r="K4781" s="209"/>
      <c r="L4781" s="209"/>
      <c r="M4781" s="209"/>
      <c r="N4781" s="209"/>
      <c r="O4781" s="209"/>
      <c r="P4781" s="209"/>
      <c r="Q4781" s="209"/>
      <c r="R4781" s="209"/>
      <c r="S4781" s="209"/>
      <c r="T4781" s="209"/>
    </row>
    <row r="4782" spans="1:20" ht="15" hidden="1" customHeight="1">
      <c r="A4782" s="468">
        <v>45491</v>
      </c>
      <c r="B4782" s="208" t="s">
        <v>4033</v>
      </c>
      <c r="C4782" s="208" t="s">
        <v>27</v>
      </c>
      <c r="D4782" s="211">
        <v>-349000</v>
      </c>
      <c r="E4782" s="212">
        <v>45474</v>
      </c>
      <c r="F4782" s="208" t="s">
        <v>109</v>
      </c>
      <c r="G4782" s="201" t="s">
        <v>1306</v>
      </c>
      <c r="H4782" s="208" t="s">
        <v>147</v>
      </c>
      <c r="I4782" s="208"/>
      <c r="J4782" s="209"/>
      <c r="K4782" s="209"/>
      <c r="L4782" s="209"/>
      <c r="M4782" s="209"/>
      <c r="N4782" s="209"/>
      <c r="O4782" s="209"/>
      <c r="P4782" s="209"/>
      <c r="Q4782" s="209"/>
      <c r="R4782" s="209"/>
      <c r="S4782" s="209"/>
      <c r="T4782" s="209"/>
    </row>
    <row r="4783" spans="1:20" ht="15" hidden="1" customHeight="1">
      <c r="A4783" s="468">
        <v>45491</v>
      </c>
      <c r="B4783" s="208" t="s">
        <v>4034</v>
      </c>
      <c r="C4783" s="208" t="s">
        <v>27</v>
      </c>
      <c r="D4783" s="211">
        <v>-681100</v>
      </c>
      <c r="E4783" s="212">
        <v>45474</v>
      </c>
      <c r="F4783" s="201" t="s">
        <v>110</v>
      </c>
      <c r="G4783" s="208" t="s">
        <v>774</v>
      </c>
      <c r="H4783" s="208" t="s">
        <v>147</v>
      </c>
      <c r="I4783" s="208"/>
      <c r="J4783" s="209"/>
      <c r="K4783" s="209"/>
      <c r="L4783" s="209"/>
      <c r="M4783" s="209"/>
      <c r="N4783" s="209"/>
      <c r="O4783" s="209"/>
      <c r="P4783" s="209"/>
      <c r="Q4783" s="209"/>
      <c r="R4783" s="209"/>
      <c r="S4783" s="209"/>
      <c r="T4783" s="209"/>
    </row>
    <row r="4784" spans="1:20" ht="15" hidden="1" customHeight="1">
      <c r="A4784" s="468">
        <v>45491</v>
      </c>
      <c r="B4784" s="208" t="s">
        <v>4035</v>
      </c>
      <c r="C4784" s="208" t="s">
        <v>27</v>
      </c>
      <c r="D4784" s="211">
        <v>-402500</v>
      </c>
      <c r="E4784" s="212">
        <v>45474</v>
      </c>
      <c r="F4784" s="208" t="s">
        <v>130</v>
      </c>
      <c r="G4784" s="208" t="s">
        <v>130</v>
      </c>
      <c r="H4784" s="208" t="s">
        <v>182</v>
      </c>
      <c r="I4784" s="208"/>
      <c r="J4784" s="209"/>
      <c r="K4784" s="209"/>
      <c r="L4784" s="209"/>
      <c r="M4784" s="209"/>
      <c r="N4784" s="209"/>
      <c r="O4784" s="209"/>
      <c r="P4784" s="209"/>
      <c r="Q4784" s="209"/>
      <c r="R4784" s="209"/>
      <c r="S4784" s="209"/>
      <c r="T4784" s="209"/>
    </row>
    <row r="4785" spans="1:20" ht="15" hidden="1" customHeight="1">
      <c r="A4785" s="468">
        <v>45491</v>
      </c>
      <c r="B4785" s="208" t="s">
        <v>4036</v>
      </c>
      <c r="C4785" s="208" t="s">
        <v>27</v>
      </c>
      <c r="D4785" s="211">
        <v>-442600</v>
      </c>
      <c r="E4785" s="212">
        <v>45474</v>
      </c>
      <c r="F4785" s="201" t="s">
        <v>110</v>
      </c>
      <c r="G4785" s="208" t="s">
        <v>774</v>
      </c>
      <c r="H4785" s="208" t="s">
        <v>147</v>
      </c>
      <c r="I4785" s="208"/>
      <c r="J4785" s="209"/>
      <c r="K4785" s="209"/>
      <c r="L4785" s="209"/>
      <c r="M4785" s="209"/>
      <c r="N4785" s="209"/>
      <c r="O4785" s="209"/>
      <c r="P4785" s="209"/>
      <c r="Q4785" s="209"/>
      <c r="R4785" s="209"/>
      <c r="S4785" s="209"/>
      <c r="T4785" s="209"/>
    </row>
    <row r="4786" spans="1:20" ht="15" hidden="1" customHeight="1">
      <c r="A4786" s="468">
        <v>45491</v>
      </c>
      <c r="B4786" s="208" t="s">
        <v>4037</v>
      </c>
      <c r="C4786" s="208" t="s">
        <v>27</v>
      </c>
      <c r="D4786" s="211">
        <v>-349000</v>
      </c>
      <c r="E4786" s="212">
        <v>45474</v>
      </c>
      <c r="F4786" s="208" t="s">
        <v>109</v>
      </c>
      <c r="G4786" s="201" t="s">
        <v>1306</v>
      </c>
      <c r="H4786" s="208" t="s">
        <v>147</v>
      </c>
      <c r="I4786" s="208"/>
      <c r="J4786" s="209"/>
      <c r="K4786" s="209"/>
      <c r="L4786" s="209"/>
      <c r="M4786" s="209"/>
      <c r="N4786" s="209"/>
      <c r="O4786" s="209"/>
      <c r="P4786" s="209"/>
      <c r="Q4786" s="209"/>
      <c r="R4786" s="209"/>
      <c r="S4786" s="209"/>
      <c r="T4786" s="209"/>
    </row>
    <row r="4787" spans="1:20" ht="15" hidden="1" customHeight="1">
      <c r="A4787" s="468">
        <v>45491</v>
      </c>
      <c r="B4787" s="208" t="s">
        <v>4038</v>
      </c>
      <c r="C4787" s="208" t="s">
        <v>27</v>
      </c>
      <c r="D4787" s="718">
        <v>-448200</v>
      </c>
      <c r="E4787" s="212">
        <v>45474</v>
      </c>
      <c r="F4787" s="208" t="s">
        <v>109</v>
      </c>
      <c r="G4787" s="201" t="s">
        <v>581</v>
      </c>
      <c r="H4787" s="208" t="s">
        <v>147</v>
      </c>
      <c r="I4787" s="208"/>
      <c r="J4787" s="209"/>
      <c r="K4787" s="209"/>
      <c r="L4787" s="209"/>
      <c r="M4787" s="209"/>
      <c r="N4787" s="209"/>
      <c r="O4787" s="209"/>
      <c r="P4787" s="209"/>
      <c r="Q4787" s="209"/>
      <c r="R4787" s="209"/>
      <c r="S4787" s="209"/>
      <c r="T4787" s="209"/>
    </row>
    <row r="4788" spans="1:20" ht="15" hidden="1" customHeight="1">
      <c r="A4788" s="468">
        <v>45491</v>
      </c>
      <c r="B4788" s="208" t="s">
        <v>4039</v>
      </c>
      <c r="C4788" s="208" t="s">
        <v>27</v>
      </c>
      <c r="D4788" s="211">
        <v>-402500</v>
      </c>
      <c r="E4788" s="212">
        <v>45474</v>
      </c>
      <c r="F4788" s="201" t="s">
        <v>110</v>
      </c>
      <c r="G4788" s="208" t="s">
        <v>774</v>
      </c>
      <c r="H4788" s="208" t="s">
        <v>147</v>
      </c>
      <c r="I4788" s="208"/>
      <c r="J4788" s="209"/>
      <c r="K4788" s="209"/>
      <c r="L4788" s="209"/>
      <c r="M4788" s="209"/>
      <c r="N4788" s="209"/>
      <c r="O4788" s="209"/>
      <c r="P4788" s="209"/>
      <c r="Q4788" s="209"/>
      <c r="R4788" s="209"/>
      <c r="S4788" s="209"/>
      <c r="T4788" s="209"/>
    </row>
    <row r="4789" spans="1:20" ht="15" hidden="1" customHeight="1">
      <c r="A4789" s="468">
        <v>45491</v>
      </c>
      <c r="B4789" s="208" t="s">
        <v>4040</v>
      </c>
      <c r="C4789" s="208" t="s">
        <v>27</v>
      </c>
      <c r="D4789" s="718">
        <v>-53900</v>
      </c>
      <c r="E4789" s="212">
        <v>45474</v>
      </c>
      <c r="F4789" s="208" t="s">
        <v>109</v>
      </c>
      <c r="G4789" s="201" t="s">
        <v>581</v>
      </c>
      <c r="H4789" s="208" t="s">
        <v>147</v>
      </c>
      <c r="I4789" s="208"/>
      <c r="J4789" s="209"/>
      <c r="K4789" s="209"/>
      <c r="L4789" s="209"/>
      <c r="M4789" s="209"/>
      <c r="N4789" s="209"/>
      <c r="O4789" s="209"/>
      <c r="P4789" s="209"/>
      <c r="Q4789" s="209"/>
      <c r="R4789" s="209"/>
      <c r="S4789" s="209"/>
      <c r="T4789" s="209"/>
    </row>
    <row r="4790" spans="1:20" ht="15" hidden="1" customHeight="1">
      <c r="A4790" s="468">
        <v>45491</v>
      </c>
      <c r="B4790" s="208" t="s">
        <v>4041</v>
      </c>
      <c r="C4790" s="208" t="s">
        <v>27</v>
      </c>
      <c r="D4790" s="211">
        <v>-106400</v>
      </c>
      <c r="E4790" s="212">
        <v>45474</v>
      </c>
      <c r="F4790" s="201" t="s">
        <v>110</v>
      </c>
      <c r="G4790" s="81" t="s">
        <v>1621</v>
      </c>
      <c r="H4790" s="208" t="s">
        <v>147</v>
      </c>
      <c r="I4790" s="475" t="s">
        <v>3475</v>
      </c>
      <c r="J4790" s="209"/>
      <c r="K4790" s="209"/>
      <c r="L4790" s="209"/>
      <c r="M4790" s="209"/>
      <c r="N4790" s="209"/>
      <c r="O4790" s="209"/>
      <c r="P4790" s="209"/>
      <c r="Q4790" s="209"/>
      <c r="R4790" s="209"/>
      <c r="S4790" s="209"/>
      <c r="T4790" s="209"/>
    </row>
    <row r="4791" spans="1:20" ht="15" hidden="1" customHeight="1">
      <c r="A4791" s="468">
        <v>45491</v>
      </c>
      <c r="B4791" s="208" t="s">
        <v>4042</v>
      </c>
      <c r="C4791" s="208" t="s">
        <v>27</v>
      </c>
      <c r="D4791" s="211">
        <v>-174500</v>
      </c>
      <c r="E4791" s="212">
        <v>45474</v>
      </c>
      <c r="F4791" s="201" t="s">
        <v>110</v>
      </c>
      <c r="G4791" s="208" t="s">
        <v>774</v>
      </c>
      <c r="H4791" s="208" t="s">
        <v>147</v>
      </c>
      <c r="I4791" s="208"/>
      <c r="J4791" s="209"/>
      <c r="K4791" s="209"/>
      <c r="L4791" s="209"/>
      <c r="M4791" s="209"/>
      <c r="N4791" s="209"/>
      <c r="O4791" s="209"/>
      <c r="P4791" s="209"/>
      <c r="Q4791" s="209"/>
      <c r="R4791" s="209"/>
      <c r="S4791" s="209"/>
      <c r="T4791" s="209"/>
    </row>
    <row r="4792" spans="1:20" ht="15" hidden="1" customHeight="1">
      <c r="A4792" s="468">
        <v>45491</v>
      </c>
      <c r="B4792" s="208" t="s">
        <v>4042</v>
      </c>
      <c r="C4792" s="208" t="s">
        <v>27</v>
      </c>
      <c r="D4792" s="211">
        <v>-174500</v>
      </c>
      <c r="E4792" s="212">
        <v>45474</v>
      </c>
      <c r="F4792" s="208" t="s">
        <v>109</v>
      </c>
      <c r="G4792" s="201" t="s">
        <v>1306</v>
      </c>
      <c r="H4792" s="208" t="s">
        <v>147</v>
      </c>
      <c r="I4792" s="208"/>
      <c r="J4792" s="209"/>
      <c r="K4792" s="209"/>
      <c r="L4792" s="209"/>
      <c r="M4792" s="209"/>
      <c r="N4792" s="209"/>
      <c r="O4792" s="209"/>
      <c r="P4792" s="209"/>
      <c r="Q4792" s="209"/>
      <c r="R4792" s="209"/>
      <c r="S4792" s="209"/>
      <c r="T4792" s="209"/>
    </row>
    <row r="4793" spans="1:20" ht="15" hidden="1" customHeight="1">
      <c r="A4793" s="468">
        <v>45491</v>
      </c>
      <c r="B4793" s="208" t="s">
        <v>4043</v>
      </c>
      <c r="C4793" s="208" t="s">
        <v>27</v>
      </c>
      <c r="D4793" s="718">
        <v>-407000</v>
      </c>
      <c r="E4793" s="212">
        <v>45474</v>
      </c>
      <c r="F4793" s="208" t="s">
        <v>109</v>
      </c>
      <c r="G4793" s="201" t="s">
        <v>581</v>
      </c>
      <c r="H4793" s="208" t="s">
        <v>147</v>
      </c>
      <c r="I4793" s="208"/>
      <c r="J4793" s="209"/>
      <c r="K4793" s="209"/>
      <c r="L4793" s="209"/>
      <c r="M4793" s="209"/>
      <c r="N4793" s="209"/>
      <c r="O4793" s="209"/>
      <c r="P4793" s="209"/>
      <c r="Q4793" s="209"/>
      <c r="R4793" s="209"/>
      <c r="S4793" s="209"/>
      <c r="T4793" s="209"/>
    </row>
    <row r="4794" spans="1:20" ht="15" hidden="1" customHeight="1">
      <c r="A4794" s="468">
        <v>45491</v>
      </c>
      <c r="B4794" s="208" t="s">
        <v>4044</v>
      </c>
      <c r="C4794" s="208" t="s">
        <v>27</v>
      </c>
      <c r="D4794" s="718">
        <v>-398400</v>
      </c>
      <c r="E4794" s="212">
        <v>45474</v>
      </c>
      <c r="F4794" s="208" t="s">
        <v>109</v>
      </c>
      <c r="G4794" s="201" t="s">
        <v>581</v>
      </c>
      <c r="H4794" s="208" t="s">
        <v>147</v>
      </c>
      <c r="I4794" s="208"/>
      <c r="J4794" s="209"/>
      <c r="K4794" s="209"/>
      <c r="L4794" s="209"/>
      <c r="M4794" s="209"/>
      <c r="N4794" s="209"/>
      <c r="O4794" s="209"/>
      <c r="P4794" s="209"/>
      <c r="Q4794" s="209"/>
      <c r="R4794" s="209"/>
      <c r="S4794" s="209"/>
      <c r="T4794" s="209"/>
    </row>
    <row r="4795" spans="1:20" ht="15" hidden="1" customHeight="1">
      <c r="A4795" s="468">
        <v>45491</v>
      </c>
      <c r="B4795" s="208" t="s">
        <v>4045</v>
      </c>
      <c r="C4795" s="208" t="s">
        <v>27</v>
      </c>
      <c r="D4795" s="718">
        <v>-402500</v>
      </c>
      <c r="E4795" s="212">
        <v>45474</v>
      </c>
      <c r="F4795" s="208" t="s">
        <v>109</v>
      </c>
      <c r="G4795" s="201" t="s">
        <v>581</v>
      </c>
      <c r="H4795" s="208" t="s">
        <v>147</v>
      </c>
      <c r="I4795" s="208"/>
      <c r="J4795" s="209"/>
      <c r="K4795" s="209"/>
      <c r="L4795" s="209"/>
      <c r="M4795" s="209"/>
      <c r="N4795" s="209"/>
      <c r="O4795" s="209"/>
      <c r="P4795" s="209"/>
      <c r="Q4795" s="209"/>
      <c r="R4795" s="209"/>
      <c r="S4795" s="209"/>
      <c r="T4795" s="209"/>
    </row>
    <row r="4796" spans="1:20" ht="15" hidden="1" customHeight="1">
      <c r="A4796" s="468">
        <v>45491</v>
      </c>
      <c r="B4796" s="208" t="s">
        <v>4046</v>
      </c>
      <c r="C4796" s="208" t="s">
        <v>27</v>
      </c>
      <c r="D4796" s="718">
        <v>-186400</v>
      </c>
      <c r="E4796" s="212">
        <v>45474</v>
      </c>
      <c r="F4796" s="208" t="s">
        <v>109</v>
      </c>
      <c r="G4796" s="201" t="s">
        <v>581</v>
      </c>
      <c r="H4796" s="208" t="s">
        <v>147</v>
      </c>
      <c r="I4796" s="208"/>
      <c r="J4796" s="209"/>
      <c r="K4796" s="209"/>
      <c r="L4796" s="209"/>
      <c r="M4796" s="209"/>
      <c r="N4796" s="209"/>
      <c r="O4796" s="209"/>
      <c r="P4796" s="209"/>
      <c r="Q4796" s="209"/>
      <c r="R4796" s="209"/>
      <c r="S4796" s="209"/>
      <c r="T4796" s="209"/>
    </row>
    <row r="4797" spans="1:20" ht="15" hidden="1" customHeight="1">
      <c r="A4797" s="468">
        <v>45491</v>
      </c>
      <c r="B4797" s="208" t="s">
        <v>4047</v>
      </c>
      <c r="C4797" s="208" t="s">
        <v>27</v>
      </c>
      <c r="D4797" s="718">
        <v>-407000</v>
      </c>
      <c r="E4797" s="212">
        <v>45474</v>
      </c>
      <c r="F4797" s="208" t="s">
        <v>109</v>
      </c>
      <c r="G4797" s="201" t="s">
        <v>581</v>
      </c>
      <c r="H4797" s="208" t="s">
        <v>147</v>
      </c>
      <c r="I4797" s="208"/>
      <c r="J4797" s="209"/>
      <c r="K4797" s="209"/>
      <c r="L4797" s="209"/>
      <c r="M4797" s="209"/>
      <c r="N4797" s="209"/>
      <c r="O4797" s="209"/>
      <c r="P4797" s="209"/>
      <c r="Q4797" s="209"/>
      <c r="R4797" s="209"/>
      <c r="S4797" s="209"/>
      <c r="T4797" s="209"/>
    </row>
    <row r="4798" spans="1:20" ht="15" hidden="1" customHeight="1">
      <c r="A4798" s="468">
        <v>45491</v>
      </c>
      <c r="B4798" s="208" t="s">
        <v>4048</v>
      </c>
      <c r="C4798" s="208" t="s">
        <v>27</v>
      </c>
      <c r="D4798" s="718">
        <v>-349000</v>
      </c>
      <c r="E4798" s="212">
        <v>45474</v>
      </c>
      <c r="F4798" s="208" t="s">
        <v>109</v>
      </c>
      <c r="G4798" s="201" t="s">
        <v>581</v>
      </c>
      <c r="H4798" s="208" t="s">
        <v>147</v>
      </c>
      <c r="I4798" s="208"/>
      <c r="J4798" s="209"/>
      <c r="K4798" s="209"/>
      <c r="L4798" s="209"/>
      <c r="M4798" s="209"/>
      <c r="N4798" s="209"/>
      <c r="O4798" s="209"/>
      <c r="P4798" s="209"/>
      <c r="Q4798" s="209"/>
      <c r="R4798" s="209"/>
      <c r="S4798" s="209"/>
      <c r="T4798" s="209"/>
    </row>
    <row r="4799" spans="1:20" ht="15" hidden="1" customHeight="1">
      <c r="A4799" s="468">
        <v>45491</v>
      </c>
      <c r="B4799" s="208" t="s">
        <v>4049</v>
      </c>
      <c r="C4799" s="208" t="s">
        <v>27</v>
      </c>
      <c r="D4799" s="211">
        <v>-415200</v>
      </c>
      <c r="E4799" s="212">
        <v>45474</v>
      </c>
      <c r="F4799" s="208" t="s">
        <v>109</v>
      </c>
      <c r="G4799" s="201" t="s">
        <v>1306</v>
      </c>
      <c r="H4799" s="208" t="s">
        <v>147</v>
      </c>
      <c r="I4799" s="208"/>
      <c r="J4799" s="209"/>
      <c r="K4799" s="209"/>
      <c r="L4799" s="209"/>
      <c r="M4799" s="209"/>
      <c r="N4799" s="209"/>
      <c r="O4799" s="209"/>
      <c r="P4799" s="209"/>
      <c r="Q4799" s="209"/>
      <c r="R4799" s="209"/>
      <c r="S4799" s="209"/>
      <c r="T4799" s="209"/>
    </row>
    <row r="4800" spans="1:20" ht="15" hidden="1" customHeight="1">
      <c r="A4800" s="468">
        <v>45491</v>
      </c>
      <c r="B4800" s="208" t="s">
        <v>4050</v>
      </c>
      <c r="C4800" s="208" t="s">
        <v>27</v>
      </c>
      <c r="D4800" s="211">
        <v>-407100</v>
      </c>
      <c r="E4800" s="212">
        <v>45474</v>
      </c>
      <c r="F4800" s="208" t="s">
        <v>109</v>
      </c>
      <c r="G4800" s="201" t="s">
        <v>1306</v>
      </c>
      <c r="H4800" s="208" t="s">
        <v>147</v>
      </c>
      <c r="I4800" s="208"/>
      <c r="J4800" s="209"/>
      <c r="K4800" s="209"/>
      <c r="L4800" s="209"/>
      <c r="M4800" s="209"/>
      <c r="N4800" s="209"/>
      <c r="O4800" s="209"/>
      <c r="P4800" s="209"/>
      <c r="Q4800" s="209"/>
      <c r="R4800" s="209"/>
      <c r="S4800" s="209"/>
      <c r="T4800" s="209"/>
    </row>
    <row r="4801" spans="1:20" ht="15" hidden="1" customHeight="1">
      <c r="A4801" s="468">
        <v>45503</v>
      </c>
      <c r="B4801" s="208" t="s">
        <v>4051</v>
      </c>
      <c r="C4801" s="208" t="s">
        <v>27</v>
      </c>
      <c r="D4801" s="718">
        <v>-3680000.0000000005</v>
      </c>
      <c r="E4801" s="212">
        <v>45474</v>
      </c>
      <c r="F4801" s="208" t="s">
        <v>109</v>
      </c>
      <c r="G4801" s="201" t="s">
        <v>581</v>
      </c>
      <c r="H4801" s="208" t="s">
        <v>508</v>
      </c>
      <c r="I4801" s="208"/>
      <c r="J4801" s="209"/>
      <c r="K4801" s="209"/>
      <c r="L4801" s="209"/>
      <c r="M4801" s="209"/>
      <c r="N4801" s="209"/>
      <c r="O4801" s="209"/>
      <c r="P4801" s="209"/>
      <c r="Q4801" s="209"/>
      <c r="R4801" s="209"/>
      <c r="S4801" s="209"/>
      <c r="T4801" s="209"/>
    </row>
    <row r="4802" spans="1:20" ht="15" hidden="1" customHeight="1">
      <c r="A4802" s="468">
        <v>45503</v>
      </c>
      <c r="B4802" s="208" t="s">
        <v>4052</v>
      </c>
      <c r="C4802" s="208" t="s">
        <v>27</v>
      </c>
      <c r="D4802" s="718">
        <v>-10434818</v>
      </c>
      <c r="E4802" s="212">
        <v>45474</v>
      </c>
      <c r="F4802" s="208" t="s">
        <v>109</v>
      </c>
      <c r="G4802" s="201" t="s">
        <v>581</v>
      </c>
      <c r="H4802" s="208" t="s">
        <v>508</v>
      </c>
      <c r="I4802" s="208"/>
      <c r="J4802" s="209"/>
      <c r="K4802" s="209"/>
      <c r="L4802" s="209"/>
      <c r="M4802" s="209"/>
      <c r="N4802" s="209"/>
      <c r="O4802" s="209"/>
      <c r="P4802" s="209"/>
      <c r="Q4802" s="209"/>
      <c r="R4802" s="209"/>
      <c r="S4802" s="209"/>
      <c r="T4802" s="209"/>
    </row>
    <row r="4803" spans="1:20" ht="15" hidden="1" customHeight="1">
      <c r="A4803" s="468">
        <v>45503</v>
      </c>
      <c r="B4803" s="208" t="s">
        <v>4053</v>
      </c>
      <c r="C4803" s="208" t="s">
        <v>27</v>
      </c>
      <c r="D4803" s="718">
        <v>-1190900</v>
      </c>
      <c r="E4803" s="212">
        <v>45474</v>
      </c>
      <c r="F4803" s="208" t="s">
        <v>109</v>
      </c>
      <c r="G4803" s="201" t="s">
        <v>581</v>
      </c>
      <c r="H4803" s="208" t="s">
        <v>147</v>
      </c>
      <c r="I4803" s="208"/>
      <c r="J4803" s="209"/>
      <c r="K4803" s="209"/>
      <c r="L4803" s="209"/>
      <c r="M4803" s="209"/>
      <c r="N4803" s="209"/>
      <c r="O4803" s="209"/>
      <c r="P4803" s="209"/>
      <c r="Q4803" s="209"/>
      <c r="R4803" s="209"/>
      <c r="S4803" s="209"/>
      <c r="T4803" s="209"/>
    </row>
    <row r="4804" spans="1:20" ht="15" hidden="1" customHeight="1">
      <c r="A4804" s="468">
        <v>45503</v>
      </c>
      <c r="B4804" s="208" t="s">
        <v>4054</v>
      </c>
      <c r="C4804" s="208" t="s">
        <v>27</v>
      </c>
      <c r="D4804" s="211">
        <v>-837240</v>
      </c>
      <c r="E4804" s="212">
        <v>45474</v>
      </c>
      <c r="F4804" s="201" t="s">
        <v>110</v>
      </c>
      <c r="G4804" s="208" t="s">
        <v>774</v>
      </c>
      <c r="H4804" s="208" t="s">
        <v>147</v>
      </c>
      <c r="I4804" s="208"/>
      <c r="J4804" s="209"/>
      <c r="K4804" s="209"/>
      <c r="L4804" s="209"/>
      <c r="M4804" s="209"/>
      <c r="N4804" s="209"/>
      <c r="O4804" s="209"/>
      <c r="P4804" s="209"/>
      <c r="Q4804" s="209"/>
      <c r="R4804" s="209"/>
      <c r="S4804" s="209"/>
      <c r="T4804" s="209"/>
    </row>
    <row r="4805" spans="1:20" ht="15" hidden="1" customHeight="1">
      <c r="A4805" s="468">
        <v>45503</v>
      </c>
      <c r="B4805" s="208" t="s">
        <v>4055</v>
      </c>
      <c r="C4805" s="208" t="s">
        <v>27</v>
      </c>
      <c r="D4805" s="211">
        <v>-2862230.4</v>
      </c>
      <c r="E4805" s="212">
        <v>45474</v>
      </c>
      <c r="F4805" s="208" t="s">
        <v>130</v>
      </c>
      <c r="G4805" s="658" t="s">
        <v>130</v>
      </c>
      <c r="H4805" s="208" t="s">
        <v>182</v>
      </c>
      <c r="I4805" s="208"/>
      <c r="J4805" s="209"/>
      <c r="K4805" s="209"/>
      <c r="L4805" s="209"/>
      <c r="M4805" s="209"/>
      <c r="N4805" s="209"/>
      <c r="O4805" s="209"/>
      <c r="P4805" s="209"/>
      <c r="Q4805" s="209"/>
      <c r="R4805" s="209"/>
      <c r="S4805" s="209"/>
      <c r="T4805" s="209"/>
    </row>
    <row r="4806" spans="1:20" ht="15" hidden="1" customHeight="1">
      <c r="A4806" s="468">
        <v>45503</v>
      </c>
      <c r="B4806" s="208" t="s">
        <v>4056</v>
      </c>
      <c r="C4806" s="208" t="s">
        <v>27</v>
      </c>
      <c r="D4806" s="211">
        <v>-1027460</v>
      </c>
      <c r="E4806" s="212">
        <v>45474</v>
      </c>
      <c r="F4806" s="201" t="s">
        <v>110</v>
      </c>
      <c r="G4806" s="208" t="s">
        <v>774</v>
      </c>
      <c r="H4806" s="208" t="s">
        <v>147</v>
      </c>
      <c r="I4806" s="208"/>
      <c r="J4806" s="209"/>
      <c r="K4806" s="209"/>
      <c r="L4806" s="209"/>
      <c r="M4806" s="209"/>
      <c r="N4806" s="209"/>
      <c r="O4806" s="209"/>
      <c r="P4806" s="209"/>
      <c r="Q4806" s="209"/>
      <c r="R4806" s="209"/>
      <c r="S4806" s="209"/>
      <c r="T4806" s="209"/>
    </row>
    <row r="4807" spans="1:20" ht="15" hidden="1" customHeight="1">
      <c r="A4807" s="468">
        <v>45503</v>
      </c>
      <c r="B4807" s="208" t="s">
        <v>4057</v>
      </c>
      <c r="C4807" s="208" t="s">
        <v>27</v>
      </c>
      <c r="D4807" s="211">
        <v>-9054530</v>
      </c>
      <c r="E4807" s="212">
        <v>45474</v>
      </c>
      <c r="F4807" s="208" t="s">
        <v>130</v>
      </c>
      <c r="G4807" s="658" t="s">
        <v>130</v>
      </c>
      <c r="H4807" s="208" t="s">
        <v>182</v>
      </c>
      <c r="I4807" s="208"/>
      <c r="J4807" s="209"/>
      <c r="K4807" s="209"/>
      <c r="L4807" s="209"/>
      <c r="M4807" s="209"/>
      <c r="N4807" s="209"/>
      <c r="O4807" s="209"/>
      <c r="P4807" s="209"/>
      <c r="Q4807" s="209"/>
      <c r="R4807" s="209"/>
      <c r="S4807" s="209"/>
      <c r="T4807" s="209"/>
    </row>
    <row r="4808" spans="1:20" ht="15" hidden="1" customHeight="1">
      <c r="A4808" s="468">
        <v>45503</v>
      </c>
      <c r="B4808" s="208" t="s">
        <v>4058</v>
      </c>
      <c r="C4808" s="208" t="s">
        <v>27</v>
      </c>
      <c r="D4808" s="211">
        <v>-679000</v>
      </c>
      <c r="E4808" s="212">
        <v>45474</v>
      </c>
      <c r="F4808" s="208" t="s">
        <v>130</v>
      </c>
      <c r="G4808" s="208" t="s">
        <v>130</v>
      </c>
      <c r="H4808" s="208" t="s">
        <v>182</v>
      </c>
      <c r="I4808" s="208"/>
      <c r="J4808" s="209"/>
      <c r="K4808" s="209"/>
      <c r="L4808" s="209"/>
      <c r="M4808" s="209"/>
      <c r="N4808" s="209"/>
      <c r="O4808" s="209"/>
      <c r="P4808" s="209"/>
      <c r="Q4808" s="209"/>
      <c r="R4808" s="209"/>
      <c r="S4808" s="209"/>
      <c r="T4808" s="209"/>
    </row>
    <row r="4809" spans="1:20" ht="15" hidden="1" customHeight="1">
      <c r="A4809" s="468">
        <v>45503</v>
      </c>
      <c r="B4809" s="208" t="s">
        <v>4059</v>
      </c>
      <c r="C4809" s="208" t="s">
        <v>27</v>
      </c>
      <c r="D4809" s="211">
        <v>-7665962.25</v>
      </c>
      <c r="E4809" s="212">
        <v>45474</v>
      </c>
      <c r="F4809" s="208" t="s">
        <v>109</v>
      </c>
      <c r="G4809" s="208" t="s">
        <v>3644</v>
      </c>
      <c r="H4809" s="208" t="s">
        <v>2421</v>
      </c>
      <c r="I4809" s="208"/>
      <c r="J4809" s="209"/>
      <c r="K4809" s="209"/>
      <c r="L4809" s="209"/>
      <c r="M4809" s="209"/>
      <c r="N4809" s="209"/>
      <c r="O4809" s="209"/>
      <c r="P4809" s="209"/>
      <c r="Q4809" s="209"/>
      <c r="R4809" s="209"/>
      <c r="S4809" s="209"/>
      <c r="T4809" s="209"/>
    </row>
    <row r="4810" spans="1:20" ht="15" hidden="1" customHeight="1">
      <c r="A4810" s="468">
        <v>45503</v>
      </c>
      <c r="B4810" s="208" t="s">
        <v>4060</v>
      </c>
      <c r="C4810" s="208" t="s">
        <v>27</v>
      </c>
      <c r="D4810" s="211">
        <v>-9054530</v>
      </c>
      <c r="E4810" s="212">
        <v>45474</v>
      </c>
      <c r="F4810" s="208" t="s">
        <v>130</v>
      </c>
      <c r="G4810" s="658" t="s">
        <v>130</v>
      </c>
      <c r="H4810" s="208" t="s">
        <v>182</v>
      </c>
      <c r="I4810" s="208"/>
      <c r="J4810" s="209"/>
      <c r="K4810" s="209"/>
      <c r="L4810" s="209"/>
      <c r="M4810" s="209"/>
      <c r="N4810" s="209"/>
      <c r="O4810" s="209"/>
      <c r="P4810" s="209"/>
      <c r="Q4810" s="209"/>
      <c r="R4810" s="209"/>
      <c r="S4810" s="209"/>
      <c r="T4810" s="209"/>
    </row>
    <row r="4811" spans="1:20" ht="15" hidden="1" customHeight="1">
      <c r="A4811" s="468">
        <v>45503</v>
      </c>
      <c r="B4811" s="208" t="s">
        <v>4058</v>
      </c>
      <c r="C4811" s="208" t="s">
        <v>27</v>
      </c>
      <c r="D4811" s="211">
        <v>-233080</v>
      </c>
      <c r="E4811" s="212">
        <v>45474</v>
      </c>
      <c r="F4811" s="208" t="s">
        <v>109</v>
      </c>
      <c r="G4811" s="654" t="s">
        <v>2585</v>
      </c>
      <c r="H4811" s="208" t="s">
        <v>147</v>
      </c>
      <c r="I4811" s="208"/>
      <c r="J4811" s="209"/>
      <c r="K4811" s="209"/>
      <c r="L4811" s="209"/>
      <c r="M4811" s="209"/>
      <c r="N4811" s="209"/>
      <c r="O4811" s="209"/>
      <c r="P4811" s="209"/>
      <c r="Q4811" s="209"/>
      <c r="R4811" s="209"/>
      <c r="S4811" s="209"/>
      <c r="T4811" s="209"/>
    </row>
    <row r="4812" spans="1:20" ht="15" hidden="1" customHeight="1">
      <c r="A4812" s="468">
        <v>45503</v>
      </c>
      <c r="B4812" s="208" t="s">
        <v>4058</v>
      </c>
      <c r="C4812" s="208" t="s">
        <v>27</v>
      </c>
      <c r="D4812" s="211">
        <v>-233080</v>
      </c>
      <c r="E4812" s="212">
        <v>45474</v>
      </c>
      <c r="F4812" s="208" t="s">
        <v>207</v>
      </c>
      <c r="G4812" s="81" t="s">
        <v>2226</v>
      </c>
      <c r="H4812" s="208" t="s">
        <v>147</v>
      </c>
      <c r="I4812" s="208"/>
      <c r="J4812" s="209"/>
      <c r="K4812" s="209"/>
      <c r="L4812" s="209"/>
      <c r="M4812" s="209"/>
      <c r="N4812" s="209"/>
      <c r="O4812" s="209"/>
      <c r="P4812" s="209"/>
      <c r="Q4812" s="209"/>
      <c r="R4812" s="209"/>
      <c r="S4812" s="209"/>
      <c r="T4812" s="209"/>
    </row>
    <row r="4813" spans="1:20" ht="15" hidden="1" customHeight="1">
      <c r="A4813" s="468">
        <v>45503</v>
      </c>
      <c r="B4813" s="208" t="s">
        <v>4061</v>
      </c>
      <c r="C4813" s="208" t="s">
        <v>27</v>
      </c>
      <c r="D4813" s="211">
        <v>-233080</v>
      </c>
      <c r="E4813" s="212">
        <v>45474</v>
      </c>
      <c r="F4813" s="201" t="s">
        <v>110</v>
      </c>
      <c r="G4813" s="638" t="s">
        <v>774</v>
      </c>
      <c r="H4813" s="208" t="s">
        <v>147</v>
      </c>
      <c r="I4813" s="208"/>
      <c r="J4813" s="209"/>
      <c r="K4813" s="209"/>
      <c r="L4813" s="209"/>
      <c r="M4813" s="209"/>
      <c r="N4813" s="209"/>
      <c r="O4813" s="209"/>
      <c r="P4813" s="209"/>
      <c r="Q4813" s="209"/>
      <c r="R4813" s="209"/>
      <c r="S4813" s="209"/>
      <c r="T4813" s="209"/>
    </row>
    <row r="4814" spans="1:20" ht="15" hidden="1" customHeight="1">
      <c r="A4814" s="468">
        <v>45503</v>
      </c>
      <c r="B4814" s="208" t="s">
        <v>4062</v>
      </c>
      <c r="C4814" s="208" t="s">
        <v>27</v>
      </c>
      <c r="D4814" s="211">
        <v>-673600</v>
      </c>
      <c r="E4814" s="212">
        <v>45474</v>
      </c>
      <c r="F4814" s="201" t="s">
        <v>110</v>
      </c>
      <c r="G4814" s="208" t="s">
        <v>774</v>
      </c>
      <c r="H4814" s="208" t="s">
        <v>508</v>
      </c>
      <c r="I4814" s="208"/>
      <c r="J4814" s="209"/>
      <c r="K4814" s="209"/>
      <c r="L4814" s="209"/>
      <c r="M4814" s="209"/>
      <c r="N4814" s="209"/>
      <c r="O4814" s="209"/>
      <c r="P4814" s="209"/>
      <c r="Q4814" s="209"/>
      <c r="R4814" s="209"/>
      <c r="S4814" s="209"/>
      <c r="T4814" s="209"/>
    </row>
    <row r="4815" spans="1:20" ht="15" hidden="1" customHeight="1">
      <c r="A4815" s="468">
        <v>45503</v>
      </c>
      <c r="B4815" s="208" t="s">
        <v>4062</v>
      </c>
      <c r="C4815" s="208" t="s">
        <v>27</v>
      </c>
      <c r="D4815" s="211">
        <v>-293800</v>
      </c>
      <c r="E4815" s="212">
        <v>45474</v>
      </c>
      <c r="F4815" s="208" t="s">
        <v>207</v>
      </c>
      <c r="G4815" s="81" t="s">
        <v>2226</v>
      </c>
      <c r="H4815" s="208" t="s">
        <v>508</v>
      </c>
      <c r="I4815" s="208"/>
      <c r="J4815" s="209"/>
      <c r="K4815" s="209"/>
      <c r="L4815" s="209"/>
      <c r="M4815" s="209"/>
      <c r="N4815" s="209"/>
      <c r="O4815" s="209"/>
      <c r="P4815" s="209"/>
      <c r="Q4815" s="209"/>
      <c r="R4815" s="209"/>
      <c r="S4815" s="209"/>
      <c r="T4815" s="209"/>
    </row>
    <row r="4816" spans="1:20" ht="15" hidden="1" customHeight="1">
      <c r="A4816" s="468">
        <v>45503</v>
      </c>
      <c r="B4816" s="208" t="s">
        <v>4062</v>
      </c>
      <c r="C4816" s="208" t="s">
        <v>27</v>
      </c>
      <c r="D4816" s="211">
        <v>-293800</v>
      </c>
      <c r="E4816" s="212">
        <v>45474</v>
      </c>
      <c r="F4816" s="208" t="s">
        <v>109</v>
      </c>
      <c r="G4816" s="654" t="s">
        <v>2585</v>
      </c>
      <c r="H4816" s="208" t="s">
        <v>508</v>
      </c>
      <c r="I4816" s="208"/>
      <c r="J4816" s="209"/>
      <c r="K4816" s="209"/>
      <c r="L4816" s="209"/>
      <c r="M4816" s="209"/>
      <c r="N4816" s="209"/>
      <c r="O4816" s="209"/>
      <c r="P4816" s="209"/>
      <c r="Q4816" s="209"/>
      <c r="R4816" s="209"/>
      <c r="S4816" s="209"/>
      <c r="T4816" s="209"/>
    </row>
    <row r="4817" spans="1:20" ht="15" hidden="1" customHeight="1">
      <c r="A4817" s="468">
        <v>45503</v>
      </c>
      <c r="B4817" s="208" t="s">
        <v>4063</v>
      </c>
      <c r="C4817" s="208" t="s">
        <v>27</v>
      </c>
      <c r="D4817" s="211">
        <v>-293800</v>
      </c>
      <c r="E4817" s="212">
        <v>45474</v>
      </c>
      <c r="F4817" s="201" t="s">
        <v>110</v>
      </c>
      <c r="G4817" s="208" t="s">
        <v>774</v>
      </c>
      <c r="H4817" s="208" t="s">
        <v>147</v>
      </c>
      <c r="I4817" s="208"/>
      <c r="J4817" s="209"/>
      <c r="K4817" s="209"/>
      <c r="L4817" s="209"/>
      <c r="M4817" s="209"/>
      <c r="N4817" s="209"/>
      <c r="O4817" s="209"/>
      <c r="P4817" s="209"/>
      <c r="Q4817" s="209"/>
      <c r="R4817" s="209"/>
      <c r="S4817" s="209"/>
      <c r="T4817" s="209"/>
    </row>
    <row r="4818" spans="1:20" ht="15" hidden="1" customHeight="1">
      <c r="A4818" s="468">
        <v>45503</v>
      </c>
      <c r="B4818" s="208" t="s">
        <v>4063</v>
      </c>
      <c r="C4818" s="208" t="s">
        <v>27</v>
      </c>
      <c r="D4818" s="211">
        <v>-252246</v>
      </c>
      <c r="E4818" s="212">
        <v>45474</v>
      </c>
      <c r="F4818" s="201" t="s">
        <v>110</v>
      </c>
      <c r="G4818" s="208" t="s">
        <v>774</v>
      </c>
      <c r="H4818" s="208" t="s">
        <v>147</v>
      </c>
      <c r="I4818" s="208"/>
      <c r="J4818" s="209"/>
      <c r="K4818" s="209"/>
      <c r="L4818" s="209"/>
      <c r="M4818" s="209"/>
      <c r="N4818" s="209"/>
      <c r="O4818" s="209"/>
      <c r="P4818" s="209"/>
      <c r="Q4818" s="209"/>
      <c r="R4818" s="209"/>
      <c r="S4818" s="209"/>
      <c r="T4818" s="209"/>
    </row>
    <row r="4819" spans="1:20" ht="15" hidden="1" customHeight="1">
      <c r="A4819" s="468">
        <v>45503</v>
      </c>
      <c r="B4819" s="208" t="s">
        <v>4063</v>
      </c>
      <c r="C4819" s="208" t="s">
        <v>27</v>
      </c>
      <c r="D4819" s="211">
        <v>-252246.66666666672</v>
      </c>
      <c r="E4819" s="212">
        <v>45474</v>
      </c>
      <c r="F4819" s="208" t="s">
        <v>109</v>
      </c>
      <c r="G4819" s="654" t="s">
        <v>2585</v>
      </c>
      <c r="H4819" s="208" t="s">
        <v>147</v>
      </c>
      <c r="I4819" s="208"/>
      <c r="J4819" s="209"/>
      <c r="K4819" s="209"/>
      <c r="L4819" s="209"/>
      <c r="M4819" s="209"/>
      <c r="N4819" s="209"/>
      <c r="O4819" s="209"/>
      <c r="P4819" s="209"/>
      <c r="Q4819" s="209"/>
      <c r="R4819" s="209"/>
      <c r="S4819" s="209"/>
      <c r="T4819" s="209"/>
    </row>
    <row r="4820" spans="1:20" ht="15" hidden="1" customHeight="1">
      <c r="A4820" s="468">
        <v>45503</v>
      </c>
      <c r="B4820" s="208" t="s">
        <v>4064</v>
      </c>
      <c r="C4820" s="208" t="s">
        <v>27</v>
      </c>
      <c r="D4820" s="211">
        <v>-252246</v>
      </c>
      <c r="E4820" s="212">
        <v>45474</v>
      </c>
      <c r="F4820" s="208" t="s">
        <v>207</v>
      </c>
      <c r="G4820" s="81" t="s">
        <v>2226</v>
      </c>
      <c r="H4820" s="208" t="s">
        <v>147</v>
      </c>
      <c r="I4820" s="208"/>
      <c r="J4820" s="209"/>
      <c r="K4820" s="209"/>
      <c r="L4820" s="209"/>
      <c r="M4820" s="209"/>
      <c r="N4820" s="209"/>
      <c r="O4820" s="209"/>
      <c r="P4820" s="209"/>
      <c r="Q4820" s="209"/>
      <c r="R4820" s="209"/>
      <c r="S4820" s="209"/>
      <c r="T4820" s="209"/>
    </row>
    <row r="4821" spans="1:20" ht="15" hidden="1" customHeight="1">
      <c r="A4821" s="468">
        <v>45503</v>
      </c>
      <c r="B4821" s="208" t="s">
        <v>4064</v>
      </c>
      <c r="C4821" s="208" t="s">
        <v>27</v>
      </c>
      <c r="D4821" s="211">
        <v>-681200</v>
      </c>
      <c r="E4821" s="212">
        <v>45474</v>
      </c>
      <c r="F4821" s="208" t="s">
        <v>109</v>
      </c>
      <c r="G4821" s="654" t="s">
        <v>2585</v>
      </c>
      <c r="H4821" s="208" t="s">
        <v>147</v>
      </c>
      <c r="I4821" s="208"/>
      <c r="J4821" s="209"/>
      <c r="K4821" s="209"/>
      <c r="L4821" s="209"/>
      <c r="M4821" s="209"/>
      <c r="N4821" s="209"/>
      <c r="O4821" s="209"/>
      <c r="P4821" s="209"/>
      <c r="Q4821" s="209"/>
      <c r="R4821" s="209"/>
      <c r="S4821" s="209"/>
      <c r="T4821" s="209"/>
    </row>
    <row r="4822" spans="1:20" ht="15" hidden="1" customHeight="1">
      <c r="A4822" s="468">
        <v>45503</v>
      </c>
      <c r="B4822" s="208" t="s">
        <v>4065</v>
      </c>
      <c r="C4822" s="208" t="s">
        <v>27</v>
      </c>
      <c r="D4822" s="211">
        <v>-135800</v>
      </c>
      <c r="E4822" s="212">
        <v>45474</v>
      </c>
      <c r="F4822" s="208" t="s">
        <v>109</v>
      </c>
      <c r="G4822" s="201" t="s">
        <v>1306</v>
      </c>
      <c r="H4822" s="208" t="s">
        <v>147</v>
      </c>
      <c r="I4822" s="208"/>
      <c r="J4822" s="209"/>
      <c r="K4822" s="209"/>
      <c r="L4822" s="209"/>
      <c r="M4822" s="209"/>
      <c r="N4822" s="209"/>
      <c r="O4822" s="209"/>
      <c r="P4822" s="209"/>
      <c r="Q4822" s="209"/>
      <c r="R4822" s="209"/>
      <c r="S4822" s="209"/>
      <c r="T4822" s="209"/>
    </row>
    <row r="4823" spans="1:20" ht="15" hidden="1" customHeight="1">
      <c r="A4823" s="468">
        <v>45503</v>
      </c>
      <c r="B4823" s="208" t="s">
        <v>4065</v>
      </c>
      <c r="C4823" s="208" t="s">
        <v>27</v>
      </c>
      <c r="D4823" s="211">
        <v>-543200</v>
      </c>
      <c r="E4823" s="212">
        <v>45474</v>
      </c>
      <c r="F4823" s="208" t="s">
        <v>109</v>
      </c>
      <c r="G4823" s="654" t="s">
        <v>2585</v>
      </c>
      <c r="H4823" s="208" t="s">
        <v>147</v>
      </c>
      <c r="I4823" s="208"/>
      <c r="J4823" s="209"/>
      <c r="K4823" s="209"/>
      <c r="L4823" s="209"/>
      <c r="M4823" s="209"/>
      <c r="N4823" s="209"/>
      <c r="O4823" s="209"/>
      <c r="P4823" s="209"/>
      <c r="Q4823" s="209"/>
      <c r="R4823" s="209"/>
      <c r="S4823" s="209"/>
      <c r="T4823" s="209"/>
    </row>
    <row r="4824" spans="1:20" ht="15" hidden="1" customHeight="1">
      <c r="A4824" s="468">
        <v>45503</v>
      </c>
      <c r="B4824" s="208" t="s">
        <v>4066</v>
      </c>
      <c r="C4824" s="208" t="s">
        <v>27</v>
      </c>
      <c r="D4824" s="211">
        <v>-135800</v>
      </c>
      <c r="E4824" s="212">
        <v>45474</v>
      </c>
      <c r="F4824" s="201" t="s">
        <v>110</v>
      </c>
      <c r="G4824" s="208" t="s">
        <v>774</v>
      </c>
      <c r="H4824" s="208" t="s">
        <v>508</v>
      </c>
      <c r="I4824" s="208"/>
      <c r="J4824" s="209"/>
      <c r="K4824" s="209"/>
      <c r="L4824" s="209"/>
      <c r="M4824" s="209"/>
      <c r="N4824" s="209"/>
      <c r="O4824" s="209"/>
      <c r="P4824" s="209"/>
      <c r="Q4824" s="209"/>
      <c r="R4824" s="209"/>
      <c r="S4824" s="209"/>
      <c r="T4824" s="209"/>
    </row>
    <row r="4825" spans="1:20" ht="15" hidden="1" customHeight="1">
      <c r="A4825" s="468">
        <v>45503</v>
      </c>
      <c r="B4825" s="208" t="s">
        <v>4066</v>
      </c>
      <c r="C4825" s="208" t="s">
        <v>27</v>
      </c>
      <c r="D4825" s="211">
        <v>-938400</v>
      </c>
      <c r="E4825" s="212">
        <v>45474</v>
      </c>
      <c r="F4825" s="208" t="s">
        <v>109</v>
      </c>
      <c r="G4825" s="201" t="s">
        <v>1306</v>
      </c>
      <c r="H4825" s="208" t="s">
        <v>508</v>
      </c>
      <c r="I4825" s="208"/>
      <c r="J4825" s="209"/>
      <c r="K4825" s="209"/>
      <c r="L4825" s="209"/>
      <c r="M4825" s="209"/>
      <c r="N4825" s="209"/>
      <c r="O4825" s="209"/>
      <c r="P4825" s="209"/>
      <c r="Q4825" s="209"/>
      <c r="R4825" s="209"/>
      <c r="S4825" s="209"/>
      <c r="T4825" s="209"/>
    </row>
    <row r="4826" spans="1:20" ht="15" hidden="1" customHeight="1">
      <c r="A4826" s="468">
        <v>45503</v>
      </c>
      <c r="B4826" s="208" t="s">
        <v>4066</v>
      </c>
      <c r="C4826" s="208" t="s">
        <v>27</v>
      </c>
      <c r="D4826" s="211">
        <v>-938400</v>
      </c>
      <c r="E4826" s="212">
        <v>45474</v>
      </c>
      <c r="F4826" s="208" t="s">
        <v>109</v>
      </c>
      <c r="G4826" s="654" t="s">
        <v>2585</v>
      </c>
      <c r="H4826" s="208" t="s">
        <v>508</v>
      </c>
      <c r="I4826" s="208"/>
      <c r="J4826" s="209"/>
      <c r="K4826" s="209"/>
      <c r="L4826" s="209"/>
      <c r="M4826" s="209"/>
      <c r="N4826" s="209"/>
      <c r="O4826" s="209"/>
      <c r="P4826" s="209"/>
      <c r="Q4826" s="209"/>
      <c r="R4826" s="209"/>
      <c r="S4826" s="209"/>
      <c r="T4826" s="209"/>
    </row>
    <row r="4827" spans="1:20" ht="15" hidden="1" customHeight="1">
      <c r="A4827" s="468">
        <v>45503</v>
      </c>
      <c r="B4827" s="208" t="s">
        <v>4067</v>
      </c>
      <c r="C4827" s="208" t="s">
        <v>27</v>
      </c>
      <c r="D4827" s="211">
        <v>-938400</v>
      </c>
      <c r="E4827" s="212">
        <v>45474</v>
      </c>
      <c r="F4827" s="208" t="s">
        <v>109</v>
      </c>
      <c r="G4827" s="208" t="s">
        <v>3644</v>
      </c>
      <c r="H4827" s="208" t="s">
        <v>2421</v>
      </c>
      <c r="I4827" s="208"/>
      <c r="J4827" s="209"/>
      <c r="K4827" s="209"/>
      <c r="L4827" s="209"/>
      <c r="M4827" s="209"/>
      <c r="N4827" s="209"/>
      <c r="O4827" s="209"/>
      <c r="P4827" s="209"/>
      <c r="Q4827" s="209"/>
      <c r="R4827" s="209"/>
      <c r="S4827" s="209"/>
      <c r="T4827" s="209"/>
    </row>
    <row r="4828" spans="1:20" ht="14.15" hidden="1">
      <c r="A4828" s="468">
        <v>45503</v>
      </c>
      <c r="B4828" s="208" t="s">
        <v>4068</v>
      </c>
      <c r="C4828" s="208" t="s">
        <v>27</v>
      </c>
      <c r="D4828" s="211">
        <v>-2815200</v>
      </c>
      <c r="E4828" s="212">
        <v>45474</v>
      </c>
      <c r="F4828" s="208" t="s">
        <v>130</v>
      </c>
      <c r="G4828" s="658" t="s">
        <v>130</v>
      </c>
      <c r="H4828" s="208" t="s">
        <v>182</v>
      </c>
      <c r="I4828" s="208"/>
      <c r="J4828" s="209"/>
      <c r="K4828" s="209"/>
      <c r="L4828" s="209"/>
      <c r="M4828" s="209"/>
      <c r="N4828" s="209"/>
      <c r="O4828" s="209"/>
      <c r="P4828" s="209"/>
      <c r="Q4828" s="209"/>
      <c r="R4828" s="209"/>
      <c r="S4828" s="209"/>
      <c r="T4828" s="209"/>
    </row>
    <row r="4829" spans="1:20" ht="14.15" hidden="1">
      <c r="A4829" s="468">
        <v>45503</v>
      </c>
      <c r="B4829" s="208" t="s">
        <v>4069</v>
      </c>
      <c r="C4829" s="208" t="s">
        <v>27</v>
      </c>
      <c r="D4829" s="211">
        <v>-2024000</v>
      </c>
      <c r="E4829" s="212">
        <v>45474</v>
      </c>
      <c r="F4829" s="201" t="s">
        <v>110</v>
      </c>
      <c r="G4829" s="208" t="s">
        <v>774</v>
      </c>
      <c r="H4829" s="208" t="s">
        <v>508</v>
      </c>
      <c r="I4829" s="208"/>
      <c r="J4829" s="209"/>
      <c r="K4829" s="209"/>
      <c r="L4829" s="209"/>
      <c r="M4829" s="209"/>
      <c r="N4829" s="209"/>
      <c r="O4829" s="209"/>
      <c r="P4829" s="209"/>
      <c r="Q4829" s="209"/>
      <c r="R4829" s="209"/>
      <c r="S4829" s="209"/>
      <c r="T4829" s="209"/>
    </row>
    <row r="4830" spans="1:20" ht="14.15" hidden="1">
      <c r="A4830" s="468">
        <v>45503</v>
      </c>
      <c r="B4830" s="208" t="s">
        <v>4069</v>
      </c>
      <c r="C4830" s="208" t="s">
        <v>27</v>
      </c>
      <c r="D4830" s="211">
        <v>-820666.66666666674</v>
      </c>
      <c r="E4830" s="212">
        <v>45474</v>
      </c>
      <c r="F4830" s="208" t="s">
        <v>207</v>
      </c>
      <c r="G4830" s="81" t="s">
        <v>2226</v>
      </c>
      <c r="H4830" s="208" t="s">
        <v>508</v>
      </c>
      <c r="I4830" s="208"/>
      <c r="J4830" s="209"/>
      <c r="K4830" s="209"/>
      <c r="L4830" s="209"/>
      <c r="M4830" s="209"/>
      <c r="N4830" s="209"/>
      <c r="O4830" s="209"/>
      <c r="P4830" s="209"/>
      <c r="Q4830" s="209"/>
      <c r="R4830" s="209"/>
      <c r="S4830" s="209"/>
      <c r="T4830" s="209"/>
    </row>
    <row r="4831" spans="1:20" ht="14.15" hidden="1">
      <c r="A4831" s="468">
        <v>45503</v>
      </c>
      <c r="B4831" s="208" t="s">
        <v>4069</v>
      </c>
      <c r="C4831" s="208" t="s">
        <v>27</v>
      </c>
      <c r="D4831" s="211">
        <v>-820666.66666666674</v>
      </c>
      <c r="E4831" s="212">
        <v>45474</v>
      </c>
      <c r="F4831" s="208" t="s">
        <v>109</v>
      </c>
      <c r="G4831" s="654" t="s">
        <v>2585</v>
      </c>
      <c r="H4831" s="208" t="s">
        <v>508</v>
      </c>
      <c r="I4831" s="208"/>
      <c r="J4831" s="209"/>
      <c r="K4831" s="209"/>
      <c r="L4831" s="209"/>
      <c r="M4831" s="209"/>
      <c r="N4831" s="209"/>
      <c r="O4831" s="209"/>
      <c r="P4831" s="209"/>
      <c r="Q4831" s="209"/>
      <c r="R4831" s="209"/>
      <c r="S4831" s="209"/>
      <c r="T4831" s="209"/>
    </row>
    <row r="4832" spans="1:20" ht="14.15" hidden="1">
      <c r="A4832" s="468">
        <v>45503</v>
      </c>
      <c r="B4832" s="208" t="s">
        <v>4070</v>
      </c>
      <c r="C4832" s="208" t="s">
        <v>27</v>
      </c>
      <c r="D4832" s="211">
        <v>-820666.66666666674</v>
      </c>
      <c r="E4832" s="212">
        <v>45474</v>
      </c>
      <c r="F4832" s="208" t="s">
        <v>130</v>
      </c>
      <c r="G4832" s="658" t="s">
        <v>130</v>
      </c>
      <c r="H4832" s="208" t="s">
        <v>182</v>
      </c>
      <c r="I4832" s="208"/>
      <c r="J4832" s="209"/>
      <c r="K4832" s="209"/>
      <c r="L4832" s="209"/>
      <c r="M4832" s="209"/>
      <c r="N4832" s="209"/>
      <c r="O4832" s="209"/>
      <c r="P4832" s="209"/>
      <c r="Q4832" s="209"/>
      <c r="R4832" s="209"/>
      <c r="S4832" s="209"/>
      <c r="T4832" s="209"/>
    </row>
    <row r="4833" spans="1:20" ht="14.15" hidden="1">
      <c r="A4833" s="468">
        <v>45503</v>
      </c>
      <c r="B4833" s="208" t="s">
        <v>4071</v>
      </c>
      <c r="C4833" s="208" t="s">
        <v>27</v>
      </c>
      <c r="D4833" s="211">
        <v>-679000</v>
      </c>
      <c r="E4833" s="212">
        <v>45474</v>
      </c>
      <c r="F4833" s="208" t="s">
        <v>130</v>
      </c>
      <c r="G4833" s="658" t="s">
        <v>130</v>
      </c>
      <c r="H4833" s="208" t="s">
        <v>182</v>
      </c>
      <c r="I4833" s="208"/>
      <c r="J4833" s="209"/>
      <c r="K4833" s="209"/>
      <c r="L4833" s="209"/>
      <c r="M4833" s="209"/>
      <c r="N4833" s="209"/>
      <c r="O4833" s="209"/>
      <c r="P4833" s="209"/>
      <c r="Q4833" s="209"/>
      <c r="R4833" s="209"/>
      <c r="S4833" s="209"/>
      <c r="T4833" s="209"/>
    </row>
    <row r="4834" spans="1:20" ht="14.15" hidden="1">
      <c r="A4834" s="468">
        <v>45503</v>
      </c>
      <c r="B4834" s="208" t="s">
        <v>4072</v>
      </c>
      <c r="C4834" s="208" t="s">
        <v>27</v>
      </c>
      <c r="D4834" s="211">
        <v>-4994330.8871999998</v>
      </c>
      <c r="E4834" s="212">
        <v>45474</v>
      </c>
      <c r="F4834" s="208" t="s">
        <v>130</v>
      </c>
      <c r="G4834" s="658" t="s">
        <v>257</v>
      </c>
      <c r="H4834" s="208" t="s">
        <v>182</v>
      </c>
      <c r="I4834" s="208"/>
      <c r="J4834" s="209"/>
      <c r="K4834" s="209"/>
      <c r="L4834" s="209"/>
      <c r="M4834" s="209"/>
      <c r="N4834" s="209"/>
      <c r="O4834" s="209"/>
      <c r="P4834" s="209"/>
      <c r="Q4834" s="209"/>
      <c r="R4834" s="209"/>
      <c r="S4834" s="209"/>
      <c r="T4834" s="209"/>
    </row>
    <row r="4835" spans="1:20" ht="14.15" hidden="1">
      <c r="A4835" s="468">
        <v>45503</v>
      </c>
      <c r="B4835" s="208" t="s">
        <v>4073</v>
      </c>
      <c r="C4835" s="208" t="s">
        <v>27</v>
      </c>
      <c r="D4835" s="718">
        <v>-679000</v>
      </c>
      <c r="E4835" s="212">
        <v>45474</v>
      </c>
      <c r="F4835" s="208" t="s">
        <v>109</v>
      </c>
      <c r="G4835" s="201" t="s">
        <v>581</v>
      </c>
      <c r="H4835" s="208" t="s">
        <v>147</v>
      </c>
      <c r="I4835" s="208"/>
      <c r="J4835" s="209"/>
      <c r="K4835" s="209"/>
      <c r="L4835" s="209"/>
      <c r="M4835" s="209"/>
      <c r="N4835" s="209"/>
      <c r="O4835" s="209"/>
      <c r="P4835" s="209"/>
      <c r="Q4835" s="209"/>
      <c r="R4835" s="209"/>
      <c r="S4835" s="209"/>
      <c r="T4835" s="209"/>
    </row>
    <row r="4836" spans="1:20" ht="14.15" hidden="1">
      <c r="A4836" s="468">
        <v>45503</v>
      </c>
      <c r="B4836" s="208" t="s">
        <v>4074</v>
      </c>
      <c r="C4836" s="208" t="s">
        <v>27</v>
      </c>
      <c r="D4836" s="718">
        <v>-679000</v>
      </c>
      <c r="E4836" s="212">
        <v>45474</v>
      </c>
      <c r="F4836" s="208" t="s">
        <v>109</v>
      </c>
      <c r="G4836" s="201" t="s">
        <v>581</v>
      </c>
      <c r="H4836" s="208" t="s">
        <v>147</v>
      </c>
      <c r="I4836" s="208"/>
      <c r="J4836" s="209"/>
      <c r="K4836" s="209"/>
      <c r="L4836" s="209"/>
      <c r="M4836" s="209"/>
      <c r="N4836" s="209"/>
      <c r="O4836" s="209"/>
      <c r="P4836" s="209"/>
      <c r="Q4836" s="209"/>
      <c r="R4836" s="209"/>
      <c r="S4836" s="209"/>
      <c r="T4836" s="209"/>
    </row>
    <row r="4837" spans="1:20" ht="15" hidden="1" customHeight="1">
      <c r="A4837" s="468">
        <v>45503</v>
      </c>
      <c r="B4837" s="208" t="s">
        <v>4075</v>
      </c>
      <c r="C4837" s="208" t="s">
        <v>27</v>
      </c>
      <c r="D4837" s="211">
        <v>-633733.33333333337</v>
      </c>
      <c r="E4837" s="212">
        <v>45474</v>
      </c>
      <c r="F4837" s="201" t="s">
        <v>110</v>
      </c>
      <c r="G4837" s="208" t="s">
        <v>774</v>
      </c>
      <c r="H4837" s="208" t="s">
        <v>147</v>
      </c>
      <c r="I4837" s="208"/>
      <c r="J4837" s="209"/>
      <c r="K4837" s="209"/>
      <c r="L4837" s="209"/>
      <c r="M4837" s="209"/>
      <c r="N4837" s="209"/>
      <c r="O4837" s="209"/>
      <c r="P4837" s="209"/>
      <c r="Q4837" s="209"/>
      <c r="R4837" s="209"/>
      <c r="S4837" s="209"/>
      <c r="T4837" s="209"/>
    </row>
    <row r="4838" spans="1:20" ht="15" hidden="1" customHeight="1">
      <c r="A4838" s="468">
        <v>45503</v>
      </c>
      <c r="B4838" s="208" t="s">
        <v>4076</v>
      </c>
      <c r="C4838" s="208" t="s">
        <v>27</v>
      </c>
      <c r="D4838" s="211">
        <v>-679000</v>
      </c>
      <c r="E4838" s="212">
        <v>45474</v>
      </c>
      <c r="F4838" s="201" t="s">
        <v>110</v>
      </c>
      <c r="G4838" s="208" t="s">
        <v>774</v>
      </c>
      <c r="H4838" s="208" t="s">
        <v>147</v>
      </c>
      <c r="I4838" s="208"/>
      <c r="J4838" s="209"/>
      <c r="K4838" s="209"/>
      <c r="L4838" s="209"/>
      <c r="M4838" s="209"/>
      <c r="N4838" s="209"/>
      <c r="O4838" s="209"/>
      <c r="P4838" s="209"/>
      <c r="Q4838" s="209"/>
      <c r="R4838" s="209"/>
      <c r="S4838" s="209"/>
      <c r="T4838" s="209"/>
    </row>
    <row r="4839" spans="1:20" ht="15" hidden="1" customHeight="1">
      <c r="A4839" s="468">
        <v>45503</v>
      </c>
      <c r="B4839" s="208" t="s">
        <v>4077</v>
      </c>
      <c r="C4839" s="208" t="s">
        <v>27</v>
      </c>
      <c r="D4839" s="211">
        <v>-679000</v>
      </c>
      <c r="E4839" s="212">
        <v>45474</v>
      </c>
      <c r="F4839" s="208" t="s">
        <v>207</v>
      </c>
      <c r="G4839" s="81" t="s">
        <v>2226</v>
      </c>
      <c r="H4839" s="208" t="s">
        <v>147</v>
      </c>
      <c r="I4839" s="208"/>
      <c r="J4839" s="209"/>
      <c r="K4839" s="209"/>
      <c r="L4839" s="209"/>
      <c r="M4839" s="209"/>
      <c r="N4839" s="209"/>
      <c r="O4839" s="209"/>
      <c r="P4839" s="209"/>
      <c r="Q4839" s="209"/>
      <c r="R4839" s="209"/>
      <c r="S4839" s="209"/>
      <c r="T4839" s="209"/>
    </row>
    <row r="4840" spans="1:20" ht="15" hidden="1" customHeight="1">
      <c r="A4840" s="468">
        <v>45503</v>
      </c>
      <c r="B4840" s="208" t="s">
        <v>4078</v>
      </c>
      <c r="C4840" s="208" t="s">
        <v>27</v>
      </c>
      <c r="D4840" s="211">
        <v>-817000</v>
      </c>
      <c r="E4840" s="212">
        <v>45474</v>
      </c>
      <c r="F4840" s="208" t="s">
        <v>207</v>
      </c>
      <c r="G4840" s="81" t="s">
        <v>2226</v>
      </c>
      <c r="H4840" s="208" t="s">
        <v>147</v>
      </c>
      <c r="I4840" s="208"/>
      <c r="J4840" s="209"/>
      <c r="K4840" s="209"/>
      <c r="L4840" s="209"/>
      <c r="M4840" s="209"/>
      <c r="N4840" s="209"/>
      <c r="O4840" s="209"/>
      <c r="P4840" s="209"/>
      <c r="Q4840" s="209"/>
      <c r="R4840" s="209"/>
      <c r="S4840" s="209"/>
      <c r="T4840" s="209"/>
    </row>
    <row r="4841" spans="1:20" ht="14.15" hidden="1">
      <c r="A4841" s="468">
        <v>45503</v>
      </c>
      <c r="B4841" s="208" t="s">
        <v>4072</v>
      </c>
      <c r="C4841" s="208" t="s">
        <v>27</v>
      </c>
      <c r="D4841" s="211">
        <v>-4000000</v>
      </c>
      <c r="E4841" s="212">
        <v>45474</v>
      </c>
      <c r="F4841" s="208" t="s">
        <v>130</v>
      </c>
      <c r="G4841" s="674" t="s">
        <v>257</v>
      </c>
      <c r="H4841" s="208" t="s">
        <v>1031</v>
      </c>
      <c r="I4841" s="208"/>
      <c r="J4841" s="209"/>
      <c r="K4841" s="209"/>
      <c r="L4841" s="209"/>
      <c r="M4841" s="209"/>
      <c r="N4841" s="209"/>
      <c r="O4841" s="209"/>
      <c r="P4841" s="209"/>
      <c r="Q4841" s="209"/>
      <c r="R4841" s="209"/>
      <c r="S4841" s="209"/>
      <c r="T4841" s="209"/>
    </row>
    <row r="4842" spans="1:20" ht="15" hidden="1" customHeight="1">
      <c r="A4842" s="468">
        <v>45503</v>
      </c>
      <c r="B4842" s="208" t="s">
        <v>4079</v>
      </c>
      <c r="C4842" s="208" t="s">
        <v>27</v>
      </c>
      <c r="D4842" s="211">
        <v>-679000</v>
      </c>
      <c r="E4842" s="212">
        <v>45474</v>
      </c>
      <c r="F4842" s="208" t="s">
        <v>130</v>
      </c>
      <c r="G4842" s="658" t="s">
        <v>257</v>
      </c>
      <c r="H4842" s="208" t="s">
        <v>182</v>
      </c>
      <c r="I4842" s="208"/>
      <c r="J4842" s="209"/>
      <c r="K4842" s="209"/>
      <c r="L4842" s="209"/>
      <c r="M4842" s="209"/>
      <c r="N4842" s="209"/>
      <c r="O4842" s="209"/>
      <c r="P4842" s="209"/>
      <c r="Q4842" s="209"/>
      <c r="R4842" s="209"/>
      <c r="S4842" s="209"/>
      <c r="T4842" s="209"/>
    </row>
    <row r="4843" spans="1:20" ht="15" hidden="1" customHeight="1">
      <c r="A4843" s="468">
        <v>45503</v>
      </c>
      <c r="B4843" s="208" t="s">
        <v>3218</v>
      </c>
      <c r="C4843" s="208" t="s">
        <v>27</v>
      </c>
      <c r="D4843" s="211">
        <v>-2668000</v>
      </c>
      <c r="E4843" s="212">
        <v>45474</v>
      </c>
      <c r="F4843" s="208" t="s">
        <v>130</v>
      </c>
      <c r="G4843" s="658" t="s">
        <v>257</v>
      </c>
      <c r="H4843" s="208" t="s">
        <v>182</v>
      </c>
      <c r="I4843" s="208"/>
      <c r="J4843" s="209"/>
      <c r="K4843" s="209"/>
      <c r="L4843" s="209"/>
      <c r="M4843" s="209"/>
      <c r="N4843" s="209"/>
      <c r="O4843" s="209"/>
      <c r="P4843" s="209"/>
      <c r="Q4843" s="209"/>
      <c r="R4843" s="209"/>
      <c r="S4843" s="209"/>
      <c r="T4843" s="209"/>
    </row>
    <row r="4844" spans="1:20" ht="15" hidden="1" customHeight="1">
      <c r="A4844" s="468">
        <v>45503</v>
      </c>
      <c r="B4844" s="208" t="s">
        <v>4080</v>
      </c>
      <c r="C4844" s="208" t="s">
        <v>27</v>
      </c>
      <c r="D4844" s="718">
        <v>-487500</v>
      </c>
      <c r="E4844" s="212">
        <v>45474</v>
      </c>
      <c r="F4844" s="208" t="s">
        <v>109</v>
      </c>
      <c r="G4844" s="201" t="s">
        <v>581</v>
      </c>
      <c r="H4844" s="208" t="s">
        <v>147</v>
      </c>
      <c r="I4844" s="208"/>
      <c r="J4844" s="209"/>
      <c r="K4844" s="209"/>
      <c r="L4844" s="209"/>
      <c r="M4844" s="209"/>
      <c r="N4844" s="209"/>
      <c r="O4844" s="209"/>
      <c r="P4844" s="209"/>
      <c r="Q4844" s="209"/>
      <c r="R4844" s="209"/>
      <c r="S4844" s="209"/>
      <c r="T4844" s="209"/>
    </row>
    <row r="4845" spans="1:20" ht="15" hidden="1" customHeight="1">
      <c r="A4845" s="468">
        <v>45503</v>
      </c>
      <c r="B4845" s="208" t="s">
        <v>4081</v>
      </c>
      <c r="C4845" s="208" t="s">
        <v>27</v>
      </c>
      <c r="D4845" s="718">
        <v>-679000</v>
      </c>
      <c r="E4845" s="212">
        <v>45474</v>
      </c>
      <c r="F4845" s="208" t="s">
        <v>109</v>
      </c>
      <c r="G4845" s="201" t="s">
        <v>581</v>
      </c>
      <c r="H4845" s="208" t="s">
        <v>147</v>
      </c>
      <c r="I4845" s="208"/>
      <c r="J4845" s="209"/>
      <c r="K4845" s="209"/>
      <c r="L4845" s="209"/>
      <c r="M4845" s="209"/>
      <c r="N4845" s="209"/>
      <c r="O4845" s="209"/>
      <c r="P4845" s="209"/>
      <c r="Q4845" s="209"/>
      <c r="R4845" s="209"/>
      <c r="S4845" s="209"/>
      <c r="T4845" s="209"/>
    </row>
    <row r="4846" spans="1:20" ht="15" hidden="1" customHeight="1">
      <c r="A4846" s="468">
        <v>45503</v>
      </c>
      <c r="B4846" s="208" t="s">
        <v>4082</v>
      </c>
      <c r="C4846" s="208" t="s">
        <v>27</v>
      </c>
      <c r="D4846" s="211">
        <v>-1038260</v>
      </c>
      <c r="E4846" s="212">
        <v>45474</v>
      </c>
      <c r="F4846" s="208" t="s">
        <v>130</v>
      </c>
      <c r="G4846" s="658" t="s">
        <v>130</v>
      </c>
      <c r="H4846" s="208" t="s">
        <v>182</v>
      </c>
      <c r="I4846" s="208"/>
      <c r="J4846" s="209"/>
      <c r="K4846" s="209"/>
      <c r="L4846" s="209"/>
      <c r="M4846" s="209"/>
      <c r="N4846" s="209"/>
      <c r="O4846" s="209"/>
      <c r="P4846" s="209"/>
      <c r="Q4846" s="209"/>
      <c r="R4846" s="209"/>
      <c r="S4846" s="209"/>
      <c r="T4846" s="209"/>
    </row>
    <row r="4847" spans="1:20" ht="15" hidden="1" customHeight="1">
      <c r="A4847" s="468">
        <v>45503</v>
      </c>
      <c r="B4847" s="208" t="s">
        <v>4083</v>
      </c>
      <c r="C4847" s="208" t="s">
        <v>27</v>
      </c>
      <c r="D4847" s="211">
        <v>-2002000</v>
      </c>
      <c r="E4847" s="212">
        <v>45474</v>
      </c>
      <c r="F4847" s="208" t="s">
        <v>130</v>
      </c>
      <c r="G4847" s="658" t="s">
        <v>130</v>
      </c>
      <c r="H4847" s="208" t="s">
        <v>182</v>
      </c>
      <c r="I4847" s="208"/>
      <c r="J4847" s="209"/>
      <c r="K4847" s="209"/>
      <c r="L4847" s="209"/>
      <c r="M4847" s="209"/>
      <c r="N4847" s="209"/>
      <c r="O4847" s="209"/>
      <c r="P4847" s="209"/>
      <c r="Q4847" s="209"/>
      <c r="R4847" s="209"/>
      <c r="S4847" s="209"/>
      <c r="T4847" s="209"/>
    </row>
    <row r="4848" spans="1:20" ht="15" hidden="1" customHeight="1">
      <c r="A4848" s="468">
        <v>45503</v>
      </c>
      <c r="B4848" s="208" t="s">
        <v>4084</v>
      </c>
      <c r="C4848" s="208" t="s">
        <v>27</v>
      </c>
      <c r="D4848" s="211">
        <v>-500000.00000000006</v>
      </c>
      <c r="E4848" s="212">
        <v>45474</v>
      </c>
      <c r="F4848" s="201" t="s">
        <v>110</v>
      </c>
      <c r="G4848" s="208" t="s">
        <v>774</v>
      </c>
      <c r="H4848" s="208" t="s">
        <v>147</v>
      </c>
      <c r="I4848" s="208"/>
      <c r="J4848" s="209"/>
      <c r="K4848" s="209"/>
      <c r="L4848" s="209"/>
      <c r="M4848" s="209"/>
      <c r="N4848" s="209"/>
      <c r="O4848" s="209"/>
      <c r="P4848" s="209"/>
      <c r="Q4848" s="209"/>
      <c r="R4848" s="209"/>
      <c r="S4848" s="209"/>
      <c r="T4848" s="209"/>
    </row>
    <row r="4849" spans="1:20" ht="15" hidden="1" customHeight="1">
      <c r="A4849" s="468">
        <v>45503</v>
      </c>
      <c r="B4849" s="208" t="s">
        <v>4085</v>
      </c>
      <c r="C4849" s="208" t="s">
        <v>27</v>
      </c>
      <c r="D4849" s="718">
        <v>-1228700</v>
      </c>
      <c r="E4849" s="212">
        <v>45474</v>
      </c>
      <c r="F4849" s="208" t="s">
        <v>109</v>
      </c>
      <c r="G4849" s="201" t="s">
        <v>581</v>
      </c>
      <c r="H4849" s="208" t="s">
        <v>147</v>
      </c>
      <c r="I4849" s="208"/>
      <c r="J4849" s="209"/>
      <c r="K4849" s="209"/>
      <c r="L4849" s="209"/>
      <c r="M4849" s="209"/>
      <c r="N4849" s="209"/>
      <c r="O4849" s="209"/>
      <c r="P4849" s="209"/>
      <c r="Q4849" s="209"/>
      <c r="R4849" s="209"/>
      <c r="S4849" s="209"/>
      <c r="T4849" s="209"/>
    </row>
    <row r="4850" spans="1:20" ht="15" hidden="1" customHeight="1">
      <c r="A4850" s="468">
        <v>45503</v>
      </c>
      <c r="B4850" s="208" t="s">
        <v>4086</v>
      </c>
      <c r="C4850" s="208" t="s">
        <v>27</v>
      </c>
      <c r="D4850" s="718">
        <v>-679000</v>
      </c>
      <c r="E4850" s="212">
        <v>45474</v>
      </c>
      <c r="F4850" s="208" t="s">
        <v>109</v>
      </c>
      <c r="G4850" s="201" t="s">
        <v>581</v>
      </c>
      <c r="H4850" s="208" t="s">
        <v>147</v>
      </c>
      <c r="I4850" s="208"/>
      <c r="J4850" s="209"/>
      <c r="K4850" s="209"/>
      <c r="L4850" s="209"/>
      <c r="M4850" s="209"/>
      <c r="N4850" s="209"/>
      <c r="O4850" s="209"/>
      <c r="P4850" s="209"/>
      <c r="Q4850" s="209"/>
      <c r="R4850" s="209"/>
      <c r="S4850" s="209"/>
      <c r="T4850" s="209"/>
    </row>
    <row r="4851" spans="1:20" ht="15" hidden="1" customHeight="1">
      <c r="A4851" s="468">
        <v>45503</v>
      </c>
      <c r="B4851" s="208" t="s">
        <v>4087</v>
      </c>
      <c r="C4851" s="208" t="s">
        <v>27</v>
      </c>
      <c r="D4851" s="718">
        <v>-543200</v>
      </c>
      <c r="E4851" s="212">
        <v>45474</v>
      </c>
      <c r="F4851" s="208" t="s">
        <v>109</v>
      </c>
      <c r="G4851" s="201" t="s">
        <v>581</v>
      </c>
      <c r="H4851" s="208" t="s">
        <v>147</v>
      </c>
      <c r="I4851" s="208"/>
      <c r="J4851" s="209"/>
      <c r="K4851" s="209"/>
      <c r="L4851" s="209"/>
      <c r="M4851" s="209"/>
      <c r="N4851" s="209"/>
      <c r="O4851" s="209"/>
      <c r="P4851" s="209"/>
      <c r="Q4851" s="209"/>
      <c r="R4851" s="209"/>
      <c r="S4851" s="209"/>
      <c r="T4851" s="209"/>
    </row>
    <row r="4852" spans="1:20" ht="15" hidden="1" customHeight="1">
      <c r="A4852" s="468">
        <v>45503</v>
      </c>
      <c r="B4852" s="208" t="s">
        <v>4088</v>
      </c>
      <c r="C4852" s="208" t="s">
        <v>27</v>
      </c>
      <c r="D4852" s="718">
        <v>-619600</v>
      </c>
      <c r="E4852" s="212">
        <v>45474</v>
      </c>
      <c r="F4852" s="208" t="s">
        <v>109</v>
      </c>
      <c r="G4852" s="201" t="s">
        <v>581</v>
      </c>
      <c r="H4852" s="208" t="s">
        <v>147</v>
      </c>
      <c r="I4852" s="208"/>
      <c r="J4852" s="209"/>
      <c r="K4852" s="209"/>
      <c r="L4852" s="209"/>
      <c r="M4852" s="209"/>
      <c r="N4852" s="209"/>
      <c r="O4852" s="209"/>
      <c r="P4852" s="209"/>
      <c r="Q4852" s="209"/>
      <c r="R4852" s="209"/>
      <c r="S4852" s="209"/>
      <c r="T4852" s="209"/>
    </row>
    <row r="4853" spans="1:20" ht="15" hidden="1" customHeight="1">
      <c r="A4853" s="468">
        <v>45503</v>
      </c>
      <c r="B4853" s="208" t="s">
        <v>4089</v>
      </c>
      <c r="C4853" s="208" t="s">
        <v>27</v>
      </c>
      <c r="D4853" s="718">
        <v>-679000</v>
      </c>
      <c r="E4853" s="212">
        <v>45474</v>
      </c>
      <c r="F4853" s="208" t="s">
        <v>109</v>
      </c>
      <c r="G4853" s="201" t="s">
        <v>581</v>
      </c>
      <c r="H4853" s="208" t="s">
        <v>147</v>
      </c>
      <c r="I4853" s="208"/>
      <c r="J4853" s="209"/>
      <c r="K4853" s="209"/>
      <c r="L4853" s="209"/>
      <c r="M4853" s="209"/>
      <c r="N4853" s="209"/>
      <c r="O4853" s="209"/>
      <c r="P4853" s="209"/>
      <c r="Q4853" s="209"/>
      <c r="R4853" s="209"/>
      <c r="S4853" s="209"/>
      <c r="T4853" s="209"/>
    </row>
    <row r="4854" spans="1:20" ht="15" hidden="1" customHeight="1">
      <c r="A4854" s="468">
        <v>45503</v>
      </c>
      <c r="B4854" s="208" t="s">
        <v>4090</v>
      </c>
      <c r="C4854" s="208" t="s">
        <v>27</v>
      </c>
      <c r="D4854" s="718">
        <v>-679000</v>
      </c>
      <c r="E4854" s="212">
        <v>45474</v>
      </c>
      <c r="F4854" s="208" t="s">
        <v>109</v>
      </c>
      <c r="G4854" s="201" t="s">
        <v>581</v>
      </c>
      <c r="H4854" s="208" t="s">
        <v>147</v>
      </c>
      <c r="I4854" s="208"/>
      <c r="J4854" s="209"/>
      <c r="K4854" s="209"/>
      <c r="L4854" s="209"/>
      <c r="M4854" s="209"/>
      <c r="N4854" s="209"/>
      <c r="O4854" s="209"/>
      <c r="P4854" s="209"/>
      <c r="Q4854" s="209"/>
      <c r="R4854" s="209"/>
      <c r="S4854" s="209"/>
      <c r="T4854" s="209"/>
    </row>
    <row r="4855" spans="1:20" ht="15" hidden="1" customHeight="1">
      <c r="A4855" s="468">
        <v>45503</v>
      </c>
      <c r="B4855" s="208" t="s">
        <v>4091</v>
      </c>
      <c r="C4855" s="208" t="s">
        <v>27</v>
      </c>
      <c r="D4855" s="718">
        <v>-679000</v>
      </c>
      <c r="E4855" s="212">
        <v>45474</v>
      </c>
      <c r="F4855" s="208" t="s">
        <v>109</v>
      </c>
      <c r="G4855" s="201" t="s">
        <v>581</v>
      </c>
      <c r="H4855" s="208" t="s">
        <v>147</v>
      </c>
      <c r="I4855" s="208"/>
      <c r="J4855" s="209"/>
      <c r="K4855" s="209"/>
      <c r="L4855" s="209"/>
      <c r="M4855" s="209"/>
      <c r="N4855" s="209"/>
      <c r="O4855" s="209"/>
      <c r="P4855" s="209"/>
      <c r="Q4855" s="209"/>
      <c r="R4855" s="209"/>
      <c r="S4855" s="209"/>
      <c r="T4855" s="209"/>
    </row>
    <row r="4856" spans="1:20" ht="15" hidden="1" customHeight="1">
      <c r="A4856" s="468">
        <v>45503</v>
      </c>
      <c r="B4856" s="208" t="s">
        <v>4092</v>
      </c>
      <c r="C4856" s="208" t="s">
        <v>27</v>
      </c>
      <c r="D4856" s="718">
        <v>-679000</v>
      </c>
      <c r="E4856" s="212">
        <v>45474</v>
      </c>
      <c r="F4856" s="208" t="s">
        <v>109</v>
      </c>
      <c r="G4856" s="201" t="s">
        <v>581</v>
      </c>
      <c r="H4856" s="208" t="s">
        <v>147</v>
      </c>
      <c r="I4856" s="208"/>
      <c r="J4856" s="209"/>
      <c r="K4856" s="209"/>
      <c r="L4856" s="209"/>
      <c r="M4856" s="209"/>
      <c r="N4856" s="209"/>
      <c r="O4856" s="209"/>
      <c r="P4856" s="209"/>
      <c r="Q4856" s="209"/>
      <c r="R4856" s="209"/>
      <c r="S4856" s="209"/>
      <c r="T4856" s="209"/>
    </row>
    <row r="4857" spans="1:20" ht="15" hidden="1" customHeight="1">
      <c r="A4857" s="468">
        <v>45503</v>
      </c>
      <c r="B4857" s="208" t="s">
        <v>4093</v>
      </c>
      <c r="C4857" s="208" t="s">
        <v>27</v>
      </c>
      <c r="D4857" s="211">
        <v>-538880</v>
      </c>
      <c r="E4857" s="212">
        <v>45474</v>
      </c>
      <c r="F4857" s="208" t="s">
        <v>109</v>
      </c>
      <c r="G4857" s="654" t="s">
        <v>2585</v>
      </c>
      <c r="H4857" s="208" t="s">
        <v>147</v>
      </c>
      <c r="I4857" s="208"/>
      <c r="J4857" s="209"/>
      <c r="K4857" s="209"/>
      <c r="L4857" s="209"/>
      <c r="M4857" s="209"/>
      <c r="N4857" s="209"/>
      <c r="O4857" s="209"/>
      <c r="P4857" s="209"/>
      <c r="Q4857" s="209"/>
      <c r="R4857" s="209"/>
      <c r="S4857" s="209"/>
      <c r="T4857" s="209"/>
    </row>
    <row r="4858" spans="1:20" ht="15" hidden="1" customHeight="1">
      <c r="A4858" s="468">
        <v>45503</v>
      </c>
      <c r="B4858" s="208" t="s">
        <v>4093</v>
      </c>
      <c r="C4858" s="208" t="s">
        <v>27</v>
      </c>
      <c r="D4858" s="211">
        <v>-134720</v>
      </c>
      <c r="E4858" s="212">
        <v>45474</v>
      </c>
      <c r="F4858" s="208" t="s">
        <v>109</v>
      </c>
      <c r="G4858" s="201" t="s">
        <v>1306</v>
      </c>
      <c r="H4858" s="208" t="s">
        <v>147</v>
      </c>
      <c r="I4858" s="208"/>
      <c r="J4858" s="209"/>
      <c r="K4858" s="209"/>
      <c r="L4858" s="209"/>
      <c r="M4858" s="209"/>
      <c r="N4858" s="209"/>
      <c r="O4858" s="209"/>
      <c r="P4858" s="209"/>
      <c r="Q4858" s="209"/>
      <c r="R4858" s="209"/>
      <c r="S4858" s="209"/>
      <c r="T4858" s="209"/>
    </row>
    <row r="4859" spans="1:20" ht="15" hidden="1" customHeight="1">
      <c r="A4859" s="468">
        <v>45503</v>
      </c>
      <c r="B4859" s="208" t="s">
        <v>4094</v>
      </c>
      <c r="C4859" s="208" t="s">
        <v>27</v>
      </c>
      <c r="D4859" s="211">
        <v>-679000</v>
      </c>
      <c r="E4859" s="212">
        <v>45474</v>
      </c>
      <c r="F4859" s="208" t="s">
        <v>207</v>
      </c>
      <c r="G4859" s="81" t="s">
        <v>2226</v>
      </c>
      <c r="H4859" s="208" t="s">
        <v>147</v>
      </c>
      <c r="I4859" s="208"/>
      <c r="J4859" s="209"/>
      <c r="K4859" s="209"/>
      <c r="L4859" s="209"/>
      <c r="M4859" s="209"/>
      <c r="N4859" s="209"/>
      <c r="O4859" s="209"/>
      <c r="P4859" s="209"/>
      <c r="Q4859" s="209"/>
      <c r="R4859" s="209"/>
      <c r="S4859" s="209"/>
      <c r="T4859" s="209"/>
    </row>
    <row r="4860" spans="1:20" ht="15" hidden="1" customHeight="1">
      <c r="A4860" s="468">
        <v>45503</v>
      </c>
      <c r="B4860" s="208" t="s">
        <v>4095</v>
      </c>
      <c r="C4860" s="208" t="s">
        <v>27</v>
      </c>
      <c r="D4860" s="211">
        <v>-543200</v>
      </c>
      <c r="E4860" s="212">
        <v>45474</v>
      </c>
      <c r="F4860" s="208" t="s">
        <v>109</v>
      </c>
      <c r="G4860" s="654" t="s">
        <v>2585</v>
      </c>
      <c r="H4860" s="208" t="s">
        <v>147</v>
      </c>
      <c r="I4860" s="475" t="s">
        <v>3475</v>
      </c>
      <c r="J4860" s="209"/>
      <c r="K4860" s="209"/>
      <c r="L4860" s="209"/>
      <c r="M4860" s="209"/>
      <c r="N4860" s="209"/>
      <c r="O4860" s="209"/>
      <c r="P4860" s="209"/>
      <c r="Q4860" s="209"/>
      <c r="R4860" s="209"/>
      <c r="S4860" s="209"/>
      <c r="T4860" s="209"/>
    </row>
    <row r="4861" spans="1:20" ht="15" hidden="1" customHeight="1">
      <c r="A4861" s="468">
        <v>45503</v>
      </c>
      <c r="B4861" s="208" t="s">
        <v>4095</v>
      </c>
      <c r="C4861" s="208" t="s">
        <v>27</v>
      </c>
      <c r="D4861" s="211">
        <v>-135800</v>
      </c>
      <c r="E4861" s="212">
        <v>45474</v>
      </c>
      <c r="F4861" s="208" t="s">
        <v>109</v>
      </c>
      <c r="G4861" s="201" t="s">
        <v>1306</v>
      </c>
      <c r="H4861" s="208" t="s">
        <v>147</v>
      </c>
      <c r="I4861" s="208"/>
      <c r="J4861" s="209"/>
      <c r="K4861" s="209"/>
      <c r="L4861" s="209"/>
      <c r="M4861" s="209"/>
      <c r="N4861" s="209"/>
      <c r="O4861" s="209"/>
      <c r="P4861" s="209"/>
      <c r="Q4861" s="209"/>
      <c r="R4861" s="209"/>
      <c r="S4861" s="209"/>
      <c r="T4861" s="209"/>
    </row>
    <row r="4862" spans="1:20" ht="15" hidden="1" customHeight="1">
      <c r="A4862" s="468">
        <v>45503</v>
      </c>
      <c r="B4862" s="208" t="s">
        <v>4096</v>
      </c>
      <c r="C4862" s="208" t="s">
        <v>27</v>
      </c>
      <c r="D4862" s="211">
        <v>-673600</v>
      </c>
      <c r="E4862" s="212">
        <v>45474</v>
      </c>
      <c r="F4862" s="201" t="s">
        <v>110</v>
      </c>
      <c r="G4862" s="208" t="s">
        <v>774</v>
      </c>
      <c r="H4862" s="208" t="s">
        <v>147</v>
      </c>
      <c r="I4862" s="208"/>
      <c r="J4862" s="209"/>
      <c r="K4862" s="209"/>
      <c r="L4862" s="209"/>
      <c r="M4862" s="209"/>
      <c r="N4862" s="209"/>
      <c r="O4862" s="209"/>
      <c r="P4862" s="209"/>
      <c r="Q4862" s="209"/>
      <c r="R4862" s="209"/>
      <c r="S4862" s="209"/>
      <c r="T4862" s="209"/>
    </row>
    <row r="4863" spans="1:20" ht="15" hidden="1" customHeight="1">
      <c r="A4863" s="468">
        <v>45503</v>
      </c>
      <c r="B4863" s="208" t="s">
        <v>4097</v>
      </c>
      <c r="C4863" s="208" t="s">
        <v>27</v>
      </c>
      <c r="D4863" s="211">
        <v>-673600</v>
      </c>
      <c r="E4863" s="212">
        <v>45474</v>
      </c>
      <c r="F4863" s="208" t="s">
        <v>207</v>
      </c>
      <c r="G4863" s="81" t="s">
        <v>2226</v>
      </c>
      <c r="H4863" s="208" t="s">
        <v>147</v>
      </c>
      <c r="I4863" s="208"/>
      <c r="J4863" s="209"/>
      <c r="K4863" s="209"/>
      <c r="L4863" s="209"/>
      <c r="M4863" s="209"/>
      <c r="N4863" s="209"/>
      <c r="O4863" s="209"/>
      <c r="P4863" s="209"/>
      <c r="Q4863" s="209"/>
      <c r="R4863" s="209"/>
      <c r="S4863" s="209"/>
      <c r="T4863" s="209"/>
    </row>
    <row r="4864" spans="1:20" ht="15" hidden="1" customHeight="1">
      <c r="A4864" s="468">
        <v>45503</v>
      </c>
      <c r="B4864" s="208" t="s">
        <v>4098</v>
      </c>
      <c r="C4864" s="208" t="s">
        <v>27</v>
      </c>
      <c r="D4864" s="211">
        <v>-1518000</v>
      </c>
      <c r="E4864" s="212">
        <v>45474</v>
      </c>
      <c r="F4864" s="201" t="s">
        <v>110</v>
      </c>
      <c r="G4864" s="674" t="s">
        <v>3245</v>
      </c>
      <c r="H4864" s="208" t="s">
        <v>508</v>
      </c>
      <c r="I4864" s="475" t="s">
        <v>3475</v>
      </c>
      <c r="J4864" s="209"/>
      <c r="K4864" s="209"/>
      <c r="L4864" s="209"/>
      <c r="M4864" s="209"/>
      <c r="N4864" s="209"/>
      <c r="O4864" s="209"/>
      <c r="P4864" s="209"/>
      <c r="Q4864" s="209"/>
      <c r="R4864" s="209"/>
      <c r="S4864" s="209"/>
      <c r="T4864" s="209"/>
    </row>
    <row r="4865" spans="1:20" ht="15" hidden="1" customHeight="1">
      <c r="A4865" s="468">
        <v>45503</v>
      </c>
      <c r="B4865" s="208" t="s">
        <v>4099</v>
      </c>
      <c r="C4865" s="208" t="s">
        <v>27</v>
      </c>
      <c r="D4865" s="211">
        <v>-226333.33333333331</v>
      </c>
      <c r="E4865" s="212">
        <v>45474</v>
      </c>
      <c r="F4865" s="208" t="s">
        <v>207</v>
      </c>
      <c r="G4865" s="81" t="s">
        <v>2226</v>
      </c>
      <c r="H4865" s="208" t="s">
        <v>508</v>
      </c>
      <c r="I4865" s="208"/>
      <c r="J4865" s="209"/>
      <c r="K4865" s="209"/>
      <c r="L4865" s="209"/>
      <c r="M4865" s="209"/>
      <c r="N4865" s="209"/>
      <c r="O4865" s="209"/>
      <c r="P4865" s="209"/>
      <c r="Q4865" s="209"/>
      <c r="R4865" s="209"/>
      <c r="S4865" s="209"/>
      <c r="T4865" s="209"/>
    </row>
    <row r="4866" spans="1:20" ht="15" hidden="1" customHeight="1">
      <c r="A4866" s="468">
        <v>45503</v>
      </c>
      <c r="B4866" s="208" t="s">
        <v>4099</v>
      </c>
      <c r="C4866" s="208" t="s">
        <v>27</v>
      </c>
      <c r="D4866" s="211">
        <v>-226333.33333333331</v>
      </c>
      <c r="E4866" s="212">
        <v>45474</v>
      </c>
      <c r="F4866" s="201" t="s">
        <v>110</v>
      </c>
      <c r="G4866" s="638" t="s">
        <v>774</v>
      </c>
      <c r="H4866" s="208" t="s">
        <v>508</v>
      </c>
      <c r="I4866" s="208"/>
      <c r="J4866" s="209"/>
      <c r="K4866" s="209"/>
      <c r="L4866" s="209"/>
      <c r="M4866" s="209"/>
      <c r="N4866" s="209"/>
      <c r="O4866" s="209"/>
      <c r="P4866" s="209"/>
      <c r="Q4866" s="209"/>
      <c r="R4866" s="209"/>
      <c r="S4866" s="209"/>
      <c r="T4866" s="209"/>
    </row>
    <row r="4867" spans="1:20" ht="15" hidden="1" customHeight="1">
      <c r="A4867" s="468">
        <v>45503</v>
      </c>
      <c r="B4867" s="208" t="s">
        <v>4099</v>
      </c>
      <c r="C4867" s="208" t="s">
        <v>27</v>
      </c>
      <c r="D4867" s="211">
        <v>-226333.33333333331</v>
      </c>
      <c r="E4867" s="212">
        <v>45474</v>
      </c>
      <c r="F4867" s="208" t="s">
        <v>109</v>
      </c>
      <c r="G4867" s="201" t="s">
        <v>1306</v>
      </c>
      <c r="H4867" s="208" t="s">
        <v>508</v>
      </c>
      <c r="I4867" s="475" t="s">
        <v>3475</v>
      </c>
      <c r="J4867" s="209"/>
      <c r="K4867" s="209"/>
      <c r="L4867" s="209"/>
      <c r="M4867" s="209"/>
      <c r="N4867" s="209"/>
      <c r="O4867" s="209"/>
      <c r="P4867" s="209"/>
      <c r="Q4867" s="209"/>
      <c r="R4867" s="209"/>
      <c r="S4867" s="209"/>
      <c r="T4867" s="209"/>
    </row>
    <row r="4868" spans="1:20" ht="15" hidden="1" customHeight="1">
      <c r="A4868" s="468">
        <v>45503</v>
      </c>
      <c r="B4868" s="208" t="s">
        <v>4100</v>
      </c>
      <c r="C4868" s="208" t="s">
        <v>27</v>
      </c>
      <c r="D4868" s="211">
        <v>-1313066.6666666665</v>
      </c>
      <c r="E4868" s="212">
        <v>45474</v>
      </c>
      <c r="F4868" s="208" t="s">
        <v>109</v>
      </c>
      <c r="G4868" s="208" t="s">
        <v>3644</v>
      </c>
      <c r="H4868" s="208" t="s">
        <v>2421</v>
      </c>
      <c r="I4868" s="208"/>
      <c r="J4868" s="209"/>
      <c r="K4868" s="209"/>
      <c r="L4868" s="209"/>
      <c r="M4868" s="209"/>
      <c r="N4868" s="209"/>
      <c r="O4868" s="209"/>
      <c r="P4868" s="209"/>
      <c r="Q4868" s="209"/>
      <c r="R4868" s="209"/>
      <c r="S4868" s="209"/>
      <c r="T4868" s="209"/>
    </row>
    <row r="4869" spans="1:20" ht="15" hidden="1" customHeight="1">
      <c r="A4869" s="468">
        <v>45503</v>
      </c>
      <c r="B4869" s="208" t="s">
        <v>4101</v>
      </c>
      <c r="C4869" s="208" t="s">
        <v>27</v>
      </c>
      <c r="D4869" s="718">
        <v>-1313066.6666666665</v>
      </c>
      <c r="E4869" s="212">
        <v>45474</v>
      </c>
      <c r="F4869" s="208" t="s">
        <v>109</v>
      </c>
      <c r="G4869" s="201" t="s">
        <v>581</v>
      </c>
      <c r="H4869" s="208" t="s">
        <v>508</v>
      </c>
      <c r="I4869" s="208"/>
      <c r="J4869" s="209"/>
      <c r="K4869" s="209"/>
      <c r="L4869" s="209"/>
      <c r="M4869" s="209"/>
      <c r="N4869" s="209"/>
      <c r="O4869" s="209"/>
      <c r="P4869" s="209"/>
      <c r="Q4869" s="209"/>
      <c r="R4869" s="209"/>
      <c r="S4869" s="209"/>
      <c r="T4869" s="209"/>
    </row>
    <row r="4870" spans="1:20" ht="15" hidden="1" customHeight="1">
      <c r="A4870" s="468">
        <v>45503</v>
      </c>
      <c r="B4870" s="208" t="s">
        <v>4102</v>
      </c>
      <c r="C4870" s="208" t="s">
        <v>27</v>
      </c>
      <c r="D4870" s="211">
        <v>-1315600</v>
      </c>
      <c r="E4870" s="212">
        <v>45474</v>
      </c>
      <c r="F4870" s="208" t="s">
        <v>109</v>
      </c>
      <c r="G4870" s="208" t="s">
        <v>3644</v>
      </c>
      <c r="H4870" s="208" t="s">
        <v>2421</v>
      </c>
      <c r="I4870" s="208"/>
      <c r="J4870" s="209"/>
      <c r="K4870" s="209"/>
      <c r="L4870" s="209"/>
      <c r="M4870" s="209"/>
      <c r="N4870" s="209"/>
      <c r="O4870" s="209"/>
      <c r="P4870" s="209"/>
      <c r="Q4870" s="209"/>
      <c r="R4870" s="209"/>
      <c r="S4870" s="209"/>
      <c r="T4870" s="209"/>
    </row>
    <row r="4871" spans="1:20" ht="15" hidden="1" customHeight="1">
      <c r="A4871" s="468">
        <v>45503</v>
      </c>
      <c r="B4871" s="208" t="s">
        <v>4103</v>
      </c>
      <c r="C4871" s="208" t="s">
        <v>27</v>
      </c>
      <c r="D4871" s="211">
        <v>-738600</v>
      </c>
      <c r="E4871" s="212">
        <v>45474</v>
      </c>
      <c r="F4871" s="208" t="s">
        <v>130</v>
      </c>
      <c r="G4871" s="658" t="s">
        <v>130</v>
      </c>
      <c r="H4871" s="208" t="s">
        <v>182</v>
      </c>
      <c r="I4871" s="208"/>
      <c r="J4871" s="209"/>
      <c r="K4871" s="209"/>
      <c r="L4871" s="209"/>
      <c r="M4871" s="209"/>
      <c r="N4871" s="209"/>
      <c r="O4871" s="209"/>
      <c r="P4871" s="209"/>
      <c r="Q4871" s="209"/>
      <c r="R4871" s="209"/>
      <c r="S4871" s="209"/>
      <c r="T4871" s="209"/>
    </row>
    <row r="4872" spans="1:20" ht="15" hidden="1" customHeight="1">
      <c r="A4872" s="468">
        <v>45503</v>
      </c>
      <c r="B4872" s="208" t="s">
        <v>4104</v>
      </c>
      <c r="C4872" s="208" t="s">
        <v>27</v>
      </c>
      <c r="D4872" s="718">
        <v>-316434.36</v>
      </c>
      <c r="E4872" s="212">
        <v>45474</v>
      </c>
      <c r="F4872" s="208" t="s">
        <v>109</v>
      </c>
      <c r="G4872" s="201" t="s">
        <v>581</v>
      </c>
      <c r="H4872" s="208" t="s">
        <v>147</v>
      </c>
      <c r="I4872" s="208"/>
      <c r="J4872" s="209"/>
      <c r="K4872" s="209"/>
      <c r="L4872" s="209"/>
      <c r="M4872" s="209"/>
      <c r="N4872" s="209"/>
      <c r="O4872" s="209"/>
      <c r="P4872" s="209"/>
      <c r="Q4872" s="209"/>
      <c r="R4872" s="209"/>
      <c r="S4872" s="209"/>
      <c r="T4872" s="209"/>
    </row>
    <row r="4873" spans="1:20" ht="15" hidden="1" customHeight="1">
      <c r="A4873" s="468">
        <v>45503</v>
      </c>
      <c r="B4873" s="208" t="s">
        <v>4105</v>
      </c>
      <c r="C4873" s="208" t="s">
        <v>27</v>
      </c>
      <c r="D4873" s="718">
        <v>-316434.36</v>
      </c>
      <c r="E4873" s="212">
        <v>45474</v>
      </c>
      <c r="F4873" s="208" t="s">
        <v>109</v>
      </c>
      <c r="G4873" s="201" t="s">
        <v>581</v>
      </c>
      <c r="H4873" s="208" t="s">
        <v>147</v>
      </c>
      <c r="I4873" s="208"/>
      <c r="J4873" s="209"/>
      <c r="K4873" s="209"/>
      <c r="L4873" s="209"/>
      <c r="M4873" s="209"/>
      <c r="N4873" s="209"/>
      <c r="O4873" s="209"/>
      <c r="P4873" s="209"/>
      <c r="Q4873" s="209"/>
      <c r="R4873" s="209"/>
      <c r="S4873" s="209"/>
      <c r="T4873" s="209"/>
    </row>
    <row r="4874" spans="1:20" ht="15" hidden="1" customHeight="1">
      <c r="A4874" s="468">
        <v>45503</v>
      </c>
      <c r="B4874" s="208" t="s">
        <v>4106</v>
      </c>
      <c r="C4874" s="208" t="s">
        <v>27</v>
      </c>
      <c r="D4874" s="718">
        <v>-316434.36</v>
      </c>
      <c r="E4874" s="212">
        <v>45474</v>
      </c>
      <c r="F4874" s="208" t="s">
        <v>109</v>
      </c>
      <c r="G4874" s="201" t="s">
        <v>581</v>
      </c>
      <c r="H4874" s="208" t="s">
        <v>147</v>
      </c>
      <c r="I4874" s="208"/>
      <c r="J4874" s="209"/>
      <c r="K4874" s="209"/>
      <c r="L4874" s="209"/>
      <c r="M4874" s="209"/>
      <c r="N4874" s="209"/>
      <c r="O4874" s="209"/>
      <c r="P4874" s="209"/>
      <c r="Q4874" s="209"/>
      <c r="R4874" s="209"/>
      <c r="S4874" s="209"/>
      <c r="T4874" s="209"/>
    </row>
    <row r="4875" spans="1:20" ht="15" hidden="1" customHeight="1">
      <c r="A4875" s="468">
        <v>45503</v>
      </c>
      <c r="B4875" s="208" t="s">
        <v>4107</v>
      </c>
      <c r="C4875" s="208" t="s">
        <v>27</v>
      </c>
      <c r="D4875" s="718">
        <v>-316434.36</v>
      </c>
      <c r="E4875" s="212">
        <v>45474</v>
      </c>
      <c r="F4875" s="208" t="s">
        <v>109</v>
      </c>
      <c r="G4875" s="201" t="s">
        <v>581</v>
      </c>
      <c r="H4875" s="208" t="s">
        <v>147</v>
      </c>
      <c r="I4875" s="208"/>
      <c r="J4875" s="209"/>
      <c r="K4875" s="209"/>
      <c r="L4875" s="209"/>
      <c r="M4875" s="209"/>
      <c r="N4875" s="209"/>
      <c r="O4875" s="209"/>
      <c r="P4875" s="209"/>
      <c r="Q4875" s="209"/>
      <c r="R4875" s="209"/>
      <c r="S4875" s="209"/>
      <c r="T4875" s="209"/>
    </row>
    <row r="4876" spans="1:20" ht="15" hidden="1" customHeight="1">
      <c r="A4876" s="468">
        <v>45503</v>
      </c>
      <c r="B4876" s="208" t="s">
        <v>4108</v>
      </c>
      <c r="C4876" s="208" t="s">
        <v>27</v>
      </c>
      <c r="D4876" s="211">
        <v>-650000</v>
      </c>
      <c r="E4876" s="212">
        <v>45474</v>
      </c>
      <c r="F4876" s="208" t="s">
        <v>130</v>
      </c>
      <c r="G4876" s="658" t="s">
        <v>257</v>
      </c>
      <c r="H4876" s="208" t="s">
        <v>182</v>
      </c>
      <c r="I4876" s="208"/>
      <c r="J4876" s="209"/>
      <c r="K4876" s="209"/>
      <c r="L4876" s="209"/>
      <c r="M4876" s="209"/>
      <c r="N4876" s="209"/>
      <c r="O4876" s="209"/>
      <c r="P4876" s="209"/>
      <c r="Q4876" s="209"/>
      <c r="R4876" s="209"/>
      <c r="S4876" s="209"/>
      <c r="T4876" s="209"/>
    </row>
    <row r="4877" spans="1:20" ht="15" hidden="1" customHeight="1">
      <c r="A4877" s="468">
        <v>45505</v>
      </c>
      <c r="B4877" s="208" t="s">
        <v>4109</v>
      </c>
      <c r="C4877" s="208" t="s">
        <v>146</v>
      </c>
      <c r="D4877" s="211">
        <v>-334300</v>
      </c>
      <c r="E4877" s="212">
        <v>45505</v>
      </c>
      <c r="F4877" s="208" t="s">
        <v>130</v>
      </c>
      <c r="G4877" s="208" t="s">
        <v>130</v>
      </c>
      <c r="H4877" s="208" t="s">
        <v>2444</v>
      </c>
      <c r="I4877" s="208"/>
      <c r="J4877" s="209"/>
      <c r="K4877" s="209"/>
      <c r="L4877" s="209"/>
      <c r="M4877" s="209"/>
      <c r="N4877" s="209"/>
      <c r="O4877" s="209"/>
      <c r="P4877" s="209"/>
      <c r="Q4877" s="209"/>
      <c r="R4877" s="209"/>
      <c r="S4877" s="209"/>
      <c r="T4877" s="209"/>
    </row>
    <row r="4878" spans="1:20" ht="15" hidden="1" customHeight="1">
      <c r="A4878" s="468">
        <v>45505</v>
      </c>
      <c r="B4878" s="208" t="s">
        <v>4110</v>
      </c>
      <c r="C4878" s="208" t="s">
        <v>146</v>
      </c>
      <c r="D4878" s="211">
        <v>-17600</v>
      </c>
      <c r="E4878" s="212">
        <v>45505</v>
      </c>
      <c r="F4878" s="208" t="s">
        <v>110</v>
      </c>
      <c r="G4878" s="208" t="s">
        <v>2444</v>
      </c>
      <c r="H4878" s="208"/>
      <c r="I4878" s="208"/>
      <c r="J4878" s="209"/>
      <c r="K4878" s="209"/>
      <c r="L4878" s="209"/>
      <c r="M4878" s="209"/>
      <c r="N4878" s="209"/>
      <c r="O4878" s="209"/>
      <c r="P4878" s="209"/>
      <c r="Q4878" s="209"/>
      <c r="R4878" s="209"/>
      <c r="S4878" s="209"/>
      <c r="T4878" s="209"/>
    </row>
    <row r="4879" spans="1:20" ht="15" hidden="1" customHeight="1">
      <c r="A4879" s="468">
        <v>45505</v>
      </c>
      <c r="B4879" s="208" t="s">
        <v>4111</v>
      </c>
      <c r="C4879" s="208" t="s">
        <v>146</v>
      </c>
      <c r="D4879" s="211">
        <v>-4800</v>
      </c>
      <c r="E4879" s="212">
        <v>45505</v>
      </c>
      <c r="F4879" s="208" t="s">
        <v>109</v>
      </c>
      <c r="G4879" s="208" t="s">
        <v>125</v>
      </c>
      <c r="H4879" s="208" t="s">
        <v>138</v>
      </c>
      <c r="I4879" s="208"/>
      <c r="J4879" s="209"/>
      <c r="K4879" s="209"/>
      <c r="L4879" s="209"/>
      <c r="M4879" s="209"/>
      <c r="N4879" s="209"/>
      <c r="O4879" s="209"/>
      <c r="P4879" s="209"/>
      <c r="Q4879" s="209"/>
      <c r="R4879" s="209"/>
      <c r="S4879" s="209"/>
      <c r="T4879" s="209"/>
    </row>
    <row r="4880" spans="1:20" ht="15" hidden="1" customHeight="1">
      <c r="A4880" s="468">
        <v>45506</v>
      </c>
      <c r="B4880" s="208" t="s">
        <v>4112</v>
      </c>
      <c r="C4880" s="208" t="s">
        <v>146</v>
      </c>
      <c r="D4880" s="675">
        <v>-15500</v>
      </c>
      <c r="E4880" s="212">
        <v>45505</v>
      </c>
      <c r="F4880" s="208" t="s">
        <v>130</v>
      </c>
      <c r="G4880" s="208" t="s">
        <v>130</v>
      </c>
      <c r="H4880" s="208" t="s">
        <v>2444</v>
      </c>
      <c r="I4880" s="208"/>
      <c r="J4880" s="209"/>
      <c r="K4880" s="209"/>
      <c r="L4880" s="209"/>
      <c r="M4880" s="209"/>
      <c r="N4880" s="209"/>
      <c r="O4880" s="209"/>
      <c r="P4880" s="209"/>
      <c r="Q4880" s="209"/>
      <c r="R4880" s="209"/>
      <c r="S4880" s="209"/>
      <c r="T4880" s="209"/>
    </row>
    <row r="4881" spans="1:20" ht="15" hidden="1" customHeight="1">
      <c r="A4881" s="468">
        <v>45505</v>
      </c>
      <c r="B4881" s="208" t="s">
        <v>4113</v>
      </c>
      <c r="C4881" s="208" t="s">
        <v>27</v>
      </c>
      <c r="D4881" s="211">
        <v>-160000</v>
      </c>
      <c r="E4881" s="212">
        <v>45505</v>
      </c>
      <c r="F4881" s="208" t="s">
        <v>109</v>
      </c>
      <c r="G4881" s="208" t="s">
        <v>317</v>
      </c>
      <c r="H4881" s="208" t="s">
        <v>421</v>
      </c>
      <c r="I4881" s="475" t="s">
        <v>3475</v>
      </c>
      <c r="J4881" s="209"/>
      <c r="K4881" s="209"/>
      <c r="L4881" s="209"/>
      <c r="M4881" s="209"/>
      <c r="N4881" s="209"/>
      <c r="O4881" s="209"/>
      <c r="P4881" s="209"/>
      <c r="Q4881" s="209"/>
      <c r="R4881" s="209"/>
      <c r="S4881" s="209"/>
      <c r="T4881" s="209"/>
    </row>
    <row r="4882" spans="1:20" ht="15" hidden="1" customHeight="1">
      <c r="A4882" s="468">
        <v>45505</v>
      </c>
      <c r="B4882" s="208" t="s">
        <v>2970</v>
      </c>
      <c r="C4882" s="208" t="s">
        <v>27</v>
      </c>
      <c r="D4882" s="211">
        <v>-501500</v>
      </c>
      <c r="E4882" s="212">
        <v>45505</v>
      </c>
      <c r="F4882" s="201" t="s">
        <v>110</v>
      </c>
      <c r="G4882" s="208" t="s">
        <v>774</v>
      </c>
      <c r="H4882" s="208" t="s">
        <v>175</v>
      </c>
      <c r="I4882" s="208"/>
      <c r="J4882" s="209"/>
      <c r="K4882" s="209"/>
      <c r="L4882" s="209"/>
      <c r="M4882" s="209"/>
      <c r="N4882" s="209"/>
      <c r="O4882" s="209"/>
      <c r="P4882" s="209"/>
      <c r="Q4882" s="209"/>
      <c r="R4882" s="209"/>
      <c r="S4882" s="209"/>
      <c r="T4882" s="209"/>
    </row>
    <row r="4883" spans="1:20" ht="15" hidden="1" customHeight="1">
      <c r="A4883" s="468">
        <v>45505</v>
      </c>
      <c r="B4883" s="208" t="s">
        <v>3784</v>
      </c>
      <c r="C4883" s="208" t="s">
        <v>27</v>
      </c>
      <c r="D4883" s="211">
        <v>-1778770</v>
      </c>
      <c r="E4883" s="212">
        <v>45505</v>
      </c>
      <c r="F4883" s="208" t="s">
        <v>130</v>
      </c>
      <c r="G4883" s="208" t="s">
        <v>130</v>
      </c>
      <c r="H4883" s="208" t="s">
        <v>2444</v>
      </c>
      <c r="I4883" s="208"/>
      <c r="J4883" s="209"/>
      <c r="K4883" s="209"/>
      <c r="L4883" s="209"/>
      <c r="M4883" s="209"/>
      <c r="N4883" s="209"/>
      <c r="O4883" s="209"/>
      <c r="P4883" s="209"/>
      <c r="Q4883" s="209"/>
      <c r="R4883" s="209"/>
      <c r="S4883" s="209"/>
      <c r="T4883" s="209"/>
    </row>
    <row r="4884" spans="1:20" ht="15" hidden="1" customHeight="1">
      <c r="A4884" s="468">
        <v>45505</v>
      </c>
      <c r="B4884" s="208" t="s">
        <v>4114</v>
      </c>
      <c r="C4884" s="208" t="s">
        <v>27</v>
      </c>
      <c r="D4884" s="211">
        <v>-1233870</v>
      </c>
      <c r="E4884" s="212">
        <v>45505</v>
      </c>
      <c r="F4884" s="201" t="s">
        <v>110</v>
      </c>
      <c r="G4884" s="208" t="s">
        <v>2444</v>
      </c>
      <c r="H4884" s="208"/>
      <c r="I4884" s="208"/>
      <c r="J4884" s="209"/>
      <c r="K4884" s="209"/>
      <c r="L4884" s="209"/>
      <c r="M4884" s="209"/>
      <c r="N4884" s="209"/>
      <c r="O4884" s="209"/>
      <c r="P4884" s="209"/>
      <c r="Q4884" s="209"/>
      <c r="R4884" s="209"/>
      <c r="S4884" s="209"/>
      <c r="T4884" s="209"/>
    </row>
    <row r="4885" spans="1:20" ht="15" hidden="1" customHeight="1">
      <c r="A4885" s="468">
        <v>45505</v>
      </c>
      <c r="B4885" s="208" t="s">
        <v>4115</v>
      </c>
      <c r="C4885" s="208" t="s">
        <v>27</v>
      </c>
      <c r="D4885" s="211">
        <v>-678084</v>
      </c>
      <c r="E4885" s="212">
        <v>45505</v>
      </c>
      <c r="F4885" s="201" t="s">
        <v>110</v>
      </c>
      <c r="G4885" s="208" t="s">
        <v>2444</v>
      </c>
      <c r="H4885" s="208"/>
      <c r="I4885" s="208"/>
      <c r="J4885" s="209"/>
      <c r="K4885" s="209"/>
      <c r="L4885" s="209"/>
      <c r="M4885" s="209"/>
      <c r="N4885" s="209"/>
      <c r="O4885" s="209"/>
      <c r="P4885" s="209"/>
      <c r="Q4885" s="209"/>
      <c r="R4885" s="209"/>
      <c r="S4885" s="209"/>
      <c r="T4885" s="209"/>
    </row>
    <row r="4886" spans="1:20" ht="15" hidden="1" customHeight="1">
      <c r="A4886" s="468">
        <v>45505</v>
      </c>
      <c r="B4886" s="208" t="s">
        <v>3348</v>
      </c>
      <c r="C4886" s="208" t="s">
        <v>27</v>
      </c>
      <c r="D4886" s="718">
        <v>-770000</v>
      </c>
      <c r="E4886" s="212">
        <v>45505</v>
      </c>
      <c r="F4886" s="208" t="s">
        <v>109</v>
      </c>
      <c r="G4886" s="601" t="s">
        <v>581</v>
      </c>
      <c r="H4886" s="208" t="s">
        <v>147</v>
      </c>
      <c r="I4886" s="208"/>
      <c r="J4886" s="209"/>
      <c r="K4886" s="209"/>
      <c r="L4886" s="209"/>
      <c r="M4886" s="209"/>
      <c r="N4886" s="209"/>
      <c r="O4886" s="209"/>
      <c r="P4886" s="209"/>
      <c r="Q4886" s="209"/>
      <c r="R4886" s="209"/>
      <c r="S4886" s="209"/>
      <c r="T4886" s="209"/>
    </row>
    <row r="4887" spans="1:20" ht="15" hidden="1" customHeight="1">
      <c r="A4887" s="468">
        <v>45505</v>
      </c>
      <c r="B4887" s="208" t="s">
        <v>4116</v>
      </c>
      <c r="C4887" s="208" t="s">
        <v>27</v>
      </c>
      <c r="D4887" s="211">
        <v>-721297</v>
      </c>
      <c r="E4887" s="212">
        <v>45505</v>
      </c>
      <c r="F4887" s="201" t="s">
        <v>110</v>
      </c>
      <c r="G4887" s="208" t="s">
        <v>2444</v>
      </c>
      <c r="H4887" s="208"/>
      <c r="I4887" s="208"/>
      <c r="J4887" s="209"/>
      <c r="K4887" s="209"/>
      <c r="L4887" s="209"/>
      <c r="M4887" s="209"/>
      <c r="N4887" s="209"/>
      <c r="O4887" s="209"/>
      <c r="P4887" s="209"/>
      <c r="Q4887" s="209"/>
      <c r="R4887" s="209"/>
      <c r="S4887" s="209"/>
      <c r="T4887" s="209"/>
    </row>
    <row r="4888" spans="1:20" ht="15" hidden="1" customHeight="1">
      <c r="A4888" s="468">
        <v>45505</v>
      </c>
      <c r="B4888" s="208" t="s">
        <v>4117</v>
      </c>
      <c r="C4888" s="208" t="s">
        <v>27</v>
      </c>
      <c r="D4888" s="718">
        <v>-22549368</v>
      </c>
      <c r="E4888" s="212">
        <v>45505</v>
      </c>
      <c r="F4888" s="208" t="s">
        <v>109</v>
      </c>
      <c r="G4888" s="601" t="s">
        <v>581</v>
      </c>
      <c r="H4888" s="208" t="s">
        <v>175</v>
      </c>
      <c r="I4888" s="208"/>
      <c r="J4888" s="209"/>
      <c r="K4888" s="209"/>
      <c r="L4888" s="209"/>
      <c r="M4888" s="209"/>
      <c r="N4888" s="209"/>
      <c r="O4888" s="209"/>
      <c r="P4888" s="209"/>
      <c r="Q4888" s="209"/>
      <c r="R4888" s="209"/>
      <c r="S4888" s="209"/>
      <c r="T4888" s="209"/>
    </row>
    <row r="4889" spans="1:20" ht="15" hidden="1" customHeight="1">
      <c r="A4889" s="468">
        <v>45505</v>
      </c>
      <c r="B4889" s="208" t="s">
        <v>4118</v>
      </c>
      <c r="C4889" s="208" t="s">
        <v>27</v>
      </c>
      <c r="D4889" s="718">
        <v>-6265546</v>
      </c>
      <c r="E4889" s="212">
        <v>45505</v>
      </c>
      <c r="F4889" s="208" t="s">
        <v>109</v>
      </c>
      <c r="G4889" s="601" t="s">
        <v>581</v>
      </c>
      <c r="H4889" s="208" t="s">
        <v>175</v>
      </c>
      <c r="I4889" s="208"/>
      <c r="J4889" s="209"/>
      <c r="K4889" s="209"/>
      <c r="L4889" s="209"/>
      <c r="M4889" s="209"/>
      <c r="N4889" s="209"/>
      <c r="O4889" s="209"/>
      <c r="P4889" s="209"/>
      <c r="Q4889" s="209"/>
      <c r="R4889" s="209"/>
      <c r="S4889" s="209"/>
      <c r="T4889" s="209"/>
    </row>
    <row r="4890" spans="1:20" ht="15" hidden="1" customHeight="1">
      <c r="A4890" s="468">
        <v>45505</v>
      </c>
      <c r="B4890" s="208" t="s">
        <v>4119</v>
      </c>
      <c r="C4890" s="208" t="s">
        <v>27</v>
      </c>
      <c r="D4890" s="718">
        <v>-1240000</v>
      </c>
      <c r="E4890" s="212">
        <v>45505</v>
      </c>
      <c r="F4890" s="208" t="s">
        <v>109</v>
      </c>
      <c r="G4890" s="601" t="s">
        <v>581</v>
      </c>
      <c r="H4890" s="208" t="s">
        <v>175</v>
      </c>
      <c r="I4890" s="208"/>
      <c r="J4890" s="209"/>
      <c r="K4890" s="209"/>
      <c r="L4890" s="209"/>
      <c r="M4890" s="209"/>
      <c r="N4890" s="209"/>
      <c r="O4890" s="209"/>
      <c r="P4890" s="209"/>
      <c r="Q4890" s="209"/>
      <c r="R4890" s="209"/>
      <c r="S4890" s="209"/>
      <c r="T4890" s="209"/>
    </row>
    <row r="4891" spans="1:20" ht="15" hidden="1" customHeight="1">
      <c r="A4891" s="468">
        <v>45505</v>
      </c>
      <c r="B4891" s="208" t="s">
        <v>4120</v>
      </c>
      <c r="C4891" s="208" t="s">
        <v>27</v>
      </c>
      <c r="D4891" s="211">
        <v>-1222400</v>
      </c>
      <c r="E4891" s="212">
        <v>45505</v>
      </c>
      <c r="F4891" s="201" t="s">
        <v>110</v>
      </c>
      <c r="G4891" s="658" t="s">
        <v>3245</v>
      </c>
      <c r="H4891" s="208" t="s">
        <v>147</v>
      </c>
      <c r="I4891" s="208"/>
      <c r="J4891" s="209"/>
      <c r="K4891" s="209"/>
      <c r="L4891" s="209"/>
      <c r="M4891" s="209"/>
      <c r="N4891" s="209"/>
      <c r="O4891" s="209"/>
      <c r="P4891" s="209"/>
      <c r="Q4891" s="209"/>
      <c r="R4891" s="209"/>
      <c r="S4891" s="209"/>
      <c r="T4891" s="209"/>
    </row>
    <row r="4892" spans="1:20" ht="15" hidden="1" customHeight="1">
      <c r="A4892" s="468">
        <v>45505</v>
      </c>
      <c r="B4892" s="208" t="s">
        <v>4121</v>
      </c>
      <c r="C4892" s="208" t="s">
        <v>27</v>
      </c>
      <c r="D4892" s="211">
        <v>-582365.46138940868</v>
      </c>
      <c r="E4892" s="212">
        <v>45505</v>
      </c>
      <c r="F4892" s="201" t="s">
        <v>110</v>
      </c>
      <c r="G4892" s="208" t="s">
        <v>774</v>
      </c>
      <c r="H4892" s="208" t="s">
        <v>310</v>
      </c>
      <c r="I4892" s="208"/>
      <c r="J4892" s="209"/>
      <c r="K4892" s="209"/>
      <c r="L4892" s="209"/>
      <c r="M4892" s="209"/>
      <c r="N4892" s="209"/>
      <c r="O4892" s="209"/>
      <c r="P4892" s="209"/>
      <c r="Q4892" s="209"/>
      <c r="R4892" s="209"/>
      <c r="S4892" s="209"/>
      <c r="T4892" s="209"/>
    </row>
    <row r="4893" spans="1:20" ht="15" hidden="1" customHeight="1">
      <c r="A4893" s="468">
        <v>45505</v>
      </c>
      <c r="B4893" s="208" t="s">
        <v>4122</v>
      </c>
      <c r="C4893" s="208" t="s">
        <v>27</v>
      </c>
      <c r="D4893" s="211">
        <v>-166045</v>
      </c>
      <c r="E4893" s="212">
        <v>45505</v>
      </c>
      <c r="F4893" s="208" t="s">
        <v>130</v>
      </c>
      <c r="G4893" s="208" t="s">
        <v>257</v>
      </c>
      <c r="H4893" s="208" t="s">
        <v>138</v>
      </c>
      <c r="I4893" s="208"/>
      <c r="J4893" s="209"/>
      <c r="K4893" s="209"/>
      <c r="L4893" s="209"/>
      <c r="M4893" s="209"/>
      <c r="N4893" s="209"/>
      <c r="O4893" s="209"/>
      <c r="P4893" s="209"/>
      <c r="Q4893" s="209"/>
      <c r="R4893" s="209"/>
      <c r="S4893" s="209"/>
      <c r="T4893" s="209"/>
    </row>
    <row r="4894" spans="1:20" ht="15" hidden="1" customHeight="1">
      <c r="A4894" s="468">
        <v>45505</v>
      </c>
      <c r="B4894" s="208" t="s">
        <v>4121</v>
      </c>
      <c r="C4894" s="208" t="s">
        <v>27</v>
      </c>
      <c r="D4894" s="211">
        <v>-756077.72893958318</v>
      </c>
      <c r="E4894" s="212">
        <v>45505</v>
      </c>
      <c r="F4894" s="208" t="s">
        <v>109</v>
      </c>
      <c r="G4894" s="654" t="s">
        <v>2585</v>
      </c>
      <c r="H4894" s="208" t="s">
        <v>310</v>
      </c>
      <c r="I4894" s="208"/>
      <c r="J4894" s="209"/>
      <c r="K4894" s="209"/>
      <c r="L4894" s="209"/>
      <c r="M4894" s="209"/>
      <c r="N4894" s="209"/>
      <c r="O4894" s="209"/>
      <c r="P4894" s="209"/>
      <c r="Q4894" s="209"/>
      <c r="R4894" s="209"/>
      <c r="S4894" s="209"/>
      <c r="T4894" s="209"/>
    </row>
    <row r="4895" spans="1:20" ht="15" hidden="1" customHeight="1">
      <c r="A4895" s="468">
        <v>45505</v>
      </c>
      <c r="B4895" s="208" t="s">
        <v>4121</v>
      </c>
      <c r="C4895" s="208" t="s">
        <v>27</v>
      </c>
      <c r="D4895" s="211">
        <v>-275742.80967100814</v>
      </c>
      <c r="E4895" s="212">
        <v>45505</v>
      </c>
      <c r="F4895" s="208" t="s">
        <v>109</v>
      </c>
      <c r="G4895" s="201" t="s">
        <v>1306</v>
      </c>
      <c r="H4895" s="208" t="s">
        <v>310</v>
      </c>
      <c r="I4895" s="208"/>
      <c r="J4895" s="209"/>
      <c r="K4895" s="209"/>
      <c r="L4895" s="209"/>
      <c r="M4895" s="209"/>
      <c r="N4895" s="209"/>
      <c r="O4895" s="209"/>
      <c r="P4895" s="209"/>
      <c r="Q4895" s="209"/>
      <c r="R4895" s="209"/>
      <c r="S4895" s="209"/>
      <c r="T4895" s="209"/>
    </row>
    <row r="4896" spans="1:20" ht="15" hidden="1" customHeight="1">
      <c r="A4896" s="468">
        <v>45505</v>
      </c>
      <c r="B4896" s="208" t="s">
        <v>4123</v>
      </c>
      <c r="C4896" s="208" t="s">
        <v>27</v>
      </c>
      <c r="D4896" s="211">
        <v>-177000</v>
      </c>
      <c r="E4896" s="212">
        <v>45505</v>
      </c>
      <c r="F4896" s="208" t="s">
        <v>130</v>
      </c>
      <c r="G4896" s="208" t="s">
        <v>257</v>
      </c>
      <c r="H4896" s="208" t="s">
        <v>138</v>
      </c>
      <c r="I4896" s="208"/>
      <c r="J4896" s="209"/>
      <c r="K4896" s="209"/>
      <c r="L4896" s="209"/>
      <c r="M4896" s="209"/>
      <c r="N4896" s="209"/>
      <c r="O4896" s="209"/>
      <c r="P4896" s="209"/>
      <c r="Q4896" s="209"/>
      <c r="R4896" s="209"/>
      <c r="S4896" s="209"/>
      <c r="T4896" s="209"/>
    </row>
    <row r="4897" spans="1:20" ht="15" hidden="1" customHeight="1">
      <c r="A4897" s="468">
        <v>45505</v>
      </c>
      <c r="B4897" s="208" t="s">
        <v>4124</v>
      </c>
      <c r="C4897" s="208" t="s">
        <v>27</v>
      </c>
      <c r="D4897" s="718">
        <v>-3541672</v>
      </c>
      <c r="E4897" s="212">
        <v>45505</v>
      </c>
      <c r="F4897" s="208" t="s">
        <v>109</v>
      </c>
      <c r="G4897" s="601" t="s">
        <v>581</v>
      </c>
      <c r="H4897" s="208" t="s">
        <v>175</v>
      </c>
      <c r="I4897" s="208"/>
      <c r="J4897" s="209"/>
      <c r="K4897" s="209"/>
      <c r="L4897" s="209"/>
      <c r="M4897" s="209"/>
      <c r="N4897" s="209"/>
      <c r="O4897" s="209"/>
      <c r="P4897" s="209"/>
      <c r="Q4897" s="209"/>
      <c r="R4897" s="209"/>
      <c r="S4897" s="209"/>
      <c r="T4897" s="209"/>
    </row>
    <row r="4898" spans="1:20" ht="15" hidden="1" customHeight="1">
      <c r="A4898" s="468">
        <v>45506</v>
      </c>
      <c r="B4898" s="208" t="s">
        <v>4125</v>
      </c>
      <c r="C4898" s="208" t="s">
        <v>27</v>
      </c>
      <c r="D4898" s="211">
        <v>-722800</v>
      </c>
      <c r="E4898" s="212">
        <v>45505</v>
      </c>
      <c r="F4898" s="201" t="s">
        <v>110</v>
      </c>
      <c r="G4898" s="658" t="s">
        <v>3245</v>
      </c>
      <c r="H4898" s="208" t="s">
        <v>508</v>
      </c>
      <c r="I4898" s="208"/>
      <c r="J4898" s="209"/>
      <c r="K4898" s="209"/>
      <c r="L4898" s="209"/>
      <c r="M4898" s="209"/>
      <c r="N4898" s="209"/>
      <c r="O4898" s="209"/>
      <c r="P4898" s="209"/>
      <c r="Q4898" s="209"/>
      <c r="R4898" s="209"/>
      <c r="S4898" s="209"/>
      <c r="T4898" s="209"/>
    </row>
    <row r="4899" spans="1:20" ht="15" hidden="1" customHeight="1">
      <c r="A4899" s="468">
        <v>45505</v>
      </c>
      <c r="B4899" s="655" t="s">
        <v>4126</v>
      </c>
      <c r="C4899" s="208" t="s">
        <v>3331</v>
      </c>
      <c r="D4899" s="211">
        <v>-11111111</v>
      </c>
      <c r="E4899" s="212">
        <v>45505</v>
      </c>
      <c r="F4899" s="84" t="s">
        <v>111</v>
      </c>
      <c r="G4899" s="658"/>
      <c r="H4899" s="208"/>
      <c r="I4899" s="208"/>
      <c r="J4899" s="209"/>
      <c r="K4899" s="209"/>
      <c r="L4899" s="209"/>
      <c r="M4899" s="209"/>
      <c r="N4899" s="209"/>
      <c r="O4899" s="209"/>
      <c r="P4899" s="209"/>
      <c r="Q4899" s="209"/>
      <c r="R4899" s="209"/>
      <c r="S4899" s="209"/>
      <c r="T4899" s="209"/>
    </row>
    <row r="4900" spans="1:20" ht="15" hidden="1" customHeight="1">
      <c r="A4900" s="468">
        <v>45505</v>
      </c>
      <c r="B4900" s="655" t="s">
        <v>4127</v>
      </c>
      <c r="C4900" s="208" t="s">
        <v>3331</v>
      </c>
      <c r="D4900" s="211">
        <f>-15498229-D4899</f>
        <v>-4387118</v>
      </c>
      <c r="E4900" s="212">
        <v>45505</v>
      </c>
      <c r="F4900" s="208" t="s">
        <v>118</v>
      </c>
      <c r="G4900" s="208"/>
      <c r="H4900" s="208"/>
      <c r="I4900" s="208"/>
      <c r="J4900" s="209"/>
      <c r="K4900" s="209"/>
      <c r="L4900" s="209"/>
      <c r="M4900" s="209"/>
      <c r="N4900" s="209"/>
      <c r="O4900" s="209"/>
      <c r="P4900" s="209"/>
      <c r="Q4900" s="209"/>
      <c r="R4900" s="209"/>
      <c r="S4900" s="209"/>
      <c r="T4900" s="209"/>
    </row>
    <row r="4901" spans="1:20" ht="15" hidden="1" customHeight="1">
      <c r="A4901" s="676">
        <v>45505</v>
      </c>
      <c r="B4901" s="81" t="s">
        <v>4128</v>
      </c>
      <c r="C4901" s="677" t="s">
        <v>643</v>
      </c>
      <c r="D4901" s="211">
        <v>-554244</v>
      </c>
      <c r="E4901" s="212">
        <v>45505</v>
      </c>
      <c r="F4901" s="208" t="s">
        <v>130</v>
      </c>
      <c r="G4901" s="208" t="s">
        <v>257</v>
      </c>
      <c r="H4901" s="208" t="s">
        <v>1138</v>
      </c>
      <c r="I4901" s="208"/>
      <c r="J4901" s="209"/>
      <c r="K4901" s="209"/>
      <c r="L4901" s="209"/>
      <c r="M4901" s="209"/>
      <c r="N4901" s="209"/>
      <c r="O4901" s="209"/>
      <c r="P4901" s="209"/>
      <c r="Q4901" s="209"/>
      <c r="R4901" s="209"/>
      <c r="S4901" s="209"/>
      <c r="T4901" s="209"/>
    </row>
    <row r="4902" spans="1:20" ht="15" hidden="1" customHeight="1">
      <c r="A4902" s="676">
        <v>45505</v>
      </c>
      <c r="B4902" s="678" t="s">
        <v>4129</v>
      </c>
      <c r="C4902" s="677" t="s">
        <v>643</v>
      </c>
      <c r="D4902" s="211">
        <v>-181500</v>
      </c>
      <c r="E4902" s="212">
        <v>45505</v>
      </c>
      <c r="F4902" s="208" t="s">
        <v>130</v>
      </c>
      <c r="G4902" s="208" t="s">
        <v>257</v>
      </c>
      <c r="H4902" s="208" t="s">
        <v>1138</v>
      </c>
      <c r="I4902" s="208"/>
      <c r="J4902" s="209"/>
      <c r="K4902" s="209"/>
      <c r="L4902" s="209"/>
      <c r="M4902" s="209"/>
      <c r="N4902" s="209"/>
      <c r="O4902" s="209"/>
      <c r="P4902" s="209"/>
      <c r="Q4902" s="209"/>
      <c r="R4902" s="209"/>
      <c r="S4902" s="209"/>
      <c r="T4902" s="209"/>
    </row>
    <row r="4903" spans="1:20" ht="15" hidden="1" customHeight="1">
      <c r="A4903" s="676">
        <v>45506</v>
      </c>
      <c r="B4903" s="81" t="s">
        <v>4130</v>
      </c>
      <c r="C4903" s="677" t="s">
        <v>643</v>
      </c>
      <c r="D4903" s="211">
        <v>-7000</v>
      </c>
      <c r="E4903" s="212">
        <v>45505</v>
      </c>
      <c r="F4903" s="208" t="s">
        <v>130</v>
      </c>
      <c r="G4903" s="208" t="s">
        <v>257</v>
      </c>
      <c r="H4903" s="208" t="s">
        <v>663</v>
      </c>
      <c r="I4903" s="208"/>
      <c r="J4903" s="209"/>
      <c r="K4903" s="209"/>
      <c r="L4903" s="209"/>
      <c r="M4903" s="209"/>
      <c r="N4903" s="209"/>
      <c r="O4903" s="209"/>
      <c r="P4903" s="209"/>
      <c r="Q4903" s="209"/>
      <c r="R4903" s="209"/>
      <c r="S4903" s="209"/>
      <c r="T4903" s="209"/>
    </row>
    <row r="4904" spans="1:20" ht="15" hidden="1" customHeight="1">
      <c r="A4904" s="676">
        <v>45506</v>
      </c>
      <c r="B4904" s="81" t="s">
        <v>4131</v>
      </c>
      <c r="C4904" s="677" t="s">
        <v>643</v>
      </c>
      <c r="D4904" s="211">
        <v>-12000</v>
      </c>
      <c r="E4904" s="212">
        <v>45505</v>
      </c>
      <c r="F4904" s="208" t="s">
        <v>130</v>
      </c>
      <c r="G4904" s="208" t="s">
        <v>257</v>
      </c>
      <c r="H4904" s="208" t="s">
        <v>1138</v>
      </c>
      <c r="I4904" s="208"/>
      <c r="J4904" s="209"/>
      <c r="K4904" s="209"/>
      <c r="L4904" s="209"/>
      <c r="M4904" s="209"/>
      <c r="N4904" s="209"/>
      <c r="O4904" s="209"/>
      <c r="P4904" s="209"/>
      <c r="Q4904" s="209"/>
      <c r="R4904" s="209"/>
      <c r="S4904" s="209"/>
      <c r="T4904" s="209"/>
    </row>
    <row r="4905" spans="1:20" s="451" customFormat="1" ht="15" hidden="1" customHeight="1">
      <c r="A4905" s="468">
        <v>45510</v>
      </c>
      <c r="B4905" s="208" t="s">
        <v>3846</v>
      </c>
      <c r="C4905" s="208" t="s">
        <v>146</v>
      </c>
      <c r="D4905" s="211">
        <v>-73000</v>
      </c>
      <c r="E4905" s="212">
        <v>45505</v>
      </c>
      <c r="F4905" s="208" t="s">
        <v>110</v>
      </c>
      <c r="G4905" s="208" t="s">
        <v>774</v>
      </c>
      <c r="H4905" s="208" t="s">
        <v>138</v>
      </c>
      <c r="I4905" s="208"/>
      <c r="J4905" s="209"/>
      <c r="K4905" s="209"/>
      <c r="L4905" s="209"/>
      <c r="M4905" s="209"/>
      <c r="N4905" s="209"/>
      <c r="O4905" s="209"/>
      <c r="P4905" s="209"/>
      <c r="Q4905" s="209"/>
      <c r="R4905" s="209"/>
      <c r="S4905" s="209"/>
      <c r="T4905" s="209"/>
    </row>
    <row r="4906" spans="1:20" ht="15" hidden="1" customHeight="1">
      <c r="A4906" s="468">
        <v>45510</v>
      </c>
      <c r="B4906" s="208" t="s">
        <v>3846</v>
      </c>
      <c r="C4906" s="208" t="s">
        <v>146</v>
      </c>
      <c r="D4906" s="211">
        <v>-22000</v>
      </c>
      <c r="E4906" s="212">
        <v>45505</v>
      </c>
      <c r="F4906" s="291" t="s">
        <v>207</v>
      </c>
      <c r="G4906" s="208" t="s">
        <v>492</v>
      </c>
      <c r="H4906" s="208" t="s">
        <v>138</v>
      </c>
      <c r="I4906" s="208"/>
      <c r="J4906" s="209"/>
      <c r="K4906" s="209"/>
      <c r="L4906" s="209"/>
      <c r="M4906" s="209"/>
      <c r="N4906" s="209"/>
      <c r="O4906" s="209"/>
      <c r="P4906" s="209"/>
      <c r="Q4906" s="209"/>
      <c r="R4906" s="209"/>
      <c r="S4906" s="209"/>
      <c r="T4906" s="209"/>
    </row>
    <row r="4907" spans="1:20" ht="15" hidden="1" customHeight="1">
      <c r="A4907" s="468">
        <v>45510</v>
      </c>
      <c r="B4907" s="208" t="s">
        <v>3846</v>
      </c>
      <c r="C4907" s="208" t="s">
        <v>146</v>
      </c>
      <c r="D4907" s="211">
        <v>-71000</v>
      </c>
      <c r="E4907" s="212">
        <v>45505</v>
      </c>
      <c r="F4907" s="211" t="s">
        <v>109</v>
      </c>
      <c r="G4907" s="654" t="s">
        <v>2585</v>
      </c>
      <c r="H4907" s="208" t="s">
        <v>138</v>
      </c>
      <c r="I4907" s="208"/>
      <c r="J4907" s="209"/>
      <c r="K4907" s="209"/>
      <c r="L4907" s="209"/>
      <c r="M4907" s="209"/>
      <c r="N4907" s="209"/>
      <c r="O4907" s="209"/>
      <c r="P4907" s="209"/>
      <c r="Q4907" s="209"/>
      <c r="R4907" s="209"/>
      <c r="S4907" s="209"/>
      <c r="T4907" s="209"/>
    </row>
    <row r="4908" spans="1:20" ht="15" hidden="1" customHeight="1">
      <c r="A4908" s="468">
        <v>45510</v>
      </c>
      <c r="B4908" s="208" t="s">
        <v>3846</v>
      </c>
      <c r="C4908" s="208" t="s">
        <v>146</v>
      </c>
      <c r="D4908" s="211">
        <v>-49000</v>
      </c>
      <c r="E4908" s="212">
        <v>45505</v>
      </c>
      <c r="F4908" s="211" t="s">
        <v>109</v>
      </c>
      <c r="G4908" s="201" t="s">
        <v>1306</v>
      </c>
      <c r="H4908" s="208" t="s">
        <v>138</v>
      </c>
      <c r="I4908" s="208"/>
      <c r="J4908" s="209"/>
      <c r="K4908" s="209"/>
      <c r="L4908" s="209"/>
      <c r="M4908" s="209"/>
      <c r="N4908" s="209"/>
      <c r="O4908" s="209"/>
      <c r="P4908" s="209"/>
      <c r="Q4908" s="209"/>
      <c r="R4908" s="209"/>
      <c r="S4908" s="209"/>
      <c r="T4908" s="209"/>
    </row>
    <row r="4909" spans="1:20" ht="15" hidden="1" customHeight="1">
      <c r="A4909" s="468">
        <v>45510</v>
      </c>
      <c r="B4909" s="208" t="s">
        <v>3846</v>
      </c>
      <c r="C4909" s="208" t="s">
        <v>146</v>
      </c>
      <c r="D4909" s="718">
        <v>-14000</v>
      </c>
      <c r="E4909" s="212">
        <v>45505</v>
      </c>
      <c r="F4909" s="211" t="s">
        <v>109</v>
      </c>
      <c r="G4909" s="601" t="s">
        <v>581</v>
      </c>
      <c r="H4909" s="208" t="s">
        <v>138</v>
      </c>
      <c r="I4909" s="208"/>
      <c r="J4909" s="209"/>
      <c r="K4909" s="209"/>
      <c r="L4909" s="209"/>
      <c r="M4909" s="209"/>
      <c r="N4909" s="209"/>
      <c r="O4909" s="209"/>
      <c r="P4909" s="209"/>
      <c r="Q4909" s="209"/>
      <c r="R4909" s="209"/>
      <c r="S4909" s="209"/>
      <c r="T4909" s="209"/>
    </row>
    <row r="4910" spans="1:20" ht="15" hidden="1" customHeight="1">
      <c r="A4910" s="468">
        <v>45510</v>
      </c>
      <c r="B4910" s="208" t="s">
        <v>3846</v>
      </c>
      <c r="C4910" s="208" t="s">
        <v>146</v>
      </c>
      <c r="D4910" s="211">
        <v>-30000</v>
      </c>
      <c r="E4910" s="212">
        <v>45505</v>
      </c>
      <c r="F4910" s="211" t="s">
        <v>130</v>
      </c>
      <c r="G4910" s="658" t="s">
        <v>130</v>
      </c>
      <c r="H4910" s="208" t="s">
        <v>138</v>
      </c>
      <c r="I4910" s="208"/>
      <c r="J4910" s="209"/>
      <c r="K4910" s="209"/>
      <c r="L4910" s="209"/>
      <c r="M4910" s="209"/>
      <c r="N4910" s="209"/>
      <c r="O4910" s="209"/>
      <c r="P4910" s="209"/>
      <c r="Q4910" s="209"/>
      <c r="R4910" s="209"/>
      <c r="S4910" s="209"/>
      <c r="T4910" s="209"/>
    </row>
    <row r="4911" spans="1:20" ht="15" hidden="1" customHeight="1">
      <c r="A4911" s="468">
        <v>45510</v>
      </c>
      <c r="B4911" s="208" t="s">
        <v>3846</v>
      </c>
      <c r="C4911" s="208" t="s">
        <v>146</v>
      </c>
      <c r="D4911" s="211">
        <v>-50000</v>
      </c>
      <c r="E4911" s="212">
        <v>45505</v>
      </c>
      <c r="F4911" s="211" t="s">
        <v>207</v>
      </c>
      <c r="G4911" s="208" t="s">
        <v>207</v>
      </c>
      <c r="H4911" s="208" t="s">
        <v>138</v>
      </c>
      <c r="I4911" s="208"/>
      <c r="J4911" s="209"/>
      <c r="K4911" s="209"/>
      <c r="L4911" s="209"/>
      <c r="M4911" s="209"/>
      <c r="N4911" s="209"/>
      <c r="O4911" s="209"/>
      <c r="P4911" s="209"/>
      <c r="Q4911" s="209"/>
      <c r="R4911" s="209"/>
      <c r="S4911" s="209"/>
      <c r="T4911" s="209"/>
    </row>
    <row r="4912" spans="1:20" ht="15" hidden="1" customHeight="1">
      <c r="A4912" s="468">
        <v>45510</v>
      </c>
      <c r="B4912" s="208" t="s">
        <v>3846</v>
      </c>
      <c r="C4912" s="208" t="s">
        <v>146</v>
      </c>
      <c r="D4912" s="211">
        <v>-58488</v>
      </c>
      <c r="E4912" s="212">
        <v>45505</v>
      </c>
      <c r="F4912" s="211" t="s">
        <v>110</v>
      </c>
      <c r="G4912" s="208" t="s">
        <v>122</v>
      </c>
      <c r="H4912" s="208" t="s">
        <v>138</v>
      </c>
      <c r="I4912" s="208"/>
      <c r="J4912" s="209"/>
      <c r="K4912" s="209"/>
      <c r="L4912" s="209"/>
      <c r="M4912" s="209"/>
      <c r="N4912" s="209"/>
      <c r="O4912" s="209"/>
      <c r="P4912" s="209"/>
      <c r="Q4912" s="209"/>
      <c r="R4912" s="209"/>
      <c r="S4912" s="209"/>
      <c r="T4912" s="209"/>
    </row>
    <row r="4913" spans="1:20" ht="15" hidden="1" customHeight="1">
      <c r="A4913" s="468">
        <v>45510</v>
      </c>
      <c r="B4913" s="208" t="s">
        <v>3846</v>
      </c>
      <c r="C4913" s="208" t="s">
        <v>146</v>
      </c>
      <c r="D4913" s="211">
        <v>-22000</v>
      </c>
      <c r="E4913" s="212">
        <v>45505</v>
      </c>
      <c r="F4913" s="211" t="s">
        <v>207</v>
      </c>
      <c r="G4913" s="208" t="s">
        <v>207</v>
      </c>
      <c r="H4913" s="208" t="s">
        <v>138</v>
      </c>
      <c r="I4913" s="208"/>
      <c r="J4913" s="209"/>
      <c r="K4913" s="209"/>
      <c r="L4913" s="209"/>
      <c r="M4913" s="209"/>
      <c r="N4913" s="209"/>
      <c r="O4913" s="209"/>
      <c r="P4913" s="209"/>
      <c r="Q4913" s="209"/>
      <c r="R4913" s="209"/>
      <c r="S4913" s="209"/>
      <c r="T4913" s="209"/>
    </row>
    <row r="4914" spans="1:20" ht="15" hidden="1" customHeight="1">
      <c r="A4914" s="468">
        <v>45510</v>
      </c>
      <c r="B4914" s="208" t="s">
        <v>3846</v>
      </c>
      <c r="C4914" s="208" t="s">
        <v>146</v>
      </c>
      <c r="D4914" s="211">
        <v>-30000</v>
      </c>
      <c r="E4914" s="212">
        <v>45505</v>
      </c>
      <c r="F4914" s="208" t="s">
        <v>207</v>
      </c>
      <c r="G4914" s="208" t="s">
        <v>207</v>
      </c>
      <c r="H4914" s="208" t="s">
        <v>138</v>
      </c>
      <c r="I4914" s="208"/>
      <c r="J4914" s="209"/>
      <c r="K4914" s="209"/>
      <c r="L4914" s="209"/>
      <c r="M4914" s="209"/>
      <c r="N4914" s="209"/>
      <c r="O4914" s="209"/>
      <c r="P4914" s="209"/>
      <c r="Q4914" s="209"/>
      <c r="R4914" s="209"/>
      <c r="S4914" s="209"/>
      <c r="T4914" s="209"/>
    </row>
    <row r="4915" spans="1:20" ht="15" hidden="1" customHeight="1">
      <c r="A4915" s="468">
        <v>45510</v>
      </c>
      <c r="B4915" s="208" t="s">
        <v>3846</v>
      </c>
      <c r="C4915" s="208" t="s">
        <v>146</v>
      </c>
      <c r="D4915" s="718">
        <v>-350000</v>
      </c>
      <c r="E4915" s="212">
        <v>45505</v>
      </c>
      <c r="F4915" s="208" t="s">
        <v>109</v>
      </c>
      <c r="G4915" s="201" t="s">
        <v>581</v>
      </c>
      <c r="H4915" s="208" t="s">
        <v>138</v>
      </c>
      <c r="I4915" s="208"/>
      <c r="J4915" s="209"/>
      <c r="K4915" s="209"/>
      <c r="L4915" s="209"/>
      <c r="M4915" s="209"/>
      <c r="N4915" s="209"/>
      <c r="O4915" s="209"/>
      <c r="P4915" s="209"/>
      <c r="Q4915" s="209"/>
      <c r="R4915" s="209"/>
      <c r="S4915" s="209"/>
      <c r="T4915" s="209"/>
    </row>
    <row r="4916" spans="1:20" ht="15" hidden="1" customHeight="1">
      <c r="A4916" s="468">
        <v>45510</v>
      </c>
      <c r="B4916" s="208" t="s">
        <v>3716</v>
      </c>
      <c r="C4916" s="208" t="s">
        <v>133</v>
      </c>
      <c r="D4916" s="211">
        <v>-7820</v>
      </c>
      <c r="E4916" s="212">
        <v>45505</v>
      </c>
      <c r="F4916" s="211" t="s">
        <v>4132</v>
      </c>
      <c r="G4916" s="208"/>
      <c r="H4916" s="208" t="s">
        <v>138</v>
      </c>
      <c r="I4916" s="208"/>
      <c r="J4916" s="209"/>
      <c r="K4916" s="209"/>
      <c r="L4916" s="209"/>
      <c r="M4916" s="209"/>
      <c r="N4916" s="209"/>
      <c r="O4916" s="209"/>
      <c r="P4916" s="209"/>
      <c r="Q4916" s="209"/>
      <c r="R4916" s="209"/>
      <c r="S4916" s="209"/>
      <c r="T4916" s="209"/>
    </row>
    <row r="4917" spans="1:20" ht="15" hidden="1" customHeight="1">
      <c r="A4917" s="468">
        <v>45510</v>
      </c>
      <c r="B4917" s="208" t="s">
        <v>4133</v>
      </c>
      <c r="C4917" s="208" t="s">
        <v>133</v>
      </c>
      <c r="D4917" s="211">
        <v>-4692</v>
      </c>
      <c r="E4917" s="212">
        <v>45505</v>
      </c>
      <c r="F4917" s="211" t="s">
        <v>4132</v>
      </c>
      <c r="G4917" s="208"/>
      <c r="H4917" s="208" t="s">
        <v>138</v>
      </c>
      <c r="I4917" s="208"/>
      <c r="J4917" s="209"/>
      <c r="K4917" s="209"/>
      <c r="L4917" s="209"/>
      <c r="M4917" s="209"/>
      <c r="N4917" s="209"/>
      <c r="O4917" s="209"/>
      <c r="P4917" s="209"/>
      <c r="Q4917" s="209"/>
      <c r="R4917" s="209"/>
      <c r="S4917" s="209"/>
      <c r="T4917" s="209"/>
    </row>
    <row r="4918" spans="1:20" ht="15" hidden="1" customHeight="1">
      <c r="A4918" s="468">
        <v>45510</v>
      </c>
      <c r="B4918" s="208" t="s">
        <v>2663</v>
      </c>
      <c r="C4918" s="208" t="s">
        <v>146</v>
      </c>
      <c r="D4918" s="211">
        <v>-59848</v>
      </c>
      <c r="E4918" s="212">
        <v>45505</v>
      </c>
      <c r="F4918" s="208" t="s">
        <v>110</v>
      </c>
      <c r="G4918" s="208" t="s">
        <v>774</v>
      </c>
      <c r="H4918" s="208" t="s">
        <v>138</v>
      </c>
      <c r="I4918" s="208"/>
      <c r="J4918" s="209"/>
      <c r="K4918" s="209"/>
      <c r="L4918" s="209"/>
      <c r="M4918" s="209"/>
      <c r="N4918" s="209"/>
      <c r="O4918" s="209"/>
      <c r="P4918" s="209"/>
      <c r="Q4918" s="209"/>
      <c r="R4918" s="209"/>
      <c r="S4918" s="209"/>
      <c r="T4918" s="209"/>
    </row>
    <row r="4919" spans="1:20" ht="15" hidden="1" customHeight="1">
      <c r="A4919" s="468">
        <v>45510</v>
      </c>
      <c r="B4919" s="208" t="s">
        <v>2663</v>
      </c>
      <c r="C4919" s="208" t="s">
        <v>146</v>
      </c>
      <c r="D4919" s="211">
        <v>-38000</v>
      </c>
      <c r="E4919" s="212">
        <v>45505</v>
      </c>
      <c r="F4919" s="208" t="s">
        <v>109</v>
      </c>
      <c r="G4919" s="654" t="s">
        <v>2585</v>
      </c>
      <c r="H4919" s="208" t="s">
        <v>138</v>
      </c>
      <c r="I4919" s="208"/>
      <c r="J4919" s="209"/>
      <c r="K4919" s="209"/>
      <c r="L4919" s="209"/>
      <c r="M4919" s="209"/>
      <c r="N4919" s="209"/>
      <c r="O4919" s="209"/>
      <c r="P4919" s="209"/>
      <c r="Q4919" s="209"/>
      <c r="R4919" s="209"/>
      <c r="S4919" s="209"/>
      <c r="T4919" s="209"/>
    </row>
    <row r="4920" spans="1:20" ht="15" hidden="1" customHeight="1">
      <c r="A4920" s="468">
        <v>45510</v>
      </c>
      <c r="B4920" s="208" t="s">
        <v>2663</v>
      </c>
      <c r="C4920" s="208" t="s">
        <v>146</v>
      </c>
      <c r="D4920" s="211">
        <v>-26000</v>
      </c>
      <c r="E4920" s="212">
        <v>45505</v>
      </c>
      <c r="F4920" s="208" t="s">
        <v>109</v>
      </c>
      <c r="G4920" s="201" t="s">
        <v>1306</v>
      </c>
      <c r="H4920" s="208" t="s">
        <v>138</v>
      </c>
      <c r="I4920" s="208"/>
      <c r="J4920" s="209"/>
      <c r="K4920" s="209"/>
      <c r="L4920" s="209"/>
      <c r="M4920" s="209"/>
      <c r="N4920" s="209"/>
      <c r="O4920" s="209"/>
      <c r="P4920" s="209"/>
      <c r="Q4920" s="209"/>
      <c r="R4920" s="209"/>
      <c r="S4920" s="209"/>
      <c r="T4920" s="209"/>
    </row>
    <row r="4921" spans="1:20" ht="15" hidden="1" customHeight="1">
      <c r="A4921" s="468">
        <v>45510</v>
      </c>
      <c r="B4921" s="208" t="s">
        <v>2663</v>
      </c>
      <c r="C4921" s="208" t="s">
        <v>146</v>
      </c>
      <c r="D4921" s="211">
        <v>-42000</v>
      </c>
      <c r="E4921" s="212">
        <v>45505</v>
      </c>
      <c r="F4921" s="208" t="s">
        <v>130</v>
      </c>
      <c r="G4921" s="208" t="s">
        <v>130</v>
      </c>
      <c r="H4921" s="208" t="s">
        <v>138</v>
      </c>
      <c r="I4921" s="208"/>
      <c r="J4921" s="209"/>
      <c r="K4921" s="209"/>
      <c r="L4921" s="209"/>
      <c r="M4921" s="209"/>
      <c r="N4921" s="209"/>
      <c r="O4921" s="209"/>
      <c r="P4921" s="209"/>
      <c r="Q4921" s="209"/>
      <c r="R4921" s="209"/>
      <c r="S4921" s="209"/>
      <c r="T4921" s="209"/>
    </row>
    <row r="4922" spans="1:20" ht="15" hidden="1" customHeight="1">
      <c r="A4922" s="468">
        <v>45510</v>
      </c>
      <c r="B4922" s="208" t="s">
        <v>2663</v>
      </c>
      <c r="C4922" s="208" t="s">
        <v>146</v>
      </c>
      <c r="D4922" s="211">
        <v>-7000</v>
      </c>
      <c r="E4922" s="212">
        <v>45505</v>
      </c>
      <c r="F4922" s="208" t="s">
        <v>110</v>
      </c>
      <c r="G4922" s="658" t="s">
        <v>3245</v>
      </c>
      <c r="H4922" s="208" t="s">
        <v>138</v>
      </c>
      <c r="I4922" s="208"/>
      <c r="J4922" s="209"/>
      <c r="K4922" s="209"/>
      <c r="L4922" s="209"/>
      <c r="M4922" s="209"/>
      <c r="N4922" s="209"/>
      <c r="O4922" s="209"/>
      <c r="P4922" s="209"/>
      <c r="Q4922" s="209"/>
      <c r="R4922" s="209"/>
      <c r="S4922" s="209"/>
      <c r="T4922" s="209"/>
    </row>
    <row r="4923" spans="1:20" ht="15" hidden="1" customHeight="1">
      <c r="A4923" s="468">
        <v>45510</v>
      </c>
      <c r="B4923" s="208" t="s">
        <v>2663</v>
      </c>
      <c r="C4923" s="208" t="s">
        <v>146</v>
      </c>
      <c r="D4923" s="211">
        <v>-7000</v>
      </c>
      <c r="E4923" s="212">
        <v>45505</v>
      </c>
      <c r="F4923" s="208" t="s">
        <v>110</v>
      </c>
      <c r="G4923" s="208" t="s">
        <v>122</v>
      </c>
      <c r="H4923" s="208" t="s">
        <v>138</v>
      </c>
      <c r="I4923" s="208"/>
      <c r="J4923" s="209"/>
      <c r="K4923" s="209"/>
      <c r="L4923" s="209"/>
      <c r="M4923" s="209"/>
      <c r="N4923" s="209"/>
      <c r="O4923" s="209"/>
      <c r="P4923" s="209"/>
      <c r="Q4923" s="209"/>
      <c r="R4923" s="209"/>
      <c r="S4923" s="209"/>
      <c r="T4923" s="209"/>
    </row>
    <row r="4924" spans="1:20" ht="15" hidden="1" customHeight="1">
      <c r="A4924" s="468">
        <v>45510</v>
      </c>
      <c r="B4924" s="208" t="s">
        <v>2663</v>
      </c>
      <c r="C4924" s="208" t="s">
        <v>146</v>
      </c>
      <c r="D4924" s="211">
        <v>-14000</v>
      </c>
      <c r="E4924" s="212">
        <v>45505</v>
      </c>
      <c r="F4924" s="208" t="s">
        <v>207</v>
      </c>
      <c r="G4924" s="208" t="s">
        <v>207</v>
      </c>
      <c r="H4924" s="208" t="s">
        <v>138</v>
      </c>
      <c r="I4924" s="208"/>
      <c r="J4924" s="209"/>
      <c r="K4924" s="209"/>
      <c r="L4924" s="209"/>
      <c r="M4924" s="209"/>
      <c r="N4924" s="209"/>
      <c r="O4924" s="209"/>
      <c r="P4924" s="209"/>
      <c r="Q4924" s="209"/>
      <c r="R4924" s="209"/>
      <c r="S4924" s="209"/>
      <c r="T4924" s="209"/>
    </row>
    <row r="4925" spans="1:20" ht="15" hidden="1" customHeight="1">
      <c r="A4925" s="468">
        <v>45510</v>
      </c>
      <c r="B4925" s="208" t="s">
        <v>3187</v>
      </c>
      <c r="C4925" s="208" t="s">
        <v>133</v>
      </c>
      <c r="D4925" s="211">
        <v>-1970</v>
      </c>
      <c r="E4925" s="212">
        <v>45505</v>
      </c>
      <c r="F4925" s="208" t="s">
        <v>4132</v>
      </c>
      <c r="G4925" s="208"/>
      <c r="H4925" s="208" t="s">
        <v>138</v>
      </c>
      <c r="I4925" s="208"/>
      <c r="J4925" s="209"/>
      <c r="K4925" s="209"/>
      <c r="L4925" s="209"/>
      <c r="M4925" s="209"/>
      <c r="N4925" s="209"/>
      <c r="O4925" s="209"/>
      <c r="P4925" s="209"/>
      <c r="Q4925" s="209"/>
      <c r="R4925" s="209"/>
      <c r="S4925" s="209"/>
      <c r="T4925" s="209"/>
    </row>
    <row r="4926" spans="1:20" ht="15" hidden="1" customHeight="1">
      <c r="A4926" s="468">
        <v>45510</v>
      </c>
      <c r="B4926" s="208" t="s">
        <v>3292</v>
      </c>
      <c r="C4926" s="208" t="s">
        <v>133</v>
      </c>
      <c r="D4926" s="211">
        <v>-1182</v>
      </c>
      <c r="E4926" s="212">
        <v>45505</v>
      </c>
      <c r="F4926" s="208" t="s">
        <v>4132</v>
      </c>
      <c r="G4926" s="208"/>
      <c r="H4926" s="208" t="s">
        <v>138</v>
      </c>
      <c r="I4926" s="208"/>
      <c r="J4926" s="209"/>
      <c r="K4926" s="209"/>
      <c r="L4926" s="209"/>
      <c r="M4926" s="209"/>
      <c r="N4926" s="209"/>
      <c r="O4926" s="209"/>
      <c r="P4926" s="209"/>
      <c r="Q4926" s="209"/>
      <c r="R4926" s="209"/>
      <c r="S4926" s="209"/>
      <c r="T4926" s="209"/>
    </row>
    <row r="4927" spans="1:20" ht="15" hidden="1" customHeight="1">
      <c r="A4927" s="468">
        <v>45512</v>
      </c>
      <c r="B4927" s="208" t="s">
        <v>4134</v>
      </c>
      <c r="C4927" s="208" t="s">
        <v>146</v>
      </c>
      <c r="D4927" s="211">
        <v>-92100</v>
      </c>
      <c r="E4927" s="212">
        <v>45505</v>
      </c>
      <c r="F4927" s="208" t="s">
        <v>130</v>
      </c>
      <c r="G4927" s="208" t="s">
        <v>130</v>
      </c>
      <c r="H4927" s="208" t="s">
        <v>2444</v>
      </c>
      <c r="I4927" s="208"/>
      <c r="J4927" s="209"/>
      <c r="K4927" s="209"/>
      <c r="L4927" s="209"/>
      <c r="M4927" s="209"/>
      <c r="N4927" s="209"/>
      <c r="O4927" s="209"/>
      <c r="P4927" s="209"/>
      <c r="Q4927" s="209"/>
      <c r="R4927" s="209"/>
      <c r="S4927" s="209"/>
      <c r="T4927" s="209"/>
    </row>
    <row r="4928" spans="1:20" ht="15" hidden="1" customHeight="1">
      <c r="A4928" s="468">
        <v>45494</v>
      </c>
      <c r="B4928" s="208" t="s">
        <v>4135</v>
      </c>
      <c r="C4928" s="208" t="s">
        <v>146</v>
      </c>
      <c r="D4928" s="718">
        <v>-130000</v>
      </c>
      <c r="E4928" s="212">
        <v>45505</v>
      </c>
      <c r="F4928" s="208" t="s">
        <v>109</v>
      </c>
      <c r="G4928" s="201" t="s">
        <v>581</v>
      </c>
      <c r="H4928" s="208" t="s">
        <v>138</v>
      </c>
      <c r="I4928" s="208" t="s">
        <v>3364</v>
      </c>
      <c r="J4928" s="209"/>
      <c r="K4928" s="209"/>
      <c r="L4928" s="209"/>
      <c r="M4928" s="209"/>
      <c r="N4928" s="209"/>
      <c r="O4928" s="209"/>
      <c r="P4928" s="209"/>
      <c r="Q4928" s="209"/>
      <c r="R4928" s="209"/>
      <c r="S4928" s="209"/>
      <c r="T4928" s="209"/>
    </row>
    <row r="4929" spans="1:20" ht="15" hidden="1" customHeight="1">
      <c r="A4929" s="468">
        <v>45495</v>
      </c>
      <c r="B4929" s="208" t="s">
        <v>4136</v>
      </c>
      <c r="C4929" s="208" t="s">
        <v>146</v>
      </c>
      <c r="D4929" s="718">
        <v>-74000</v>
      </c>
      <c r="E4929" s="212">
        <v>45505</v>
      </c>
      <c r="F4929" s="208" t="s">
        <v>109</v>
      </c>
      <c r="G4929" s="201" t="s">
        <v>581</v>
      </c>
      <c r="H4929" s="208" t="s">
        <v>138</v>
      </c>
      <c r="I4929" s="208" t="s">
        <v>3364</v>
      </c>
      <c r="J4929" s="209"/>
      <c r="K4929" s="209"/>
      <c r="L4929" s="209"/>
      <c r="M4929" s="209"/>
      <c r="N4929" s="209"/>
      <c r="O4929" s="209"/>
      <c r="P4929" s="209"/>
      <c r="Q4929" s="209"/>
      <c r="R4929" s="209"/>
      <c r="S4929" s="209"/>
      <c r="T4929" s="209"/>
    </row>
    <row r="4930" spans="1:20" ht="15" hidden="1" customHeight="1">
      <c r="A4930" s="468">
        <v>45495</v>
      </c>
      <c r="B4930" s="208" t="s">
        <v>4137</v>
      </c>
      <c r="C4930" s="208" t="s">
        <v>146</v>
      </c>
      <c r="D4930" s="718">
        <v>-330000</v>
      </c>
      <c r="E4930" s="212">
        <v>45505</v>
      </c>
      <c r="F4930" s="208" t="s">
        <v>109</v>
      </c>
      <c r="G4930" s="201" t="s">
        <v>581</v>
      </c>
      <c r="H4930" s="208" t="s">
        <v>175</v>
      </c>
      <c r="I4930" s="208" t="s">
        <v>3364</v>
      </c>
      <c r="J4930" s="209"/>
      <c r="K4930" s="209"/>
      <c r="L4930" s="209"/>
      <c r="M4930" s="209"/>
      <c r="N4930" s="209"/>
      <c r="O4930" s="209"/>
      <c r="P4930" s="209"/>
      <c r="Q4930" s="209"/>
      <c r="R4930" s="209"/>
      <c r="S4930" s="209"/>
      <c r="T4930" s="209"/>
    </row>
    <row r="4931" spans="1:20" ht="15" hidden="1" customHeight="1">
      <c r="A4931" s="468">
        <v>45496</v>
      </c>
      <c r="B4931" s="208" t="s">
        <v>4138</v>
      </c>
      <c r="C4931" s="208" t="s">
        <v>146</v>
      </c>
      <c r="D4931" s="718">
        <v>-40000</v>
      </c>
      <c r="E4931" s="212">
        <v>45505</v>
      </c>
      <c r="F4931" s="208" t="s">
        <v>109</v>
      </c>
      <c r="G4931" s="201" t="s">
        <v>581</v>
      </c>
      <c r="H4931" s="208" t="s">
        <v>147</v>
      </c>
      <c r="I4931" s="208" t="s">
        <v>3364</v>
      </c>
      <c r="J4931" s="209"/>
      <c r="K4931" s="209"/>
      <c r="L4931" s="209"/>
      <c r="M4931" s="209"/>
      <c r="N4931" s="209"/>
      <c r="O4931" s="209"/>
      <c r="P4931" s="209"/>
      <c r="Q4931" s="209"/>
      <c r="R4931" s="209"/>
      <c r="S4931" s="209"/>
      <c r="T4931" s="209"/>
    </row>
    <row r="4932" spans="1:20" ht="15" hidden="1" customHeight="1">
      <c r="A4932" s="468">
        <v>45496</v>
      </c>
      <c r="B4932" s="208" t="s">
        <v>4139</v>
      </c>
      <c r="C4932" s="208" t="s">
        <v>146</v>
      </c>
      <c r="D4932" s="718">
        <v>-20000</v>
      </c>
      <c r="E4932" s="212">
        <v>45505</v>
      </c>
      <c r="F4932" s="208" t="s">
        <v>109</v>
      </c>
      <c r="G4932" s="201" t="s">
        <v>581</v>
      </c>
      <c r="H4932" s="208" t="s">
        <v>175</v>
      </c>
      <c r="I4932" s="208" t="s">
        <v>3364</v>
      </c>
      <c r="J4932" s="209"/>
      <c r="K4932" s="209"/>
      <c r="L4932" s="209"/>
      <c r="M4932" s="209"/>
      <c r="N4932" s="209"/>
      <c r="O4932" s="209"/>
      <c r="P4932" s="209"/>
      <c r="Q4932" s="209"/>
      <c r="R4932" s="209"/>
      <c r="S4932" s="209"/>
      <c r="T4932" s="209"/>
    </row>
    <row r="4933" spans="1:20" ht="15" hidden="1" customHeight="1">
      <c r="A4933" s="468">
        <v>45496</v>
      </c>
      <c r="B4933" s="208" t="s">
        <v>4140</v>
      </c>
      <c r="C4933" s="208" t="s">
        <v>146</v>
      </c>
      <c r="D4933" s="718">
        <v>-52000</v>
      </c>
      <c r="E4933" s="212">
        <v>45505</v>
      </c>
      <c r="F4933" s="208" t="s">
        <v>109</v>
      </c>
      <c r="G4933" s="201" t="s">
        <v>581</v>
      </c>
      <c r="H4933" s="208" t="s">
        <v>175</v>
      </c>
      <c r="I4933" s="208" t="s">
        <v>3364</v>
      </c>
      <c r="J4933" s="209"/>
      <c r="K4933" s="209"/>
      <c r="L4933" s="209"/>
      <c r="M4933" s="209"/>
      <c r="N4933" s="209"/>
      <c r="O4933" s="209"/>
      <c r="P4933" s="209"/>
      <c r="Q4933" s="209"/>
      <c r="R4933" s="209"/>
      <c r="S4933" s="209"/>
      <c r="T4933" s="209"/>
    </row>
    <row r="4934" spans="1:20" ht="15" hidden="1" customHeight="1">
      <c r="A4934" s="468">
        <v>45496</v>
      </c>
      <c r="B4934" s="208" t="s">
        <v>4141</v>
      </c>
      <c r="C4934" s="208" t="s">
        <v>146</v>
      </c>
      <c r="D4934" s="718">
        <v>-80000</v>
      </c>
      <c r="E4934" s="212">
        <v>45505</v>
      </c>
      <c r="F4934" s="208" t="s">
        <v>109</v>
      </c>
      <c r="G4934" s="201" t="s">
        <v>581</v>
      </c>
      <c r="H4934" s="208" t="s">
        <v>147</v>
      </c>
      <c r="I4934" s="208" t="s">
        <v>3364</v>
      </c>
      <c r="J4934" s="209"/>
      <c r="K4934" s="209"/>
      <c r="L4934" s="209"/>
      <c r="M4934" s="209"/>
      <c r="N4934" s="209"/>
      <c r="O4934" s="209"/>
      <c r="P4934" s="209"/>
      <c r="Q4934" s="209"/>
      <c r="R4934" s="209"/>
      <c r="S4934" s="209"/>
      <c r="T4934" s="209"/>
    </row>
    <row r="4935" spans="1:20" ht="15" hidden="1" customHeight="1">
      <c r="A4935" s="468">
        <v>45497</v>
      </c>
      <c r="B4935" s="208" t="s">
        <v>4142</v>
      </c>
      <c r="C4935" s="208" t="s">
        <v>146</v>
      </c>
      <c r="D4935" s="718">
        <v>-15000</v>
      </c>
      <c r="E4935" s="212">
        <v>45505</v>
      </c>
      <c r="F4935" s="208" t="s">
        <v>109</v>
      </c>
      <c r="G4935" s="201" t="s">
        <v>581</v>
      </c>
      <c r="H4935" s="208" t="s">
        <v>175</v>
      </c>
      <c r="I4935" s="208" t="s">
        <v>3364</v>
      </c>
      <c r="J4935" s="209"/>
      <c r="K4935" s="209"/>
      <c r="L4935" s="209"/>
      <c r="M4935" s="209"/>
      <c r="N4935" s="209"/>
      <c r="O4935" s="209"/>
      <c r="P4935" s="209"/>
      <c r="Q4935" s="209"/>
      <c r="R4935" s="209"/>
      <c r="S4935" s="209"/>
      <c r="T4935" s="209"/>
    </row>
    <row r="4936" spans="1:20" ht="15" hidden="1" customHeight="1">
      <c r="A4936" s="468">
        <v>45498</v>
      </c>
      <c r="B4936" s="208" t="s">
        <v>4143</v>
      </c>
      <c r="C4936" s="208" t="s">
        <v>146</v>
      </c>
      <c r="D4936" s="718">
        <v>-10000</v>
      </c>
      <c r="E4936" s="212">
        <v>45505</v>
      </c>
      <c r="F4936" s="208" t="s">
        <v>109</v>
      </c>
      <c r="G4936" s="201" t="s">
        <v>583</v>
      </c>
      <c r="H4936" s="208" t="s">
        <v>147</v>
      </c>
      <c r="I4936" s="208" t="s">
        <v>3364</v>
      </c>
      <c r="J4936" s="209"/>
      <c r="K4936" s="209"/>
      <c r="L4936" s="209"/>
      <c r="M4936" s="209"/>
      <c r="N4936" s="209"/>
      <c r="O4936" s="209"/>
      <c r="P4936" s="209"/>
      <c r="Q4936" s="209"/>
      <c r="R4936" s="209"/>
      <c r="S4936" s="209"/>
      <c r="T4936" s="209"/>
    </row>
    <row r="4937" spans="1:20" ht="15" hidden="1" customHeight="1">
      <c r="A4937" s="468">
        <v>45498</v>
      </c>
      <c r="B4937" s="208" t="s">
        <v>4144</v>
      </c>
      <c r="C4937" s="208" t="s">
        <v>146</v>
      </c>
      <c r="D4937" s="718">
        <v>-14000</v>
      </c>
      <c r="E4937" s="212">
        <v>45505</v>
      </c>
      <c r="F4937" s="208" t="s">
        <v>109</v>
      </c>
      <c r="G4937" s="201" t="s">
        <v>583</v>
      </c>
      <c r="H4937" s="208" t="s">
        <v>147</v>
      </c>
      <c r="I4937" s="208" t="s">
        <v>3364</v>
      </c>
      <c r="J4937" s="209"/>
      <c r="K4937" s="209"/>
      <c r="L4937" s="209"/>
      <c r="M4937" s="209"/>
      <c r="N4937" s="209"/>
      <c r="O4937" s="209"/>
      <c r="P4937" s="209"/>
      <c r="Q4937" s="209"/>
      <c r="R4937" s="209"/>
      <c r="S4937" s="209"/>
      <c r="T4937" s="209"/>
    </row>
    <row r="4938" spans="1:20" ht="15" hidden="1" customHeight="1">
      <c r="A4938" s="468">
        <v>45499</v>
      </c>
      <c r="B4938" s="208" t="s">
        <v>4136</v>
      </c>
      <c r="C4938" s="208" t="s">
        <v>146</v>
      </c>
      <c r="D4938" s="718">
        <v>-71000</v>
      </c>
      <c r="E4938" s="212">
        <v>45505</v>
      </c>
      <c r="F4938" s="208" t="s">
        <v>109</v>
      </c>
      <c r="G4938" s="201" t="s">
        <v>581</v>
      </c>
      <c r="H4938" s="208" t="s">
        <v>138</v>
      </c>
      <c r="I4938" s="208" t="s">
        <v>3364</v>
      </c>
      <c r="J4938" s="209"/>
      <c r="K4938" s="209"/>
      <c r="L4938" s="209"/>
      <c r="M4938" s="209"/>
      <c r="N4938" s="209"/>
      <c r="O4938" s="209"/>
      <c r="P4938" s="209"/>
      <c r="Q4938" s="209"/>
      <c r="R4938" s="209"/>
      <c r="S4938" s="209"/>
      <c r="T4938" s="209"/>
    </row>
    <row r="4939" spans="1:20" ht="15" hidden="1" customHeight="1">
      <c r="A4939" s="468">
        <v>45499</v>
      </c>
      <c r="B4939" s="208" t="s">
        <v>4145</v>
      </c>
      <c r="C4939" s="208" t="s">
        <v>146</v>
      </c>
      <c r="D4939" s="718">
        <v>-40000</v>
      </c>
      <c r="E4939" s="212">
        <v>45505</v>
      </c>
      <c r="F4939" s="208" t="s">
        <v>109</v>
      </c>
      <c r="G4939" s="201" t="s">
        <v>581</v>
      </c>
      <c r="H4939" s="208" t="s">
        <v>138</v>
      </c>
      <c r="I4939" s="208" t="s">
        <v>3364</v>
      </c>
      <c r="J4939" s="209"/>
      <c r="K4939" s="209"/>
      <c r="L4939" s="209"/>
      <c r="M4939" s="209"/>
      <c r="N4939" s="209"/>
      <c r="O4939" s="209"/>
      <c r="P4939" s="209"/>
      <c r="Q4939" s="209"/>
      <c r="R4939" s="209"/>
      <c r="S4939" s="209"/>
      <c r="T4939" s="209"/>
    </row>
    <row r="4940" spans="1:20" ht="15" hidden="1" customHeight="1">
      <c r="A4940" s="468">
        <v>45499</v>
      </c>
      <c r="B4940" s="208" t="s">
        <v>4146</v>
      </c>
      <c r="C4940" s="208" t="s">
        <v>146</v>
      </c>
      <c r="D4940" s="718">
        <v>-40000</v>
      </c>
      <c r="E4940" s="212">
        <v>45505</v>
      </c>
      <c r="F4940" s="208" t="s">
        <v>109</v>
      </c>
      <c r="G4940" s="201" t="s">
        <v>581</v>
      </c>
      <c r="H4940" s="208" t="s">
        <v>138</v>
      </c>
      <c r="I4940" s="208" t="s">
        <v>3364</v>
      </c>
      <c r="J4940" s="209"/>
      <c r="K4940" s="209"/>
      <c r="L4940" s="209"/>
      <c r="M4940" s="209"/>
      <c r="N4940" s="209"/>
      <c r="O4940" s="209"/>
      <c r="P4940" s="209"/>
      <c r="Q4940" s="209"/>
      <c r="R4940" s="209"/>
      <c r="S4940" s="209"/>
      <c r="T4940" s="209"/>
    </row>
    <row r="4941" spans="1:20" ht="15" hidden="1" customHeight="1">
      <c r="A4941" s="468">
        <v>45499</v>
      </c>
      <c r="B4941" s="208" t="s">
        <v>4147</v>
      </c>
      <c r="C4941" s="208" t="s">
        <v>146</v>
      </c>
      <c r="D4941" s="718">
        <v>-40000</v>
      </c>
      <c r="E4941" s="212">
        <v>45505</v>
      </c>
      <c r="F4941" s="208" t="s">
        <v>109</v>
      </c>
      <c r="G4941" s="201" t="s">
        <v>581</v>
      </c>
      <c r="H4941" s="208" t="s">
        <v>138</v>
      </c>
      <c r="I4941" s="208" t="s">
        <v>3364</v>
      </c>
      <c r="J4941" s="209"/>
      <c r="K4941" s="209"/>
      <c r="L4941" s="209"/>
      <c r="M4941" s="209"/>
      <c r="N4941" s="209"/>
      <c r="O4941" s="209"/>
      <c r="P4941" s="209"/>
      <c r="Q4941" s="209"/>
      <c r="R4941" s="209"/>
      <c r="S4941" s="209"/>
      <c r="T4941" s="209"/>
    </row>
    <row r="4942" spans="1:20" ht="15" hidden="1" customHeight="1">
      <c r="A4942" s="468">
        <v>45500</v>
      </c>
      <c r="B4942" s="208" t="s">
        <v>4148</v>
      </c>
      <c r="C4942" s="208" t="s">
        <v>146</v>
      </c>
      <c r="D4942" s="718">
        <v>-110000</v>
      </c>
      <c r="E4942" s="212">
        <v>45505</v>
      </c>
      <c r="F4942" s="208" t="s">
        <v>109</v>
      </c>
      <c r="G4942" s="201" t="s">
        <v>581</v>
      </c>
      <c r="H4942" s="208" t="s">
        <v>138</v>
      </c>
      <c r="I4942" s="208" t="s">
        <v>3364</v>
      </c>
      <c r="J4942" s="209"/>
      <c r="K4942" s="209"/>
      <c r="L4942" s="209"/>
      <c r="M4942" s="209"/>
      <c r="N4942" s="209"/>
      <c r="O4942" s="209"/>
      <c r="P4942" s="209"/>
      <c r="Q4942" s="209"/>
      <c r="R4942" s="209"/>
      <c r="S4942" s="209"/>
      <c r="T4942" s="209"/>
    </row>
    <row r="4943" spans="1:20" ht="15" hidden="1" customHeight="1">
      <c r="A4943" s="468">
        <v>45501</v>
      </c>
      <c r="B4943" s="208" t="s">
        <v>4149</v>
      </c>
      <c r="C4943" s="208" t="s">
        <v>146</v>
      </c>
      <c r="D4943" s="718">
        <v>-75000</v>
      </c>
      <c r="E4943" s="212">
        <v>45505</v>
      </c>
      <c r="F4943" s="208" t="s">
        <v>109</v>
      </c>
      <c r="G4943" s="201" t="s">
        <v>581</v>
      </c>
      <c r="H4943" s="208" t="s">
        <v>147</v>
      </c>
      <c r="I4943" s="208" t="s">
        <v>3364</v>
      </c>
      <c r="J4943" s="209"/>
      <c r="K4943" s="209"/>
      <c r="L4943" s="209"/>
      <c r="M4943" s="209"/>
      <c r="N4943" s="209"/>
      <c r="O4943" s="209"/>
      <c r="P4943" s="209"/>
      <c r="Q4943" s="209"/>
      <c r="R4943" s="209"/>
      <c r="S4943" s="209"/>
      <c r="T4943" s="209"/>
    </row>
    <row r="4944" spans="1:20" ht="15" hidden="1" customHeight="1">
      <c r="A4944" s="468">
        <v>45503</v>
      </c>
      <c r="B4944" s="208" t="s">
        <v>2709</v>
      </c>
      <c r="C4944" s="208" t="s">
        <v>146</v>
      </c>
      <c r="D4944" s="718">
        <v>-30000</v>
      </c>
      <c r="E4944" s="212">
        <v>45505</v>
      </c>
      <c r="F4944" s="208" t="s">
        <v>109</v>
      </c>
      <c r="G4944" s="201" t="s">
        <v>581</v>
      </c>
      <c r="H4944" s="208" t="s">
        <v>147</v>
      </c>
      <c r="I4944" s="208" t="s">
        <v>3364</v>
      </c>
      <c r="J4944" s="209"/>
      <c r="K4944" s="209"/>
      <c r="L4944" s="209"/>
      <c r="M4944" s="209"/>
      <c r="N4944" s="209"/>
      <c r="O4944" s="209"/>
      <c r="P4944" s="209"/>
      <c r="Q4944" s="209"/>
      <c r="R4944" s="209"/>
      <c r="S4944" s="209"/>
      <c r="T4944" s="209"/>
    </row>
    <row r="4945" spans="1:20" ht="15" hidden="1" customHeight="1">
      <c r="A4945" s="468">
        <v>45504</v>
      </c>
      <c r="B4945" s="208" t="s">
        <v>4150</v>
      </c>
      <c r="C4945" s="208" t="s">
        <v>146</v>
      </c>
      <c r="D4945" s="718">
        <v>-783000</v>
      </c>
      <c r="E4945" s="212">
        <v>45505</v>
      </c>
      <c r="F4945" s="208" t="s">
        <v>109</v>
      </c>
      <c r="G4945" s="201" t="s">
        <v>581</v>
      </c>
      <c r="H4945" s="208" t="s">
        <v>175</v>
      </c>
      <c r="I4945" s="208" t="s">
        <v>3364</v>
      </c>
      <c r="J4945" s="209"/>
      <c r="K4945" s="209"/>
      <c r="L4945" s="209"/>
      <c r="M4945" s="209"/>
      <c r="N4945" s="209"/>
      <c r="O4945" s="209"/>
      <c r="P4945" s="209"/>
      <c r="Q4945" s="209"/>
      <c r="R4945" s="209"/>
      <c r="S4945" s="209"/>
      <c r="T4945" s="209"/>
    </row>
    <row r="4946" spans="1:20" ht="15" hidden="1" customHeight="1">
      <c r="A4946" s="468">
        <v>45504</v>
      </c>
      <c r="B4946" s="208" t="s">
        <v>4151</v>
      </c>
      <c r="C4946" s="208" t="s">
        <v>146</v>
      </c>
      <c r="D4946" s="718">
        <v>-420500</v>
      </c>
      <c r="E4946" s="212">
        <v>45505</v>
      </c>
      <c r="F4946" s="208" t="s">
        <v>109</v>
      </c>
      <c r="G4946" s="201" t="s">
        <v>581</v>
      </c>
      <c r="H4946" s="208" t="s">
        <v>175</v>
      </c>
      <c r="I4946" s="208" t="s">
        <v>3364</v>
      </c>
      <c r="J4946" s="209"/>
      <c r="K4946" s="209"/>
      <c r="L4946" s="209"/>
      <c r="M4946" s="209"/>
      <c r="N4946" s="209"/>
      <c r="O4946" s="209"/>
      <c r="P4946" s="209"/>
      <c r="Q4946" s="209"/>
      <c r="R4946" s="209"/>
      <c r="S4946" s="209"/>
      <c r="T4946" s="209"/>
    </row>
    <row r="4947" spans="1:20" ht="15" hidden="1" customHeight="1">
      <c r="A4947" s="468">
        <v>45505</v>
      </c>
      <c r="B4947" s="208" t="s">
        <v>4152</v>
      </c>
      <c r="C4947" s="208" t="s">
        <v>146</v>
      </c>
      <c r="D4947" s="718">
        <v>-168000</v>
      </c>
      <c r="E4947" s="212">
        <v>45505</v>
      </c>
      <c r="F4947" s="208" t="s">
        <v>109</v>
      </c>
      <c r="G4947" s="201" t="s">
        <v>581</v>
      </c>
      <c r="H4947" s="208" t="s">
        <v>175</v>
      </c>
      <c r="I4947" s="208" t="s">
        <v>3364</v>
      </c>
      <c r="J4947" s="209"/>
      <c r="K4947" s="209"/>
      <c r="L4947" s="209"/>
      <c r="M4947" s="209"/>
      <c r="N4947" s="209"/>
      <c r="O4947" s="209"/>
      <c r="P4947" s="209"/>
      <c r="Q4947" s="209"/>
      <c r="R4947" s="209"/>
      <c r="S4947" s="209"/>
      <c r="T4947" s="209"/>
    </row>
    <row r="4948" spans="1:20" ht="15" hidden="1" customHeight="1">
      <c r="A4948" s="468">
        <v>45505</v>
      </c>
      <c r="B4948" s="208" t="s">
        <v>4153</v>
      </c>
      <c r="C4948" s="208" t="s">
        <v>146</v>
      </c>
      <c r="D4948" s="718">
        <v>-17500</v>
      </c>
      <c r="E4948" s="212">
        <v>45505</v>
      </c>
      <c r="F4948" s="208" t="s">
        <v>109</v>
      </c>
      <c r="G4948" s="201" t="s">
        <v>581</v>
      </c>
      <c r="H4948" s="208" t="s">
        <v>175</v>
      </c>
      <c r="I4948" s="208" t="s">
        <v>3364</v>
      </c>
      <c r="J4948" s="209"/>
      <c r="K4948" s="209"/>
      <c r="L4948" s="209"/>
      <c r="M4948" s="209"/>
      <c r="N4948" s="209"/>
      <c r="O4948" s="209"/>
      <c r="P4948" s="209"/>
      <c r="Q4948" s="209"/>
      <c r="R4948" s="209"/>
      <c r="S4948" s="209"/>
      <c r="T4948" s="209"/>
    </row>
    <row r="4949" spans="1:20" ht="15" hidden="1" customHeight="1">
      <c r="A4949" s="468">
        <v>45505</v>
      </c>
      <c r="B4949" s="208" t="s">
        <v>4154</v>
      </c>
      <c r="C4949" s="208" t="s">
        <v>146</v>
      </c>
      <c r="D4949" s="718">
        <v>-100000</v>
      </c>
      <c r="E4949" s="212">
        <v>45505</v>
      </c>
      <c r="F4949" s="208" t="s">
        <v>109</v>
      </c>
      <c r="G4949" s="201" t="s">
        <v>581</v>
      </c>
      <c r="H4949" s="208" t="s">
        <v>147</v>
      </c>
      <c r="I4949" s="208" t="s">
        <v>3364</v>
      </c>
      <c r="J4949" s="209"/>
      <c r="K4949" s="209"/>
      <c r="L4949" s="209"/>
      <c r="M4949" s="209"/>
      <c r="N4949" s="209"/>
      <c r="O4949" s="209"/>
      <c r="P4949" s="209"/>
      <c r="Q4949" s="209"/>
      <c r="R4949" s="209"/>
      <c r="S4949" s="209"/>
      <c r="T4949" s="209"/>
    </row>
    <row r="4950" spans="1:20" ht="15" hidden="1" customHeight="1">
      <c r="A4950" s="468">
        <v>45506</v>
      </c>
      <c r="B4950" s="208" t="s">
        <v>4155</v>
      </c>
      <c r="C4950" s="208" t="s">
        <v>146</v>
      </c>
      <c r="D4950" s="718">
        <v>-30000</v>
      </c>
      <c r="E4950" s="212">
        <v>45505</v>
      </c>
      <c r="F4950" s="208" t="s">
        <v>109</v>
      </c>
      <c r="G4950" s="201" t="s">
        <v>581</v>
      </c>
      <c r="H4950" s="208" t="s">
        <v>147</v>
      </c>
      <c r="I4950" s="208" t="s">
        <v>3364</v>
      </c>
      <c r="J4950" s="209"/>
      <c r="K4950" s="209"/>
      <c r="L4950" s="209"/>
      <c r="M4950" s="209"/>
      <c r="N4950" s="209"/>
      <c r="O4950" s="209"/>
      <c r="P4950" s="209"/>
      <c r="Q4950" s="209"/>
      <c r="R4950" s="209"/>
      <c r="S4950" s="209"/>
      <c r="T4950" s="209"/>
    </row>
    <row r="4951" spans="1:20" ht="15" hidden="1" customHeight="1">
      <c r="A4951" s="468">
        <v>45506</v>
      </c>
      <c r="B4951" s="208" t="s">
        <v>4156</v>
      </c>
      <c r="C4951" s="208" t="s">
        <v>146</v>
      </c>
      <c r="D4951" s="718">
        <v>-40000</v>
      </c>
      <c r="E4951" s="212">
        <v>45505</v>
      </c>
      <c r="F4951" s="208" t="s">
        <v>109</v>
      </c>
      <c r="G4951" s="201" t="s">
        <v>581</v>
      </c>
      <c r="H4951" s="208" t="s">
        <v>138</v>
      </c>
      <c r="I4951" s="208" t="s">
        <v>3364</v>
      </c>
      <c r="J4951" s="209"/>
      <c r="K4951" s="209"/>
      <c r="L4951" s="209"/>
      <c r="M4951" s="209"/>
      <c r="N4951" s="209"/>
      <c r="O4951" s="209"/>
      <c r="P4951" s="209"/>
      <c r="Q4951" s="209"/>
      <c r="R4951" s="209"/>
      <c r="S4951" s="209"/>
      <c r="T4951" s="209"/>
    </row>
    <row r="4952" spans="1:20" ht="15" hidden="1" customHeight="1">
      <c r="A4952" s="468">
        <v>45507</v>
      </c>
      <c r="B4952" s="208" t="s">
        <v>4147</v>
      </c>
      <c r="C4952" s="208" t="s">
        <v>146</v>
      </c>
      <c r="D4952" s="718">
        <v>-40000</v>
      </c>
      <c r="E4952" s="212">
        <v>45505</v>
      </c>
      <c r="F4952" s="208" t="s">
        <v>109</v>
      </c>
      <c r="G4952" s="201" t="s">
        <v>581</v>
      </c>
      <c r="H4952" s="208" t="s">
        <v>138</v>
      </c>
      <c r="I4952" s="208" t="s">
        <v>3364</v>
      </c>
      <c r="J4952" s="209"/>
      <c r="K4952" s="209"/>
      <c r="L4952" s="209"/>
      <c r="M4952" s="209"/>
      <c r="N4952" s="209"/>
      <c r="O4952" s="209"/>
      <c r="P4952" s="209"/>
      <c r="Q4952" s="209"/>
      <c r="R4952" s="209"/>
      <c r="S4952" s="209"/>
      <c r="T4952" s="209"/>
    </row>
    <row r="4953" spans="1:20" ht="15" hidden="1" customHeight="1">
      <c r="A4953" s="468">
        <v>45507</v>
      </c>
      <c r="B4953" s="208" t="s">
        <v>4157</v>
      </c>
      <c r="C4953" s="208" t="s">
        <v>146</v>
      </c>
      <c r="D4953" s="211">
        <v>40000</v>
      </c>
      <c r="E4953" s="212">
        <v>45505</v>
      </c>
      <c r="F4953" s="208" t="s">
        <v>130</v>
      </c>
      <c r="G4953" s="208" t="s">
        <v>130</v>
      </c>
      <c r="H4953" s="208" t="s">
        <v>2444</v>
      </c>
      <c r="I4953" s="208" t="s">
        <v>173</v>
      </c>
      <c r="J4953" s="209"/>
      <c r="K4953" s="209"/>
      <c r="L4953" s="209"/>
      <c r="M4953" s="209"/>
      <c r="N4953" s="209"/>
      <c r="O4953" s="209"/>
      <c r="P4953" s="209"/>
      <c r="Q4953" s="209"/>
      <c r="R4953" s="209"/>
      <c r="S4953" s="209"/>
      <c r="T4953" s="209"/>
    </row>
    <row r="4954" spans="1:20" ht="15" hidden="1" customHeight="1">
      <c r="A4954" s="468">
        <v>45503</v>
      </c>
      <c r="B4954" s="208" t="s">
        <v>4158</v>
      </c>
      <c r="C4954" s="208" t="s">
        <v>146</v>
      </c>
      <c r="D4954" s="211">
        <v>-1000</v>
      </c>
      <c r="E4954" s="212">
        <v>45505</v>
      </c>
      <c r="F4954" s="208" t="s">
        <v>110</v>
      </c>
      <c r="G4954" s="673" t="s">
        <v>774</v>
      </c>
      <c r="H4954" s="208" t="s">
        <v>175</v>
      </c>
      <c r="I4954" s="208" t="s">
        <v>173</v>
      </c>
      <c r="J4954" s="209"/>
      <c r="K4954" s="209"/>
      <c r="L4954" s="209"/>
      <c r="M4954" s="209"/>
      <c r="N4954" s="209"/>
      <c r="O4954" s="209"/>
      <c r="P4954" s="209"/>
      <c r="Q4954" s="209"/>
      <c r="R4954" s="209"/>
      <c r="S4954" s="209"/>
      <c r="T4954" s="209"/>
    </row>
    <row r="4955" spans="1:20" ht="15" hidden="1" customHeight="1">
      <c r="A4955" s="468">
        <v>45503</v>
      </c>
      <c r="B4955" s="208" t="s">
        <v>4159</v>
      </c>
      <c r="C4955" s="208" t="s">
        <v>146</v>
      </c>
      <c r="D4955" s="211">
        <v>-51500</v>
      </c>
      <c r="E4955" s="212">
        <v>45505</v>
      </c>
      <c r="F4955" s="208" t="s">
        <v>110</v>
      </c>
      <c r="G4955" s="673" t="s">
        <v>774</v>
      </c>
      <c r="H4955" s="208" t="s">
        <v>175</v>
      </c>
      <c r="I4955" s="208" t="s">
        <v>173</v>
      </c>
      <c r="J4955" s="209"/>
      <c r="K4955" s="209"/>
      <c r="L4955" s="209"/>
      <c r="M4955" s="209"/>
      <c r="N4955" s="209"/>
      <c r="O4955" s="209"/>
      <c r="P4955" s="209"/>
      <c r="Q4955" s="209"/>
      <c r="R4955" s="209"/>
      <c r="S4955" s="209"/>
      <c r="T4955" s="209"/>
    </row>
    <row r="4956" spans="1:20" ht="15" hidden="1" customHeight="1">
      <c r="A4956" s="468">
        <v>45503</v>
      </c>
      <c r="B4956" s="208" t="s">
        <v>4160</v>
      </c>
      <c r="C4956" s="208" t="s">
        <v>146</v>
      </c>
      <c r="D4956" s="211">
        <v>-90960</v>
      </c>
      <c r="E4956" s="212">
        <v>45505</v>
      </c>
      <c r="F4956" s="208" t="s">
        <v>109</v>
      </c>
      <c r="G4956" s="654" t="s">
        <v>2585</v>
      </c>
      <c r="H4956" s="208" t="s">
        <v>175</v>
      </c>
      <c r="I4956" s="208" t="s">
        <v>173</v>
      </c>
      <c r="J4956" s="209"/>
      <c r="K4956" s="209"/>
      <c r="L4956" s="209"/>
      <c r="M4956" s="209"/>
      <c r="N4956" s="209"/>
      <c r="O4956" s="209"/>
      <c r="P4956" s="209"/>
      <c r="Q4956" s="209"/>
      <c r="R4956" s="209"/>
      <c r="S4956" s="209"/>
      <c r="T4956" s="209"/>
    </row>
    <row r="4957" spans="1:20" ht="15" hidden="1" customHeight="1">
      <c r="A4957" s="468">
        <v>45503</v>
      </c>
      <c r="B4957" s="208" t="s">
        <v>4161</v>
      </c>
      <c r="C4957" s="208" t="s">
        <v>146</v>
      </c>
      <c r="D4957" s="211">
        <v>-39899</v>
      </c>
      <c r="E4957" s="212">
        <v>45505</v>
      </c>
      <c r="F4957" s="208" t="s">
        <v>207</v>
      </c>
      <c r="G4957" s="208" t="s">
        <v>492</v>
      </c>
      <c r="H4957" s="208" t="s">
        <v>175</v>
      </c>
      <c r="I4957" s="208" t="s">
        <v>173</v>
      </c>
      <c r="J4957" s="209"/>
      <c r="K4957" s="209"/>
      <c r="L4957" s="209"/>
      <c r="M4957" s="209"/>
      <c r="N4957" s="209"/>
      <c r="O4957" s="209"/>
      <c r="P4957" s="209"/>
      <c r="Q4957" s="209"/>
      <c r="R4957" s="209"/>
      <c r="S4957" s="209"/>
      <c r="T4957" s="209"/>
    </row>
    <row r="4958" spans="1:20" ht="15" hidden="1" customHeight="1">
      <c r="A4958" s="468">
        <v>45504</v>
      </c>
      <c r="B4958" s="208" t="s">
        <v>4162</v>
      </c>
      <c r="C4958" s="208" t="s">
        <v>146</v>
      </c>
      <c r="D4958" s="211">
        <v>-9500</v>
      </c>
      <c r="E4958" s="212">
        <v>45505</v>
      </c>
      <c r="F4958" s="208" t="s">
        <v>109</v>
      </c>
      <c r="G4958" s="208" t="s">
        <v>3529</v>
      </c>
      <c r="H4958" s="208" t="s">
        <v>175</v>
      </c>
      <c r="I4958" s="208" t="s">
        <v>173</v>
      </c>
      <c r="J4958" s="209"/>
      <c r="K4958" s="209"/>
      <c r="L4958" s="209"/>
      <c r="M4958" s="209"/>
      <c r="N4958" s="209"/>
      <c r="O4958" s="209"/>
      <c r="P4958" s="209"/>
      <c r="Q4958" s="209"/>
      <c r="R4958" s="209"/>
      <c r="S4958" s="209"/>
      <c r="T4958" s="209"/>
    </row>
    <row r="4959" spans="1:20" ht="15" hidden="1" customHeight="1">
      <c r="A4959" s="468">
        <v>45504</v>
      </c>
      <c r="B4959" s="208" t="s">
        <v>4163</v>
      </c>
      <c r="C4959" s="208" t="s">
        <v>146</v>
      </c>
      <c r="D4959" s="211">
        <v>-56724</v>
      </c>
      <c r="E4959" s="212">
        <v>45505</v>
      </c>
      <c r="F4959" s="208" t="s">
        <v>109</v>
      </c>
      <c r="G4959" s="654" t="s">
        <v>2585</v>
      </c>
      <c r="H4959" s="208" t="s">
        <v>175</v>
      </c>
      <c r="I4959" s="208" t="s">
        <v>173</v>
      </c>
      <c r="J4959" s="209"/>
      <c r="K4959" s="209"/>
      <c r="L4959" s="209"/>
      <c r="M4959" s="209"/>
      <c r="N4959" s="209"/>
      <c r="O4959" s="209"/>
      <c r="P4959" s="209"/>
      <c r="Q4959" s="209"/>
      <c r="R4959" s="209"/>
      <c r="S4959" s="209"/>
      <c r="T4959" s="209"/>
    </row>
    <row r="4960" spans="1:20" ht="15" hidden="1" customHeight="1">
      <c r="A4960" s="468">
        <v>45504</v>
      </c>
      <c r="B4960" s="208" t="s">
        <v>4164</v>
      </c>
      <c r="C4960" s="208" t="s">
        <v>146</v>
      </c>
      <c r="D4960" s="211">
        <v>-75999</v>
      </c>
      <c r="E4960" s="212">
        <v>45505</v>
      </c>
      <c r="F4960" s="208" t="s">
        <v>109</v>
      </c>
      <c r="G4960" s="208" t="s">
        <v>125</v>
      </c>
      <c r="H4960" s="208" t="s">
        <v>175</v>
      </c>
      <c r="I4960" s="475" t="s">
        <v>3475</v>
      </c>
      <c r="J4960" s="209"/>
      <c r="K4960" s="209"/>
      <c r="L4960" s="209"/>
      <c r="M4960" s="209"/>
      <c r="N4960" s="209"/>
      <c r="O4960" s="209"/>
      <c r="P4960" s="209"/>
      <c r="Q4960" s="209"/>
      <c r="R4960" s="209"/>
      <c r="S4960" s="209"/>
      <c r="T4960" s="209"/>
    </row>
    <row r="4961" spans="1:20" ht="15" hidden="1" customHeight="1">
      <c r="A4961" s="468">
        <v>45504</v>
      </c>
      <c r="B4961" s="208" t="s">
        <v>4165</v>
      </c>
      <c r="C4961" s="208" t="s">
        <v>146</v>
      </c>
      <c r="D4961" s="211">
        <v>-22500</v>
      </c>
      <c r="E4961" s="212">
        <v>45505</v>
      </c>
      <c r="F4961" s="208" t="s">
        <v>110</v>
      </c>
      <c r="G4961" s="658" t="s">
        <v>3245</v>
      </c>
      <c r="H4961" s="208" t="s">
        <v>416</v>
      </c>
      <c r="I4961" s="208" t="s">
        <v>173</v>
      </c>
      <c r="J4961" s="209"/>
      <c r="K4961" s="209"/>
      <c r="L4961" s="209"/>
      <c r="M4961" s="209"/>
      <c r="N4961" s="209"/>
      <c r="O4961" s="209"/>
      <c r="P4961" s="209"/>
      <c r="Q4961" s="209"/>
      <c r="R4961" s="209"/>
      <c r="S4961" s="209"/>
      <c r="T4961" s="209"/>
    </row>
    <row r="4962" spans="1:20" ht="15" hidden="1" customHeight="1">
      <c r="A4962" s="468">
        <v>45507</v>
      </c>
      <c r="B4962" s="208" t="s">
        <v>4166</v>
      </c>
      <c r="C4962" s="208" t="s">
        <v>146</v>
      </c>
      <c r="D4962" s="211">
        <v>-58000</v>
      </c>
      <c r="E4962" s="212">
        <v>45505</v>
      </c>
      <c r="F4962" s="208" t="s">
        <v>130</v>
      </c>
      <c r="G4962" s="208" t="s">
        <v>130</v>
      </c>
      <c r="H4962" s="208" t="s">
        <v>138</v>
      </c>
      <c r="I4962" s="208"/>
      <c r="J4962" s="209"/>
      <c r="K4962" s="209"/>
      <c r="L4962" s="209"/>
      <c r="M4962" s="209"/>
      <c r="N4962" s="209"/>
      <c r="O4962" s="209"/>
      <c r="P4962" s="209"/>
      <c r="Q4962" s="209"/>
      <c r="R4962" s="209"/>
      <c r="S4962" s="209"/>
      <c r="T4962" s="209"/>
    </row>
    <row r="4963" spans="1:20" ht="15" hidden="1" customHeight="1">
      <c r="A4963" s="468">
        <v>45506</v>
      </c>
      <c r="B4963" s="208" t="s">
        <v>4167</v>
      </c>
      <c r="C4963" s="208" t="s">
        <v>146</v>
      </c>
      <c r="D4963" s="211">
        <v>-24100</v>
      </c>
      <c r="E4963" s="212">
        <v>45505</v>
      </c>
      <c r="F4963" s="208" t="s">
        <v>130</v>
      </c>
      <c r="G4963" s="208" t="s">
        <v>130</v>
      </c>
      <c r="H4963" s="208" t="s">
        <v>138</v>
      </c>
      <c r="I4963" s="208"/>
      <c r="J4963" s="209"/>
      <c r="K4963" s="209"/>
      <c r="L4963" s="209"/>
      <c r="M4963" s="209"/>
      <c r="N4963" s="209"/>
      <c r="O4963" s="209"/>
      <c r="P4963" s="209"/>
      <c r="Q4963" s="209"/>
      <c r="R4963" s="209"/>
      <c r="S4963" s="209"/>
      <c r="T4963" s="209"/>
    </row>
    <row r="4964" spans="1:20" ht="15" hidden="1" customHeight="1">
      <c r="A4964" s="468">
        <v>45506</v>
      </c>
      <c r="B4964" s="208" t="s">
        <v>4168</v>
      </c>
      <c r="C4964" s="208" t="s">
        <v>146</v>
      </c>
      <c r="D4964" s="211">
        <v>-173000</v>
      </c>
      <c r="E4964" s="212">
        <v>45505</v>
      </c>
      <c r="F4964" s="208" t="s">
        <v>130</v>
      </c>
      <c r="G4964" s="208" t="s">
        <v>130</v>
      </c>
      <c r="H4964" s="208" t="s">
        <v>138</v>
      </c>
      <c r="I4964" s="208"/>
      <c r="J4964" s="209"/>
      <c r="K4964" s="209"/>
      <c r="L4964" s="209"/>
      <c r="M4964" s="209"/>
      <c r="N4964" s="209"/>
      <c r="O4964" s="209"/>
      <c r="P4964" s="209"/>
      <c r="Q4964" s="209"/>
      <c r="R4964" s="209"/>
      <c r="S4964" s="209"/>
      <c r="T4964" s="209"/>
    </row>
    <row r="4965" spans="1:20" ht="15" hidden="1" customHeight="1">
      <c r="A4965" s="468">
        <v>45505</v>
      </c>
      <c r="B4965" s="208" t="s">
        <v>4169</v>
      </c>
      <c r="C4965" s="208" t="s">
        <v>146</v>
      </c>
      <c r="D4965" s="211">
        <v>-12000</v>
      </c>
      <c r="E4965" s="212">
        <v>45505</v>
      </c>
      <c r="F4965" s="208" t="s">
        <v>109</v>
      </c>
      <c r="G4965" s="201" t="s">
        <v>1306</v>
      </c>
      <c r="H4965" s="208" t="s">
        <v>175</v>
      </c>
      <c r="I4965" s="475" t="s">
        <v>3475</v>
      </c>
      <c r="J4965" s="209"/>
      <c r="K4965" s="209"/>
      <c r="L4965" s="209"/>
      <c r="M4965" s="209"/>
      <c r="N4965" s="209"/>
      <c r="O4965" s="209"/>
      <c r="P4965" s="209"/>
      <c r="Q4965" s="209"/>
      <c r="R4965" s="209"/>
      <c r="S4965" s="209"/>
      <c r="T4965" s="209"/>
    </row>
    <row r="4966" spans="1:20" ht="15" hidden="1" customHeight="1">
      <c r="A4966" s="468">
        <v>45505</v>
      </c>
      <c r="B4966" s="208" t="s">
        <v>4170</v>
      </c>
      <c r="C4966" s="208" t="s">
        <v>146</v>
      </c>
      <c r="D4966" s="211">
        <v>-7000</v>
      </c>
      <c r="E4966" s="212">
        <v>45505</v>
      </c>
      <c r="F4966" s="208" t="s">
        <v>110</v>
      </c>
      <c r="G4966" s="208" t="s">
        <v>774</v>
      </c>
      <c r="H4966" s="208" t="s">
        <v>175</v>
      </c>
      <c r="I4966" s="208" t="s">
        <v>173</v>
      </c>
      <c r="J4966" s="209"/>
      <c r="K4966" s="209"/>
      <c r="L4966" s="209"/>
      <c r="M4966" s="209"/>
      <c r="N4966" s="209"/>
      <c r="O4966" s="209"/>
      <c r="P4966" s="209"/>
      <c r="Q4966" s="209"/>
      <c r="R4966" s="209"/>
      <c r="S4966" s="209"/>
      <c r="T4966" s="209"/>
    </row>
    <row r="4967" spans="1:20" ht="15" hidden="1" customHeight="1">
      <c r="A4967" s="468">
        <v>45505</v>
      </c>
      <c r="B4967" s="208" t="s">
        <v>4171</v>
      </c>
      <c r="C4967" s="208" t="s">
        <v>146</v>
      </c>
      <c r="D4967" s="211">
        <v>-25000</v>
      </c>
      <c r="E4967" s="212">
        <v>45505</v>
      </c>
      <c r="F4967" s="208" t="s">
        <v>109</v>
      </c>
      <c r="G4967" s="654" t="s">
        <v>2585</v>
      </c>
      <c r="H4967" s="208" t="s">
        <v>175</v>
      </c>
      <c r="I4967" s="208" t="s">
        <v>173</v>
      </c>
      <c r="J4967" s="209"/>
      <c r="K4967" s="209"/>
      <c r="L4967" s="209"/>
      <c r="M4967" s="209"/>
      <c r="N4967" s="209"/>
      <c r="O4967" s="209"/>
      <c r="P4967" s="209"/>
      <c r="Q4967" s="209"/>
      <c r="R4967" s="209"/>
      <c r="S4967" s="209"/>
      <c r="T4967" s="209"/>
    </row>
    <row r="4968" spans="1:20" ht="15" hidden="1" customHeight="1">
      <c r="A4968" s="468">
        <v>45505</v>
      </c>
      <c r="B4968" s="208" t="s">
        <v>4172</v>
      </c>
      <c r="C4968" s="208" t="s">
        <v>146</v>
      </c>
      <c r="D4968" s="211">
        <v>-25000</v>
      </c>
      <c r="E4968" s="212">
        <v>45505</v>
      </c>
      <c r="F4968" s="208" t="s">
        <v>109</v>
      </c>
      <c r="G4968" s="654" t="s">
        <v>2585</v>
      </c>
      <c r="H4968" s="208" t="s">
        <v>175</v>
      </c>
      <c r="I4968" s="208" t="s">
        <v>173</v>
      </c>
      <c r="J4968" s="209"/>
      <c r="K4968" s="209"/>
      <c r="L4968" s="209"/>
      <c r="M4968" s="209"/>
      <c r="N4968" s="209"/>
      <c r="O4968" s="209"/>
      <c r="P4968" s="209"/>
      <c r="Q4968" s="209"/>
      <c r="R4968" s="209"/>
      <c r="S4968" s="209"/>
      <c r="T4968" s="209"/>
    </row>
    <row r="4969" spans="1:20" ht="15" hidden="1" customHeight="1">
      <c r="A4969" s="468">
        <v>45505</v>
      </c>
      <c r="B4969" s="208" t="s">
        <v>4173</v>
      </c>
      <c r="C4969" s="208" t="s">
        <v>146</v>
      </c>
      <c r="D4969" s="211">
        <v>-20000</v>
      </c>
      <c r="E4969" s="212">
        <v>45505</v>
      </c>
      <c r="F4969" s="208" t="s">
        <v>110</v>
      </c>
      <c r="G4969" s="208" t="s">
        <v>774</v>
      </c>
      <c r="H4969" s="208" t="s">
        <v>175</v>
      </c>
      <c r="I4969" s="208" t="s">
        <v>173</v>
      </c>
      <c r="J4969" s="209"/>
      <c r="K4969" s="209"/>
      <c r="L4969" s="209"/>
      <c r="M4969" s="209"/>
      <c r="N4969" s="209"/>
      <c r="O4969" s="209"/>
      <c r="P4969" s="209"/>
      <c r="Q4969" s="209"/>
      <c r="R4969" s="209"/>
      <c r="S4969" s="209"/>
      <c r="T4969" s="209"/>
    </row>
    <row r="4970" spans="1:20" ht="15" hidden="1" customHeight="1">
      <c r="A4970" s="468">
        <v>45505</v>
      </c>
      <c r="B4970" s="208" t="s">
        <v>4174</v>
      </c>
      <c r="C4970" s="208" t="s">
        <v>146</v>
      </c>
      <c r="D4970" s="211">
        <v>-20000</v>
      </c>
      <c r="E4970" s="212">
        <v>45505</v>
      </c>
      <c r="F4970" s="208" t="s">
        <v>207</v>
      </c>
      <c r="G4970" s="208" t="s">
        <v>207</v>
      </c>
      <c r="H4970" s="208" t="s">
        <v>175</v>
      </c>
      <c r="I4970" s="208" t="s">
        <v>173</v>
      </c>
      <c r="J4970" s="209"/>
      <c r="K4970" s="209"/>
      <c r="L4970" s="209"/>
      <c r="M4970" s="209"/>
      <c r="N4970" s="209"/>
      <c r="O4970" s="209"/>
      <c r="P4970" s="209"/>
      <c r="Q4970" s="209"/>
      <c r="R4970" s="209"/>
      <c r="S4970" s="209"/>
      <c r="T4970" s="209"/>
    </row>
    <row r="4971" spans="1:20" ht="15" hidden="1" customHeight="1">
      <c r="A4971" s="468">
        <v>45505</v>
      </c>
      <c r="B4971" s="208" t="s">
        <v>4175</v>
      </c>
      <c r="C4971" s="208" t="s">
        <v>146</v>
      </c>
      <c r="D4971" s="211">
        <v>-15000</v>
      </c>
      <c r="E4971" s="212">
        <v>45505</v>
      </c>
      <c r="F4971" s="208" t="s">
        <v>109</v>
      </c>
      <c r="G4971" s="654" t="s">
        <v>2585</v>
      </c>
      <c r="H4971" s="208" t="s">
        <v>175</v>
      </c>
      <c r="I4971" s="208" t="s">
        <v>173</v>
      </c>
      <c r="J4971" s="209"/>
      <c r="K4971" s="209"/>
      <c r="L4971" s="209"/>
      <c r="M4971" s="209"/>
      <c r="N4971" s="209"/>
      <c r="O4971" s="209"/>
      <c r="P4971" s="209"/>
      <c r="Q4971" s="209"/>
      <c r="R4971" s="209"/>
      <c r="S4971" s="209"/>
      <c r="T4971" s="209"/>
    </row>
    <row r="4972" spans="1:20" ht="15" hidden="1" customHeight="1">
      <c r="A4972" s="468">
        <v>45505</v>
      </c>
      <c r="B4972" s="208" t="s">
        <v>4176</v>
      </c>
      <c r="C4972" s="208" t="s">
        <v>146</v>
      </c>
      <c r="D4972" s="211">
        <v>-77000</v>
      </c>
      <c r="E4972" s="212">
        <v>45505</v>
      </c>
      <c r="F4972" s="208" t="s">
        <v>110</v>
      </c>
      <c r="G4972" s="208" t="s">
        <v>774</v>
      </c>
      <c r="H4972" s="208" t="s">
        <v>175</v>
      </c>
      <c r="I4972" s="208" t="s">
        <v>173</v>
      </c>
      <c r="J4972" s="209"/>
      <c r="K4972" s="209"/>
      <c r="L4972" s="209"/>
      <c r="M4972" s="209"/>
      <c r="N4972" s="209"/>
      <c r="O4972" s="209"/>
      <c r="P4972" s="209"/>
      <c r="Q4972" s="209"/>
      <c r="R4972" s="209"/>
      <c r="S4972" s="209"/>
      <c r="T4972" s="209"/>
    </row>
    <row r="4973" spans="1:20" ht="15" hidden="1" customHeight="1">
      <c r="A4973" s="468">
        <v>45505</v>
      </c>
      <c r="B4973" s="208" t="s">
        <v>4177</v>
      </c>
      <c r="C4973" s="208" t="s">
        <v>146</v>
      </c>
      <c r="D4973" s="211">
        <v>-40499</v>
      </c>
      <c r="E4973" s="212">
        <v>45505</v>
      </c>
      <c r="F4973" s="208" t="s">
        <v>110</v>
      </c>
      <c r="G4973" s="208" t="s">
        <v>774</v>
      </c>
      <c r="H4973" s="208" t="s">
        <v>175</v>
      </c>
      <c r="I4973" s="208" t="s">
        <v>173</v>
      </c>
      <c r="J4973" s="209"/>
      <c r="K4973" s="209"/>
      <c r="L4973" s="209"/>
      <c r="M4973" s="209"/>
      <c r="N4973" s="209"/>
      <c r="O4973" s="209"/>
      <c r="P4973" s="209"/>
      <c r="Q4973" s="209"/>
      <c r="R4973" s="209"/>
      <c r="S4973" s="209"/>
      <c r="T4973" s="209"/>
    </row>
    <row r="4974" spans="1:20" ht="15" hidden="1" customHeight="1">
      <c r="A4974" s="468">
        <v>45505</v>
      </c>
      <c r="B4974" s="208" t="s">
        <v>4178</v>
      </c>
      <c r="C4974" s="208" t="s">
        <v>146</v>
      </c>
      <c r="D4974" s="211">
        <v>-4599</v>
      </c>
      <c r="E4974" s="212">
        <v>45505</v>
      </c>
      <c r="F4974" s="208" t="s">
        <v>110</v>
      </c>
      <c r="G4974" s="208" t="s">
        <v>774</v>
      </c>
      <c r="H4974" s="208" t="s">
        <v>175</v>
      </c>
      <c r="I4974" s="208" t="s">
        <v>173</v>
      </c>
      <c r="J4974" s="209"/>
      <c r="K4974" s="209"/>
      <c r="L4974" s="209"/>
      <c r="M4974" s="209"/>
      <c r="N4974" s="209"/>
      <c r="O4974" s="209"/>
      <c r="P4974" s="209"/>
      <c r="Q4974" s="209"/>
      <c r="R4974" s="209"/>
      <c r="S4974" s="209"/>
      <c r="T4974" s="209"/>
    </row>
    <row r="4975" spans="1:20" ht="15" hidden="1" customHeight="1">
      <c r="A4975" s="468">
        <v>45507</v>
      </c>
      <c r="B4975" s="208" t="s">
        <v>4179</v>
      </c>
      <c r="C4975" s="208" t="s">
        <v>146</v>
      </c>
      <c r="D4975" s="211">
        <v>-24500</v>
      </c>
      <c r="E4975" s="212">
        <v>45505</v>
      </c>
      <c r="F4975" s="208" t="s">
        <v>110</v>
      </c>
      <c r="G4975" s="658" t="s">
        <v>3245</v>
      </c>
      <c r="H4975" s="208" t="s">
        <v>416</v>
      </c>
      <c r="I4975" s="208" t="s">
        <v>173</v>
      </c>
      <c r="J4975" s="209"/>
      <c r="K4975" s="209"/>
      <c r="L4975" s="209"/>
      <c r="M4975" s="209"/>
      <c r="N4975" s="209"/>
      <c r="O4975" s="209"/>
      <c r="P4975" s="209"/>
      <c r="Q4975" s="209"/>
      <c r="R4975" s="209"/>
      <c r="S4975" s="209"/>
      <c r="T4975" s="209"/>
    </row>
    <row r="4976" spans="1:20" ht="15" hidden="1" customHeight="1">
      <c r="A4976" s="468">
        <v>45505</v>
      </c>
      <c r="B4976" s="208" t="s">
        <v>4180</v>
      </c>
      <c r="C4976" s="208" t="s">
        <v>146</v>
      </c>
      <c r="D4976" s="211">
        <v>-16000</v>
      </c>
      <c r="E4976" s="212">
        <v>45505</v>
      </c>
      <c r="F4976" s="208" t="s">
        <v>207</v>
      </c>
      <c r="G4976" s="208" t="s">
        <v>207</v>
      </c>
      <c r="H4976" s="208" t="s">
        <v>147</v>
      </c>
      <c r="I4976" s="208"/>
      <c r="J4976" s="209"/>
      <c r="K4976" s="209"/>
      <c r="L4976" s="209"/>
      <c r="M4976" s="209"/>
      <c r="N4976" s="209"/>
      <c r="O4976" s="209"/>
      <c r="P4976" s="209"/>
      <c r="Q4976" s="209"/>
      <c r="R4976" s="209"/>
      <c r="S4976" s="209"/>
      <c r="T4976" s="209"/>
    </row>
    <row r="4977" spans="1:20" ht="15" hidden="1" customHeight="1">
      <c r="A4977" s="468">
        <v>45505</v>
      </c>
      <c r="B4977" s="208" t="s">
        <v>4181</v>
      </c>
      <c r="C4977" s="208" t="s">
        <v>146</v>
      </c>
      <c r="D4977" s="211">
        <v>-12000</v>
      </c>
      <c r="E4977" s="212">
        <v>45505</v>
      </c>
      <c r="F4977" s="208" t="s">
        <v>109</v>
      </c>
      <c r="G4977" s="654" t="s">
        <v>2585</v>
      </c>
      <c r="H4977" s="208" t="s">
        <v>138</v>
      </c>
      <c r="I4977" s="208"/>
      <c r="J4977" s="209"/>
      <c r="K4977" s="209"/>
      <c r="L4977" s="209"/>
      <c r="M4977" s="209"/>
      <c r="N4977" s="209"/>
      <c r="O4977" s="209"/>
      <c r="P4977" s="209"/>
      <c r="Q4977" s="209"/>
      <c r="R4977" s="209"/>
      <c r="S4977" s="209"/>
      <c r="T4977" s="209"/>
    </row>
    <row r="4978" spans="1:20" ht="15" hidden="1" customHeight="1">
      <c r="A4978" s="468">
        <v>45505</v>
      </c>
      <c r="B4978" s="208" t="s">
        <v>4182</v>
      </c>
      <c r="C4978" s="208" t="s">
        <v>146</v>
      </c>
      <c r="D4978" s="211">
        <v>-12000</v>
      </c>
      <c r="E4978" s="212">
        <v>45505</v>
      </c>
      <c r="F4978" s="208" t="s">
        <v>109</v>
      </c>
      <c r="G4978" s="654" t="s">
        <v>2585</v>
      </c>
      <c r="H4978" s="208" t="s">
        <v>138</v>
      </c>
      <c r="I4978" s="208"/>
      <c r="J4978" s="209"/>
      <c r="K4978" s="209"/>
      <c r="L4978" s="209"/>
      <c r="M4978" s="209"/>
      <c r="N4978" s="209"/>
      <c r="O4978" s="209"/>
      <c r="P4978" s="209"/>
      <c r="Q4978" s="209"/>
      <c r="R4978" s="209"/>
      <c r="S4978" s="209"/>
      <c r="T4978" s="209"/>
    </row>
    <row r="4979" spans="1:20" ht="15" hidden="1" customHeight="1">
      <c r="A4979" s="468">
        <v>45505</v>
      </c>
      <c r="B4979" s="208" t="s">
        <v>1913</v>
      </c>
      <c r="C4979" s="208" t="s">
        <v>146</v>
      </c>
      <c r="D4979" s="211">
        <v>-6000</v>
      </c>
      <c r="E4979" s="212">
        <v>45505</v>
      </c>
      <c r="F4979" s="208" t="s">
        <v>207</v>
      </c>
      <c r="G4979" s="208" t="s">
        <v>492</v>
      </c>
      <c r="H4979" s="208" t="s">
        <v>138</v>
      </c>
      <c r="I4979" s="208"/>
      <c r="J4979" s="209"/>
      <c r="K4979" s="209"/>
      <c r="L4979" s="209"/>
      <c r="M4979" s="209"/>
      <c r="N4979" s="209"/>
      <c r="O4979" s="209"/>
      <c r="P4979" s="209"/>
      <c r="Q4979" s="209"/>
      <c r="R4979" s="209"/>
      <c r="S4979" s="209"/>
      <c r="T4979" s="209"/>
    </row>
    <row r="4980" spans="1:20" ht="15" hidden="1" customHeight="1">
      <c r="A4980" s="468">
        <v>45505</v>
      </c>
      <c r="B4980" s="208" t="s">
        <v>1913</v>
      </c>
      <c r="C4980" s="208" t="s">
        <v>146</v>
      </c>
      <c r="D4980" s="211">
        <v>-12000</v>
      </c>
      <c r="E4980" s="212">
        <v>45505</v>
      </c>
      <c r="F4980" s="208" t="s">
        <v>109</v>
      </c>
      <c r="G4980" s="654" t="s">
        <v>2585</v>
      </c>
      <c r="H4980" s="208" t="s">
        <v>138</v>
      </c>
      <c r="I4980" s="208"/>
      <c r="J4980" s="209"/>
      <c r="K4980" s="209"/>
      <c r="L4980" s="209"/>
      <c r="M4980" s="209"/>
      <c r="N4980" s="209"/>
      <c r="O4980" s="209"/>
      <c r="P4980" s="209"/>
      <c r="Q4980" s="209"/>
      <c r="R4980" s="209"/>
      <c r="S4980" s="209"/>
      <c r="T4980" s="209"/>
    </row>
    <row r="4981" spans="1:20" ht="15" hidden="1" customHeight="1">
      <c r="A4981" s="468">
        <v>45505</v>
      </c>
      <c r="B4981" s="208" t="s">
        <v>1913</v>
      </c>
      <c r="C4981" s="208" t="s">
        <v>146</v>
      </c>
      <c r="D4981" s="211">
        <v>-12000</v>
      </c>
      <c r="E4981" s="212">
        <v>45505</v>
      </c>
      <c r="F4981" s="208" t="s">
        <v>110</v>
      </c>
      <c r="G4981" s="208" t="s">
        <v>774</v>
      </c>
      <c r="H4981" s="208" t="s">
        <v>138</v>
      </c>
      <c r="I4981" s="475" t="s">
        <v>3475</v>
      </c>
      <c r="J4981" s="209"/>
      <c r="K4981" s="209"/>
      <c r="L4981" s="209"/>
      <c r="M4981" s="209"/>
      <c r="N4981" s="209"/>
      <c r="O4981" s="209"/>
      <c r="P4981" s="209"/>
      <c r="Q4981" s="209"/>
      <c r="R4981" s="209"/>
      <c r="S4981" s="209"/>
      <c r="T4981" s="209"/>
    </row>
    <row r="4982" spans="1:20" s="451" customFormat="1" ht="15" hidden="1" customHeight="1">
      <c r="A4982" s="468">
        <v>45510</v>
      </c>
      <c r="B4982" s="208" t="s">
        <v>4183</v>
      </c>
      <c r="C4982" s="208" t="s">
        <v>27</v>
      </c>
      <c r="D4982" s="718">
        <v>-3890000</v>
      </c>
      <c r="E4982" s="212">
        <v>45505</v>
      </c>
      <c r="F4982" s="208" t="s">
        <v>109</v>
      </c>
      <c r="G4982" s="201" t="s">
        <v>581</v>
      </c>
      <c r="H4982" s="208" t="s">
        <v>138</v>
      </c>
      <c r="I4982" s="208"/>
      <c r="J4982" s="209"/>
      <c r="K4982" s="209"/>
      <c r="L4982" s="209"/>
      <c r="M4982" s="209"/>
      <c r="N4982" s="209"/>
      <c r="O4982" s="209"/>
      <c r="P4982" s="209"/>
      <c r="Q4982" s="209"/>
      <c r="R4982" s="209"/>
      <c r="S4982" s="209"/>
      <c r="T4982" s="209"/>
    </row>
    <row r="4983" spans="1:20" ht="15" hidden="1" customHeight="1">
      <c r="A4983" s="468">
        <v>45510</v>
      </c>
      <c r="B4983" s="208" t="s">
        <v>4184</v>
      </c>
      <c r="C4983" s="208" t="s">
        <v>27</v>
      </c>
      <c r="D4983" s="718">
        <v>-3890000</v>
      </c>
      <c r="E4983" s="212">
        <v>45505</v>
      </c>
      <c r="F4983" s="208" t="s">
        <v>109</v>
      </c>
      <c r="G4983" s="601" t="s">
        <v>581</v>
      </c>
      <c r="H4983" s="208" t="s">
        <v>138</v>
      </c>
      <c r="I4983" s="208"/>
      <c r="J4983" s="209"/>
      <c r="K4983" s="209"/>
      <c r="L4983" s="209"/>
      <c r="M4983" s="209"/>
      <c r="N4983" s="209"/>
      <c r="O4983" s="209"/>
      <c r="P4983" s="209"/>
      <c r="Q4983" s="209"/>
      <c r="R4983" s="209"/>
      <c r="S4983" s="209"/>
      <c r="T4983" s="209"/>
    </row>
    <row r="4984" spans="1:20" ht="15" hidden="1" customHeight="1">
      <c r="A4984" s="468">
        <v>45510</v>
      </c>
      <c r="B4984" s="208" t="s">
        <v>4185</v>
      </c>
      <c r="C4984" s="208" t="s">
        <v>27</v>
      </c>
      <c r="D4984" s="718">
        <v>-646100</v>
      </c>
      <c r="E4984" s="212">
        <v>45505</v>
      </c>
      <c r="F4984" s="208" t="s">
        <v>109</v>
      </c>
      <c r="G4984" s="201" t="s">
        <v>581</v>
      </c>
      <c r="H4984" s="208" t="s">
        <v>147</v>
      </c>
      <c r="I4984" s="208"/>
      <c r="J4984" s="209"/>
      <c r="K4984" s="209"/>
      <c r="L4984" s="209"/>
      <c r="M4984" s="209"/>
      <c r="N4984" s="209"/>
      <c r="O4984" s="209"/>
      <c r="P4984" s="209"/>
      <c r="Q4984" s="209"/>
      <c r="R4984" s="209"/>
      <c r="S4984" s="209"/>
      <c r="T4984" s="209"/>
    </row>
    <row r="4985" spans="1:20" ht="15" hidden="1" customHeight="1">
      <c r="A4985" s="468">
        <v>45510</v>
      </c>
      <c r="B4985" s="208" t="s">
        <v>3926</v>
      </c>
      <c r="C4985" s="208" t="s">
        <v>27</v>
      </c>
      <c r="D4985" s="211">
        <v>-374200</v>
      </c>
      <c r="E4985" s="212">
        <v>45505</v>
      </c>
      <c r="F4985" s="208" t="s">
        <v>109</v>
      </c>
      <c r="G4985" s="654" t="s">
        <v>2585</v>
      </c>
      <c r="H4985" s="208" t="s">
        <v>175</v>
      </c>
      <c r="I4985" s="208"/>
      <c r="J4985" s="209"/>
      <c r="K4985" s="209"/>
      <c r="L4985" s="209"/>
      <c r="M4985" s="209"/>
      <c r="N4985" s="209"/>
      <c r="O4985" s="209"/>
      <c r="P4985" s="209"/>
      <c r="Q4985" s="209"/>
      <c r="R4985" s="209"/>
      <c r="S4985" s="209"/>
      <c r="T4985" s="209"/>
    </row>
    <row r="4986" spans="1:20" ht="15" hidden="1" customHeight="1">
      <c r="A4986" s="468">
        <v>45510</v>
      </c>
      <c r="B4986" s="208" t="s">
        <v>2969</v>
      </c>
      <c r="C4986" s="208" t="s">
        <v>27</v>
      </c>
      <c r="D4986" s="211">
        <v>-629202</v>
      </c>
      <c r="E4986" s="212">
        <v>45505</v>
      </c>
      <c r="F4986" s="201" t="s">
        <v>110</v>
      </c>
      <c r="G4986" s="208" t="s">
        <v>122</v>
      </c>
      <c r="H4986" s="208" t="s">
        <v>175</v>
      </c>
      <c r="I4986" s="208"/>
      <c r="J4986" s="209"/>
      <c r="K4986" s="209"/>
      <c r="L4986" s="209"/>
      <c r="M4986" s="209"/>
      <c r="N4986" s="209"/>
      <c r="O4986" s="209"/>
      <c r="P4986" s="209"/>
      <c r="Q4986" s="209"/>
      <c r="R4986" s="209"/>
      <c r="S4986" s="209"/>
      <c r="T4986" s="209"/>
    </row>
    <row r="4987" spans="1:20" ht="15" hidden="1" customHeight="1">
      <c r="A4987" s="468">
        <v>45510</v>
      </c>
      <c r="B4987" s="208" t="s">
        <v>4186</v>
      </c>
      <c r="C4987" s="208" t="s">
        <v>27</v>
      </c>
      <c r="D4987" s="211">
        <v>-650000</v>
      </c>
      <c r="E4987" s="212">
        <v>45505</v>
      </c>
      <c r="F4987" s="208" t="s">
        <v>109</v>
      </c>
      <c r="G4987" s="208" t="s">
        <v>3644</v>
      </c>
      <c r="H4987" s="208" t="s">
        <v>4187</v>
      </c>
      <c r="I4987" s="208"/>
      <c r="J4987" s="209"/>
      <c r="K4987" s="209"/>
      <c r="L4987" s="209"/>
      <c r="M4987" s="209"/>
      <c r="N4987" s="209"/>
      <c r="O4987" s="209"/>
      <c r="P4987" s="209"/>
      <c r="Q4987" s="209"/>
      <c r="R4987" s="209"/>
      <c r="S4987" s="209"/>
      <c r="T4987" s="209"/>
    </row>
    <row r="4988" spans="1:20" ht="15" hidden="1" customHeight="1">
      <c r="A4988" s="468">
        <v>45510</v>
      </c>
      <c r="B4988" s="208" t="s">
        <v>4186</v>
      </c>
      <c r="C4988" s="208" t="s">
        <v>27</v>
      </c>
      <c r="D4988" s="211">
        <v>-1300000</v>
      </c>
      <c r="E4988" s="212">
        <v>45505</v>
      </c>
      <c r="F4988" s="208" t="s">
        <v>109</v>
      </c>
      <c r="G4988" s="208" t="s">
        <v>3644</v>
      </c>
      <c r="H4988" s="208" t="s">
        <v>4187</v>
      </c>
      <c r="I4988" s="208"/>
      <c r="J4988" s="209"/>
      <c r="K4988" s="209"/>
      <c r="L4988" s="209"/>
      <c r="M4988" s="209"/>
      <c r="N4988" s="209"/>
      <c r="O4988" s="209"/>
      <c r="P4988" s="209"/>
      <c r="Q4988" s="209"/>
      <c r="R4988" s="209"/>
      <c r="S4988" s="209"/>
      <c r="T4988" s="209"/>
    </row>
    <row r="4989" spans="1:20" ht="15" hidden="1" customHeight="1">
      <c r="A4989" s="468">
        <v>45510</v>
      </c>
      <c r="B4989" s="208" t="s">
        <v>4186</v>
      </c>
      <c r="C4989" s="208" t="s">
        <v>27</v>
      </c>
      <c r="D4989" s="211">
        <v>-650000</v>
      </c>
      <c r="E4989" s="212">
        <v>45505</v>
      </c>
      <c r="F4989" s="208" t="s">
        <v>109</v>
      </c>
      <c r="G4989" s="208" t="s">
        <v>3644</v>
      </c>
      <c r="H4989" s="208" t="s">
        <v>4187</v>
      </c>
      <c r="I4989" s="208"/>
      <c r="J4989" s="209"/>
      <c r="K4989" s="209"/>
      <c r="L4989" s="209"/>
      <c r="M4989" s="209"/>
      <c r="N4989" s="209"/>
      <c r="O4989" s="209"/>
      <c r="P4989" s="209"/>
      <c r="Q4989" s="209"/>
      <c r="R4989" s="209"/>
      <c r="S4989" s="209"/>
      <c r="T4989" s="209"/>
    </row>
    <row r="4990" spans="1:20" ht="15" hidden="1" customHeight="1">
      <c r="A4990" s="468">
        <v>45510</v>
      </c>
      <c r="B4990" s="208" t="s">
        <v>4186</v>
      </c>
      <c r="C4990" s="208" t="s">
        <v>27</v>
      </c>
      <c r="D4990" s="211">
        <v>-650000</v>
      </c>
      <c r="E4990" s="212">
        <v>45505</v>
      </c>
      <c r="F4990" s="208" t="s">
        <v>109</v>
      </c>
      <c r="G4990" s="208" t="s">
        <v>3644</v>
      </c>
      <c r="H4990" s="208" t="s">
        <v>4187</v>
      </c>
      <c r="I4990" s="208"/>
      <c r="J4990" s="209"/>
      <c r="K4990" s="209"/>
      <c r="L4990" s="209"/>
      <c r="M4990" s="209"/>
      <c r="N4990" s="209"/>
      <c r="O4990" s="209"/>
      <c r="P4990" s="209"/>
      <c r="Q4990" s="209"/>
      <c r="R4990" s="209"/>
      <c r="S4990" s="209"/>
      <c r="T4990" s="209"/>
    </row>
    <row r="4991" spans="1:20" ht="15" hidden="1" customHeight="1">
      <c r="A4991" s="468">
        <v>45510</v>
      </c>
      <c r="B4991" s="208" t="s">
        <v>4188</v>
      </c>
      <c r="C4991" s="208" t="s">
        <v>27</v>
      </c>
      <c r="D4991" s="718">
        <v>-1200000</v>
      </c>
      <c r="E4991" s="212">
        <v>45505</v>
      </c>
      <c r="F4991" s="208" t="s">
        <v>109</v>
      </c>
      <c r="G4991" s="601" t="s">
        <v>581</v>
      </c>
      <c r="H4991" s="208" t="s">
        <v>175</v>
      </c>
      <c r="I4991" s="208"/>
      <c r="J4991" s="209"/>
      <c r="K4991" s="209"/>
      <c r="L4991" s="209"/>
      <c r="M4991" s="209"/>
      <c r="N4991" s="209"/>
      <c r="O4991" s="209"/>
      <c r="P4991" s="209"/>
      <c r="Q4991" s="209"/>
      <c r="R4991" s="209"/>
      <c r="S4991" s="209"/>
      <c r="T4991" s="209"/>
    </row>
    <row r="4992" spans="1:20" ht="15" hidden="1" customHeight="1">
      <c r="A4992" s="468">
        <v>45510</v>
      </c>
      <c r="B4992" s="208" t="s">
        <v>4189</v>
      </c>
      <c r="C4992" s="208" t="s">
        <v>27</v>
      </c>
      <c r="D4992" s="211">
        <v>-864320</v>
      </c>
      <c r="E4992" s="212">
        <v>45505</v>
      </c>
      <c r="F4992" s="201" t="s">
        <v>110</v>
      </c>
      <c r="G4992" s="208" t="s">
        <v>2444</v>
      </c>
      <c r="H4992" s="208"/>
      <c r="I4992" s="208"/>
      <c r="J4992" s="209"/>
      <c r="K4992" s="209"/>
      <c r="L4992" s="209"/>
      <c r="M4992" s="209"/>
      <c r="N4992" s="209"/>
      <c r="O4992" s="209"/>
      <c r="P4992" s="209"/>
      <c r="Q4992" s="209"/>
      <c r="R4992" s="209"/>
      <c r="S4992" s="209"/>
      <c r="T4992" s="209"/>
    </row>
    <row r="4993" spans="1:20" ht="15" hidden="1" customHeight="1">
      <c r="A4993" s="468">
        <v>45509</v>
      </c>
      <c r="B4993" s="208" t="s">
        <v>4190</v>
      </c>
      <c r="C4993" s="208" t="s">
        <v>27</v>
      </c>
      <c r="D4993" s="718">
        <v>-474140</v>
      </c>
      <c r="E4993" s="212">
        <v>45505</v>
      </c>
      <c r="F4993" s="208" t="s">
        <v>109</v>
      </c>
      <c r="G4993" s="201" t="s">
        <v>581</v>
      </c>
      <c r="H4993" s="208" t="s">
        <v>138</v>
      </c>
      <c r="I4993" s="208"/>
      <c r="J4993" s="209"/>
      <c r="K4993" s="209"/>
      <c r="L4993" s="209"/>
      <c r="M4993" s="209"/>
      <c r="N4993" s="209"/>
      <c r="O4993" s="209"/>
      <c r="P4993" s="209"/>
      <c r="Q4993" s="209"/>
      <c r="R4993" s="209"/>
      <c r="S4993" s="209"/>
      <c r="T4993" s="209"/>
    </row>
    <row r="4994" spans="1:20" ht="15" hidden="1" customHeight="1">
      <c r="A4994" s="468">
        <v>45510</v>
      </c>
      <c r="B4994" s="208" t="s">
        <v>4191</v>
      </c>
      <c r="C4994" s="208" t="s">
        <v>27</v>
      </c>
      <c r="D4994" s="718">
        <v>-64846302</v>
      </c>
      <c r="E4994" s="212">
        <v>45505</v>
      </c>
      <c r="F4994" s="208" t="s">
        <v>109</v>
      </c>
      <c r="G4994" s="201" t="s">
        <v>581</v>
      </c>
      <c r="H4994" s="208" t="s">
        <v>175</v>
      </c>
      <c r="I4994" s="208"/>
      <c r="J4994" s="209"/>
      <c r="K4994" s="209"/>
      <c r="L4994" s="209"/>
      <c r="M4994" s="209"/>
      <c r="N4994" s="209"/>
      <c r="O4994" s="209"/>
      <c r="P4994" s="209"/>
      <c r="Q4994" s="209"/>
      <c r="R4994" s="209"/>
      <c r="S4994" s="209"/>
      <c r="T4994" s="209"/>
    </row>
    <row r="4995" spans="1:20" ht="15" hidden="1" customHeight="1">
      <c r="A4995" s="468">
        <v>45510</v>
      </c>
      <c r="B4995" s="208" t="s">
        <v>4191</v>
      </c>
      <c r="C4995" s="208" t="s">
        <v>27</v>
      </c>
      <c r="D4995" s="718">
        <v>-64846301</v>
      </c>
      <c r="E4995" s="212">
        <v>45505</v>
      </c>
      <c r="F4995" s="208" t="s">
        <v>109</v>
      </c>
      <c r="G4995" s="201" t="s">
        <v>583</v>
      </c>
      <c r="H4995" s="208" t="s">
        <v>549</v>
      </c>
      <c r="I4995" s="208"/>
      <c r="J4995" s="209"/>
      <c r="K4995" s="209"/>
      <c r="L4995" s="209"/>
      <c r="M4995" s="209"/>
      <c r="N4995" s="209"/>
      <c r="O4995" s="209"/>
      <c r="P4995" s="209"/>
      <c r="Q4995" s="209"/>
      <c r="R4995" s="209"/>
      <c r="S4995" s="209"/>
      <c r="T4995" s="209"/>
    </row>
    <row r="4996" spans="1:20" ht="15" hidden="1" customHeight="1">
      <c r="A4996" s="468">
        <v>45510</v>
      </c>
      <c r="B4996" s="208" t="s">
        <v>4192</v>
      </c>
      <c r="C4996" s="208" t="s">
        <v>27</v>
      </c>
      <c r="D4996" s="211">
        <v>-434449</v>
      </c>
      <c r="E4996" s="212">
        <v>45505</v>
      </c>
      <c r="F4996" s="208" t="s">
        <v>130</v>
      </c>
      <c r="G4996" s="208" t="s">
        <v>130</v>
      </c>
      <c r="H4996" s="208" t="s">
        <v>852</v>
      </c>
      <c r="I4996" s="208"/>
      <c r="J4996" s="209"/>
      <c r="K4996" s="209"/>
      <c r="L4996" s="209"/>
      <c r="M4996" s="209"/>
      <c r="N4996" s="209"/>
      <c r="O4996" s="209"/>
      <c r="P4996" s="209"/>
      <c r="Q4996" s="209"/>
      <c r="R4996" s="209"/>
      <c r="S4996" s="209"/>
      <c r="T4996" s="209"/>
    </row>
    <row r="4997" spans="1:20" ht="15" hidden="1" customHeight="1">
      <c r="A4997" s="468">
        <v>45510</v>
      </c>
      <c r="B4997" s="208" t="s">
        <v>4193</v>
      </c>
      <c r="C4997" s="208" t="s">
        <v>27</v>
      </c>
      <c r="D4997" s="211">
        <v>-7381000</v>
      </c>
      <c r="E4997" s="212">
        <v>45505</v>
      </c>
      <c r="F4997" s="208" t="s">
        <v>109</v>
      </c>
      <c r="G4997" s="208" t="s">
        <v>3644</v>
      </c>
      <c r="H4997" s="208" t="s">
        <v>4187</v>
      </c>
      <c r="I4997" s="208"/>
      <c r="J4997" s="209"/>
      <c r="K4997" s="209"/>
      <c r="L4997" s="209"/>
      <c r="M4997" s="209"/>
      <c r="N4997" s="209"/>
      <c r="O4997" s="209"/>
      <c r="P4997" s="209"/>
      <c r="Q4997" s="209"/>
      <c r="R4997" s="209"/>
      <c r="S4997" s="209"/>
      <c r="T4997" s="209"/>
    </row>
    <row r="4998" spans="1:20" ht="15" hidden="1" customHeight="1">
      <c r="A4998" s="468">
        <v>45510</v>
      </c>
      <c r="B4998" s="208" t="s">
        <v>4194</v>
      </c>
      <c r="C4998" s="208" t="s">
        <v>27</v>
      </c>
      <c r="D4998" s="211">
        <v>-3999000</v>
      </c>
      <c r="E4998" s="212">
        <v>45505</v>
      </c>
      <c r="F4998" s="208" t="s">
        <v>109</v>
      </c>
      <c r="G4998" s="208" t="s">
        <v>3644</v>
      </c>
      <c r="H4998" s="208" t="s">
        <v>4187</v>
      </c>
      <c r="I4998" s="208"/>
      <c r="J4998" s="209"/>
      <c r="K4998" s="209"/>
      <c r="L4998" s="209"/>
      <c r="M4998" s="209"/>
      <c r="N4998" s="209"/>
      <c r="O4998" s="209"/>
      <c r="P4998" s="209"/>
      <c r="Q4998" s="209"/>
      <c r="R4998" s="209"/>
      <c r="S4998" s="209"/>
      <c r="T4998" s="209"/>
    </row>
    <row r="4999" spans="1:20" ht="15" hidden="1" customHeight="1">
      <c r="A4999" s="468">
        <v>45510</v>
      </c>
      <c r="B4999" s="208" t="s">
        <v>4195</v>
      </c>
      <c r="C4999" s="208" t="s">
        <v>133</v>
      </c>
      <c r="D4999" s="211">
        <v>-330000</v>
      </c>
      <c r="E4999" s="212">
        <v>45505</v>
      </c>
      <c r="F4999" s="208" t="s">
        <v>4132</v>
      </c>
      <c r="G4999" s="208"/>
      <c r="H4999" s="208"/>
      <c r="I4999" s="208"/>
      <c r="J4999" s="209"/>
      <c r="K4999" s="209"/>
      <c r="L4999" s="209"/>
      <c r="M4999" s="209"/>
      <c r="N4999" s="209"/>
      <c r="O4999" s="209"/>
      <c r="P4999" s="209"/>
      <c r="Q4999" s="209"/>
      <c r="R4999" s="209"/>
      <c r="S4999" s="209"/>
      <c r="T4999" s="209"/>
    </row>
    <row r="5000" spans="1:20" ht="15" hidden="1" customHeight="1">
      <c r="A5000" s="468">
        <v>45510</v>
      </c>
      <c r="B5000" s="208" t="s">
        <v>2778</v>
      </c>
      <c r="C5000" s="208" t="s">
        <v>27</v>
      </c>
      <c r="D5000" s="718">
        <v>-8437813</v>
      </c>
      <c r="E5000" s="212">
        <v>45505</v>
      </c>
      <c r="F5000" s="208" t="s">
        <v>109</v>
      </c>
      <c r="G5000" s="201" t="s">
        <v>581</v>
      </c>
      <c r="H5000" s="208"/>
      <c r="I5000" s="208"/>
      <c r="J5000" s="209"/>
      <c r="K5000" s="209"/>
      <c r="L5000" s="209"/>
      <c r="M5000" s="209"/>
      <c r="N5000" s="209"/>
      <c r="O5000" s="209"/>
      <c r="P5000" s="209"/>
      <c r="Q5000" s="209"/>
      <c r="R5000" s="209"/>
      <c r="S5000" s="209"/>
      <c r="T5000" s="209"/>
    </row>
    <row r="5001" spans="1:20" ht="15" hidden="1" customHeight="1">
      <c r="A5001" s="468">
        <v>45510</v>
      </c>
      <c r="B5001" s="208" t="s">
        <v>4196</v>
      </c>
      <c r="C5001" s="208" t="s">
        <v>27</v>
      </c>
      <c r="D5001" s="211">
        <v>-160021</v>
      </c>
      <c r="E5001" s="212">
        <v>45505</v>
      </c>
      <c r="F5001" s="201" t="s">
        <v>110</v>
      </c>
      <c r="G5001" s="208" t="s">
        <v>122</v>
      </c>
      <c r="H5001" s="208" t="s">
        <v>585</v>
      </c>
      <c r="I5001" s="475" t="s">
        <v>3475</v>
      </c>
      <c r="J5001" s="209"/>
      <c r="K5001" s="209"/>
      <c r="L5001" s="209"/>
      <c r="M5001" s="209"/>
      <c r="N5001" s="209"/>
      <c r="O5001" s="209"/>
      <c r="P5001" s="209"/>
      <c r="Q5001" s="209"/>
      <c r="R5001" s="209"/>
      <c r="S5001" s="209"/>
      <c r="T5001" s="209"/>
    </row>
    <row r="5002" spans="1:20" ht="15" hidden="1" customHeight="1">
      <c r="A5002" s="468">
        <v>45510</v>
      </c>
      <c r="B5002" s="208" t="s">
        <v>4197</v>
      </c>
      <c r="C5002" s="208" t="s">
        <v>27</v>
      </c>
      <c r="D5002" s="211">
        <v>-630671</v>
      </c>
      <c r="E5002" s="212">
        <v>45505</v>
      </c>
      <c r="F5002" s="208" t="s">
        <v>109</v>
      </c>
      <c r="G5002" s="208" t="s">
        <v>3529</v>
      </c>
      <c r="H5002" s="208" t="s">
        <v>585</v>
      </c>
      <c r="I5002" s="475" t="s">
        <v>3475</v>
      </c>
      <c r="J5002" s="209"/>
      <c r="K5002" s="209"/>
      <c r="L5002" s="209"/>
      <c r="M5002" s="209"/>
      <c r="N5002" s="209"/>
      <c r="O5002" s="209"/>
      <c r="P5002" s="209"/>
      <c r="Q5002" s="209"/>
      <c r="R5002" s="209"/>
      <c r="S5002" s="209"/>
      <c r="T5002" s="209"/>
    </row>
    <row r="5003" spans="1:20" ht="15" hidden="1" customHeight="1">
      <c r="A5003" s="468">
        <v>45510</v>
      </c>
      <c r="B5003" s="208" t="s">
        <v>4198</v>
      </c>
      <c r="C5003" s="208" t="s">
        <v>27</v>
      </c>
      <c r="D5003" s="718">
        <v>-616990</v>
      </c>
      <c r="E5003" s="212">
        <v>45505</v>
      </c>
      <c r="F5003" s="208" t="s">
        <v>109</v>
      </c>
      <c r="G5003" s="601" t="s">
        <v>581</v>
      </c>
      <c r="H5003" s="208" t="s">
        <v>138</v>
      </c>
      <c r="I5003" s="208"/>
      <c r="J5003" s="209"/>
      <c r="K5003" s="209"/>
      <c r="L5003" s="209"/>
      <c r="M5003" s="209"/>
      <c r="N5003" s="209"/>
      <c r="O5003" s="209"/>
      <c r="P5003" s="209"/>
      <c r="Q5003" s="209"/>
      <c r="R5003" s="209"/>
      <c r="S5003" s="209"/>
      <c r="T5003" s="209"/>
    </row>
    <row r="5004" spans="1:20" ht="15" hidden="1" customHeight="1">
      <c r="A5004" s="468">
        <v>45510</v>
      </c>
      <c r="B5004" s="208" t="s">
        <v>4199</v>
      </c>
      <c r="C5004" s="208" t="s">
        <v>27</v>
      </c>
      <c r="D5004" s="211">
        <v>-95000</v>
      </c>
      <c r="E5004" s="212">
        <v>45505</v>
      </c>
      <c r="F5004" s="208" t="s">
        <v>130</v>
      </c>
      <c r="G5004" s="208" t="s">
        <v>130</v>
      </c>
      <c r="H5004" s="208" t="s">
        <v>2444</v>
      </c>
      <c r="I5004" s="208"/>
      <c r="J5004" s="209"/>
      <c r="K5004" s="209"/>
      <c r="L5004" s="209"/>
      <c r="M5004" s="209"/>
      <c r="N5004" s="209"/>
      <c r="O5004" s="209"/>
      <c r="P5004" s="209"/>
      <c r="Q5004" s="209"/>
      <c r="R5004" s="209"/>
      <c r="S5004" s="209"/>
      <c r="T5004" s="209"/>
    </row>
    <row r="5005" spans="1:20" ht="15" hidden="1" customHeight="1">
      <c r="A5005" s="468">
        <v>45512</v>
      </c>
      <c r="B5005" s="208" t="s">
        <v>4200</v>
      </c>
      <c r="C5005" s="208" t="s">
        <v>27</v>
      </c>
      <c r="D5005" s="211">
        <v>-5559377</v>
      </c>
      <c r="E5005" s="212">
        <v>45505</v>
      </c>
      <c r="F5005" s="84" t="s">
        <v>111</v>
      </c>
      <c r="G5005" s="208"/>
      <c r="H5005" s="208"/>
      <c r="I5005" s="208"/>
      <c r="J5005" s="209"/>
      <c r="K5005" s="209"/>
      <c r="L5005" s="209"/>
      <c r="M5005" s="209"/>
      <c r="N5005" s="209"/>
      <c r="O5005" s="209"/>
      <c r="P5005" s="209"/>
      <c r="Q5005" s="209"/>
      <c r="R5005" s="209"/>
      <c r="S5005" s="209"/>
      <c r="T5005" s="209"/>
    </row>
    <row r="5006" spans="1:20" ht="15" hidden="1" customHeight="1">
      <c r="A5006" s="468">
        <v>45512</v>
      </c>
      <c r="B5006" s="208" t="s">
        <v>4201</v>
      </c>
      <c r="C5006" s="208" t="s">
        <v>27</v>
      </c>
      <c r="D5006" s="211">
        <v>-108670</v>
      </c>
      <c r="E5006" s="212">
        <v>45505</v>
      </c>
      <c r="F5006" s="208" t="s">
        <v>130</v>
      </c>
      <c r="G5006" s="208" t="s">
        <v>130</v>
      </c>
      <c r="H5006" s="208" t="s">
        <v>406</v>
      </c>
      <c r="I5006" s="208"/>
      <c r="J5006" s="209"/>
      <c r="K5006" s="209"/>
      <c r="L5006" s="209"/>
      <c r="M5006" s="209"/>
      <c r="N5006" s="209"/>
      <c r="O5006" s="209"/>
      <c r="P5006" s="209"/>
      <c r="Q5006" s="209"/>
      <c r="R5006" s="209"/>
      <c r="S5006" s="209"/>
      <c r="T5006" s="209"/>
    </row>
    <row r="5007" spans="1:20" ht="15" hidden="1" customHeight="1">
      <c r="A5007" s="468">
        <v>45512</v>
      </c>
      <c r="B5007" s="208" t="s">
        <v>4202</v>
      </c>
      <c r="C5007" s="208" t="s">
        <v>27</v>
      </c>
      <c r="D5007" s="211">
        <v>-96001</v>
      </c>
      <c r="E5007" s="212">
        <v>45505</v>
      </c>
      <c r="F5007" s="208" t="s">
        <v>130</v>
      </c>
      <c r="G5007" s="208" t="s">
        <v>257</v>
      </c>
      <c r="H5007" s="208" t="s">
        <v>406</v>
      </c>
      <c r="I5007" s="208"/>
      <c r="J5007" s="209"/>
      <c r="K5007" s="209"/>
      <c r="L5007" s="209"/>
      <c r="M5007" s="209"/>
      <c r="N5007" s="209"/>
      <c r="O5007" s="209"/>
      <c r="P5007" s="209"/>
      <c r="Q5007" s="209"/>
      <c r="R5007" s="209"/>
      <c r="S5007" s="209"/>
      <c r="T5007" s="209"/>
    </row>
    <row r="5008" spans="1:20" ht="15" hidden="1" customHeight="1">
      <c r="A5008" s="468">
        <v>45512</v>
      </c>
      <c r="B5008" s="208" t="s">
        <v>4203</v>
      </c>
      <c r="C5008" s="208" t="s">
        <v>27</v>
      </c>
      <c r="D5008" s="211">
        <v>-790000</v>
      </c>
      <c r="E5008" s="212">
        <v>45505</v>
      </c>
      <c r="F5008" s="208" t="s">
        <v>109</v>
      </c>
      <c r="G5008" s="208" t="s">
        <v>3644</v>
      </c>
      <c r="H5008" s="208" t="s">
        <v>4187</v>
      </c>
      <c r="I5008" s="208"/>
      <c r="J5008" s="209"/>
      <c r="K5008" s="209"/>
      <c r="L5008" s="209"/>
      <c r="M5008" s="209"/>
      <c r="N5008" s="209"/>
      <c r="O5008" s="209"/>
      <c r="P5008" s="209"/>
      <c r="Q5008" s="209"/>
      <c r="R5008" s="209"/>
      <c r="S5008" s="209"/>
      <c r="T5008" s="209"/>
    </row>
    <row r="5009" spans="1:20" ht="15" hidden="1" customHeight="1">
      <c r="A5009" s="468">
        <v>45512</v>
      </c>
      <c r="B5009" s="208" t="s">
        <v>4204</v>
      </c>
      <c r="C5009" s="208" t="s">
        <v>27</v>
      </c>
      <c r="D5009" s="211">
        <v>-790000</v>
      </c>
      <c r="E5009" s="212">
        <v>45505</v>
      </c>
      <c r="F5009" s="208" t="s">
        <v>109</v>
      </c>
      <c r="G5009" s="208" t="s">
        <v>3644</v>
      </c>
      <c r="H5009" s="208" t="s">
        <v>4187</v>
      </c>
      <c r="I5009" s="208"/>
      <c r="J5009" s="209"/>
      <c r="K5009" s="209"/>
      <c r="L5009" s="209"/>
      <c r="M5009" s="209"/>
      <c r="N5009" s="209"/>
      <c r="O5009" s="209"/>
      <c r="P5009" s="209"/>
      <c r="Q5009" s="209"/>
      <c r="R5009" s="209"/>
      <c r="S5009" s="209"/>
      <c r="T5009" s="209"/>
    </row>
    <row r="5010" spans="1:20" ht="15" hidden="1" customHeight="1">
      <c r="A5010" s="468">
        <v>45512</v>
      </c>
      <c r="B5010" s="208" t="s">
        <v>4205</v>
      </c>
      <c r="C5010" s="208" t="s">
        <v>27</v>
      </c>
      <c r="D5010" s="718">
        <v>-1980000</v>
      </c>
      <c r="E5010" s="212">
        <v>45505</v>
      </c>
      <c r="F5010" s="208" t="s">
        <v>109</v>
      </c>
      <c r="G5010" s="201" t="s">
        <v>581</v>
      </c>
      <c r="H5010" s="208" t="s">
        <v>147</v>
      </c>
      <c r="I5010" s="208"/>
      <c r="J5010" s="209"/>
      <c r="K5010" s="209"/>
      <c r="L5010" s="209"/>
      <c r="M5010" s="209"/>
      <c r="N5010" s="209"/>
      <c r="O5010" s="209"/>
      <c r="P5010" s="209"/>
      <c r="Q5010" s="209"/>
      <c r="R5010" s="209"/>
      <c r="S5010" s="209"/>
      <c r="T5010" s="209"/>
    </row>
    <row r="5011" spans="1:20" ht="15" hidden="1" customHeight="1">
      <c r="A5011" s="468">
        <v>45512</v>
      </c>
      <c r="B5011" s="208" t="s">
        <v>4206</v>
      </c>
      <c r="C5011" s="208" t="s">
        <v>27</v>
      </c>
      <c r="D5011" s="211">
        <v>-173000</v>
      </c>
      <c r="E5011" s="212">
        <v>45505</v>
      </c>
      <c r="F5011" s="208" t="s">
        <v>130</v>
      </c>
      <c r="G5011" s="208" t="s">
        <v>130</v>
      </c>
      <c r="H5011" s="208" t="s">
        <v>2444</v>
      </c>
      <c r="I5011" s="208"/>
      <c r="J5011" s="209"/>
      <c r="K5011" s="209"/>
      <c r="L5011" s="209"/>
      <c r="M5011" s="209"/>
      <c r="N5011" s="209"/>
      <c r="O5011" s="209"/>
      <c r="P5011" s="209"/>
      <c r="Q5011" s="209"/>
      <c r="R5011" s="209"/>
      <c r="S5011" s="209"/>
      <c r="T5011" s="209"/>
    </row>
    <row r="5012" spans="1:20" ht="15" hidden="1" customHeight="1">
      <c r="A5012" s="468">
        <v>45512</v>
      </c>
      <c r="B5012" s="208" t="s">
        <v>4207</v>
      </c>
      <c r="C5012" s="208" t="s">
        <v>27</v>
      </c>
      <c r="D5012" s="718">
        <v>-5438567</v>
      </c>
      <c r="E5012" s="212">
        <v>45505</v>
      </c>
      <c r="F5012" s="208" t="s">
        <v>109</v>
      </c>
      <c r="G5012" s="601" t="s">
        <v>581</v>
      </c>
      <c r="H5012" s="208" t="s">
        <v>175</v>
      </c>
      <c r="I5012" s="208"/>
      <c r="J5012" s="209"/>
      <c r="K5012" s="209"/>
      <c r="L5012" s="209"/>
      <c r="M5012" s="209"/>
      <c r="N5012" s="209"/>
      <c r="O5012" s="209"/>
      <c r="P5012" s="209"/>
      <c r="Q5012" s="209"/>
      <c r="R5012" s="209"/>
      <c r="S5012" s="209"/>
      <c r="T5012" s="209"/>
    </row>
    <row r="5013" spans="1:20" ht="15" hidden="1" customHeight="1">
      <c r="A5013" s="468">
        <v>45512</v>
      </c>
      <c r="B5013" s="208" t="s">
        <v>4208</v>
      </c>
      <c r="C5013" s="208" t="s">
        <v>27</v>
      </c>
      <c r="D5013" s="211">
        <v>-320000</v>
      </c>
      <c r="E5013" s="212">
        <v>45505</v>
      </c>
      <c r="F5013" s="208" t="s">
        <v>130</v>
      </c>
      <c r="G5013" s="208" t="s">
        <v>130</v>
      </c>
      <c r="H5013" s="208" t="s">
        <v>2444</v>
      </c>
      <c r="I5013" s="208"/>
      <c r="J5013" s="209"/>
      <c r="K5013" s="209"/>
      <c r="L5013" s="209"/>
      <c r="M5013" s="209"/>
      <c r="N5013" s="209"/>
      <c r="O5013" s="209"/>
      <c r="P5013" s="209"/>
      <c r="Q5013" s="209"/>
      <c r="R5013" s="209"/>
      <c r="S5013" s="209"/>
      <c r="T5013" s="209"/>
    </row>
    <row r="5014" spans="1:20" ht="15" hidden="1" customHeight="1">
      <c r="A5014" s="468">
        <v>45512</v>
      </c>
      <c r="B5014" s="208" t="s">
        <v>4209</v>
      </c>
      <c r="C5014" s="208" t="s">
        <v>27</v>
      </c>
      <c r="D5014" s="211">
        <v>-284938</v>
      </c>
      <c r="E5014" s="212">
        <v>45505</v>
      </c>
      <c r="F5014" s="208" t="s">
        <v>130</v>
      </c>
      <c r="G5014" s="208" t="s">
        <v>130</v>
      </c>
      <c r="H5014" s="208" t="s">
        <v>2444</v>
      </c>
      <c r="I5014" s="208"/>
      <c r="J5014" s="209"/>
      <c r="K5014" s="209"/>
      <c r="L5014" s="209"/>
      <c r="M5014" s="209"/>
      <c r="N5014" s="209"/>
      <c r="O5014" s="209"/>
      <c r="P5014" s="209"/>
      <c r="Q5014" s="209"/>
      <c r="R5014" s="209"/>
      <c r="S5014" s="209"/>
      <c r="T5014" s="209"/>
    </row>
    <row r="5015" spans="1:20" ht="15" hidden="1" customHeight="1">
      <c r="A5015" s="468">
        <v>45512</v>
      </c>
      <c r="B5015" s="208" t="s">
        <v>4210</v>
      </c>
      <c r="C5015" s="208" t="s">
        <v>27</v>
      </c>
      <c r="D5015" s="211">
        <v>-596490</v>
      </c>
      <c r="E5015" s="212">
        <v>45505</v>
      </c>
      <c r="F5015" s="201" t="s">
        <v>110</v>
      </c>
      <c r="G5015" s="658" t="s">
        <v>3245</v>
      </c>
      <c r="H5015" s="208" t="s">
        <v>508</v>
      </c>
      <c r="I5015" s="208"/>
      <c r="J5015" s="209"/>
      <c r="K5015" s="209"/>
      <c r="L5015" s="209"/>
      <c r="M5015" s="209"/>
      <c r="N5015" s="209"/>
      <c r="O5015" s="209"/>
      <c r="P5015" s="209"/>
      <c r="Q5015" s="209"/>
      <c r="R5015" s="209"/>
      <c r="S5015" s="209"/>
      <c r="T5015" s="209"/>
    </row>
    <row r="5016" spans="1:20" ht="15" hidden="1" customHeight="1">
      <c r="A5016" s="468">
        <v>45512</v>
      </c>
      <c r="B5016" s="208" t="s">
        <v>4211</v>
      </c>
      <c r="C5016" s="208" t="s">
        <v>27</v>
      </c>
      <c r="D5016" s="211">
        <v>-95000</v>
      </c>
      <c r="E5016" s="212">
        <v>45505</v>
      </c>
      <c r="F5016" s="208" t="s">
        <v>130</v>
      </c>
      <c r="G5016" s="208" t="s">
        <v>130</v>
      </c>
      <c r="H5016" s="208" t="s">
        <v>2444</v>
      </c>
      <c r="I5016" s="208"/>
      <c r="J5016" s="209"/>
      <c r="K5016" s="209"/>
      <c r="L5016" s="209"/>
      <c r="M5016" s="209"/>
      <c r="N5016" s="209"/>
      <c r="O5016" s="209"/>
      <c r="P5016" s="209"/>
      <c r="Q5016" s="209"/>
      <c r="R5016" s="209"/>
      <c r="S5016" s="209"/>
      <c r="T5016" s="209"/>
    </row>
    <row r="5017" spans="1:20" ht="15" hidden="1" customHeight="1">
      <c r="A5017" s="468">
        <v>45512</v>
      </c>
      <c r="B5017" s="208" t="s">
        <v>2591</v>
      </c>
      <c r="C5017" s="208" t="s">
        <v>27</v>
      </c>
      <c r="D5017" s="211">
        <v>-4220826</v>
      </c>
      <c r="E5017" s="212">
        <v>45505</v>
      </c>
      <c r="F5017" s="208" t="s">
        <v>130</v>
      </c>
      <c r="G5017" s="208" t="s">
        <v>130</v>
      </c>
      <c r="H5017" s="208" t="s">
        <v>1038</v>
      </c>
      <c r="I5017" s="208"/>
      <c r="J5017" s="209"/>
      <c r="K5017" s="209"/>
      <c r="L5017" s="209"/>
      <c r="M5017" s="209"/>
      <c r="N5017" s="209"/>
      <c r="O5017" s="209"/>
      <c r="P5017" s="209"/>
      <c r="Q5017" s="209"/>
      <c r="R5017" s="209"/>
      <c r="S5017" s="209"/>
      <c r="T5017" s="209"/>
    </row>
    <row r="5018" spans="1:20" ht="15" hidden="1" customHeight="1">
      <c r="A5018" s="468">
        <v>45512</v>
      </c>
      <c r="B5018" s="208" t="s">
        <v>4212</v>
      </c>
      <c r="C5018" s="208" t="s">
        <v>27</v>
      </c>
      <c r="D5018" s="211">
        <v>-1093260</v>
      </c>
      <c r="E5018" s="212">
        <v>45505</v>
      </c>
      <c r="F5018" s="208" t="s">
        <v>130</v>
      </c>
      <c r="G5018" s="208" t="s">
        <v>130</v>
      </c>
      <c r="H5018" s="208" t="s">
        <v>852</v>
      </c>
      <c r="I5018" s="208"/>
      <c r="J5018" s="209"/>
      <c r="K5018" s="209"/>
      <c r="L5018" s="209"/>
      <c r="M5018" s="209"/>
      <c r="N5018" s="209"/>
      <c r="O5018" s="209"/>
      <c r="P5018" s="209"/>
      <c r="Q5018" s="209"/>
      <c r="R5018" s="209"/>
      <c r="S5018" s="209"/>
      <c r="T5018" s="209"/>
    </row>
    <row r="5019" spans="1:20" ht="15" hidden="1" customHeight="1">
      <c r="A5019" s="468">
        <v>45512</v>
      </c>
      <c r="B5019" s="208" t="s">
        <v>4213</v>
      </c>
      <c r="C5019" s="208" t="s">
        <v>27</v>
      </c>
      <c r="D5019" s="718">
        <v>-1500000</v>
      </c>
      <c r="E5019" s="212">
        <v>45505</v>
      </c>
      <c r="F5019" s="208" t="s">
        <v>109</v>
      </c>
      <c r="G5019" s="201" t="s">
        <v>581</v>
      </c>
      <c r="H5019" s="208"/>
      <c r="I5019" s="208"/>
      <c r="J5019" s="209"/>
      <c r="K5019" s="209"/>
      <c r="L5019" s="209"/>
      <c r="M5019" s="209"/>
      <c r="N5019" s="209"/>
      <c r="O5019" s="209"/>
      <c r="P5019" s="209"/>
      <c r="Q5019" s="209"/>
      <c r="R5019" s="209"/>
      <c r="S5019" s="209"/>
      <c r="T5019" s="209"/>
    </row>
    <row r="5020" spans="1:20" ht="15" hidden="1" customHeight="1">
      <c r="A5020" s="468">
        <v>45512</v>
      </c>
      <c r="B5020" s="208" t="s">
        <v>4214</v>
      </c>
      <c r="C5020" s="208" t="s">
        <v>27</v>
      </c>
      <c r="D5020" s="718">
        <v>-1500000</v>
      </c>
      <c r="E5020" s="212">
        <v>45505</v>
      </c>
      <c r="F5020" s="208" t="s">
        <v>109</v>
      </c>
      <c r="G5020" s="201" t="s">
        <v>583</v>
      </c>
      <c r="H5020" s="208"/>
      <c r="I5020" s="475" t="s">
        <v>3475</v>
      </c>
      <c r="J5020" s="209"/>
      <c r="K5020" s="209"/>
      <c r="L5020" s="209"/>
      <c r="M5020" s="209"/>
      <c r="N5020" s="209"/>
      <c r="O5020" s="209"/>
      <c r="P5020" s="209"/>
      <c r="Q5020" s="209"/>
      <c r="R5020" s="209"/>
      <c r="S5020" s="209"/>
      <c r="T5020" s="209"/>
    </row>
    <row r="5021" spans="1:20" ht="15" hidden="1" customHeight="1">
      <c r="A5021" s="468">
        <v>45512</v>
      </c>
      <c r="B5021" s="208" t="s">
        <v>4200</v>
      </c>
      <c r="C5021" s="208" t="s">
        <v>27</v>
      </c>
      <c r="D5021" s="211">
        <v>-2796720.98</v>
      </c>
      <c r="E5021" s="212">
        <v>45505</v>
      </c>
      <c r="F5021" s="208" t="s">
        <v>118</v>
      </c>
      <c r="G5021" s="208"/>
      <c r="H5021" s="208"/>
      <c r="I5021" s="208"/>
      <c r="J5021" s="209"/>
      <c r="K5021" s="209"/>
      <c r="L5021" s="209"/>
      <c r="M5021" s="209"/>
      <c r="N5021" s="209"/>
      <c r="O5021" s="209"/>
      <c r="P5021" s="209"/>
      <c r="Q5021" s="209"/>
      <c r="R5021" s="209"/>
      <c r="S5021" s="209"/>
      <c r="T5021" s="209"/>
    </row>
    <row r="5022" spans="1:20" ht="15" hidden="1" customHeight="1">
      <c r="A5022" s="468">
        <v>45513</v>
      </c>
      <c r="B5022" s="208" t="s">
        <v>4215</v>
      </c>
      <c r="C5022" s="208" t="s">
        <v>27</v>
      </c>
      <c r="D5022" s="211">
        <v>-606900</v>
      </c>
      <c r="E5022" s="212">
        <v>45505</v>
      </c>
      <c r="F5022" s="201" t="s">
        <v>110</v>
      </c>
      <c r="G5022" s="208" t="s">
        <v>2844</v>
      </c>
      <c r="H5022" s="208" t="s">
        <v>1463</v>
      </c>
      <c r="I5022" s="208"/>
      <c r="J5022" s="209"/>
      <c r="K5022" s="209"/>
      <c r="L5022" s="209"/>
      <c r="M5022" s="209"/>
      <c r="N5022" s="209"/>
      <c r="O5022" s="209"/>
      <c r="P5022" s="209"/>
      <c r="Q5022" s="209"/>
      <c r="R5022" s="209"/>
      <c r="S5022" s="209"/>
      <c r="T5022" s="209"/>
    </row>
    <row r="5023" spans="1:20" ht="15" hidden="1" customHeight="1">
      <c r="A5023" s="468">
        <v>45513</v>
      </c>
      <c r="B5023" s="208" t="s">
        <v>4216</v>
      </c>
      <c r="C5023" s="208" t="s">
        <v>27</v>
      </c>
      <c r="D5023" s="211">
        <v>-616990</v>
      </c>
      <c r="E5023" s="212">
        <v>45505</v>
      </c>
      <c r="F5023" s="208" t="s">
        <v>130</v>
      </c>
      <c r="G5023" s="208" t="s">
        <v>130</v>
      </c>
      <c r="H5023" s="208" t="s">
        <v>138</v>
      </c>
      <c r="I5023" s="208"/>
      <c r="J5023" s="209"/>
      <c r="K5023" s="209"/>
      <c r="L5023" s="209"/>
      <c r="M5023" s="209"/>
      <c r="N5023" s="209"/>
      <c r="O5023" s="209"/>
      <c r="P5023" s="209"/>
      <c r="Q5023" s="209"/>
      <c r="R5023" s="209"/>
      <c r="S5023" s="209"/>
      <c r="T5023" s="209"/>
    </row>
    <row r="5024" spans="1:20" ht="15" hidden="1" customHeight="1">
      <c r="A5024" s="468">
        <v>45513</v>
      </c>
      <c r="B5024" s="208" t="s">
        <v>4217</v>
      </c>
      <c r="C5024" s="208" t="s">
        <v>27</v>
      </c>
      <c r="D5024" s="211">
        <v>-16418</v>
      </c>
      <c r="E5024" s="212">
        <v>45505</v>
      </c>
      <c r="F5024" s="208" t="s">
        <v>130</v>
      </c>
      <c r="G5024" s="208" t="s">
        <v>130</v>
      </c>
      <c r="H5024" s="208" t="s">
        <v>3939</v>
      </c>
      <c r="I5024" s="208"/>
      <c r="J5024" s="209"/>
      <c r="K5024" s="209"/>
      <c r="L5024" s="209"/>
      <c r="M5024" s="209"/>
      <c r="N5024" s="209"/>
      <c r="O5024" s="209"/>
      <c r="P5024" s="209"/>
      <c r="Q5024" s="209"/>
      <c r="R5024" s="209"/>
      <c r="S5024" s="209"/>
      <c r="T5024" s="209"/>
    </row>
    <row r="5025" spans="1:20" ht="15" hidden="1" customHeight="1">
      <c r="A5025" s="468">
        <v>45512</v>
      </c>
      <c r="B5025" s="208" t="s">
        <v>2961</v>
      </c>
      <c r="C5025" s="208" t="s">
        <v>27</v>
      </c>
      <c r="D5025" s="211">
        <v>-123400</v>
      </c>
      <c r="E5025" s="212">
        <v>45505</v>
      </c>
      <c r="F5025" s="208" t="s">
        <v>130</v>
      </c>
      <c r="G5025" s="208" t="s">
        <v>130</v>
      </c>
      <c r="H5025" s="208" t="s">
        <v>249</v>
      </c>
      <c r="I5025" s="208"/>
      <c r="J5025" s="209"/>
      <c r="K5025" s="209"/>
      <c r="L5025" s="209"/>
      <c r="M5025" s="209"/>
      <c r="N5025" s="209"/>
      <c r="O5025" s="209"/>
      <c r="P5025" s="209"/>
      <c r="Q5025" s="209"/>
      <c r="R5025" s="209"/>
      <c r="S5025" s="209"/>
      <c r="T5025" s="209"/>
    </row>
    <row r="5026" spans="1:20" ht="15" hidden="1" customHeight="1">
      <c r="A5026" s="468">
        <v>45512</v>
      </c>
      <c r="B5026" s="208" t="s">
        <v>4218</v>
      </c>
      <c r="C5026" s="208" t="s">
        <v>27</v>
      </c>
      <c r="D5026" s="211">
        <v>-274040</v>
      </c>
      <c r="E5026" s="212">
        <v>45505</v>
      </c>
      <c r="F5026" s="208" t="s">
        <v>130</v>
      </c>
      <c r="G5026" s="208" t="s">
        <v>130</v>
      </c>
      <c r="H5026" s="208" t="s">
        <v>323</v>
      </c>
      <c r="I5026" s="208"/>
      <c r="J5026" s="209"/>
      <c r="K5026" s="209"/>
      <c r="L5026" s="209"/>
      <c r="M5026" s="209"/>
      <c r="N5026" s="209"/>
      <c r="O5026" s="209"/>
      <c r="P5026" s="209"/>
      <c r="Q5026" s="209"/>
      <c r="R5026" s="209"/>
      <c r="S5026" s="209"/>
      <c r="T5026" s="209"/>
    </row>
    <row r="5027" spans="1:20" ht="15" hidden="1" customHeight="1">
      <c r="A5027" s="468">
        <v>45512</v>
      </c>
      <c r="B5027" s="208" t="s">
        <v>4219</v>
      </c>
      <c r="C5027" s="208" t="s">
        <v>27</v>
      </c>
      <c r="D5027" s="211">
        <v>-583508</v>
      </c>
      <c r="E5027" s="212">
        <v>45505</v>
      </c>
      <c r="F5027" s="208" t="s">
        <v>130</v>
      </c>
      <c r="G5027" s="208" t="s">
        <v>130</v>
      </c>
      <c r="H5027" s="208" t="s">
        <v>2444</v>
      </c>
      <c r="I5027" s="208"/>
      <c r="J5027" s="209"/>
      <c r="K5027" s="209"/>
      <c r="L5027" s="209"/>
      <c r="M5027" s="209"/>
      <c r="N5027" s="209"/>
      <c r="O5027" s="209"/>
      <c r="P5027" s="209"/>
      <c r="Q5027" s="209"/>
      <c r="R5027" s="209"/>
      <c r="S5027" s="209"/>
      <c r="T5027" s="209"/>
    </row>
    <row r="5028" spans="1:20" ht="15" hidden="1" customHeight="1">
      <c r="A5028" s="468">
        <v>45512</v>
      </c>
      <c r="B5028" s="208" t="s">
        <v>2446</v>
      </c>
      <c r="C5028" s="208" t="s">
        <v>27</v>
      </c>
      <c r="D5028" s="718">
        <v>-7900</v>
      </c>
      <c r="E5028" s="212">
        <v>45505</v>
      </c>
      <c r="F5028" s="208" t="s">
        <v>109</v>
      </c>
      <c r="G5028" s="201" t="s">
        <v>581</v>
      </c>
      <c r="H5028" s="208"/>
      <c r="I5028" s="475" t="s">
        <v>3475</v>
      </c>
      <c r="J5028" s="209"/>
      <c r="K5028" s="209"/>
      <c r="L5028" s="209"/>
      <c r="M5028" s="209"/>
      <c r="N5028" s="209"/>
      <c r="O5028" s="209"/>
      <c r="P5028" s="209"/>
      <c r="Q5028" s="209"/>
      <c r="R5028" s="209"/>
      <c r="S5028" s="209"/>
      <c r="T5028" s="209"/>
    </row>
    <row r="5029" spans="1:20" ht="15" hidden="1" customHeight="1">
      <c r="A5029" s="468">
        <v>45512</v>
      </c>
      <c r="B5029" s="208" t="s">
        <v>4220</v>
      </c>
      <c r="C5029" s="208" t="s">
        <v>27</v>
      </c>
      <c r="D5029" s="211">
        <v>-80000</v>
      </c>
      <c r="E5029" s="212">
        <v>45505</v>
      </c>
      <c r="F5029" s="208" t="s">
        <v>130</v>
      </c>
      <c r="G5029" s="208" t="s">
        <v>130</v>
      </c>
      <c r="H5029" s="208" t="s">
        <v>138</v>
      </c>
      <c r="I5029" s="208"/>
      <c r="J5029" s="209"/>
      <c r="K5029" s="209"/>
      <c r="L5029" s="209"/>
      <c r="M5029" s="209"/>
      <c r="N5029" s="209"/>
      <c r="O5029" s="209"/>
      <c r="P5029" s="209"/>
      <c r="Q5029" s="209"/>
      <c r="R5029" s="209"/>
      <c r="S5029" s="209"/>
      <c r="T5029" s="209"/>
    </row>
    <row r="5030" spans="1:20" ht="15" hidden="1" customHeight="1">
      <c r="A5030" s="468">
        <v>45512</v>
      </c>
      <c r="B5030" s="208" t="s">
        <v>4221</v>
      </c>
      <c r="C5030" s="208" t="s">
        <v>27</v>
      </c>
      <c r="D5030" s="718">
        <v>-720000</v>
      </c>
      <c r="E5030" s="212">
        <v>45505</v>
      </c>
      <c r="F5030" s="654" t="s">
        <v>109</v>
      </c>
      <c r="G5030" s="601" t="s">
        <v>581</v>
      </c>
      <c r="H5030" s="208" t="s">
        <v>147</v>
      </c>
      <c r="I5030" s="208"/>
      <c r="J5030" s="209"/>
      <c r="K5030" s="209"/>
      <c r="L5030" s="209"/>
      <c r="M5030" s="209"/>
      <c r="N5030" s="209"/>
      <c r="O5030" s="209"/>
      <c r="P5030" s="209"/>
      <c r="Q5030" s="209"/>
      <c r="R5030" s="209"/>
      <c r="S5030" s="209"/>
      <c r="T5030" s="209"/>
    </row>
    <row r="5031" spans="1:20" ht="15" hidden="1" customHeight="1">
      <c r="A5031" s="468">
        <v>45512</v>
      </c>
      <c r="B5031" s="208" t="s">
        <v>4222</v>
      </c>
      <c r="C5031" s="208" t="s">
        <v>27</v>
      </c>
      <c r="D5031" s="211">
        <v>-1836000</v>
      </c>
      <c r="E5031" s="212">
        <v>45505</v>
      </c>
      <c r="F5031" s="201" t="s">
        <v>110</v>
      </c>
      <c r="G5031" s="658" t="s">
        <v>3245</v>
      </c>
      <c r="H5031" s="208" t="s">
        <v>631</v>
      </c>
      <c r="I5031" s="475" t="s">
        <v>3475</v>
      </c>
      <c r="J5031" s="209"/>
      <c r="K5031" s="209"/>
      <c r="L5031" s="209"/>
      <c r="M5031" s="209"/>
      <c r="N5031" s="209"/>
      <c r="O5031" s="209"/>
      <c r="P5031" s="209"/>
      <c r="Q5031" s="209"/>
      <c r="R5031" s="209"/>
      <c r="S5031" s="209"/>
      <c r="T5031" s="209"/>
    </row>
    <row r="5032" spans="1:20" ht="15" hidden="1" customHeight="1">
      <c r="A5032" s="468">
        <v>45512</v>
      </c>
      <c r="B5032" s="208" t="s">
        <v>4223</v>
      </c>
      <c r="C5032" s="208" t="s">
        <v>27</v>
      </c>
      <c r="D5032" s="211">
        <v>68411603</v>
      </c>
      <c r="E5032" s="212">
        <v>45505</v>
      </c>
      <c r="F5032" s="654" t="s">
        <v>109</v>
      </c>
      <c r="G5032" s="208" t="s">
        <v>3529</v>
      </c>
      <c r="H5032" s="208"/>
      <c r="I5032" s="208"/>
      <c r="J5032" s="209"/>
      <c r="K5032" s="209"/>
      <c r="L5032" s="209"/>
      <c r="M5032" s="209"/>
      <c r="N5032" s="209"/>
      <c r="O5032" s="209"/>
      <c r="P5032" s="209"/>
      <c r="Q5032" s="209"/>
      <c r="R5032" s="209"/>
      <c r="S5032" s="209"/>
      <c r="T5032" s="209"/>
    </row>
    <row r="5033" spans="1:20" ht="15" hidden="1" customHeight="1">
      <c r="A5033" s="468">
        <v>45506</v>
      </c>
      <c r="B5033" s="208" t="s">
        <v>3883</v>
      </c>
      <c r="C5033" s="208" t="s">
        <v>3331</v>
      </c>
      <c r="D5033" s="211">
        <v>3000000</v>
      </c>
      <c r="E5033" s="212">
        <v>45505</v>
      </c>
      <c r="F5033" s="208" t="s">
        <v>108</v>
      </c>
      <c r="G5033" s="208"/>
      <c r="H5033" s="208"/>
      <c r="I5033" s="208"/>
      <c r="J5033" s="209"/>
      <c r="K5033" s="209"/>
      <c r="L5033" s="209"/>
      <c r="M5033" s="209"/>
      <c r="N5033" s="209"/>
      <c r="O5033" s="209"/>
      <c r="P5033" s="209"/>
      <c r="Q5033" s="209"/>
      <c r="R5033" s="209"/>
      <c r="S5033" s="209"/>
      <c r="T5033" s="209"/>
    </row>
    <row r="5034" spans="1:20" ht="15" hidden="1" customHeight="1">
      <c r="A5034" s="468">
        <v>45512</v>
      </c>
      <c r="B5034" s="208" t="s">
        <v>4224</v>
      </c>
      <c r="C5034" s="208" t="s">
        <v>3331</v>
      </c>
      <c r="D5034" s="211">
        <v>12858000</v>
      </c>
      <c r="E5034" s="212">
        <v>45505</v>
      </c>
      <c r="F5034" s="671" t="s">
        <v>109</v>
      </c>
      <c r="G5034" s="208" t="s">
        <v>4225</v>
      </c>
      <c r="H5034" s="208" t="s">
        <v>461</v>
      </c>
      <c r="I5034" s="208"/>
      <c r="J5034" s="209"/>
      <c r="K5034" s="209"/>
      <c r="L5034" s="209"/>
      <c r="M5034" s="209"/>
      <c r="N5034" s="209"/>
      <c r="O5034" s="209"/>
      <c r="P5034" s="209"/>
      <c r="Q5034" s="209"/>
      <c r="R5034" s="209"/>
      <c r="S5034" s="209"/>
      <c r="T5034" s="209"/>
    </row>
    <row r="5035" spans="1:20" ht="15" hidden="1" customHeight="1">
      <c r="A5035" s="468">
        <v>45513</v>
      </c>
      <c r="B5035" s="208" t="s">
        <v>4226</v>
      </c>
      <c r="C5035" s="208" t="s">
        <v>3331</v>
      </c>
      <c r="D5035" s="211">
        <v>150713346</v>
      </c>
      <c r="E5035" s="212">
        <v>45505</v>
      </c>
      <c r="F5035" s="208" t="s">
        <v>109</v>
      </c>
      <c r="G5035" s="654" t="s">
        <v>2585</v>
      </c>
      <c r="H5035" s="208"/>
      <c r="I5035" s="475" t="s">
        <v>3475</v>
      </c>
      <c r="J5035" s="209"/>
      <c r="K5035" s="209"/>
      <c r="L5035" s="209"/>
      <c r="M5035" s="209"/>
      <c r="N5035" s="209"/>
      <c r="O5035" s="209"/>
      <c r="P5035" s="209"/>
      <c r="Q5035" s="209"/>
      <c r="R5035" s="209"/>
      <c r="S5035" s="209"/>
      <c r="T5035" s="209"/>
    </row>
    <row r="5036" spans="1:20" ht="15" hidden="1" customHeight="1">
      <c r="A5036" s="468">
        <v>45508</v>
      </c>
      <c r="B5036" s="81" t="s">
        <v>4227</v>
      </c>
      <c r="C5036" s="677" t="s">
        <v>643</v>
      </c>
      <c r="D5036" s="211">
        <v>-149992.46</v>
      </c>
      <c r="E5036" s="212">
        <v>45505</v>
      </c>
      <c r="F5036" s="208" t="s">
        <v>130</v>
      </c>
      <c r="G5036" s="208" t="s">
        <v>130</v>
      </c>
      <c r="H5036" s="208" t="s">
        <v>1245</v>
      </c>
      <c r="I5036" s="208"/>
      <c r="J5036" s="209"/>
      <c r="K5036" s="209"/>
      <c r="L5036" s="209"/>
      <c r="M5036" s="209"/>
      <c r="N5036" s="209"/>
      <c r="O5036" s="209"/>
      <c r="P5036" s="209"/>
      <c r="Q5036" s="209"/>
      <c r="R5036" s="209"/>
      <c r="S5036" s="209"/>
      <c r="T5036" s="209"/>
    </row>
    <row r="5037" spans="1:20" ht="15" hidden="1" customHeight="1">
      <c r="A5037" s="468">
        <v>45508</v>
      </c>
      <c r="B5037" s="81" t="s">
        <v>4228</v>
      </c>
      <c r="C5037" s="677" t="s">
        <v>643</v>
      </c>
      <c r="D5037" s="211">
        <v>-81507.94</v>
      </c>
      <c r="E5037" s="212">
        <v>45505</v>
      </c>
      <c r="F5037" s="208" t="s">
        <v>130</v>
      </c>
      <c r="G5037" s="208" t="s">
        <v>130</v>
      </c>
      <c r="H5037" s="208" t="s">
        <v>1245</v>
      </c>
      <c r="I5037" s="208"/>
      <c r="J5037" s="209"/>
      <c r="K5037" s="209"/>
      <c r="L5037" s="209"/>
      <c r="M5037" s="209"/>
      <c r="N5037" s="209"/>
      <c r="O5037" s="209"/>
      <c r="P5037" s="209"/>
      <c r="Q5037" s="209"/>
      <c r="R5037" s="209"/>
      <c r="S5037" s="209"/>
      <c r="T5037" s="209"/>
    </row>
    <row r="5038" spans="1:20" ht="15" hidden="1" customHeight="1">
      <c r="A5038" s="468">
        <v>45509</v>
      </c>
      <c r="B5038" s="81" t="s">
        <v>4229</v>
      </c>
      <c r="C5038" s="677" t="s">
        <v>643</v>
      </c>
      <c r="D5038" s="211">
        <v>-463538</v>
      </c>
      <c r="E5038" s="212">
        <v>45505</v>
      </c>
      <c r="F5038" s="208" t="s">
        <v>130</v>
      </c>
      <c r="G5038" s="208" t="s">
        <v>130</v>
      </c>
      <c r="H5038" s="208" t="s">
        <v>1245</v>
      </c>
      <c r="I5038" s="208"/>
      <c r="J5038" s="209"/>
      <c r="K5038" s="209"/>
      <c r="L5038" s="209"/>
      <c r="M5038" s="209"/>
      <c r="N5038" s="209"/>
      <c r="O5038" s="209"/>
      <c r="P5038" s="209"/>
      <c r="Q5038" s="209"/>
      <c r="R5038" s="209"/>
      <c r="S5038" s="209"/>
      <c r="T5038" s="209"/>
    </row>
    <row r="5039" spans="1:20" ht="15" hidden="1" customHeight="1">
      <c r="A5039" s="468">
        <v>45512</v>
      </c>
      <c r="B5039" s="81" t="s">
        <v>4230</v>
      </c>
      <c r="C5039" s="677" t="s">
        <v>643</v>
      </c>
      <c r="D5039" s="211">
        <v>-45696</v>
      </c>
      <c r="E5039" s="212">
        <v>45505</v>
      </c>
      <c r="F5039" s="208" t="s">
        <v>130</v>
      </c>
      <c r="G5039" s="208" t="s">
        <v>130</v>
      </c>
      <c r="H5039" s="208" t="s">
        <v>1245</v>
      </c>
      <c r="I5039" s="208"/>
      <c r="J5039" s="209"/>
      <c r="K5039" s="209"/>
      <c r="L5039" s="209"/>
      <c r="M5039" s="209"/>
      <c r="N5039" s="209"/>
      <c r="O5039" s="209"/>
      <c r="P5039" s="209"/>
      <c r="Q5039" s="209"/>
      <c r="R5039" s="209"/>
      <c r="S5039" s="209"/>
      <c r="T5039" s="209"/>
    </row>
    <row r="5040" spans="1:20" ht="15" hidden="1" customHeight="1">
      <c r="A5040" s="468">
        <v>45513</v>
      </c>
      <c r="B5040" s="81" t="s">
        <v>3017</v>
      </c>
      <c r="C5040" s="677" t="s">
        <v>643</v>
      </c>
      <c r="D5040" s="211">
        <v>-95520</v>
      </c>
      <c r="E5040" s="212">
        <v>45505</v>
      </c>
      <c r="F5040" s="208" t="s">
        <v>130</v>
      </c>
      <c r="G5040" s="208" t="s">
        <v>130</v>
      </c>
      <c r="H5040" s="208" t="s">
        <v>1245</v>
      </c>
      <c r="I5040" s="208"/>
      <c r="J5040" s="209"/>
      <c r="K5040" s="209"/>
      <c r="L5040" s="209"/>
      <c r="M5040" s="209"/>
      <c r="N5040" s="209"/>
      <c r="O5040" s="209"/>
      <c r="P5040" s="209"/>
      <c r="Q5040" s="209"/>
      <c r="R5040" s="209"/>
      <c r="S5040" s="209"/>
      <c r="T5040" s="209"/>
    </row>
    <row r="5041" spans="1:20" s="499" customFormat="1" ht="15" hidden="1" customHeight="1">
      <c r="A5041" s="468">
        <v>45513</v>
      </c>
      <c r="B5041" s="208" t="s">
        <v>4231</v>
      </c>
      <c r="C5041" s="208" t="s">
        <v>146</v>
      </c>
      <c r="D5041" s="211">
        <v>-45000</v>
      </c>
      <c r="E5041" s="212">
        <v>45505</v>
      </c>
      <c r="F5041" s="208" t="s">
        <v>110</v>
      </c>
      <c r="G5041" s="208" t="s">
        <v>2444</v>
      </c>
      <c r="H5041" s="208"/>
      <c r="I5041" s="208"/>
      <c r="J5041" s="209"/>
      <c r="K5041" s="209"/>
      <c r="L5041" s="209"/>
      <c r="M5041" s="209"/>
      <c r="N5041" s="209"/>
      <c r="O5041" s="209"/>
      <c r="P5041" s="209"/>
      <c r="Q5041" s="209"/>
      <c r="R5041" s="209"/>
      <c r="S5041" s="209"/>
      <c r="T5041" s="209"/>
    </row>
    <row r="5042" spans="1:20" ht="15" hidden="1" customHeight="1">
      <c r="A5042" s="468">
        <v>45516</v>
      </c>
      <c r="B5042" s="208" t="s">
        <v>4232</v>
      </c>
      <c r="C5042" s="208" t="s">
        <v>146</v>
      </c>
      <c r="D5042" s="211">
        <v>-27500</v>
      </c>
      <c r="E5042" s="212">
        <v>45505</v>
      </c>
      <c r="F5042" s="208" t="s">
        <v>110</v>
      </c>
      <c r="G5042" s="208" t="s">
        <v>2444</v>
      </c>
      <c r="H5042" s="208"/>
      <c r="I5042" s="208"/>
      <c r="J5042" s="209"/>
      <c r="K5042" s="209"/>
      <c r="L5042" s="209"/>
      <c r="M5042" s="209"/>
      <c r="N5042" s="209"/>
      <c r="O5042" s="209"/>
      <c r="P5042" s="209"/>
      <c r="Q5042" s="209"/>
      <c r="R5042" s="209"/>
      <c r="S5042" s="209"/>
      <c r="T5042" s="209"/>
    </row>
    <row r="5043" spans="1:20" ht="15" hidden="1" customHeight="1">
      <c r="A5043" s="468">
        <v>45516</v>
      </c>
      <c r="B5043" s="208" t="s">
        <v>3711</v>
      </c>
      <c r="C5043" s="208" t="s">
        <v>146</v>
      </c>
      <c r="D5043" s="211">
        <v>-22300</v>
      </c>
      <c r="E5043" s="212">
        <v>45505</v>
      </c>
      <c r="F5043" s="208" t="s">
        <v>110</v>
      </c>
      <c r="G5043" s="208" t="s">
        <v>2444</v>
      </c>
      <c r="H5043" s="208"/>
      <c r="I5043" s="208"/>
      <c r="J5043" s="209"/>
      <c r="K5043" s="209"/>
      <c r="L5043" s="209"/>
      <c r="M5043" s="209"/>
      <c r="N5043" s="209"/>
      <c r="O5043" s="209"/>
      <c r="P5043" s="209"/>
      <c r="Q5043" s="209"/>
      <c r="R5043" s="209"/>
      <c r="S5043" s="209"/>
      <c r="T5043" s="209"/>
    </row>
    <row r="5044" spans="1:20" ht="15" hidden="1" customHeight="1">
      <c r="A5044" s="468">
        <v>45518</v>
      </c>
      <c r="B5044" s="208" t="s">
        <v>4233</v>
      </c>
      <c r="C5044" s="208" t="s">
        <v>146</v>
      </c>
      <c r="D5044" s="526">
        <v>-89900</v>
      </c>
      <c r="E5044" s="212">
        <v>45505</v>
      </c>
      <c r="F5044" s="208" t="s">
        <v>110</v>
      </c>
      <c r="G5044" s="208" t="s">
        <v>774</v>
      </c>
      <c r="H5044" s="208" t="s">
        <v>416</v>
      </c>
      <c r="I5044" s="208"/>
      <c r="J5044" s="209"/>
      <c r="K5044" s="209"/>
      <c r="L5044" s="209"/>
      <c r="M5044" s="209"/>
      <c r="N5044" s="209"/>
      <c r="O5044" s="209"/>
      <c r="P5044" s="209"/>
      <c r="Q5044" s="209"/>
      <c r="R5044" s="209"/>
      <c r="S5044" s="209"/>
      <c r="T5044" s="209"/>
    </row>
    <row r="5045" spans="1:20" ht="15" hidden="1" customHeight="1">
      <c r="A5045" s="468">
        <v>45517</v>
      </c>
      <c r="B5045" s="208" t="s">
        <v>4233</v>
      </c>
      <c r="C5045" s="208" t="s">
        <v>146</v>
      </c>
      <c r="D5045" s="526">
        <v>-176000</v>
      </c>
      <c r="E5045" s="212">
        <v>45505</v>
      </c>
      <c r="F5045" s="208" t="s">
        <v>110</v>
      </c>
      <c r="G5045" s="208" t="s">
        <v>774</v>
      </c>
      <c r="H5045" s="208" t="s">
        <v>416</v>
      </c>
      <c r="I5045" s="208"/>
      <c r="J5045" s="209"/>
      <c r="K5045" s="209"/>
      <c r="L5045" s="209"/>
      <c r="M5045" s="209"/>
      <c r="N5045" s="209"/>
      <c r="O5045" s="209"/>
      <c r="P5045" s="209"/>
      <c r="Q5045" s="209"/>
      <c r="R5045" s="209"/>
      <c r="S5045" s="209"/>
      <c r="T5045" s="209"/>
    </row>
    <row r="5046" spans="1:20" ht="15" hidden="1" customHeight="1">
      <c r="A5046" s="468">
        <v>45519</v>
      </c>
      <c r="B5046" s="208" t="s">
        <v>4234</v>
      </c>
      <c r="C5046" s="208" t="s">
        <v>146</v>
      </c>
      <c r="D5046" s="211">
        <v>-140000</v>
      </c>
      <c r="E5046" s="212">
        <v>45505</v>
      </c>
      <c r="F5046" s="208" t="s">
        <v>110</v>
      </c>
      <c r="G5046" s="201" t="s">
        <v>1489</v>
      </c>
      <c r="H5046" s="208" t="s">
        <v>138</v>
      </c>
      <c r="I5046" s="208"/>
      <c r="J5046" s="209"/>
      <c r="K5046" s="209"/>
      <c r="L5046" s="209"/>
      <c r="M5046" s="209"/>
      <c r="N5046" s="209"/>
      <c r="O5046" s="209"/>
      <c r="P5046" s="209"/>
      <c r="Q5046" s="209"/>
      <c r="R5046" s="209"/>
      <c r="S5046" s="209"/>
      <c r="T5046" s="209"/>
    </row>
    <row r="5047" spans="1:20" ht="15" hidden="1" customHeight="1">
      <c r="A5047" s="468">
        <v>45519</v>
      </c>
      <c r="B5047" s="208" t="s">
        <v>4234</v>
      </c>
      <c r="C5047" s="208" t="s">
        <v>146</v>
      </c>
      <c r="D5047" s="211">
        <v>-128968</v>
      </c>
      <c r="E5047" s="212">
        <v>45505</v>
      </c>
      <c r="F5047" s="208" t="s">
        <v>109</v>
      </c>
      <c r="G5047" s="654" t="s">
        <v>2585</v>
      </c>
      <c r="H5047" s="208" t="s">
        <v>138</v>
      </c>
      <c r="I5047" s="208"/>
      <c r="J5047" s="209"/>
      <c r="K5047" s="209"/>
      <c r="L5047" s="209"/>
      <c r="M5047" s="209"/>
      <c r="N5047" s="209"/>
      <c r="O5047" s="209"/>
      <c r="P5047" s="209"/>
      <c r="Q5047" s="209"/>
      <c r="R5047" s="209"/>
      <c r="S5047" s="209"/>
      <c r="T5047" s="209"/>
    </row>
    <row r="5048" spans="1:20" ht="15" hidden="1" customHeight="1">
      <c r="A5048" s="468">
        <v>45519</v>
      </c>
      <c r="B5048" s="208" t="s">
        <v>4234</v>
      </c>
      <c r="C5048" s="208" t="s">
        <v>146</v>
      </c>
      <c r="D5048" s="211">
        <v>-139000</v>
      </c>
      <c r="E5048" s="212">
        <v>45505</v>
      </c>
      <c r="F5048" s="208" t="s">
        <v>110</v>
      </c>
      <c r="G5048" s="208" t="s">
        <v>122</v>
      </c>
      <c r="H5048" s="208" t="s">
        <v>138</v>
      </c>
      <c r="I5048" s="208"/>
      <c r="J5048" s="209"/>
      <c r="K5048" s="209"/>
      <c r="L5048" s="209"/>
      <c r="M5048" s="209"/>
      <c r="N5048" s="209"/>
      <c r="O5048" s="209"/>
      <c r="P5048" s="209"/>
      <c r="Q5048" s="209"/>
      <c r="R5048" s="209"/>
      <c r="S5048" s="209"/>
      <c r="T5048" s="209"/>
    </row>
    <row r="5049" spans="1:20" ht="15" hidden="1" customHeight="1">
      <c r="A5049" s="468">
        <v>45519</v>
      </c>
      <c r="B5049" s="208" t="s">
        <v>4234</v>
      </c>
      <c r="C5049" s="208" t="s">
        <v>146</v>
      </c>
      <c r="D5049" s="211">
        <v>-56000</v>
      </c>
      <c r="E5049" s="212">
        <v>45505</v>
      </c>
      <c r="F5049" s="208" t="s">
        <v>207</v>
      </c>
      <c r="G5049" s="208" t="s">
        <v>207</v>
      </c>
      <c r="H5049" s="208" t="s">
        <v>138</v>
      </c>
      <c r="I5049" s="208"/>
      <c r="J5049" s="209"/>
      <c r="K5049" s="209"/>
      <c r="L5049" s="209"/>
      <c r="M5049" s="209"/>
      <c r="N5049" s="209"/>
      <c r="O5049" s="209"/>
      <c r="P5049" s="209"/>
      <c r="Q5049" s="209"/>
      <c r="R5049" s="209"/>
      <c r="S5049" s="209"/>
      <c r="T5049" s="209"/>
    </row>
    <row r="5050" spans="1:20" ht="15" hidden="1" customHeight="1">
      <c r="A5050" s="468">
        <v>45519</v>
      </c>
      <c r="B5050" s="208" t="s">
        <v>4234</v>
      </c>
      <c r="C5050" s="208" t="s">
        <v>146</v>
      </c>
      <c r="D5050" s="211">
        <v>-30000</v>
      </c>
      <c r="E5050" s="212">
        <v>45505</v>
      </c>
      <c r="F5050" s="208" t="s">
        <v>130</v>
      </c>
      <c r="G5050" s="208" t="s">
        <v>130</v>
      </c>
      <c r="H5050" s="208" t="s">
        <v>138</v>
      </c>
      <c r="I5050" s="208"/>
      <c r="J5050" s="209"/>
      <c r="K5050" s="209"/>
      <c r="L5050" s="209"/>
      <c r="M5050" s="209"/>
      <c r="N5050" s="209"/>
      <c r="O5050" s="209"/>
      <c r="P5050" s="209"/>
      <c r="Q5050" s="209"/>
      <c r="R5050" s="209"/>
      <c r="S5050" s="209"/>
      <c r="T5050" s="209"/>
    </row>
    <row r="5051" spans="1:20" ht="15" hidden="1" customHeight="1">
      <c r="A5051" s="468">
        <v>45519</v>
      </c>
      <c r="B5051" s="208" t="s">
        <v>3190</v>
      </c>
      <c r="C5051" s="208" t="s">
        <v>133</v>
      </c>
      <c r="D5051" s="211">
        <v>-5020</v>
      </c>
      <c r="E5051" s="212">
        <v>45505</v>
      </c>
      <c r="F5051" s="208" t="s">
        <v>4132</v>
      </c>
      <c r="G5051" s="208"/>
      <c r="H5051" s="208" t="s">
        <v>138</v>
      </c>
      <c r="I5051" s="208"/>
      <c r="J5051" s="209"/>
      <c r="K5051" s="209"/>
      <c r="L5051" s="209"/>
      <c r="M5051" s="209"/>
      <c r="N5051" s="209"/>
      <c r="O5051" s="209"/>
      <c r="P5051" s="209"/>
      <c r="Q5051" s="209"/>
      <c r="R5051" s="209"/>
      <c r="S5051" s="209"/>
      <c r="T5051" s="209"/>
    </row>
    <row r="5052" spans="1:20" ht="15" hidden="1" customHeight="1">
      <c r="A5052" s="468">
        <v>45519</v>
      </c>
      <c r="B5052" s="208" t="s">
        <v>4133</v>
      </c>
      <c r="C5052" s="208" t="s">
        <v>133</v>
      </c>
      <c r="D5052" s="211">
        <v>-3012</v>
      </c>
      <c r="E5052" s="212">
        <v>45505</v>
      </c>
      <c r="F5052" s="208" t="s">
        <v>4132</v>
      </c>
      <c r="G5052" s="208"/>
      <c r="H5052" s="208" t="s">
        <v>138</v>
      </c>
      <c r="I5052" s="208"/>
      <c r="J5052" s="209"/>
      <c r="K5052" s="209"/>
      <c r="L5052" s="209"/>
      <c r="M5052" s="209"/>
      <c r="N5052" s="209"/>
      <c r="O5052" s="209"/>
      <c r="P5052" s="209"/>
      <c r="Q5052" s="209"/>
      <c r="R5052" s="209"/>
      <c r="S5052" s="209"/>
      <c r="T5052" s="209"/>
    </row>
    <row r="5053" spans="1:20" ht="15" hidden="1" customHeight="1">
      <c r="A5053" s="468">
        <v>45520</v>
      </c>
      <c r="B5053" s="208" t="s">
        <v>4235</v>
      </c>
      <c r="C5053" s="208" t="s">
        <v>146</v>
      </c>
      <c r="D5053" s="211">
        <v>-7000</v>
      </c>
      <c r="E5053" s="212">
        <v>45505</v>
      </c>
      <c r="F5053" s="208" t="s">
        <v>109</v>
      </c>
      <c r="G5053" s="208" t="s">
        <v>3529</v>
      </c>
      <c r="H5053" s="208" t="s">
        <v>138</v>
      </c>
      <c r="I5053" s="208"/>
      <c r="J5053" s="209"/>
      <c r="K5053" s="209"/>
      <c r="L5053" s="209"/>
      <c r="M5053" s="209"/>
      <c r="N5053" s="209"/>
      <c r="O5053" s="209"/>
      <c r="P5053" s="209"/>
      <c r="Q5053" s="209"/>
      <c r="R5053" s="209"/>
      <c r="S5053" s="209"/>
      <c r="T5053" s="209"/>
    </row>
    <row r="5054" spans="1:20" ht="15" hidden="1" customHeight="1">
      <c r="A5054" s="468">
        <v>45520</v>
      </c>
      <c r="B5054" s="208" t="s">
        <v>4235</v>
      </c>
      <c r="C5054" s="208" t="s">
        <v>146</v>
      </c>
      <c r="D5054" s="211">
        <v>-7000</v>
      </c>
      <c r="E5054" s="212">
        <v>45505</v>
      </c>
      <c r="F5054" s="208" t="s">
        <v>110</v>
      </c>
      <c r="G5054" s="208" t="s">
        <v>774</v>
      </c>
      <c r="H5054" s="208" t="s">
        <v>138</v>
      </c>
      <c r="I5054" s="208"/>
      <c r="J5054" s="209"/>
      <c r="K5054" s="209"/>
      <c r="L5054" s="209"/>
      <c r="M5054" s="209"/>
      <c r="N5054" s="209"/>
      <c r="O5054" s="209"/>
      <c r="P5054" s="209"/>
      <c r="Q5054" s="209"/>
      <c r="R5054" s="209"/>
      <c r="S5054" s="209"/>
      <c r="T5054" s="209"/>
    </row>
    <row r="5055" spans="1:20" ht="15" hidden="1" customHeight="1">
      <c r="A5055" s="468">
        <v>45520</v>
      </c>
      <c r="B5055" s="208" t="s">
        <v>4235</v>
      </c>
      <c r="C5055" s="208" t="s">
        <v>146</v>
      </c>
      <c r="D5055" s="211">
        <v>-84072</v>
      </c>
      <c r="E5055" s="212">
        <v>45505</v>
      </c>
      <c r="F5055" s="208" t="s">
        <v>110</v>
      </c>
      <c r="G5055" s="208" t="s">
        <v>122</v>
      </c>
      <c r="H5055" s="208" t="s">
        <v>138</v>
      </c>
      <c r="I5055" s="208"/>
      <c r="J5055" s="209"/>
      <c r="K5055" s="209"/>
      <c r="L5055" s="209"/>
      <c r="M5055" s="209"/>
      <c r="N5055" s="209"/>
      <c r="O5055" s="209"/>
      <c r="P5055" s="209"/>
      <c r="Q5055" s="209"/>
      <c r="R5055" s="209"/>
      <c r="S5055" s="209"/>
      <c r="T5055" s="209"/>
    </row>
    <row r="5056" spans="1:20" ht="15" hidden="1" customHeight="1">
      <c r="A5056" s="468">
        <v>45520</v>
      </c>
      <c r="B5056" s="208" t="s">
        <v>4235</v>
      </c>
      <c r="C5056" s="208" t="s">
        <v>146</v>
      </c>
      <c r="D5056" s="211">
        <v>-42000</v>
      </c>
      <c r="E5056" s="212">
        <v>45505</v>
      </c>
      <c r="F5056" s="208" t="s">
        <v>110</v>
      </c>
      <c r="G5056" s="201" t="s">
        <v>1489</v>
      </c>
      <c r="H5056" s="208" t="s">
        <v>138</v>
      </c>
      <c r="I5056" s="208"/>
      <c r="J5056" s="209"/>
      <c r="K5056" s="209"/>
      <c r="L5056" s="209"/>
      <c r="M5056" s="209"/>
      <c r="N5056" s="209"/>
      <c r="O5056" s="209"/>
      <c r="P5056" s="209"/>
      <c r="Q5056" s="209"/>
      <c r="R5056" s="209"/>
      <c r="S5056" s="209"/>
      <c r="T5056" s="209"/>
    </row>
    <row r="5057" spans="1:20" ht="15" hidden="1" customHeight="1">
      <c r="A5057" s="468">
        <v>45520</v>
      </c>
      <c r="B5057" s="208" t="s">
        <v>4235</v>
      </c>
      <c r="C5057" s="208" t="s">
        <v>146</v>
      </c>
      <c r="D5057" s="211">
        <v>-21000</v>
      </c>
      <c r="E5057" s="212">
        <v>45505</v>
      </c>
      <c r="F5057" s="208" t="s">
        <v>130</v>
      </c>
      <c r="G5057" s="208" t="s">
        <v>130</v>
      </c>
      <c r="H5057" s="208" t="s">
        <v>138</v>
      </c>
      <c r="I5057" s="208"/>
      <c r="J5057" s="209"/>
      <c r="K5057" s="209"/>
      <c r="L5057" s="209"/>
      <c r="M5057" s="209"/>
      <c r="N5057" s="209"/>
      <c r="O5057" s="209"/>
      <c r="P5057" s="209"/>
      <c r="Q5057" s="209"/>
      <c r="R5057" s="209"/>
      <c r="S5057" s="209"/>
      <c r="T5057" s="209"/>
    </row>
    <row r="5058" spans="1:20" ht="15" hidden="1" customHeight="1">
      <c r="A5058" s="468">
        <v>45520</v>
      </c>
      <c r="B5058" s="208" t="s">
        <v>4235</v>
      </c>
      <c r="C5058" s="208" t="s">
        <v>146</v>
      </c>
      <c r="D5058" s="211">
        <v>-12000</v>
      </c>
      <c r="E5058" s="212">
        <v>45505</v>
      </c>
      <c r="F5058" s="208" t="s">
        <v>109</v>
      </c>
      <c r="G5058" s="654" t="s">
        <v>2585</v>
      </c>
      <c r="H5058" s="208" t="s">
        <v>138</v>
      </c>
      <c r="I5058" s="208"/>
      <c r="J5058" s="209"/>
      <c r="K5058" s="209"/>
      <c r="L5058" s="209"/>
      <c r="M5058" s="209"/>
      <c r="N5058" s="209"/>
      <c r="O5058" s="209"/>
      <c r="P5058" s="209"/>
      <c r="Q5058" s="209"/>
      <c r="R5058" s="209"/>
      <c r="S5058" s="209"/>
      <c r="T5058" s="209"/>
    </row>
    <row r="5059" spans="1:20" ht="15" hidden="1" customHeight="1">
      <c r="A5059" s="468">
        <v>45520</v>
      </c>
      <c r="B5059" s="208" t="s">
        <v>4235</v>
      </c>
      <c r="C5059" s="208" t="s">
        <v>146</v>
      </c>
      <c r="D5059" s="211">
        <v>-7000</v>
      </c>
      <c r="E5059" s="212">
        <v>45505</v>
      </c>
      <c r="F5059" s="208" t="s">
        <v>109</v>
      </c>
      <c r="G5059" s="208" t="s">
        <v>3529</v>
      </c>
      <c r="H5059" s="208" t="s">
        <v>138</v>
      </c>
      <c r="I5059" s="208"/>
      <c r="J5059" s="209"/>
      <c r="K5059" s="209"/>
      <c r="L5059" s="209"/>
      <c r="M5059" s="209"/>
      <c r="N5059" s="209"/>
      <c r="O5059" s="209"/>
      <c r="P5059" s="209"/>
      <c r="Q5059" s="209"/>
      <c r="R5059" s="209"/>
      <c r="S5059" s="209"/>
      <c r="T5059" s="209"/>
    </row>
    <row r="5060" spans="1:20" ht="15" hidden="1" customHeight="1">
      <c r="A5060" s="468">
        <v>45520</v>
      </c>
      <c r="B5060" s="208" t="s">
        <v>3187</v>
      </c>
      <c r="C5060" s="208" t="s">
        <v>133</v>
      </c>
      <c r="D5060" s="211">
        <v>-1830</v>
      </c>
      <c r="E5060" s="212">
        <v>45505</v>
      </c>
      <c r="F5060" s="208" t="s">
        <v>4132</v>
      </c>
      <c r="G5060" s="208"/>
      <c r="H5060" s="208" t="s">
        <v>138</v>
      </c>
      <c r="I5060" s="208"/>
      <c r="J5060" s="209"/>
      <c r="K5060" s="209"/>
      <c r="L5060" s="209"/>
      <c r="M5060" s="209"/>
      <c r="N5060" s="209"/>
      <c r="O5060" s="209"/>
      <c r="P5060" s="209"/>
      <c r="Q5060" s="209"/>
      <c r="R5060" s="209"/>
      <c r="S5060" s="209"/>
      <c r="T5060" s="209"/>
    </row>
    <row r="5061" spans="1:20" ht="15" hidden="1" customHeight="1">
      <c r="A5061" s="468">
        <v>45520</v>
      </c>
      <c r="B5061" s="208" t="s">
        <v>3292</v>
      </c>
      <c r="C5061" s="208" t="s">
        <v>133</v>
      </c>
      <c r="D5061" s="211">
        <v>-1098</v>
      </c>
      <c r="E5061" s="212">
        <v>45505</v>
      </c>
      <c r="F5061" s="208" t="s">
        <v>4132</v>
      </c>
      <c r="G5061" s="208"/>
      <c r="H5061" s="208" t="s">
        <v>138</v>
      </c>
      <c r="I5061" s="208"/>
      <c r="J5061" s="209"/>
      <c r="K5061" s="209"/>
      <c r="L5061" s="209"/>
      <c r="M5061" s="209"/>
      <c r="N5061" s="209"/>
      <c r="O5061" s="209"/>
      <c r="P5061" s="209"/>
      <c r="Q5061" s="209"/>
      <c r="R5061" s="209"/>
      <c r="S5061" s="209"/>
      <c r="T5061" s="209"/>
    </row>
    <row r="5062" spans="1:20" ht="15" hidden="1" customHeight="1">
      <c r="A5062" s="468">
        <v>45516</v>
      </c>
      <c r="B5062" s="208" t="s">
        <v>4235</v>
      </c>
      <c r="C5062" s="208" t="s">
        <v>146</v>
      </c>
      <c r="D5062" s="211">
        <v>-40000</v>
      </c>
      <c r="E5062" s="212">
        <v>45505</v>
      </c>
      <c r="F5062" s="208" t="s">
        <v>207</v>
      </c>
      <c r="G5062" s="208" t="s">
        <v>207</v>
      </c>
      <c r="H5062" s="208" t="s">
        <v>138</v>
      </c>
      <c r="I5062" s="208"/>
      <c r="J5062" s="209"/>
      <c r="K5062" s="209"/>
      <c r="L5062" s="209"/>
      <c r="M5062" s="209"/>
      <c r="N5062" s="209"/>
      <c r="O5062" s="209"/>
      <c r="P5062" s="209"/>
      <c r="Q5062" s="209"/>
      <c r="R5062" s="209"/>
      <c r="S5062" s="209"/>
      <c r="T5062" s="209"/>
    </row>
    <row r="5063" spans="1:20" ht="15" hidden="1" customHeight="1">
      <c r="A5063" s="468">
        <v>45516</v>
      </c>
      <c r="B5063" s="208" t="s">
        <v>4235</v>
      </c>
      <c r="C5063" s="208" t="s">
        <v>146</v>
      </c>
      <c r="D5063" s="211">
        <v>-21000</v>
      </c>
      <c r="E5063" s="212">
        <v>45505</v>
      </c>
      <c r="F5063" s="208" t="s">
        <v>110</v>
      </c>
      <c r="G5063" s="208" t="s">
        <v>774</v>
      </c>
      <c r="H5063" s="208" t="s">
        <v>138</v>
      </c>
      <c r="I5063" s="208"/>
      <c r="J5063" s="209"/>
      <c r="K5063" s="209"/>
      <c r="L5063" s="209"/>
      <c r="M5063" s="209"/>
      <c r="N5063" s="209"/>
      <c r="O5063" s="209"/>
      <c r="P5063" s="209"/>
      <c r="Q5063" s="209"/>
      <c r="R5063" s="209"/>
      <c r="S5063" s="209"/>
      <c r="T5063" s="209"/>
    </row>
    <row r="5064" spans="1:20" ht="15" hidden="1" customHeight="1">
      <c r="A5064" s="468">
        <v>45516</v>
      </c>
      <c r="B5064" s="208" t="s">
        <v>4235</v>
      </c>
      <c r="C5064" s="208" t="s">
        <v>146</v>
      </c>
      <c r="D5064" s="211">
        <v>-66000</v>
      </c>
      <c r="E5064" s="212">
        <v>45505</v>
      </c>
      <c r="F5064" s="208" t="s">
        <v>110</v>
      </c>
      <c r="G5064" s="208" t="s">
        <v>122</v>
      </c>
      <c r="H5064" s="208" t="s">
        <v>138</v>
      </c>
      <c r="I5064" s="208"/>
      <c r="J5064" s="209"/>
      <c r="K5064" s="209"/>
      <c r="L5064" s="209"/>
      <c r="M5064" s="209"/>
      <c r="N5064" s="209"/>
      <c r="O5064" s="209"/>
      <c r="P5064" s="209"/>
      <c r="Q5064" s="209"/>
      <c r="R5064" s="209"/>
      <c r="S5064" s="209"/>
      <c r="T5064" s="209"/>
    </row>
    <row r="5065" spans="1:20" ht="15" hidden="1" customHeight="1">
      <c r="A5065" s="468">
        <v>45516</v>
      </c>
      <c r="B5065" s="208" t="s">
        <v>4235</v>
      </c>
      <c r="C5065" s="208" t="s">
        <v>146</v>
      </c>
      <c r="D5065" s="211">
        <v>-28000</v>
      </c>
      <c r="E5065" s="212">
        <v>45505</v>
      </c>
      <c r="F5065" s="208" t="s">
        <v>110</v>
      </c>
      <c r="G5065" s="201" t="s">
        <v>1489</v>
      </c>
      <c r="H5065" s="208" t="s">
        <v>138</v>
      </c>
      <c r="I5065" s="208"/>
      <c r="J5065" s="209"/>
      <c r="K5065" s="209"/>
      <c r="L5065" s="209"/>
      <c r="M5065" s="209"/>
      <c r="N5065" s="209"/>
      <c r="O5065" s="209"/>
      <c r="P5065" s="209"/>
      <c r="Q5065" s="209"/>
      <c r="R5065" s="209"/>
      <c r="S5065" s="209"/>
      <c r="T5065" s="209"/>
    </row>
    <row r="5066" spans="1:20" ht="15" hidden="1" customHeight="1">
      <c r="A5066" s="468">
        <v>45516</v>
      </c>
      <c r="B5066" s="208" t="s">
        <v>4235</v>
      </c>
      <c r="C5066" s="208" t="s">
        <v>146</v>
      </c>
      <c r="D5066" s="211">
        <v>-14000</v>
      </c>
      <c r="E5066" s="212">
        <v>45505</v>
      </c>
      <c r="F5066" s="208" t="s">
        <v>130</v>
      </c>
      <c r="G5066" s="208" t="s">
        <v>130</v>
      </c>
      <c r="H5066" s="208" t="s">
        <v>138</v>
      </c>
      <c r="I5066" s="208"/>
      <c r="J5066" s="209"/>
      <c r="K5066" s="209"/>
      <c r="L5066" s="209"/>
      <c r="M5066" s="209"/>
      <c r="N5066" s="209"/>
      <c r="O5066" s="209"/>
      <c r="P5066" s="209"/>
      <c r="Q5066" s="209"/>
      <c r="R5066" s="209"/>
      <c r="S5066" s="209"/>
      <c r="T5066" s="209"/>
    </row>
    <row r="5067" spans="1:20" ht="15" hidden="1" customHeight="1">
      <c r="A5067" s="468">
        <v>45516</v>
      </c>
      <c r="B5067" s="208" t="s">
        <v>4235</v>
      </c>
      <c r="C5067" s="208" t="s">
        <v>146</v>
      </c>
      <c r="D5067" s="211">
        <v>-7000</v>
      </c>
      <c r="E5067" s="212">
        <v>45505</v>
      </c>
      <c r="F5067" s="208" t="s">
        <v>109</v>
      </c>
      <c r="G5067" s="208" t="s">
        <v>3529</v>
      </c>
      <c r="H5067" s="208" t="s">
        <v>138</v>
      </c>
      <c r="I5067" s="208"/>
      <c r="J5067" s="209"/>
      <c r="K5067" s="209"/>
      <c r="L5067" s="209"/>
      <c r="M5067" s="209"/>
      <c r="N5067" s="209"/>
      <c r="O5067" s="209"/>
      <c r="P5067" s="209"/>
      <c r="Q5067" s="209"/>
      <c r="R5067" s="209"/>
      <c r="S5067" s="209"/>
      <c r="T5067" s="209"/>
    </row>
    <row r="5068" spans="1:20" ht="15" hidden="1" customHeight="1">
      <c r="A5068" s="468">
        <v>45505</v>
      </c>
      <c r="B5068" s="208" t="s">
        <v>4236</v>
      </c>
      <c r="C5068" s="208" t="s">
        <v>146</v>
      </c>
      <c r="D5068" s="801">
        <v>-20000</v>
      </c>
      <c r="E5068" s="212">
        <v>45505</v>
      </c>
      <c r="F5068" s="208" t="s">
        <v>109</v>
      </c>
      <c r="G5068" s="201" t="s">
        <v>581</v>
      </c>
      <c r="H5068" s="208" t="s">
        <v>138</v>
      </c>
      <c r="I5068" s="208"/>
      <c r="J5068" s="209"/>
      <c r="K5068" s="209"/>
      <c r="L5068" s="209"/>
      <c r="M5068" s="209"/>
      <c r="N5068" s="209"/>
      <c r="O5068" s="209"/>
      <c r="P5068" s="209"/>
      <c r="Q5068" s="209"/>
      <c r="R5068" s="209"/>
      <c r="S5068" s="209"/>
      <c r="T5068" s="209"/>
    </row>
    <row r="5069" spans="1:20" ht="15" hidden="1" customHeight="1">
      <c r="A5069" s="468">
        <v>45505</v>
      </c>
      <c r="B5069" s="208" t="s">
        <v>4237</v>
      </c>
      <c r="C5069" s="208" t="s">
        <v>146</v>
      </c>
      <c r="D5069" s="801">
        <v>-20000</v>
      </c>
      <c r="E5069" s="212">
        <v>45505</v>
      </c>
      <c r="F5069" s="208" t="s">
        <v>109</v>
      </c>
      <c r="G5069" s="201" t="s">
        <v>581</v>
      </c>
      <c r="H5069" s="208" t="s">
        <v>138</v>
      </c>
      <c r="I5069" s="208"/>
      <c r="J5069" s="209"/>
      <c r="K5069" s="209"/>
      <c r="L5069" s="209"/>
      <c r="M5069" s="209"/>
      <c r="N5069" s="209"/>
      <c r="O5069" s="209"/>
      <c r="P5069" s="209"/>
      <c r="Q5069" s="209"/>
      <c r="R5069" s="209"/>
      <c r="S5069" s="209"/>
      <c r="T5069" s="209"/>
    </row>
    <row r="5070" spans="1:20" ht="15" hidden="1" customHeight="1">
      <c r="A5070" s="468">
        <v>45505</v>
      </c>
      <c r="B5070" s="208" t="s">
        <v>4238</v>
      </c>
      <c r="C5070" s="208" t="s">
        <v>146</v>
      </c>
      <c r="D5070" s="801">
        <v>-20000</v>
      </c>
      <c r="E5070" s="212">
        <v>45505</v>
      </c>
      <c r="F5070" s="208" t="s">
        <v>109</v>
      </c>
      <c r="G5070" s="201" t="s">
        <v>581</v>
      </c>
      <c r="H5070" s="208" t="s">
        <v>138</v>
      </c>
      <c r="I5070" s="208"/>
      <c r="J5070" s="209"/>
      <c r="K5070" s="209"/>
      <c r="L5070" s="209"/>
      <c r="M5070" s="209"/>
      <c r="N5070" s="209"/>
      <c r="O5070" s="209"/>
      <c r="P5070" s="209"/>
      <c r="Q5070" s="209"/>
      <c r="R5070" s="209"/>
      <c r="S5070" s="209"/>
      <c r="T5070" s="209"/>
    </row>
    <row r="5071" spans="1:20" ht="15" hidden="1" customHeight="1">
      <c r="A5071" s="468">
        <v>45505</v>
      </c>
      <c r="B5071" s="208" t="s">
        <v>3989</v>
      </c>
      <c r="C5071" s="208" t="s">
        <v>146</v>
      </c>
      <c r="D5071" s="718">
        <v>-10000</v>
      </c>
      <c r="E5071" s="212">
        <v>45505</v>
      </c>
      <c r="F5071" s="208" t="s">
        <v>109</v>
      </c>
      <c r="G5071" s="201" t="s">
        <v>581</v>
      </c>
      <c r="H5071" s="208" t="s">
        <v>138</v>
      </c>
      <c r="I5071" s="208"/>
      <c r="J5071" s="209"/>
      <c r="K5071" s="209"/>
      <c r="L5071" s="209"/>
      <c r="M5071" s="209"/>
      <c r="N5071" s="209"/>
      <c r="O5071" s="209"/>
      <c r="P5071" s="209"/>
      <c r="Q5071" s="209"/>
      <c r="R5071" s="209"/>
      <c r="S5071" s="209"/>
      <c r="T5071" s="209"/>
    </row>
    <row r="5072" spans="1:20" ht="15" hidden="1" customHeight="1">
      <c r="A5072" s="468">
        <v>45505</v>
      </c>
      <c r="B5072" s="208" t="s">
        <v>4239</v>
      </c>
      <c r="C5072" s="208" t="s">
        <v>146</v>
      </c>
      <c r="D5072" s="718">
        <v>-10000</v>
      </c>
      <c r="E5072" s="212">
        <v>45505</v>
      </c>
      <c r="F5072" s="208" t="s">
        <v>109</v>
      </c>
      <c r="G5072" s="201" t="s">
        <v>581</v>
      </c>
      <c r="H5072" s="208" t="s">
        <v>138</v>
      </c>
      <c r="I5072" s="208"/>
      <c r="J5072" s="209"/>
      <c r="K5072" s="209"/>
      <c r="L5072" s="209"/>
      <c r="M5072" s="209"/>
      <c r="N5072" s="209"/>
      <c r="O5072" s="209"/>
      <c r="P5072" s="209"/>
      <c r="Q5072" s="209"/>
      <c r="R5072" s="209"/>
      <c r="S5072" s="209"/>
      <c r="T5072" s="209"/>
    </row>
    <row r="5073" spans="1:20" ht="15" hidden="1" customHeight="1">
      <c r="A5073" s="468">
        <v>45505</v>
      </c>
      <c r="B5073" s="208" t="s">
        <v>4240</v>
      </c>
      <c r="C5073" s="208" t="s">
        <v>146</v>
      </c>
      <c r="D5073" s="718">
        <v>-10000</v>
      </c>
      <c r="E5073" s="212">
        <v>45505</v>
      </c>
      <c r="F5073" s="208" t="s">
        <v>109</v>
      </c>
      <c r="G5073" s="201" t="s">
        <v>581</v>
      </c>
      <c r="H5073" s="208" t="s">
        <v>138</v>
      </c>
      <c r="I5073" s="208"/>
      <c r="J5073" s="209"/>
      <c r="K5073" s="209"/>
      <c r="L5073" s="209"/>
      <c r="M5073" s="209"/>
      <c r="N5073" s="209"/>
      <c r="O5073" s="209"/>
      <c r="P5073" s="209"/>
      <c r="Q5073" s="209"/>
      <c r="R5073" s="209"/>
      <c r="S5073" s="209"/>
      <c r="T5073" s="209"/>
    </row>
    <row r="5074" spans="1:20" ht="15" hidden="1" customHeight="1">
      <c r="A5074" s="468">
        <v>45505</v>
      </c>
      <c r="B5074" s="208" t="s">
        <v>4241</v>
      </c>
      <c r="C5074" s="208" t="s">
        <v>146</v>
      </c>
      <c r="D5074" s="801">
        <v>-25000</v>
      </c>
      <c r="E5074" s="212">
        <v>45505</v>
      </c>
      <c r="F5074" s="208" t="s">
        <v>109</v>
      </c>
      <c r="G5074" s="201" t="s">
        <v>581</v>
      </c>
      <c r="H5074" s="208" t="s">
        <v>138</v>
      </c>
      <c r="I5074" s="208"/>
      <c r="J5074" s="209"/>
      <c r="K5074" s="209"/>
      <c r="L5074" s="209"/>
      <c r="M5074" s="209"/>
      <c r="N5074" s="209"/>
      <c r="O5074" s="209"/>
      <c r="P5074" s="209"/>
      <c r="Q5074" s="209"/>
      <c r="R5074" s="209"/>
      <c r="S5074" s="209"/>
      <c r="T5074" s="209"/>
    </row>
    <row r="5075" spans="1:20" ht="15" hidden="1" customHeight="1">
      <c r="A5075" s="468">
        <v>45505</v>
      </c>
      <c r="B5075" s="208" t="s">
        <v>4242</v>
      </c>
      <c r="C5075" s="208" t="s">
        <v>146</v>
      </c>
      <c r="D5075" s="801">
        <v>-25000</v>
      </c>
      <c r="E5075" s="212">
        <v>45505</v>
      </c>
      <c r="F5075" s="208" t="s">
        <v>109</v>
      </c>
      <c r="G5075" s="201" t="s">
        <v>581</v>
      </c>
      <c r="H5075" s="208" t="s">
        <v>138</v>
      </c>
      <c r="I5075" s="208"/>
      <c r="J5075" s="209"/>
      <c r="K5075" s="209"/>
      <c r="L5075" s="209"/>
      <c r="M5075" s="209"/>
      <c r="N5075" s="209"/>
      <c r="O5075" s="209"/>
      <c r="P5075" s="209"/>
      <c r="Q5075" s="209"/>
      <c r="R5075" s="209"/>
      <c r="S5075" s="209"/>
      <c r="T5075" s="209"/>
    </row>
    <row r="5076" spans="1:20" ht="15" hidden="1" customHeight="1">
      <c r="A5076" s="468">
        <v>45505</v>
      </c>
      <c r="B5076" s="208" t="s">
        <v>4243</v>
      </c>
      <c r="C5076" s="208" t="s">
        <v>146</v>
      </c>
      <c r="D5076" s="801">
        <v>-25000</v>
      </c>
      <c r="E5076" s="212">
        <v>45505</v>
      </c>
      <c r="F5076" s="208" t="s">
        <v>109</v>
      </c>
      <c r="G5076" s="201" t="s">
        <v>581</v>
      </c>
      <c r="H5076" s="208" t="s">
        <v>138</v>
      </c>
      <c r="I5076" s="208"/>
      <c r="J5076" s="209"/>
      <c r="K5076" s="209"/>
      <c r="L5076" s="209"/>
      <c r="M5076" s="209"/>
      <c r="N5076" s="209"/>
      <c r="O5076" s="209"/>
      <c r="P5076" s="209"/>
      <c r="Q5076" s="209"/>
      <c r="R5076" s="209"/>
      <c r="S5076" s="209"/>
      <c r="T5076" s="209"/>
    </row>
    <row r="5077" spans="1:20" ht="15" hidden="1" customHeight="1">
      <c r="A5077" s="468">
        <v>45516</v>
      </c>
      <c r="B5077" s="208" t="s">
        <v>4244</v>
      </c>
      <c r="C5077" s="208" t="s">
        <v>146</v>
      </c>
      <c r="D5077" s="211">
        <v>-17999</v>
      </c>
      <c r="E5077" s="212">
        <v>45505</v>
      </c>
      <c r="F5077" s="208" t="s">
        <v>110</v>
      </c>
      <c r="G5077" s="208" t="s">
        <v>774</v>
      </c>
      <c r="H5077" s="208" t="s">
        <v>175</v>
      </c>
      <c r="I5077" s="208" t="s">
        <v>173</v>
      </c>
      <c r="J5077" s="209"/>
      <c r="K5077" s="209"/>
      <c r="L5077" s="209"/>
      <c r="M5077" s="209"/>
      <c r="N5077" s="209"/>
      <c r="O5077" s="209"/>
      <c r="P5077" s="209"/>
      <c r="Q5077" s="209"/>
      <c r="R5077" s="209"/>
      <c r="S5077" s="209"/>
      <c r="T5077" s="209"/>
    </row>
    <row r="5078" spans="1:20" ht="15" hidden="1" customHeight="1">
      <c r="A5078" s="468">
        <v>45516</v>
      </c>
      <c r="B5078" s="208" t="s">
        <v>4245</v>
      </c>
      <c r="C5078" s="208" t="s">
        <v>146</v>
      </c>
      <c r="D5078" s="211">
        <v>-6299</v>
      </c>
      <c r="E5078" s="212">
        <v>45505</v>
      </c>
      <c r="F5078" s="208" t="s">
        <v>130</v>
      </c>
      <c r="G5078" s="208" t="s">
        <v>130</v>
      </c>
      <c r="H5078" s="208" t="s">
        <v>2444</v>
      </c>
      <c r="I5078" s="208" t="s">
        <v>173</v>
      </c>
      <c r="J5078" s="209"/>
      <c r="K5078" s="209"/>
      <c r="L5078" s="209"/>
      <c r="M5078" s="209"/>
      <c r="N5078" s="209"/>
      <c r="O5078" s="209"/>
      <c r="P5078" s="209"/>
      <c r="Q5078" s="209"/>
      <c r="R5078" s="209"/>
      <c r="S5078" s="209"/>
      <c r="T5078" s="209"/>
    </row>
    <row r="5079" spans="1:20" ht="15" hidden="1" customHeight="1">
      <c r="A5079" s="468">
        <v>45516</v>
      </c>
      <c r="B5079" s="208" t="s">
        <v>4246</v>
      </c>
      <c r="C5079" s="208" t="s">
        <v>146</v>
      </c>
      <c r="D5079" s="211">
        <v>-2514</v>
      </c>
      <c r="E5079" s="212">
        <v>45505</v>
      </c>
      <c r="F5079" s="208" t="s">
        <v>110</v>
      </c>
      <c r="G5079" s="208" t="s">
        <v>774</v>
      </c>
      <c r="H5079" s="208" t="s">
        <v>175</v>
      </c>
      <c r="I5079" s="208" t="s">
        <v>173</v>
      </c>
      <c r="J5079" s="209"/>
      <c r="K5079" s="209"/>
      <c r="L5079" s="209"/>
      <c r="M5079" s="209"/>
      <c r="N5079" s="209"/>
      <c r="O5079" s="209"/>
      <c r="P5079" s="209"/>
      <c r="Q5079" s="209"/>
      <c r="R5079" s="209"/>
      <c r="S5079" s="209"/>
      <c r="T5079" s="209"/>
    </row>
    <row r="5080" spans="1:20" ht="15" hidden="1" customHeight="1">
      <c r="A5080" s="468">
        <v>45517</v>
      </c>
      <c r="B5080" s="208" t="s">
        <v>4247</v>
      </c>
      <c r="C5080" s="208" t="s">
        <v>146</v>
      </c>
      <c r="D5080" s="211">
        <v>-13800</v>
      </c>
      <c r="E5080" s="212">
        <v>45505</v>
      </c>
      <c r="F5080" s="208" t="s">
        <v>109</v>
      </c>
      <c r="G5080" s="654" t="s">
        <v>2585</v>
      </c>
      <c r="H5080" s="208" t="s">
        <v>175</v>
      </c>
      <c r="I5080" s="208" t="s">
        <v>173</v>
      </c>
      <c r="J5080" s="209"/>
      <c r="K5080" s="209"/>
      <c r="L5080" s="209"/>
      <c r="M5080" s="209"/>
      <c r="N5080" s="209"/>
      <c r="O5080" s="209"/>
      <c r="P5080" s="209"/>
      <c r="Q5080" s="209"/>
      <c r="R5080" s="209"/>
      <c r="S5080" s="209"/>
      <c r="T5080" s="209"/>
    </row>
    <row r="5081" spans="1:20" ht="15" hidden="1" customHeight="1">
      <c r="A5081" s="468">
        <v>45517</v>
      </c>
      <c r="B5081" s="208" t="s">
        <v>4248</v>
      </c>
      <c r="C5081" s="208" t="s">
        <v>146</v>
      </c>
      <c r="D5081" s="211">
        <v>-2000</v>
      </c>
      <c r="E5081" s="212">
        <v>45505</v>
      </c>
      <c r="F5081" s="208" t="s">
        <v>110</v>
      </c>
      <c r="G5081" s="208" t="s">
        <v>4249</v>
      </c>
      <c r="H5081" s="208" t="s">
        <v>2941</v>
      </c>
      <c r="I5081" s="208" t="s">
        <v>173</v>
      </c>
      <c r="J5081" s="209"/>
      <c r="K5081" s="209"/>
      <c r="L5081" s="209"/>
      <c r="M5081" s="209"/>
      <c r="N5081" s="209"/>
      <c r="O5081" s="209"/>
      <c r="P5081" s="209"/>
      <c r="Q5081" s="209"/>
      <c r="R5081" s="209"/>
      <c r="S5081" s="209"/>
      <c r="T5081" s="209"/>
    </row>
    <row r="5082" spans="1:20" ht="15" hidden="1" customHeight="1">
      <c r="A5082" s="468">
        <v>45517</v>
      </c>
      <c r="B5082" s="208" t="s">
        <v>4250</v>
      </c>
      <c r="C5082" s="208" t="s">
        <v>146</v>
      </c>
      <c r="D5082" s="211">
        <v>-59800</v>
      </c>
      <c r="E5082" s="212">
        <v>45505</v>
      </c>
      <c r="F5082" s="208" t="s">
        <v>110</v>
      </c>
      <c r="G5082" s="208" t="s">
        <v>4249</v>
      </c>
      <c r="H5082" s="208" t="s">
        <v>2941</v>
      </c>
      <c r="I5082" s="208" t="s">
        <v>173</v>
      </c>
      <c r="J5082" s="209"/>
      <c r="K5082" s="209"/>
      <c r="L5082" s="209"/>
      <c r="M5082" s="209"/>
      <c r="N5082" s="209"/>
      <c r="O5082" s="209"/>
      <c r="P5082" s="209"/>
      <c r="Q5082" s="209"/>
      <c r="R5082" s="209"/>
      <c r="S5082" s="209"/>
      <c r="T5082" s="209"/>
    </row>
    <row r="5083" spans="1:20" ht="15" hidden="1" customHeight="1">
      <c r="A5083" s="468">
        <v>45517</v>
      </c>
      <c r="B5083" s="208" t="s">
        <v>4251</v>
      </c>
      <c r="C5083" s="208" t="s">
        <v>146</v>
      </c>
      <c r="D5083" s="211">
        <v>-43000</v>
      </c>
      <c r="E5083" s="212">
        <v>45505</v>
      </c>
      <c r="F5083" s="208" t="s">
        <v>110</v>
      </c>
      <c r="G5083" s="201" t="s">
        <v>1489</v>
      </c>
      <c r="H5083" s="208" t="s">
        <v>2941</v>
      </c>
      <c r="I5083" s="208" t="s">
        <v>173</v>
      </c>
      <c r="J5083" s="209"/>
      <c r="K5083" s="209"/>
      <c r="L5083" s="209"/>
      <c r="M5083" s="209"/>
      <c r="N5083" s="209"/>
      <c r="O5083" s="209"/>
      <c r="P5083" s="209"/>
      <c r="Q5083" s="209"/>
      <c r="R5083" s="209"/>
      <c r="S5083" s="209"/>
      <c r="T5083" s="209"/>
    </row>
    <row r="5084" spans="1:20" ht="15" hidden="1" customHeight="1">
      <c r="A5084" s="468">
        <v>45517</v>
      </c>
      <c r="B5084" s="208" t="s">
        <v>4252</v>
      </c>
      <c r="C5084" s="208" t="s">
        <v>146</v>
      </c>
      <c r="D5084" s="211">
        <v>-5499</v>
      </c>
      <c r="E5084" s="212">
        <v>45505</v>
      </c>
      <c r="F5084" s="208" t="s">
        <v>207</v>
      </c>
      <c r="G5084" s="208" t="s">
        <v>207</v>
      </c>
      <c r="H5084" s="208" t="s">
        <v>175</v>
      </c>
      <c r="I5084" s="208" t="s">
        <v>173</v>
      </c>
      <c r="J5084" s="209"/>
      <c r="K5084" s="209"/>
      <c r="L5084" s="209"/>
      <c r="M5084" s="209"/>
      <c r="N5084" s="209"/>
      <c r="O5084" s="209"/>
      <c r="P5084" s="209"/>
      <c r="Q5084" s="209"/>
      <c r="R5084" s="209"/>
      <c r="S5084" s="209"/>
      <c r="T5084" s="209"/>
    </row>
    <row r="5085" spans="1:20" ht="15" hidden="1" customHeight="1">
      <c r="A5085" s="468">
        <v>45517</v>
      </c>
      <c r="B5085" s="208" t="s">
        <v>4253</v>
      </c>
      <c r="C5085" s="208" t="s">
        <v>146</v>
      </c>
      <c r="D5085" s="211">
        <v>-49999</v>
      </c>
      <c r="E5085" s="212">
        <v>45505</v>
      </c>
      <c r="F5085" s="208" t="s">
        <v>110</v>
      </c>
      <c r="G5085" s="201" t="s">
        <v>1489</v>
      </c>
      <c r="H5085" s="208" t="s">
        <v>2941</v>
      </c>
      <c r="I5085" s="208" t="s">
        <v>173</v>
      </c>
      <c r="J5085" s="209"/>
      <c r="K5085" s="209"/>
      <c r="L5085" s="209"/>
      <c r="M5085" s="209"/>
      <c r="N5085" s="209"/>
      <c r="O5085" s="209"/>
      <c r="P5085" s="209"/>
      <c r="Q5085" s="209"/>
      <c r="R5085" s="209"/>
      <c r="S5085" s="209"/>
      <c r="T5085" s="209"/>
    </row>
    <row r="5086" spans="1:20" ht="15" hidden="1" customHeight="1">
      <c r="A5086" s="468">
        <v>45517</v>
      </c>
      <c r="B5086" s="208" t="s">
        <v>4254</v>
      </c>
      <c r="C5086" s="208" t="s">
        <v>146</v>
      </c>
      <c r="D5086" s="211">
        <v>-12000</v>
      </c>
      <c r="E5086" s="212">
        <v>45505</v>
      </c>
      <c r="F5086" s="208" t="s">
        <v>110</v>
      </c>
      <c r="G5086" s="208" t="s">
        <v>4249</v>
      </c>
      <c r="H5086" s="208" t="s">
        <v>2941</v>
      </c>
      <c r="I5086" s="208" t="s">
        <v>173</v>
      </c>
      <c r="J5086" s="209"/>
      <c r="K5086" s="209"/>
      <c r="L5086" s="209"/>
      <c r="M5086" s="209"/>
      <c r="N5086" s="209"/>
      <c r="O5086" s="209"/>
      <c r="P5086" s="209"/>
      <c r="Q5086" s="209"/>
      <c r="R5086" s="209"/>
      <c r="S5086" s="209"/>
      <c r="T5086" s="209"/>
    </row>
    <row r="5087" spans="1:20" ht="15" hidden="1" customHeight="1">
      <c r="A5087" s="468">
        <v>45517</v>
      </c>
      <c r="B5087" s="208" t="s">
        <v>4255</v>
      </c>
      <c r="C5087" s="208" t="s">
        <v>146</v>
      </c>
      <c r="D5087" s="211">
        <v>-167709</v>
      </c>
      <c r="E5087" s="212">
        <v>45505</v>
      </c>
      <c r="F5087" s="208" t="s">
        <v>110</v>
      </c>
      <c r="G5087" s="208" t="s">
        <v>4249</v>
      </c>
      <c r="H5087" s="208" t="s">
        <v>2941</v>
      </c>
      <c r="I5087" s="208" t="s">
        <v>173</v>
      </c>
      <c r="J5087" s="209"/>
      <c r="K5087" s="209"/>
      <c r="L5087" s="209"/>
      <c r="M5087" s="209"/>
      <c r="N5087" s="209"/>
      <c r="O5087" s="209"/>
      <c r="P5087" s="209"/>
      <c r="Q5087" s="209"/>
      <c r="R5087" s="209"/>
      <c r="S5087" s="209"/>
      <c r="T5087" s="209"/>
    </row>
    <row r="5088" spans="1:20" ht="15" hidden="1" customHeight="1">
      <c r="A5088" s="468">
        <v>45517</v>
      </c>
      <c r="B5088" s="208" t="s">
        <v>4256</v>
      </c>
      <c r="C5088" s="208" t="s">
        <v>146</v>
      </c>
      <c r="D5088" s="211">
        <v>-182764</v>
      </c>
      <c r="E5088" s="212">
        <v>45505</v>
      </c>
      <c r="F5088" s="208" t="s">
        <v>110</v>
      </c>
      <c r="G5088" s="208" t="s">
        <v>4249</v>
      </c>
      <c r="H5088" s="208" t="s">
        <v>2941</v>
      </c>
      <c r="I5088" s="208" t="s">
        <v>173</v>
      </c>
      <c r="J5088" s="209"/>
      <c r="K5088" s="209"/>
      <c r="L5088" s="209"/>
      <c r="M5088" s="209"/>
      <c r="N5088" s="209"/>
      <c r="O5088" s="209"/>
      <c r="P5088" s="209"/>
      <c r="Q5088" s="209"/>
      <c r="R5088" s="209"/>
      <c r="S5088" s="209"/>
      <c r="T5088" s="209"/>
    </row>
    <row r="5089" spans="1:20" ht="15" hidden="1" customHeight="1">
      <c r="A5089" s="468">
        <v>45517</v>
      </c>
      <c r="B5089" s="208" t="s">
        <v>4257</v>
      </c>
      <c r="C5089" s="208" t="s">
        <v>146</v>
      </c>
      <c r="D5089" s="211">
        <v>-26388</v>
      </c>
      <c r="E5089" s="212">
        <v>45505</v>
      </c>
      <c r="F5089" s="208" t="s">
        <v>109</v>
      </c>
      <c r="G5089" s="654" t="s">
        <v>2585</v>
      </c>
      <c r="H5089" s="208" t="s">
        <v>175</v>
      </c>
      <c r="I5089" s="208" t="s">
        <v>173</v>
      </c>
      <c r="J5089" s="209"/>
      <c r="K5089" s="209"/>
      <c r="L5089" s="209"/>
      <c r="M5089" s="209"/>
      <c r="N5089" s="209"/>
      <c r="O5089" s="209"/>
      <c r="P5089" s="209"/>
      <c r="Q5089" s="209"/>
      <c r="R5089" s="209"/>
      <c r="S5089" s="209"/>
      <c r="T5089" s="209"/>
    </row>
    <row r="5090" spans="1:20" ht="15" hidden="1" customHeight="1">
      <c r="A5090" s="468">
        <v>45518</v>
      </c>
      <c r="B5090" s="208" t="s">
        <v>4258</v>
      </c>
      <c r="C5090" s="208" t="s">
        <v>146</v>
      </c>
      <c r="D5090" s="211">
        <v>-51799</v>
      </c>
      <c r="E5090" s="212">
        <v>45505</v>
      </c>
      <c r="F5090" s="208" t="s">
        <v>109</v>
      </c>
      <c r="G5090" s="654" t="s">
        <v>2585</v>
      </c>
      <c r="H5090" s="208" t="s">
        <v>175</v>
      </c>
      <c r="I5090" s="208" t="s">
        <v>173</v>
      </c>
      <c r="J5090" s="209"/>
      <c r="K5090" s="209"/>
      <c r="L5090" s="209"/>
      <c r="M5090" s="209"/>
      <c r="N5090" s="209"/>
      <c r="O5090" s="209"/>
      <c r="P5090" s="209"/>
      <c r="Q5090" s="209"/>
      <c r="R5090" s="209"/>
      <c r="S5090" s="209"/>
      <c r="T5090" s="209"/>
    </row>
    <row r="5091" spans="1:20" ht="15" hidden="1" customHeight="1">
      <c r="A5091" s="468">
        <v>45518</v>
      </c>
      <c r="B5091" s="208" t="s">
        <v>4259</v>
      </c>
      <c r="C5091" s="208" t="s">
        <v>146</v>
      </c>
      <c r="D5091" s="211">
        <v>-3000</v>
      </c>
      <c r="E5091" s="212">
        <v>45505</v>
      </c>
      <c r="F5091" s="208" t="s">
        <v>110</v>
      </c>
      <c r="G5091" s="208" t="s">
        <v>774</v>
      </c>
      <c r="H5091" s="208" t="s">
        <v>175</v>
      </c>
      <c r="I5091" s="208" t="s">
        <v>173</v>
      </c>
      <c r="J5091" s="209"/>
      <c r="K5091" s="209"/>
      <c r="L5091" s="209"/>
      <c r="M5091" s="209"/>
      <c r="N5091" s="209"/>
      <c r="O5091" s="209"/>
      <c r="P5091" s="209"/>
      <c r="Q5091" s="209"/>
      <c r="R5091" s="209"/>
      <c r="S5091" s="209"/>
      <c r="T5091" s="209"/>
    </row>
    <row r="5092" spans="1:20" ht="15" hidden="1" customHeight="1">
      <c r="A5092" s="468">
        <v>45518</v>
      </c>
      <c r="B5092" s="208" t="s">
        <v>4260</v>
      </c>
      <c r="C5092" s="208" t="s">
        <v>146</v>
      </c>
      <c r="D5092" s="211">
        <v>-4439</v>
      </c>
      <c r="E5092" s="212">
        <v>45505</v>
      </c>
      <c r="F5092" s="208" t="s">
        <v>110</v>
      </c>
      <c r="G5092" s="208" t="s">
        <v>774</v>
      </c>
      <c r="H5092" s="208" t="s">
        <v>175</v>
      </c>
      <c r="I5092" s="208" t="s">
        <v>173</v>
      </c>
      <c r="J5092" s="209"/>
      <c r="K5092" s="209"/>
      <c r="L5092" s="209"/>
      <c r="M5092" s="209"/>
      <c r="N5092" s="209"/>
      <c r="O5092" s="209"/>
      <c r="P5092" s="209"/>
      <c r="Q5092" s="209"/>
      <c r="R5092" s="209"/>
      <c r="S5092" s="209"/>
      <c r="T5092" s="209"/>
    </row>
    <row r="5093" spans="1:20" ht="15" hidden="1" customHeight="1">
      <c r="A5093" s="468">
        <v>45509</v>
      </c>
      <c r="B5093" s="208" t="s">
        <v>4261</v>
      </c>
      <c r="C5093" s="673" t="s">
        <v>146</v>
      </c>
      <c r="D5093" s="211">
        <v>-8500</v>
      </c>
      <c r="E5093" s="212">
        <v>45505</v>
      </c>
      <c r="F5093" s="208" t="s">
        <v>109</v>
      </c>
      <c r="G5093" s="208" t="s">
        <v>3529</v>
      </c>
      <c r="H5093" s="208" t="s">
        <v>175</v>
      </c>
      <c r="I5093" s="208" t="s">
        <v>173</v>
      </c>
      <c r="J5093" s="209"/>
      <c r="K5093" s="209"/>
      <c r="L5093" s="209"/>
      <c r="M5093" s="209"/>
      <c r="N5093" s="209"/>
      <c r="O5093" s="209"/>
      <c r="P5093" s="209"/>
      <c r="Q5093" s="209"/>
      <c r="R5093" s="209"/>
      <c r="S5093" s="209"/>
      <c r="T5093" s="209"/>
    </row>
    <row r="5094" spans="1:20" ht="15" hidden="1" customHeight="1">
      <c r="A5094" s="468">
        <v>45509</v>
      </c>
      <c r="B5094" s="208" t="s">
        <v>4262</v>
      </c>
      <c r="C5094" s="673" t="s">
        <v>146</v>
      </c>
      <c r="D5094" s="211">
        <v>-124000</v>
      </c>
      <c r="E5094" s="212">
        <v>45505</v>
      </c>
      <c r="F5094" s="208" t="s">
        <v>110</v>
      </c>
      <c r="G5094" s="673" t="s">
        <v>774</v>
      </c>
      <c r="H5094" s="208" t="s">
        <v>175</v>
      </c>
      <c r="I5094" s="208" t="s">
        <v>173</v>
      </c>
      <c r="J5094" s="209"/>
      <c r="K5094" s="209"/>
      <c r="L5094" s="209"/>
      <c r="M5094" s="209"/>
      <c r="N5094" s="209"/>
      <c r="O5094" s="209"/>
      <c r="P5094" s="209"/>
      <c r="Q5094" s="209"/>
      <c r="R5094" s="209"/>
      <c r="S5094" s="209"/>
      <c r="T5094" s="209"/>
    </row>
    <row r="5095" spans="1:20" ht="15" hidden="1" customHeight="1">
      <c r="A5095" s="468">
        <v>45509</v>
      </c>
      <c r="B5095" s="208" t="s">
        <v>4263</v>
      </c>
      <c r="C5095" s="673" t="s">
        <v>146</v>
      </c>
      <c r="D5095" s="211">
        <v>-39500</v>
      </c>
      <c r="E5095" s="212">
        <v>45505</v>
      </c>
      <c r="F5095" s="208" t="s">
        <v>110</v>
      </c>
      <c r="G5095" s="673" t="s">
        <v>774</v>
      </c>
      <c r="H5095" s="208" t="s">
        <v>175</v>
      </c>
      <c r="I5095" s="208" t="s">
        <v>173</v>
      </c>
      <c r="J5095" s="209"/>
      <c r="K5095" s="209"/>
      <c r="L5095" s="209"/>
      <c r="M5095" s="209"/>
      <c r="N5095" s="209"/>
      <c r="O5095" s="209"/>
      <c r="P5095" s="209"/>
      <c r="Q5095" s="209"/>
      <c r="R5095" s="209"/>
      <c r="S5095" s="209"/>
      <c r="T5095" s="209"/>
    </row>
    <row r="5096" spans="1:20" ht="15" hidden="1" customHeight="1">
      <c r="A5096" s="468">
        <v>45510</v>
      </c>
      <c r="B5096" s="208" t="s">
        <v>4264</v>
      </c>
      <c r="C5096" s="673" t="s">
        <v>146</v>
      </c>
      <c r="D5096" s="211">
        <v>-58999</v>
      </c>
      <c r="E5096" s="212">
        <v>45505</v>
      </c>
      <c r="F5096" s="208" t="s">
        <v>110</v>
      </c>
      <c r="G5096" s="201" t="s">
        <v>1489</v>
      </c>
      <c r="H5096" s="208" t="s">
        <v>2941</v>
      </c>
      <c r="I5096" s="208" t="s">
        <v>173</v>
      </c>
      <c r="J5096" s="209"/>
      <c r="K5096" s="209"/>
      <c r="L5096" s="209"/>
      <c r="M5096" s="209"/>
      <c r="N5096" s="209"/>
      <c r="O5096" s="209"/>
      <c r="P5096" s="209"/>
      <c r="Q5096" s="209"/>
      <c r="R5096" s="209"/>
      <c r="S5096" s="209"/>
      <c r="T5096" s="209"/>
    </row>
    <row r="5097" spans="1:20" ht="15" hidden="1" customHeight="1">
      <c r="A5097" s="468">
        <v>45510</v>
      </c>
      <c r="B5097" s="208" t="s">
        <v>4265</v>
      </c>
      <c r="C5097" s="673" t="s">
        <v>146</v>
      </c>
      <c r="D5097" s="211">
        <v>-11799</v>
      </c>
      <c r="E5097" s="212">
        <v>45505</v>
      </c>
      <c r="F5097" s="208" t="s">
        <v>109</v>
      </c>
      <c r="G5097" s="654" t="s">
        <v>2585</v>
      </c>
      <c r="H5097" s="208" t="s">
        <v>175</v>
      </c>
      <c r="I5097" s="208" t="s">
        <v>173</v>
      </c>
      <c r="J5097" s="209"/>
      <c r="K5097" s="209"/>
      <c r="L5097" s="209"/>
      <c r="M5097" s="209"/>
      <c r="N5097" s="209"/>
      <c r="O5097" s="209"/>
      <c r="P5097" s="209"/>
      <c r="Q5097" s="209"/>
      <c r="R5097" s="209"/>
      <c r="S5097" s="209"/>
      <c r="T5097" s="209"/>
    </row>
    <row r="5098" spans="1:20" ht="15" hidden="1" customHeight="1">
      <c r="A5098" s="468">
        <v>45510</v>
      </c>
      <c r="B5098" s="208" t="s">
        <v>4266</v>
      </c>
      <c r="C5098" s="673" t="s">
        <v>146</v>
      </c>
      <c r="D5098" s="211">
        <v>-43000</v>
      </c>
      <c r="E5098" s="212">
        <v>45505</v>
      </c>
      <c r="F5098" s="208" t="s">
        <v>110</v>
      </c>
      <c r="G5098" s="208" t="s">
        <v>4249</v>
      </c>
      <c r="H5098" s="208" t="s">
        <v>2941</v>
      </c>
      <c r="I5098" s="208" t="s">
        <v>173</v>
      </c>
      <c r="J5098" s="209"/>
      <c r="K5098" s="209"/>
      <c r="L5098" s="209"/>
      <c r="M5098" s="209"/>
      <c r="N5098" s="209"/>
      <c r="O5098" s="209"/>
      <c r="P5098" s="209"/>
      <c r="Q5098" s="209"/>
      <c r="R5098" s="209"/>
      <c r="S5098" s="209"/>
      <c r="T5098" s="209"/>
    </row>
    <row r="5099" spans="1:20" ht="15" hidden="1" customHeight="1">
      <c r="A5099" s="468">
        <v>45510</v>
      </c>
      <c r="B5099" s="208" t="s">
        <v>4267</v>
      </c>
      <c r="C5099" s="673" t="s">
        <v>146</v>
      </c>
      <c r="D5099" s="211">
        <v>-54301</v>
      </c>
      <c r="E5099" s="212">
        <v>45505</v>
      </c>
      <c r="F5099" s="208" t="s">
        <v>110</v>
      </c>
      <c r="G5099" s="208" t="s">
        <v>4249</v>
      </c>
      <c r="H5099" s="208" t="s">
        <v>2941</v>
      </c>
      <c r="I5099" s="208" t="s">
        <v>173</v>
      </c>
      <c r="J5099" s="209"/>
      <c r="K5099" s="209"/>
      <c r="L5099" s="209"/>
      <c r="M5099" s="209"/>
      <c r="N5099" s="209"/>
      <c r="O5099" s="209"/>
      <c r="P5099" s="209"/>
      <c r="Q5099" s="209"/>
      <c r="R5099" s="209"/>
      <c r="S5099" s="209"/>
      <c r="T5099" s="209"/>
    </row>
    <row r="5100" spans="1:20" ht="15" hidden="1" customHeight="1">
      <c r="A5100" s="468">
        <v>45510</v>
      </c>
      <c r="B5100" s="208" t="s">
        <v>4268</v>
      </c>
      <c r="C5100" s="673" t="s">
        <v>146</v>
      </c>
      <c r="D5100" s="211">
        <v>-5080</v>
      </c>
      <c r="E5100" s="212">
        <v>45505</v>
      </c>
      <c r="F5100" s="208" t="s">
        <v>110</v>
      </c>
      <c r="G5100" s="673" t="s">
        <v>774</v>
      </c>
      <c r="H5100" s="208" t="s">
        <v>175</v>
      </c>
      <c r="I5100" s="208" t="s">
        <v>173</v>
      </c>
      <c r="J5100" s="209"/>
      <c r="K5100" s="209"/>
      <c r="L5100" s="209"/>
      <c r="M5100" s="209"/>
      <c r="N5100" s="209"/>
      <c r="O5100" s="209"/>
      <c r="P5100" s="209"/>
      <c r="Q5100" s="209"/>
      <c r="R5100" s="209"/>
      <c r="S5100" s="209"/>
      <c r="T5100" s="209"/>
    </row>
    <row r="5101" spans="1:20" ht="15" hidden="1" customHeight="1">
      <c r="A5101" s="468">
        <v>45512</v>
      </c>
      <c r="B5101" s="208" t="s">
        <v>4269</v>
      </c>
      <c r="C5101" s="673" t="s">
        <v>146</v>
      </c>
      <c r="D5101" s="211">
        <v>-32500</v>
      </c>
      <c r="E5101" s="212">
        <v>45505</v>
      </c>
      <c r="F5101" s="208" t="s">
        <v>110</v>
      </c>
      <c r="G5101" s="208" t="s">
        <v>4249</v>
      </c>
      <c r="H5101" s="208" t="s">
        <v>2941</v>
      </c>
      <c r="I5101" s="208" t="s">
        <v>173</v>
      </c>
      <c r="J5101" s="209"/>
      <c r="K5101" s="209"/>
      <c r="L5101" s="209"/>
      <c r="M5101" s="209"/>
      <c r="N5101" s="209"/>
      <c r="O5101" s="209"/>
      <c r="P5101" s="209"/>
      <c r="Q5101" s="209"/>
      <c r="R5101" s="209"/>
      <c r="S5101" s="209"/>
      <c r="T5101" s="209"/>
    </row>
    <row r="5102" spans="1:20" ht="15" hidden="1" customHeight="1">
      <c r="A5102" s="468">
        <v>45512</v>
      </c>
      <c r="B5102" s="208" t="s">
        <v>4270</v>
      </c>
      <c r="C5102" s="673" t="s">
        <v>146</v>
      </c>
      <c r="D5102" s="211">
        <v>-30000</v>
      </c>
      <c r="E5102" s="212">
        <v>45505</v>
      </c>
      <c r="F5102" s="208" t="s">
        <v>110</v>
      </c>
      <c r="G5102" s="201" t="s">
        <v>1489</v>
      </c>
      <c r="H5102" s="208" t="s">
        <v>2941</v>
      </c>
      <c r="I5102" s="208" t="s">
        <v>173</v>
      </c>
      <c r="J5102" s="209"/>
      <c r="K5102" s="209"/>
      <c r="L5102" s="209"/>
      <c r="M5102" s="209"/>
      <c r="N5102" s="209"/>
      <c r="O5102" s="209"/>
      <c r="P5102" s="209"/>
      <c r="Q5102" s="209"/>
      <c r="R5102" s="209"/>
      <c r="S5102" s="209"/>
      <c r="T5102" s="209"/>
    </row>
    <row r="5103" spans="1:20" ht="15" hidden="1" customHeight="1">
      <c r="A5103" s="468">
        <v>45512</v>
      </c>
      <c r="B5103" s="208" t="s">
        <v>4270</v>
      </c>
      <c r="C5103" s="673" t="s">
        <v>146</v>
      </c>
      <c r="D5103" s="211">
        <v>-30000</v>
      </c>
      <c r="E5103" s="212">
        <v>45505</v>
      </c>
      <c r="F5103" s="208" t="s">
        <v>110</v>
      </c>
      <c r="G5103" s="201" t="s">
        <v>1489</v>
      </c>
      <c r="H5103" s="208" t="s">
        <v>2941</v>
      </c>
      <c r="I5103" s="208" t="s">
        <v>173</v>
      </c>
      <c r="J5103" s="209"/>
      <c r="K5103" s="209"/>
      <c r="L5103" s="209"/>
      <c r="M5103" s="209"/>
      <c r="N5103" s="209"/>
      <c r="O5103" s="209"/>
      <c r="P5103" s="209"/>
      <c r="Q5103" s="209"/>
      <c r="R5103" s="209"/>
      <c r="S5103" s="209"/>
      <c r="T5103" s="209"/>
    </row>
    <row r="5104" spans="1:20" ht="15" hidden="1" customHeight="1">
      <c r="A5104" s="468">
        <v>45512</v>
      </c>
      <c r="B5104" s="208" t="s">
        <v>4271</v>
      </c>
      <c r="C5104" s="673" t="s">
        <v>146</v>
      </c>
      <c r="D5104" s="211">
        <v>-94635</v>
      </c>
      <c r="E5104" s="212">
        <v>45505</v>
      </c>
      <c r="F5104" s="208" t="s">
        <v>110</v>
      </c>
      <c r="G5104" s="208" t="s">
        <v>4249</v>
      </c>
      <c r="H5104" s="208" t="s">
        <v>2941</v>
      </c>
      <c r="I5104" s="208" t="s">
        <v>173</v>
      </c>
      <c r="J5104" s="209"/>
      <c r="K5104" s="209"/>
      <c r="L5104" s="209"/>
      <c r="M5104" s="209"/>
      <c r="N5104" s="209"/>
      <c r="O5104" s="209"/>
      <c r="P5104" s="209"/>
      <c r="Q5104" s="209"/>
      <c r="R5104" s="209"/>
      <c r="S5104" s="209"/>
      <c r="T5104" s="209"/>
    </row>
    <row r="5105" spans="1:20" ht="15" hidden="1" customHeight="1">
      <c r="A5105" s="468">
        <v>45513</v>
      </c>
      <c r="B5105" s="208" t="s">
        <v>4272</v>
      </c>
      <c r="C5105" s="673" t="s">
        <v>146</v>
      </c>
      <c r="D5105" s="211">
        <v>-17199</v>
      </c>
      <c r="E5105" s="212">
        <v>45505</v>
      </c>
      <c r="F5105" s="208" t="s">
        <v>110</v>
      </c>
      <c r="G5105" s="208" t="s">
        <v>4249</v>
      </c>
      <c r="H5105" s="208" t="s">
        <v>2941</v>
      </c>
      <c r="I5105" s="208" t="s">
        <v>173</v>
      </c>
      <c r="J5105" s="209"/>
      <c r="K5105" s="209"/>
      <c r="L5105" s="209"/>
      <c r="M5105" s="209"/>
      <c r="N5105" s="209"/>
      <c r="O5105" s="209"/>
      <c r="P5105" s="209"/>
      <c r="Q5105" s="209"/>
      <c r="R5105" s="209"/>
      <c r="S5105" s="209"/>
      <c r="T5105" s="209"/>
    </row>
    <row r="5106" spans="1:20" ht="15" hidden="1" customHeight="1">
      <c r="A5106" s="468">
        <v>45513</v>
      </c>
      <c r="B5106" s="208" t="s">
        <v>4273</v>
      </c>
      <c r="C5106" s="673" t="s">
        <v>146</v>
      </c>
      <c r="D5106" s="211">
        <v>-24000</v>
      </c>
      <c r="E5106" s="212">
        <v>45505</v>
      </c>
      <c r="F5106" s="208" t="s">
        <v>109</v>
      </c>
      <c r="G5106" s="654" t="s">
        <v>2585</v>
      </c>
      <c r="H5106" s="208" t="s">
        <v>175</v>
      </c>
      <c r="I5106" s="208" t="s">
        <v>173</v>
      </c>
      <c r="J5106" s="209"/>
      <c r="K5106" s="209"/>
      <c r="L5106" s="209"/>
      <c r="M5106" s="209"/>
      <c r="N5106" s="209"/>
      <c r="O5106" s="209"/>
      <c r="P5106" s="209"/>
      <c r="Q5106" s="209"/>
      <c r="R5106" s="209"/>
      <c r="S5106" s="209"/>
      <c r="T5106" s="209"/>
    </row>
    <row r="5107" spans="1:20" ht="15" hidden="1" customHeight="1">
      <c r="A5107" s="468">
        <v>45513</v>
      </c>
      <c r="B5107" s="208" t="s">
        <v>4274</v>
      </c>
      <c r="C5107" s="673" t="s">
        <v>146</v>
      </c>
      <c r="D5107" s="211">
        <v>-24000</v>
      </c>
      <c r="E5107" s="212">
        <v>45505</v>
      </c>
      <c r="F5107" s="208" t="s">
        <v>110</v>
      </c>
      <c r="G5107" s="208" t="s">
        <v>4249</v>
      </c>
      <c r="H5107" s="208" t="s">
        <v>2941</v>
      </c>
      <c r="I5107" s="208" t="s">
        <v>173</v>
      </c>
      <c r="J5107" s="209"/>
      <c r="K5107" s="209"/>
      <c r="L5107" s="209"/>
      <c r="M5107" s="209"/>
      <c r="N5107" s="209"/>
      <c r="O5107" s="209"/>
      <c r="P5107" s="209"/>
      <c r="Q5107" s="209"/>
      <c r="R5107" s="209"/>
      <c r="S5107" s="209"/>
      <c r="T5107" s="209"/>
    </row>
    <row r="5108" spans="1:20" ht="15" hidden="1" customHeight="1">
      <c r="A5108" s="468">
        <v>45514</v>
      </c>
      <c r="B5108" s="208" t="s">
        <v>4275</v>
      </c>
      <c r="C5108" s="673" t="s">
        <v>146</v>
      </c>
      <c r="D5108" s="211">
        <v>-4399</v>
      </c>
      <c r="E5108" s="212">
        <v>45505</v>
      </c>
      <c r="F5108" s="208" t="s">
        <v>110</v>
      </c>
      <c r="G5108" s="201" t="s">
        <v>1489</v>
      </c>
      <c r="H5108" s="208" t="s">
        <v>2941</v>
      </c>
      <c r="I5108" s="208" t="s">
        <v>173</v>
      </c>
      <c r="J5108" s="209"/>
      <c r="K5108" s="209"/>
      <c r="L5108" s="209"/>
      <c r="M5108" s="209"/>
      <c r="N5108" s="209"/>
      <c r="O5108" s="209"/>
      <c r="P5108" s="209"/>
      <c r="Q5108" s="209"/>
      <c r="R5108" s="209"/>
      <c r="S5108" s="209"/>
      <c r="T5108" s="209"/>
    </row>
    <row r="5109" spans="1:20" ht="15" hidden="1" customHeight="1">
      <c r="A5109" s="468">
        <v>45514</v>
      </c>
      <c r="B5109" s="208" t="s">
        <v>4276</v>
      </c>
      <c r="C5109" s="673" t="s">
        <v>146</v>
      </c>
      <c r="D5109" s="211">
        <v>-24700</v>
      </c>
      <c r="E5109" s="212">
        <v>45505</v>
      </c>
      <c r="F5109" s="208" t="s">
        <v>109</v>
      </c>
      <c r="G5109" s="654" t="s">
        <v>2585</v>
      </c>
      <c r="H5109" s="208" t="s">
        <v>175</v>
      </c>
      <c r="I5109" s="208" t="s">
        <v>173</v>
      </c>
      <c r="J5109" s="209"/>
      <c r="K5109" s="209"/>
      <c r="L5109" s="209"/>
      <c r="M5109" s="209"/>
      <c r="N5109" s="209"/>
      <c r="O5109" s="209"/>
      <c r="P5109" s="209"/>
      <c r="Q5109" s="209"/>
      <c r="R5109" s="209"/>
      <c r="S5109" s="209"/>
      <c r="T5109" s="209"/>
    </row>
    <row r="5110" spans="1:20" ht="15" hidden="1" customHeight="1">
      <c r="A5110" s="468">
        <v>45484</v>
      </c>
      <c r="B5110" s="208" t="s">
        <v>4277</v>
      </c>
      <c r="C5110" s="673" t="s">
        <v>146</v>
      </c>
      <c r="D5110" s="211">
        <v>-600</v>
      </c>
      <c r="E5110" s="212">
        <v>45505</v>
      </c>
      <c r="F5110" s="208" t="s">
        <v>110</v>
      </c>
      <c r="G5110" s="208" t="s">
        <v>774</v>
      </c>
      <c r="H5110" s="208" t="s">
        <v>175</v>
      </c>
      <c r="I5110" s="208" t="s">
        <v>173</v>
      </c>
      <c r="J5110" s="209"/>
      <c r="K5110" s="209"/>
      <c r="L5110" s="209"/>
      <c r="M5110" s="209"/>
      <c r="N5110" s="209"/>
      <c r="O5110" s="209"/>
      <c r="P5110" s="209"/>
      <c r="Q5110" s="209"/>
      <c r="R5110" s="209"/>
      <c r="S5110" s="209"/>
      <c r="T5110" s="209"/>
    </row>
    <row r="5111" spans="1:20" ht="15" hidden="1" customHeight="1">
      <c r="A5111" s="468">
        <v>45503</v>
      </c>
      <c r="B5111" s="208" t="s">
        <v>4278</v>
      </c>
      <c r="C5111" s="673" t="s">
        <v>146</v>
      </c>
      <c r="D5111" s="211">
        <v>-39900</v>
      </c>
      <c r="E5111" s="212">
        <v>45505</v>
      </c>
      <c r="F5111" s="208" t="s">
        <v>110</v>
      </c>
      <c r="G5111" s="208" t="s">
        <v>774</v>
      </c>
      <c r="H5111" s="208" t="s">
        <v>175</v>
      </c>
      <c r="I5111" s="475" t="s">
        <v>3475</v>
      </c>
      <c r="J5111" s="209"/>
      <c r="K5111" s="209"/>
      <c r="L5111" s="209"/>
      <c r="M5111" s="209"/>
      <c r="N5111" s="209"/>
      <c r="O5111" s="209"/>
      <c r="P5111" s="209"/>
      <c r="Q5111" s="209"/>
      <c r="R5111" s="209"/>
      <c r="S5111" s="209"/>
      <c r="T5111" s="209"/>
    </row>
    <row r="5112" spans="1:20" ht="15" hidden="1" customHeight="1">
      <c r="A5112" s="468">
        <v>45508</v>
      </c>
      <c r="B5112" s="208" t="s">
        <v>4279</v>
      </c>
      <c r="C5112" s="673" t="s">
        <v>146</v>
      </c>
      <c r="D5112" s="718">
        <v>-130000</v>
      </c>
      <c r="E5112" s="212">
        <v>45505</v>
      </c>
      <c r="F5112" s="208" t="s">
        <v>109</v>
      </c>
      <c r="G5112" s="201" t="s">
        <v>581</v>
      </c>
      <c r="H5112" s="208"/>
      <c r="I5112" s="208" t="s">
        <v>3364</v>
      </c>
      <c r="J5112" s="209"/>
      <c r="K5112" s="209"/>
      <c r="L5112" s="209"/>
      <c r="M5112" s="209"/>
      <c r="N5112" s="209"/>
      <c r="O5112" s="209"/>
      <c r="P5112" s="209"/>
      <c r="Q5112" s="209"/>
      <c r="R5112" s="209"/>
      <c r="S5112" s="209"/>
      <c r="T5112" s="209"/>
    </row>
    <row r="5113" spans="1:20" ht="15" hidden="1" customHeight="1">
      <c r="A5113" s="468">
        <v>45509</v>
      </c>
      <c r="B5113" s="208" t="s">
        <v>4280</v>
      </c>
      <c r="C5113" s="673" t="s">
        <v>146</v>
      </c>
      <c r="D5113" s="718">
        <v>-43000</v>
      </c>
      <c r="E5113" s="212">
        <v>45505</v>
      </c>
      <c r="F5113" s="208" t="s">
        <v>109</v>
      </c>
      <c r="G5113" s="201" t="s">
        <v>581</v>
      </c>
      <c r="H5113" s="208"/>
      <c r="I5113" s="208" t="s">
        <v>3364</v>
      </c>
      <c r="J5113" s="209"/>
      <c r="K5113" s="209"/>
      <c r="L5113" s="209"/>
      <c r="M5113" s="209"/>
      <c r="N5113" s="209"/>
      <c r="O5113" s="209"/>
      <c r="P5113" s="209"/>
      <c r="Q5113" s="209"/>
      <c r="R5113" s="209"/>
      <c r="S5113" s="209"/>
      <c r="T5113" s="209"/>
    </row>
    <row r="5114" spans="1:20" ht="15" hidden="1" customHeight="1">
      <c r="A5114" s="468">
        <v>45509</v>
      </c>
      <c r="B5114" s="208" t="s">
        <v>4281</v>
      </c>
      <c r="C5114" s="673" t="s">
        <v>146</v>
      </c>
      <c r="D5114" s="718">
        <v>-15000</v>
      </c>
      <c r="E5114" s="212">
        <v>45505</v>
      </c>
      <c r="F5114" s="208" t="s">
        <v>109</v>
      </c>
      <c r="G5114" s="201" t="s">
        <v>581</v>
      </c>
      <c r="H5114" s="208"/>
      <c r="I5114" s="208" t="s">
        <v>3364</v>
      </c>
      <c r="J5114" s="209"/>
      <c r="K5114" s="209"/>
      <c r="L5114" s="209"/>
      <c r="M5114" s="209"/>
      <c r="N5114" s="209"/>
      <c r="O5114" s="209"/>
      <c r="P5114" s="209"/>
      <c r="Q5114" s="209"/>
      <c r="R5114" s="209"/>
      <c r="S5114" s="209"/>
      <c r="T5114" s="209"/>
    </row>
    <row r="5115" spans="1:20" ht="15" hidden="1" customHeight="1">
      <c r="A5115" s="468">
        <v>45509</v>
      </c>
      <c r="B5115" s="208" t="s">
        <v>4282</v>
      </c>
      <c r="C5115" s="673" t="s">
        <v>146</v>
      </c>
      <c r="D5115" s="718">
        <v>-780000</v>
      </c>
      <c r="E5115" s="212">
        <v>45505</v>
      </c>
      <c r="F5115" s="208" t="s">
        <v>109</v>
      </c>
      <c r="G5115" s="201" t="s">
        <v>581</v>
      </c>
      <c r="H5115" s="208"/>
      <c r="I5115" s="208" t="s">
        <v>3364</v>
      </c>
      <c r="J5115" s="209"/>
      <c r="K5115" s="209"/>
      <c r="L5115" s="209"/>
      <c r="M5115" s="209"/>
      <c r="N5115" s="209"/>
      <c r="O5115" s="209"/>
      <c r="P5115" s="209"/>
      <c r="Q5115" s="209"/>
      <c r="R5115" s="209"/>
      <c r="S5115" s="209"/>
      <c r="T5115" s="209"/>
    </row>
    <row r="5116" spans="1:20" ht="15" hidden="1" customHeight="1">
      <c r="A5116" s="468">
        <v>45509</v>
      </c>
      <c r="B5116" s="208" t="s">
        <v>4283</v>
      </c>
      <c r="C5116" s="673" t="s">
        <v>146</v>
      </c>
      <c r="D5116" s="801">
        <v>-100000</v>
      </c>
      <c r="E5116" s="212">
        <v>45505</v>
      </c>
      <c r="F5116" s="208" t="s">
        <v>109</v>
      </c>
      <c r="G5116" s="201" t="s">
        <v>581</v>
      </c>
      <c r="H5116" s="208"/>
      <c r="I5116" s="208" t="s">
        <v>3364</v>
      </c>
      <c r="J5116" s="209"/>
      <c r="K5116" s="209"/>
      <c r="L5116" s="209"/>
      <c r="M5116" s="209"/>
      <c r="N5116" s="209"/>
      <c r="O5116" s="209"/>
      <c r="P5116" s="209"/>
      <c r="Q5116" s="209"/>
      <c r="R5116" s="209"/>
      <c r="S5116" s="209"/>
      <c r="T5116" s="209"/>
    </row>
    <row r="5117" spans="1:20" ht="15" hidden="1" customHeight="1">
      <c r="A5117" s="468">
        <v>45510</v>
      </c>
      <c r="B5117" s="208" t="s">
        <v>4284</v>
      </c>
      <c r="C5117" s="673" t="s">
        <v>146</v>
      </c>
      <c r="D5117" s="718">
        <v>-97000</v>
      </c>
      <c r="E5117" s="212">
        <v>45505</v>
      </c>
      <c r="F5117" s="208" t="s">
        <v>109</v>
      </c>
      <c r="G5117" s="201" t="s">
        <v>581</v>
      </c>
      <c r="H5117" s="208"/>
      <c r="I5117" s="208" t="s">
        <v>3364</v>
      </c>
      <c r="J5117" s="209"/>
      <c r="K5117" s="209"/>
      <c r="L5117" s="209"/>
      <c r="M5117" s="209"/>
      <c r="N5117" s="209"/>
      <c r="O5117" s="209"/>
      <c r="P5117" s="209"/>
      <c r="Q5117" s="209"/>
      <c r="R5117" s="209"/>
      <c r="S5117" s="209"/>
      <c r="T5117" s="209"/>
    </row>
    <row r="5118" spans="1:20" ht="15" hidden="1" customHeight="1">
      <c r="A5118" s="468">
        <v>45510</v>
      </c>
      <c r="B5118" s="208" t="s">
        <v>4285</v>
      </c>
      <c r="C5118" s="673" t="s">
        <v>146</v>
      </c>
      <c r="D5118" s="718">
        <v>-45000</v>
      </c>
      <c r="E5118" s="212">
        <v>45505</v>
      </c>
      <c r="F5118" s="208" t="s">
        <v>109</v>
      </c>
      <c r="G5118" s="201" t="s">
        <v>581</v>
      </c>
      <c r="H5118" s="208"/>
      <c r="I5118" s="208" t="s">
        <v>3364</v>
      </c>
      <c r="J5118" s="209"/>
      <c r="K5118" s="209"/>
      <c r="L5118" s="209"/>
      <c r="M5118" s="209"/>
      <c r="N5118" s="209"/>
      <c r="O5118" s="209"/>
      <c r="P5118" s="209"/>
      <c r="Q5118" s="209"/>
      <c r="R5118" s="209"/>
      <c r="S5118" s="209"/>
      <c r="T5118" s="209"/>
    </row>
    <row r="5119" spans="1:20" ht="15" hidden="1" customHeight="1">
      <c r="A5119" s="468">
        <v>45511</v>
      </c>
      <c r="B5119" s="208" t="s">
        <v>2709</v>
      </c>
      <c r="C5119" s="673" t="s">
        <v>146</v>
      </c>
      <c r="D5119" s="718">
        <v>-30000</v>
      </c>
      <c r="E5119" s="212">
        <v>45505</v>
      </c>
      <c r="F5119" s="208" t="s">
        <v>109</v>
      </c>
      <c r="G5119" s="201" t="s">
        <v>581</v>
      </c>
      <c r="H5119" s="208"/>
      <c r="I5119" s="208" t="s">
        <v>3364</v>
      </c>
      <c r="J5119" s="209"/>
      <c r="K5119" s="209"/>
      <c r="L5119" s="209"/>
      <c r="M5119" s="209"/>
      <c r="N5119" s="209"/>
      <c r="O5119" s="209"/>
      <c r="P5119" s="209"/>
      <c r="Q5119" s="209"/>
      <c r="R5119" s="209"/>
      <c r="S5119" s="209"/>
      <c r="T5119" s="209"/>
    </row>
    <row r="5120" spans="1:20" ht="15" hidden="1" customHeight="1">
      <c r="A5120" s="468">
        <v>45512</v>
      </c>
      <c r="B5120" s="208" t="s">
        <v>4286</v>
      </c>
      <c r="C5120" s="673" t="s">
        <v>146</v>
      </c>
      <c r="D5120" s="718">
        <v>-20000</v>
      </c>
      <c r="E5120" s="212">
        <v>45505</v>
      </c>
      <c r="F5120" s="208" t="s">
        <v>109</v>
      </c>
      <c r="G5120" s="201" t="s">
        <v>581</v>
      </c>
      <c r="H5120" s="208"/>
      <c r="I5120" s="208" t="s">
        <v>3364</v>
      </c>
      <c r="J5120" s="209"/>
      <c r="K5120" s="209"/>
      <c r="L5120" s="209"/>
      <c r="M5120" s="209"/>
      <c r="N5120" s="209"/>
      <c r="O5120" s="209"/>
      <c r="P5120" s="209"/>
      <c r="Q5120" s="209"/>
      <c r="R5120" s="209"/>
      <c r="S5120" s="209"/>
      <c r="T5120" s="209"/>
    </row>
    <row r="5121" spans="1:20" ht="15" hidden="1" customHeight="1">
      <c r="A5121" s="468">
        <v>45512</v>
      </c>
      <c r="B5121" s="208" t="s">
        <v>4287</v>
      </c>
      <c r="C5121" s="673" t="s">
        <v>146</v>
      </c>
      <c r="D5121" s="718">
        <v>-30000</v>
      </c>
      <c r="E5121" s="212">
        <v>45505</v>
      </c>
      <c r="F5121" s="208" t="s">
        <v>109</v>
      </c>
      <c r="G5121" s="201" t="s">
        <v>581</v>
      </c>
      <c r="H5121" s="208"/>
      <c r="I5121" s="208" t="s">
        <v>3364</v>
      </c>
      <c r="J5121" s="209"/>
      <c r="K5121" s="209"/>
      <c r="L5121" s="209"/>
      <c r="M5121" s="209"/>
      <c r="N5121" s="209"/>
      <c r="O5121" s="209"/>
      <c r="P5121" s="209"/>
      <c r="Q5121" s="209"/>
      <c r="R5121" s="209"/>
      <c r="S5121" s="209"/>
      <c r="T5121" s="209"/>
    </row>
    <row r="5122" spans="1:20" ht="15" hidden="1" customHeight="1">
      <c r="A5122" s="468">
        <v>45512</v>
      </c>
      <c r="B5122" s="208" t="s">
        <v>4147</v>
      </c>
      <c r="C5122" s="673" t="s">
        <v>146</v>
      </c>
      <c r="D5122" s="718">
        <v>-40000</v>
      </c>
      <c r="E5122" s="212">
        <v>45505</v>
      </c>
      <c r="F5122" s="208" t="s">
        <v>109</v>
      </c>
      <c r="G5122" s="201" t="s">
        <v>581</v>
      </c>
      <c r="H5122" s="208"/>
      <c r="I5122" s="208" t="s">
        <v>3364</v>
      </c>
      <c r="J5122" s="209"/>
      <c r="K5122" s="209"/>
      <c r="L5122" s="209"/>
      <c r="M5122" s="209"/>
      <c r="N5122" s="209"/>
      <c r="O5122" s="209"/>
      <c r="P5122" s="209"/>
      <c r="Q5122" s="209"/>
      <c r="R5122" s="209"/>
      <c r="S5122" s="209"/>
      <c r="T5122" s="209"/>
    </row>
    <row r="5123" spans="1:20" s="499" customFormat="1" ht="15" hidden="1" customHeight="1">
      <c r="A5123" s="468">
        <v>45517</v>
      </c>
      <c r="B5123" s="208" t="s">
        <v>3346</v>
      </c>
      <c r="C5123" s="208" t="s">
        <v>27</v>
      </c>
      <c r="D5123" s="211">
        <v>-1479331</v>
      </c>
      <c r="E5123" s="212">
        <v>45505</v>
      </c>
      <c r="F5123" s="201" t="s">
        <v>110</v>
      </c>
      <c r="G5123" s="201" t="s">
        <v>1489</v>
      </c>
      <c r="H5123" s="208" t="s">
        <v>549</v>
      </c>
      <c r="I5123" s="208"/>
      <c r="J5123" s="209"/>
      <c r="K5123" s="209"/>
      <c r="L5123" s="209"/>
      <c r="M5123" s="209"/>
      <c r="N5123" s="209"/>
      <c r="O5123" s="209"/>
      <c r="P5123" s="209"/>
      <c r="Q5123" s="209"/>
      <c r="R5123" s="209"/>
      <c r="S5123" s="209"/>
      <c r="T5123" s="209"/>
    </row>
    <row r="5124" spans="1:20" ht="15" hidden="1" customHeight="1">
      <c r="A5124" s="468">
        <v>45517</v>
      </c>
      <c r="B5124" s="208" t="s">
        <v>3346</v>
      </c>
      <c r="C5124" s="208" t="s">
        <v>27</v>
      </c>
      <c r="D5124" s="211">
        <v>-2958661</v>
      </c>
      <c r="E5124" s="212">
        <v>45505</v>
      </c>
      <c r="F5124" s="208" t="s">
        <v>109</v>
      </c>
      <c r="G5124" s="208" t="s">
        <v>3529</v>
      </c>
      <c r="H5124" s="208" t="s">
        <v>549</v>
      </c>
      <c r="I5124" s="208"/>
      <c r="J5124" s="209"/>
      <c r="K5124" s="209"/>
      <c r="L5124" s="209"/>
      <c r="M5124" s="209"/>
      <c r="N5124" s="209"/>
      <c r="O5124" s="209"/>
      <c r="P5124" s="209"/>
      <c r="Q5124" s="209"/>
      <c r="R5124" s="209"/>
      <c r="S5124" s="209"/>
      <c r="T5124" s="209"/>
    </row>
    <row r="5125" spans="1:20" ht="15" hidden="1" customHeight="1">
      <c r="A5125" s="468">
        <v>45517</v>
      </c>
      <c r="B5125" s="208" t="s">
        <v>3895</v>
      </c>
      <c r="C5125" s="208" t="s">
        <v>27</v>
      </c>
      <c r="D5125" s="211">
        <v>-3698296</v>
      </c>
      <c r="E5125" s="212">
        <v>45505</v>
      </c>
      <c r="F5125" s="208" t="s">
        <v>130</v>
      </c>
      <c r="G5125" s="208" t="s">
        <v>130</v>
      </c>
      <c r="H5125" s="208" t="s">
        <v>131</v>
      </c>
      <c r="I5125" s="208"/>
      <c r="J5125" s="209"/>
      <c r="K5125" s="209"/>
      <c r="L5125" s="209"/>
      <c r="M5125" s="209"/>
      <c r="N5125" s="209"/>
      <c r="O5125" s="209"/>
      <c r="P5125" s="209"/>
      <c r="Q5125" s="209"/>
      <c r="R5125" s="209"/>
      <c r="S5125" s="209"/>
      <c r="T5125" s="209"/>
    </row>
    <row r="5126" spans="1:20" ht="15" hidden="1" customHeight="1">
      <c r="A5126" s="468">
        <v>45517</v>
      </c>
      <c r="B5126" s="208" t="s">
        <v>4288</v>
      </c>
      <c r="C5126" s="208" t="s">
        <v>27</v>
      </c>
      <c r="D5126" s="211">
        <v>-1161500</v>
      </c>
      <c r="E5126" s="212">
        <v>45505</v>
      </c>
      <c r="F5126" s="208" t="s">
        <v>130</v>
      </c>
      <c r="G5126" s="208" t="s">
        <v>130</v>
      </c>
      <c r="H5126" s="208" t="s">
        <v>1245</v>
      </c>
      <c r="I5126" s="208"/>
      <c r="J5126" s="209"/>
      <c r="K5126" s="209"/>
      <c r="L5126" s="209"/>
      <c r="M5126" s="209"/>
      <c r="N5126" s="209"/>
      <c r="O5126" s="209"/>
      <c r="P5126" s="209"/>
      <c r="Q5126" s="209"/>
      <c r="R5126" s="209"/>
      <c r="S5126" s="209"/>
      <c r="T5126" s="209"/>
    </row>
    <row r="5127" spans="1:20" ht="15" hidden="1" customHeight="1">
      <c r="A5127" s="468">
        <v>45517</v>
      </c>
      <c r="B5127" s="208" t="s">
        <v>4289</v>
      </c>
      <c r="C5127" s="208" t="s">
        <v>27</v>
      </c>
      <c r="D5127" s="718">
        <v>-73482500</v>
      </c>
      <c r="E5127" s="212">
        <v>45505</v>
      </c>
      <c r="F5127" s="208" t="s">
        <v>109</v>
      </c>
      <c r="G5127" s="201" t="s">
        <v>581</v>
      </c>
      <c r="H5127" s="208"/>
      <c r="I5127" s="208"/>
      <c r="J5127" s="209"/>
      <c r="K5127" s="209"/>
      <c r="L5127" s="209"/>
      <c r="M5127" s="209"/>
      <c r="N5127" s="209"/>
      <c r="O5127" s="209"/>
      <c r="P5127" s="209"/>
      <c r="Q5127" s="209"/>
      <c r="R5127" s="209"/>
      <c r="S5127" s="209"/>
      <c r="T5127" s="209"/>
    </row>
    <row r="5128" spans="1:20" ht="15" hidden="1" customHeight="1">
      <c r="A5128" s="468">
        <v>45517</v>
      </c>
      <c r="B5128" s="208" t="s">
        <v>4290</v>
      </c>
      <c r="C5128" s="208" t="s">
        <v>27</v>
      </c>
      <c r="D5128" s="718">
        <v>-1240000</v>
      </c>
      <c r="E5128" s="212">
        <v>45505</v>
      </c>
      <c r="F5128" s="208" t="s">
        <v>109</v>
      </c>
      <c r="G5128" s="201" t="s">
        <v>581</v>
      </c>
      <c r="H5128" s="208"/>
      <c r="I5128" s="208"/>
      <c r="J5128" s="209"/>
      <c r="K5128" s="209"/>
      <c r="L5128" s="209"/>
      <c r="M5128" s="209"/>
      <c r="N5128" s="209"/>
      <c r="O5128" s="209"/>
      <c r="P5128" s="209"/>
      <c r="Q5128" s="209"/>
      <c r="R5128" s="209"/>
      <c r="S5128" s="209"/>
      <c r="T5128" s="209"/>
    </row>
    <row r="5129" spans="1:20" ht="15" hidden="1" customHeight="1">
      <c r="A5129" s="468">
        <v>45517</v>
      </c>
      <c r="B5129" s="208" t="s">
        <v>4291</v>
      </c>
      <c r="C5129" s="208" t="s">
        <v>27</v>
      </c>
      <c r="D5129" s="211">
        <v>-4920000</v>
      </c>
      <c r="E5129" s="212">
        <v>45505</v>
      </c>
      <c r="F5129" s="208" t="s">
        <v>109</v>
      </c>
      <c r="G5129" s="208" t="s">
        <v>3644</v>
      </c>
      <c r="H5129" s="208" t="s">
        <v>4187</v>
      </c>
      <c r="I5129" s="208"/>
      <c r="J5129" s="209"/>
      <c r="K5129" s="209"/>
      <c r="L5129" s="209"/>
      <c r="M5129" s="209"/>
      <c r="N5129" s="209"/>
      <c r="O5129" s="209"/>
      <c r="P5129" s="209"/>
      <c r="Q5129" s="209"/>
      <c r="R5129" s="209"/>
      <c r="S5129" s="209"/>
      <c r="T5129" s="209"/>
    </row>
    <row r="5130" spans="1:20" ht="15" hidden="1" customHeight="1">
      <c r="A5130" s="468">
        <v>45517</v>
      </c>
      <c r="B5130" s="208" t="s">
        <v>4292</v>
      </c>
      <c r="C5130" s="208" t="s">
        <v>27</v>
      </c>
      <c r="D5130" s="211">
        <v>-2500000</v>
      </c>
      <c r="E5130" s="212">
        <v>45505</v>
      </c>
      <c r="F5130" s="208" t="s">
        <v>109</v>
      </c>
      <c r="G5130" s="208" t="s">
        <v>2809</v>
      </c>
      <c r="H5130" s="208" t="s">
        <v>4187</v>
      </c>
      <c r="I5130" s="208"/>
      <c r="J5130" s="209"/>
      <c r="K5130" s="209"/>
      <c r="L5130" s="209"/>
      <c r="M5130" s="209"/>
      <c r="N5130" s="209"/>
      <c r="O5130" s="209"/>
      <c r="P5130" s="209"/>
      <c r="Q5130" s="209"/>
      <c r="R5130" s="209"/>
      <c r="S5130" s="209"/>
      <c r="T5130" s="209"/>
    </row>
    <row r="5131" spans="1:20" ht="15" hidden="1" customHeight="1">
      <c r="A5131" s="468">
        <v>45517</v>
      </c>
      <c r="B5131" s="208" t="s">
        <v>4293</v>
      </c>
      <c r="C5131" s="208" t="s">
        <v>27</v>
      </c>
      <c r="D5131" s="211">
        <v>-14672000</v>
      </c>
      <c r="E5131" s="212">
        <v>45505</v>
      </c>
      <c r="F5131" s="208" t="s">
        <v>110</v>
      </c>
      <c r="G5131" s="208" t="s">
        <v>4294</v>
      </c>
      <c r="H5131" s="208" t="s">
        <v>212</v>
      </c>
      <c r="I5131" s="208"/>
      <c r="J5131" s="209"/>
      <c r="K5131" s="209"/>
      <c r="L5131" s="209"/>
      <c r="M5131" s="209"/>
      <c r="N5131" s="209"/>
      <c r="O5131" s="209"/>
      <c r="P5131" s="209"/>
      <c r="Q5131" s="209"/>
      <c r="R5131" s="209"/>
      <c r="S5131" s="209"/>
      <c r="T5131" s="209"/>
    </row>
    <row r="5132" spans="1:20" ht="15" hidden="1" customHeight="1">
      <c r="A5132" s="468">
        <v>45517</v>
      </c>
      <c r="B5132" s="208" t="s">
        <v>4295</v>
      </c>
      <c r="C5132" s="208" t="s">
        <v>27</v>
      </c>
      <c r="D5132" s="211">
        <v>-2230200</v>
      </c>
      <c r="E5132" s="212">
        <v>45505</v>
      </c>
      <c r="F5132" s="208" t="s">
        <v>109</v>
      </c>
      <c r="G5132" s="208" t="s">
        <v>3644</v>
      </c>
      <c r="H5132" s="208" t="s">
        <v>212</v>
      </c>
      <c r="I5132" s="208"/>
      <c r="J5132" s="209"/>
      <c r="K5132" s="209"/>
      <c r="L5132" s="209"/>
      <c r="M5132" s="209"/>
      <c r="N5132" s="209"/>
      <c r="O5132" s="209"/>
      <c r="P5132" s="209"/>
      <c r="Q5132" s="209"/>
      <c r="R5132" s="209"/>
      <c r="S5132" s="209"/>
      <c r="T5132" s="209"/>
    </row>
    <row r="5133" spans="1:20" ht="15" hidden="1" customHeight="1">
      <c r="A5133" s="468">
        <v>45517</v>
      </c>
      <c r="B5133" s="208" t="s">
        <v>4295</v>
      </c>
      <c r="C5133" s="208" t="s">
        <v>27</v>
      </c>
      <c r="D5133" s="211">
        <v>-2230200</v>
      </c>
      <c r="E5133" s="212">
        <v>45505</v>
      </c>
      <c r="F5133" s="208" t="s">
        <v>109</v>
      </c>
      <c r="G5133" s="208" t="s">
        <v>3644</v>
      </c>
      <c r="H5133" s="208" t="s">
        <v>4187</v>
      </c>
      <c r="I5133" s="208"/>
      <c r="J5133" s="209"/>
      <c r="K5133" s="209"/>
      <c r="L5133" s="209"/>
      <c r="M5133" s="209"/>
      <c r="N5133" s="209"/>
      <c r="O5133" s="209"/>
      <c r="P5133" s="209"/>
      <c r="Q5133" s="209"/>
      <c r="R5133" s="209"/>
      <c r="S5133" s="209"/>
      <c r="T5133" s="209"/>
    </row>
    <row r="5134" spans="1:20" ht="15" hidden="1" customHeight="1">
      <c r="A5134" s="468">
        <v>45517</v>
      </c>
      <c r="B5134" s="208" t="s">
        <v>4296</v>
      </c>
      <c r="C5134" s="208" t="s">
        <v>27</v>
      </c>
      <c r="D5134" s="211">
        <v>-120000</v>
      </c>
      <c r="E5134" s="212">
        <v>45505</v>
      </c>
      <c r="F5134" s="208" t="s">
        <v>130</v>
      </c>
      <c r="G5134" s="208" t="s">
        <v>130</v>
      </c>
      <c r="H5134" s="208" t="s">
        <v>2444</v>
      </c>
      <c r="I5134" s="208"/>
      <c r="J5134" s="209"/>
      <c r="K5134" s="209"/>
      <c r="L5134" s="209"/>
      <c r="M5134" s="209"/>
      <c r="N5134" s="209"/>
      <c r="O5134" s="209"/>
      <c r="P5134" s="209"/>
      <c r="Q5134" s="209"/>
      <c r="R5134" s="209"/>
      <c r="S5134" s="209"/>
      <c r="T5134" s="209"/>
    </row>
    <row r="5135" spans="1:20" ht="15" hidden="1" customHeight="1">
      <c r="A5135" s="468">
        <v>45517</v>
      </c>
      <c r="B5135" s="208" t="s">
        <v>4297</v>
      </c>
      <c r="C5135" s="208" t="s">
        <v>27</v>
      </c>
      <c r="D5135" s="211">
        <v>-595707</v>
      </c>
      <c r="E5135" s="212">
        <v>45505</v>
      </c>
      <c r="F5135" s="201" t="s">
        <v>110</v>
      </c>
      <c r="G5135" s="201" t="s">
        <v>1489</v>
      </c>
      <c r="H5135" s="208" t="s">
        <v>2941</v>
      </c>
      <c r="I5135" s="208"/>
      <c r="J5135" s="209"/>
      <c r="K5135" s="209"/>
      <c r="L5135" s="209"/>
      <c r="M5135" s="209"/>
      <c r="N5135" s="209"/>
      <c r="O5135" s="209"/>
      <c r="P5135" s="209"/>
      <c r="Q5135" s="209"/>
      <c r="R5135" s="209"/>
      <c r="S5135" s="209"/>
      <c r="T5135" s="209"/>
    </row>
    <row r="5136" spans="1:20" ht="15" hidden="1" customHeight="1">
      <c r="A5136" s="468">
        <v>45517</v>
      </c>
      <c r="B5136" s="208" t="s">
        <v>4298</v>
      </c>
      <c r="C5136" s="208" t="s">
        <v>27</v>
      </c>
      <c r="D5136" s="211">
        <v>-920000</v>
      </c>
      <c r="E5136" s="212">
        <v>45505</v>
      </c>
      <c r="F5136" s="201" t="s">
        <v>110</v>
      </c>
      <c r="G5136" s="208" t="s">
        <v>2444</v>
      </c>
      <c r="H5136" s="208"/>
      <c r="I5136" s="208"/>
      <c r="J5136" s="209"/>
      <c r="K5136" s="209"/>
      <c r="L5136" s="209"/>
      <c r="M5136" s="209"/>
      <c r="N5136" s="209"/>
      <c r="O5136" s="209"/>
      <c r="P5136" s="209"/>
      <c r="Q5136" s="209"/>
      <c r="R5136" s="209"/>
      <c r="S5136" s="209"/>
      <c r="T5136" s="209"/>
    </row>
    <row r="5137" spans="1:20" ht="15" hidden="1" customHeight="1">
      <c r="A5137" s="468">
        <v>45517</v>
      </c>
      <c r="B5137" s="208" t="s">
        <v>3343</v>
      </c>
      <c r="C5137" s="208" t="s">
        <v>27</v>
      </c>
      <c r="D5137" s="211">
        <v>-190000</v>
      </c>
      <c r="E5137" s="212">
        <v>45505</v>
      </c>
      <c r="F5137" s="208" t="s">
        <v>130</v>
      </c>
      <c r="G5137" s="208" t="s">
        <v>130</v>
      </c>
      <c r="H5137" s="208" t="s">
        <v>2444</v>
      </c>
      <c r="I5137" s="208"/>
      <c r="J5137" s="209"/>
      <c r="K5137" s="209"/>
      <c r="L5137" s="209"/>
      <c r="M5137" s="209"/>
      <c r="N5137" s="209"/>
      <c r="O5137" s="209"/>
      <c r="P5137" s="209"/>
      <c r="Q5137" s="209"/>
      <c r="R5137" s="209"/>
      <c r="S5137" s="209"/>
      <c r="T5137" s="209"/>
    </row>
    <row r="5138" spans="1:20" ht="15" hidden="1" customHeight="1">
      <c r="A5138" s="468">
        <v>45517</v>
      </c>
      <c r="B5138" s="208" t="s">
        <v>4299</v>
      </c>
      <c r="C5138" s="208" t="s">
        <v>27</v>
      </c>
      <c r="D5138" s="211">
        <v>-328941</v>
      </c>
      <c r="E5138" s="212">
        <v>45505</v>
      </c>
      <c r="F5138" s="201" t="s">
        <v>110</v>
      </c>
      <c r="G5138" s="201" t="s">
        <v>1489</v>
      </c>
      <c r="H5138" s="208" t="s">
        <v>2941</v>
      </c>
      <c r="I5138" s="208"/>
      <c r="J5138" s="209"/>
      <c r="K5138" s="209"/>
      <c r="L5138" s="209"/>
      <c r="M5138" s="209"/>
      <c r="N5138" s="209"/>
      <c r="O5138" s="209"/>
      <c r="P5138" s="209"/>
      <c r="Q5138" s="209"/>
      <c r="R5138" s="209"/>
      <c r="S5138" s="209"/>
      <c r="T5138" s="209"/>
    </row>
    <row r="5139" spans="1:20" ht="15" hidden="1" customHeight="1">
      <c r="A5139" s="468">
        <v>45517</v>
      </c>
      <c r="B5139" s="208" t="s">
        <v>4300</v>
      </c>
      <c r="C5139" s="208" t="s">
        <v>27</v>
      </c>
      <c r="D5139" s="211">
        <v>-328941</v>
      </c>
      <c r="E5139" s="212">
        <v>45505</v>
      </c>
      <c r="F5139" s="208" t="s">
        <v>110</v>
      </c>
      <c r="G5139" s="208" t="s">
        <v>4294</v>
      </c>
      <c r="H5139" s="208" t="s">
        <v>175</v>
      </c>
      <c r="I5139" s="208"/>
      <c r="J5139" s="209"/>
      <c r="K5139" s="209"/>
      <c r="L5139" s="209"/>
      <c r="M5139" s="209"/>
      <c r="N5139" s="209"/>
      <c r="O5139" s="209"/>
      <c r="P5139" s="209"/>
      <c r="Q5139" s="209"/>
      <c r="R5139" s="209"/>
      <c r="S5139" s="209"/>
      <c r="T5139" s="209"/>
    </row>
    <row r="5140" spans="1:20" ht="15" hidden="1" customHeight="1">
      <c r="A5140" s="468">
        <v>45517</v>
      </c>
      <c r="B5140" s="208" t="s">
        <v>4301</v>
      </c>
      <c r="C5140" s="208" t="s">
        <v>27</v>
      </c>
      <c r="D5140" s="211">
        <v>-328941</v>
      </c>
      <c r="E5140" s="212">
        <v>45505</v>
      </c>
      <c r="F5140" s="208" t="s">
        <v>207</v>
      </c>
      <c r="G5140" s="208" t="s">
        <v>207</v>
      </c>
      <c r="H5140" s="208" t="s">
        <v>175</v>
      </c>
      <c r="I5140" s="208"/>
      <c r="J5140" s="209"/>
      <c r="K5140" s="209"/>
      <c r="L5140" s="209"/>
      <c r="M5140" s="209"/>
      <c r="N5140" s="209"/>
      <c r="O5140" s="209"/>
      <c r="P5140" s="209"/>
      <c r="Q5140" s="209"/>
      <c r="R5140" s="209"/>
      <c r="S5140" s="209"/>
      <c r="T5140" s="209"/>
    </row>
    <row r="5141" spans="1:20" ht="15" hidden="1" customHeight="1">
      <c r="A5141" s="468">
        <v>45517</v>
      </c>
      <c r="B5141" s="208" t="s">
        <v>4302</v>
      </c>
      <c r="C5141" s="208" t="s">
        <v>27</v>
      </c>
      <c r="D5141" s="211">
        <v>-328941</v>
      </c>
      <c r="E5141" s="212">
        <v>45505</v>
      </c>
      <c r="F5141" s="208" t="s">
        <v>130</v>
      </c>
      <c r="G5141" s="208" t="s">
        <v>130</v>
      </c>
      <c r="H5141" s="208" t="s">
        <v>2444</v>
      </c>
      <c r="I5141" s="208"/>
      <c r="J5141" s="209"/>
      <c r="K5141" s="209"/>
      <c r="L5141" s="209"/>
      <c r="M5141" s="209"/>
      <c r="N5141" s="209"/>
      <c r="O5141" s="209"/>
      <c r="P5141" s="209"/>
      <c r="Q5141" s="209"/>
      <c r="R5141" s="209"/>
      <c r="S5141" s="209"/>
      <c r="T5141" s="209"/>
    </row>
    <row r="5142" spans="1:20" ht="15" hidden="1" customHeight="1">
      <c r="A5142" s="468">
        <v>45517</v>
      </c>
      <c r="B5142" s="208" t="s">
        <v>4303</v>
      </c>
      <c r="C5142" s="208" t="s">
        <v>27</v>
      </c>
      <c r="D5142" s="211">
        <v>-328941</v>
      </c>
      <c r="E5142" s="212">
        <v>45505</v>
      </c>
      <c r="F5142" s="208" t="s">
        <v>109</v>
      </c>
      <c r="G5142" s="208" t="s">
        <v>3529</v>
      </c>
      <c r="H5142" s="208" t="s">
        <v>175</v>
      </c>
      <c r="I5142" s="208"/>
      <c r="J5142" s="209"/>
      <c r="K5142" s="209"/>
      <c r="L5142" s="209"/>
      <c r="M5142" s="209"/>
      <c r="N5142" s="209"/>
      <c r="O5142" s="209"/>
      <c r="P5142" s="209"/>
      <c r="Q5142" s="209"/>
      <c r="R5142" s="209"/>
      <c r="S5142" s="209"/>
      <c r="T5142" s="209"/>
    </row>
    <row r="5143" spans="1:20" ht="15" hidden="1" customHeight="1">
      <c r="A5143" s="468">
        <v>45517</v>
      </c>
      <c r="B5143" s="208" t="s">
        <v>4304</v>
      </c>
      <c r="C5143" s="208" t="s">
        <v>27</v>
      </c>
      <c r="D5143" s="211">
        <v>-350000</v>
      </c>
      <c r="E5143" s="212">
        <v>45505</v>
      </c>
      <c r="F5143" s="201" t="s">
        <v>110</v>
      </c>
      <c r="G5143" s="208" t="s">
        <v>122</v>
      </c>
      <c r="H5143" s="208" t="s">
        <v>421</v>
      </c>
      <c r="I5143" s="475" t="s">
        <v>3475</v>
      </c>
      <c r="J5143" s="209"/>
      <c r="K5143" s="209"/>
      <c r="L5143" s="209"/>
      <c r="M5143" s="209"/>
      <c r="N5143" s="209"/>
      <c r="O5143" s="209"/>
      <c r="P5143" s="209"/>
      <c r="Q5143" s="209"/>
      <c r="R5143" s="209"/>
      <c r="S5143" s="209"/>
      <c r="T5143" s="209"/>
    </row>
    <row r="5144" spans="1:20" ht="15" hidden="1" customHeight="1">
      <c r="A5144" s="468">
        <v>45517</v>
      </c>
      <c r="B5144" s="208" t="s">
        <v>4305</v>
      </c>
      <c r="C5144" s="208" t="s">
        <v>27</v>
      </c>
      <c r="D5144" s="211">
        <v>-127000</v>
      </c>
      <c r="E5144" s="212">
        <v>45505</v>
      </c>
      <c r="F5144" s="208" t="s">
        <v>1702</v>
      </c>
      <c r="G5144" s="208"/>
      <c r="H5144" s="208"/>
      <c r="I5144" s="208"/>
      <c r="J5144" s="209"/>
      <c r="K5144" s="209"/>
      <c r="L5144" s="209"/>
      <c r="M5144" s="209"/>
      <c r="N5144" s="209"/>
      <c r="O5144" s="209"/>
      <c r="P5144" s="209"/>
      <c r="Q5144" s="209"/>
      <c r="R5144" s="209"/>
      <c r="S5144" s="209"/>
      <c r="T5144" s="209"/>
    </row>
    <row r="5145" spans="1:20" ht="15" hidden="1" customHeight="1">
      <c r="A5145" s="468">
        <v>45517</v>
      </c>
      <c r="B5145" s="208" t="s">
        <v>4306</v>
      </c>
      <c r="C5145" s="208" t="s">
        <v>27</v>
      </c>
      <c r="D5145" s="718">
        <v>-440000</v>
      </c>
      <c r="E5145" s="212">
        <v>45505</v>
      </c>
      <c r="F5145" s="208" t="s">
        <v>109</v>
      </c>
      <c r="G5145" s="201" t="s">
        <v>581</v>
      </c>
      <c r="H5145" s="208"/>
      <c r="I5145" s="208"/>
      <c r="J5145" s="209"/>
      <c r="K5145" s="209"/>
      <c r="L5145" s="209"/>
      <c r="M5145" s="209"/>
      <c r="N5145" s="209"/>
      <c r="O5145" s="209"/>
      <c r="P5145" s="209"/>
      <c r="Q5145" s="209"/>
      <c r="R5145" s="209"/>
      <c r="S5145" s="209"/>
      <c r="T5145" s="209"/>
    </row>
    <row r="5146" spans="1:20" ht="15" hidden="1" customHeight="1">
      <c r="A5146" s="468">
        <v>45517</v>
      </c>
      <c r="B5146" s="208" t="s">
        <v>4307</v>
      </c>
      <c r="C5146" s="208" t="s">
        <v>27</v>
      </c>
      <c r="D5146" s="211">
        <v>-19784000</v>
      </c>
      <c r="E5146" s="212">
        <v>45505</v>
      </c>
      <c r="F5146" s="208" t="s">
        <v>1702</v>
      </c>
      <c r="G5146" s="208"/>
      <c r="H5146" s="208"/>
      <c r="I5146" s="208"/>
      <c r="J5146" s="209"/>
      <c r="K5146" s="209"/>
      <c r="L5146" s="209"/>
      <c r="M5146" s="209"/>
      <c r="N5146" s="209"/>
      <c r="O5146" s="209"/>
      <c r="P5146" s="209"/>
      <c r="Q5146" s="209"/>
      <c r="R5146" s="209"/>
      <c r="S5146" s="209"/>
      <c r="T5146" s="209"/>
    </row>
    <row r="5147" spans="1:20" ht="15" hidden="1" customHeight="1">
      <c r="A5147" s="468">
        <v>45517</v>
      </c>
      <c r="B5147" s="208" t="s">
        <v>4308</v>
      </c>
      <c r="C5147" s="208" t="s">
        <v>27</v>
      </c>
      <c r="D5147" s="211">
        <v>-549993</v>
      </c>
      <c r="E5147" s="212">
        <v>45505</v>
      </c>
      <c r="F5147" s="208" t="s">
        <v>109</v>
      </c>
      <c r="G5147" s="208" t="s">
        <v>3644</v>
      </c>
      <c r="H5147" s="208" t="s">
        <v>3674</v>
      </c>
      <c r="I5147" s="208"/>
      <c r="J5147" s="209"/>
      <c r="K5147" s="209"/>
      <c r="L5147" s="209"/>
      <c r="M5147" s="209"/>
      <c r="N5147" s="209"/>
      <c r="O5147" s="209"/>
      <c r="P5147" s="209"/>
      <c r="Q5147" s="209"/>
      <c r="R5147" s="209"/>
      <c r="S5147" s="209"/>
      <c r="T5147" s="209"/>
    </row>
    <row r="5148" spans="1:20" ht="15" hidden="1" customHeight="1">
      <c r="A5148" s="468">
        <v>45518</v>
      </c>
      <c r="B5148" s="208" t="s">
        <v>4309</v>
      </c>
      <c r="C5148" s="208" t="s">
        <v>27</v>
      </c>
      <c r="D5148" s="211">
        <v>-5029571</v>
      </c>
      <c r="E5148" s="212">
        <v>45505</v>
      </c>
      <c r="F5148" s="208" t="s">
        <v>130</v>
      </c>
      <c r="G5148" s="208" t="s">
        <v>130</v>
      </c>
      <c r="H5148" s="208" t="s">
        <v>318</v>
      </c>
      <c r="I5148" s="208"/>
      <c r="J5148" s="209"/>
      <c r="K5148" s="209"/>
      <c r="L5148" s="209"/>
      <c r="M5148" s="209"/>
      <c r="N5148" s="209"/>
      <c r="O5148" s="209"/>
      <c r="P5148" s="209"/>
      <c r="Q5148" s="209"/>
      <c r="R5148" s="209"/>
      <c r="S5148" s="209"/>
      <c r="T5148" s="209"/>
    </row>
    <row r="5149" spans="1:20" ht="15" hidden="1" customHeight="1">
      <c r="A5149" s="468">
        <v>45517</v>
      </c>
      <c r="B5149" s="208" t="s">
        <v>4310</v>
      </c>
      <c r="C5149" s="208" t="s">
        <v>27</v>
      </c>
      <c r="D5149" s="211">
        <v>-80894527</v>
      </c>
      <c r="E5149" s="212">
        <v>45505</v>
      </c>
      <c r="F5149" s="83" t="s">
        <v>2986</v>
      </c>
      <c r="G5149" s="654"/>
      <c r="H5149" s="208"/>
      <c r="I5149" s="208"/>
      <c r="J5149" s="209"/>
      <c r="K5149" s="209"/>
      <c r="L5149" s="209"/>
      <c r="M5149" s="209"/>
      <c r="N5149" s="209"/>
      <c r="O5149" s="209"/>
      <c r="P5149" s="209"/>
      <c r="Q5149" s="209"/>
      <c r="R5149" s="209"/>
      <c r="S5149" s="209"/>
      <c r="T5149" s="209"/>
    </row>
    <row r="5150" spans="1:20" ht="15" hidden="1" customHeight="1">
      <c r="A5150" s="468">
        <v>45519</v>
      </c>
      <c r="B5150" s="208" t="s">
        <v>4311</v>
      </c>
      <c r="C5150" s="208" t="s">
        <v>27</v>
      </c>
      <c r="D5150" s="211">
        <v>-4890000</v>
      </c>
      <c r="E5150" s="212">
        <v>45505</v>
      </c>
      <c r="F5150" s="208" t="s">
        <v>109</v>
      </c>
      <c r="G5150" s="208" t="s">
        <v>3644</v>
      </c>
      <c r="H5150" s="208" t="s">
        <v>4187</v>
      </c>
      <c r="I5150" s="208"/>
      <c r="J5150" s="209"/>
      <c r="K5150" s="209"/>
      <c r="L5150" s="209"/>
      <c r="M5150" s="209"/>
      <c r="N5150" s="209"/>
      <c r="O5150" s="209"/>
      <c r="P5150" s="209"/>
      <c r="Q5150" s="209"/>
      <c r="R5150" s="209"/>
      <c r="S5150" s="209"/>
      <c r="T5150" s="209"/>
    </row>
    <row r="5151" spans="1:20" ht="15" hidden="1" customHeight="1">
      <c r="A5151" s="468">
        <v>45518</v>
      </c>
      <c r="B5151" s="208" t="s">
        <v>4312</v>
      </c>
      <c r="C5151" s="208" t="s">
        <v>27</v>
      </c>
      <c r="D5151" s="718">
        <v>-13300000</v>
      </c>
      <c r="E5151" s="212">
        <v>45505</v>
      </c>
      <c r="F5151" s="208" t="s">
        <v>109</v>
      </c>
      <c r="G5151" s="201" t="s">
        <v>581</v>
      </c>
      <c r="H5151" s="208"/>
      <c r="I5151" s="208"/>
      <c r="J5151" s="209"/>
      <c r="K5151" s="209"/>
      <c r="L5151" s="209"/>
      <c r="M5151" s="209"/>
      <c r="N5151" s="209"/>
      <c r="O5151" s="209"/>
      <c r="P5151" s="209"/>
      <c r="Q5151" s="209"/>
      <c r="R5151" s="209"/>
      <c r="S5151" s="209"/>
      <c r="T5151" s="209"/>
    </row>
    <row r="5152" spans="1:20" ht="15" hidden="1" customHeight="1">
      <c r="A5152" s="468">
        <v>45518</v>
      </c>
      <c r="B5152" s="208" t="s">
        <v>4313</v>
      </c>
      <c r="C5152" s="208" t="s">
        <v>27</v>
      </c>
      <c r="D5152" s="718">
        <v>-2527000</v>
      </c>
      <c r="E5152" s="212">
        <v>45505</v>
      </c>
      <c r="F5152" s="208" t="s">
        <v>109</v>
      </c>
      <c r="G5152" s="201" t="s">
        <v>581</v>
      </c>
      <c r="H5152" s="208"/>
      <c r="I5152" s="208"/>
      <c r="J5152" s="209"/>
      <c r="K5152" s="209"/>
      <c r="L5152" s="209"/>
      <c r="M5152" s="209"/>
      <c r="N5152" s="209"/>
      <c r="O5152" s="209"/>
      <c r="P5152" s="209"/>
      <c r="Q5152" s="209"/>
      <c r="R5152" s="209"/>
      <c r="S5152" s="209"/>
      <c r="T5152" s="209"/>
    </row>
    <row r="5153" spans="1:20" ht="15" hidden="1" customHeight="1">
      <c r="A5153" s="468">
        <v>45518</v>
      </c>
      <c r="B5153" s="208" t="s">
        <v>4314</v>
      </c>
      <c r="C5153" s="208" t="s">
        <v>133</v>
      </c>
      <c r="D5153" s="211">
        <v>465500</v>
      </c>
      <c r="E5153" s="212">
        <v>45505</v>
      </c>
      <c r="F5153" s="208" t="s">
        <v>4132</v>
      </c>
      <c r="G5153" s="208"/>
      <c r="H5153" s="208"/>
      <c r="I5153" s="208"/>
      <c r="J5153" s="209"/>
      <c r="K5153" s="209"/>
      <c r="L5153" s="209"/>
      <c r="M5153" s="209"/>
      <c r="N5153" s="209"/>
      <c r="O5153" s="209"/>
      <c r="P5153" s="209"/>
      <c r="Q5153" s="209"/>
      <c r="R5153" s="209"/>
      <c r="S5153" s="209"/>
      <c r="T5153" s="209"/>
    </row>
    <row r="5154" spans="1:20" ht="15" hidden="1" customHeight="1">
      <c r="A5154" s="468">
        <v>45518</v>
      </c>
      <c r="B5154" s="208" t="s">
        <v>4315</v>
      </c>
      <c r="C5154" s="208" t="s">
        <v>133</v>
      </c>
      <c r="D5154" s="211">
        <v>79800</v>
      </c>
      <c r="E5154" s="212">
        <v>45505</v>
      </c>
      <c r="F5154" s="208" t="s">
        <v>4132</v>
      </c>
      <c r="G5154" s="208"/>
      <c r="H5154" s="208"/>
      <c r="I5154" s="208"/>
      <c r="J5154" s="209"/>
      <c r="K5154" s="209"/>
      <c r="L5154" s="209"/>
      <c r="M5154" s="209"/>
      <c r="N5154" s="209"/>
      <c r="O5154" s="209"/>
      <c r="P5154" s="209"/>
      <c r="Q5154" s="209"/>
      <c r="R5154" s="209"/>
      <c r="S5154" s="209"/>
      <c r="T5154" s="209"/>
    </row>
    <row r="5155" spans="1:20" ht="15" hidden="1" customHeight="1">
      <c r="A5155" s="468">
        <v>45518</v>
      </c>
      <c r="B5155" s="208" t="s">
        <v>4316</v>
      </c>
      <c r="C5155" s="208" t="s">
        <v>27</v>
      </c>
      <c r="D5155" s="718">
        <v>-13300000</v>
      </c>
      <c r="E5155" s="212">
        <v>45505</v>
      </c>
      <c r="F5155" s="208" t="s">
        <v>109</v>
      </c>
      <c r="G5155" s="201" t="s">
        <v>581</v>
      </c>
      <c r="H5155" s="208"/>
      <c r="I5155" s="208"/>
      <c r="J5155" s="209"/>
      <c r="K5155" s="209"/>
      <c r="L5155" s="209"/>
      <c r="M5155" s="209"/>
      <c r="N5155" s="209"/>
      <c r="O5155" s="209"/>
      <c r="P5155" s="209"/>
      <c r="Q5155" s="209"/>
      <c r="R5155" s="209"/>
      <c r="S5155" s="209"/>
      <c r="T5155" s="209"/>
    </row>
    <row r="5156" spans="1:20" ht="15" hidden="1" customHeight="1">
      <c r="A5156" s="468">
        <v>45518</v>
      </c>
      <c r="B5156" s="208" t="s">
        <v>4317</v>
      </c>
      <c r="C5156" s="208" t="s">
        <v>27</v>
      </c>
      <c r="D5156" s="718">
        <v>-2527000</v>
      </c>
      <c r="E5156" s="212">
        <v>45505</v>
      </c>
      <c r="F5156" s="208" t="s">
        <v>109</v>
      </c>
      <c r="G5156" s="201" t="s">
        <v>581</v>
      </c>
      <c r="H5156" s="208"/>
      <c r="I5156" s="208"/>
      <c r="J5156" s="209"/>
      <c r="K5156" s="209"/>
      <c r="L5156" s="209"/>
      <c r="M5156" s="209"/>
      <c r="N5156" s="209"/>
      <c r="O5156" s="209"/>
      <c r="P5156" s="209"/>
      <c r="Q5156" s="209"/>
      <c r="R5156" s="209"/>
      <c r="S5156" s="209"/>
      <c r="T5156" s="209"/>
    </row>
    <row r="5157" spans="1:20" ht="15" hidden="1" customHeight="1">
      <c r="A5157" s="468">
        <v>45518</v>
      </c>
      <c r="B5157" s="208" t="s">
        <v>4314</v>
      </c>
      <c r="C5157" s="208" t="s">
        <v>133</v>
      </c>
      <c r="D5157" s="211">
        <v>465500</v>
      </c>
      <c r="E5157" s="212">
        <v>45505</v>
      </c>
      <c r="F5157" s="208" t="s">
        <v>4132</v>
      </c>
      <c r="G5157" s="208"/>
      <c r="H5157" s="208"/>
      <c r="I5157" s="208"/>
      <c r="J5157" s="209"/>
      <c r="K5157" s="209"/>
      <c r="L5157" s="209"/>
      <c r="M5157" s="209"/>
      <c r="N5157" s="209"/>
      <c r="O5157" s="209"/>
      <c r="P5157" s="209"/>
      <c r="Q5157" s="209"/>
      <c r="R5157" s="209"/>
      <c r="S5157" s="209"/>
      <c r="T5157" s="209"/>
    </row>
    <row r="5158" spans="1:20" ht="15" hidden="1" customHeight="1">
      <c r="A5158" s="468">
        <v>45518</v>
      </c>
      <c r="B5158" s="208" t="s">
        <v>4315</v>
      </c>
      <c r="C5158" s="208" t="s">
        <v>133</v>
      </c>
      <c r="D5158" s="211">
        <v>79800</v>
      </c>
      <c r="E5158" s="212">
        <v>45505</v>
      </c>
      <c r="F5158" s="208" t="s">
        <v>4132</v>
      </c>
      <c r="G5158" s="208"/>
      <c r="H5158" s="208"/>
      <c r="I5158" s="208"/>
      <c r="J5158" s="209"/>
      <c r="K5158" s="209"/>
      <c r="L5158" s="209"/>
      <c r="M5158" s="209"/>
      <c r="N5158" s="209"/>
      <c r="O5158" s="209"/>
      <c r="P5158" s="209"/>
      <c r="Q5158" s="209"/>
      <c r="R5158" s="209"/>
      <c r="S5158" s="209"/>
      <c r="T5158" s="209"/>
    </row>
    <row r="5159" spans="1:20" ht="15" hidden="1" customHeight="1">
      <c r="A5159" s="468">
        <v>45518</v>
      </c>
      <c r="B5159" s="208" t="s">
        <v>4318</v>
      </c>
      <c r="C5159" s="208" t="s">
        <v>27</v>
      </c>
      <c r="D5159" s="718">
        <v>-50000000</v>
      </c>
      <c r="E5159" s="212">
        <v>45505</v>
      </c>
      <c r="F5159" s="208" t="s">
        <v>109</v>
      </c>
      <c r="G5159" s="201" t="s">
        <v>581</v>
      </c>
      <c r="H5159" s="208"/>
      <c r="I5159" s="208"/>
      <c r="J5159" s="209"/>
      <c r="K5159" s="209"/>
      <c r="L5159" s="209"/>
      <c r="M5159" s="209"/>
      <c r="N5159" s="209"/>
      <c r="O5159" s="209"/>
      <c r="P5159" s="209"/>
      <c r="Q5159" s="209"/>
      <c r="R5159" s="209"/>
      <c r="S5159" s="209"/>
      <c r="T5159" s="209"/>
    </row>
    <row r="5160" spans="1:20" ht="15" hidden="1" customHeight="1">
      <c r="A5160" s="468">
        <v>45518</v>
      </c>
      <c r="B5160" s="208" t="s">
        <v>4319</v>
      </c>
      <c r="C5160" s="208" t="s">
        <v>133</v>
      </c>
      <c r="D5160" s="211">
        <v>3750000</v>
      </c>
      <c r="E5160" s="212">
        <v>45505</v>
      </c>
      <c r="F5160" s="208" t="s">
        <v>4132</v>
      </c>
      <c r="G5160" s="208"/>
      <c r="H5160" s="208"/>
      <c r="I5160" s="208"/>
      <c r="J5160" s="209"/>
      <c r="K5160" s="209"/>
      <c r="L5160" s="209"/>
      <c r="M5160" s="209"/>
      <c r="N5160" s="209"/>
      <c r="O5160" s="209"/>
      <c r="P5160" s="209"/>
      <c r="Q5160" s="209"/>
      <c r="R5160" s="209"/>
      <c r="S5160" s="209"/>
      <c r="T5160" s="209"/>
    </row>
    <row r="5161" spans="1:20" ht="15" hidden="1" customHeight="1">
      <c r="A5161" s="468">
        <v>45519</v>
      </c>
      <c r="B5161" s="208" t="s">
        <v>4320</v>
      </c>
      <c r="C5161" s="208" t="s">
        <v>27</v>
      </c>
      <c r="D5161" s="211">
        <v>-365095</v>
      </c>
      <c r="E5161" s="212">
        <v>45505</v>
      </c>
      <c r="F5161" s="201" t="s">
        <v>110</v>
      </c>
      <c r="G5161" s="654" t="s">
        <v>774</v>
      </c>
      <c r="H5161" s="208" t="s">
        <v>175</v>
      </c>
      <c r="I5161" s="208"/>
      <c r="J5161" s="209"/>
      <c r="K5161" s="209"/>
      <c r="L5161" s="209"/>
      <c r="M5161" s="209"/>
      <c r="N5161" s="209"/>
      <c r="O5161" s="209"/>
      <c r="P5161" s="209"/>
      <c r="Q5161" s="209"/>
      <c r="R5161" s="209"/>
      <c r="S5161" s="209"/>
      <c r="T5161" s="209"/>
    </row>
    <row r="5162" spans="1:20" ht="15" hidden="1" customHeight="1">
      <c r="A5162" s="468">
        <v>45519</v>
      </c>
      <c r="B5162" s="208" t="s">
        <v>4320</v>
      </c>
      <c r="C5162" s="208" t="s">
        <v>27</v>
      </c>
      <c r="D5162" s="211">
        <v>-285877</v>
      </c>
      <c r="E5162" s="212">
        <v>45505</v>
      </c>
      <c r="F5162" s="654" t="s">
        <v>109</v>
      </c>
      <c r="G5162" s="654" t="s">
        <v>2585</v>
      </c>
      <c r="H5162" s="208" t="s">
        <v>175</v>
      </c>
      <c r="I5162" s="208"/>
      <c r="J5162" s="209"/>
      <c r="K5162" s="209"/>
      <c r="L5162" s="209"/>
      <c r="M5162" s="209"/>
      <c r="N5162" s="209"/>
      <c r="O5162" s="209"/>
      <c r="P5162" s="209"/>
      <c r="Q5162" s="209"/>
      <c r="R5162" s="209"/>
      <c r="S5162" s="209"/>
      <c r="T5162" s="209"/>
    </row>
    <row r="5163" spans="1:20" ht="15" hidden="1" customHeight="1">
      <c r="A5163" s="468">
        <v>45519</v>
      </c>
      <c r="B5163" s="208" t="s">
        <v>4321</v>
      </c>
      <c r="C5163" s="208" t="s">
        <v>27</v>
      </c>
      <c r="D5163" s="679">
        <v>-3691574.9118495439</v>
      </c>
      <c r="E5163" s="212">
        <v>45505</v>
      </c>
      <c r="F5163" s="201" t="s">
        <v>110</v>
      </c>
      <c r="G5163" s="201" t="s">
        <v>1489</v>
      </c>
      <c r="H5163" s="208" t="s">
        <v>2941</v>
      </c>
      <c r="I5163" s="208"/>
      <c r="J5163" s="209"/>
      <c r="K5163" s="209"/>
      <c r="L5163" s="209"/>
      <c r="M5163" s="209"/>
      <c r="N5163" s="209"/>
      <c r="O5163" s="209"/>
      <c r="P5163" s="209"/>
      <c r="Q5163" s="209"/>
      <c r="R5163" s="209"/>
      <c r="S5163" s="209"/>
      <c r="T5163" s="209"/>
    </row>
    <row r="5164" spans="1:20" ht="15" hidden="1" customHeight="1">
      <c r="A5164" s="468">
        <v>45519</v>
      </c>
      <c r="B5164" s="208" t="s">
        <v>4321</v>
      </c>
      <c r="C5164" s="208" t="s">
        <v>27</v>
      </c>
      <c r="D5164" s="211">
        <v>-1719554.8897374396</v>
      </c>
      <c r="E5164" s="212">
        <v>45505</v>
      </c>
      <c r="F5164" s="201" t="s">
        <v>110</v>
      </c>
      <c r="G5164" s="208" t="s">
        <v>4249</v>
      </c>
      <c r="H5164" s="208" t="s">
        <v>2941</v>
      </c>
      <c r="I5164" s="208"/>
      <c r="J5164" s="209"/>
      <c r="K5164" s="209"/>
      <c r="L5164" s="209"/>
      <c r="M5164" s="209"/>
      <c r="N5164" s="209"/>
      <c r="O5164" s="209"/>
      <c r="P5164" s="209"/>
      <c r="Q5164" s="209"/>
      <c r="R5164" s="209"/>
      <c r="S5164" s="209"/>
      <c r="T5164" s="209"/>
    </row>
    <row r="5165" spans="1:20" ht="15" hidden="1" customHeight="1">
      <c r="A5165" s="468">
        <v>45519</v>
      </c>
      <c r="B5165" s="208" t="s">
        <v>4321</v>
      </c>
      <c r="C5165" s="208" t="s">
        <v>27</v>
      </c>
      <c r="D5165" s="211">
        <v>-469846.19841301668</v>
      </c>
      <c r="E5165" s="212">
        <v>45505</v>
      </c>
      <c r="F5165" s="654" t="s">
        <v>130</v>
      </c>
      <c r="G5165" s="654" t="s">
        <v>130</v>
      </c>
      <c r="H5165" s="208" t="s">
        <v>2444</v>
      </c>
      <c r="I5165" s="208"/>
      <c r="J5165" s="209"/>
      <c r="K5165" s="209"/>
      <c r="L5165" s="209"/>
      <c r="M5165" s="209"/>
      <c r="N5165" s="209"/>
      <c r="O5165" s="209"/>
      <c r="P5165" s="209"/>
      <c r="Q5165" s="209"/>
      <c r="R5165" s="209"/>
      <c r="S5165" s="209"/>
      <c r="T5165" s="209"/>
    </row>
    <row r="5166" spans="1:20" ht="15" hidden="1" customHeight="1">
      <c r="A5166" s="468">
        <v>45519</v>
      </c>
      <c r="B5166" s="208" t="s">
        <v>4322</v>
      </c>
      <c r="C5166" s="208" t="s">
        <v>27</v>
      </c>
      <c r="D5166" s="211">
        <v>-201500</v>
      </c>
      <c r="E5166" s="212">
        <v>45505</v>
      </c>
      <c r="F5166" s="201" t="s">
        <v>110</v>
      </c>
      <c r="G5166" s="201" t="s">
        <v>1489</v>
      </c>
      <c r="H5166" s="208" t="s">
        <v>147</v>
      </c>
      <c r="I5166" s="475" t="s">
        <v>3475</v>
      </c>
      <c r="J5166" s="209"/>
      <c r="K5166" s="209"/>
      <c r="L5166" s="209"/>
      <c r="M5166" s="209"/>
      <c r="N5166" s="209"/>
      <c r="O5166" s="209"/>
      <c r="P5166" s="209"/>
      <c r="Q5166" s="209"/>
      <c r="R5166" s="209"/>
      <c r="S5166" s="209"/>
      <c r="T5166" s="209"/>
    </row>
    <row r="5167" spans="1:20" ht="15" hidden="1" customHeight="1">
      <c r="A5167" s="468">
        <v>45519</v>
      </c>
      <c r="B5167" s="208" t="s">
        <v>2284</v>
      </c>
      <c r="C5167" s="208" t="s">
        <v>27</v>
      </c>
      <c r="D5167" s="211">
        <v>-100230</v>
      </c>
      <c r="E5167" s="212">
        <v>45505</v>
      </c>
      <c r="F5167" s="208" t="s">
        <v>130</v>
      </c>
      <c r="G5167" s="208" t="s">
        <v>130</v>
      </c>
      <c r="H5167" s="208" t="s">
        <v>249</v>
      </c>
      <c r="I5167" s="208"/>
      <c r="J5167" s="209"/>
      <c r="K5167" s="209"/>
      <c r="L5167" s="209"/>
      <c r="M5167" s="209"/>
      <c r="N5167" s="209"/>
      <c r="O5167" s="209"/>
      <c r="P5167" s="209"/>
      <c r="Q5167" s="209"/>
      <c r="R5167" s="209"/>
      <c r="S5167" s="209"/>
      <c r="T5167" s="209"/>
    </row>
    <row r="5168" spans="1:20" ht="15" hidden="1" customHeight="1">
      <c r="A5168" s="468">
        <v>45519</v>
      </c>
      <c r="B5168" s="208" t="s">
        <v>4323</v>
      </c>
      <c r="C5168" s="208" t="s">
        <v>27</v>
      </c>
      <c r="D5168" s="211">
        <v>-9261907</v>
      </c>
      <c r="E5168" s="212">
        <v>45505</v>
      </c>
      <c r="F5168" s="201" t="s">
        <v>110</v>
      </c>
      <c r="G5168" s="208" t="s">
        <v>3245</v>
      </c>
      <c r="H5168" s="208" t="s">
        <v>175</v>
      </c>
      <c r="I5168" s="208"/>
      <c r="J5168" s="209"/>
      <c r="K5168" s="209"/>
      <c r="L5168" s="209"/>
      <c r="M5168" s="209"/>
      <c r="N5168" s="209"/>
      <c r="O5168" s="209"/>
      <c r="P5168" s="209"/>
      <c r="Q5168" s="209"/>
      <c r="R5168" s="209"/>
      <c r="S5168" s="209"/>
      <c r="T5168" s="209"/>
    </row>
    <row r="5169" spans="1:20" ht="15" hidden="1" customHeight="1">
      <c r="A5169" s="468">
        <v>45519</v>
      </c>
      <c r="B5169" s="208" t="s">
        <v>4324</v>
      </c>
      <c r="C5169" s="208" t="s">
        <v>27</v>
      </c>
      <c r="D5169" s="718">
        <v>-73482500</v>
      </c>
      <c r="E5169" s="212">
        <v>45505</v>
      </c>
      <c r="F5169" s="208" t="s">
        <v>109</v>
      </c>
      <c r="G5169" s="201" t="s">
        <v>583</v>
      </c>
      <c r="H5169" s="208"/>
      <c r="I5169" s="208"/>
      <c r="J5169" s="209"/>
      <c r="K5169" s="209"/>
      <c r="L5169" s="209"/>
      <c r="M5169" s="209"/>
      <c r="N5169" s="209"/>
      <c r="O5169" s="209"/>
      <c r="P5169" s="209"/>
      <c r="Q5169" s="209"/>
      <c r="R5169" s="209"/>
      <c r="S5169" s="209"/>
      <c r="T5169" s="209"/>
    </row>
    <row r="5170" spans="1:20" ht="15" hidden="1" customHeight="1">
      <c r="A5170" s="468">
        <v>45519</v>
      </c>
      <c r="B5170" s="208" t="s">
        <v>4325</v>
      </c>
      <c r="C5170" s="208" t="s">
        <v>27</v>
      </c>
      <c r="D5170" s="211">
        <v>-1300000</v>
      </c>
      <c r="E5170" s="212">
        <v>45505</v>
      </c>
      <c r="F5170" s="208" t="s">
        <v>130</v>
      </c>
      <c r="G5170" s="208" t="s">
        <v>130</v>
      </c>
      <c r="H5170" s="208" t="s">
        <v>182</v>
      </c>
      <c r="I5170" s="208"/>
      <c r="J5170" s="209"/>
      <c r="K5170" s="209"/>
      <c r="L5170" s="209"/>
      <c r="M5170" s="209"/>
      <c r="N5170" s="209"/>
      <c r="O5170" s="209"/>
      <c r="P5170" s="209"/>
      <c r="Q5170" s="209"/>
      <c r="R5170" s="209"/>
      <c r="S5170" s="209"/>
      <c r="T5170" s="209"/>
    </row>
    <row r="5171" spans="1:20" ht="15" hidden="1" customHeight="1">
      <c r="A5171" s="468">
        <v>45519</v>
      </c>
      <c r="B5171" s="208" t="s">
        <v>4326</v>
      </c>
      <c r="C5171" s="208" t="s">
        <v>27</v>
      </c>
      <c r="D5171" s="211">
        <v>-440650</v>
      </c>
      <c r="E5171" s="212">
        <v>45505</v>
      </c>
      <c r="F5171" s="201" t="s">
        <v>110</v>
      </c>
      <c r="G5171" s="208" t="s">
        <v>2444</v>
      </c>
      <c r="H5171" s="208"/>
      <c r="I5171" s="208"/>
      <c r="J5171" s="209"/>
      <c r="K5171" s="209"/>
      <c r="L5171" s="209"/>
      <c r="M5171" s="209"/>
      <c r="N5171" s="209"/>
      <c r="O5171" s="209"/>
      <c r="P5171" s="209"/>
      <c r="Q5171" s="209"/>
      <c r="R5171" s="209"/>
      <c r="S5171" s="209"/>
      <c r="T5171" s="209"/>
    </row>
    <row r="5172" spans="1:20" ht="15" hidden="1" customHeight="1">
      <c r="A5172" s="468">
        <v>45519</v>
      </c>
      <c r="B5172" s="208" t="s">
        <v>4327</v>
      </c>
      <c r="C5172" s="208" t="s">
        <v>27</v>
      </c>
      <c r="D5172" s="211">
        <v>-28000</v>
      </c>
      <c r="E5172" s="212">
        <v>45505</v>
      </c>
      <c r="F5172" s="208" t="s">
        <v>130</v>
      </c>
      <c r="G5172" s="208" t="s">
        <v>130</v>
      </c>
      <c r="H5172" s="208" t="s">
        <v>323</v>
      </c>
      <c r="I5172" s="208"/>
      <c r="J5172" s="209"/>
      <c r="K5172" s="209"/>
      <c r="L5172" s="209"/>
      <c r="M5172" s="209"/>
      <c r="N5172" s="209"/>
      <c r="O5172" s="209"/>
      <c r="P5172" s="209"/>
      <c r="Q5172" s="209"/>
      <c r="R5172" s="209"/>
      <c r="S5172" s="209"/>
      <c r="T5172" s="209"/>
    </row>
    <row r="5173" spans="1:20" ht="15" hidden="1" customHeight="1">
      <c r="A5173" s="468">
        <v>45519</v>
      </c>
      <c r="B5173" s="208" t="s">
        <v>4328</v>
      </c>
      <c r="C5173" s="208" t="s">
        <v>27</v>
      </c>
      <c r="D5173" s="211">
        <v>-630671</v>
      </c>
      <c r="E5173" s="212">
        <v>45505</v>
      </c>
      <c r="F5173" s="208" t="s">
        <v>109</v>
      </c>
      <c r="G5173" s="208" t="s">
        <v>3529</v>
      </c>
      <c r="H5173" s="208" t="s">
        <v>585</v>
      </c>
      <c r="I5173" s="208"/>
      <c r="J5173" s="209"/>
      <c r="K5173" s="209"/>
      <c r="L5173" s="209"/>
      <c r="M5173" s="209"/>
      <c r="N5173" s="209"/>
      <c r="O5173" s="209"/>
      <c r="P5173" s="209"/>
      <c r="Q5173" s="209"/>
      <c r="R5173" s="209"/>
      <c r="S5173" s="209"/>
      <c r="T5173" s="209"/>
    </row>
    <row r="5174" spans="1:20" ht="15" hidden="1" customHeight="1">
      <c r="A5174" s="468">
        <v>45519</v>
      </c>
      <c r="B5174" s="208" t="s">
        <v>4329</v>
      </c>
      <c r="C5174" s="208" t="s">
        <v>27</v>
      </c>
      <c r="D5174" s="718">
        <v>-1395000</v>
      </c>
      <c r="E5174" s="212">
        <v>45505</v>
      </c>
      <c r="F5174" s="208" t="s">
        <v>109</v>
      </c>
      <c r="G5174" s="201" t="s">
        <v>581</v>
      </c>
      <c r="H5174" s="208"/>
      <c r="I5174" s="208"/>
      <c r="J5174" s="209"/>
      <c r="K5174" s="209"/>
      <c r="L5174" s="209"/>
      <c r="M5174" s="209"/>
      <c r="N5174" s="209"/>
      <c r="O5174" s="209"/>
      <c r="P5174" s="209"/>
      <c r="Q5174" s="209"/>
      <c r="R5174" s="209"/>
      <c r="S5174" s="209"/>
      <c r="T5174" s="209"/>
    </row>
    <row r="5175" spans="1:20" ht="15" hidden="1" customHeight="1">
      <c r="A5175" s="468">
        <v>45520</v>
      </c>
      <c r="B5175" s="208" t="s">
        <v>4330</v>
      </c>
      <c r="C5175" s="208" t="s">
        <v>27</v>
      </c>
      <c r="D5175" s="718">
        <v>-771000</v>
      </c>
      <c r="E5175" s="212">
        <v>45505</v>
      </c>
      <c r="F5175" s="208" t="s">
        <v>109</v>
      </c>
      <c r="G5175" s="201" t="s">
        <v>581</v>
      </c>
      <c r="H5175" s="208"/>
      <c r="I5175" s="208"/>
      <c r="J5175" s="209"/>
      <c r="K5175" s="209"/>
      <c r="L5175" s="209"/>
      <c r="M5175" s="209"/>
      <c r="N5175" s="209"/>
      <c r="O5175" s="209"/>
      <c r="P5175" s="209"/>
      <c r="Q5175" s="209"/>
      <c r="R5175" s="209"/>
      <c r="S5175" s="209"/>
      <c r="T5175" s="209"/>
    </row>
    <row r="5176" spans="1:20" ht="15" hidden="1" customHeight="1">
      <c r="A5176" s="468">
        <v>45520</v>
      </c>
      <c r="B5176" s="208" t="s">
        <v>4331</v>
      </c>
      <c r="C5176" s="208" t="s">
        <v>27</v>
      </c>
      <c r="D5176" s="211">
        <v>-31604600</v>
      </c>
      <c r="E5176" s="212">
        <v>45505</v>
      </c>
      <c r="F5176" s="654" t="s">
        <v>109</v>
      </c>
      <c r="G5176" s="654" t="s">
        <v>2585</v>
      </c>
      <c r="H5176" s="208" t="s">
        <v>418</v>
      </c>
      <c r="I5176" s="475" t="s">
        <v>3475</v>
      </c>
      <c r="J5176" s="209"/>
      <c r="K5176" s="209"/>
      <c r="L5176" s="209"/>
      <c r="M5176" s="209"/>
      <c r="N5176" s="209"/>
      <c r="O5176" s="209"/>
      <c r="P5176" s="209"/>
      <c r="Q5176" s="209"/>
      <c r="R5176" s="209"/>
      <c r="S5176" s="209"/>
      <c r="T5176" s="209"/>
    </row>
    <row r="5177" spans="1:20" ht="15" hidden="1" customHeight="1">
      <c r="A5177" s="468">
        <v>45520</v>
      </c>
      <c r="B5177" s="208" t="s">
        <v>4332</v>
      </c>
      <c r="C5177" s="208" t="s">
        <v>27</v>
      </c>
      <c r="D5177" s="211">
        <v>500000000</v>
      </c>
      <c r="E5177" s="212">
        <v>45505</v>
      </c>
      <c r="F5177" s="883" t="s">
        <v>707</v>
      </c>
      <c r="G5177" s="201" t="s">
        <v>581</v>
      </c>
      <c r="H5177" s="208"/>
      <c r="I5177" s="208"/>
      <c r="J5177" s="209"/>
      <c r="K5177" s="209"/>
      <c r="L5177" s="209"/>
      <c r="M5177" s="209"/>
      <c r="N5177" s="209"/>
      <c r="O5177" s="209"/>
      <c r="P5177" s="209"/>
      <c r="Q5177" s="209"/>
      <c r="R5177" s="209"/>
      <c r="S5177" s="209"/>
      <c r="T5177" s="209"/>
    </row>
    <row r="5178" spans="1:20" ht="15" hidden="1" customHeight="1">
      <c r="A5178" s="468">
        <v>45520</v>
      </c>
      <c r="B5178" s="208" t="s">
        <v>1612</v>
      </c>
      <c r="C5178" s="208" t="s">
        <v>27</v>
      </c>
      <c r="D5178" s="211">
        <v>8014729</v>
      </c>
      <c r="E5178" s="212">
        <v>45505</v>
      </c>
      <c r="F5178" s="654" t="s">
        <v>108</v>
      </c>
      <c r="G5178" s="635"/>
      <c r="H5178" s="208"/>
      <c r="I5178" s="208"/>
      <c r="J5178" s="209"/>
      <c r="K5178" s="209"/>
      <c r="L5178" s="209"/>
      <c r="M5178" s="209"/>
      <c r="N5178" s="209"/>
      <c r="O5178" s="209"/>
      <c r="P5178" s="209"/>
      <c r="Q5178" s="209"/>
      <c r="R5178" s="209"/>
      <c r="S5178" s="209"/>
      <c r="T5178" s="209"/>
    </row>
    <row r="5179" spans="1:20" ht="15" hidden="1" customHeight="1">
      <c r="A5179" s="468">
        <v>45520</v>
      </c>
      <c r="B5179" s="208" t="s">
        <v>4333</v>
      </c>
      <c r="C5179" s="208" t="s">
        <v>27</v>
      </c>
      <c r="D5179" s="211">
        <v>-30040812</v>
      </c>
      <c r="E5179" s="212">
        <v>45505</v>
      </c>
      <c r="F5179" s="654" t="s">
        <v>130</v>
      </c>
      <c r="G5179" s="654" t="s">
        <v>130</v>
      </c>
      <c r="H5179" s="208" t="s">
        <v>1038</v>
      </c>
      <c r="I5179" s="208"/>
      <c r="J5179" s="209"/>
      <c r="K5179" s="209"/>
      <c r="L5179" s="209"/>
      <c r="M5179" s="209"/>
      <c r="N5179" s="209"/>
      <c r="O5179" s="209"/>
      <c r="P5179" s="209"/>
      <c r="Q5179" s="209"/>
      <c r="R5179" s="209"/>
      <c r="S5179" s="209"/>
      <c r="T5179" s="209"/>
    </row>
    <row r="5180" spans="1:20" ht="15" hidden="1" customHeight="1">
      <c r="A5180" s="468">
        <v>45520</v>
      </c>
      <c r="B5180" s="208" t="s">
        <v>1294</v>
      </c>
      <c r="C5180" s="208" t="s">
        <v>27</v>
      </c>
      <c r="D5180" s="211">
        <v>3401688</v>
      </c>
      <c r="E5180" s="212">
        <v>45505</v>
      </c>
      <c r="F5180" s="654" t="s">
        <v>108</v>
      </c>
      <c r="G5180" s="635"/>
      <c r="H5180" s="208"/>
      <c r="I5180" s="208"/>
      <c r="J5180" s="209"/>
      <c r="K5180" s="209"/>
      <c r="L5180" s="209"/>
      <c r="M5180" s="209"/>
      <c r="N5180" s="209"/>
      <c r="O5180" s="209"/>
      <c r="P5180" s="209"/>
      <c r="Q5180" s="209"/>
      <c r="R5180" s="209"/>
      <c r="S5180" s="209"/>
      <c r="T5180" s="209"/>
    </row>
    <row r="5181" spans="1:20" ht="15" hidden="1" customHeight="1">
      <c r="A5181" s="468">
        <v>45520</v>
      </c>
      <c r="B5181" s="208" t="s">
        <v>1078</v>
      </c>
      <c r="C5181" s="208" t="s">
        <v>27</v>
      </c>
      <c r="D5181" s="211">
        <v>2048460</v>
      </c>
      <c r="E5181" s="212">
        <v>45505</v>
      </c>
      <c r="F5181" s="654" t="s">
        <v>108</v>
      </c>
      <c r="G5181" s="635"/>
      <c r="H5181" s="208"/>
      <c r="I5181" s="208"/>
      <c r="J5181" s="209"/>
      <c r="K5181" s="209"/>
      <c r="L5181" s="209"/>
      <c r="M5181" s="209"/>
      <c r="N5181" s="209"/>
      <c r="O5181" s="209"/>
      <c r="P5181" s="209"/>
      <c r="Q5181" s="209"/>
      <c r="R5181" s="209"/>
      <c r="S5181" s="209"/>
      <c r="T5181" s="209"/>
    </row>
    <row r="5182" spans="1:20" ht="15" hidden="1" customHeight="1">
      <c r="A5182" s="468">
        <v>45519</v>
      </c>
      <c r="B5182" s="208" t="s">
        <v>4334</v>
      </c>
      <c r="C5182" s="208" t="s">
        <v>27</v>
      </c>
      <c r="D5182" s="211">
        <v>-618000</v>
      </c>
      <c r="E5182" s="212">
        <v>45505</v>
      </c>
      <c r="F5182" s="208" t="s">
        <v>109</v>
      </c>
      <c r="G5182" s="208" t="s">
        <v>3529</v>
      </c>
      <c r="H5182" s="208" t="s">
        <v>212</v>
      </c>
      <c r="I5182" s="208"/>
      <c r="J5182" s="209"/>
      <c r="K5182" s="209"/>
      <c r="L5182" s="209"/>
      <c r="M5182" s="209"/>
      <c r="N5182" s="209"/>
      <c r="O5182" s="209"/>
      <c r="P5182" s="209"/>
      <c r="Q5182" s="209"/>
      <c r="R5182" s="209"/>
      <c r="S5182" s="209"/>
      <c r="T5182" s="209"/>
    </row>
    <row r="5183" spans="1:20" ht="15" hidden="1" customHeight="1">
      <c r="A5183" s="468">
        <v>45519</v>
      </c>
      <c r="B5183" s="208" t="s">
        <v>4335</v>
      </c>
      <c r="C5183" s="208" t="s">
        <v>27</v>
      </c>
      <c r="D5183" s="211">
        <v>-1594600</v>
      </c>
      <c r="E5183" s="212">
        <v>45505</v>
      </c>
      <c r="F5183" s="208" t="s">
        <v>109</v>
      </c>
      <c r="G5183" s="208" t="s">
        <v>3529</v>
      </c>
      <c r="H5183" s="208" t="s">
        <v>123</v>
      </c>
      <c r="I5183" s="475" t="s">
        <v>3475</v>
      </c>
      <c r="J5183" s="209"/>
      <c r="K5183" s="209"/>
      <c r="L5183" s="209"/>
      <c r="M5183" s="209"/>
      <c r="N5183" s="209"/>
      <c r="O5183" s="209"/>
      <c r="P5183" s="209"/>
      <c r="Q5183" s="209"/>
      <c r="R5183" s="209"/>
      <c r="S5183" s="209"/>
      <c r="T5183" s="209"/>
    </row>
    <row r="5184" spans="1:20" ht="15" hidden="1" customHeight="1">
      <c r="A5184" s="468">
        <v>45519</v>
      </c>
      <c r="B5184" s="208" t="s">
        <v>4336</v>
      </c>
      <c r="C5184" s="208" t="s">
        <v>27</v>
      </c>
      <c r="D5184" s="211">
        <v>-19488000</v>
      </c>
      <c r="E5184" s="212">
        <v>45505</v>
      </c>
      <c r="F5184" s="201" t="s">
        <v>110</v>
      </c>
      <c r="G5184" s="654" t="s">
        <v>3245</v>
      </c>
      <c r="H5184" s="208" t="s">
        <v>123</v>
      </c>
      <c r="I5184" s="208"/>
      <c r="J5184" s="209"/>
      <c r="K5184" s="209"/>
      <c r="L5184" s="209"/>
      <c r="M5184" s="209"/>
      <c r="N5184" s="209"/>
      <c r="O5184" s="209"/>
      <c r="P5184" s="209"/>
      <c r="Q5184" s="209"/>
      <c r="R5184" s="209"/>
      <c r="S5184" s="209"/>
      <c r="T5184" s="209"/>
    </row>
    <row r="5185" spans="1:20" ht="15" hidden="1" customHeight="1">
      <c r="A5185" s="468">
        <v>45519</v>
      </c>
      <c r="B5185" s="208" t="s">
        <v>4337</v>
      </c>
      <c r="C5185" s="208" t="s">
        <v>27</v>
      </c>
      <c r="D5185" s="211">
        <v>-10400000</v>
      </c>
      <c r="E5185" s="212">
        <v>45505</v>
      </c>
      <c r="F5185" s="201" t="s">
        <v>110</v>
      </c>
      <c r="G5185" s="654" t="s">
        <v>3245</v>
      </c>
      <c r="H5185" s="208" t="s">
        <v>418</v>
      </c>
      <c r="I5185" s="208"/>
      <c r="J5185" s="209"/>
      <c r="K5185" s="209"/>
      <c r="L5185" s="209"/>
      <c r="M5185" s="209"/>
      <c r="N5185" s="209"/>
      <c r="O5185" s="209"/>
      <c r="P5185" s="209"/>
      <c r="Q5185" s="209"/>
      <c r="R5185" s="209"/>
      <c r="S5185" s="209"/>
      <c r="T5185" s="209"/>
    </row>
    <row r="5186" spans="1:20" ht="15" hidden="1" customHeight="1">
      <c r="A5186" s="468">
        <v>45519</v>
      </c>
      <c r="B5186" s="208" t="s">
        <v>4337</v>
      </c>
      <c r="C5186" s="208" t="s">
        <v>27</v>
      </c>
      <c r="D5186" s="211">
        <v>-12248070</v>
      </c>
      <c r="E5186" s="212">
        <v>45505</v>
      </c>
      <c r="F5186" s="201" t="s">
        <v>110</v>
      </c>
      <c r="G5186" s="654" t="s">
        <v>3245</v>
      </c>
      <c r="H5186" s="208" t="s">
        <v>212</v>
      </c>
      <c r="I5186" s="475" t="s">
        <v>3475</v>
      </c>
      <c r="J5186" s="209"/>
      <c r="K5186" s="209"/>
      <c r="L5186" s="209"/>
      <c r="M5186" s="209"/>
      <c r="N5186" s="209"/>
      <c r="O5186" s="209"/>
      <c r="P5186" s="209"/>
      <c r="Q5186" s="209"/>
      <c r="R5186" s="209"/>
      <c r="S5186" s="209"/>
      <c r="T5186" s="209"/>
    </row>
    <row r="5187" spans="1:20" ht="15" hidden="1" customHeight="1">
      <c r="A5187" s="468">
        <v>45520</v>
      </c>
      <c r="B5187" s="208" t="s">
        <v>4338</v>
      </c>
      <c r="C5187" s="208" t="s">
        <v>27</v>
      </c>
      <c r="D5187" s="211">
        <v>2325936</v>
      </c>
      <c r="E5187" s="212">
        <v>45505</v>
      </c>
      <c r="F5187" s="654" t="s">
        <v>3800</v>
      </c>
      <c r="G5187" s="635"/>
      <c r="H5187" s="208"/>
      <c r="I5187" s="208"/>
      <c r="J5187" s="209"/>
      <c r="K5187" s="209"/>
      <c r="L5187" s="209"/>
      <c r="M5187" s="209"/>
      <c r="N5187" s="209"/>
      <c r="O5187" s="209"/>
      <c r="P5187" s="209"/>
      <c r="Q5187" s="209"/>
      <c r="R5187" s="209"/>
      <c r="S5187" s="209"/>
      <c r="T5187" s="209"/>
    </row>
    <row r="5188" spans="1:20" ht="15" hidden="1" customHeight="1">
      <c r="A5188" s="468">
        <v>45516</v>
      </c>
      <c r="B5188" s="81" t="s">
        <v>4339</v>
      </c>
      <c r="C5188" s="677" t="s">
        <v>643</v>
      </c>
      <c r="D5188" s="211">
        <v>-12500</v>
      </c>
      <c r="E5188" s="212">
        <v>45505</v>
      </c>
      <c r="F5188" s="654" t="s">
        <v>130</v>
      </c>
      <c r="G5188" s="208" t="s">
        <v>257</v>
      </c>
      <c r="H5188" s="208" t="s">
        <v>303</v>
      </c>
      <c r="I5188" s="208"/>
      <c r="J5188" s="209"/>
      <c r="K5188" s="209"/>
      <c r="L5188" s="209"/>
      <c r="M5188" s="209"/>
      <c r="N5188" s="209"/>
      <c r="O5188" s="209"/>
      <c r="P5188" s="209"/>
      <c r="Q5188" s="209"/>
      <c r="R5188" s="209"/>
      <c r="S5188" s="209"/>
      <c r="T5188" s="209"/>
    </row>
    <row r="5189" spans="1:20" ht="15" hidden="1" customHeight="1">
      <c r="A5189" s="468">
        <v>45517</v>
      </c>
      <c r="B5189" s="81" t="s">
        <v>4340</v>
      </c>
      <c r="C5189" s="677" t="s">
        <v>643</v>
      </c>
      <c r="D5189" s="211">
        <v>-38550</v>
      </c>
      <c r="E5189" s="212">
        <v>45505</v>
      </c>
      <c r="F5189" s="654" t="s">
        <v>130</v>
      </c>
      <c r="G5189" s="208" t="s">
        <v>257</v>
      </c>
      <c r="H5189" s="208" t="s">
        <v>303</v>
      </c>
      <c r="I5189" s="208"/>
      <c r="J5189" s="209"/>
      <c r="K5189" s="209"/>
      <c r="L5189" s="209"/>
      <c r="M5189" s="209"/>
      <c r="N5189" s="209"/>
      <c r="O5189" s="209"/>
      <c r="P5189" s="209"/>
      <c r="Q5189" s="209"/>
      <c r="R5189" s="209"/>
      <c r="S5189" s="209"/>
      <c r="T5189" s="209"/>
    </row>
    <row r="5190" spans="1:20" ht="15" hidden="1" customHeight="1">
      <c r="A5190" s="468">
        <v>45517</v>
      </c>
      <c r="B5190" s="81" t="s">
        <v>3103</v>
      </c>
      <c r="C5190" s="677" t="s">
        <v>643</v>
      </c>
      <c r="D5190" s="211">
        <v>-96200</v>
      </c>
      <c r="E5190" s="212">
        <v>45505</v>
      </c>
      <c r="F5190" s="654" t="s">
        <v>130</v>
      </c>
      <c r="G5190" s="208" t="s">
        <v>130</v>
      </c>
      <c r="H5190" s="208" t="s">
        <v>1245</v>
      </c>
      <c r="I5190" s="208"/>
      <c r="J5190" s="209"/>
      <c r="K5190" s="209"/>
      <c r="L5190" s="209"/>
      <c r="M5190" s="209"/>
      <c r="N5190" s="209"/>
      <c r="O5190" s="209"/>
      <c r="P5190" s="209"/>
      <c r="Q5190" s="209"/>
      <c r="R5190" s="209"/>
      <c r="S5190" s="209"/>
      <c r="T5190" s="209"/>
    </row>
    <row r="5191" spans="1:20" ht="15" hidden="1" customHeight="1">
      <c r="A5191" s="468">
        <v>45519</v>
      </c>
      <c r="B5191" s="81" t="s">
        <v>4341</v>
      </c>
      <c r="C5191" s="677" t="s">
        <v>643</v>
      </c>
      <c r="D5191" s="211">
        <v>4374180.9400000004</v>
      </c>
      <c r="E5191" s="212">
        <v>45505</v>
      </c>
      <c r="F5191" s="654" t="s">
        <v>108</v>
      </c>
      <c r="G5191" s="208"/>
      <c r="H5191" s="208"/>
      <c r="I5191" s="208"/>
      <c r="J5191" s="209"/>
      <c r="K5191" s="209"/>
      <c r="L5191" s="209"/>
      <c r="M5191" s="209"/>
      <c r="N5191" s="209"/>
      <c r="O5191" s="209"/>
      <c r="P5191" s="209"/>
      <c r="Q5191" s="209"/>
      <c r="R5191" s="209"/>
      <c r="S5191" s="209"/>
      <c r="T5191" s="209"/>
    </row>
    <row r="5192" spans="1:20" ht="15" hidden="1" customHeight="1">
      <c r="A5192" s="468">
        <v>45520</v>
      </c>
      <c r="B5192" s="208" t="s">
        <v>3022</v>
      </c>
      <c r="C5192" s="208" t="s">
        <v>3331</v>
      </c>
      <c r="D5192" s="211">
        <v>1274110</v>
      </c>
      <c r="E5192" s="212">
        <v>45505</v>
      </c>
      <c r="F5192" s="208" t="s">
        <v>108</v>
      </c>
      <c r="G5192" s="208"/>
      <c r="H5192" s="208"/>
      <c r="I5192" s="208"/>
      <c r="J5192" s="209"/>
      <c r="K5192" s="209"/>
      <c r="L5192" s="209"/>
      <c r="M5192" s="209"/>
      <c r="N5192" s="209"/>
      <c r="O5192" s="209"/>
      <c r="P5192" s="209"/>
      <c r="Q5192" s="209"/>
      <c r="R5192" s="209"/>
      <c r="S5192" s="209"/>
      <c r="T5192" s="209"/>
    </row>
    <row r="5193" spans="1:20" ht="15" hidden="1" customHeight="1">
      <c r="A5193" s="468">
        <v>45520</v>
      </c>
      <c r="B5193" s="208" t="s">
        <v>4342</v>
      </c>
      <c r="C5193" s="208" t="s">
        <v>3331</v>
      </c>
      <c r="D5193" s="211">
        <v>98510000</v>
      </c>
      <c r="E5193" s="212">
        <v>45505</v>
      </c>
      <c r="F5193" s="84" t="s">
        <v>111</v>
      </c>
      <c r="G5193" s="208"/>
      <c r="H5193" s="208"/>
      <c r="I5193" s="208"/>
      <c r="J5193" s="209"/>
      <c r="K5193" s="209"/>
      <c r="L5193" s="209"/>
      <c r="M5193" s="209"/>
      <c r="N5193" s="209"/>
      <c r="O5193" s="209"/>
      <c r="P5193" s="209"/>
      <c r="Q5193" s="209"/>
      <c r="R5193" s="209"/>
      <c r="S5193" s="209"/>
      <c r="T5193" s="209"/>
    </row>
    <row r="5194" spans="1:20" ht="15" hidden="1" customHeight="1">
      <c r="A5194" s="468">
        <v>45518</v>
      </c>
      <c r="B5194" s="208" t="s">
        <v>1635</v>
      </c>
      <c r="C5194" s="208" t="s">
        <v>3331</v>
      </c>
      <c r="D5194" s="211">
        <v>1000000</v>
      </c>
      <c r="E5194" s="212">
        <v>45505</v>
      </c>
      <c r="F5194" s="208" t="s">
        <v>108</v>
      </c>
      <c r="G5194" s="208"/>
      <c r="H5194" s="208"/>
      <c r="I5194" s="208"/>
      <c r="J5194" s="209"/>
      <c r="K5194" s="209"/>
      <c r="L5194" s="209"/>
      <c r="M5194" s="209"/>
      <c r="N5194" s="209"/>
      <c r="O5194" s="209"/>
      <c r="P5194" s="209"/>
      <c r="Q5194" s="209"/>
      <c r="R5194" s="209"/>
      <c r="S5194" s="209"/>
      <c r="T5194" s="209"/>
    </row>
    <row r="5195" spans="1:20" ht="15" hidden="1" customHeight="1">
      <c r="A5195" s="468">
        <v>45517</v>
      </c>
      <c r="B5195" s="208" t="s">
        <v>4343</v>
      </c>
      <c r="C5195" s="208" t="s">
        <v>3331</v>
      </c>
      <c r="D5195" s="211">
        <v>414694</v>
      </c>
      <c r="E5195" s="212">
        <v>45505</v>
      </c>
      <c r="F5195" s="201" t="s">
        <v>110</v>
      </c>
      <c r="G5195" s="208" t="s">
        <v>2444</v>
      </c>
      <c r="H5195" s="208"/>
      <c r="I5195" s="208"/>
      <c r="J5195" s="209"/>
      <c r="K5195" s="209"/>
      <c r="L5195" s="209"/>
      <c r="M5195" s="209"/>
      <c r="N5195" s="209"/>
      <c r="O5195" s="209"/>
      <c r="P5195" s="209"/>
      <c r="Q5195" s="209"/>
      <c r="R5195" s="209"/>
      <c r="S5195" s="209"/>
      <c r="T5195" s="209"/>
    </row>
    <row r="5196" spans="1:20" ht="15" hidden="1" customHeight="1">
      <c r="A5196" s="468">
        <v>45520</v>
      </c>
      <c r="B5196" s="208" t="s">
        <v>1834</v>
      </c>
      <c r="C5196" s="208" t="s">
        <v>3331</v>
      </c>
      <c r="D5196" s="211">
        <v>4393529</v>
      </c>
      <c r="E5196" s="212">
        <v>45505</v>
      </c>
      <c r="F5196" s="654" t="s">
        <v>108</v>
      </c>
      <c r="G5196" s="635"/>
      <c r="H5196" s="208"/>
      <c r="I5196" s="208"/>
      <c r="J5196" s="209"/>
      <c r="K5196" s="209"/>
      <c r="L5196" s="209"/>
      <c r="M5196" s="209"/>
      <c r="N5196" s="209"/>
      <c r="O5196" s="209"/>
      <c r="P5196" s="209"/>
      <c r="Q5196" s="209"/>
      <c r="R5196" s="209"/>
      <c r="S5196" s="209"/>
      <c r="T5196" s="209"/>
    </row>
    <row r="5197" spans="1:20" ht="15" hidden="1" customHeight="1">
      <c r="A5197" s="468">
        <v>45516</v>
      </c>
      <c r="B5197" s="208" t="s">
        <v>3682</v>
      </c>
      <c r="C5197" s="208" t="s">
        <v>3331</v>
      </c>
      <c r="D5197" s="211">
        <v>464000</v>
      </c>
      <c r="E5197" s="212">
        <v>45505</v>
      </c>
      <c r="F5197" s="208" t="s">
        <v>108</v>
      </c>
      <c r="G5197" s="208"/>
      <c r="H5197" s="208"/>
      <c r="I5197" s="208"/>
      <c r="J5197" s="209"/>
      <c r="K5197" s="209"/>
      <c r="L5197" s="209"/>
      <c r="M5197" s="209"/>
      <c r="N5197" s="209"/>
      <c r="O5197" s="209"/>
      <c r="P5197" s="209"/>
      <c r="Q5197" s="209"/>
      <c r="R5197" s="209"/>
      <c r="S5197" s="209"/>
      <c r="T5197" s="209"/>
    </row>
    <row r="5198" spans="1:20" ht="15" hidden="1" customHeight="1">
      <c r="A5198" s="468">
        <v>45516</v>
      </c>
      <c r="B5198" s="208" t="s">
        <v>4344</v>
      </c>
      <c r="C5198" s="208" t="s">
        <v>3331</v>
      </c>
      <c r="D5198" s="211">
        <v>2521679</v>
      </c>
      <c r="E5198" s="212">
        <v>45505</v>
      </c>
      <c r="F5198" s="208" t="s">
        <v>108</v>
      </c>
      <c r="G5198" s="208"/>
      <c r="H5198" s="208"/>
      <c r="I5198" s="208"/>
      <c r="J5198" s="209"/>
      <c r="K5198" s="209"/>
      <c r="L5198" s="209"/>
      <c r="M5198" s="209"/>
      <c r="N5198" s="209"/>
      <c r="O5198" s="209"/>
      <c r="P5198" s="209"/>
      <c r="Q5198" s="209"/>
      <c r="R5198" s="209"/>
      <c r="S5198" s="209"/>
      <c r="T5198" s="209"/>
    </row>
    <row r="5199" spans="1:20" ht="15" hidden="1" customHeight="1">
      <c r="A5199" s="468">
        <v>45518</v>
      </c>
      <c r="B5199" s="208" t="s">
        <v>4345</v>
      </c>
      <c r="C5199" s="208" t="s">
        <v>27</v>
      </c>
      <c r="D5199" s="211">
        <v>771000</v>
      </c>
      <c r="E5199" s="212">
        <v>45505</v>
      </c>
      <c r="F5199" s="208" t="s">
        <v>109</v>
      </c>
      <c r="G5199" s="201" t="s">
        <v>581</v>
      </c>
      <c r="H5199" s="208"/>
      <c r="I5199" s="475" t="s">
        <v>3475</v>
      </c>
      <c r="J5199" s="209"/>
      <c r="K5199" s="209"/>
      <c r="L5199" s="209"/>
      <c r="M5199" s="209"/>
      <c r="N5199" s="209"/>
      <c r="O5199" s="209"/>
      <c r="P5199" s="209"/>
      <c r="Q5199" s="209"/>
      <c r="R5199" s="209"/>
      <c r="S5199" s="209"/>
      <c r="T5199" s="209"/>
    </row>
    <row r="5200" spans="1:20" ht="15" hidden="1" customHeight="1">
      <c r="A5200" s="468">
        <v>45520</v>
      </c>
      <c r="B5200" s="208" t="s">
        <v>4346</v>
      </c>
      <c r="C5200" s="208" t="s">
        <v>269</v>
      </c>
      <c r="D5200" s="211">
        <v>-25000</v>
      </c>
      <c r="E5200" s="212">
        <v>45505</v>
      </c>
      <c r="F5200" s="208" t="s">
        <v>109</v>
      </c>
      <c r="G5200" s="208" t="s">
        <v>383</v>
      </c>
      <c r="H5200" s="208" t="s">
        <v>138</v>
      </c>
      <c r="I5200" s="208" t="s">
        <v>4347</v>
      </c>
      <c r="J5200" s="209"/>
      <c r="K5200" s="209"/>
      <c r="L5200" s="209"/>
      <c r="M5200" s="209"/>
      <c r="N5200" s="209"/>
      <c r="O5200" s="209"/>
      <c r="P5200" s="209"/>
      <c r="Q5200" s="209"/>
      <c r="R5200" s="209"/>
      <c r="S5200" s="209"/>
      <c r="T5200" s="209"/>
    </row>
    <row r="5201" spans="1:20" ht="15" hidden="1" customHeight="1">
      <c r="A5201" s="468">
        <v>45520</v>
      </c>
      <c r="B5201" s="208" t="s">
        <v>4348</v>
      </c>
      <c r="C5201" s="208" t="s">
        <v>269</v>
      </c>
      <c r="D5201" s="211">
        <v>-20000</v>
      </c>
      <c r="E5201" s="212">
        <v>45505</v>
      </c>
      <c r="F5201" s="208" t="s">
        <v>109</v>
      </c>
      <c r="G5201" s="208" t="s">
        <v>383</v>
      </c>
      <c r="H5201" s="208" t="s">
        <v>138</v>
      </c>
      <c r="I5201" s="208" t="s">
        <v>4347</v>
      </c>
      <c r="J5201" s="209"/>
      <c r="K5201" s="209"/>
      <c r="L5201" s="209"/>
      <c r="M5201" s="209"/>
      <c r="N5201" s="209"/>
      <c r="O5201" s="209"/>
      <c r="P5201" s="209"/>
      <c r="Q5201" s="209"/>
      <c r="R5201" s="209"/>
      <c r="S5201" s="209"/>
      <c r="T5201" s="209"/>
    </row>
    <row r="5202" spans="1:20" ht="15" hidden="1" customHeight="1">
      <c r="A5202" s="468">
        <v>45520</v>
      </c>
      <c r="B5202" s="208" t="s">
        <v>4349</v>
      </c>
      <c r="C5202" s="208" t="s">
        <v>269</v>
      </c>
      <c r="D5202" s="211">
        <v>-2500</v>
      </c>
      <c r="E5202" s="212">
        <v>45505</v>
      </c>
      <c r="F5202" s="208" t="s">
        <v>109</v>
      </c>
      <c r="G5202" s="208" t="s">
        <v>383</v>
      </c>
      <c r="H5202" s="208" t="s">
        <v>138</v>
      </c>
      <c r="I5202" s="208" t="s">
        <v>4347</v>
      </c>
      <c r="J5202" s="209"/>
      <c r="K5202" s="209"/>
      <c r="L5202" s="209"/>
      <c r="M5202" s="209"/>
      <c r="N5202" s="209"/>
      <c r="O5202" s="209"/>
      <c r="P5202" s="209"/>
      <c r="Q5202" s="209"/>
      <c r="R5202" s="209"/>
      <c r="S5202" s="209"/>
      <c r="T5202" s="209"/>
    </row>
    <row r="5203" spans="1:20" ht="15" hidden="1" customHeight="1">
      <c r="A5203" s="468">
        <v>45524</v>
      </c>
      <c r="B5203" s="208" t="s">
        <v>4350</v>
      </c>
      <c r="C5203" s="208" t="s">
        <v>146</v>
      </c>
      <c r="D5203" s="211">
        <v>-133400</v>
      </c>
      <c r="E5203" s="212">
        <v>45505</v>
      </c>
      <c r="F5203" s="208" t="s">
        <v>130</v>
      </c>
      <c r="G5203" s="208" t="s">
        <v>130</v>
      </c>
      <c r="H5203" s="208" t="s">
        <v>852</v>
      </c>
      <c r="I5203" s="208"/>
      <c r="J5203" s="209"/>
      <c r="K5203" s="209"/>
      <c r="L5203" s="209"/>
      <c r="M5203" s="209"/>
      <c r="N5203" s="209"/>
      <c r="O5203" s="209"/>
      <c r="P5203" s="209"/>
      <c r="Q5203" s="209"/>
      <c r="R5203" s="209"/>
      <c r="S5203" s="209"/>
      <c r="T5203" s="209"/>
    </row>
    <row r="5204" spans="1:20" ht="15" hidden="1" customHeight="1">
      <c r="A5204" s="468">
        <v>45524</v>
      </c>
      <c r="B5204" s="208" t="s">
        <v>4351</v>
      </c>
      <c r="C5204" s="208" t="s">
        <v>146</v>
      </c>
      <c r="D5204" s="211">
        <v>-50050</v>
      </c>
      <c r="E5204" s="212">
        <v>45505</v>
      </c>
      <c r="F5204" s="208" t="s">
        <v>110</v>
      </c>
      <c r="G5204" s="208" t="s">
        <v>122</v>
      </c>
      <c r="H5204" s="208" t="s">
        <v>663</v>
      </c>
      <c r="I5204" s="208"/>
      <c r="J5204" s="209"/>
      <c r="K5204" s="209"/>
      <c r="L5204" s="209"/>
      <c r="M5204" s="209"/>
      <c r="N5204" s="209"/>
      <c r="O5204" s="209"/>
      <c r="P5204" s="209"/>
      <c r="Q5204" s="209"/>
      <c r="R5204" s="209"/>
      <c r="S5204" s="209"/>
      <c r="T5204" s="209"/>
    </row>
    <row r="5205" spans="1:20" ht="15" hidden="1" customHeight="1">
      <c r="A5205" s="468">
        <v>45524</v>
      </c>
      <c r="B5205" s="208" t="s">
        <v>4351</v>
      </c>
      <c r="C5205" s="208" t="s">
        <v>146</v>
      </c>
      <c r="D5205" s="211">
        <v>-33900</v>
      </c>
      <c r="E5205" s="212">
        <v>45505</v>
      </c>
      <c r="F5205" s="208" t="s">
        <v>110</v>
      </c>
      <c r="G5205" s="208" t="s">
        <v>122</v>
      </c>
      <c r="H5205" s="208" t="s">
        <v>663</v>
      </c>
      <c r="I5205" s="208"/>
      <c r="J5205" s="209"/>
      <c r="K5205" s="209"/>
      <c r="L5205" s="209"/>
      <c r="M5205" s="209"/>
      <c r="N5205" s="209"/>
      <c r="O5205" s="209"/>
      <c r="P5205" s="209"/>
      <c r="Q5205" s="209"/>
      <c r="R5205" s="209"/>
      <c r="S5205" s="209"/>
      <c r="T5205" s="209"/>
    </row>
    <row r="5206" spans="1:20" ht="15" hidden="1" customHeight="1">
      <c r="A5206" s="468">
        <v>45524</v>
      </c>
      <c r="B5206" s="208" t="s">
        <v>4351</v>
      </c>
      <c r="C5206" s="208" t="s">
        <v>146</v>
      </c>
      <c r="D5206" s="211">
        <v>-16950</v>
      </c>
      <c r="E5206" s="212">
        <v>45505</v>
      </c>
      <c r="F5206" s="208" t="s">
        <v>110</v>
      </c>
      <c r="G5206" s="208" t="s">
        <v>122</v>
      </c>
      <c r="H5206" s="208" t="s">
        <v>663</v>
      </c>
      <c r="I5206" s="208"/>
      <c r="J5206" s="209"/>
      <c r="K5206" s="209"/>
      <c r="L5206" s="209"/>
      <c r="M5206" s="209"/>
      <c r="N5206" s="209"/>
      <c r="O5206" s="209"/>
      <c r="P5206" s="209"/>
      <c r="Q5206" s="209"/>
      <c r="R5206" s="209"/>
      <c r="S5206" s="209"/>
      <c r="T5206" s="209"/>
    </row>
    <row r="5207" spans="1:20" ht="15" hidden="1" customHeight="1">
      <c r="A5207" s="468">
        <v>45524</v>
      </c>
      <c r="B5207" s="208" t="s">
        <v>4352</v>
      </c>
      <c r="C5207" s="208" t="s">
        <v>146</v>
      </c>
      <c r="D5207" s="211">
        <v>-20000</v>
      </c>
      <c r="E5207" s="212">
        <v>45505</v>
      </c>
      <c r="F5207" s="208" t="s">
        <v>110</v>
      </c>
      <c r="G5207" s="208" t="s">
        <v>122</v>
      </c>
      <c r="H5207" s="208" t="s">
        <v>663</v>
      </c>
      <c r="I5207" s="208"/>
      <c r="J5207" s="209"/>
      <c r="K5207" s="209"/>
      <c r="L5207" s="209"/>
      <c r="M5207" s="209"/>
      <c r="N5207" s="209"/>
      <c r="O5207" s="209"/>
      <c r="P5207" s="209"/>
      <c r="Q5207" s="209"/>
      <c r="R5207" s="209"/>
      <c r="S5207" s="209"/>
      <c r="T5207" s="209"/>
    </row>
    <row r="5208" spans="1:20" ht="15" hidden="1" customHeight="1">
      <c r="A5208" s="468">
        <v>45524</v>
      </c>
      <c r="B5208" s="208" t="s">
        <v>4353</v>
      </c>
      <c r="C5208" s="208" t="s">
        <v>146</v>
      </c>
      <c r="D5208" s="211">
        <v>-94000</v>
      </c>
      <c r="E5208" s="212">
        <v>45505</v>
      </c>
      <c r="F5208" s="208" t="s">
        <v>110</v>
      </c>
      <c r="G5208" s="208" t="s">
        <v>122</v>
      </c>
      <c r="H5208" s="208" t="s">
        <v>663</v>
      </c>
      <c r="I5208" s="208"/>
      <c r="J5208" s="209"/>
      <c r="K5208" s="209"/>
      <c r="L5208" s="209"/>
      <c r="M5208" s="209"/>
      <c r="N5208" s="209"/>
      <c r="O5208" s="209"/>
      <c r="P5208" s="209"/>
      <c r="Q5208" s="209"/>
      <c r="R5208" s="209"/>
      <c r="S5208" s="209"/>
      <c r="T5208" s="209"/>
    </row>
    <row r="5209" spans="1:20" ht="15" hidden="1" customHeight="1">
      <c r="A5209" s="468">
        <v>45525</v>
      </c>
      <c r="B5209" s="208" t="s">
        <v>4354</v>
      </c>
      <c r="C5209" s="208" t="s">
        <v>146</v>
      </c>
      <c r="D5209" s="211">
        <v>-6000</v>
      </c>
      <c r="E5209" s="212">
        <v>45505</v>
      </c>
      <c r="F5209" s="208" t="s">
        <v>109</v>
      </c>
      <c r="G5209" s="201" t="s">
        <v>1261</v>
      </c>
      <c r="H5209" s="208" t="s">
        <v>138</v>
      </c>
      <c r="I5209" s="208"/>
      <c r="J5209" s="209"/>
      <c r="K5209" s="209"/>
      <c r="L5209" s="209"/>
      <c r="M5209" s="209"/>
      <c r="N5209" s="209"/>
      <c r="O5209" s="209"/>
      <c r="P5209" s="209"/>
      <c r="Q5209" s="209"/>
      <c r="R5209" s="209"/>
      <c r="S5209" s="209"/>
      <c r="T5209" s="209"/>
    </row>
    <row r="5210" spans="1:20" ht="15" hidden="1" customHeight="1">
      <c r="A5210" s="468">
        <v>45526</v>
      </c>
      <c r="B5210" s="208" t="s">
        <v>4355</v>
      </c>
      <c r="C5210" s="208" t="s">
        <v>146</v>
      </c>
      <c r="D5210" s="211">
        <v>-12900</v>
      </c>
      <c r="E5210" s="212">
        <v>45505</v>
      </c>
      <c r="F5210" s="208" t="s">
        <v>110</v>
      </c>
      <c r="G5210" s="208" t="s">
        <v>122</v>
      </c>
      <c r="H5210" s="208" t="s">
        <v>663</v>
      </c>
      <c r="I5210" s="208"/>
      <c r="J5210" s="209"/>
      <c r="K5210" s="209"/>
      <c r="L5210" s="209"/>
      <c r="M5210" s="209"/>
      <c r="N5210" s="209"/>
      <c r="O5210" s="209"/>
      <c r="P5210" s="209"/>
      <c r="Q5210" s="209"/>
      <c r="R5210" s="209"/>
      <c r="S5210" s="209"/>
      <c r="T5210" s="209"/>
    </row>
    <row r="5211" spans="1:20" ht="15" hidden="1" customHeight="1">
      <c r="A5211" s="468">
        <v>45527</v>
      </c>
      <c r="B5211" s="208" t="s">
        <v>4356</v>
      </c>
      <c r="C5211" s="208" t="s">
        <v>146</v>
      </c>
      <c r="D5211" s="801">
        <v>-13500</v>
      </c>
      <c r="E5211" s="212">
        <v>45505</v>
      </c>
      <c r="F5211" s="208" t="s">
        <v>109</v>
      </c>
      <c r="G5211" s="601" t="s">
        <v>581</v>
      </c>
      <c r="H5211" s="208" t="s">
        <v>852</v>
      </c>
      <c r="I5211" s="208" t="s">
        <v>4357</v>
      </c>
      <c r="J5211" s="209"/>
      <c r="K5211" s="209"/>
      <c r="L5211" s="209"/>
      <c r="M5211" s="209"/>
      <c r="N5211" s="209"/>
      <c r="O5211" s="209"/>
      <c r="P5211" s="209"/>
      <c r="Q5211" s="209"/>
      <c r="R5211" s="209"/>
      <c r="S5211" s="209"/>
      <c r="T5211" s="209"/>
    </row>
    <row r="5212" spans="1:20" ht="15" hidden="1" customHeight="1">
      <c r="A5212" s="468">
        <v>45527</v>
      </c>
      <c r="B5212" s="208" t="s">
        <v>4358</v>
      </c>
      <c r="C5212" s="208" t="s">
        <v>146</v>
      </c>
      <c r="D5212" s="801">
        <v>-13500</v>
      </c>
      <c r="E5212" s="212">
        <v>45505</v>
      </c>
      <c r="F5212" s="208" t="s">
        <v>109</v>
      </c>
      <c r="G5212" s="601" t="s">
        <v>581</v>
      </c>
      <c r="H5212" s="208" t="s">
        <v>852</v>
      </c>
      <c r="I5212" s="208" t="s">
        <v>4357</v>
      </c>
      <c r="J5212" s="209"/>
      <c r="K5212" s="209"/>
      <c r="L5212" s="209"/>
      <c r="M5212" s="209"/>
      <c r="N5212" s="209"/>
      <c r="O5212" s="209"/>
      <c r="P5212" s="209"/>
      <c r="Q5212" s="209"/>
      <c r="R5212" s="209"/>
      <c r="S5212" s="209"/>
      <c r="T5212" s="209"/>
    </row>
    <row r="5213" spans="1:20" ht="15" hidden="1" customHeight="1">
      <c r="A5213" s="468">
        <v>45527</v>
      </c>
      <c r="B5213" s="208" t="s">
        <v>4359</v>
      </c>
      <c r="C5213" s="208" t="s">
        <v>146</v>
      </c>
      <c r="D5213" s="211">
        <v>-56200</v>
      </c>
      <c r="E5213" s="212">
        <v>45505</v>
      </c>
      <c r="F5213" s="208" t="s">
        <v>109</v>
      </c>
      <c r="G5213" s="601" t="s">
        <v>581</v>
      </c>
      <c r="H5213" s="208" t="s">
        <v>852</v>
      </c>
      <c r="I5213" s="208" t="s">
        <v>4357</v>
      </c>
      <c r="J5213" s="209"/>
      <c r="K5213" s="209"/>
      <c r="L5213" s="209"/>
      <c r="M5213" s="209"/>
      <c r="N5213" s="209"/>
      <c r="O5213" s="209"/>
      <c r="P5213" s="209"/>
      <c r="Q5213" s="209"/>
      <c r="R5213" s="209"/>
      <c r="S5213" s="209"/>
      <c r="T5213" s="209"/>
    </row>
    <row r="5214" spans="1:20" ht="15" hidden="1" customHeight="1">
      <c r="A5214" s="468">
        <v>45527</v>
      </c>
      <c r="B5214" s="208" t="s">
        <v>4360</v>
      </c>
      <c r="C5214" s="208" t="s">
        <v>146</v>
      </c>
      <c r="D5214" s="211">
        <v>-12000</v>
      </c>
      <c r="E5214" s="212">
        <v>45505</v>
      </c>
      <c r="F5214" s="208" t="s">
        <v>109</v>
      </c>
      <c r="G5214" s="201" t="s">
        <v>1261</v>
      </c>
      <c r="H5214" s="208" t="s">
        <v>138</v>
      </c>
      <c r="I5214" s="208" t="s">
        <v>4357</v>
      </c>
      <c r="J5214" s="209"/>
      <c r="K5214" s="209"/>
      <c r="L5214" s="209"/>
      <c r="M5214" s="209"/>
      <c r="N5214" s="209"/>
      <c r="O5214" s="209"/>
      <c r="P5214" s="209"/>
      <c r="Q5214" s="209"/>
      <c r="R5214" s="209"/>
      <c r="S5214" s="209"/>
      <c r="T5214" s="209"/>
    </row>
    <row r="5215" spans="1:20" ht="15" hidden="1" customHeight="1">
      <c r="A5215" s="468">
        <v>45519</v>
      </c>
      <c r="B5215" s="208" t="s">
        <v>4361</v>
      </c>
      <c r="C5215" s="208" t="s">
        <v>146</v>
      </c>
      <c r="D5215" s="211">
        <v>-15000</v>
      </c>
      <c r="E5215" s="212">
        <v>45505</v>
      </c>
      <c r="F5215" s="208" t="s">
        <v>109</v>
      </c>
      <c r="G5215" s="201" t="s">
        <v>1261</v>
      </c>
      <c r="H5215" s="208" t="s">
        <v>138</v>
      </c>
      <c r="I5215" s="208" t="s">
        <v>4362</v>
      </c>
      <c r="J5215" s="209"/>
      <c r="K5215" s="209"/>
      <c r="L5215" s="209"/>
      <c r="M5215" s="209"/>
      <c r="N5215" s="209"/>
      <c r="O5215" s="209"/>
      <c r="P5215" s="209"/>
      <c r="Q5215" s="209"/>
      <c r="R5215" s="209"/>
      <c r="S5215" s="209"/>
      <c r="T5215" s="209"/>
    </row>
    <row r="5216" spans="1:20" ht="15" hidden="1" customHeight="1">
      <c r="A5216" s="468">
        <v>45519</v>
      </c>
      <c r="B5216" s="208" t="s">
        <v>4363</v>
      </c>
      <c r="C5216" s="208" t="s">
        <v>146</v>
      </c>
      <c r="D5216" s="211">
        <v>-15000</v>
      </c>
      <c r="E5216" s="212">
        <v>45505</v>
      </c>
      <c r="F5216" s="208" t="s">
        <v>109</v>
      </c>
      <c r="G5216" s="208" t="s">
        <v>125</v>
      </c>
      <c r="H5216" s="208" t="s">
        <v>138</v>
      </c>
      <c r="I5216" s="208" t="s">
        <v>4362</v>
      </c>
      <c r="J5216" s="209"/>
      <c r="K5216" s="209"/>
      <c r="L5216" s="209"/>
      <c r="M5216" s="209"/>
      <c r="N5216" s="209"/>
      <c r="O5216" s="209"/>
      <c r="P5216" s="209"/>
      <c r="Q5216" s="209"/>
      <c r="R5216" s="209"/>
      <c r="S5216" s="209"/>
      <c r="T5216" s="209"/>
    </row>
    <row r="5217" spans="1:20" ht="15" hidden="1" customHeight="1">
      <c r="A5217" s="468">
        <v>45527</v>
      </c>
      <c r="B5217" s="208" t="s">
        <v>4364</v>
      </c>
      <c r="C5217" s="208" t="s">
        <v>146</v>
      </c>
      <c r="D5217" s="211">
        <v>-120000</v>
      </c>
      <c r="E5217" s="212">
        <v>45505</v>
      </c>
      <c r="F5217" s="208" t="s">
        <v>130</v>
      </c>
      <c r="G5217" s="208" t="s">
        <v>130</v>
      </c>
      <c r="H5217" s="208" t="s">
        <v>323</v>
      </c>
      <c r="I5217" s="208" t="s">
        <v>59</v>
      </c>
      <c r="J5217" s="209"/>
      <c r="K5217" s="209"/>
      <c r="L5217" s="209"/>
      <c r="M5217" s="209"/>
      <c r="N5217" s="209"/>
      <c r="O5217" s="209"/>
      <c r="P5217" s="209"/>
      <c r="Q5217" s="209"/>
      <c r="R5217" s="209"/>
      <c r="S5217" s="209"/>
      <c r="T5217" s="209"/>
    </row>
    <row r="5218" spans="1:20" ht="15" hidden="1" customHeight="1">
      <c r="A5218" s="468">
        <v>45518</v>
      </c>
      <c r="B5218" s="208" t="s">
        <v>4365</v>
      </c>
      <c r="C5218" s="208" t="s">
        <v>146</v>
      </c>
      <c r="D5218" s="211">
        <v>-15000</v>
      </c>
      <c r="E5218" s="212">
        <v>45505</v>
      </c>
      <c r="F5218" s="208" t="s">
        <v>109</v>
      </c>
      <c r="G5218" s="201" t="s">
        <v>581</v>
      </c>
      <c r="H5218" s="208" t="s">
        <v>416</v>
      </c>
      <c r="I5218" s="208" t="s">
        <v>173</v>
      </c>
      <c r="J5218" s="209"/>
      <c r="K5218" s="209"/>
      <c r="L5218" s="209"/>
      <c r="M5218" s="209"/>
      <c r="N5218" s="209"/>
      <c r="O5218" s="209"/>
      <c r="P5218" s="209"/>
      <c r="Q5218" s="209"/>
      <c r="R5218" s="209"/>
      <c r="S5218" s="209"/>
      <c r="T5218" s="209"/>
    </row>
    <row r="5219" spans="1:20" ht="15" hidden="1" customHeight="1">
      <c r="A5219" s="468">
        <v>45519</v>
      </c>
      <c r="B5219" s="208" t="s">
        <v>4366</v>
      </c>
      <c r="C5219" s="208" t="s">
        <v>146</v>
      </c>
      <c r="D5219" s="211">
        <v>-10000</v>
      </c>
      <c r="E5219" s="212">
        <v>45505</v>
      </c>
      <c r="F5219" s="208" t="s">
        <v>109</v>
      </c>
      <c r="G5219" s="201" t="s">
        <v>581</v>
      </c>
      <c r="H5219" s="208" t="s">
        <v>416</v>
      </c>
      <c r="I5219" s="208" t="s">
        <v>173</v>
      </c>
      <c r="J5219" s="209"/>
      <c r="K5219" s="209"/>
      <c r="L5219" s="209"/>
      <c r="M5219" s="209"/>
      <c r="N5219" s="209"/>
      <c r="O5219" s="209"/>
      <c r="P5219" s="209"/>
      <c r="Q5219" s="209"/>
      <c r="R5219" s="209"/>
      <c r="S5219" s="209"/>
      <c r="T5219" s="209"/>
    </row>
    <row r="5220" spans="1:20" ht="15" hidden="1" customHeight="1">
      <c r="A5220" s="468">
        <v>45520</v>
      </c>
      <c r="B5220" s="208" t="s">
        <v>4367</v>
      </c>
      <c r="C5220" s="208" t="s">
        <v>146</v>
      </c>
      <c r="D5220" s="211">
        <v>-46799</v>
      </c>
      <c r="E5220" s="212">
        <v>45505</v>
      </c>
      <c r="F5220" s="208" t="s">
        <v>109</v>
      </c>
      <c r="G5220" s="201" t="s">
        <v>581</v>
      </c>
      <c r="H5220" s="208" t="s">
        <v>175</v>
      </c>
      <c r="I5220" s="208" t="s">
        <v>173</v>
      </c>
      <c r="J5220" s="209"/>
      <c r="K5220" s="209"/>
      <c r="L5220" s="209"/>
      <c r="M5220" s="209"/>
      <c r="N5220" s="209"/>
      <c r="O5220" s="209"/>
      <c r="P5220" s="209"/>
      <c r="Q5220" s="209"/>
      <c r="R5220" s="209"/>
      <c r="S5220" s="209"/>
      <c r="T5220" s="209"/>
    </row>
    <row r="5221" spans="1:20" ht="15" hidden="1" customHeight="1">
      <c r="A5221" s="468">
        <v>45520</v>
      </c>
      <c r="B5221" s="208" t="s">
        <v>4368</v>
      </c>
      <c r="C5221" s="208" t="s">
        <v>146</v>
      </c>
      <c r="D5221" s="211">
        <v>-75999</v>
      </c>
      <c r="E5221" s="212">
        <v>45505</v>
      </c>
      <c r="F5221" s="208" t="s">
        <v>109</v>
      </c>
      <c r="G5221" s="201" t="s">
        <v>581</v>
      </c>
      <c r="H5221" s="208" t="s">
        <v>175</v>
      </c>
      <c r="I5221" s="208" t="s">
        <v>173</v>
      </c>
      <c r="J5221" s="209"/>
      <c r="K5221" s="209"/>
      <c r="L5221" s="209"/>
      <c r="M5221" s="209"/>
      <c r="N5221" s="209"/>
      <c r="O5221" s="209"/>
      <c r="P5221" s="209"/>
      <c r="Q5221" s="209"/>
      <c r="R5221" s="209"/>
      <c r="S5221" s="209"/>
      <c r="T5221" s="209"/>
    </row>
    <row r="5222" spans="1:20" ht="15" hidden="1" customHeight="1">
      <c r="A5222" s="468">
        <v>45524</v>
      </c>
      <c r="B5222" s="208" t="s">
        <v>4369</v>
      </c>
      <c r="C5222" s="208" t="s">
        <v>146</v>
      </c>
      <c r="D5222" s="211">
        <v>-60000</v>
      </c>
      <c r="E5222" s="212">
        <v>45505</v>
      </c>
      <c r="F5222" s="208" t="s">
        <v>109</v>
      </c>
      <c r="G5222" s="201" t="s">
        <v>581</v>
      </c>
      <c r="H5222" s="208" t="s">
        <v>416</v>
      </c>
      <c r="I5222" s="208" t="s">
        <v>173</v>
      </c>
      <c r="J5222" s="209"/>
      <c r="K5222" s="209"/>
      <c r="L5222" s="209"/>
      <c r="M5222" s="209"/>
      <c r="N5222" s="209"/>
      <c r="O5222" s="209"/>
      <c r="P5222" s="209"/>
      <c r="Q5222" s="209"/>
      <c r="R5222" s="209"/>
      <c r="S5222" s="209"/>
      <c r="T5222" s="209"/>
    </row>
    <row r="5223" spans="1:20" ht="15" hidden="1" customHeight="1">
      <c r="A5223" s="468">
        <v>45518</v>
      </c>
      <c r="B5223" s="208" t="s">
        <v>4370</v>
      </c>
      <c r="C5223" s="208" t="s">
        <v>146</v>
      </c>
      <c r="D5223" s="211">
        <v>-9499</v>
      </c>
      <c r="E5223" s="212">
        <v>45505</v>
      </c>
      <c r="F5223" s="208" t="s">
        <v>110</v>
      </c>
      <c r="G5223" s="208" t="s">
        <v>122</v>
      </c>
      <c r="H5223" s="208" t="s">
        <v>175</v>
      </c>
      <c r="I5223" s="208" t="s">
        <v>173</v>
      </c>
      <c r="J5223" s="209"/>
      <c r="K5223" s="209"/>
      <c r="L5223" s="209"/>
      <c r="M5223" s="209"/>
      <c r="N5223" s="209"/>
      <c r="O5223" s="209"/>
      <c r="P5223" s="209"/>
      <c r="Q5223" s="209"/>
      <c r="R5223" s="209"/>
      <c r="S5223" s="209"/>
      <c r="T5223" s="209"/>
    </row>
    <row r="5224" spans="1:20" ht="15" hidden="1" customHeight="1">
      <c r="A5224" s="468">
        <v>45519</v>
      </c>
      <c r="B5224" s="208" t="s">
        <v>4371</v>
      </c>
      <c r="C5224" s="208" t="s">
        <v>146</v>
      </c>
      <c r="D5224" s="211">
        <v>-171500</v>
      </c>
      <c r="E5224" s="212">
        <v>45505</v>
      </c>
      <c r="F5224" s="208" t="s">
        <v>110</v>
      </c>
      <c r="G5224" s="208" t="s">
        <v>774</v>
      </c>
      <c r="H5224" s="208" t="s">
        <v>175</v>
      </c>
      <c r="I5224" s="208" t="s">
        <v>173</v>
      </c>
      <c r="J5224" s="209"/>
      <c r="K5224" s="209"/>
      <c r="L5224" s="209"/>
      <c r="M5224" s="209"/>
      <c r="N5224" s="209"/>
      <c r="O5224" s="209"/>
      <c r="P5224" s="209"/>
      <c r="Q5224" s="209"/>
      <c r="R5224" s="209"/>
      <c r="S5224" s="209"/>
      <c r="T5224" s="209"/>
    </row>
    <row r="5225" spans="1:20" ht="15" hidden="1" customHeight="1">
      <c r="A5225" s="468">
        <v>45519</v>
      </c>
      <c r="B5225" s="208" t="s">
        <v>4372</v>
      </c>
      <c r="C5225" s="208" t="s">
        <v>146</v>
      </c>
      <c r="D5225" s="211">
        <v>-18999</v>
      </c>
      <c r="E5225" s="212">
        <v>45505</v>
      </c>
      <c r="F5225" s="208" t="s">
        <v>109</v>
      </c>
      <c r="G5225" s="208" t="s">
        <v>3529</v>
      </c>
      <c r="H5225" s="208" t="s">
        <v>175</v>
      </c>
      <c r="I5225" s="208" t="s">
        <v>173</v>
      </c>
      <c r="J5225" s="209"/>
      <c r="K5225" s="209"/>
      <c r="L5225" s="209"/>
      <c r="M5225" s="209"/>
      <c r="N5225" s="209"/>
      <c r="O5225" s="209"/>
      <c r="P5225" s="209"/>
      <c r="Q5225" s="209"/>
      <c r="R5225" s="209"/>
      <c r="S5225" s="209"/>
      <c r="T5225" s="209"/>
    </row>
    <row r="5226" spans="1:20" ht="15" hidden="1" customHeight="1">
      <c r="A5226" s="468">
        <v>45519</v>
      </c>
      <c r="B5226" s="208" t="s">
        <v>4373</v>
      </c>
      <c r="C5226" s="208" t="s">
        <v>146</v>
      </c>
      <c r="D5226" s="211">
        <v>-7599</v>
      </c>
      <c r="E5226" s="212">
        <v>45505</v>
      </c>
      <c r="F5226" s="208" t="s">
        <v>109</v>
      </c>
      <c r="G5226" s="654" t="s">
        <v>2585</v>
      </c>
      <c r="H5226" s="208" t="s">
        <v>175</v>
      </c>
      <c r="I5226" s="208" t="s">
        <v>173</v>
      </c>
      <c r="J5226" s="209"/>
      <c r="K5226" s="209"/>
      <c r="L5226" s="209"/>
      <c r="M5226" s="209"/>
      <c r="N5226" s="209"/>
      <c r="O5226" s="209"/>
      <c r="P5226" s="209"/>
      <c r="Q5226" s="209"/>
      <c r="R5226" s="209"/>
      <c r="S5226" s="209"/>
      <c r="T5226" s="209"/>
    </row>
    <row r="5227" spans="1:20" ht="15" hidden="1" customHeight="1">
      <c r="A5227" s="468">
        <v>45519</v>
      </c>
      <c r="B5227" s="208" t="s">
        <v>4374</v>
      </c>
      <c r="C5227" s="208" t="s">
        <v>146</v>
      </c>
      <c r="D5227" s="211">
        <v>-4799</v>
      </c>
      <c r="E5227" s="212">
        <v>45505</v>
      </c>
      <c r="F5227" s="208" t="s">
        <v>109</v>
      </c>
      <c r="G5227" s="654" t="s">
        <v>2585</v>
      </c>
      <c r="H5227" s="208" t="s">
        <v>175</v>
      </c>
      <c r="I5227" s="208" t="s">
        <v>173</v>
      </c>
      <c r="J5227" s="209"/>
      <c r="K5227" s="209"/>
      <c r="L5227" s="209"/>
      <c r="M5227" s="209"/>
      <c r="N5227" s="209"/>
      <c r="O5227" s="209"/>
      <c r="P5227" s="209"/>
      <c r="Q5227" s="209"/>
      <c r="R5227" s="209"/>
      <c r="S5227" s="209"/>
      <c r="T5227" s="209"/>
    </row>
    <row r="5228" spans="1:20" ht="15" hidden="1" customHeight="1">
      <c r="A5228" s="468">
        <v>45519</v>
      </c>
      <c r="B5228" s="208" t="s">
        <v>4375</v>
      </c>
      <c r="C5228" s="208" t="s">
        <v>146</v>
      </c>
      <c r="D5228" s="211">
        <v>-104124</v>
      </c>
      <c r="E5228" s="212">
        <v>45505</v>
      </c>
      <c r="F5228" s="208" t="s">
        <v>110</v>
      </c>
      <c r="G5228" s="201" t="s">
        <v>1489</v>
      </c>
      <c r="H5228" s="208" t="s">
        <v>2941</v>
      </c>
      <c r="I5228" s="208" t="s">
        <v>173</v>
      </c>
      <c r="J5228" s="209"/>
      <c r="K5228" s="209"/>
      <c r="L5228" s="209"/>
      <c r="M5228" s="209"/>
      <c r="N5228" s="209"/>
      <c r="O5228" s="209"/>
      <c r="P5228" s="209"/>
      <c r="Q5228" s="209"/>
      <c r="R5228" s="209"/>
      <c r="S5228" s="209"/>
      <c r="T5228" s="209"/>
    </row>
    <row r="5229" spans="1:20" ht="15" hidden="1" customHeight="1">
      <c r="A5229" s="468">
        <v>45520</v>
      </c>
      <c r="B5229" s="208" t="s">
        <v>4376</v>
      </c>
      <c r="C5229" s="208" t="s">
        <v>146</v>
      </c>
      <c r="D5229" s="211">
        <v>-25699</v>
      </c>
      <c r="E5229" s="212">
        <v>45505</v>
      </c>
      <c r="F5229" s="208" t="s">
        <v>109</v>
      </c>
      <c r="G5229" s="208" t="s">
        <v>3529</v>
      </c>
      <c r="H5229" s="208" t="s">
        <v>175</v>
      </c>
      <c r="I5229" s="208" t="s">
        <v>173</v>
      </c>
      <c r="J5229" s="209"/>
      <c r="K5229" s="209"/>
      <c r="L5229" s="209"/>
      <c r="M5229" s="209"/>
      <c r="N5229" s="209"/>
      <c r="O5229" s="209"/>
      <c r="P5229" s="209"/>
      <c r="Q5229" s="209"/>
      <c r="R5229" s="209"/>
      <c r="S5229" s="209"/>
      <c r="T5229" s="209"/>
    </row>
    <row r="5230" spans="1:20" ht="15" hidden="1" customHeight="1">
      <c r="A5230" s="468">
        <v>45520</v>
      </c>
      <c r="B5230" s="208" t="s">
        <v>4377</v>
      </c>
      <c r="C5230" s="208" t="s">
        <v>146</v>
      </c>
      <c r="D5230" s="211">
        <v>-76150</v>
      </c>
      <c r="E5230" s="212">
        <v>45505</v>
      </c>
      <c r="F5230" s="208" t="s">
        <v>109</v>
      </c>
      <c r="G5230" s="208" t="s">
        <v>3529</v>
      </c>
      <c r="H5230" s="208" t="s">
        <v>175</v>
      </c>
      <c r="I5230" s="208" t="s">
        <v>173</v>
      </c>
      <c r="J5230" s="209"/>
      <c r="K5230" s="209"/>
      <c r="L5230" s="209"/>
      <c r="M5230" s="209"/>
      <c r="N5230" s="209"/>
      <c r="O5230" s="209"/>
      <c r="P5230" s="209"/>
      <c r="Q5230" s="209"/>
      <c r="R5230" s="209"/>
      <c r="S5230" s="209"/>
      <c r="T5230" s="209"/>
    </row>
    <row r="5231" spans="1:20" ht="15" hidden="1" customHeight="1">
      <c r="A5231" s="468">
        <v>45520</v>
      </c>
      <c r="B5231" s="208" t="s">
        <v>4378</v>
      </c>
      <c r="C5231" s="208" t="s">
        <v>146</v>
      </c>
      <c r="D5231" s="211">
        <v>-130800</v>
      </c>
      <c r="E5231" s="212">
        <v>45505</v>
      </c>
      <c r="F5231" s="208" t="s">
        <v>110</v>
      </c>
      <c r="G5231" s="201" t="s">
        <v>1489</v>
      </c>
      <c r="H5231" s="208" t="s">
        <v>2941</v>
      </c>
      <c r="I5231" s="208" t="s">
        <v>173</v>
      </c>
      <c r="J5231" s="209"/>
      <c r="K5231" s="209"/>
      <c r="L5231" s="209"/>
      <c r="M5231" s="209"/>
      <c r="N5231" s="209"/>
      <c r="O5231" s="209"/>
      <c r="P5231" s="209"/>
      <c r="Q5231" s="209"/>
      <c r="R5231" s="209"/>
      <c r="S5231" s="209"/>
      <c r="T5231" s="209"/>
    </row>
    <row r="5232" spans="1:20" ht="15" hidden="1" customHeight="1">
      <c r="A5232" s="468">
        <v>45526</v>
      </c>
      <c r="B5232" s="208" t="s">
        <v>4379</v>
      </c>
      <c r="C5232" s="208" t="s">
        <v>146</v>
      </c>
      <c r="D5232" s="211">
        <v>-30000</v>
      </c>
      <c r="E5232" s="212">
        <v>45505</v>
      </c>
      <c r="F5232" s="208" t="s">
        <v>109</v>
      </c>
      <c r="G5232" s="208" t="s">
        <v>125</v>
      </c>
      <c r="H5232" s="208" t="s">
        <v>138</v>
      </c>
      <c r="I5232" s="208"/>
      <c r="J5232" s="209"/>
      <c r="K5232" s="209"/>
      <c r="L5232" s="209"/>
      <c r="M5232" s="209"/>
      <c r="N5232" s="209"/>
      <c r="O5232" s="209"/>
      <c r="P5232" s="209"/>
      <c r="Q5232" s="209"/>
      <c r="R5232" s="209"/>
      <c r="S5232" s="209"/>
      <c r="T5232" s="209"/>
    </row>
    <row r="5233" spans="1:20" ht="15" hidden="1" customHeight="1">
      <c r="A5233" s="468">
        <v>45526</v>
      </c>
      <c r="B5233" s="208" t="s">
        <v>4379</v>
      </c>
      <c r="C5233" s="208" t="s">
        <v>146</v>
      </c>
      <c r="D5233" s="211">
        <v>-45576</v>
      </c>
      <c r="E5233" s="212">
        <v>45505</v>
      </c>
      <c r="F5233" s="208" t="s">
        <v>110</v>
      </c>
      <c r="G5233" s="208" t="s">
        <v>774</v>
      </c>
      <c r="H5233" s="208" t="s">
        <v>138</v>
      </c>
      <c r="I5233" s="208"/>
      <c r="J5233" s="209"/>
      <c r="K5233" s="209"/>
      <c r="L5233" s="209"/>
      <c r="M5233" s="209"/>
      <c r="N5233" s="209"/>
      <c r="O5233" s="209"/>
      <c r="P5233" s="209"/>
      <c r="Q5233" s="209"/>
      <c r="R5233" s="209"/>
      <c r="S5233" s="209"/>
      <c r="T5233" s="209"/>
    </row>
    <row r="5234" spans="1:20" ht="15" hidden="1" customHeight="1">
      <c r="A5234" s="468">
        <v>45526</v>
      </c>
      <c r="B5234" s="208" t="s">
        <v>4379</v>
      </c>
      <c r="C5234" s="208" t="s">
        <v>146</v>
      </c>
      <c r="D5234" s="211">
        <v>-31000</v>
      </c>
      <c r="E5234" s="212">
        <v>45505</v>
      </c>
      <c r="F5234" s="208" t="s">
        <v>109</v>
      </c>
      <c r="G5234" s="654" t="s">
        <v>2585</v>
      </c>
      <c r="H5234" s="208" t="s">
        <v>138</v>
      </c>
      <c r="I5234" s="208"/>
      <c r="J5234" s="209"/>
      <c r="K5234" s="209"/>
      <c r="L5234" s="209"/>
      <c r="M5234" s="209"/>
      <c r="N5234" s="209"/>
      <c r="O5234" s="209"/>
      <c r="P5234" s="209"/>
      <c r="Q5234" s="209"/>
      <c r="R5234" s="209"/>
      <c r="S5234" s="209"/>
      <c r="T5234" s="209"/>
    </row>
    <row r="5235" spans="1:20" ht="15" hidden="1" customHeight="1">
      <c r="A5235" s="468">
        <v>45526</v>
      </c>
      <c r="B5235" s="208" t="s">
        <v>4379</v>
      </c>
      <c r="C5235" s="208" t="s">
        <v>146</v>
      </c>
      <c r="D5235" s="211">
        <v>-21000</v>
      </c>
      <c r="E5235" s="212">
        <v>45505</v>
      </c>
      <c r="F5235" s="208" t="s">
        <v>110</v>
      </c>
      <c r="G5235" s="208" t="s">
        <v>3245</v>
      </c>
      <c r="H5235" s="208" t="s">
        <v>138</v>
      </c>
      <c r="I5235" s="208"/>
      <c r="J5235" s="209"/>
      <c r="K5235" s="209"/>
      <c r="L5235" s="209"/>
      <c r="M5235" s="209"/>
      <c r="N5235" s="209"/>
      <c r="O5235" s="209"/>
      <c r="P5235" s="209"/>
      <c r="Q5235" s="209"/>
      <c r="R5235" s="209"/>
      <c r="S5235" s="209"/>
      <c r="T5235" s="209"/>
    </row>
    <row r="5236" spans="1:20" ht="15" hidden="1" customHeight="1">
      <c r="A5236" s="468">
        <v>45526</v>
      </c>
      <c r="B5236" s="208" t="s">
        <v>4379</v>
      </c>
      <c r="C5236" s="208" t="s">
        <v>146</v>
      </c>
      <c r="D5236" s="211">
        <v>-28000</v>
      </c>
      <c r="E5236" s="212">
        <v>45505</v>
      </c>
      <c r="F5236" s="208" t="s">
        <v>109</v>
      </c>
      <c r="G5236" s="208" t="s">
        <v>3529</v>
      </c>
      <c r="H5236" s="208" t="s">
        <v>138</v>
      </c>
      <c r="I5236" s="208"/>
      <c r="J5236" s="209"/>
      <c r="K5236" s="209"/>
      <c r="L5236" s="209"/>
      <c r="M5236" s="209"/>
      <c r="N5236" s="209"/>
      <c r="O5236" s="209"/>
      <c r="P5236" s="209"/>
      <c r="Q5236" s="209"/>
      <c r="R5236" s="209"/>
      <c r="S5236" s="209"/>
      <c r="T5236" s="209"/>
    </row>
    <row r="5237" spans="1:20" ht="15" hidden="1" customHeight="1">
      <c r="A5237" s="468">
        <v>45526</v>
      </c>
      <c r="B5237" s="208" t="s">
        <v>4379</v>
      </c>
      <c r="C5237" s="208" t="s">
        <v>146</v>
      </c>
      <c r="D5237" s="211">
        <v>-7000</v>
      </c>
      <c r="E5237" s="212">
        <v>45505</v>
      </c>
      <c r="F5237" s="208" t="s">
        <v>110</v>
      </c>
      <c r="G5237" s="201" t="s">
        <v>1489</v>
      </c>
      <c r="H5237" s="208" t="s">
        <v>138</v>
      </c>
      <c r="I5237" s="208"/>
      <c r="J5237" s="209"/>
      <c r="K5237" s="209"/>
      <c r="L5237" s="209"/>
      <c r="M5237" s="209"/>
      <c r="N5237" s="209"/>
      <c r="O5237" s="209"/>
      <c r="P5237" s="209"/>
      <c r="Q5237" s="209"/>
      <c r="R5237" s="209"/>
      <c r="S5237" s="209"/>
      <c r="T5237" s="209"/>
    </row>
    <row r="5238" spans="1:20" ht="15" hidden="1" customHeight="1">
      <c r="A5238" s="468">
        <v>45526</v>
      </c>
      <c r="B5238" s="208" t="s">
        <v>4379</v>
      </c>
      <c r="C5238" s="208" t="s">
        <v>146</v>
      </c>
      <c r="D5238" s="211">
        <v>-48000</v>
      </c>
      <c r="E5238" s="212">
        <v>45505</v>
      </c>
      <c r="F5238" s="208" t="s">
        <v>130</v>
      </c>
      <c r="G5238" s="208" t="s">
        <v>130</v>
      </c>
      <c r="H5238" s="208" t="s">
        <v>138</v>
      </c>
      <c r="I5238" s="208"/>
      <c r="J5238" s="209"/>
      <c r="K5238" s="209"/>
      <c r="L5238" s="209"/>
      <c r="M5238" s="209"/>
      <c r="N5238" s="209"/>
      <c r="O5238" s="209"/>
      <c r="P5238" s="209"/>
      <c r="Q5238" s="209"/>
      <c r="R5238" s="209"/>
      <c r="S5238" s="209"/>
      <c r="T5238" s="209"/>
    </row>
    <row r="5239" spans="1:20" ht="15" hidden="1" customHeight="1">
      <c r="A5239" s="468">
        <v>45526</v>
      </c>
      <c r="B5239" s="208" t="s">
        <v>4380</v>
      </c>
      <c r="C5239" s="208" t="s">
        <v>133</v>
      </c>
      <c r="D5239" s="211">
        <v>-2140</v>
      </c>
      <c r="E5239" s="212">
        <v>45505</v>
      </c>
      <c r="F5239" s="208" t="s">
        <v>4132</v>
      </c>
      <c r="G5239" s="208"/>
      <c r="H5239" s="208"/>
      <c r="I5239" s="208"/>
      <c r="J5239" s="209"/>
      <c r="K5239" s="209"/>
      <c r="L5239" s="209"/>
      <c r="M5239" s="209"/>
      <c r="N5239" s="209"/>
      <c r="O5239" s="209"/>
      <c r="P5239" s="209"/>
      <c r="Q5239" s="209"/>
      <c r="R5239" s="209"/>
      <c r="S5239" s="209"/>
      <c r="T5239" s="209"/>
    </row>
    <row r="5240" spans="1:20" ht="15" hidden="1" customHeight="1">
      <c r="A5240" s="468">
        <v>45526</v>
      </c>
      <c r="B5240" s="208" t="s">
        <v>4381</v>
      </c>
      <c r="C5240" s="208" t="s">
        <v>133</v>
      </c>
      <c r="D5240" s="211">
        <v>-1284</v>
      </c>
      <c r="E5240" s="212">
        <v>45505</v>
      </c>
      <c r="F5240" s="208" t="s">
        <v>4132</v>
      </c>
      <c r="G5240" s="208"/>
      <c r="H5240" s="208"/>
      <c r="I5240" s="208"/>
      <c r="J5240" s="209"/>
      <c r="K5240" s="209"/>
      <c r="L5240" s="209"/>
      <c r="M5240" s="209"/>
      <c r="N5240" s="209"/>
      <c r="O5240" s="209"/>
      <c r="P5240" s="209"/>
      <c r="Q5240" s="209"/>
      <c r="R5240" s="209"/>
      <c r="S5240" s="209"/>
      <c r="T5240" s="209"/>
    </row>
    <row r="5241" spans="1:20" ht="15" hidden="1" customHeight="1">
      <c r="A5241" s="468">
        <v>45524</v>
      </c>
      <c r="B5241" s="208" t="s">
        <v>4382</v>
      </c>
      <c r="C5241" s="208" t="s">
        <v>269</v>
      </c>
      <c r="D5241" s="526">
        <v>-337500</v>
      </c>
      <c r="E5241" s="212">
        <v>45505</v>
      </c>
      <c r="F5241" s="208" t="s">
        <v>110</v>
      </c>
      <c r="G5241" s="208" t="s">
        <v>774</v>
      </c>
      <c r="H5241" s="208" t="s">
        <v>138</v>
      </c>
      <c r="I5241" s="208"/>
      <c r="J5241" s="209"/>
      <c r="K5241" s="209"/>
      <c r="L5241" s="209"/>
      <c r="M5241" s="209"/>
      <c r="N5241" s="209"/>
      <c r="O5241" s="209"/>
      <c r="P5241" s="209"/>
      <c r="Q5241" s="209"/>
      <c r="R5241" s="209"/>
      <c r="S5241" s="209"/>
      <c r="T5241" s="209"/>
    </row>
    <row r="5242" spans="1:20" ht="15" hidden="1" customHeight="1">
      <c r="A5242" s="468">
        <v>45527</v>
      </c>
      <c r="B5242" s="208" t="s">
        <v>4383</v>
      </c>
      <c r="C5242" s="208" t="s">
        <v>269</v>
      </c>
      <c r="D5242" s="211">
        <v>-65000</v>
      </c>
      <c r="E5242" s="212">
        <v>45505</v>
      </c>
      <c r="F5242" s="208" t="s">
        <v>109</v>
      </c>
      <c r="G5242" s="208" t="s">
        <v>3644</v>
      </c>
      <c r="H5242" s="208" t="s">
        <v>3674</v>
      </c>
      <c r="I5242" s="208"/>
      <c r="J5242" s="209"/>
      <c r="K5242" s="209"/>
      <c r="L5242" s="209"/>
      <c r="M5242" s="209"/>
      <c r="N5242" s="209"/>
      <c r="O5242" s="209"/>
      <c r="P5242" s="209"/>
      <c r="Q5242" s="209"/>
      <c r="R5242" s="209"/>
      <c r="S5242" s="209"/>
      <c r="T5242" s="209"/>
    </row>
    <row r="5243" spans="1:20" ht="15" hidden="1" customHeight="1">
      <c r="A5243" s="468">
        <v>45527</v>
      </c>
      <c r="B5243" s="208" t="s">
        <v>4383</v>
      </c>
      <c r="C5243" s="208" t="s">
        <v>269</v>
      </c>
      <c r="D5243" s="211">
        <v>-119000</v>
      </c>
      <c r="E5243" s="212">
        <v>45505</v>
      </c>
      <c r="F5243" s="208" t="s">
        <v>109</v>
      </c>
      <c r="G5243" s="208" t="s">
        <v>3644</v>
      </c>
      <c r="H5243" s="208" t="s">
        <v>3674</v>
      </c>
      <c r="I5243" s="208"/>
      <c r="J5243" s="209"/>
      <c r="K5243" s="209"/>
      <c r="L5243" s="209"/>
      <c r="M5243" s="209"/>
      <c r="N5243" s="209"/>
      <c r="O5243" s="209"/>
      <c r="P5243" s="209"/>
      <c r="Q5243" s="209"/>
      <c r="R5243" s="209"/>
      <c r="S5243" s="209"/>
      <c r="T5243" s="209"/>
    </row>
    <row r="5244" spans="1:20" ht="15" hidden="1" customHeight="1">
      <c r="A5244" s="468">
        <v>45527</v>
      </c>
      <c r="B5244" s="208" t="s">
        <v>4157</v>
      </c>
      <c r="C5244" s="208" t="s">
        <v>269</v>
      </c>
      <c r="D5244" s="211">
        <v>40000</v>
      </c>
      <c r="E5244" s="212">
        <v>45505</v>
      </c>
      <c r="F5244" s="208" t="s">
        <v>130</v>
      </c>
      <c r="G5244" s="208" t="s">
        <v>257</v>
      </c>
      <c r="H5244" s="208" t="s">
        <v>1423</v>
      </c>
      <c r="I5244" s="208"/>
      <c r="J5244" s="209"/>
      <c r="K5244" s="209"/>
      <c r="L5244" s="209"/>
      <c r="M5244" s="209"/>
      <c r="N5244" s="209"/>
      <c r="O5244" s="209"/>
      <c r="P5244" s="209"/>
      <c r="Q5244" s="209"/>
      <c r="R5244" s="209"/>
      <c r="S5244" s="209"/>
      <c r="T5244" s="209"/>
    </row>
    <row r="5245" spans="1:20" ht="15" hidden="1" customHeight="1">
      <c r="A5245" s="468">
        <v>45525</v>
      </c>
      <c r="B5245" s="208" t="s">
        <v>4384</v>
      </c>
      <c r="C5245" s="208" t="s">
        <v>269</v>
      </c>
      <c r="D5245" s="211">
        <v>-60000</v>
      </c>
      <c r="E5245" s="212">
        <v>45505</v>
      </c>
      <c r="F5245" s="208" t="s">
        <v>109</v>
      </c>
      <c r="G5245" s="201" t="s">
        <v>581</v>
      </c>
      <c r="H5245" s="208" t="s">
        <v>138</v>
      </c>
      <c r="I5245" s="208" t="s">
        <v>2052</v>
      </c>
      <c r="J5245" s="209"/>
      <c r="K5245" s="209"/>
      <c r="L5245" s="209"/>
      <c r="M5245" s="209"/>
      <c r="N5245" s="209"/>
      <c r="O5245" s="209"/>
      <c r="P5245" s="209"/>
      <c r="Q5245" s="209"/>
      <c r="R5245" s="209"/>
      <c r="S5245" s="209"/>
      <c r="T5245" s="209"/>
    </row>
    <row r="5246" spans="1:20" ht="15" hidden="1" customHeight="1">
      <c r="A5246" s="468">
        <v>45525</v>
      </c>
      <c r="B5246" s="208" t="s">
        <v>4385</v>
      </c>
      <c r="C5246" s="208" t="s">
        <v>269</v>
      </c>
      <c r="D5246" s="211">
        <v>-25000</v>
      </c>
      <c r="E5246" s="212">
        <v>45505</v>
      </c>
      <c r="F5246" s="208" t="s">
        <v>109</v>
      </c>
      <c r="G5246" s="201" t="s">
        <v>581</v>
      </c>
      <c r="H5246" s="208" t="s">
        <v>852</v>
      </c>
      <c r="I5246" s="208" t="s">
        <v>2052</v>
      </c>
      <c r="J5246" s="209"/>
      <c r="K5246" s="209"/>
      <c r="L5246" s="209"/>
      <c r="M5246" s="209"/>
      <c r="N5246" s="209"/>
      <c r="O5246" s="209"/>
      <c r="P5246" s="209"/>
      <c r="Q5246" s="209"/>
      <c r="R5246" s="209"/>
      <c r="S5246" s="209"/>
      <c r="T5246" s="209"/>
    </row>
    <row r="5247" spans="1:20" ht="15" hidden="1" customHeight="1">
      <c r="A5247" s="468">
        <v>45525</v>
      </c>
      <c r="B5247" s="208" t="s">
        <v>4386</v>
      </c>
      <c r="C5247" s="208" t="s">
        <v>269</v>
      </c>
      <c r="D5247" s="211">
        <v>-40000</v>
      </c>
      <c r="E5247" s="212">
        <v>45505</v>
      </c>
      <c r="F5247" s="208" t="s">
        <v>109</v>
      </c>
      <c r="G5247" s="201" t="s">
        <v>581</v>
      </c>
      <c r="H5247" s="208" t="s">
        <v>138</v>
      </c>
      <c r="I5247" s="208" t="s">
        <v>2052</v>
      </c>
      <c r="J5247" s="209"/>
      <c r="K5247" s="209"/>
      <c r="L5247" s="209"/>
      <c r="M5247" s="209"/>
      <c r="N5247" s="209"/>
      <c r="O5247" s="209"/>
      <c r="P5247" s="209"/>
      <c r="Q5247" s="209"/>
      <c r="R5247" s="209"/>
      <c r="S5247" s="209"/>
      <c r="T5247" s="209"/>
    </row>
    <row r="5248" spans="1:20" ht="15" hidden="1" customHeight="1">
      <c r="A5248" s="468">
        <v>45524</v>
      </c>
      <c r="B5248" s="208" t="s">
        <v>4387</v>
      </c>
      <c r="C5248" s="208" t="s">
        <v>3331</v>
      </c>
      <c r="D5248" s="211">
        <v>-2998127</v>
      </c>
      <c r="E5248" s="212">
        <v>45505</v>
      </c>
      <c r="F5248" s="84" t="s">
        <v>111</v>
      </c>
      <c r="G5248" s="208"/>
      <c r="H5248" s="208"/>
      <c r="I5248" s="208"/>
      <c r="J5248" s="209"/>
      <c r="K5248" s="209"/>
      <c r="L5248" s="209"/>
      <c r="M5248" s="209"/>
      <c r="N5248" s="209"/>
      <c r="O5248" s="209"/>
      <c r="P5248" s="209"/>
      <c r="Q5248" s="209"/>
      <c r="R5248" s="209"/>
      <c r="S5248" s="209"/>
      <c r="T5248" s="209"/>
    </row>
    <row r="5249" spans="1:20" s="451" customFormat="1" ht="15" hidden="1" customHeight="1">
      <c r="A5249" s="468">
        <v>45524</v>
      </c>
      <c r="B5249" s="208" t="s">
        <v>4388</v>
      </c>
      <c r="C5249" s="208" t="s">
        <v>27</v>
      </c>
      <c r="D5249" s="211">
        <v>-160021</v>
      </c>
      <c r="E5249" s="212">
        <v>45505</v>
      </c>
      <c r="F5249" s="208" t="s">
        <v>109</v>
      </c>
      <c r="G5249" s="208" t="s">
        <v>4225</v>
      </c>
      <c r="H5249" s="208" t="s">
        <v>585</v>
      </c>
      <c r="I5249" s="208"/>
      <c r="J5249" s="209"/>
      <c r="K5249" s="209"/>
      <c r="L5249" s="209"/>
      <c r="M5249" s="209"/>
      <c r="N5249" s="209"/>
      <c r="O5249" s="209"/>
      <c r="P5249" s="209"/>
      <c r="Q5249" s="209"/>
      <c r="R5249" s="209"/>
      <c r="S5249" s="209"/>
      <c r="T5249" s="209"/>
    </row>
    <row r="5250" spans="1:20" ht="15" hidden="1" customHeight="1">
      <c r="A5250" s="468">
        <v>45525</v>
      </c>
      <c r="B5250" s="208" t="s">
        <v>4389</v>
      </c>
      <c r="C5250" s="208" t="s">
        <v>27</v>
      </c>
      <c r="D5250" s="718">
        <v>-45876856</v>
      </c>
      <c r="E5250" s="212">
        <v>45505</v>
      </c>
      <c r="F5250" s="208" t="s">
        <v>109</v>
      </c>
      <c r="G5250" s="201" t="s">
        <v>581</v>
      </c>
      <c r="H5250" s="208"/>
      <c r="I5250" s="208"/>
      <c r="J5250" s="209"/>
      <c r="K5250" s="209"/>
      <c r="L5250" s="209"/>
      <c r="M5250" s="209"/>
      <c r="N5250" s="209"/>
      <c r="O5250" s="209"/>
      <c r="P5250" s="209"/>
      <c r="Q5250" s="209"/>
      <c r="R5250" s="209"/>
      <c r="S5250" s="209"/>
      <c r="T5250" s="209"/>
    </row>
    <row r="5251" spans="1:20" ht="15" hidden="1" customHeight="1">
      <c r="A5251" s="468">
        <v>45525</v>
      </c>
      <c r="B5251" s="208" t="s">
        <v>4390</v>
      </c>
      <c r="C5251" s="208" t="s">
        <v>27</v>
      </c>
      <c r="D5251" s="211">
        <v>-1240000</v>
      </c>
      <c r="E5251" s="212">
        <v>45505</v>
      </c>
      <c r="F5251" s="208" t="s">
        <v>109</v>
      </c>
      <c r="G5251" s="201" t="s">
        <v>581</v>
      </c>
      <c r="H5251" s="208"/>
      <c r="I5251" s="208"/>
      <c r="J5251" s="209"/>
      <c r="K5251" s="209"/>
      <c r="L5251" s="209"/>
      <c r="M5251" s="209"/>
      <c r="N5251" s="209"/>
      <c r="O5251" s="209"/>
      <c r="P5251" s="209"/>
      <c r="Q5251" s="209"/>
      <c r="R5251" s="209"/>
      <c r="S5251" s="209"/>
      <c r="T5251" s="209"/>
    </row>
    <row r="5252" spans="1:20" ht="15" hidden="1" customHeight="1">
      <c r="A5252" s="468">
        <v>45525</v>
      </c>
      <c r="B5252" s="208" t="s">
        <v>3928</v>
      </c>
      <c r="C5252" s="208" t="s">
        <v>27</v>
      </c>
      <c r="D5252" s="211">
        <v>-885600</v>
      </c>
      <c r="E5252" s="212">
        <v>45505</v>
      </c>
      <c r="F5252" s="201" t="s">
        <v>110</v>
      </c>
      <c r="G5252" s="201" t="s">
        <v>1489</v>
      </c>
      <c r="H5252" s="208" t="s">
        <v>416</v>
      </c>
      <c r="I5252" s="208"/>
      <c r="J5252" s="209"/>
      <c r="K5252" s="209"/>
      <c r="L5252" s="209"/>
      <c r="M5252" s="209"/>
      <c r="N5252" s="209"/>
      <c r="O5252" s="209"/>
      <c r="P5252" s="209"/>
      <c r="Q5252" s="209"/>
      <c r="R5252" s="209"/>
      <c r="S5252" s="209"/>
      <c r="T5252" s="209"/>
    </row>
    <row r="5253" spans="1:20" ht="15" hidden="1" customHeight="1">
      <c r="A5253" s="468">
        <v>45525</v>
      </c>
      <c r="B5253" s="208" t="s">
        <v>4391</v>
      </c>
      <c r="C5253" s="208" t="s">
        <v>27</v>
      </c>
      <c r="D5253" s="211">
        <v>-410000</v>
      </c>
      <c r="E5253" s="212">
        <v>45505</v>
      </c>
      <c r="F5253" s="201" t="s">
        <v>110</v>
      </c>
      <c r="G5253" s="208" t="s">
        <v>122</v>
      </c>
      <c r="H5253" s="208" t="s">
        <v>663</v>
      </c>
      <c r="I5253" s="208"/>
      <c r="J5253" s="209"/>
      <c r="K5253" s="209"/>
      <c r="L5253" s="209"/>
      <c r="M5253" s="209"/>
      <c r="N5253" s="209"/>
      <c r="O5253" s="209"/>
      <c r="P5253" s="209"/>
      <c r="Q5253" s="209"/>
      <c r="R5253" s="209"/>
      <c r="S5253" s="209"/>
      <c r="T5253" s="209"/>
    </row>
    <row r="5254" spans="1:20" ht="15" hidden="1" customHeight="1">
      <c r="A5254" s="468">
        <v>45525</v>
      </c>
      <c r="B5254" s="208" t="s">
        <v>3348</v>
      </c>
      <c r="C5254" s="208" t="s">
        <v>27</v>
      </c>
      <c r="D5254" s="211">
        <v>-660000</v>
      </c>
      <c r="E5254" s="212">
        <v>45505</v>
      </c>
      <c r="F5254" s="208" t="s">
        <v>109</v>
      </c>
      <c r="G5254" s="201" t="s">
        <v>581</v>
      </c>
      <c r="H5254" s="208"/>
      <c r="I5254" s="208"/>
      <c r="J5254" s="209"/>
      <c r="K5254" s="209"/>
      <c r="L5254" s="209"/>
      <c r="M5254" s="209"/>
      <c r="N5254" s="209"/>
      <c r="O5254" s="209"/>
      <c r="P5254" s="209"/>
      <c r="Q5254" s="209"/>
      <c r="R5254" s="209"/>
      <c r="S5254" s="209"/>
      <c r="T5254" s="209"/>
    </row>
    <row r="5255" spans="1:20" ht="15" hidden="1" customHeight="1">
      <c r="A5255" s="468">
        <v>45525</v>
      </c>
      <c r="B5255" s="208" t="s">
        <v>4392</v>
      </c>
      <c r="C5255" s="208" t="s">
        <v>3331</v>
      </c>
      <c r="D5255" s="211">
        <v>-606900</v>
      </c>
      <c r="E5255" s="212">
        <v>45505</v>
      </c>
      <c r="F5255" s="201" t="s">
        <v>110</v>
      </c>
      <c r="G5255" s="208" t="s">
        <v>3245</v>
      </c>
      <c r="H5255" s="208" t="s">
        <v>1463</v>
      </c>
      <c r="I5255" s="208"/>
      <c r="J5255" s="209"/>
      <c r="K5255" s="209"/>
      <c r="L5255" s="209"/>
      <c r="M5255" s="209"/>
      <c r="N5255" s="209"/>
      <c r="O5255" s="209"/>
      <c r="P5255" s="209"/>
      <c r="Q5255" s="209"/>
      <c r="R5255" s="209"/>
      <c r="S5255" s="209"/>
      <c r="T5255" s="209"/>
    </row>
    <row r="5256" spans="1:20" ht="15" hidden="1" customHeight="1">
      <c r="A5256" s="468">
        <v>45525</v>
      </c>
      <c r="B5256" s="208" t="s">
        <v>4393</v>
      </c>
      <c r="C5256" s="208" t="s">
        <v>27</v>
      </c>
      <c r="D5256" s="211">
        <v>-1404000</v>
      </c>
      <c r="E5256" s="212">
        <v>45505</v>
      </c>
      <c r="F5256" s="208" t="s">
        <v>130</v>
      </c>
      <c r="G5256" s="208" t="s">
        <v>130</v>
      </c>
      <c r="H5256" s="208" t="s">
        <v>360</v>
      </c>
      <c r="I5256" s="208"/>
      <c r="J5256" s="209"/>
      <c r="K5256" s="209"/>
      <c r="L5256" s="209"/>
      <c r="M5256" s="209"/>
      <c r="N5256" s="209"/>
      <c r="O5256" s="209"/>
      <c r="P5256" s="209"/>
      <c r="Q5256" s="209"/>
      <c r="R5256" s="209"/>
      <c r="S5256" s="209"/>
      <c r="T5256" s="209"/>
    </row>
    <row r="5257" spans="1:20" ht="15" hidden="1" customHeight="1">
      <c r="A5257" s="468">
        <v>45525</v>
      </c>
      <c r="B5257" s="208" t="s">
        <v>4394</v>
      </c>
      <c r="C5257" s="208" t="s">
        <v>27</v>
      </c>
      <c r="D5257" s="211">
        <v>-5940000</v>
      </c>
      <c r="E5257" s="212">
        <v>45505</v>
      </c>
      <c r="F5257" s="208" t="s">
        <v>109</v>
      </c>
      <c r="G5257" s="601" t="s">
        <v>581</v>
      </c>
      <c r="H5257" s="208"/>
      <c r="I5257" s="208"/>
      <c r="J5257" s="209"/>
      <c r="K5257" s="209"/>
      <c r="L5257" s="209"/>
      <c r="M5257" s="209"/>
      <c r="N5257" s="209"/>
      <c r="O5257" s="209"/>
      <c r="P5257" s="209"/>
      <c r="Q5257" s="209"/>
      <c r="R5257" s="209"/>
      <c r="S5257" s="209"/>
      <c r="T5257" s="209"/>
    </row>
    <row r="5258" spans="1:20" ht="15" hidden="1" customHeight="1">
      <c r="A5258" s="468">
        <v>45525</v>
      </c>
      <c r="B5258" s="208" t="s">
        <v>4395</v>
      </c>
      <c r="C5258" s="208" t="s">
        <v>27</v>
      </c>
      <c r="D5258" s="211">
        <v>-696000</v>
      </c>
      <c r="E5258" s="212">
        <v>45505</v>
      </c>
      <c r="F5258" s="208" t="s">
        <v>109</v>
      </c>
      <c r="G5258" s="201" t="s">
        <v>581</v>
      </c>
      <c r="H5258" s="208"/>
      <c r="I5258" s="208"/>
      <c r="J5258" s="209"/>
      <c r="K5258" s="209"/>
      <c r="L5258" s="209"/>
      <c r="M5258" s="209"/>
      <c r="N5258" s="209"/>
      <c r="O5258" s="209"/>
      <c r="P5258" s="209"/>
      <c r="Q5258" s="209"/>
      <c r="R5258" s="209"/>
      <c r="S5258" s="209"/>
      <c r="T5258" s="209"/>
    </row>
    <row r="5259" spans="1:20" ht="15" hidden="1" customHeight="1">
      <c r="A5259" s="468">
        <v>45525</v>
      </c>
      <c r="B5259" s="208" t="s">
        <v>4396</v>
      </c>
      <c r="C5259" s="208" t="s">
        <v>3331</v>
      </c>
      <c r="D5259" s="211">
        <v>-1310760</v>
      </c>
      <c r="E5259" s="212">
        <v>45505</v>
      </c>
      <c r="F5259" s="208" t="s">
        <v>110</v>
      </c>
      <c r="G5259" s="208" t="s">
        <v>4294</v>
      </c>
      <c r="H5259" s="208" t="s">
        <v>585</v>
      </c>
      <c r="I5259" s="208"/>
      <c r="J5259" s="209"/>
      <c r="K5259" s="209"/>
      <c r="L5259" s="209"/>
      <c r="M5259" s="209"/>
      <c r="N5259" s="209"/>
      <c r="O5259" s="209"/>
      <c r="P5259" s="209"/>
      <c r="Q5259" s="209"/>
      <c r="R5259" s="209"/>
      <c r="S5259" s="209"/>
      <c r="T5259" s="209"/>
    </row>
    <row r="5260" spans="1:20" ht="15" hidden="1" customHeight="1">
      <c r="A5260" s="468">
        <v>45526</v>
      </c>
      <c r="B5260" s="208" t="s">
        <v>4397</v>
      </c>
      <c r="C5260" s="208" t="s">
        <v>27</v>
      </c>
      <c r="D5260" s="211">
        <v>-68000</v>
      </c>
      <c r="E5260" s="212">
        <v>45505</v>
      </c>
      <c r="F5260" s="208" t="s">
        <v>130</v>
      </c>
      <c r="G5260" s="208" t="s">
        <v>130</v>
      </c>
      <c r="H5260" s="208" t="s">
        <v>2444</v>
      </c>
      <c r="I5260" s="208"/>
      <c r="J5260" s="209"/>
      <c r="K5260" s="209"/>
      <c r="L5260" s="209"/>
      <c r="M5260" s="209"/>
      <c r="N5260" s="209"/>
      <c r="O5260" s="209"/>
      <c r="P5260" s="209"/>
      <c r="Q5260" s="209"/>
      <c r="R5260" s="209"/>
      <c r="S5260" s="209"/>
      <c r="T5260" s="209"/>
    </row>
    <row r="5261" spans="1:20" ht="15" hidden="1" customHeight="1">
      <c r="A5261" s="468">
        <v>45526</v>
      </c>
      <c r="B5261" s="208" t="s">
        <v>4398</v>
      </c>
      <c r="C5261" s="208" t="s">
        <v>27</v>
      </c>
      <c r="D5261" s="211">
        <v>-11119667</v>
      </c>
      <c r="E5261" s="212">
        <v>45505</v>
      </c>
      <c r="F5261" s="208" t="s">
        <v>110</v>
      </c>
      <c r="G5261" s="208" t="s">
        <v>4399</v>
      </c>
      <c r="H5261" s="208" t="s">
        <v>418</v>
      </c>
      <c r="I5261" s="208"/>
      <c r="J5261" s="209"/>
      <c r="K5261" s="209"/>
      <c r="L5261" s="209"/>
      <c r="M5261" s="209"/>
      <c r="N5261" s="209"/>
      <c r="O5261" s="209"/>
      <c r="P5261" s="209"/>
      <c r="Q5261" s="209"/>
      <c r="R5261" s="209"/>
      <c r="S5261" s="209"/>
      <c r="T5261" s="209"/>
    </row>
    <row r="5262" spans="1:20" ht="15" hidden="1" customHeight="1">
      <c r="A5262" s="468">
        <v>45526</v>
      </c>
      <c r="B5262" s="208" t="s">
        <v>4398</v>
      </c>
      <c r="C5262" s="208" t="s">
        <v>27</v>
      </c>
      <c r="D5262" s="211">
        <v>-11119667</v>
      </c>
      <c r="E5262" s="212">
        <v>45505</v>
      </c>
      <c r="F5262" s="208" t="s">
        <v>109</v>
      </c>
      <c r="G5262" s="208" t="s">
        <v>3529</v>
      </c>
      <c r="H5262" s="208" t="s">
        <v>418</v>
      </c>
      <c r="I5262" s="208"/>
      <c r="J5262" s="209"/>
      <c r="K5262" s="209"/>
      <c r="L5262" s="209"/>
      <c r="M5262" s="209"/>
      <c r="N5262" s="209"/>
      <c r="O5262" s="209"/>
      <c r="P5262" s="209"/>
      <c r="Q5262" s="209"/>
      <c r="R5262" s="209"/>
      <c r="S5262" s="209"/>
      <c r="T5262" s="209"/>
    </row>
    <row r="5263" spans="1:20" ht="15" hidden="1" customHeight="1">
      <c r="A5263" s="468">
        <v>45526</v>
      </c>
      <c r="B5263" s="208" t="s">
        <v>4400</v>
      </c>
      <c r="C5263" s="208" t="s">
        <v>27</v>
      </c>
      <c r="D5263" s="211">
        <v>-1550000</v>
      </c>
      <c r="E5263" s="212">
        <v>45505</v>
      </c>
      <c r="F5263" s="208" t="s">
        <v>109</v>
      </c>
      <c r="G5263" s="601" t="s">
        <v>581</v>
      </c>
      <c r="H5263" s="208"/>
      <c r="I5263" s="208"/>
      <c r="J5263" s="209"/>
      <c r="K5263" s="209"/>
      <c r="L5263" s="209"/>
      <c r="M5263" s="209"/>
      <c r="N5263" s="209"/>
      <c r="O5263" s="209"/>
      <c r="P5263" s="209"/>
      <c r="Q5263" s="209"/>
      <c r="R5263" s="209"/>
      <c r="S5263" s="209"/>
      <c r="T5263" s="209"/>
    </row>
    <row r="5264" spans="1:20" ht="15" hidden="1" customHeight="1">
      <c r="A5264" s="468">
        <v>45526</v>
      </c>
      <c r="B5264" s="208" t="s">
        <v>4401</v>
      </c>
      <c r="C5264" s="208" t="s">
        <v>27</v>
      </c>
      <c r="D5264" s="211">
        <v>-2260000</v>
      </c>
      <c r="E5264" s="212">
        <v>45505</v>
      </c>
      <c r="F5264" s="201" t="s">
        <v>110</v>
      </c>
      <c r="G5264" s="201" t="s">
        <v>1489</v>
      </c>
      <c r="H5264" s="208" t="s">
        <v>212</v>
      </c>
      <c r="I5264" s="208"/>
      <c r="J5264" s="209"/>
      <c r="K5264" s="209"/>
      <c r="L5264" s="209"/>
      <c r="M5264" s="209"/>
      <c r="N5264" s="209"/>
      <c r="O5264" s="209"/>
      <c r="P5264" s="209"/>
      <c r="Q5264" s="209"/>
      <c r="R5264" s="209"/>
      <c r="S5264" s="209"/>
      <c r="T5264" s="209"/>
    </row>
    <row r="5265" spans="1:20" ht="15" hidden="1" customHeight="1">
      <c r="A5265" s="468">
        <v>45526</v>
      </c>
      <c r="B5265" s="208" t="s">
        <v>4402</v>
      </c>
      <c r="C5265" s="208" t="s">
        <v>27</v>
      </c>
      <c r="D5265" s="211">
        <v>-300000</v>
      </c>
      <c r="E5265" s="212">
        <v>45505</v>
      </c>
      <c r="F5265" s="208" t="s">
        <v>109</v>
      </c>
      <c r="G5265" s="201" t="s">
        <v>1261</v>
      </c>
      <c r="H5265" s="208" t="s">
        <v>663</v>
      </c>
      <c r="I5265" s="208"/>
      <c r="J5265" s="209"/>
      <c r="K5265" s="209"/>
      <c r="L5265" s="209"/>
      <c r="M5265" s="209"/>
      <c r="N5265" s="209"/>
      <c r="O5265" s="209"/>
      <c r="P5265" s="209"/>
      <c r="Q5265" s="209"/>
      <c r="R5265" s="209"/>
      <c r="S5265" s="209"/>
      <c r="T5265" s="209"/>
    </row>
    <row r="5266" spans="1:20" ht="15" hidden="1" customHeight="1">
      <c r="A5266" s="468">
        <v>45526</v>
      </c>
      <c r="B5266" s="208" t="s">
        <v>4402</v>
      </c>
      <c r="C5266" s="208" t="s">
        <v>27</v>
      </c>
      <c r="D5266" s="211">
        <v>-350000</v>
      </c>
      <c r="E5266" s="212">
        <v>45505</v>
      </c>
      <c r="F5266" s="201" t="s">
        <v>110</v>
      </c>
      <c r="G5266" s="208" t="s">
        <v>122</v>
      </c>
      <c r="H5266" s="208" t="s">
        <v>663</v>
      </c>
      <c r="I5266" s="208"/>
      <c r="J5266" s="209"/>
      <c r="K5266" s="209"/>
      <c r="L5266" s="209"/>
      <c r="M5266" s="209"/>
      <c r="N5266" s="209"/>
      <c r="O5266" s="209"/>
      <c r="P5266" s="209"/>
      <c r="Q5266" s="209"/>
      <c r="R5266" s="209"/>
      <c r="S5266" s="209"/>
      <c r="T5266" s="209"/>
    </row>
    <row r="5267" spans="1:20" ht="15" hidden="1" customHeight="1">
      <c r="A5267" s="468">
        <v>45526</v>
      </c>
      <c r="B5267" s="208" t="s">
        <v>4403</v>
      </c>
      <c r="C5267" s="208" t="s">
        <v>27</v>
      </c>
      <c r="D5267" s="211">
        <v>-675000</v>
      </c>
      <c r="E5267" s="212">
        <v>45505</v>
      </c>
      <c r="F5267" s="208" t="s">
        <v>109</v>
      </c>
      <c r="G5267" s="208" t="s">
        <v>3644</v>
      </c>
      <c r="H5267" s="208" t="s">
        <v>4187</v>
      </c>
      <c r="I5267" s="208"/>
      <c r="J5267" s="209"/>
      <c r="K5267" s="209"/>
      <c r="L5267" s="209"/>
      <c r="M5267" s="209"/>
      <c r="N5267" s="209"/>
      <c r="O5267" s="209"/>
      <c r="P5267" s="209"/>
      <c r="Q5267" s="209"/>
      <c r="R5267" s="209"/>
      <c r="S5267" s="209"/>
      <c r="T5267" s="209"/>
    </row>
    <row r="5268" spans="1:20" ht="15" hidden="1" customHeight="1">
      <c r="A5268" s="468">
        <v>45526</v>
      </c>
      <c r="B5268" s="208" t="s">
        <v>4404</v>
      </c>
      <c r="C5268" s="208" t="s">
        <v>27</v>
      </c>
      <c r="D5268" s="211">
        <v>-1519362</v>
      </c>
      <c r="E5268" s="212">
        <v>45505</v>
      </c>
      <c r="F5268" s="201" t="s">
        <v>110</v>
      </c>
      <c r="G5268" s="201" t="s">
        <v>1489</v>
      </c>
      <c r="H5268" s="208" t="s">
        <v>2941</v>
      </c>
      <c r="I5268" s="208"/>
      <c r="J5268" s="209"/>
      <c r="K5268" s="209"/>
      <c r="L5268" s="209"/>
      <c r="M5268" s="209"/>
      <c r="N5268" s="209"/>
      <c r="O5268" s="209"/>
      <c r="P5268" s="209"/>
      <c r="Q5268" s="209"/>
      <c r="R5268" s="209"/>
      <c r="S5268" s="209"/>
      <c r="T5268" s="209"/>
    </row>
    <row r="5269" spans="1:20" ht="15" hidden="1" customHeight="1">
      <c r="A5269" s="468">
        <v>45526</v>
      </c>
      <c r="B5269" s="208" t="s">
        <v>4405</v>
      </c>
      <c r="C5269" s="208" t="s">
        <v>27</v>
      </c>
      <c r="D5269" s="211">
        <v>-375000</v>
      </c>
      <c r="E5269" s="212">
        <v>45505</v>
      </c>
      <c r="F5269" s="201" t="s">
        <v>110</v>
      </c>
      <c r="G5269" s="208" t="s">
        <v>2444</v>
      </c>
      <c r="H5269" s="208"/>
      <c r="I5269" s="208"/>
      <c r="J5269" s="209"/>
      <c r="K5269" s="209"/>
      <c r="L5269" s="209"/>
      <c r="M5269" s="209"/>
      <c r="N5269" s="209"/>
      <c r="O5269" s="209"/>
      <c r="P5269" s="209"/>
      <c r="Q5269" s="209"/>
      <c r="R5269" s="209"/>
      <c r="S5269" s="209"/>
      <c r="T5269" s="209"/>
    </row>
    <row r="5270" spans="1:20" ht="15" hidden="1" customHeight="1">
      <c r="A5270" s="468">
        <v>45526</v>
      </c>
      <c r="B5270" s="208" t="s">
        <v>4406</v>
      </c>
      <c r="C5270" s="208" t="s">
        <v>27</v>
      </c>
      <c r="D5270" s="211">
        <v>-2710650</v>
      </c>
      <c r="E5270" s="212">
        <v>45505</v>
      </c>
      <c r="F5270" s="208" t="s">
        <v>109</v>
      </c>
      <c r="G5270" s="208" t="s">
        <v>4407</v>
      </c>
      <c r="H5270" s="208" t="s">
        <v>123</v>
      </c>
      <c r="I5270" s="208"/>
      <c r="J5270" s="209"/>
      <c r="K5270" s="209"/>
      <c r="L5270" s="209"/>
      <c r="M5270" s="209"/>
      <c r="N5270" s="209"/>
      <c r="O5270" s="209"/>
      <c r="P5270" s="209"/>
      <c r="Q5270" s="209"/>
      <c r="R5270" s="209"/>
      <c r="S5270" s="209"/>
      <c r="T5270" s="209"/>
    </row>
    <row r="5271" spans="1:20" ht="15" hidden="1" customHeight="1">
      <c r="A5271" s="468">
        <v>45526</v>
      </c>
      <c r="B5271" s="208" t="s">
        <v>4408</v>
      </c>
      <c r="C5271" s="208" t="s">
        <v>27</v>
      </c>
      <c r="D5271" s="718">
        <v>-52431610</v>
      </c>
      <c r="E5271" s="212">
        <v>45505</v>
      </c>
      <c r="F5271" s="208" t="s">
        <v>109</v>
      </c>
      <c r="G5271" s="201" t="s">
        <v>581</v>
      </c>
      <c r="H5271" s="208"/>
      <c r="I5271" s="208"/>
      <c r="J5271" s="209"/>
      <c r="K5271" s="209"/>
      <c r="L5271" s="209"/>
      <c r="M5271" s="209"/>
      <c r="N5271" s="209"/>
      <c r="O5271" s="209"/>
      <c r="P5271" s="209"/>
      <c r="Q5271" s="209"/>
      <c r="R5271" s="209"/>
      <c r="S5271" s="209"/>
      <c r="T5271" s="209"/>
    </row>
    <row r="5272" spans="1:20" ht="15" hidden="1" customHeight="1">
      <c r="A5272" s="468">
        <v>45526</v>
      </c>
      <c r="B5272" s="208" t="s">
        <v>4408</v>
      </c>
      <c r="C5272" s="208" t="s">
        <v>27</v>
      </c>
      <c r="D5272" s="718">
        <v>-52431610</v>
      </c>
      <c r="E5272" s="212">
        <v>45505</v>
      </c>
      <c r="F5272" s="208" t="s">
        <v>109</v>
      </c>
      <c r="G5272" s="201" t="s">
        <v>583</v>
      </c>
      <c r="H5272" s="208"/>
      <c r="I5272" s="208"/>
      <c r="J5272" s="209"/>
      <c r="K5272" s="209"/>
      <c r="L5272" s="209"/>
      <c r="M5272" s="209"/>
      <c r="N5272" s="209"/>
      <c r="O5272" s="209"/>
      <c r="P5272" s="209"/>
      <c r="Q5272" s="209"/>
      <c r="R5272" s="209"/>
      <c r="S5272" s="209"/>
      <c r="T5272" s="209"/>
    </row>
    <row r="5273" spans="1:20" ht="15" hidden="1" customHeight="1">
      <c r="A5273" s="468">
        <v>45526</v>
      </c>
      <c r="B5273" s="208" t="s">
        <v>4409</v>
      </c>
      <c r="C5273" s="208" t="s">
        <v>27</v>
      </c>
      <c r="D5273" s="211">
        <v>-1170000</v>
      </c>
      <c r="E5273" s="212">
        <v>45505</v>
      </c>
      <c r="F5273" s="208" t="s">
        <v>130</v>
      </c>
      <c r="G5273" s="208" t="s">
        <v>130</v>
      </c>
      <c r="H5273" s="208" t="s">
        <v>360</v>
      </c>
      <c r="I5273" s="208"/>
      <c r="J5273" s="209"/>
      <c r="K5273" s="209"/>
      <c r="L5273" s="209"/>
      <c r="M5273" s="209"/>
      <c r="N5273" s="209"/>
      <c r="O5273" s="209"/>
      <c r="P5273" s="209"/>
      <c r="Q5273" s="209"/>
      <c r="R5273" s="209"/>
      <c r="S5273" s="209"/>
      <c r="T5273" s="209"/>
    </row>
    <row r="5274" spans="1:20" ht="15" hidden="1" customHeight="1">
      <c r="A5274" s="468">
        <v>45526</v>
      </c>
      <c r="B5274" s="208" t="s">
        <v>4410</v>
      </c>
      <c r="C5274" s="208" t="s">
        <v>27</v>
      </c>
      <c r="D5274" s="211">
        <v>-277168</v>
      </c>
      <c r="E5274" s="212">
        <v>45505</v>
      </c>
      <c r="F5274" s="208" t="s">
        <v>109</v>
      </c>
      <c r="G5274" s="208" t="s">
        <v>3529</v>
      </c>
      <c r="H5274" s="208" t="s">
        <v>1463</v>
      </c>
      <c r="I5274" s="208"/>
      <c r="J5274" s="209"/>
      <c r="K5274" s="209"/>
      <c r="L5274" s="209"/>
      <c r="M5274" s="209"/>
      <c r="N5274" s="209"/>
      <c r="O5274" s="209"/>
      <c r="P5274" s="209"/>
      <c r="Q5274" s="209"/>
      <c r="R5274" s="209"/>
      <c r="S5274" s="209"/>
      <c r="T5274" s="209"/>
    </row>
    <row r="5275" spans="1:20" ht="15" hidden="1" customHeight="1">
      <c r="A5275" s="468">
        <v>45526</v>
      </c>
      <c r="B5275" s="208" t="s">
        <v>4411</v>
      </c>
      <c r="C5275" s="208" t="s">
        <v>27</v>
      </c>
      <c r="D5275" s="211">
        <v>-7900</v>
      </c>
      <c r="E5275" s="212">
        <v>45505</v>
      </c>
      <c r="F5275" s="208" t="s">
        <v>109</v>
      </c>
      <c r="G5275" s="208" t="s">
        <v>4412</v>
      </c>
      <c r="H5275" s="208" t="s">
        <v>4187</v>
      </c>
      <c r="I5275" s="208"/>
      <c r="J5275" s="209"/>
      <c r="K5275" s="209"/>
      <c r="L5275" s="209"/>
      <c r="M5275" s="209"/>
      <c r="N5275" s="209"/>
      <c r="O5275" s="209"/>
      <c r="P5275" s="209"/>
      <c r="Q5275" s="209"/>
      <c r="R5275" s="209"/>
      <c r="S5275" s="209"/>
      <c r="T5275" s="209"/>
    </row>
    <row r="5276" spans="1:20" ht="15" hidden="1" customHeight="1">
      <c r="A5276" s="468">
        <v>45526</v>
      </c>
      <c r="B5276" s="208" t="s">
        <v>4413</v>
      </c>
      <c r="C5276" s="208" t="s">
        <v>27</v>
      </c>
      <c r="D5276" s="211">
        <v>-1651600.3304181856</v>
      </c>
      <c r="E5276" s="212">
        <v>45505</v>
      </c>
      <c r="F5276" s="208" t="s">
        <v>109</v>
      </c>
      <c r="G5276" s="208" t="s">
        <v>3529</v>
      </c>
      <c r="H5276" s="208" t="s">
        <v>175</v>
      </c>
      <c r="I5276" s="208"/>
      <c r="J5276" s="209"/>
      <c r="K5276" s="209"/>
      <c r="L5276" s="209"/>
      <c r="M5276" s="209"/>
      <c r="N5276" s="209"/>
      <c r="O5276" s="209"/>
      <c r="P5276" s="209"/>
      <c r="Q5276" s="209"/>
      <c r="R5276" s="209"/>
      <c r="S5276" s="209"/>
      <c r="T5276" s="209"/>
    </row>
    <row r="5277" spans="1:20" ht="15" hidden="1" customHeight="1">
      <c r="A5277" s="468">
        <v>45526</v>
      </c>
      <c r="B5277" s="208" t="s">
        <v>4413</v>
      </c>
      <c r="C5277" s="208" t="s">
        <v>27</v>
      </c>
      <c r="D5277" s="211">
        <v>-316782.35519730538</v>
      </c>
      <c r="E5277" s="212">
        <v>45505</v>
      </c>
      <c r="F5277" s="208" t="s">
        <v>109</v>
      </c>
      <c r="G5277" s="601" t="s">
        <v>581</v>
      </c>
      <c r="H5277" s="208" t="s">
        <v>175</v>
      </c>
      <c r="I5277" s="208"/>
      <c r="J5277" s="209"/>
      <c r="K5277" s="209"/>
      <c r="L5277" s="209"/>
      <c r="M5277" s="209"/>
      <c r="N5277" s="209"/>
      <c r="O5277" s="209"/>
      <c r="P5277" s="209"/>
      <c r="Q5277" s="209"/>
      <c r="R5277" s="209"/>
      <c r="S5277" s="209"/>
      <c r="T5277" s="209"/>
    </row>
    <row r="5278" spans="1:20" ht="15" hidden="1" customHeight="1">
      <c r="A5278" s="468">
        <v>45526</v>
      </c>
      <c r="B5278" s="208" t="s">
        <v>4413</v>
      </c>
      <c r="C5278" s="208" t="s">
        <v>27</v>
      </c>
      <c r="D5278" s="211">
        <v>-8745230.3143845089</v>
      </c>
      <c r="E5278" s="212">
        <v>45505</v>
      </c>
      <c r="F5278" s="201" t="s">
        <v>110</v>
      </c>
      <c r="G5278" s="208" t="s">
        <v>2444</v>
      </c>
      <c r="H5278" s="208"/>
      <c r="I5278" s="208"/>
      <c r="J5278" s="209"/>
      <c r="K5278" s="209"/>
      <c r="L5278" s="209"/>
      <c r="M5278" s="209"/>
      <c r="N5278" s="209"/>
      <c r="O5278" s="209"/>
      <c r="P5278" s="209"/>
      <c r="Q5278" s="209"/>
      <c r="R5278" s="209"/>
      <c r="S5278" s="209"/>
      <c r="T5278" s="209"/>
    </row>
    <row r="5279" spans="1:20" ht="15" hidden="1" customHeight="1">
      <c r="A5279" s="468">
        <v>45526</v>
      </c>
      <c r="B5279" s="208" t="s">
        <v>4414</v>
      </c>
      <c r="C5279" s="208" t="s">
        <v>27</v>
      </c>
      <c r="D5279" s="211">
        <v>-349900</v>
      </c>
      <c r="E5279" s="212">
        <v>45505</v>
      </c>
      <c r="F5279" s="201" t="s">
        <v>110</v>
      </c>
      <c r="G5279" s="208" t="s">
        <v>3245</v>
      </c>
      <c r="H5279" s="208" t="s">
        <v>421</v>
      </c>
      <c r="I5279" s="208"/>
      <c r="J5279" s="209"/>
      <c r="K5279" s="209"/>
      <c r="L5279" s="209"/>
      <c r="M5279" s="209"/>
      <c r="N5279" s="209"/>
      <c r="O5279" s="209"/>
      <c r="P5279" s="209"/>
      <c r="Q5279" s="209"/>
      <c r="R5279" s="209"/>
      <c r="S5279" s="209"/>
      <c r="T5279" s="209"/>
    </row>
    <row r="5280" spans="1:20" ht="15" hidden="1" customHeight="1">
      <c r="A5280" s="468">
        <v>45526</v>
      </c>
      <c r="B5280" s="208" t="s">
        <v>4415</v>
      </c>
      <c r="C5280" s="208" t="s">
        <v>27</v>
      </c>
      <c r="D5280" s="211">
        <v>-500000</v>
      </c>
      <c r="E5280" s="212">
        <v>45505</v>
      </c>
      <c r="F5280" s="208" t="s">
        <v>130</v>
      </c>
      <c r="G5280" s="208" t="s">
        <v>257</v>
      </c>
      <c r="H5280" s="208" t="s">
        <v>1031</v>
      </c>
      <c r="I5280" s="208"/>
      <c r="J5280" s="209"/>
      <c r="K5280" s="209"/>
      <c r="L5280" s="209"/>
      <c r="M5280" s="209"/>
      <c r="N5280" s="209"/>
      <c r="O5280" s="209"/>
      <c r="P5280" s="209"/>
      <c r="Q5280" s="209"/>
      <c r="R5280" s="209"/>
      <c r="S5280" s="209"/>
      <c r="T5280" s="209"/>
    </row>
    <row r="5281" spans="1:20" ht="15" hidden="1" customHeight="1">
      <c r="A5281" s="468">
        <v>45526</v>
      </c>
      <c r="B5281" s="208" t="s">
        <v>4192</v>
      </c>
      <c r="C5281" s="208" t="s">
        <v>27</v>
      </c>
      <c r="D5281" s="211">
        <v>-351476</v>
      </c>
      <c r="E5281" s="212">
        <v>45505</v>
      </c>
      <c r="F5281" s="208" t="s">
        <v>130</v>
      </c>
      <c r="G5281" s="208" t="s">
        <v>130</v>
      </c>
      <c r="H5281" s="208" t="s">
        <v>852</v>
      </c>
      <c r="I5281" s="208"/>
      <c r="J5281" s="209"/>
      <c r="K5281" s="209"/>
      <c r="L5281" s="209"/>
      <c r="M5281" s="209"/>
      <c r="N5281" s="209"/>
      <c r="O5281" s="209"/>
      <c r="P5281" s="209"/>
      <c r="Q5281" s="209"/>
      <c r="R5281" s="209"/>
      <c r="S5281" s="209"/>
      <c r="T5281" s="209"/>
    </row>
    <row r="5282" spans="1:20" ht="15" hidden="1" customHeight="1">
      <c r="A5282" s="468">
        <v>45526</v>
      </c>
      <c r="B5282" s="208" t="s">
        <v>4416</v>
      </c>
      <c r="C5282" s="208" t="s">
        <v>27</v>
      </c>
      <c r="D5282" s="211">
        <v>277168</v>
      </c>
      <c r="E5282" s="212">
        <v>45505</v>
      </c>
      <c r="F5282" s="208" t="s">
        <v>109</v>
      </c>
      <c r="G5282" s="208" t="s">
        <v>3529</v>
      </c>
      <c r="H5282" s="208" t="s">
        <v>1463</v>
      </c>
      <c r="I5282" s="208"/>
      <c r="J5282" s="209"/>
      <c r="K5282" s="209"/>
      <c r="L5282" s="209"/>
      <c r="M5282" s="209"/>
      <c r="N5282" s="209"/>
      <c r="O5282" s="209"/>
      <c r="P5282" s="209"/>
      <c r="Q5282" s="209"/>
      <c r="R5282" s="209"/>
      <c r="S5282" s="209"/>
      <c r="T5282" s="209"/>
    </row>
    <row r="5283" spans="1:20" ht="15" hidden="1" customHeight="1">
      <c r="A5283" s="468">
        <v>45525</v>
      </c>
      <c r="B5283" s="208" t="s">
        <v>4332</v>
      </c>
      <c r="C5283" s="208" t="s">
        <v>27</v>
      </c>
      <c r="D5283" s="211">
        <v>500000000</v>
      </c>
      <c r="E5283" s="212">
        <v>45505</v>
      </c>
      <c r="F5283" s="883" t="s">
        <v>707</v>
      </c>
      <c r="G5283" s="201" t="s">
        <v>581</v>
      </c>
      <c r="H5283" s="208"/>
      <c r="I5283" s="208"/>
      <c r="J5283" s="209"/>
      <c r="K5283" s="209"/>
      <c r="L5283" s="209"/>
      <c r="M5283" s="209"/>
      <c r="N5283" s="209"/>
      <c r="O5283" s="209"/>
      <c r="P5283" s="209"/>
      <c r="Q5283" s="209"/>
      <c r="R5283" s="209"/>
      <c r="S5283" s="209"/>
      <c r="T5283" s="209"/>
    </row>
    <row r="5284" spans="1:20" ht="15" hidden="1" customHeight="1">
      <c r="A5284" s="468">
        <v>45524</v>
      </c>
      <c r="B5284" s="208" t="s">
        <v>4417</v>
      </c>
      <c r="C5284" s="208" t="s">
        <v>27</v>
      </c>
      <c r="D5284" s="211">
        <v>2623442</v>
      </c>
      <c r="E5284" s="212">
        <v>45505</v>
      </c>
      <c r="F5284" s="654" t="s">
        <v>108</v>
      </c>
      <c r="G5284" s="635"/>
      <c r="H5284" s="208"/>
      <c r="I5284" s="208"/>
      <c r="J5284" s="209"/>
      <c r="K5284" s="209"/>
      <c r="L5284" s="209"/>
      <c r="M5284" s="209"/>
      <c r="N5284" s="209"/>
      <c r="O5284" s="209"/>
      <c r="P5284" s="209"/>
      <c r="Q5284" s="209"/>
      <c r="R5284" s="209"/>
      <c r="S5284" s="209"/>
      <c r="T5284" s="209"/>
    </row>
    <row r="5285" spans="1:20" ht="15" hidden="1" customHeight="1">
      <c r="A5285" s="468">
        <v>45524</v>
      </c>
      <c r="B5285" s="208" t="s">
        <v>4418</v>
      </c>
      <c r="C5285" s="208" t="s">
        <v>27</v>
      </c>
      <c r="D5285" s="211">
        <v>1286104</v>
      </c>
      <c r="E5285" s="212">
        <v>45505</v>
      </c>
      <c r="F5285" s="671" t="s">
        <v>108</v>
      </c>
      <c r="G5285" s="635"/>
      <c r="H5285" s="208"/>
      <c r="I5285" s="208"/>
      <c r="J5285" s="209"/>
      <c r="K5285" s="209"/>
      <c r="L5285" s="209"/>
      <c r="M5285" s="209"/>
      <c r="N5285" s="209"/>
      <c r="O5285" s="209"/>
      <c r="P5285" s="209"/>
      <c r="Q5285" s="209"/>
      <c r="R5285" s="209"/>
      <c r="S5285" s="209"/>
      <c r="T5285" s="209"/>
    </row>
    <row r="5286" spans="1:20" ht="15" hidden="1" customHeight="1">
      <c r="A5286" s="468">
        <v>45527</v>
      </c>
      <c r="B5286" s="208" t="s">
        <v>4419</v>
      </c>
      <c r="C5286" s="208" t="s">
        <v>3331</v>
      </c>
      <c r="D5286" s="211">
        <v>2395313</v>
      </c>
      <c r="E5286" s="212">
        <v>45505</v>
      </c>
      <c r="F5286" s="671" t="s">
        <v>108</v>
      </c>
      <c r="G5286" s="208"/>
      <c r="H5286" s="208"/>
      <c r="I5286" s="208"/>
      <c r="J5286" s="209"/>
      <c r="K5286" s="209"/>
      <c r="L5286" s="209"/>
      <c r="M5286" s="209"/>
      <c r="N5286" s="209"/>
      <c r="O5286" s="209"/>
      <c r="P5286" s="209"/>
      <c r="Q5286" s="209"/>
      <c r="R5286" s="209"/>
      <c r="S5286" s="209"/>
      <c r="T5286" s="209"/>
    </row>
    <row r="5287" spans="1:20" ht="15" hidden="1" customHeight="1">
      <c r="A5287" s="468">
        <v>45525</v>
      </c>
      <c r="B5287" s="208" t="s">
        <v>4420</v>
      </c>
      <c r="C5287" s="208" t="s">
        <v>3331</v>
      </c>
      <c r="D5287" s="211">
        <v>1490000</v>
      </c>
      <c r="E5287" s="212">
        <v>45505</v>
      </c>
      <c r="F5287" s="84" t="s">
        <v>111</v>
      </c>
      <c r="G5287" s="208"/>
      <c r="H5287" s="208"/>
      <c r="I5287" s="208"/>
      <c r="J5287" s="209"/>
      <c r="K5287" s="209"/>
      <c r="L5287" s="209"/>
      <c r="M5287" s="209"/>
      <c r="N5287" s="209"/>
      <c r="O5287" s="209"/>
      <c r="P5287" s="209"/>
      <c r="Q5287" s="209"/>
      <c r="R5287" s="209"/>
      <c r="S5287" s="209"/>
      <c r="T5287" s="209"/>
    </row>
    <row r="5288" spans="1:20" ht="15" hidden="1" customHeight="1">
      <c r="A5288" s="468">
        <v>45525</v>
      </c>
      <c r="B5288" s="208" t="s">
        <v>4421</v>
      </c>
      <c r="C5288" s="208" t="s">
        <v>3331</v>
      </c>
      <c r="D5288" s="211">
        <v>1350005</v>
      </c>
      <c r="E5288" s="212">
        <v>45505</v>
      </c>
      <c r="F5288" s="635" t="s">
        <v>108</v>
      </c>
      <c r="G5288" s="208"/>
      <c r="H5288" s="208"/>
      <c r="I5288" s="208"/>
      <c r="J5288" s="209"/>
      <c r="K5288" s="209"/>
      <c r="L5288" s="209"/>
      <c r="M5288" s="209"/>
      <c r="N5288" s="209"/>
      <c r="O5288" s="209"/>
      <c r="P5288" s="209"/>
      <c r="Q5288" s="209"/>
      <c r="R5288" s="209"/>
      <c r="S5288" s="209"/>
      <c r="T5288" s="209"/>
    </row>
    <row r="5289" spans="1:20" ht="15" hidden="1" customHeight="1">
      <c r="A5289" s="468">
        <v>45524</v>
      </c>
      <c r="B5289" s="208" t="s">
        <v>4422</v>
      </c>
      <c r="C5289" s="208" t="s">
        <v>3331</v>
      </c>
      <c r="D5289" s="211">
        <v>3000000</v>
      </c>
      <c r="E5289" s="212">
        <v>45505</v>
      </c>
      <c r="F5289" s="671" t="s">
        <v>108</v>
      </c>
      <c r="G5289" s="208"/>
      <c r="H5289" s="208"/>
      <c r="I5289" s="208"/>
      <c r="J5289" s="209"/>
      <c r="K5289" s="209"/>
      <c r="L5289" s="209"/>
      <c r="M5289" s="209"/>
      <c r="N5289" s="209"/>
      <c r="O5289" s="209"/>
      <c r="P5289" s="209"/>
      <c r="Q5289" s="209"/>
      <c r="R5289" s="209"/>
      <c r="S5289" s="209"/>
      <c r="T5289" s="209"/>
    </row>
    <row r="5290" spans="1:20" ht="15" hidden="1" customHeight="1">
      <c r="A5290" s="468">
        <v>45524</v>
      </c>
      <c r="B5290" s="208" t="s">
        <v>4423</v>
      </c>
      <c r="C5290" s="208" t="s">
        <v>3331</v>
      </c>
      <c r="D5290" s="211">
        <v>443174</v>
      </c>
      <c r="E5290" s="212">
        <v>45505</v>
      </c>
      <c r="F5290" s="671" t="s">
        <v>108</v>
      </c>
      <c r="G5290" s="208"/>
      <c r="H5290" s="208"/>
      <c r="I5290" s="208"/>
      <c r="J5290" s="209"/>
      <c r="K5290" s="209"/>
      <c r="L5290" s="209"/>
      <c r="M5290" s="209"/>
      <c r="N5290" s="209"/>
      <c r="O5290" s="209"/>
      <c r="P5290" s="209"/>
      <c r="Q5290" s="209"/>
      <c r="R5290" s="209"/>
      <c r="S5290" s="209"/>
      <c r="T5290" s="209"/>
    </row>
    <row r="5291" spans="1:20" ht="15" hidden="1" customHeight="1">
      <c r="A5291" s="468">
        <v>45518</v>
      </c>
      <c r="B5291" s="208" t="s">
        <v>4424</v>
      </c>
      <c r="C5291" s="208" t="s">
        <v>27</v>
      </c>
      <c r="D5291" s="501">
        <v>-1228700</v>
      </c>
      <c r="E5291" s="212">
        <v>45505</v>
      </c>
      <c r="F5291" s="208" t="s">
        <v>109</v>
      </c>
      <c r="G5291" s="201" t="s">
        <v>581</v>
      </c>
      <c r="H5291" s="208" t="s">
        <v>147</v>
      </c>
      <c r="I5291" s="208"/>
      <c r="J5291" s="209"/>
      <c r="K5291" s="209"/>
      <c r="L5291" s="209"/>
      <c r="M5291" s="209"/>
      <c r="N5291" s="209"/>
      <c r="O5291" s="209"/>
      <c r="P5291" s="209"/>
      <c r="Q5291" s="209"/>
      <c r="R5291" s="209"/>
      <c r="S5291" s="209"/>
      <c r="T5291" s="209"/>
    </row>
    <row r="5292" spans="1:20" ht="15" hidden="1" customHeight="1">
      <c r="A5292" s="468">
        <v>45518</v>
      </c>
      <c r="B5292" s="208" t="s">
        <v>4425</v>
      </c>
      <c r="C5292" s="208" t="s">
        <v>27</v>
      </c>
      <c r="D5292" s="501">
        <v>-837240</v>
      </c>
      <c r="E5292" s="212">
        <v>45505</v>
      </c>
      <c r="F5292" s="208" t="s">
        <v>207</v>
      </c>
      <c r="G5292" s="208"/>
      <c r="H5292" s="208"/>
      <c r="I5292" s="208"/>
      <c r="J5292" s="209"/>
      <c r="K5292" s="209"/>
      <c r="L5292" s="209"/>
      <c r="M5292" s="209"/>
      <c r="N5292" s="209"/>
      <c r="O5292" s="209"/>
      <c r="P5292" s="209"/>
      <c r="Q5292" s="209"/>
      <c r="R5292" s="209"/>
      <c r="S5292" s="209"/>
      <c r="T5292" s="209"/>
    </row>
    <row r="5293" spans="1:20" ht="15" hidden="1" customHeight="1">
      <c r="A5293" s="468">
        <v>45518</v>
      </c>
      <c r="B5293" s="208" t="s">
        <v>4426</v>
      </c>
      <c r="C5293" s="208" t="s">
        <v>27</v>
      </c>
      <c r="D5293" s="501">
        <v>-957260.00000000012</v>
      </c>
      <c r="E5293" s="212">
        <v>45505</v>
      </c>
      <c r="F5293" s="201" t="s">
        <v>110</v>
      </c>
      <c r="G5293" s="201" t="s">
        <v>1489</v>
      </c>
      <c r="H5293" s="208" t="s">
        <v>147</v>
      </c>
      <c r="I5293" s="208"/>
      <c r="J5293" s="209"/>
      <c r="K5293" s="209"/>
      <c r="L5293" s="209"/>
      <c r="M5293" s="209"/>
      <c r="N5293" s="209"/>
      <c r="O5293" s="209"/>
      <c r="P5293" s="209"/>
      <c r="Q5293" s="209"/>
      <c r="R5293" s="209"/>
      <c r="S5293" s="209"/>
      <c r="T5293" s="209"/>
    </row>
    <row r="5294" spans="1:20" ht="15" hidden="1" customHeight="1">
      <c r="A5294" s="468">
        <v>45518</v>
      </c>
      <c r="B5294" s="208" t="s">
        <v>4427</v>
      </c>
      <c r="C5294" s="208" t="s">
        <v>27</v>
      </c>
      <c r="D5294" s="501">
        <v>-233126.61600000001</v>
      </c>
      <c r="E5294" s="212">
        <v>45505</v>
      </c>
      <c r="F5294" s="208" t="s">
        <v>109</v>
      </c>
      <c r="G5294" s="654" t="s">
        <v>2585</v>
      </c>
      <c r="H5294" s="208" t="s">
        <v>147</v>
      </c>
      <c r="I5294" s="208"/>
      <c r="J5294" s="209"/>
      <c r="K5294" s="209"/>
      <c r="L5294" s="209"/>
      <c r="M5294" s="209"/>
      <c r="N5294" s="209"/>
      <c r="O5294" s="209"/>
      <c r="P5294" s="209"/>
      <c r="Q5294" s="209"/>
      <c r="R5294" s="209"/>
      <c r="S5294" s="209"/>
      <c r="T5294" s="209"/>
    </row>
    <row r="5295" spans="1:20" ht="15" hidden="1" customHeight="1">
      <c r="A5295" s="468">
        <v>45518</v>
      </c>
      <c r="B5295" s="208" t="s">
        <v>4427</v>
      </c>
      <c r="C5295" s="208" t="s">
        <v>27</v>
      </c>
      <c r="D5295" s="501">
        <v>-233056.69199999998</v>
      </c>
      <c r="E5295" s="212">
        <v>45505</v>
      </c>
      <c r="F5295" s="201" t="s">
        <v>110</v>
      </c>
      <c r="G5295" s="201" t="s">
        <v>1489</v>
      </c>
      <c r="H5295" s="208" t="s">
        <v>147</v>
      </c>
      <c r="I5295" s="208"/>
      <c r="J5295" s="209"/>
      <c r="K5295" s="209"/>
      <c r="L5295" s="209"/>
      <c r="M5295" s="209"/>
      <c r="N5295" s="209"/>
      <c r="O5295" s="209"/>
      <c r="P5295" s="209"/>
      <c r="Q5295" s="209"/>
      <c r="R5295" s="209"/>
      <c r="S5295" s="209"/>
      <c r="T5295" s="209"/>
    </row>
    <row r="5296" spans="1:20" ht="15" hidden="1" customHeight="1">
      <c r="A5296" s="468">
        <v>45518</v>
      </c>
      <c r="B5296" s="208" t="s">
        <v>4427</v>
      </c>
      <c r="C5296" s="208" t="s">
        <v>27</v>
      </c>
      <c r="D5296" s="501">
        <v>-233056.69199999998</v>
      </c>
      <c r="E5296" s="212">
        <v>45505</v>
      </c>
      <c r="F5296" s="201" t="s">
        <v>110</v>
      </c>
      <c r="G5296" s="208" t="s">
        <v>4249</v>
      </c>
      <c r="H5296" s="208" t="s">
        <v>3637</v>
      </c>
      <c r="I5296" s="208"/>
      <c r="J5296" s="209"/>
      <c r="K5296" s="209"/>
      <c r="L5296" s="209"/>
      <c r="M5296" s="209"/>
      <c r="N5296" s="209"/>
      <c r="O5296" s="209"/>
      <c r="P5296" s="209"/>
      <c r="Q5296" s="209"/>
      <c r="R5296" s="209"/>
      <c r="S5296" s="209"/>
      <c r="T5296" s="209"/>
    </row>
    <row r="5297" spans="1:20" ht="15" hidden="1" customHeight="1">
      <c r="A5297" s="468">
        <v>45518</v>
      </c>
      <c r="B5297" s="208" t="s">
        <v>4428</v>
      </c>
      <c r="C5297" s="208" t="s">
        <v>27</v>
      </c>
      <c r="D5297" s="501">
        <v>-679000</v>
      </c>
      <c r="E5297" s="212">
        <v>45505</v>
      </c>
      <c r="F5297" s="201" t="s">
        <v>110</v>
      </c>
      <c r="G5297" s="201" t="s">
        <v>1489</v>
      </c>
      <c r="H5297" s="208" t="s">
        <v>147</v>
      </c>
      <c r="I5297" s="208"/>
      <c r="J5297" s="209"/>
      <c r="K5297" s="209"/>
      <c r="L5297" s="209"/>
      <c r="M5297" s="209"/>
      <c r="N5297" s="209"/>
      <c r="O5297" s="209"/>
      <c r="P5297" s="209"/>
      <c r="Q5297" s="209"/>
      <c r="R5297" s="209"/>
      <c r="S5297" s="209"/>
      <c r="T5297" s="209"/>
    </row>
    <row r="5298" spans="1:20" ht="15" hidden="1" customHeight="1">
      <c r="A5298" s="468">
        <v>45518</v>
      </c>
      <c r="B5298" s="208" t="s">
        <v>4429</v>
      </c>
      <c r="C5298" s="208" t="s">
        <v>27</v>
      </c>
      <c r="D5298" s="501">
        <v>-353858.76</v>
      </c>
      <c r="E5298" s="212">
        <v>45505</v>
      </c>
      <c r="F5298" s="208" t="s">
        <v>109</v>
      </c>
      <c r="G5298" s="654" t="s">
        <v>2585</v>
      </c>
      <c r="H5298" s="208" t="s">
        <v>508</v>
      </c>
      <c r="I5298" s="208"/>
      <c r="J5298" s="209"/>
      <c r="K5298" s="209"/>
      <c r="L5298" s="209"/>
      <c r="M5298" s="209"/>
      <c r="N5298" s="209"/>
      <c r="O5298" s="209"/>
      <c r="P5298" s="209"/>
      <c r="Q5298" s="209"/>
      <c r="R5298" s="209"/>
      <c r="S5298" s="209"/>
      <c r="T5298" s="209"/>
    </row>
    <row r="5299" spans="1:20" ht="15" hidden="1" customHeight="1">
      <c r="A5299" s="468">
        <v>45518</v>
      </c>
      <c r="B5299" s="208" t="s">
        <v>4429</v>
      </c>
      <c r="C5299" s="208" t="s">
        <v>27</v>
      </c>
      <c r="D5299" s="501">
        <v>-293770.62</v>
      </c>
      <c r="E5299" s="212">
        <v>45505</v>
      </c>
      <c r="F5299" s="201" t="s">
        <v>110</v>
      </c>
      <c r="G5299" s="201" t="s">
        <v>1489</v>
      </c>
      <c r="H5299" s="208" t="s">
        <v>508</v>
      </c>
      <c r="I5299" s="208"/>
      <c r="J5299" s="209"/>
      <c r="K5299" s="209"/>
      <c r="L5299" s="209"/>
      <c r="M5299" s="209"/>
      <c r="N5299" s="209"/>
      <c r="O5299" s="209"/>
      <c r="P5299" s="209"/>
      <c r="Q5299" s="209"/>
      <c r="R5299" s="209"/>
      <c r="S5299" s="209"/>
      <c r="T5299" s="209"/>
    </row>
    <row r="5300" spans="1:20" ht="15" hidden="1" customHeight="1">
      <c r="A5300" s="468">
        <v>45518</v>
      </c>
      <c r="B5300" s="208" t="s">
        <v>4429</v>
      </c>
      <c r="C5300" s="208" t="s">
        <v>27</v>
      </c>
      <c r="D5300" s="501">
        <v>-293770.62</v>
      </c>
      <c r="E5300" s="212">
        <v>45505</v>
      </c>
      <c r="F5300" s="201" t="s">
        <v>110</v>
      </c>
      <c r="G5300" s="208" t="s">
        <v>4249</v>
      </c>
      <c r="H5300" s="208" t="s">
        <v>508</v>
      </c>
      <c r="I5300" s="208"/>
      <c r="J5300" s="209"/>
      <c r="K5300" s="209"/>
      <c r="L5300" s="209"/>
      <c r="M5300" s="209"/>
      <c r="N5300" s="209"/>
      <c r="O5300" s="209"/>
      <c r="P5300" s="209"/>
      <c r="Q5300" s="209"/>
      <c r="R5300" s="209"/>
      <c r="S5300" s="209"/>
      <c r="T5300" s="209"/>
    </row>
    <row r="5301" spans="1:20" ht="15" hidden="1" customHeight="1">
      <c r="A5301" s="468">
        <v>45518</v>
      </c>
      <c r="B5301" s="208" t="s">
        <v>4430</v>
      </c>
      <c r="C5301" s="208" t="s">
        <v>27</v>
      </c>
      <c r="D5301" s="501">
        <v>-252297.11600000001</v>
      </c>
      <c r="E5301" s="212">
        <v>45505</v>
      </c>
      <c r="F5301" s="208" t="s">
        <v>109</v>
      </c>
      <c r="G5301" s="654" t="s">
        <v>2585</v>
      </c>
      <c r="H5301" s="208" t="s">
        <v>147</v>
      </c>
      <c r="I5301" s="208"/>
      <c r="J5301" s="209"/>
      <c r="K5301" s="209"/>
      <c r="L5301" s="209"/>
      <c r="M5301" s="209"/>
      <c r="N5301" s="209"/>
      <c r="O5301" s="209"/>
      <c r="P5301" s="209"/>
      <c r="Q5301" s="209"/>
      <c r="R5301" s="209"/>
      <c r="S5301" s="209"/>
      <c r="T5301" s="209"/>
    </row>
    <row r="5302" spans="1:20" ht="15" hidden="1" customHeight="1">
      <c r="A5302" s="468">
        <v>45518</v>
      </c>
      <c r="B5302" s="208" t="s">
        <v>4430</v>
      </c>
      <c r="C5302" s="208" t="s">
        <v>27</v>
      </c>
      <c r="D5302" s="501">
        <v>-252221.44199999998</v>
      </c>
      <c r="E5302" s="212">
        <v>45505</v>
      </c>
      <c r="F5302" s="201" t="s">
        <v>110</v>
      </c>
      <c r="G5302" s="201" t="s">
        <v>1489</v>
      </c>
      <c r="H5302" s="208" t="s">
        <v>147</v>
      </c>
      <c r="I5302" s="208"/>
      <c r="J5302" s="209"/>
      <c r="K5302" s="209"/>
      <c r="L5302" s="209"/>
      <c r="M5302" s="209"/>
      <c r="N5302" s="209"/>
      <c r="O5302" s="209"/>
      <c r="P5302" s="209"/>
      <c r="Q5302" s="209"/>
      <c r="R5302" s="209"/>
      <c r="S5302" s="209"/>
      <c r="T5302" s="209"/>
    </row>
    <row r="5303" spans="1:20" ht="15" hidden="1" customHeight="1">
      <c r="A5303" s="468">
        <v>45518</v>
      </c>
      <c r="B5303" s="208" t="s">
        <v>4430</v>
      </c>
      <c r="C5303" s="208" t="s">
        <v>27</v>
      </c>
      <c r="D5303" s="501">
        <v>-252221.44199999998</v>
      </c>
      <c r="E5303" s="212">
        <v>45505</v>
      </c>
      <c r="F5303" s="201" t="s">
        <v>110</v>
      </c>
      <c r="G5303" s="208" t="s">
        <v>4249</v>
      </c>
      <c r="H5303" s="208" t="s">
        <v>147</v>
      </c>
      <c r="I5303" s="208"/>
      <c r="J5303" s="209"/>
      <c r="K5303" s="209"/>
      <c r="L5303" s="209"/>
      <c r="M5303" s="209"/>
      <c r="N5303" s="209"/>
      <c r="O5303" s="209"/>
      <c r="P5303" s="209"/>
      <c r="Q5303" s="209"/>
      <c r="R5303" s="209"/>
      <c r="S5303" s="209"/>
      <c r="T5303" s="209"/>
    </row>
    <row r="5304" spans="1:20" ht="15" hidden="1" customHeight="1">
      <c r="A5304" s="468">
        <v>45518</v>
      </c>
      <c r="B5304" s="208" t="s">
        <v>4431</v>
      </c>
      <c r="C5304" s="208" t="s">
        <v>27</v>
      </c>
      <c r="D5304" s="501">
        <v>-1063000</v>
      </c>
      <c r="E5304" s="212">
        <v>45505</v>
      </c>
      <c r="F5304" s="208" t="s">
        <v>109</v>
      </c>
      <c r="G5304" s="654" t="s">
        <v>2585</v>
      </c>
      <c r="H5304" s="208" t="s">
        <v>147</v>
      </c>
      <c r="I5304" s="208"/>
      <c r="J5304" s="209"/>
      <c r="K5304" s="209"/>
      <c r="L5304" s="209"/>
      <c r="M5304" s="209"/>
      <c r="N5304" s="209"/>
      <c r="O5304" s="209"/>
      <c r="P5304" s="209"/>
      <c r="Q5304" s="209"/>
      <c r="R5304" s="209"/>
      <c r="S5304" s="209"/>
      <c r="T5304" s="209"/>
    </row>
    <row r="5305" spans="1:20" ht="15" hidden="1" customHeight="1">
      <c r="A5305" s="468">
        <v>45518</v>
      </c>
      <c r="B5305" s="208" t="s">
        <v>4432</v>
      </c>
      <c r="C5305" s="208" t="s">
        <v>27</v>
      </c>
      <c r="D5305" s="501">
        <v>-679000</v>
      </c>
      <c r="E5305" s="212">
        <v>45505</v>
      </c>
      <c r="F5305" s="208" t="s">
        <v>109</v>
      </c>
      <c r="G5305" s="654" t="s">
        <v>2585</v>
      </c>
      <c r="H5305" s="208" t="s">
        <v>147</v>
      </c>
      <c r="I5305" s="208"/>
      <c r="J5305" s="209"/>
      <c r="K5305" s="209"/>
      <c r="L5305" s="209"/>
      <c r="M5305" s="209"/>
      <c r="N5305" s="209"/>
      <c r="O5305" s="209"/>
      <c r="P5305" s="209"/>
      <c r="Q5305" s="209"/>
      <c r="R5305" s="209"/>
      <c r="S5305" s="209"/>
      <c r="T5305" s="209"/>
    </row>
    <row r="5306" spans="1:20" ht="15" hidden="1" customHeight="1">
      <c r="A5306" s="468">
        <v>45518</v>
      </c>
      <c r="B5306" s="208" t="s">
        <v>4433</v>
      </c>
      <c r="C5306" s="208" t="s">
        <v>27</v>
      </c>
      <c r="D5306" s="501">
        <v>-2024000</v>
      </c>
      <c r="E5306" s="212">
        <v>45505</v>
      </c>
      <c r="F5306" s="208" t="s">
        <v>130</v>
      </c>
      <c r="G5306" s="208" t="s">
        <v>130</v>
      </c>
      <c r="H5306" s="208" t="s">
        <v>1175</v>
      </c>
      <c r="I5306" s="208"/>
      <c r="J5306" s="209"/>
      <c r="K5306" s="209"/>
      <c r="L5306" s="209"/>
      <c r="M5306" s="209"/>
      <c r="N5306" s="209"/>
      <c r="O5306" s="209"/>
      <c r="P5306" s="209"/>
      <c r="Q5306" s="209"/>
      <c r="R5306" s="209"/>
      <c r="S5306" s="209"/>
      <c r="T5306" s="209"/>
    </row>
    <row r="5307" spans="1:20" ht="15" hidden="1" customHeight="1">
      <c r="A5307" s="468">
        <v>45518</v>
      </c>
      <c r="B5307" s="208" t="s">
        <v>4434</v>
      </c>
      <c r="C5307" s="208" t="s">
        <v>27</v>
      </c>
      <c r="D5307" s="501">
        <v>-817000</v>
      </c>
      <c r="E5307" s="212">
        <v>45505</v>
      </c>
      <c r="F5307" s="208" t="s">
        <v>130</v>
      </c>
      <c r="G5307" s="208" t="s">
        <v>130</v>
      </c>
      <c r="H5307" s="208" t="s">
        <v>1175</v>
      </c>
      <c r="I5307" s="208"/>
      <c r="J5307" s="209"/>
      <c r="K5307" s="209"/>
      <c r="L5307" s="209"/>
      <c r="M5307" s="209"/>
      <c r="N5307" s="209"/>
      <c r="O5307" s="209"/>
      <c r="P5307" s="209"/>
      <c r="Q5307" s="209"/>
      <c r="R5307" s="209"/>
      <c r="S5307" s="209"/>
      <c r="T5307" s="209"/>
    </row>
    <row r="5308" spans="1:20" ht="15" hidden="1" customHeight="1">
      <c r="A5308" s="468">
        <v>45518</v>
      </c>
      <c r="B5308" s="208" t="s">
        <v>4435</v>
      </c>
      <c r="C5308" s="208" t="s">
        <v>27</v>
      </c>
      <c r="D5308" s="501">
        <v>-650000</v>
      </c>
      <c r="E5308" s="212">
        <v>45505</v>
      </c>
      <c r="F5308" s="208" t="s">
        <v>130</v>
      </c>
      <c r="G5308" s="208" t="s">
        <v>130</v>
      </c>
      <c r="H5308" s="208" t="s">
        <v>1175</v>
      </c>
      <c r="I5308" s="208"/>
      <c r="J5308" s="209"/>
      <c r="K5308" s="209"/>
      <c r="L5308" s="209"/>
      <c r="M5308" s="209"/>
      <c r="N5308" s="209"/>
      <c r="O5308" s="209"/>
      <c r="P5308" s="209"/>
      <c r="Q5308" s="209"/>
      <c r="R5308" s="209"/>
      <c r="S5308" s="209"/>
      <c r="T5308" s="209"/>
    </row>
    <row r="5309" spans="1:20" ht="15" hidden="1" customHeight="1">
      <c r="A5309" s="468">
        <v>45518</v>
      </c>
      <c r="B5309" s="208" t="s">
        <v>4436</v>
      </c>
      <c r="C5309" s="208" t="s">
        <v>27</v>
      </c>
      <c r="D5309" s="501">
        <v>-817000</v>
      </c>
      <c r="E5309" s="212">
        <v>45505</v>
      </c>
      <c r="F5309" s="201" t="s">
        <v>110</v>
      </c>
      <c r="G5309" s="201" t="s">
        <v>1489</v>
      </c>
      <c r="H5309" s="208" t="s">
        <v>147</v>
      </c>
      <c r="I5309" s="208"/>
      <c r="J5309" s="209"/>
      <c r="K5309" s="209"/>
      <c r="L5309" s="209"/>
      <c r="M5309" s="209"/>
      <c r="N5309" s="209"/>
      <c r="O5309" s="209"/>
      <c r="P5309" s="209"/>
      <c r="Q5309" s="209"/>
      <c r="R5309" s="209"/>
      <c r="S5309" s="209"/>
      <c r="T5309" s="209"/>
    </row>
    <row r="5310" spans="1:20" ht="15" hidden="1" customHeight="1">
      <c r="A5310" s="468">
        <v>45518</v>
      </c>
      <c r="B5310" s="208" t="s">
        <v>4437</v>
      </c>
      <c r="C5310" s="208" t="s">
        <v>27</v>
      </c>
      <c r="D5310" s="501">
        <v>-679000</v>
      </c>
      <c r="E5310" s="212">
        <v>45505</v>
      </c>
      <c r="F5310" s="208" t="s">
        <v>109</v>
      </c>
      <c r="G5310" s="201" t="s">
        <v>581</v>
      </c>
      <c r="H5310" s="208" t="s">
        <v>147</v>
      </c>
      <c r="I5310" s="208"/>
      <c r="J5310" s="209"/>
      <c r="K5310" s="209"/>
      <c r="L5310" s="209"/>
      <c r="M5310" s="209"/>
      <c r="N5310" s="209"/>
      <c r="O5310" s="209"/>
      <c r="P5310" s="209"/>
      <c r="Q5310" s="209"/>
      <c r="R5310" s="209"/>
      <c r="S5310" s="209"/>
      <c r="T5310" s="209"/>
    </row>
    <row r="5311" spans="1:20" ht="15" hidden="1" customHeight="1">
      <c r="A5311" s="468">
        <v>45518</v>
      </c>
      <c r="B5311" s="208" t="s">
        <v>4438</v>
      </c>
      <c r="C5311" s="208" t="s">
        <v>27</v>
      </c>
      <c r="D5311" s="501">
        <v>-679000</v>
      </c>
      <c r="E5311" s="212">
        <v>45505</v>
      </c>
      <c r="F5311" s="208" t="s">
        <v>207</v>
      </c>
      <c r="G5311" s="208"/>
      <c r="H5311" s="208"/>
      <c r="I5311" s="208"/>
      <c r="J5311" s="209"/>
      <c r="K5311" s="209"/>
      <c r="L5311" s="209"/>
      <c r="M5311" s="209"/>
      <c r="N5311" s="209"/>
      <c r="O5311" s="209"/>
      <c r="P5311" s="209"/>
      <c r="Q5311" s="209"/>
      <c r="R5311" s="209"/>
      <c r="S5311" s="209"/>
      <c r="T5311" s="209"/>
    </row>
    <row r="5312" spans="1:20" ht="15" hidden="1" customHeight="1">
      <c r="A5312" s="468">
        <v>45518</v>
      </c>
      <c r="B5312" s="208" t="s">
        <v>4439</v>
      </c>
      <c r="C5312" s="208" t="s">
        <v>27</v>
      </c>
      <c r="D5312" s="501">
        <v>-673600</v>
      </c>
      <c r="E5312" s="212">
        <v>45505</v>
      </c>
      <c r="F5312" s="201" t="s">
        <v>110</v>
      </c>
      <c r="G5312" s="208" t="s">
        <v>4249</v>
      </c>
      <c r="H5312" s="208" t="s">
        <v>147</v>
      </c>
      <c r="I5312" s="208"/>
      <c r="J5312" s="209"/>
      <c r="K5312" s="209"/>
      <c r="L5312" s="209"/>
      <c r="M5312" s="209"/>
      <c r="N5312" s="209"/>
      <c r="O5312" s="209"/>
      <c r="P5312" s="209"/>
      <c r="Q5312" s="209"/>
      <c r="R5312" s="209"/>
      <c r="S5312" s="209"/>
      <c r="T5312" s="209"/>
    </row>
    <row r="5313" spans="1:20" ht="15" hidden="1" customHeight="1">
      <c r="A5313" s="468">
        <v>45518</v>
      </c>
      <c r="B5313" s="208" t="s">
        <v>4440</v>
      </c>
      <c r="C5313" s="208" t="s">
        <v>27</v>
      </c>
      <c r="D5313" s="501">
        <v>-909000</v>
      </c>
      <c r="E5313" s="212">
        <v>45505</v>
      </c>
      <c r="F5313" s="201" t="s">
        <v>110</v>
      </c>
      <c r="G5313" s="208" t="s">
        <v>4249</v>
      </c>
      <c r="H5313" s="208" t="s">
        <v>147</v>
      </c>
      <c r="I5313" s="208"/>
      <c r="J5313" s="209"/>
      <c r="K5313" s="209"/>
      <c r="L5313" s="209"/>
      <c r="M5313" s="209"/>
      <c r="N5313" s="209"/>
      <c r="O5313" s="209"/>
      <c r="P5313" s="209"/>
      <c r="Q5313" s="209"/>
      <c r="R5313" s="209"/>
      <c r="S5313" s="209"/>
      <c r="T5313" s="209"/>
    </row>
    <row r="5314" spans="1:20" ht="15" hidden="1" customHeight="1">
      <c r="A5314" s="468">
        <v>45518</v>
      </c>
      <c r="B5314" s="208" t="s">
        <v>4441</v>
      </c>
      <c r="C5314" s="208" t="s">
        <v>27</v>
      </c>
      <c r="D5314" s="501">
        <v>-679000</v>
      </c>
      <c r="E5314" s="212">
        <v>45505</v>
      </c>
      <c r="F5314" s="201" t="s">
        <v>110</v>
      </c>
      <c r="G5314" s="201" t="s">
        <v>1489</v>
      </c>
      <c r="H5314" s="208" t="s">
        <v>147</v>
      </c>
      <c r="I5314" s="208"/>
      <c r="J5314" s="209"/>
      <c r="K5314" s="209"/>
      <c r="L5314" s="209"/>
      <c r="M5314" s="209"/>
      <c r="N5314" s="209"/>
      <c r="O5314" s="209"/>
      <c r="P5314" s="209"/>
      <c r="Q5314" s="209"/>
      <c r="R5314" s="209"/>
      <c r="S5314" s="209"/>
      <c r="T5314" s="209"/>
    </row>
    <row r="5315" spans="1:20" ht="15" hidden="1" customHeight="1">
      <c r="A5315" s="468">
        <v>45518</v>
      </c>
      <c r="B5315" s="208" t="s">
        <v>4442</v>
      </c>
      <c r="C5315" s="208" t="s">
        <v>27</v>
      </c>
      <c r="D5315" s="501">
        <v>-487500</v>
      </c>
      <c r="E5315" s="212">
        <v>45505</v>
      </c>
      <c r="F5315" s="208" t="s">
        <v>130</v>
      </c>
      <c r="G5315" s="208" t="s">
        <v>130</v>
      </c>
      <c r="H5315" s="208" t="s">
        <v>1175</v>
      </c>
      <c r="I5315" s="208"/>
      <c r="J5315" s="209"/>
      <c r="K5315" s="209"/>
      <c r="L5315" s="209"/>
      <c r="M5315" s="209"/>
      <c r="N5315" s="209"/>
      <c r="O5315" s="209"/>
      <c r="P5315" s="209"/>
      <c r="Q5315" s="209"/>
      <c r="R5315" s="209"/>
      <c r="S5315" s="209"/>
      <c r="T5315" s="209"/>
    </row>
    <row r="5316" spans="1:20" ht="15" hidden="1" customHeight="1">
      <c r="A5316" s="468">
        <v>45518</v>
      </c>
      <c r="B5316" s="208" t="s">
        <v>4443</v>
      </c>
      <c r="C5316" s="208" t="s">
        <v>27</v>
      </c>
      <c r="D5316" s="501">
        <v>-679000</v>
      </c>
      <c r="E5316" s="212">
        <v>45505</v>
      </c>
      <c r="F5316" s="208" t="s">
        <v>109</v>
      </c>
      <c r="G5316" s="201" t="s">
        <v>581</v>
      </c>
      <c r="H5316" s="208" t="s">
        <v>147</v>
      </c>
      <c r="I5316" s="208"/>
      <c r="J5316" s="209"/>
      <c r="K5316" s="209"/>
      <c r="L5316" s="209"/>
      <c r="M5316" s="209"/>
      <c r="N5316" s="209"/>
      <c r="O5316" s="209"/>
      <c r="P5316" s="209"/>
      <c r="Q5316" s="209"/>
      <c r="R5316" s="209"/>
      <c r="S5316" s="209"/>
      <c r="T5316" s="209"/>
    </row>
    <row r="5317" spans="1:20" ht="15" hidden="1" customHeight="1">
      <c r="A5317" s="468">
        <v>45518</v>
      </c>
      <c r="B5317" s="208" t="s">
        <v>4444</v>
      </c>
      <c r="C5317" s="208" t="s">
        <v>27</v>
      </c>
      <c r="D5317" s="501">
        <v>-1038260</v>
      </c>
      <c r="E5317" s="212">
        <v>45505</v>
      </c>
      <c r="F5317" s="208" t="s">
        <v>109</v>
      </c>
      <c r="G5317" s="201" t="s">
        <v>581</v>
      </c>
      <c r="H5317" s="208" t="s">
        <v>147</v>
      </c>
      <c r="I5317" s="208"/>
      <c r="J5317" s="209"/>
      <c r="K5317" s="209"/>
      <c r="L5317" s="209"/>
      <c r="M5317" s="209"/>
      <c r="N5317" s="209"/>
      <c r="O5317" s="209"/>
      <c r="P5317" s="209"/>
      <c r="Q5317" s="209"/>
      <c r="R5317" s="209"/>
      <c r="S5317" s="209"/>
      <c r="T5317" s="209"/>
    </row>
    <row r="5318" spans="1:20" ht="15" hidden="1" customHeight="1">
      <c r="A5318" s="468">
        <v>45518</v>
      </c>
      <c r="B5318" s="208" t="s">
        <v>4445</v>
      </c>
      <c r="C5318" s="208" t="s">
        <v>27</v>
      </c>
      <c r="D5318" s="501">
        <v>-1228700</v>
      </c>
      <c r="E5318" s="212">
        <v>45505</v>
      </c>
      <c r="F5318" s="208" t="s">
        <v>207</v>
      </c>
      <c r="G5318" s="208"/>
      <c r="H5318" s="208"/>
      <c r="I5318" s="208"/>
      <c r="J5318" s="209"/>
      <c r="K5318" s="209"/>
      <c r="L5318" s="209"/>
      <c r="M5318" s="209"/>
      <c r="N5318" s="209"/>
      <c r="O5318" s="209"/>
      <c r="P5318" s="209"/>
      <c r="Q5318" s="209"/>
      <c r="R5318" s="209"/>
      <c r="S5318" s="209"/>
      <c r="T5318" s="209"/>
    </row>
    <row r="5319" spans="1:20" ht="15" hidden="1" customHeight="1">
      <c r="A5319" s="468">
        <v>45518</v>
      </c>
      <c r="B5319" s="208" t="s">
        <v>4446</v>
      </c>
      <c r="C5319" s="208" t="s">
        <v>27</v>
      </c>
      <c r="D5319" s="501">
        <v>-679000</v>
      </c>
      <c r="E5319" s="212">
        <v>45505</v>
      </c>
      <c r="F5319" s="208" t="s">
        <v>109</v>
      </c>
      <c r="G5319" s="201" t="s">
        <v>581</v>
      </c>
      <c r="H5319" s="208" t="s">
        <v>147</v>
      </c>
      <c r="I5319" s="208"/>
      <c r="J5319" s="209"/>
      <c r="K5319" s="209"/>
      <c r="L5319" s="209"/>
      <c r="M5319" s="209"/>
      <c r="N5319" s="209"/>
      <c r="O5319" s="209"/>
      <c r="P5319" s="209"/>
      <c r="Q5319" s="209"/>
      <c r="R5319" s="209"/>
      <c r="S5319" s="209"/>
      <c r="T5319" s="209"/>
    </row>
    <row r="5320" spans="1:20" ht="15" hidden="1" customHeight="1">
      <c r="A5320" s="468">
        <v>45518</v>
      </c>
      <c r="B5320" s="208" t="s">
        <v>4447</v>
      </c>
      <c r="C5320" s="208" t="s">
        <v>27</v>
      </c>
      <c r="D5320" s="718">
        <v>-771000</v>
      </c>
      <c r="E5320" s="212">
        <v>45505</v>
      </c>
      <c r="F5320" s="208" t="s">
        <v>109</v>
      </c>
      <c r="G5320" s="201" t="s">
        <v>581</v>
      </c>
      <c r="H5320" s="208" t="s">
        <v>147</v>
      </c>
      <c r="I5320" s="208"/>
      <c r="J5320" s="209"/>
      <c r="K5320" s="209"/>
      <c r="L5320" s="209"/>
      <c r="M5320" s="209"/>
      <c r="N5320" s="209"/>
      <c r="O5320" s="209"/>
      <c r="P5320" s="209"/>
      <c r="Q5320" s="209"/>
      <c r="R5320" s="209"/>
      <c r="S5320" s="209"/>
      <c r="T5320" s="209"/>
    </row>
    <row r="5321" spans="1:20" ht="15" hidden="1" customHeight="1">
      <c r="A5321" s="468">
        <v>45518</v>
      </c>
      <c r="B5321" s="208" t="s">
        <v>4448</v>
      </c>
      <c r="C5321" s="208" t="s">
        <v>27</v>
      </c>
      <c r="D5321" s="501">
        <v>-817000</v>
      </c>
      <c r="E5321" s="212">
        <v>45505</v>
      </c>
      <c r="F5321" s="208" t="s">
        <v>109</v>
      </c>
      <c r="G5321" s="201" t="s">
        <v>581</v>
      </c>
      <c r="H5321" s="208" t="s">
        <v>147</v>
      </c>
      <c r="I5321" s="208"/>
      <c r="J5321" s="209"/>
      <c r="K5321" s="209"/>
      <c r="L5321" s="209"/>
      <c r="M5321" s="209"/>
      <c r="N5321" s="209"/>
      <c r="O5321" s="209"/>
      <c r="P5321" s="209"/>
      <c r="Q5321" s="209"/>
      <c r="R5321" s="209"/>
      <c r="S5321" s="209"/>
      <c r="T5321" s="209"/>
    </row>
    <row r="5322" spans="1:20" ht="15" hidden="1" customHeight="1">
      <c r="A5322" s="468">
        <v>45518</v>
      </c>
      <c r="B5322" s="208" t="s">
        <v>4449</v>
      </c>
      <c r="C5322" s="208" t="s">
        <v>27</v>
      </c>
      <c r="D5322" s="501">
        <v>-679000</v>
      </c>
      <c r="E5322" s="212">
        <v>45505</v>
      </c>
      <c r="F5322" s="208" t="s">
        <v>109</v>
      </c>
      <c r="G5322" s="201" t="s">
        <v>581</v>
      </c>
      <c r="H5322" s="208" t="s">
        <v>147</v>
      </c>
      <c r="I5322" s="208"/>
      <c r="J5322" s="209"/>
      <c r="K5322" s="209"/>
      <c r="L5322" s="209"/>
      <c r="M5322" s="209"/>
      <c r="N5322" s="209"/>
      <c r="O5322" s="209"/>
      <c r="P5322" s="209"/>
      <c r="Q5322" s="209"/>
      <c r="R5322" s="209"/>
      <c r="S5322" s="209"/>
      <c r="T5322" s="209"/>
    </row>
    <row r="5323" spans="1:20" ht="15" hidden="1" customHeight="1">
      <c r="A5323" s="468">
        <v>45518</v>
      </c>
      <c r="B5323" s="208" t="s">
        <v>4450</v>
      </c>
      <c r="C5323" s="208" t="s">
        <v>27</v>
      </c>
      <c r="D5323" s="501">
        <v>-679000</v>
      </c>
      <c r="E5323" s="212">
        <v>45505</v>
      </c>
      <c r="F5323" s="208" t="s">
        <v>109</v>
      </c>
      <c r="G5323" s="201" t="s">
        <v>581</v>
      </c>
      <c r="H5323" s="208" t="s">
        <v>147</v>
      </c>
      <c r="I5323" s="208"/>
      <c r="J5323" s="209"/>
      <c r="K5323" s="209"/>
      <c r="L5323" s="209"/>
      <c r="M5323" s="209"/>
      <c r="N5323" s="209"/>
      <c r="O5323" s="209"/>
      <c r="P5323" s="209"/>
      <c r="Q5323" s="209"/>
      <c r="R5323" s="209"/>
      <c r="S5323" s="209"/>
      <c r="T5323" s="209"/>
    </row>
    <row r="5324" spans="1:20" ht="15" hidden="1" customHeight="1">
      <c r="A5324" s="468">
        <v>45518</v>
      </c>
      <c r="B5324" s="208" t="s">
        <v>4451</v>
      </c>
      <c r="C5324" s="208" t="s">
        <v>27</v>
      </c>
      <c r="D5324" s="501">
        <v>-679000</v>
      </c>
      <c r="E5324" s="212">
        <v>45505</v>
      </c>
      <c r="F5324" s="208" t="s">
        <v>109</v>
      </c>
      <c r="G5324" s="201" t="s">
        <v>581</v>
      </c>
      <c r="H5324" s="208" t="s">
        <v>147</v>
      </c>
      <c r="I5324" s="208"/>
      <c r="J5324" s="209"/>
      <c r="K5324" s="209"/>
      <c r="L5324" s="209"/>
      <c r="M5324" s="209"/>
      <c r="N5324" s="209"/>
      <c r="O5324" s="209"/>
      <c r="P5324" s="209"/>
      <c r="Q5324" s="209"/>
      <c r="R5324" s="209"/>
      <c r="S5324" s="209"/>
      <c r="T5324" s="209"/>
    </row>
    <row r="5325" spans="1:20" ht="15" hidden="1" customHeight="1">
      <c r="A5325" s="468">
        <v>45518</v>
      </c>
      <c r="B5325" s="208" t="s">
        <v>4452</v>
      </c>
      <c r="C5325" s="208" t="s">
        <v>27</v>
      </c>
      <c r="D5325" s="501">
        <v>-679000</v>
      </c>
      <c r="E5325" s="212">
        <v>45505</v>
      </c>
      <c r="F5325" s="208" t="s">
        <v>109</v>
      </c>
      <c r="G5325" s="201" t="s">
        <v>581</v>
      </c>
      <c r="H5325" s="208" t="s">
        <v>147</v>
      </c>
      <c r="I5325" s="208"/>
      <c r="J5325" s="209"/>
      <c r="K5325" s="209"/>
      <c r="L5325" s="209"/>
      <c r="M5325" s="209"/>
      <c r="N5325" s="209"/>
      <c r="O5325" s="209"/>
      <c r="P5325" s="209"/>
      <c r="Q5325" s="209"/>
      <c r="R5325" s="209"/>
      <c r="S5325" s="209"/>
      <c r="T5325" s="209"/>
    </row>
    <row r="5326" spans="1:20" ht="15" hidden="1" customHeight="1">
      <c r="A5326" s="468">
        <v>45518</v>
      </c>
      <c r="B5326" s="208" t="s">
        <v>4453</v>
      </c>
      <c r="C5326" s="208" t="s">
        <v>27</v>
      </c>
      <c r="D5326" s="501">
        <v>-679000</v>
      </c>
      <c r="E5326" s="212">
        <v>45505</v>
      </c>
      <c r="F5326" s="208" t="s">
        <v>109</v>
      </c>
      <c r="G5326" s="201" t="s">
        <v>581</v>
      </c>
      <c r="H5326" s="208" t="s">
        <v>147</v>
      </c>
      <c r="I5326" s="208"/>
      <c r="J5326" s="209"/>
      <c r="K5326" s="209"/>
      <c r="L5326" s="209"/>
      <c r="M5326" s="209"/>
      <c r="N5326" s="209"/>
      <c r="O5326" s="209"/>
      <c r="P5326" s="209"/>
      <c r="Q5326" s="209"/>
      <c r="R5326" s="209"/>
      <c r="S5326" s="209"/>
      <c r="T5326" s="209"/>
    </row>
    <row r="5327" spans="1:20" ht="15" hidden="1" customHeight="1">
      <c r="A5327" s="468">
        <v>45518</v>
      </c>
      <c r="B5327" s="208" t="s">
        <v>4454</v>
      </c>
      <c r="C5327" s="208" t="s">
        <v>27</v>
      </c>
      <c r="D5327" s="501">
        <v>-679000</v>
      </c>
      <c r="E5327" s="212">
        <v>45505</v>
      </c>
      <c r="F5327" s="208" t="s">
        <v>130</v>
      </c>
      <c r="G5327" s="208" t="s">
        <v>130</v>
      </c>
      <c r="H5327" s="208" t="s">
        <v>1175</v>
      </c>
      <c r="I5327" s="208"/>
      <c r="J5327" s="209"/>
      <c r="K5327" s="209"/>
      <c r="L5327" s="209"/>
      <c r="M5327" s="209"/>
      <c r="N5327" s="209"/>
      <c r="O5327" s="209"/>
      <c r="P5327" s="209"/>
      <c r="Q5327" s="209"/>
      <c r="R5327" s="209"/>
      <c r="S5327" s="209"/>
      <c r="T5327" s="209"/>
    </row>
    <row r="5328" spans="1:20" ht="15" hidden="1" customHeight="1">
      <c r="A5328" s="468">
        <v>45518</v>
      </c>
      <c r="B5328" s="208" t="s">
        <v>4455</v>
      </c>
      <c r="C5328" s="208" t="s">
        <v>27</v>
      </c>
      <c r="D5328" s="501">
        <v>-476378.60000000003</v>
      </c>
      <c r="E5328" s="212">
        <v>45505</v>
      </c>
      <c r="F5328" s="208" t="s">
        <v>109</v>
      </c>
      <c r="G5328" s="654" t="s">
        <v>2585</v>
      </c>
      <c r="H5328" s="208" t="s">
        <v>508</v>
      </c>
      <c r="I5328" s="208"/>
      <c r="J5328" s="209"/>
      <c r="K5328" s="209"/>
      <c r="L5328" s="209"/>
      <c r="M5328" s="209"/>
      <c r="N5328" s="209"/>
      <c r="O5328" s="209"/>
      <c r="P5328" s="209"/>
      <c r="Q5328" s="209"/>
      <c r="R5328" s="209"/>
      <c r="S5328" s="209"/>
      <c r="T5328" s="209"/>
    </row>
    <row r="5329" spans="1:20" ht="15" hidden="1" customHeight="1">
      <c r="A5329" s="468">
        <v>45518</v>
      </c>
      <c r="B5329" s="208" t="s">
        <v>4455</v>
      </c>
      <c r="C5329" s="208" t="s">
        <v>27</v>
      </c>
      <c r="D5329" s="501">
        <v>-226310.69999999998</v>
      </c>
      <c r="E5329" s="212">
        <v>45505</v>
      </c>
      <c r="F5329" s="201" t="s">
        <v>110</v>
      </c>
      <c r="G5329" s="201" t="s">
        <v>1489</v>
      </c>
      <c r="H5329" s="208" t="s">
        <v>508</v>
      </c>
      <c r="I5329" s="208"/>
      <c r="J5329" s="209"/>
      <c r="K5329" s="209"/>
      <c r="L5329" s="209"/>
      <c r="M5329" s="209"/>
      <c r="N5329" s="209"/>
      <c r="O5329" s="209"/>
      <c r="P5329" s="209"/>
      <c r="Q5329" s="209"/>
      <c r="R5329" s="209"/>
      <c r="S5329" s="209"/>
      <c r="T5329" s="209"/>
    </row>
    <row r="5330" spans="1:20" ht="15" hidden="1" customHeight="1">
      <c r="A5330" s="468">
        <v>45518</v>
      </c>
      <c r="B5330" s="208" t="s">
        <v>4455</v>
      </c>
      <c r="C5330" s="208" t="s">
        <v>27</v>
      </c>
      <c r="D5330" s="501">
        <v>-226310.69999999998</v>
      </c>
      <c r="E5330" s="212">
        <v>45505</v>
      </c>
      <c r="F5330" s="201" t="s">
        <v>110</v>
      </c>
      <c r="G5330" s="208" t="s">
        <v>4249</v>
      </c>
      <c r="H5330" s="208" t="s">
        <v>508</v>
      </c>
      <c r="I5330" s="208"/>
      <c r="J5330" s="209"/>
      <c r="K5330" s="209"/>
      <c r="L5330" s="209"/>
      <c r="M5330" s="209"/>
      <c r="N5330" s="209"/>
      <c r="O5330" s="209"/>
      <c r="P5330" s="209"/>
      <c r="Q5330" s="209"/>
      <c r="R5330" s="209"/>
      <c r="S5330" s="209"/>
      <c r="T5330" s="209"/>
    </row>
    <row r="5331" spans="1:20" ht="15" hidden="1" customHeight="1">
      <c r="A5331" s="468">
        <v>45518</v>
      </c>
      <c r="B5331" s="208" t="s">
        <v>4456</v>
      </c>
      <c r="C5331" s="208" t="s">
        <v>27</v>
      </c>
      <c r="D5331" s="501">
        <v>-679000</v>
      </c>
      <c r="E5331" s="212">
        <v>45505</v>
      </c>
      <c r="F5331" s="208" t="s">
        <v>109</v>
      </c>
      <c r="G5331" s="654" t="s">
        <v>2585</v>
      </c>
      <c r="H5331" s="208" t="s">
        <v>147</v>
      </c>
      <c r="I5331" s="208"/>
      <c r="J5331" s="209"/>
      <c r="K5331" s="209"/>
      <c r="L5331" s="209"/>
      <c r="M5331" s="209"/>
      <c r="N5331" s="209"/>
      <c r="O5331" s="209"/>
      <c r="P5331" s="209"/>
      <c r="Q5331" s="209"/>
      <c r="R5331" s="209"/>
      <c r="S5331" s="209"/>
      <c r="T5331" s="209"/>
    </row>
    <row r="5332" spans="1:20" ht="15" hidden="1" customHeight="1">
      <c r="A5332" s="468">
        <v>45518</v>
      </c>
      <c r="B5332" s="208" t="s">
        <v>4457</v>
      </c>
      <c r="C5332" s="208" t="s">
        <v>27</v>
      </c>
      <c r="D5332" s="501">
        <v>-679000</v>
      </c>
      <c r="E5332" s="212">
        <v>45505</v>
      </c>
      <c r="F5332" s="201" t="s">
        <v>110</v>
      </c>
      <c r="G5332" s="208" t="s">
        <v>4249</v>
      </c>
      <c r="H5332" s="208" t="s">
        <v>147</v>
      </c>
      <c r="I5332" s="208"/>
      <c r="J5332" s="209"/>
      <c r="K5332" s="209"/>
      <c r="L5332" s="209"/>
      <c r="M5332" s="209"/>
      <c r="N5332" s="209"/>
      <c r="O5332" s="209"/>
      <c r="P5332" s="209"/>
      <c r="Q5332" s="209"/>
      <c r="R5332" s="209"/>
      <c r="S5332" s="209"/>
      <c r="T5332" s="209"/>
    </row>
    <row r="5333" spans="1:20" ht="15" hidden="1" customHeight="1">
      <c r="A5333" s="468">
        <v>45518</v>
      </c>
      <c r="B5333" s="208" t="s">
        <v>4458</v>
      </c>
      <c r="C5333" s="208" t="s">
        <v>27</v>
      </c>
      <c r="D5333" s="501">
        <v>-719300</v>
      </c>
      <c r="E5333" s="212">
        <v>45505</v>
      </c>
      <c r="F5333" s="208" t="s">
        <v>109</v>
      </c>
      <c r="G5333" s="654" t="s">
        <v>2585</v>
      </c>
      <c r="H5333" s="208" t="s">
        <v>147</v>
      </c>
      <c r="I5333" s="208"/>
      <c r="J5333" s="209"/>
      <c r="K5333" s="209"/>
      <c r="L5333" s="209"/>
      <c r="M5333" s="209"/>
      <c r="N5333" s="209"/>
      <c r="O5333" s="209"/>
      <c r="P5333" s="209"/>
      <c r="Q5333" s="209"/>
      <c r="R5333" s="209"/>
      <c r="S5333" s="209"/>
      <c r="T5333" s="209"/>
    </row>
    <row r="5334" spans="1:20" ht="15" hidden="1" customHeight="1">
      <c r="A5334" s="468">
        <v>45518</v>
      </c>
      <c r="B5334" s="208" t="s">
        <v>4459</v>
      </c>
      <c r="C5334" s="208" t="s">
        <v>27</v>
      </c>
      <c r="D5334" s="501">
        <v>-679000</v>
      </c>
      <c r="E5334" s="212">
        <v>45505</v>
      </c>
      <c r="F5334" s="201" t="s">
        <v>110</v>
      </c>
      <c r="G5334" s="201" t="s">
        <v>1489</v>
      </c>
      <c r="H5334" s="208" t="s">
        <v>147</v>
      </c>
      <c r="I5334" s="208"/>
      <c r="J5334" s="209"/>
      <c r="K5334" s="209"/>
      <c r="L5334" s="209"/>
      <c r="M5334" s="209"/>
      <c r="N5334" s="209"/>
      <c r="O5334" s="209"/>
      <c r="P5334" s="209"/>
      <c r="Q5334" s="209"/>
      <c r="R5334" s="209"/>
      <c r="S5334" s="209"/>
      <c r="T5334" s="209"/>
    </row>
    <row r="5335" spans="1:20" ht="15" hidden="1" customHeight="1">
      <c r="A5335" s="468">
        <v>45518</v>
      </c>
      <c r="B5335" s="208" t="s">
        <v>4460</v>
      </c>
      <c r="C5335" s="208" t="s">
        <v>27</v>
      </c>
      <c r="D5335" s="501">
        <v>-679000</v>
      </c>
      <c r="E5335" s="212">
        <v>45505</v>
      </c>
      <c r="F5335" s="201" t="s">
        <v>110</v>
      </c>
      <c r="G5335" s="208" t="s">
        <v>4249</v>
      </c>
      <c r="H5335" s="208" t="s">
        <v>147</v>
      </c>
      <c r="I5335" s="208"/>
      <c r="J5335" s="209"/>
      <c r="K5335" s="209"/>
      <c r="L5335" s="209"/>
      <c r="M5335" s="209"/>
      <c r="N5335" s="209"/>
      <c r="O5335" s="209"/>
      <c r="P5335" s="209"/>
      <c r="Q5335" s="209"/>
      <c r="R5335" s="209"/>
      <c r="S5335" s="209"/>
      <c r="T5335" s="209"/>
    </row>
    <row r="5336" spans="1:20" ht="15" hidden="1" customHeight="1">
      <c r="A5336" s="468">
        <v>45518</v>
      </c>
      <c r="B5336" s="208" t="s">
        <v>4461</v>
      </c>
      <c r="C5336" s="208" t="s">
        <v>27</v>
      </c>
      <c r="D5336" s="501">
        <v>-452666.66666666669</v>
      </c>
      <c r="E5336" s="212">
        <v>45505</v>
      </c>
      <c r="F5336" s="208" t="s">
        <v>207</v>
      </c>
      <c r="G5336" s="208"/>
      <c r="H5336" s="208"/>
      <c r="I5336" s="208"/>
      <c r="J5336" s="209"/>
      <c r="K5336" s="209"/>
      <c r="L5336" s="209"/>
      <c r="M5336" s="209"/>
      <c r="N5336" s="209"/>
      <c r="O5336" s="209"/>
      <c r="P5336" s="209"/>
      <c r="Q5336" s="209"/>
      <c r="R5336" s="209"/>
      <c r="S5336" s="209"/>
      <c r="T5336" s="209"/>
    </row>
    <row r="5337" spans="1:20" ht="15" hidden="1" customHeight="1">
      <c r="A5337" s="468">
        <v>45518</v>
      </c>
      <c r="B5337" s="208" t="s">
        <v>4462</v>
      </c>
      <c r="C5337" s="208" t="s">
        <v>27</v>
      </c>
      <c r="D5337" s="501">
        <v>-188504.36000000002</v>
      </c>
      <c r="E5337" s="212">
        <v>45505</v>
      </c>
      <c r="F5337" s="208" t="s">
        <v>109</v>
      </c>
      <c r="G5337" s="654" t="s">
        <v>2585</v>
      </c>
      <c r="H5337" s="208" t="s">
        <v>147</v>
      </c>
      <c r="I5337" s="208"/>
      <c r="J5337" s="209"/>
      <c r="K5337" s="209"/>
      <c r="L5337" s="209"/>
      <c r="M5337" s="209"/>
      <c r="N5337" s="209"/>
      <c r="O5337" s="209"/>
      <c r="P5337" s="209"/>
      <c r="Q5337" s="209"/>
      <c r="R5337" s="209"/>
      <c r="S5337" s="209"/>
      <c r="T5337" s="209"/>
    </row>
    <row r="5338" spans="1:20" ht="15" hidden="1" customHeight="1">
      <c r="A5338" s="468">
        <v>45518</v>
      </c>
      <c r="B5338" s="208" t="s">
        <v>4462</v>
      </c>
      <c r="C5338" s="208" t="s">
        <v>27</v>
      </c>
      <c r="D5338" s="501">
        <v>-188447.81999999998</v>
      </c>
      <c r="E5338" s="212">
        <v>45505</v>
      </c>
      <c r="F5338" s="201" t="s">
        <v>110</v>
      </c>
      <c r="G5338" s="201" t="s">
        <v>1489</v>
      </c>
      <c r="H5338" s="208" t="s">
        <v>147</v>
      </c>
      <c r="I5338" s="208"/>
      <c r="J5338" s="209"/>
      <c r="K5338" s="209"/>
      <c r="L5338" s="209"/>
      <c r="M5338" s="209"/>
      <c r="N5338" s="209"/>
      <c r="O5338" s="209"/>
      <c r="P5338" s="209"/>
      <c r="Q5338" s="209"/>
      <c r="R5338" s="209"/>
      <c r="S5338" s="209"/>
      <c r="T5338" s="209"/>
    </row>
    <row r="5339" spans="1:20" ht="15" hidden="1" customHeight="1">
      <c r="A5339" s="468">
        <v>45518</v>
      </c>
      <c r="B5339" s="208" t="s">
        <v>4462</v>
      </c>
      <c r="C5339" s="208" t="s">
        <v>27</v>
      </c>
      <c r="D5339" s="501">
        <v>-188447.81999999998</v>
      </c>
      <c r="E5339" s="212">
        <v>45505</v>
      </c>
      <c r="F5339" s="201" t="s">
        <v>110</v>
      </c>
      <c r="G5339" s="208" t="s">
        <v>4249</v>
      </c>
      <c r="H5339" s="208" t="s">
        <v>147</v>
      </c>
      <c r="I5339" s="208"/>
      <c r="J5339" s="209"/>
      <c r="K5339" s="209"/>
      <c r="L5339" s="209"/>
      <c r="M5339" s="209"/>
      <c r="N5339" s="209"/>
      <c r="O5339" s="209"/>
      <c r="P5339" s="209"/>
      <c r="Q5339" s="209"/>
      <c r="R5339" s="209"/>
      <c r="S5339" s="209"/>
      <c r="T5339" s="209"/>
    </row>
    <row r="5340" spans="1:20" ht="15" hidden="1" customHeight="1">
      <c r="A5340" s="468">
        <v>45518</v>
      </c>
      <c r="B5340" s="208" t="s">
        <v>4463</v>
      </c>
      <c r="C5340" s="208" t="s">
        <v>27</v>
      </c>
      <c r="D5340" s="501">
        <v>-679000</v>
      </c>
      <c r="E5340" s="212">
        <v>45505</v>
      </c>
      <c r="F5340" s="208" t="s">
        <v>109</v>
      </c>
      <c r="G5340" s="201" t="s">
        <v>581</v>
      </c>
      <c r="H5340" s="208" t="s">
        <v>147</v>
      </c>
      <c r="I5340" s="208"/>
      <c r="J5340" s="209"/>
      <c r="K5340" s="209"/>
      <c r="L5340" s="209"/>
      <c r="M5340" s="209"/>
      <c r="N5340" s="209"/>
      <c r="O5340" s="209"/>
      <c r="P5340" s="209"/>
      <c r="Q5340" s="209"/>
      <c r="R5340" s="209"/>
      <c r="S5340" s="209"/>
      <c r="T5340" s="209"/>
    </row>
    <row r="5341" spans="1:20" ht="15" hidden="1" customHeight="1">
      <c r="A5341" s="468">
        <v>45518</v>
      </c>
      <c r="B5341" s="208" t="s">
        <v>4464</v>
      </c>
      <c r="C5341" s="208" t="s">
        <v>27</v>
      </c>
      <c r="D5341" s="501">
        <v>-679000</v>
      </c>
      <c r="E5341" s="212">
        <v>45505</v>
      </c>
      <c r="F5341" s="208" t="s">
        <v>109</v>
      </c>
      <c r="G5341" s="201" t="s">
        <v>581</v>
      </c>
      <c r="H5341" s="208" t="s">
        <v>147</v>
      </c>
      <c r="I5341" s="208"/>
      <c r="J5341" s="209"/>
      <c r="K5341" s="209"/>
      <c r="L5341" s="209"/>
      <c r="M5341" s="209"/>
      <c r="N5341" s="209"/>
      <c r="O5341" s="209"/>
      <c r="P5341" s="209"/>
      <c r="Q5341" s="209"/>
      <c r="R5341" s="209"/>
      <c r="S5341" s="209"/>
      <c r="T5341" s="209"/>
    </row>
    <row r="5342" spans="1:20" ht="15" hidden="1" customHeight="1">
      <c r="A5342" s="468">
        <v>45518</v>
      </c>
      <c r="B5342" s="208" t="s">
        <v>4465</v>
      </c>
      <c r="C5342" s="208" t="s">
        <v>27</v>
      </c>
      <c r="D5342" s="501">
        <v>-679000</v>
      </c>
      <c r="E5342" s="212">
        <v>45505</v>
      </c>
      <c r="F5342" s="208" t="s">
        <v>109</v>
      </c>
      <c r="G5342" s="201" t="s">
        <v>581</v>
      </c>
      <c r="H5342" s="208" t="s">
        <v>147</v>
      </c>
      <c r="I5342" s="208"/>
      <c r="J5342" s="209"/>
      <c r="K5342" s="209"/>
      <c r="L5342" s="209"/>
      <c r="M5342" s="209"/>
      <c r="N5342" s="209"/>
      <c r="O5342" s="209"/>
      <c r="P5342" s="209"/>
      <c r="Q5342" s="209"/>
      <c r="R5342" s="209"/>
      <c r="S5342" s="209"/>
      <c r="T5342" s="209"/>
    </row>
    <row r="5343" spans="1:20" ht="15" hidden="1" customHeight="1">
      <c r="A5343" s="468">
        <v>45518</v>
      </c>
      <c r="B5343" s="208" t="s">
        <v>4466</v>
      </c>
      <c r="C5343" s="208" t="s">
        <v>27</v>
      </c>
      <c r="D5343" s="501">
        <v>-679000</v>
      </c>
      <c r="E5343" s="212">
        <v>45505</v>
      </c>
      <c r="F5343" s="208" t="s">
        <v>109</v>
      </c>
      <c r="G5343" s="201" t="s">
        <v>581</v>
      </c>
      <c r="H5343" s="208" t="s">
        <v>147</v>
      </c>
      <c r="I5343" s="208"/>
      <c r="J5343" s="209"/>
      <c r="K5343" s="209"/>
      <c r="L5343" s="209"/>
      <c r="M5343" s="209"/>
      <c r="N5343" s="209"/>
      <c r="O5343" s="209"/>
      <c r="P5343" s="209"/>
      <c r="Q5343" s="209"/>
      <c r="R5343" s="209"/>
      <c r="S5343" s="209"/>
      <c r="T5343" s="209"/>
    </row>
    <row r="5344" spans="1:20" ht="15" hidden="1" customHeight="1">
      <c r="A5344" s="468">
        <v>45518</v>
      </c>
      <c r="B5344" s="208" t="s">
        <v>4467</v>
      </c>
      <c r="C5344" s="208" t="s">
        <v>27</v>
      </c>
      <c r="D5344" s="211">
        <v>-83334</v>
      </c>
      <c r="E5344" s="212">
        <v>45505</v>
      </c>
      <c r="F5344" s="208" t="s">
        <v>109</v>
      </c>
      <c r="G5344" s="654" t="s">
        <v>2585</v>
      </c>
      <c r="H5344" s="208" t="s">
        <v>508</v>
      </c>
      <c r="I5344" s="208"/>
      <c r="J5344" s="209"/>
      <c r="K5344" s="209"/>
      <c r="L5344" s="209"/>
      <c r="M5344" s="209"/>
      <c r="N5344" s="209"/>
      <c r="O5344" s="209"/>
      <c r="P5344" s="209"/>
      <c r="Q5344" s="209"/>
      <c r="R5344" s="209"/>
      <c r="S5344" s="209"/>
      <c r="T5344" s="209"/>
    </row>
    <row r="5345" spans="1:20" ht="15" hidden="1" customHeight="1">
      <c r="A5345" s="468">
        <v>45518</v>
      </c>
      <c r="B5345" s="208" t="s">
        <v>4467</v>
      </c>
      <c r="C5345" s="208" t="s">
        <v>27</v>
      </c>
      <c r="D5345" s="211">
        <v>-83333</v>
      </c>
      <c r="E5345" s="212">
        <v>45505</v>
      </c>
      <c r="F5345" s="201" t="s">
        <v>110</v>
      </c>
      <c r="G5345" s="201" t="s">
        <v>1489</v>
      </c>
      <c r="H5345" s="208" t="s">
        <v>508</v>
      </c>
      <c r="I5345" s="208"/>
      <c r="J5345" s="209"/>
      <c r="K5345" s="209"/>
      <c r="L5345" s="209"/>
      <c r="M5345" s="209"/>
      <c r="N5345" s="209"/>
      <c r="O5345" s="209"/>
      <c r="P5345" s="209"/>
      <c r="Q5345" s="209"/>
      <c r="R5345" s="209"/>
      <c r="S5345" s="209"/>
      <c r="T5345" s="209"/>
    </row>
    <row r="5346" spans="1:20" ht="15" hidden="1" customHeight="1">
      <c r="A5346" s="468">
        <v>45518</v>
      </c>
      <c r="B5346" s="208" t="s">
        <v>4467</v>
      </c>
      <c r="C5346" s="208" t="s">
        <v>27</v>
      </c>
      <c r="D5346" s="211">
        <v>-83333</v>
      </c>
      <c r="E5346" s="212">
        <v>45505</v>
      </c>
      <c r="F5346" s="201" t="s">
        <v>110</v>
      </c>
      <c r="G5346" s="208" t="s">
        <v>4249</v>
      </c>
      <c r="H5346" s="208" t="s">
        <v>508</v>
      </c>
      <c r="I5346" s="208"/>
      <c r="J5346" s="209"/>
      <c r="K5346" s="209"/>
      <c r="L5346" s="209"/>
      <c r="M5346" s="209"/>
      <c r="N5346" s="209"/>
      <c r="O5346" s="209"/>
      <c r="P5346" s="209"/>
      <c r="Q5346" s="209"/>
      <c r="R5346" s="209"/>
      <c r="S5346" s="209"/>
      <c r="T5346" s="209"/>
    </row>
    <row r="5347" spans="1:20" ht="15" hidden="1" customHeight="1">
      <c r="A5347" s="468">
        <v>45518</v>
      </c>
      <c r="B5347" s="208" t="s">
        <v>4468</v>
      </c>
      <c r="C5347" s="208" t="s">
        <v>27</v>
      </c>
      <c r="D5347" s="211">
        <v>-60000</v>
      </c>
      <c r="E5347" s="212">
        <v>45505</v>
      </c>
      <c r="F5347" s="208" t="s">
        <v>207</v>
      </c>
      <c r="G5347" s="208"/>
      <c r="H5347" s="208"/>
      <c r="I5347" s="208"/>
      <c r="J5347" s="209"/>
      <c r="K5347" s="209"/>
      <c r="L5347" s="209"/>
      <c r="M5347" s="209"/>
      <c r="N5347" s="209"/>
      <c r="O5347" s="209"/>
      <c r="P5347" s="209"/>
      <c r="Q5347" s="209"/>
      <c r="R5347" s="209"/>
      <c r="S5347" s="209"/>
      <c r="T5347" s="209"/>
    </row>
    <row r="5348" spans="1:20" ht="15" hidden="1" customHeight="1">
      <c r="A5348" s="468">
        <v>45518</v>
      </c>
      <c r="B5348" s="208" t="s">
        <v>4469</v>
      </c>
      <c r="C5348" s="208" t="s">
        <v>27</v>
      </c>
      <c r="D5348" s="211">
        <v>-100000</v>
      </c>
      <c r="E5348" s="212">
        <v>45505</v>
      </c>
      <c r="F5348" s="208" t="s">
        <v>130</v>
      </c>
      <c r="G5348" s="208" t="s">
        <v>257</v>
      </c>
      <c r="H5348" s="208" t="s">
        <v>1175</v>
      </c>
      <c r="I5348" s="208"/>
      <c r="J5348" s="209"/>
      <c r="K5348" s="209"/>
      <c r="L5348" s="209"/>
      <c r="M5348" s="209"/>
      <c r="N5348" s="209"/>
      <c r="O5348" s="209"/>
      <c r="P5348" s="209"/>
      <c r="Q5348" s="209"/>
      <c r="R5348" s="209"/>
      <c r="S5348" s="209"/>
      <c r="T5348" s="209"/>
    </row>
    <row r="5349" spans="1:20" ht="15" hidden="1" customHeight="1">
      <c r="A5349" s="468">
        <v>45518</v>
      </c>
      <c r="B5349" s="208" t="s">
        <v>4470</v>
      </c>
      <c r="C5349" s="208" t="s">
        <v>27</v>
      </c>
      <c r="D5349" s="211">
        <v>-133334</v>
      </c>
      <c r="E5349" s="212">
        <v>45505</v>
      </c>
      <c r="F5349" s="208" t="s">
        <v>109</v>
      </c>
      <c r="G5349" s="654" t="s">
        <v>2585</v>
      </c>
      <c r="H5349" s="208" t="s">
        <v>508</v>
      </c>
      <c r="I5349" s="208"/>
      <c r="J5349" s="209"/>
      <c r="K5349" s="209"/>
      <c r="L5349" s="209"/>
      <c r="M5349" s="209"/>
      <c r="N5349" s="209"/>
      <c r="O5349" s="209"/>
      <c r="P5349" s="209"/>
      <c r="Q5349" s="209"/>
      <c r="R5349" s="209"/>
      <c r="S5349" s="209"/>
      <c r="T5349" s="209"/>
    </row>
    <row r="5350" spans="1:20" ht="15" hidden="1" customHeight="1">
      <c r="A5350" s="468">
        <v>45518</v>
      </c>
      <c r="B5350" s="208" t="s">
        <v>4470</v>
      </c>
      <c r="C5350" s="208" t="s">
        <v>27</v>
      </c>
      <c r="D5350" s="211">
        <v>-133333</v>
      </c>
      <c r="E5350" s="212">
        <v>45505</v>
      </c>
      <c r="F5350" s="201" t="s">
        <v>110</v>
      </c>
      <c r="G5350" s="201" t="s">
        <v>1489</v>
      </c>
      <c r="H5350" s="208" t="s">
        <v>508</v>
      </c>
      <c r="I5350" s="208"/>
      <c r="J5350" s="209"/>
      <c r="K5350" s="209"/>
      <c r="L5350" s="209"/>
      <c r="M5350" s="209"/>
      <c r="N5350" s="209"/>
      <c r="O5350" s="209"/>
      <c r="P5350" s="209"/>
      <c r="Q5350" s="209"/>
      <c r="R5350" s="209"/>
      <c r="S5350" s="209"/>
      <c r="T5350" s="209"/>
    </row>
    <row r="5351" spans="1:20" ht="15" hidden="1" customHeight="1">
      <c r="A5351" s="468">
        <v>45518</v>
      </c>
      <c r="B5351" s="208" t="s">
        <v>4470</v>
      </c>
      <c r="C5351" s="208" t="s">
        <v>27</v>
      </c>
      <c r="D5351" s="211">
        <v>-133333</v>
      </c>
      <c r="E5351" s="212">
        <v>45505</v>
      </c>
      <c r="F5351" s="201" t="s">
        <v>110</v>
      </c>
      <c r="G5351" s="208" t="s">
        <v>4249</v>
      </c>
      <c r="H5351" s="208" t="s">
        <v>508</v>
      </c>
      <c r="I5351" s="208"/>
      <c r="J5351" s="209"/>
      <c r="K5351" s="209"/>
      <c r="L5351" s="209"/>
      <c r="M5351" s="209"/>
      <c r="N5351" s="209"/>
      <c r="O5351" s="209"/>
      <c r="P5351" s="209"/>
      <c r="Q5351" s="209"/>
      <c r="R5351" s="209"/>
      <c r="S5351" s="209"/>
      <c r="T5351" s="209"/>
    </row>
    <row r="5352" spans="1:20" ht="15" hidden="1" customHeight="1">
      <c r="A5352" s="468">
        <v>45518</v>
      </c>
      <c r="B5352" s="208" t="s">
        <v>4471</v>
      </c>
      <c r="C5352" s="208" t="s">
        <v>27</v>
      </c>
      <c r="D5352" s="211">
        <v>-33334</v>
      </c>
      <c r="E5352" s="212">
        <v>45505</v>
      </c>
      <c r="F5352" s="208" t="s">
        <v>109</v>
      </c>
      <c r="G5352" s="654" t="s">
        <v>2585</v>
      </c>
      <c r="H5352" s="208" t="s">
        <v>508</v>
      </c>
      <c r="I5352" s="208"/>
      <c r="J5352" s="209"/>
      <c r="K5352" s="209"/>
      <c r="L5352" s="209"/>
      <c r="M5352" s="209"/>
      <c r="N5352" s="209"/>
      <c r="O5352" s="209"/>
      <c r="P5352" s="209"/>
      <c r="Q5352" s="209"/>
      <c r="R5352" s="209"/>
      <c r="S5352" s="209"/>
      <c r="T5352" s="209"/>
    </row>
    <row r="5353" spans="1:20" ht="15" hidden="1" customHeight="1">
      <c r="A5353" s="468">
        <v>45518</v>
      </c>
      <c r="B5353" s="208" t="s">
        <v>4471</v>
      </c>
      <c r="C5353" s="208" t="s">
        <v>27</v>
      </c>
      <c r="D5353" s="211">
        <v>-33333</v>
      </c>
      <c r="E5353" s="212">
        <v>45505</v>
      </c>
      <c r="F5353" s="201" t="s">
        <v>110</v>
      </c>
      <c r="G5353" s="201" t="s">
        <v>1489</v>
      </c>
      <c r="H5353" s="208" t="s">
        <v>508</v>
      </c>
      <c r="I5353" s="208"/>
      <c r="J5353" s="209"/>
      <c r="K5353" s="209"/>
      <c r="L5353" s="209"/>
      <c r="M5353" s="209"/>
      <c r="N5353" s="209"/>
      <c r="O5353" s="209"/>
      <c r="P5353" s="209"/>
      <c r="Q5353" s="209"/>
      <c r="R5353" s="209"/>
      <c r="S5353" s="209"/>
      <c r="T5353" s="209"/>
    </row>
    <row r="5354" spans="1:20" ht="15" hidden="1" customHeight="1">
      <c r="A5354" s="468">
        <v>45518</v>
      </c>
      <c r="B5354" s="208" t="s">
        <v>4471</v>
      </c>
      <c r="C5354" s="208" t="s">
        <v>27</v>
      </c>
      <c r="D5354" s="211">
        <v>-33333</v>
      </c>
      <c r="E5354" s="212">
        <v>45505</v>
      </c>
      <c r="F5354" s="201" t="s">
        <v>110</v>
      </c>
      <c r="G5354" s="208" t="s">
        <v>4249</v>
      </c>
      <c r="H5354" s="208" t="s">
        <v>508</v>
      </c>
      <c r="I5354" s="208"/>
      <c r="J5354" s="209"/>
      <c r="K5354" s="209"/>
      <c r="L5354" s="209"/>
      <c r="M5354" s="209"/>
      <c r="N5354" s="209"/>
      <c r="O5354" s="209"/>
      <c r="P5354" s="209"/>
      <c r="Q5354" s="209"/>
      <c r="R5354" s="209"/>
      <c r="S5354" s="209"/>
      <c r="T5354" s="209"/>
    </row>
    <row r="5355" spans="1:20" ht="15" hidden="1" customHeight="1">
      <c r="A5355" s="468">
        <v>45524</v>
      </c>
      <c r="B5355" s="208" t="s">
        <v>4472</v>
      </c>
      <c r="C5355" s="208" t="s">
        <v>27</v>
      </c>
      <c r="D5355" s="211">
        <v>-1238400</v>
      </c>
      <c r="E5355" s="212">
        <v>45505</v>
      </c>
      <c r="F5355" s="208" t="s">
        <v>109</v>
      </c>
      <c r="G5355" s="201" t="s">
        <v>581</v>
      </c>
      <c r="H5355" s="208" t="s">
        <v>147</v>
      </c>
      <c r="I5355" s="208"/>
      <c r="J5355" s="209"/>
      <c r="K5355" s="209"/>
      <c r="L5355" s="209"/>
      <c r="M5355" s="209"/>
      <c r="N5355" s="209"/>
      <c r="O5355" s="209"/>
      <c r="P5355" s="209"/>
      <c r="Q5355" s="209"/>
      <c r="R5355" s="209"/>
      <c r="S5355" s="209"/>
      <c r="T5355" s="209"/>
    </row>
    <row r="5356" spans="1:20" ht="15" hidden="1" customHeight="1">
      <c r="A5356" s="468">
        <v>45524</v>
      </c>
      <c r="B5356" s="208" t="s">
        <v>4473</v>
      </c>
      <c r="C5356" s="208" t="s">
        <v>27</v>
      </c>
      <c r="D5356" s="211">
        <v>-3791200</v>
      </c>
      <c r="E5356" s="212">
        <v>45505</v>
      </c>
      <c r="F5356" s="208" t="s">
        <v>109</v>
      </c>
      <c r="G5356" s="201" t="s">
        <v>581</v>
      </c>
      <c r="H5356" s="208" t="s">
        <v>147</v>
      </c>
      <c r="I5356" s="208"/>
      <c r="J5356" s="209"/>
      <c r="K5356" s="209"/>
      <c r="L5356" s="209"/>
      <c r="M5356" s="209"/>
      <c r="N5356" s="209"/>
      <c r="O5356" s="209"/>
      <c r="P5356" s="209"/>
      <c r="Q5356" s="209"/>
      <c r="R5356" s="209"/>
      <c r="S5356" s="209"/>
      <c r="T5356" s="209"/>
    </row>
    <row r="5357" spans="1:20" ht="15" hidden="1" customHeight="1">
      <c r="A5357" s="468">
        <v>45524</v>
      </c>
      <c r="B5357" s="208" t="s">
        <v>4474</v>
      </c>
      <c r="C5357" s="208" t="s">
        <v>27</v>
      </c>
      <c r="D5357" s="211">
        <v>-645500</v>
      </c>
      <c r="E5357" s="212">
        <v>45505</v>
      </c>
      <c r="F5357" s="208" t="s">
        <v>109</v>
      </c>
      <c r="G5357" s="201" t="s">
        <v>581</v>
      </c>
      <c r="H5357" s="208" t="s">
        <v>147</v>
      </c>
      <c r="I5357" s="208"/>
      <c r="J5357" s="209"/>
      <c r="K5357" s="209"/>
      <c r="L5357" s="209"/>
      <c r="M5357" s="209"/>
      <c r="N5357" s="209"/>
      <c r="O5357" s="209"/>
      <c r="P5357" s="209"/>
      <c r="Q5357" s="209"/>
      <c r="R5357" s="209"/>
      <c r="S5357" s="209"/>
      <c r="T5357" s="209"/>
    </row>
    <row r="5358" spans="1:20" ht="15" hidden="1" customHeight="1">
      <c r="A5358" s="468">
        <v>45524</v>
      </c>
      <c r="B5358" s="208" t="s">
        <v>4475</v>
      </c>
      <c r="C5358" s="208" t="s">
        <v>27</v>
      </c>
      <c r="D5358" s="211">
        <v>-462700</v>
      </c>
      <c r="E5358" s="212">
        <v>45505</v>
      </c>
      <c r="F5358" s="201" t="s">
        <v>110</v>
      </c>
      <c r="G5358" s="208" t="s">
        <v>774</v>
      </c>
      <c r="H5358" s="208" t="s">
        <v>147</v>
      </c>
      <c r="I5358" s="208"/>
      <c r="J5358" s="209"/>
      <c r="K5358" s="209"/>
      <c r="L5358" s="209"/>
      <c r="M5358" s="209"/>
      <c r="N5358" s="209"/>
      <c r="O5358" s="209"/>
      <c r="P5358" s="209"/>
      <c r="Q5358" s="209"/>
      <c r="R5358" s="209"/>
      <c r="S5358" s="209"/>
      <c r="T5358" s="209"/>
    </row>
    <row r="5359" spans="1:20" ht="15" hidden="1" customHeight="1">
      <c r="A5359" s="468">
        <v>45524</v>
      </c>
      <c r="B5359" s="208" t="s">
        <v>4476</v>
      </c>
      <c r="C5359" s="208" t="s">
        <v>27</v>
      </c>
      <c r="D5359" s="211">
        <v>-763100</v>
      </c>
      <c r="E5359" s="212">
        <v>45505</v>
      </c>
      <c r="F5359" s="208" t="s">
        <v>130</v>
      </c>
      <c r="G5359" s="208" t="s">
        <v>130</v>
      </c>
      <c r="H5359" s="208" t="s">
        <v>1175</v>
      </c>
      <c r="I5359" s="208"/>
      <c r="J5359" s="209"/>
      <c r="K5359" s="209"/>
      <c r="L5359" s="209"/>
      <c r="M5359" s="209"/>
      <c r="N5359" s="209"/>
      <c r="O5359" s="209"/>
      <c r="P5359" s="209"/>
      <c r="Q5359" s="209"/>
      <c r="R5359" s="209"/>
      <c r="S5359" s="209"/>
      <c r="T5359" s="209"/>
    </row>
    <row r="5360" spans="1:20" ht="15" hidden="1" customHeight="1">
      <c r="A5360" s="468">
        <v>45524</v>
      </c>
      <c r="B5360" s="208" t="s">
        <v>4477</v>
      </c>
      <c r="C5360" s="208" t="s">
        <v>27</v>
      </c>
      <c r="D5360" s="211">
        <v>-634800</v>
      </c>
      <c r="E5360" s="212">
        <v>45505</v>
      </c>
      <c r="F5360" s="201" t="s">
        <v>110</v>
      </c>
      <c r="G5360" s="208" t="s">
        <v>774</v>
      </c>
      <c r="H5360" s="208" t="s">
        <v>147</v>
      </c>
      <c r="I5360" s="208"/>
      <c r="J5360" s="209"/>
      <c r="K5360" s="209"/>
      <c r="L5360" s="209"/>
      <c r="M5360" s="209"/>
      <c r="N5360" s="209"/>
      <c r="O5360" s="209"/>
      <c r="P5360" s="209"/>
      <c r="Q5360" s="209"/>
      <c r="R5360" s="209"/>
      <c r="S5360" s="209"/>
      <c r="T5360" s="209"/>
    </row>
    <row r="5361" spans="1:20" ht="15" hidden="1" customHeight="1">
      <c r="A5361" s="468">
        <v>45524</v>
      </c>
      <c r="B5361" s="208" t="s">
        <v>4478</v>
      </c>
      <c r="C5361" s="208" t="s">
        <v>27</v>
      </c>
      <c r="D5361" s="211">
        <v>-2679900</v>
      </c>
      <c r="E5361" s="212">
        <v>45505</v>
      </c>
      <c r="F5361" s="208" t="s">
        <v>130</v>
      </c>
      <c r="G5361" s="208" t="s">
        <v>130</v>
      </c>
      <c r="H5361" s="208" t="s">
        <v>1175</v>
      </c>
      <c r="I5361" s="208"/>
      <c r="J5361" s="209"/>
      <c r="K5361" s="209"/>
      <c r="L5361" s="209"/>
      <c r="M5361" s="209"/>
      <c r="N5361" s="209"/>
      <c r="O5361" s="209"/>
      <c r="P5361" s="209"/>
      <c r="Q5361" s="209"/>
      <c r="R5361" s="209"/>
      <c r="S5361" s="209"/>
      <c r="T5361" s="209"/>
    </row>
    <row r="5362" spans="1:20" ht="15" hidden="1" customHeight="1">
      <c r="A5362" s="468">
        <v>45524</v>
      </c>
      <c r="B5362" s="208" t="s">
        <v>4479</v>
      </c>
      <c r="C5362" s="208" t="s">
        <v>27</v>
      </c>
      <c r="D5362" s="211">
        <v>-1562000</v>
      </c>
      <c r="E5362" s="212">
        <v>45505</v>
      </c>
      <c r="F5362" s="208" t="s">
        <v>109</v>
      </c>
      <c r="G5362" s="208" t="s">
        <v>2809</v>
      </c>
      <c r="H5362" s="208" t="s">
        <v>1175</v>
      </c>
      <c r="I5362" s="208"/>
      <c r="J5362" s="209"/>
      <c r="K5362" s="209"/>
      <c r="L5362" s="209"/>
      <c r="M5362" s="209"/>
      <c r="N5362" s="209"/>
      <c r="O5362" s="209"/>
      <c r="P5362" s="209"/>
      <c r="Q5362" s="209"/>
      <c r="R5362" s="209"/>
      <c r="S5362" s="209"/>
      <c r="T5362" s="209"/>
    </row>
    <row r="5363" spans="1:20" ht="15" hidden="1" customHeight="1">
      <c r="A5363" s="468">
        <v>45524</v>
      </c>
      <c r="B5363" s="208" t="s">
        <v>4480</v>
      </c>
      <c r="C5363" s="208" t="s">
        <v>27</v>
      </c>
      <c r="D5363" s="211">
        <v>-2679900</v>
      </c>
      <c r="E5363" s="212">
        <v>45505</v>
      </c>
      <c r="F5363" s="208" t="s">
        <v>130</v>
      </c>
      <c r="G5363" s="208" t="s">
        <v>130</v>
      </c>
      <c r="H5363" s="208" t="s">
        <v>1175</v>
      </c>
      <c r="I5363" s="208"/>
      <c r="J5363" s="209"/>
      <c r="K5363" s="209"/>
      <c r="L5363" s="209"/>
      <c r="M5363" s="209"/>
      <c r="N5363" s="209"/>
      <c r="O5363" s="209"/>
      <c r="P5363" s="209"/>
      <c r="Q5363" s="209"/>
      <c r="R5363" s="209"/>
      <c r="S5363" s="209"/>
      <c r="T5363" s="209"/>
    </row>
    <row r="5364" spans="1:20" ht="15" hidden="1" customHeight="1">
      <c r="A5364" s="468">
        <v>45524</v>
      </c>
      <c r="B5364" s="208" t="s">
        <v>4481</v>
      </c>
      <c r="C5364" s="208" t="s">
        <v>27</v>
      </c>
      <c r="D5364" s="211">
        <v>-138766</v>
      </c>
      <c r="E5364" s="212">
        <v>45505</v>
      </c>
      <c r="F5364" s="201" t="s">
        <v>110</v>
      </c>
      <c r="G5364" s="208" t="s">
        <v>774</v>
      </c>
      <c r="H5364" s="208" t="s">
        <v>147</v>
      </c>
      <c r="I5364" s="208"/>
      <c r="J5364" s="209"/>
      <c r="K5364" s="209"/>
      <c r="L5364" s="209"/>
      <c r="M5364" s="209"/>
      <c r="N5364" s="209"/>
      <c r="O5364" s="209"/>
      <c r="P5364" s="209"/>
      <c r="Q5364" s="209"/>
      <c r="R5364" s="209"/>
      <c r="S5364" s="209"/>
      <c r="T5364" s="209"/>
    </row>
    <row r="5365" spans="1:20" ht="15" hidden="1" customHeight="1">
      <c r="A5365" s="468">
        <v>45524</v>
      </c>
      <c r="B5365" s="208" t="s">
        <v>4481</v>
      </c>
      <c r="C5365" s="208" t="s">
        <v>27</v>
      </c>
      <c r="D5365" s="211">
        <v>-138767</v>
      </c>
      <c r="E5365" s="212">
        <v>45505</v>
      </c>
      <c r="F5365" s="208" t="s">
        <v>109</v>
      </c>
      <c r="G5365" s="201" t="s">
        <v>1306</v>
      </c>
      <c r="H5365" s="208" t="s">
        <v>147</v>
      </c>
      <c r="I5365" s="208"/>
      <c r="J5365" s="209"/>
      <c r="K5365" s="209"/>
      <c r="L5365" s="209"/>
      <c r="M5365" s="209"/>
      <c r="N5365" s="209"/>
      <c r="O5365" s="209"/>
      <c r="P5365" s="209"/>
      <c r="Q5365" s="209"/>
      <c r="R5365" s="209"/>
      <c r="S5365" s="209"/>
      <c r="T5365" s="209"/>
    </row>
    <row r="5366" spans="1:20" ht="15" hidden="1" customHeight="1">
      <c r="A5366" s="468">
        <v>45524</v>
      </c>
      <c r="B5366" s="208" t="s">
        <v>4481</v>
      </c>
      <c r="C5366" s="208" t="s">
        <v>27</v>
      </c>
      <c r="D5366" s="211">
        <v>-138767</v>
      </c>
      <c r="E5366" s="212">
        <v>45505</v>
      </c>
      <c r="F5366" s="201" t="s">
        <v>110</v>
      </c>
      <c r="G5366" s="208" t="s">
        <v>774</v>
      </c>
      <c r="H5366" s="208" t="s">
        <v>147</v>
      </c>
      <c r="I5366" s="208"/>
      <c r="J5366" s="209"/>
      <c r="K5366" s="209"/>
      <c r="L5366" s="209"/>
      <c r="M5366" s="209"/>
      <c r="N5366" s="209"/>
      <c r="O5366" s="209"/>
      <c r="P5366" s="209"/>
      <c r="Q5366" s="209"/>
      <c r="R5366" s="209"/>
      <c r="S5366" s="209"/>
      <c r="T5366" s="209"/>
    </row>
    <row r="5367" spans="1:20" ht="15" hidden="1" customHeight="1">
      <c r="A5367" s="468">
        <v>45524</v>
      </c>
      <c r="B5367" s="208" t="s">
        <v>4482</v>
      </c>
      <c r="C5367" s="208" t="s">
        <v>27</v>
      </c>
      <c r="D5367" s="211">
        <v>-399800</v>
      </c>
      <c r="E5367" s="212">
        <v>45505</v>
      </c>
      <c r="F5367" s="201" t="s">
        <v>110</v>
      </c>
      <c r="G5367" s="208" t="s">
        <v>774</v>
      </c>
      <c r="H5367" s="208" t="s">
        <v>147</v>
      </c>
      <c r="I5367" s="208"/>
      <c r="J5367" s="209"/>
      <c r="K5367" s="209"/>
      <c r="L5367" s="209"/>
      <c r="M5367" s="209"/>
      <c r="N5367" s="209"/>
      <c r="O5367" s="209"/>
      <c r="P5367" s="209"/>
      <c r="Q5367" s="209"/>
      <c r="R5367" s="209"/>
      <c r="S5367" s="209"/>
      <c r="T5367" s="209"/>
    </row>
    <row r="5368" spans="1:20" ht="15" hidden="1" customHeight="1">
      <c r="A5368" s="468">
        <v>45524</v>
      </c>
      <c r="B5368" s="208" t="s">
        <v>4483</v>
      </c>
      <c r="C5368" s="208" t="s">
        <v>27</v>
      </c>
      <c r="D5368" s="211">
        <v>-179600</v>
      </c>
      <c r="E5368" s="212">
        <v>45505</v>
      </c>
      <c r="F5368" s="201" t="s">
        <v>110</v>
      </c>
      <c r="G5368" s="208" t="s">
        <v>774</v>
      </c>
      <c r="H5368" s="208" t="s">
        <v>508</v>
      </c>
      <c r="I5368" s="208"/>
      <c r="J5368" s="209"/>
      <c r="K5368" s="209"/>
      <c r="L5368" s="209"/>
      <c r="M5368" s="209"/>
      <c r="N5368" s="209"/>
      <c r="O5368" s="209"/>
      <c r="P5368" s="209"/>
      <c r="Q5368" s="209"/>
      <c r="R5368" s="209"/>
      <c r="S5368" s="209"/>
      <c r="T5368" s="209"/>
    </row>
    <row r="5369" spans="1:20" ht="15" hidden="1" customHeight="1">
      <c r="A5369" s="468">
        <v>45524</v>
      </c>
      <c r="B5369" s="208" t="s">
        <v>4483</v>
      </c>
      <c r="C5369" s="208" t="s">
        <v>27</v>
      </c>
      <c r="D5369" s="211">
        <v>-179600</v>
      </c>
      <c r="E5369" s="212">
        <v>45505</v>
      </c>
      <c r="F5369" s="208" t="s">
        <v>109</v>
      </c>
      <c r="G5369" s="201" t="s">
        <v>1306</v>
      </c>
      <c r="H5369" s="208" t="s">
        <v>508</v>
      </c>
      <c r="I5369" s="208"/>
      <c r="J5369" s="209"/>
      <c r="K5369" s="209"/>
      <c r="L5369" s="209"/>
      <c r="M5369" s="209"/>
      <c r="N5369" s="209"/>
      <c r="O5369" s="209"/>
      <c r="P5369" s="209"/>
      <c r="Q5369" s="209"/>
      <c r="R5369" s="209"/>
      <c r="S5369" s="209"/>
      <c r="T5369" s="209"/>
    </row>
    <row r="5370" spans="1:20" ht="15" hidden="1" customHeight="1">
      <c r="A5370" s="468">
        <v>45524</v>
      </c>
      <c r="B5370" s="208" t="s">
        <v>4483</v>
      </c>
      <c r="C5370" s="208" t="s">
        <v>27</v>
      </c>
      <c r="D5370" s="211">
        <v>-179600</v>
      </c>
      <c r="E5370" s="212">
        <v>45505</v>
      </c>
      <c r="F5370" s="201" t="s">
        <v>110</v>
      </c>
      <c r="G5370" s="208" t="s">
        <v>774</v>
      </c>
      <c r="H5370" s="208" t="s">
        <v>508</v>
      </c>
      <c r="I5370" s="208"/>
      <c r="J5370" s="209"/>
      <c r="K5370" s="209"/>
      <c r="L5370" s="209"/>
      <c r="M5370" s="209"/>
      <c r="N5370" s="209"/>
      <c r="O5370" s="209"/>
      <c r="P5370" s="209"/>
      <c r="Q5370" s="209"/>
      <c r="R5370" s="209"/>
      <c r="S5370" s="209"/>
      <c r="T5370" s="209"/>
    </row>
    <row r="5371" spans="1:20" ht="15" hidden="1" customHeight="1">
      <c r="A5371" s="468">
        <v>45524</v>
      </c>
      <c r="B5371" s="208" t="s">
        <v>4484</v>
      </c>
      <c r="C5371" s="208" t="s">
        <v>27</v>
      </c>
      <c r="D5371" s="211">
        <v>-148333</v>
      </c>
      <c r="E5371" s="212">
        <v>45505</v>
      </c>
      <c r="F5371" s="201" t="s">
        <v>110</v>
      </c>
      <c r="G5371" s="208" t="s">
        <v>774</v>
      </c>
      <c r="H5371" s="208" t="s">
        <v>147</v>
      </c>
      <c r="I5371" s="208"/>
      <c r="J5371" s="209"/>
      <c r="K5371" s="209"/>
      <c r="L5371" s="209"/>
      <c r="M5371" s="209"/>
      <c r="N5371" s="209"/>
      <c r="O5371" s="209"/>
      <c r="P5371" s="209"/>
      <c r="Q5371" s="209"/>
      <c r="R5371" s="209"/>
      <c r="S5371" s="209"/>
      <c r="T5371" s="209"/>
    </row>
    <row r="5372" spans="1:20" ht="15" hidden="1" customHeight="1">
      <c r="A5372" s="468">
        <v>45524</v>
      </c>
      <c r="B5372" s="208" t="s">
        <v>4484</v>
      </c>
      <c r="C5372" s="208" t="s">
        <v>27</v>
      </c>
      <c r="D5372" s="211">
        <v>-148333</v>
      </c>
      <c r="E5372" s="212">
        <v>45505</v>
      </c>
      <c r="F5372" s="208" t="s">
        <v>109</v>
      </c>
      <c r="G5372" s="201" t="s">
        <v>1306</v>
      </c>
      <c r="H5372" s="208" t="s">
        <v>147</v>
      </c>
      <c r="I5372" s="208"/>
      <c r="J5372" s="209"/>
      <c r="K5372" s="209"/>
      <c r="L5372" s="209"/>
      <c r="M5372" s="209"/>
      <c r="N5372" s="209"/>
      <c r="O5372" s="209"/>
      <c r="P5372" s="209"/>
      <c r="Q5372" s="209"/>
      <c r="R5372" s="209"/>
      <c r="S5372" s="209"/>
      <c r="T5372" s="209"/>
    </row>
    <row r="5373" spans="1:20" ht="15" hidden="1" customHeight="1">
      <c r="A5373" s="468">
        <v>45524</v>
      </c>
      <c r="B5373" s="208" t="s">
        <v>4484</v>
      </c>
      <c r="C5373" s="208" t="s">
        <v>27</v>
      </c>
      <c r="D5373" s="211">
        <v>-148334</v>
      </c>
      <c r="E5373" s="212">
        <v>45505</v>
      </c>
      <c r="F5373" s="201" t="s">
        <v>110</v>
      </c>
      <c r="G5373" s="208" t="s">
        <v>774</v>
      </c>
      <c r="H5373" s="208" t="s">
        <v>147</v>
      </c>
      <c r="I5373" s="208"/>
      <c r="J5373" s="209"/>
      <c r="K5373" s="209"/>
      <c r="L5373" s="209"/>
      <c r="M5373" s="209"/>
      <c r="N5373" s="209"/>
      <c r="O5373" s="209"/>
      <c r="P5373" s="209"/>
      <c r="Q5373" s="209"/>
      <c r="R5373" s="209"/>
      <c r="S5373" s="209"/>
      <c r="T5373" s="209"/>
    </row>
    <row r="5374" spans="1:20" ht="15" hidden="1" customHeight="1">
      <c r="A5374" s="468">
        <v>45524</v>
      </c>
      <c r="B5374" s="208" t="s">
        <v>4485</v>
      </c>
      <c r="C5374" s="208" t="s">
        <v>27</v>
      </c>
      <c r="D5374" s="211">
        <v>-504500</v>
      </c>
      <c r="E5374" s="212">
        <v>45505</v>
      </c>
      <c r="F5374" s="208" t="s">
        <v>109</v>
      </c>
      <c r="G5374" s="201" t="s">
        <v>1306</v>
      </c>
      <c r="H5374" s="208" t="s">
        <v>147</v>
      </c>
      <c r="I5374" s="208"/>
      <c r="J5374" s="209"/>
      <c r="K5374" s="209"/>
      <c r="L5374" s="209"/>
      <c r="M5374" s="209"/>
      <c r="N5374" s="209"/>
      <c r="O5374" s="209"/>
      <c r="P5374" s="209"/>
      <c r="Q5374" s="209"/>
      <c r="R5374" s="209"/>
      <c r="S5374" s="209"/>
      <c r="T5374" s="209"/>
    </row>
    <row r="5375" spans="1:20" ht="15" hidden="1" customHeight="1">
      <c r="A5375" s="468">
        <v>45524</v>
      </c>
      <c r="B5375" s="208" t="s">
        <v>4486</v>
      </c>
      <c r="C5375" s="208" t="s">
        <v>27</v>
      </c>
      <c r="D5375" s="211">
        <v>-411700</v>
      </c>
      <c r="E5375" s="212">
        <v>45505</v>
      </c>
      <c r="F5375" s="208" t="s">
        <v>109</v>
      </c>
      <c r="G5375" s="201" t="s">
        <v>1306</v>
      </c>
      <c r="H5375" s="208" t="s">
        <v>147</v>
      </c>
      <c r="I5375" s="208"/>
      <c r="J5375" s="209"/>
      <c r="K5375" s="209"/>
      <c r="L5375" s="209"/>
      <c r="M5375" s="209"/>
      <c r="N5375" s="209"/>
      <c r="O5375" s="209"/>
      <c r="P5375" s="209"/>
      <c r="Q5375" s="209"/>
      <c r="R5375" s="209"/>
      <c r="S5375" s="209"/>
      <c r="T5375" s="209"/>
    </row>
    <row r="5376" spans="1:20" ht="15" hidden="1" customHeight="1">
      <c r="A5376" s="468">
        <v>45524</v>
      </c>
      <c r="B5376" s="208" t="s">
        <v>4487</v>
      </c>
      <c r="C5376" s="208" t="s">
        <v>27</v>
      </c>
      <c r="D5376" s="211">
        <v>-315800</v>
      </c>
      <c r="E5376" s="212">
        <v>45505</v>
      </c>
      <c r="F5376" s="201" t="s">
        <v>110</v>
      </c>
      <c r="G5376" s="208" t="s">
        <v>774</v>
      </c>
      <c r="H5376" s="208" t="s">
        <v>508</v>
      </c>
      <c r="I5376" s="208"/>
      <c r="J5376" s="209"/>
      <c r="K5376" s="209"/>
      <c r="L5376" s="209"/>
      <c r="M5376" s="209"/>
      <c r="N5376" s="209"/>
      <c r="O5376" s="209"/>
      <c r="P5376" s="209"/>
      <c r="Q5376" s="209"/>
      <c r="R5376" s="209"/>
      <c r="S5376" s="209"/>
      <c r="T5376" s="209"/>
    </row>
    <row r="5377" spans="1:20" ht="15" hidden="1" customHeight="1">
      <c r="A5377" s="468">
        <v>45524</v>
      </c>
      <c r="B5377" s="208" t="s">
        <v>4487</v>
      </c>
      <c r="C5377" s="208" t="s">
        <v>27</v>
      </c>
      <c r="D5377" s="211">
        <v>-315800</v>
      </c>
      <c r="E5377" s="212">
        <v>45505</v>
      </c>
      <c r="F5377" s="208" t="s">
        <v>109</v>
      </c>
      <c r="G5377" s="201" t="s">
        <v>1306</v>
      </c>
      <c r="H5377" s="208" t="s">
        <v>508</v>
      </c>
      <c r="I5377" s="208"/>
      <c r="J5377" s="209"/>
      <c r="K5377" s="209"/>
      <c r="L5377" s="209"/>
      <c r="M5377" s="209"/>
      <c r="N5377" s="209"/>
      <c r="O5377" s="209"/>
      <c r="P5377" s="209"/>
      <c r="Q5377" s="209"/>
      <c r="R5377" s="209"/>
      <c r="S5377" s="209"/>
      <c r="T5377" s="209"/>
    </row>
    <row r="5378" spans="1:20" ht="15" hidden="1" customHeight="1">
      <c r="A5378" s="468">
        <v>45524</v>
      </c>
      <c r="B5378" s="208" t="s">
        <v>4487</v>
      </c>
      <c r="C5378" s="208" t="s">
        <v>27</v>
      </c>
      <c r="D5378" s="211">
        <v>-315800</v>
      </c>
      <c r="E5378" s="212">
        <v>45505</v>
      </c>
      <c r="F5378" s="201" t="s">
        <v>110</v>
      </c>
      <c r="G5378" s="208" t="s">
        <v>774</v>
      </c>
      <c r="H5378" s="208" t="s">
        <v>508</v>
      </c>
      <c r="I5378" s="208"/>
      <c r="J5378" s="209"/>
      <c r="K5378" s="209"/>
      <c r="L5378" s="209"/>
      <c r="M5378" s="209"/>
      <c r="N5378" s="209"/>
      <c r="O5378" s="209"/>
      <c r="P5378" s="209"/>
      <c r="Q5378" s="209"/>
      <c r="R5378" s="209"/>
      <c r="S5378" s="209"/>
      <c r="T5378" s="209"/>
    </row>
    <row r="5379" spans="1:20" ht="15" hidden="1" customHeight="1">
      <c r="A5379" s="468">
        <v>45524</v>
      </c>
      <c r="B5379" s="208" t="s">
        <v>4488</v>
      </c>
      <c r="C5379" s="208" t="s">
        <v>27</v>
      </c>
      <c r="D5379" s="211">
        <v>-744300</v>
      </c>
      <c r="E5379" s="212">
        <v>45505</v>
      </c>
      <c r="F5379" s="208" t="s">
        <v>109</v>
      </c>
      <c r="G5379" s="208" t="s">
        <v>2809</v>
      </c>
      <c r="H5379" s="208" t="s">
        <v>1175</v>
      </c>
      <c r="I5379" s="208"/>
      <c r="J5379" s="209"/>
      <c r="K5379" s="209"/>
      <c r="L5379" s="209"/>
      <c r="M5379" s="209"/>
      <c r="N5379" s="209"/>
      <c r="O5379" s="209"/>
      <c r="P5379" s="209"/>
      <c r="Q5379" s="209"/>
      <c r="R5379" s="209"/>
      <c r="S5379" s="209"/>
      <c r="T5379" s="209"/>
    </row>
    <row r="5380" spans="1:20" ht="15" hidden="1" customHeight="1">
      <c r="A5380" s="468">
        <v>45524</v>
      </c>
      <c r="B5380" s="208" t="s">
        <v>4489</v>
      </c>
      <c r="C5380" s="208" t="s">
        <v>27</v>
      </c>
      <c r="D5380" s="211">
        <v>-1079000</v>
      </c>
      <c r="E5380" s="212">
        <v>45505</v>
      </c>
      <c r="F5380" s="208" t="s">
        <v>130</v>
      </c>
      <c r="G5380" s="208" t="s">
        <v>130</v>
      </c>
      <c r="H5380" s="208" t="s">
        <v>1175</v>
      </c>
      <c r="I5380" s="208"/>
      <c r="J5380" s="209"/>
      <c r="K5380" s="209"/>
      <c r="L5380" s="209"/>
      <c r="M5380" s="209"/>
      <c r="N5380" s="209"/>
      <c r="O5380" s="209"/>
      <c r="P5380" s="209"/>
      <c r="Q5380" s="209"/>
      <c r="R5380" s="209"/>
      <c r="S5380" s="209"/>
      <c r="T5380" s="209"/>
    </row>
    <row r="5381" spans="1:20" ht="15" hidden="1" customHeight="1">
      <c r="A5381" s="468">
        <v>45524</v>
      </c>
      <c r="B5381" s="208" t="s">
        <v>4490</v>
      </c>
      <c r="C5381" s="208" t="s">
        <v>27</v>
      </c>
      <c r="D5381" s="211">
        <v>-258000</v>
      </c>
      <c r="E5381" s="212">
        <v>45505</v>
      </c>
      <c r="F5381" s="201" t="s">
        <v>110</v>
      </c>
      <c r="G5381" s="208" t="s">
        <v>774</v>
      </c>
      <c r="H5381" s="208" t="s">
        <v>508</v>
      </c>
      <c r="I5381" s="208"/>
      <c r="J5381" s="209"/>
      <c r="K5381" s="209"/>
      <c r="L5381" s="209"/>
      <c r="M5381" s="209"/>
      <c r="N5381" s="209"/>
      <c r="O5381" s="209"/>
      <c r="P5381" s="209"/>
      <c r="Q5381" s="209"/>
      <c r="R5381" s="209"/>
      <c r="S5381" s="209"/>
      <c r="T5381" s="209"/>
    </row>
    <row r="5382" spans="1:20" ht="15" hidden="1" customHeight="1">
      <c r="A5382" s="468">
        <v>45524</v>
      </c>
      <c r="B5382" s="208" t="s">
        <v>4490</v>
      </c>
      <c r="C5382" s="208" t="s">
        <v>27</v>
      </c>
      <c r="D5382" s="211">
        <v>-258000</v>
      </c>
      <c r="E5382" s="212">
        <v>45505</v>
      </c>
      <c r="F5382" s="208" t="s">
        <v>109</v>
      </c>
      <c r="G5382" s="201" t="s">
        <v>1306</v>
      </c>
      <c r="H5382" s="208" t="s">
        <v>508</v>
      </c>
      <c r="I5382" s="208"/>
      <c r="J5382" s="209"/>
      <c r="K5382" s="209"/>
      <c r="L5382" s="209"/>
      <c r="M5382" s="209"/>
      <c r="N5382" s="209"/>
      <c r="O5382" s="209"/>
      <c r="P5382" s="209"/>
      <c r="Q5382" s="209"/>
      <c r="R5382" s="209"/>
      <c r="S5382" s="209"/>
      <c r="T5382" s="209"/>
    </row>
    <row r="5383" spans="1:20" ht="15" hidden="1" customHeight="1">
      <c r="A5383" s="468">
        <v>45524</v>
      </c>
      <c r="B5383" s="208" t="s">
        <v>4490</v>
      </c>
      <c r="C5383" s="208" t="s">
        <v>27</v>
      </c>
      <c r="D5383" s="211">
        <v>-258000</v>
      </c>
      <c r="E5383" s="212">
        <v>45505</v>
      </c>
      <c r="F5383" s="201" t="s">
        <v>110</v>
      </c>
      <c r="G5383" s="208" t="s">
        <v>774</v>
      </c>
      <c r="H5383" s="208" t="s">
        <v>508</v>
      </c>
      <c r="I5383" s="208"/>
      <c r="J5383" s="209"/>
      <c r="K5383" s="209"/>
      <c r="L5383" s="209"/>
      <c r="M5383" s="209"/>
      <c r="N5383" s="209"/>
      <c r="O5383" s="209"/>
      <c r="P5383" s="209"/>
      <c r="Q5383" s="209"/>
      <c r="R5383" s="209"/>
      <c r="S5383" s="209"/>
      <c r="T5383" s="209"/>
    </row>
    <row r="5384" spans="1:20" ht="15" hidden="1" customHeight="1">
      <c r="A5384" s="468">
        <v>45524</v>
      </c>
      <c r="B5384" s="208" t="s">
        <v>4491</v>
      </c>
      <c r="C5384" s="208" t="s">
        <v>27</v>
      </c>
      <c r="D5384" s="211">
        <v>-318800</v>
      </c>
      <c r="E5384" s="212">
        <v>45505</v>
      </c>
      <c r="F5384" s="208" t="s">
        <v>130</v>
      </c>
      <c r="G5384" s="208" t="s">
        <v>130</v>
      </c>
      <c r="H5384" s="208" t="s">
        <v>1175</v>
      </c>
      <c r="I5384" s="208"/>
      <c r="J5384" s="209"/>
      <c r="K5384" s="209"/>
      <c r="L5384" s="209"/>
      <c r="M5384" s="209"/>
      <c r="N5384" s="209"/>
      <c r="O5384" s="209"/>
      <c r="P5384" s="209"/>
      <c r="Q5384" s="209"/>
      <c r="R5384" s="209"/>
      <c r="S5384" s="209"/>
      <c r="T5384" s="209"/>
    </row>
    <row r="5385" spans="1:20" ht="15" hidden="1" customHeight="1">
      <c r="A5385" s="468">
        <v>45524</v>
      </c>
      <c r="B5385" s="208" t="s">
        <v>4492</v>
      </c>
      <c r="C5385" s="208" t="s">
        <v>27</v>
      </c>
      <c r="D5385" s="211">
        <v>-318800</v>
      </c>
      <c r="E5385" s="212">
        <v>45505</v>
      </c>
      <c r="F5385" s="208" t="s">
        <v>130</v>
      </c>
      <c r="G5385" s="208" t="s">
        <v>130</v>
      </c>
      <c r="H5385" s="208" t="s">
        <v>1175</v>
      </c>
      <c r="I5385" s="208"/>
      <c r="J5385" s="209"/>
      <c r="K5385" s="209"/>
      <c r="L5385" s="209"/>
      <c r="M5385" s="209"/>
      <c r="N5385" s="209"/>
      <c r="O5385" s="209"/>
      <c r="P5385" s="209"/>
      <c r="Q5385" s="209"/>
      <c r="R5385" s="209"/>
      <c r="S5385" s="209"/>
      <c r="T5385" s="209"/>
    </row>
    <row r="5386" spans="1:20" ht="15" hidden="1" customHeight="1">
      <c r="A5386" s="468">
        <v>45524</v>
      </c>
      <c r="B5386" s="208" t="s">
        <v>4493</v>
      </c>
      <c r="C5386" s="208" t="s">
        <v>27</v>
      </c>
      <c r="D5386" s="211">
        <v>-6800</v>
      </c>
      <c r="E5386" s="212">
        <v>45505</v>
      </c>
      <c r="F5386" s="208" t="s">
        <v>130</v>
      </c>
      <c r="G5386" s="208" t="s">
        <v>130</v>
      </c>
      <c r="H5386" s="208" t="s">
        <v>1175</v>
      </c>
      <c r="I5386" s="208"/>
      <c r="J5386" s="209"/>
      <c r="K5386" s="209"/>
      <c r="L5386" s="209"/>
      <c r="M5386" s="209"/>
      <c r="N5386" s="209"/>
      <c r="O5386" s="209"/>
      <c r="P5386" s="209"/>
      <c r="Q5386" s="209"/>
      <c r="R5386" s="209"/>
      <c r="S5386" s="209"/>
      <c r="T5386" s="209"/>
    </row>
    <row r="5387" spans="1:20" ht="15" hidden="1" customHeight="1">
      <c r="A5387" s="468">
        <v>45524</v>
      </c>
      <c r="B5387" s="208" t="s">
        <v>4494</v>
      </c>
      <c r="C5387" s="208" t="s">
        <v>27</v>
      </c>
      <c r="D5387" s="211">
        <v>-2719400</v>
      </c>
      <c r="E5387" s="212">
        <v>45505</v>
      </c>
      <c r="F5387" s="208" t="s">
        <v>130</v>
      </c>
      <c r="G5387" s="208" t="s">
        <v>257</v>
      </c>
      <c r="H5387" s="208" t="s">
        <v>1175</v>
      </c>
      <c r="I5387" s="208"/>
      <c r="J5387" s="209"/>
      <c r="K5387" s="209"/>
      <c r="L5387" s="209"/>
      <c r="M5387" s="209"/>
      <c r="N5387" s="209"/>
      <c r="O5387" s="209"/>
      <c r="P5387" s="209"/>
      <c r="Q5387" s="209"/>
      <c r="R5387" s="209"/>
      <c r="S5387" s="209"/>
      <c r="T5387" s="209"/>
    </row>
    <row r="5388" spans="1:20" ht="15" hidden="1" customHeight="1">
      <c r="A5388" s="468">
        <v>45524</v>
      </c>
      <c r="B5388" s="208" t="s">
        <v>4495</v>
      </c>
      <c r="C5388" s="208" t="s">
        <v>27</v>
      </c>
      <c r="D5388" s="718">
        <v>-402500</v>
      </c>
      <c r="E5388" s="212">
        <v>45505</v>
      </c>
      <c r="F5388" s="208" t="s">
        <v>109</v>
      </c>
      <c r="G5388" s="201" t="s">
        <v>581</v>
      </c>
      <c r="H5388" s="208" t="s">
        <v>147</v>
      </c>
      <c r="I5388" s="208"/>
      <c r="J5388" s="209"/>
      <c r="K5388" s="209"/>
      <c r="L5388" s="209"/>
      <c r="M5388" s="209"/>
      <c r="N5388" s="209"/>
      <c r="O5388" s="209"/>
      <c r="P5388" s="209"/>
      <c r="Q5388" s="209"/>
      <c r="R5388" s="209"/>
      <c r="S5388" s="209"/>
      <c r="T5388" s="209"/>
    </row>
    <row r="5389" spans="1:20" ht="15" hidden="1" customHeight="1">
      <c r="A5389" s="468">
        <v>45524</v>
      </c>
      <c r="B5389" s="208" t="s">
        <v>4496</v>
      </c>
      <c r="C5389" s="208" t="s">
        <v>27</v>
      </c>
      <c r="D5389" s="211">
        <v>-396200</v>
      </c>
      <c r="E5389" s="212">
        <v>45505</v>
      </c>
      <c r="F5389" s="208" t="s">
        <v>109</v>
      </c>
      <c r="G5389" s="201" t="s">
        <v>581</v>
      </c>
      <c r="H5389" s="208" t="s">
        <v>147</v>
      </c>
      <c r="I5389" s="208"/>
      <c r="J5389" s="209"/>
      <c r="K5389" s="209"/>
      <c r="L5389" s="209"/>
      <c r="M5389" s="209"/>
      <c r="N5389" s="209"/>
      <c r="O5389" s="209"/>
      <c r="P5389" s="209"/>
      <c r="Q5389" s="209"/>
      <c r="R5389" s="209"/>
      <c r="S5389" s="209"/>
      <c r="T5389" s="209"/>
    </row>
    <row r="5390" spans="1:20" ht="15" hidden="1" customHeight="1">
      <c r="A5390" s="468">
        <v>45524</v>
      </c>
      <c r="B5390" s="208" t="s">
        <v>4497</v>
      </c>
      <c r="C5390" s="208" t="s">
        <v>27</v>
      </c>
      <c r="D5390" s="211">
        <v>-402500</v>
      </c>
      <c r="E5390" s="212">
        <v>45505</v>
      </c>
      <c r="F5390" s="201" t="s">
        <v>110</v>
      </c>
      <c r="G5390" s="208" t="s">
        <v>774</v>
      </c>
      <c r="H5390" s="208" t="s">
        <v>147</v>
      </c>
      <c r="I5390" s="208"/>
      <c r="J5390" s="209"/>
      <c r="K5390" s="209"/>
      <c r="L5390" s="209"/>
      <c r="M5390" s="209"/>
      <c r="N5390" s="209"/>
      <c r="O5390" s="209"/>
      <c r="P5390" s="209"/>
      <c r="Q5390" s="209"/>
      <c r="R5390" s="209"/>
      <c r="S5390" s="209"/>
      <c r="T5390" s="209"/>
    </row>
    <row r="5391" spans="1:20" ht="15" hidden="1" customHeight="1">
      <c r="A5391" s="468">
        <v>45524</v>
      </c>
      <c r="B5391" s="208" t="s">
        <v>4498</v>
      </c>
      <c r="C5391" s="208" t="s">
        <v>27</v>
      </c>
      <c r="D5391" s="211">
        <v>-411800</v>
      </c>
      <c r="E5391" s="212">
        <v>45505</v>
      </c>
      <c r="F5391" s="208" t="s">
        <v>207</v>
      </c>
      <c r="G5391" s="208"/>
      <c r="H5391" s="208"/>
      <c r="I5391" s="208"/>
      <c r="J5391" s="209"/>
      <c r="K5391" s="209"/>
      <c r="L5391" s="209"/>
      <c r="M5391" s="209"/>
      <c r="N5391" s="209"/>
      <c r="O5391" s="209"/>
      <c r="P5391" s="209"/>
      <c r="Q5391" s="209"/>
      <c r="R5391" s="209"/>
      <c r="S5391" s="209"/>
      <c r="T5391" s="209"/>
    </row>
    <row r="5392" spans="1:20" ht="15" hidden="1" customHeight="1">
      <c r="A5392" s="468">
        <v>45524</v>
      </c>
      <c r="B5392" s="208" t="s">
        <v>4499</v>
      </c>
      <c r="C5392" s="208" t="s">
        <v>27</v>
      </c>
      <c r="D5392" s="211">
        <v>-619200</v>
      </c>
      <c r="E5392" s="212">
        <v>45505</v>
      </c>
      <c r="F5392" s="208" t="s">
        <v>207</v>
      </c>
      <c r="G5392" s="208"/>
      <c r="H5392" s="208"/>
      <c r="I5392" s="208"/>
      <c r="J5392" s="209"/>
      <c r="K5392" s="209"/>
      <c r="L5392" s="209"/>
      <c r="M5392" s="209"/>
      <c r="N5392" s="209"/>
      <c r="O5392" s="209"/>
      <c r="P5392" s="209"/>
      <c r="Q5392" s="209"/>
      <c r="R5392" s="209"/>
      <c r="S5392" s="209"/>
      <c r="T5392" s="209"/>
    </row>
    <row r="5393" spans="1:20" ht="15" hidden="1" customHeight="1">
      <c r="A5393" s="468">
        <v>45524</v>
      </c>
      <c r="B5393" s="208" t="s">
        <v>4500</v>
      </c>
      <c r="C5393" s="208" t="s">
        <v>27</v>
      </c>
      <c r="D5393" s="211">
        <v>-399800</v>
      </c>
      <c r="E5393" s="212">
        <v>45505</v>
      </c>
      <c r="F5393" s="201" t="s">
        <v>110</v>
      </c>
      <c r="G5393" s="208" t="s">
        <v>774</v>
      </c>
      <c r="H5393" s="208" t="s">
        <v>147</v>
      </c>
      <c r="I5393" s="208"/>
      <c r="J5393" s="209"/>
      <c r="K5393" s="209"/>
      <c r="L5393" s="209"/>
      <c r="M5393" s="209"/>
      <c r="N5393" s="209"/>
      <c r="O5393" s="209"/>
      <c r="P5393" s="209"/>
      <c r="Q5393" s="209"/>
      <c r="R5393" s="209"/>
      <c r="S5393" s="209"/>
      <c r="T5393" s="209"/>
    </row>
    <row r="5394" spans="1:20" ht="15" hidden="1" customHeight="1">
      <c r="A5394" s="468">
        <v>45524</v>
      </c>
      <c r="B5394" s="208" t="s">
        <v>4501</v>
      </c>
      <c r="C5394" s="208" t="s">
        <v>27</v>
      </c>
      <c r="D5394" s="211">
        <v>-897900</v>
      </c>
      <c r="E5394" s="212">
        <v>45505</v>
      </c>
      <c r="F5394" s="208" t="s">
        <v>130</v>
      </c>
      <c r="G5394" s="208" t="s">
        <v>257</v>
      </c>
      <c r="H5394" s="208" t="s">
        <v>1175</v>
      </c>
      <c r="I5394" s="208"/>
      <c r="J5394" s="209"/>
      <c r="K5394" s="209"/>
      <c r="L5394" s="209"/>
      <c r="M5394" s="209"/>
      <c r="N5394" s="209"/>
      <c r="O5394" s="209"/>
      <c r="P5394" s="209"/>
      <c r="Q5394" s="209"/>
      <c r="R5394" s="209"/>
      <c r="S5394" s="209"/>
      <c r="T5394" s="209"/>
    </row>
    <row r="5395" spans="1:20" ht="15" hidden="1" customHeight="1">
      <c r="A5395" s="468">
        <v>45524</v>
      </c>
      <c r="B5395" s="208" t="s">
        <v>4502</v>
      </c>
      <c r="C5395" s="208" t="s">
        <v>27</v>
      </c>
      <c r="D5395" s="211">
        <v>-169300</v>
      </c>
      <c r="E5395" s="212">
        <v>45505</v>
      </c>
      <c r="F5395" s="208" t="s">
        <v>130</v>
      </c>
      <c r="G5395" s="208" t="s">
        <v>130</v>
      </c>
      <c r="H5395" s="208" t="s">
        <v>1175</v>
      </c>
      <c r="I5395" s="208"/>
      <c r="J5395" s="209"/>
      <c r="K5395" s="209"/>
      <c r="L5395" s="209"/>
      <c r="M5395" s="209"/>
      <c r="N5395" s="209"/>
      <c r="O5395" s="209"/>
      <c r="P5395" s="209"/>
      <c r="Q5395" s="209"/>
      <c r="R5395" s="209"/>
      <c r="S5395" s="209"/>
      <c r="T5395" s="209"/>
    </row>
    <row r="5396" spans="1:20" ht="15" hidden="1" customHeight="1">
      <c r="A5396" s="468">
        <v>45524</v>
      </c>
      <c r="B5396" s="208" t="s">
        <v>4503</v>
      </c>
      <c r="C5396" s="208" t="s">
        <v>27</v>
      </c>
      <c r="D5396" s="718">
        <v>-402500</v>
      </c>
      <c r="E5396" s="212">
        <v>45505</v>
      </c>
      <c r="F5396" s="208" t="s">
        <v>109</v>
      </c>
      <c r="G5396" s="201" t="s">
        <v>581</v>
      </c>
      <c r="H5396" s="208" t="s">
        <v>147</v>
      </c>
      <c r="I5396" s="208"/>
      <c r="J5396" s="209"/>
      <c r="K5396" s="209"/>
      <c r="L5396" s="209"/>
      <c r="M5396" s="209"/>
      <c r="N5396" s="209"/>
      <c r="O5396" s="209"/>
      <c r="P5396" s="209"/>
      <c r="Q5396" s="209"/>
      <c r="R5396" s="209"/>
      <c r="S5396" s="209"/>
      <c r="T5396" s="209"/>
    </row>
    <row r="5397" spans="1:20" ht="15" hidden="1" customHeight="1">
      <c r="A5397" s="468">
        <v>45524</v>
      </c>
      <c r="B5397" s="208" t="s">
        <v>4504</v>
      </c>
      <c r="C5397" s="208" t="s">
        <v>27</v>
      </c>
      <c r="D5397" s="211">
        <v>-644500</v>
      </c>
      <c r="E5397" s="212">
        <v>45505</v>
      </c>
      <c r="F5397" s="208" t="s">
        <v>109</v>
      </c>
      <c r="G5397" s="201" t="s">
        <v>581</v>
      </c>
      <c r="H5397" s="208" t="s">
        <v>147</v>
      </c>
      <c r="I5397" s="208"/>
      <c r="J5397" s="209"/>
      <c r="K5397" s="209"/>
      <c r="L5397" s="209"/>
      <c r="M5397" s="209"/>
      <c r="N5397" s="209"/>
      <c r="O5397" s="209"/>
      <c r="P5397" s="209"/>
      <c r="Q5397" s="209"/>
      <c r="R5397" s="209"/>
      <c r="S5397" s="209"/>
      <c r="T5397" s="209"/>
    </row>
    <row r="5398" spans="1:20" ht="15" hidden="1" customHeight="1">
      <c r="A5398" s="468">
        <v>45524</v>
      </c>
      <c r="B5398" s="208" t="s">
        <v>4505</v>
      </c>
      <c r="C5398" s="208" t="s">
        <v>27</v>
      </c>
      <c r="D5398" s="211">
        <v>-620200</v>
      </c>
      <c r="E5398" s="212">
        <v>45505</v>
      </c>
      <c r="F5398" s="208" t="s">
        <v>207</v>
      </c>
      <c r="G5398" s="208"/>
      <c r="H5398" s="208"/>
      <c r="I5398" s="208"/>
      <c r="J5398" s="209"/>
      <c r="K5398" s="209"/>
      <c r="L5398" s="209"/>
      <c r="M5398" s="209"/>
      <c r="N5398" s="209"/>
      <c r="O5398" s="209"/>
      <c r="P5398" s="209"/>
      <c r="Q5398" s="209"/>
      <c r="R5398" s="209"/>
      <c r="S5398" s="209"/>
      <c r="T5398" s="209"/>
    </row>
    <row r="5399" spans="1:20" ht="15" hidden="1" customHeight="1">
      <c r="A5399" s="468">
        <v>45524</v>
      </c>
      <c r="B5399" s="208" t="s">
        <v>4506</v>
      </c>
      <c r="C5399" s="208" t="s">
        <v>27</v>
      </c>
      <c r="D5399" s="211">
        <v>-390500</v>
      </c>
      <c r="E5399" s="212">
        <v>45505</v>
      </c>
      <c r="F5399" s="208" t="s">
        <v>130</v>
      </c>
      <c r="G5399" s="208" t="s">
        <v>130</v>
      </c>
      <c r="H5399" s="208" t="s">
        <v>1175</v>
      </c>
      <c r="I5399" s="208"/>
      <c r="J5399" s="209"/>
      <c r="K5399" s="209"/>
      <c r="L5399" s="209"/>
      <c r="M5399" s="209"/>
      <c r="N5399" s="209"/>
      <c r="O5399" s="209"/>
      <c r="P5399" s="209"/>
      <c r="Q5399" s="209"/>
      <c r="R5399" s="209"/>
      <c r="S5399" s="209"/>
      <c r="T5399" s="209"/>
    </row>
    <row r="5400" spans="1:20" ht="15" hidden="1" customHeight="1">
      <c r="A5400" s="468">
        <v>45524</v>
      </c>
      <c r="B5400" s="208" t="s">
        <v>4507</v>
      </c>
      <c r="C5400" s="208" t="s">
        <v>27</v>
      </c>
      <c r="D5400" s="211">
        <v>-772500</v>
      </c>
      <c r="E5400" s="212">
        <v>45505</v>
      </c>
      <c r="F5400" s="201" t="s">
        <v>110</v>
      </c>
      <c r="G5400" s="208" t="s">
        <v>774</v>
      </c>
      <c r="H5400" s="208" t="s">
        <v>147</v>
      </c>
      <c r="I5400" s="208"/>
      <c r="J5400" s="209"/>
      <c r="K5400" s="209"/>
      <c r="L5400" s="209"/>
      <c r="M5400" s="209"/>
      <c r="N5400" s="209"/>
      <c r="O5400" s="209"/>
      <c r="P5400" s="209"/>
      <c r="Q5400" s="209"/>
      <c r="R5400" s="209"/>
      <c r="S5400" s="209"/>
      <c r="T5400" s="209"/>
    </row>
    <row r="5401" spans="1:20" ht="15" hidden="1" customHeight="1">
      <c r="A5401" s="468">
        <v>45524</v>
      </c>
      <c r="B5401" s="208" t="s">
        <v>4508</v>
      </c>
      <c r="C5401" s="208" t="s">
        <v>27</v>
      </c>
      <c r="D5401" s="718">
        <v>-402500</v>
      </c>
      <c r="E5401" s="212">
        <v>45505</v>
      </c>
      <c r="F5401" s="208" t="s">
        <v>109</v>
      </c>
      <c r="G5401" s="201" t="s">
        <v>581</v>
      </c>
      <c r="H5401" s="208" t="s">
        <v>147</v>
      </c>
      <c r="I5401" s="208"/>
      <c r="J5401" s="209"/>
      <c r="K5401" s="209"/>
      <c r="L5401" s="209"/>
      <c r="M5401" s="209"/>
      <c r="N5401" s="209"/>
      <c r="O5401" s="209"/>
      <c r="P5401" s="209"/>
      <c r="Q5401" s="209"/>
      <c r="R5401" s="209"/>
      <c r="S5401" s="209"/>
      <c r="T5401" s="209"/>
    </row>
    <row r="5402" spans="1:20" ht="15" hidden="1" customHeight="1">
      <c r="A5402" s="468">
        <v>45524</v>
      </c>
      <c r="B5402" s="208" t="s">
        <v>4509</v>
      </c>
      <c r="C5402" s="208" t="s">
        <v>27</v>
      </c>
      <c r="D5402" s="718">
        <v>-402500</v>
      </c>
      <c r="E5402" s="212">
        <v>45505</v>
      </c>
      <c r="F5402" s="208" t="s">
        <v>109</v>
      </c>
      <c r="G5402" s="201" t="s">
        <v>581</v>
      </c>
      <c r="H5402" s="208" t="s">
        <v>147</v>
      </c>
      <c r="I5402" s="208"/>
      <c r="J5402" s="209"/>
      <c r="K5402" s="209"/>
      <c r="L5402" s="209"/>
      <c r="M5402" s="209"/>
      <c r="N5402" s="209"/>
      <c r="O5402" s="209"/>
      <c r="P5402" s="209"/>
      <c r="Q5402" s="209"/>
      <c r="R5402" s="209"/>
      <c r="S5402" s="209"/>
      <c r="T5402" s="209"/>
    </row>
    <row r="5403" spans="1:20" ht="15" hidden="1" customHeight="1">
      <c r="A5403" s="468">
        <v>45524</v>
      </c>
      <c r="B5403" s="208" t="s">
        <v>4510</v>
      </c>
      <c r="C5403" s="208" t="s">
        <v>27</v>
      </c>
      <c r="D5403" s="211">
        <v>-383200</v>
      </c>
      <c r="E5403" s="212">
        <v>45505</v>
      </c>
      <c r="F5403" s="208" t="s">
        <v>109</v>
      </c>
      <c r="G5403" s="201" t="s">
        <v>581</v>
      </c>
      <c r="H5403" s="208" t="s">
        <v>147</v>
      </c>
      <c r="I5403" s="208"/>
      <c r="J5403" s="209"/>
      <c r="K5403" s="209"/>
      <c r="L5403" s="209"/>
      <c r="M5403" s="209"/>
      <c r="N5403" s="209"/>
      <c r="O5403" s="209"/>
      <c r="P5403" s="209"/>
      <c r="Q5403" s="209"/>
      <c r="R5403" s="209"/>
      <c r="S5403" s="209"/>
      <c r="T5403" s="209"/>
    </row>
    <row r="5404" spans="1:20" ht="15" hidden="1" customHeight="1">
      <c r="A5404" s="468">
        <v>45524</v>
      </c>
      <c r="B5404" s="208" t="s">
        <v>4511</v>
      </c>
      <c r="C5404" s="208" t="s">
        <v>27</v>
      </c>
      <c r="D5404" s="211">
        <v>-345500</v>
      </c>
      <c r="E5404" s="212">
        <v>45505</v>
      </c>
      <c r="F5404" s="208" t="s">
        <v>109</v>
      </c>
      <c r="G5404" s="201" t="s">
        <v>581</v>
      </c>
      <c r="H5404" s="208" t="s">
        <v>147</v>
      </c>
      <c r="I5404" s="208"/>
      <c r="J5404" s="209"/>
      <c r="K5404" s="209"/>
      <c r="L5404" s="209"/>
      <c r="M5404" s="209"/>
      <c r="N5404" s="209"/>
      <c r="O5404" s="209"/>
      <c r="P5404" s="209"/>
      <c r="Q5404" s="209"/>
      <c r="R5404" s="209"/>
      <c r="S5404" s="209"/>
      <c r="T5404" s="209"/>
    </row>
    <row r="5405" spans="1:20" ht="15" hidden="1" customHeight="1">
      <c r="A5405" s="468">
        <v>45524</v>
      </c>
      <c r="B5405" s="208" t="s">
        <v>4512</v>
      </c>
      <c r="C5405" s="208" t="s">
        <v>27</v>
      </c>
      <c r="D5405" s="718">
        <v>-402500</v>
      </c>
      <c r="E5405" s="212">
        <v>45505</v>
      </c>
      <c r="F5405" s="208" t="s">
        <v>109</v>
      </c>
      <c r="G5405" s="201" t="s">
        <v>581</v>
      </c>
      <c r="H5405" s="208" t="s">
        <v>147</v>
      </c>
      <c r="I5405" s="208"/>
      <c r="J5405" s="209"/>
      <c r="K5405" s="209"/>
      <c r="L5405" s="209"/>
      <c r="M5405" s="209"/>
      <c r="N5405" s="209"/>
      <c r="O5405" s="209"/>
      <c r="P5405" s="209"/>
      <c r="Q5405" s="209"/>
      <c r="R5405" s="209"/>
      <c r="S5405" s="209"/>
      <c r="T5405" s="209"/>
    </row>
    <row r="5406" spans="1:20" ht="15" hidden="1" customHeight="1">
      <c r="A5406" s="468">
        <v>45524</v>
      </c>
      <c r="B5406" s="208" t="s">
        <v>4513</v>
      </c>
      <c r="C5406" s="208" t="s">
        <v>27</v>
      </c>
      <c r="D5406" s="718">
        <v>-402500</v>
      </c>
      <c r="E5406" s="212">
        <v>45505</v>
      </c>
      <c r="F5406" s="208" t="s">
        <v>109</v>
      </c>
      <c r="G5406" s="201" t="s">
        <v>581</v>
      </c>
      <c r="H5406" s="208" t="s">
        <v>147</v>
      </c>
      <c r="I5406" s="208"/>
      <c r="J5406" s="209"/>
      <c r="K5406" s="209"/>
      <c r="L5406" s="209"/>
      <c r="M5406" s="209"/>
      <c r="N5406" s="209"/>
      <c r="O5406" s="209"/>
      <c r="P5406" s="209"/>
      <c r="Q5406" s="209"/>
      <c r="R5406" s="209"/>
      <c r="S5406" s="209"/>
      <c r="T5406" s="209"/>
    </row>
    <row r="5407" spans="1:20" ht="15" hidden="1" customHeight="1">
      <c r="A5407" s="468">
        <v>45524</v>
      </c>
      <c r="B5407" s="208" t="s">
        <v>4514</v>
      </c>
      <c r="C5407" s="208" t="s">
        <v>27</v>
      </c>
      <c r="D5407" s="718">
        <v>-402500</v>
      </c>
      <c r="E5407" s="212">
        <v>45505</v>
      </c>
      <c r="F5407" s="208" t="s">
        <v>109</v>
      </c>
      <c r="G5407" s="201" t="s">
        <v>581</v>
      </c>
      <c r="H5407" s="208" t="s">
        <v>147</v>
      </c>
      <c r="I5407" s="208"/>
      <c r="J5407" s="209"/>
      <c r="K5407" s="209"/>
      <c r="L5407" s="209"/>
      <c r="M5407" s="209"/>
      <c r="N5407" s="209"/>
      <c r="O5407" s="209"/>
      <c r="P5407" s="209"/>
      <c r="Q5407" s="209"/>
      <c r="R5407" s="209"/>
      <c r="S5407" s="209"/>
      <c r="T5407" s="209"/>
    </row>
    <row r="5408" spans="1:20" ht="15" hidden="1" customHeight="1">
      <c r="A5408" s="468">
        <v>45524</v>
      </c>
      <c r="B5408" s="208" t="s">
        <v>4515</v>
      </c>
      <c r="C5408" s="208" t="s">
        <v>27</v>
      </c>
      <c r="D5408" s="718">
        <v>-402500</v>
      </c>
      <c r="E5408" s="212">
        <v>45505</v>
      </c>
      <c r="F5408" s="208" t="s">
        <v>109</v>
      </c>
      <c r="G5408" s="201" t="s">
        <v>581</v>
      </c>
      <c r="H5408" s="208" t="s">
        <v>147</v>
      </c>
      <c r="I5408" s="208"/>
      <c r="J5408" s="209"/>
      <c r="K5408" s="209"/>
      <c r="L5408" s="209"/>
      <c r="M5408" s="209"/>
      <c r="N5408" s="209"/>
      <c r="O5408" s="209"/>
      <c r="P5408" s="209"/>
      <c r="Q5408" s="209"/>
      <c r="R5408" s="209"/>
      <c r="S5408" s="209"/>
      <c r="T5408" s="209"/>
    </row>
    <row r="5409" spans="1:20" ht="15" hidden="1" customHeight="1">
      <c r="A5409" s="468">
        <v>45524</v>
      </c>
      <c r="B5409" s="208" t="s">
        <v>4516</v>
      </c>
      <c r="C5409" s="208" t="s">
        <v>27</v>
      </c>
      <c r="D5409" s="211">
        <v>-399800</v>
      </c>
      <c r="E5409" s="212">
        <v>45505</v>
      </c>
      <c r="F5409" s="208" t="s">
        <v>109</v>
      </c>
      <c r="G5409" s="654" t="s">
        <v>2585</v>
      </c>
      <c r="H5409" s="208" t="s">
        <v>147</v>
      </c>
      <c r="I5409" s="208"/>
      <c r="J5409" s="209"/>
      <c r="K5409" s="209"/>
      <c r="L5409" s="209"/>
      <c r="M5409" s="209"/>
      <c r="N5409" s="209"/>
      <c r="O5409" s="209"/>
      <c r="P5409" s="209"/>
      <c r="Q5409" s="209"/>
      <c r="R5409" s="209"/>
      <c r="S5409" s="209"/>
      <c r="T5409" s="209"/>
    </row>
    <row r="5410" spans="1:20" ht="15" hidden="1" customHeight="1">
      <c r="A5410" s="468">
        <v>45524</v>
      </c>
      <c r="B5410" s="208" t="s">
        <v>4517</v>
      </c>
      <c r="C5410" s="208" t="s">
        <v>27</v>
      </c>
      <c r="D5410" s="211">
        <v>-416300</v>
      </c>
      <c r="E5410" s="212">
        <v>45505</v>
      </c>
      <c r="F5410" s="208" t="s">
        <v>207</v>
      </c>
      <c r="G5410" s="208"/>
      <c r="H5410" s="208"/>
      <c r="I5410" s="208"/>
      <c r="J5410" s="209"/>
      <c r="K5410" s="209"/>
      <c r="L5410" s="209"/>
      <c r="M5410" s="209"/>
      <c r="N5410" s="209"/>
      <c r="O5410" s="209"/>
      <c r="P5410" s="209"/>
      <c r="Q5410" s="209"/>
      <c r="R5410" s="209"/>
      <c r="S5410" s="209"/>
      <c r="T5410" s="209"/>
    </row>
    <row r="5411" spans="1:20" ht="15" hidden="1" customHeight="1">
      <c r="A5411" s="468">
        <v>45524</v>
      </c>
      <c r="B5411" s="208" t="s">
        <v>4518</v>
      </c>
      <c r="C5411" s="208" t="s">
        <v>27</v>
      </c>
      <c r="D5411" s="211">
        <v>-402500</v>
      </c>
      <c r="E5411" s="212">
        <v>45505</v>
      </c>
      <c r="F5411" s="208" t="s">
        <v>109</v>
      </c>
      <c r="G5411" s="654" t="s">
        <v>2585</v>
      </c>
      <c r="H5411" s="208" t="s">
        <v>147</v>
      </c>
      <c r="I5411" s="208"/>
      <c r="J5411" s="209"/>
      <c r="K5411" s="209"/>
      <c r="L5411" s="209"/>
      <c r="M5411" s="209"/>
      <c r="N5411" s="209"/>
      <c r="O5411" s="209"/>
      <c r="P5411" s="209"/>
      <c r="Q5411" s="209"/>
      <c r="R5411" s="209"/>
      <c r="S5411" s="209"/>
      <c r="T5411" s="209"/>
    </row>
    <row r="5412" spans="1:20" ht="15" hidden="1" customHeight="1">
      <c r="A5412" s="468">
        <v>45524</v>
      </c>
      <c r="B5412" s="208" t="s">
        <v>4519</v>
      </c>
      <c r="C5412" s="208" t="s">
        <v>27</v>
      </c>
      <c r="D5412" s="211">
        <v>-398000</v>
      </c>
      <c r="E5412" s="212">
        <v>45505</v>
      </c>
      <c r="F5412" s="201" t="s">
        <v>110</v>
      </c>
      <c r="G5412" s="208" t="s">
        <v>774</v>
      </c>
      <c r="H5412" s="208" t="s">
        <v>147</v>
      </c>
      <c r="I5412" s="208"/>
      <c r="J5412" s="209"/>
      <c r="K5412" s="209"/>
      <c r="L5412" s="209"/>
      <c r="M5412" s="209"/>
      <c r="N5412" s="209"/>
      <c r="O5412" s="209"/>
      <c r="P5412" s="209"/>
      <c r="Q5412" s="209"/>
      <c r="R5412" s="209"/>
      <c r="S5412" s="209"/>
      <c r="T5412" s="209"/>
    </row>
    <row r="5413" spans="1:20" ht="15" hidden="1" customHeight="1">
      <c r="A5413" s="468">
        <v>45524</v>
      </c>
      <c r="B5413" s="208" t="s">
        <v>4520</v>
      </c>
      <c r="C5413" s="208" t="s">
        <v>27</v>
      </c>
      <c r="D5413" s="211">
        <v>-399800</v>
      </c>
      <c r="E5413" s="212">
        <v>45505</v>
      </c>
      <c r="F5413" s="208" t="s">
        <v>207</v>
      </c>
      <c r="G5413" s="208"/>
      <c r="H5413" s="208"/>
      <c r="I5413" s="208"/>
      <c r="J5413" s="209"/>
      <c r="K5413" s="209"/>
      <c r="L5413" s="209"/>
      <c r="M5413" s="209"/>
      <c r="N5413" s="209"/>
      <c r="O5413" s="209"/>
      <c r="P5413" s="209"/>
      <c r="Q5413" s="209"/>
      <c r="R5413" s="209"/>
      <c r="S5413" s="209"/>
      <c r="T5413" s="209"/>
    </row>
    <row r="5414" spans="1:20" ht="15" hidden="1" customHeight="1">
      <c r="A5414" s="468">
        <v>45524</v>
      </c>
      <c r="B5414" s="208" t="s">
        <v>4521</v>
      </c>
      <c r="C5414" s="208" t="s">
        <v>27</v>
      </c>
      <c r="D5414" s="211">
        <v>-1021700</v>
      </c>
      <c r="E5414" s="212">
        <v>45505</v>
      </c>
      <c r="F5414" s="201" t="s">
        <v>110</v>
      </c>
      <c r="G5414" s="208" t="s">
        <v>3245</v>
      </c>
      <c r="H5414" s="208" t="s">
        <v>508</v>
      </c>
      <c r="I5414" s="208"/>
      <c r="J5414" s="209"/>
      <c r="K5414" s="209"/>
      <c r="L5414" s="209"/>
      <c r="M5414" s="209"/>
      <c r="N5414" s="209"/>
      <c r="O5414" s="209"/>
      <c r="P5414" s="209"/>
      <c r="Q5414" s="209"/>
      <c r="R5414" s="209"/>
      <c r="S5414" s="209"/>
      <c r="T5414" s="209"/>
    </row>
    <row r="5415" spans="1:20" ht="15" hidden="1" customHeight="1">
      <c r="A5415" s="468">
        <v>45524</v>
      </c>
      <c r="B5415" s="208" t="s">
        <v>4522</v>
      </c>
      <c r="C5415" s="208" t="s">
        <v>27</v>
      </c>
      <c r="D5415" s="211">
        <v>-134166</v>
      </c>
      <c r="E5415" s="212">
        <v>45505</v>
      </c>
      <c r="F5415" s="201" t="s">
        <v>110</v>
      </c>
      <c r="G5415" s="208" t="s">
        <v>774</v>
      </c>
      <c r="H5415" s="208" t="s">
        <v>508</v>
      </c>
      <c r="I5415" s="208"/>
      <c r="J5415" s="209"/>
      <c r="K5415" s="209"/>
      <c r="L5415" s="209"/>
      <c r="M5415" s="209"/>
      <c r="N5415" s="209"/>
      <c r="O5415" s="209"/>
      <c r="P5415" s="209"/>
      <c r="Q5415" s="209"/>
      <c r="R5415" s="209"/>
      <c r="S5415" s="209"/>
      <c r="T5415" s="209"/>
    </row>
    <row r="5416" spans="1:20" ht="15" hidden="1" customHeight="1">
      <c r="A5416" s="468">
        <v>45524</v>
      </c>
      <c r="B5416" s="208" t="s">
        <v>4522</v>
      </c>
      <c r="C5416" s="208" t="s">
        <v>27</v>
      </c>
      <c r="D5416" s="211">
        <v>-134167</v>
      </c>
      <c r="E5416" s="212">
        <v>45505</v>
      </c>
      <c r="F5416" s="208" t="s">
        <v>109</v>
      </c>
      <c r="G5416" s="201" t="s">
        <v>1306</v>
      </c>
      <c r="H5416" s="208" t="s">
        <v>508</v>
      </c>
      <c r="I5416" s="208"/>
      <c r="J5416" s="209"/>
      <c r="K5416" s="209"/>
      <c r="L5416" s="209"/>
      <c r="M5416" s="209"/>
      <c r="N5416" s="209"/>
      <c r="O5416" s="209"/>
      <c r="P5416" s="209"/>
      <c r="Q5416" s="209"/>
      <c r="R5416" s="209"/>
      <c r="S5416" s="209"/>
      <c r="T5416" s="209"/>
    </row>
    <row r="5417" spans="1:20" ht="15" hidden="1" customHeight="1">
      <c r="A5417" s="468">
        <v>45524</v>
      </c>
      <c r="B5417" s="208" t="s">
        <v>4522</v>
      </c>
      <c r="C5417" s="208" t="s">
        <v>27</v>
      </c>
      <c r="D5417" s="211">
        <v>-134167</v>
      </c>
      <c r="E5417" s="212">
        <v>45505</v>
      </c>
      <c r="F5417" s="201" t="s">
        <v>110</v>
      </c>
      <c r="G5417" s="208" t="s">
        <v>774</v>
      </c>
      <c r="H5417" s="208" t="s">
        <v>508</v>
      </c>
      <c r="I5417" s="208"/>
      <c r="J5417" s="209"/>
      <c r="K5417" s="209"/>
      <c r="L5417" s="209"/>
      <c r="M5417" s="209"/>
      <c r="N5417" s="209"/>
      <c r="O5417" s="209"/>
      <c r="P5417" s="209"/>
      <c r="Q5417" s="209"/>
      <c r="R5417" s="209"/>
      <c r="S5417" s="209"/>
      <c r="T5417" s="209"/>
    </row>
    <row r="5418" spans="1:20" ht="15" hidden="1" customHeight="1">
      <c r="A5418" s="468">
        <v>45524</v>
      </c>
      <c r="B5418" s="208" t="s">
        <v>4523</v>
      </c>
      <c r="C5418" s="208" t="s">
        <v>27</v>
      </c>
      <c r="D5418" s="211">
        <v>-327200</v>
      </c>
      <c r="E5418" s="212">
        <v>45505</v>
      </c>
      <c r="F5418" s="208" t="s">
        <v>109</v>
      </c>
      <c r="G5418" s="208" t="s">
        <v>2809</v>
      </c>
      <c r="H5418" s="208" t="s">
        <v>1175</v>
      </c>
      <c r="I5418" s="208"/>
      <c r="J5418" s="209"/>
      <c r="K5418" s="209"/>
      <c r="L5418" s="209"/>
      <c r="M5418" s="209"/>
      <c r="N5418" s="209"/>
      <c r="O5418" s="209"/>
      <c r="P5418" s="209"/>
      <c r="Q5418" s="209"/>
      <c r="R5418" s="209"/>
      <c r="S5418" s="209"/>
      <c r="T5418" s="209"/>
    </row>
    <row r="5419" spans="1:20" ht="15" hidden="1" customHeight="1">
      <c r="A5419" s="468">
        <v>45524</v>
      </c>
      <c r="B5419" s="208" t="s">
        <v>4524</v>
      </c>
      <c r="C5419" s="208" t="s">
        <v>27</v>
      </c>
      <c r="D5419" s="718">
        <v>-413100</v>
      </c>
      <c r="E5419" s="212">
        <v>45505</v>
      </c>
      <c r="F5419" s="208" t="s">
        <v>109</v>
      </c>
      <c r="G5419" s="201" t="s">
        <v>581</v>
      </c>
      <c r="H5419" s="208" t="s">
        <v>508</v>
      </c>
      <c r="I5419" s="208"/>
      <c r="J5419" s="209"/>
      <c r="K5419" s="209"/>
      <c r="L5419" s="209"/>
      <c r="M5419" s="209"/>
      <c r="N5419" s="209"/>
      <c r="O5419" s="209"/>
      <c r="P5419" s="209"/>
      <c r="Q5419" s="209"/>
      <c r="R5419" s="209"/>
      <c r="S5419" s="209"/>
      <c r="T5419" s="209"/>
    </row>
    <row r="5420" spans="1:20" ht="15" hidden="1" customHeight="1">
      <c r="A5420" s="468">
        <v>45524</v>
      </c>
      <c r="B5420" s="208" t="s">
        <v>4525</v>
      </c>
      <c r="C5420" s="208" t="s">
        <v>27</v>
      </c>
      <c r="D5420" s="211">
        <v>-350700</v>
      </c>
      <c r="E5420" s="212">
        <v>45505</v>
      </c>
      <c r="F5420" s="208" t="s">
        <v>109</v>
      </c>
      <c r="G5420" s="208" t="s">
        <v>2809</v>
      </c>
      <c r="H5420" s="208" t="s">
        <v>1175</v>
      </c>
      <c r="I5420" s="208"/>
      <c r="J5420" s="209"/>
      <c r="K5420" s="209"/>
      <c r="L5420" s="209"/>
      <c r="M5420" s="209"/>
      <c r="N5420" s="209"/>
      <c r="O5420" s="209"/>
      <c r="P5420" s="209"/>
      <c r="Q5420" s="209"/>
      <c r="R5420" s="209"/>
      <c r="S5420" s="209"/>
      <c r="T5420" s="209"/>
    </row>
    <row r="5421" spans="1:20" ht="15" hidden="1" customHeight="1">
      <c r="A5421" s="468">
        <v>45524</v>
      </c>
      <c r="B5421" s="208" t="s">
        <v>4526</v>
      </c>
      <c r="C5421" s="208" t="s">
        <v>27</v>
      </c>
      <c r="D5421" s="211">
        <v>-241200</v>
      </c>
      <c r="E5421" s="212">
        <v>45505</v>
      </c>
      <c r="F5421" s="208" t="s">
        <v>109</v>
      </c>
      <c r="G5421" s="654" t="s">
        <v>2585</v>
      </c>
      <c r="H5421" s="208" t="s">
        <v>508</v>
      </c>
      <c r="I5421" s="208"/>
      <c r="J5421" s="209"/>
      <c r="K5421" s="209"/>
      <c r="L5421" s="209"/>
      <c r="M5421" s="209"/>
      <c r="N5421" s="209"/>
      <c r="O5421" s="209"/>
      <c r="P5421" s="209"/>
      <c r="Q5421" s="209"/>
      <c r="R5421" s="209"/>
      <c r="S5421" s="209"/>
      <c r="T5421" s="209"/>
    </row>
    <row r="5422" spans="1:20" ht="15" hidden="1" customHeight="1">
      <c r="A5422" s="468">
        <v>45524</v>
      </c>
      <c r="B5422" s="208" t="s">
        <v>4527</v>
      </c>
      <c r="C5422" s="208" t="s">
        <v>27</v>
      </c>
      <c r="D5422" s="211">
        <v>-95700</v>
      </c>
      <c r="E5422" s="212">
        <v>45505</v>
      </c>
      <c r="F5422" s="208" t="s">
        <v>109</v>
      </c>
      <c r="G5422" s="201" t="s">
        <v>581</v>
      </c>
      <c r="H5422" s="208" t="s">
        <v>147</v>
      </c>
      <c r="I5422" s="208"/>
      <c r="J5422" s="209"/>
      <c r="K5422" s="209"/>
      <c r="L5422" s="209"/>
      <c r="M5422" s="209"/>
      <c r="N5422" s="209"/>
      <c r="O5422" s="209"/>
      <c r="P5422" s="209"/>
      <c r="Q5422" s="209"/>
      <c r="R5422" s="209"/>
      <c r="S5422" s="209"/>
      <c r="T5422" s="209"/>
    </row>
    <row r="5423" spans="1:20" ht="15" hidden="1" customHeight="1">
      <c r="A5423" s="468">
        <v>45524</v>
      </c>
      <c r="B5423" s="208" t="s">
        <v>4528</v>
      </c>
      <c r="C5423" s="208" t="s">
        <v>27</v>
      </c>
      <c r="D5423" s="211">
        <v>-95700</v>
      </c>
      <c r="E5423" s="212">
        <v>45505</v>
      </c>
      <c r="F5423" s="208" t="s">
        <v>109</v>
      </c>
      <c r="G5423" s="201" t="s">
        <v>581</v>
      </c>
      <c r="H5423" s="208" t="s">
        <v>147</v>
      </c>
      <c r="I5423" s="208"/>
      <c r="J5423" s="209"/>
      <c r="K5423" s="209"/>
      <c r="L5423" s="209"/>
      <c r="M5423" s="209"/>
      <c r="N5423" s="209"/>
      <c r="O5423" s="209"/>
      <c r="P5423" s="209"/>
      <c r="Q5423" s="209"/>
      <c r="R5423" s="209"/>
      <c r="S5423" s="209"/>
      <c r="T5423" s="209"/>
    </row>
    <row r="5424" spans="1:20" ht="15" hidden="1" customHeight="1">
      <c r="A5424" s="468">
        <v>45524</v>
      </c>
      <c r="B5424" s="208" t="s">
        <v>4529</v>
      </c>
      <c r="C5424" s="208" t="s">
        <v>27</v>
      </c>
      <c r="D5424" s="211">
        <v>-95700</v>
      </c>
      <c r="E5424" s="212">
        <v>45505</v>
      </c>
      <c r="F5424" s="208" t="s">
        <v>109</v>
      </c>
      <c r="G5424" s="201" t="s">
        <v>581</v>
      </c>
      <c r="H5424" s="208" t="s">
        <v>147</v>
      </c>
      <c r="I5424" s="208"/>
      <c r="J5424" s="209"/>
      <c r="K5424" s="209"/>
      <c r="L5424" s="209"/>
      <c r="M5424" s="209"/>
      <c r="N5424" s="209"/>
      <c r="O5424" s="209"/>
      <c r="P5424" s="209"/>
      <c r="Q5424" s="209"/>
      <c r="R5424" s="209"/>
      <c r="S5424" s="209"/>
      <c r="T5424" s="209"/>
    </row>
    <row r="5425" spans="1:20" ht="15" hidden="1" customHeight="1">
      <c r="A5425" s="468">
        <v>45524</v>
      </c>
      <c r="B5425" s="208" t="s">
        <v>4530</v>
      </c>
      <c r="C5425" s="208" t="s">
        <v>27</v>
      </c>
      <c r="D5425" s="211">
        <v>-95700</v>
      </c>
      <c r="E5425" s="212">
        <v>45505</v>
      </c>
      <c r="F5425" s="208" t="s">
        <v>109</v>
      </c>
      <c r="G5425" s="201" t="s">
        <v>581</v>
      </c>
      <c r="H5425" s="208" t="s">
        <v>147</v>
      </c>
      <c r="I5425" s="208"/>
      <c r="J5425" s="209"/>
      <c r="K5425" s="209"/>
      <c r="L5425" s="209"/>
      <c r="M5425" s="209"/>
      <c r="N5425" s="209"/>
      <c r="O5425" s="209"/>
      <c r="P5425" s="209"/>
      <c r="Q5425" s="209"/>
      <c r="R5425" s="209"/>
      <c r="S5425" s="209"/>
      <c r="T5425" s="209"/>
    </row>
    <row r="5426" spans="1:20" ht="15" hidden="1" customHeight="1">
      <c r="A5426" s="468">
        <v>45524</v>
      </c>
      <c r="B5426" s="208" t="s">
        <v>4531</v>
      </c>
      <c r="C5426" s="208" t="s">
        <v>27</v>
      </c>
      <c r="D5426" s="211">
        <v>-6800</v>
      </c>
      <c r="E5426" s="212">
        <v>45505</v>
      </c>
      <c r="F5426" s="208" t="s">
        <v>130</v>
      </c>
      <c r="G5426" s="208" t="s">
        <v>130</v>
      </c>
      <c r="H5426" s="208" t="s">
        <v>1175</v>
      </c>
      <c r="I5426" s="208"/>
      <c r="J5426" s="209"/>
      <c r="K5426" s="209"/>
      <c r="L5426" s="209"/>
      <c r="M5426" s="209"/>
      <c r="N5426" s="209"/>
      <c r="O5426" s="209"/>
      <c r="P5426" s="209"/>
      <c r="Q5426" s="209"/>
      <c r="R5426" s="209"/>
      <c r="S5426" s="209"/>
      <c r="T5426" s="209"/>
    </row>
    <row r="5427" spans="1:20" ht="15" hidden="1" customHeight="1">
      <c r="A5427" s="468">
        <v>45524</v>
      </c>
      <c r="B5427" s="208" t="s">
        <v>4532</v>
      </c>
      <c r="C5427" s="208" t="s">
        <v>27</v>
      </c>
      <c r="D5427" s="211">
        <v>-268500</v>
      </c>
      <c r="E5427" s="212">
        <v>45505</v>
      </c>
      <c r="F5427" s="208" t="s">
        <v>130</v>
      </c>
      <c r="G5427" s="208" t="s">
        <v>130</v>
      </c>
      <c r="H5427" s="208" t="s">
        <v>1175</v>
      </c>
      <c r="I5427" s="208"/>
      <c r="J5427" s="209"/>
      <c r="K5427" s="209"/>
      <c r="L5427" s="209"/>
      <c r="M5427" s="209"/>
      <c r="N5427" s="209"/>
      <c r="O5427" s="209"/>
      <c r="P5427" s="209"/>
      <c r="Q5427" s="209"/>
      <c r="R5427" s="209"/>
      <c r="S5427" s="209"/>
      <c r="T5427" s="209"/>
    </row>
    <row r="5428" spans="1:20" ht="15" hidden="1" customHeight="1">
      <c r="A5428" s="468">
        <v>45524</v>
      </c>
      <c r="B5428" s="208" t="s">
        <v>4533</v>
      </c>
      <c r="C5428" s="208" t="s">
        <v>27</v>
      </c>
      <c r="D5428" s="211">
        <v>-134400</v>
      </c>
      <c r="E5428" s="212">
        <v>45505</v>
      </c>
      <c r="F5428" s="208" t="s">
        <v>130</v>
      </c>
      <c r="G5428" s="208" t="s">
        <v>130</v>
      </c>
      <c r="H5428" s="208" t="s">
        <v>1175</v>
      </c>
      <c r="I5428" s="208"/>
      <c r="J5428" s="209"/>
      <c r="K5428" s="209"/>
      <c r="L5428" s="209"/>
      <c r="M5428" s="209"/>
      <c r="N5428" s="209"/>
      <c r="O5428" s="209"/>
      <c r="P5428" s="209"/>
      <c r="Q5428" s="209"/>
      <c r="R5428" s="209"/>
      <c r="S5428" s="209"/>
      <c r="T5428" s="209"/>
    </row>
    <row r="5429" spans="1:20" ht="15" hidden="1" customHeight="1">
      <c r="A5429" s="468">
        <v>45524</v>
      </c>
      <c r="B5429" s="208" t="s">
        <v>4387</v>
      </c>
      <c r="C5429" s="208" t="s">
        <v>3331</v>
      </c>
      <c r="D5429" s="211">
        <v>-962629.96</v>
      </c>
      <c r="E5429" s="212">
        <v>45505</v>
      </c>
      <c r="F5429" s="208" t="s">
        <v>118</v>
      </c>
      <c r="G5429" s="208"/>
      <c r="H5429" s="208"/>
      <c r="I5429" s="208"/>
      <c r="J5429" s="209"/>
      <c r="K5429" s="209"/>
      <c r="L5429" s="209"/>
      <c r="M5429" s="209"/>
      <c r="N5429" s="209"/>
      <c r="O5429" s="209"/>
      <c r="P5429" s="209"/>
      <c r="Q5429" s="209"/>
      <c r="R5429" s="209"/>
      <c r="S5429" s="209"/>
      <c r="T5429" s="209"/>
    </row>
    <row r="5430" spans="1:20" s="476" customFormat="1" ht="15" hidden="1" customHeight="1">
      <c r="A5430" s="468">
        <v>45530</v>
      </c>
      <c r="B5430" s="208" t="s">
        <v>4534</v>
      </c>
      <c r="C5430" s="208" t="s">
        <v>269</v>
      </c>
      <c r="D5430" s="211">
        <v>-110000</v>
      </c>
      <c r="E5430" s="212">
        <v>45505</v>
      </c>
      <c r="F5430" s="208" t="s">
        <v>110</v>
      </c>
      <c r="G5430" s="201" t="s">
        <v>1489</v>
      </c>
      <c r="H5430" s="208" t="s">
        <v>138</v>
      </c>
      <c r="I5430" s="208"/>
      <c r="J5430" s="209"/>
      <c r="K5430" s="209"/>
      <c r="L5430" s="209"/>
      <c r="M5430" s="209"/>
      <c r="N5430" s="209"/>
      <c r="O5430" s="209"/>
      <c r="P5430" s="209"/>
      <c r="Q5430" s="209"/>
      <c r="R5430" s="209"/>
      <c r="S5430" s="209"/>
      <c r="T5430" s="209"/>
    </row>
    <row r="5431" spans="1:20" ht="15" hidden="1" customHeight="1">
      <c r="A5431" s="468">
        <v>45530</v>
      </c>
      <c r="B5431" s="208" t="s">
        <v>4534</v>
      </c>
      <c r="C5431" s="208" t="s">
        <v>269</v>
      </c>
      <c r="D5431" s="211">
        <v>-124000</v>
      </c>
      <c r="E5431" s="212">
        <v>45505</v>
      </c>
      <c r="F5431" s="208" t="s">
        <v>109</v>
      </c>
      <c r="G5431" s="208" t="s">
        <v>3529</v>
      </c>
      <c r="H5431" s="208" t="s">
        <v>138</v>
      </c>
      <c r="I5431" s="208"/>
      <c r="J5431" s="209"/>
      <c r="K5431" s="209"/>
      <c r="L5431" s="209"/>
      <c r="M5431" s="209"/>
      <c r="N5431" s="209"/>
      <c r="O5431" s="209"/>
      <c r="P5431" s="209"/>
      <c r="Q5431" s="209"/>
      <c r="R5431" s="209"/>
      <c r="S5431" s="209"/>
      <c r="T5431" s="209"/>
    </row>
    <row r="5432" spans="1:20" ht="15" hidden="1" customHeight="1">
      <c r="A5432" s="468">
        <v>45530</v>
      </c>
      <c r="B5432" s="208" t="s">
        <v>4534</v>
      </c>
      <c r="C5432" s="208" t="s">
        <v>269</v>
      </c>
      <c r="D5432" s="211">
        <v>-41000</v>
      </c>
      <c r="E5432" s="212">
        <v>45505</v>
      </c>
      <c r="F5432" s="208" t="s">
        <v>109</v>
      </c>
      <c r="G5432" s="654" t="s">
        <v>2585</v>
      </c>
      <c r="H5432" s="208" t="s">
        <v>138</v>
      </c>
      <c r="I5432" s="208"/>
      <c r="J5432" s="209"/>
      <c r="K5432" s="209"/>
      <c r="L5432" s="209"/>
      <c r="M5432" s="209"/>
      <c r="N5432" s="209"/>
      <c r="O5432" s="209"/>
      <c r="P5432" s="209"/>
      <c r="Q5432" s="209"/>
      <c r="R5432" s="209"/>
      <c r="S5432" s="209"/>
      <c r="T5432" s="209"/>
    </row>
    <row r="5433" spans="1:20" ht="15" hidden="1" customHeight="1">
      <c r="A5433" s="468">
        <v>45530</v>
      </c>
      <c r="B5433" s="208" t="s">
        <v>4535</v>
      </c>
      <c r="C5433" s="208" t="s">
        <v>269</v>
      </c>
      <c r="D5433" s="211">
        <v>-117928</v>
      </c>
      <c r="E5433" s="212">
        <v>45505</v>
      </c>
      <c r="F5433" s="208" t="s">
        <v>130</v>
      </c>
      <c r="G5433" s="208" t="s">
        <v>130</v>
      </c>
      <c r="H5433" s="208" t="s">
        <v>138</v>
      </c>
      <c r="I5433" s="208"/>
      <c r="J5433" s="209"/>
      <c r="K5433" s="209"/>
      <c r="L5433" s="209"/>
      <c r="M5433" s="209"/>
      <c r="N5433" s="209"/>
      <c r="O5433" s="209"/>
      <c r="P5433" s="209"/>
      <c r="Q5433" s="209"/>
      <c r="R5433" s="209"/>
      <c r="S5433" s="209"/>
      <c r="T5433" s="209"/>
    </row>
    <row r="5434" spans="1:20" ht="15" hidden="1" customHeight="1">
      <c r="A5434" s="468">
        <v>45530</v>
      </c>
      <c r="B5434" s="208" t="s">
        <v>4534</v>
      </c>
      <c r="C5434" s="208" t="s">
        <v>269</v>
      </c>
      <c r="D5434" s="211">
        <v>-20000</v>
      </c>
      <c r="E5434" s="212">
        <v>45505</v>
      </c>
      <c r="F5434" s="208" t="s">
        <v>110</v>
      </c>
      <c r="G5434" s="208" t="s">
        <v>122</v>
      </c>
      <c r="H5434" s="208" t="s">
        <v>138</v>
      </c>
      <c r="I5434" s="208"/>
      <c r="J5434" s="209"/>
      <c r="K5434" s="209"/>
      <c r="L5434" s="209"/>
      <c r="M5434" s="209"/>
      <c r="N5434" s="209"/>
      <c r="O5434" s="209"/>
      <c r="P5434" s="209"/>
      <c r="Q5434" s="209"/>
      <c r="R5434" s="209"/>
      <c r="S5434" s="209"/>
      <c r="T5434" s="209"/>
    </row>
    <row r="5435" spans="1:20" ht="15" hidden="1" customHeight="1">
      <c r="A5435" s="468">
        <v>45530</v>
      </c>
      <c r="B5435" s="208" t="s">
        <v>4534</v>
      </c>
      <c r="C5435" s="208" t="s">
        <v>269</v>
      </c>
      <c r="D5435" s="211">
        <v>-22000</v>
      </c>
      <c r="E5435" s="212">
        <v>45505</v>
      </c>
      <c r="F5435" s="208" t="s">
        <v>109</v>
      </c>
      <c r="G5435" s="601" t="s">
        <v>581</v>
      </c>
      <c r="H5435" s="208" t="s">
        <v>138</v>
      </c>
      <c r="I5435" s="208"/>
      <c r="J5435" s="209"/>
      <c r="K5435" s="209"/>
      <c r="L5435" s="209"/>
      <c r="M5435" s="209"/>
      <c r="N5435" s="209"/>
      <c r="O5435" s="209"/>
      <c r="P5435" s="209"/>
      <c r="Q5435" s="209"/>
      <c r="R5435" s="209"/>
      <c r="S5435" s="209"/>
      <c r="T5435" s="209"/>
    </row>
    <row r="5436" spans="1:20" ht="15" hidden="1" customHeight="1">
      <c r="A5436" s="468">
        <v>45530</v>
      </c>
      <c r="B5436" s="208" t="s">
        <v>3716</v>
      </c>
      <c r="C5436" s="208" t="s">
        <v>133</v>
      </c>
      <c r="D5436" s="211">
        <v>-4420</v>
      </c>
      <c r="E5436" s="212">
        <v>45505</v>
      </c>
      <c r="F5436" s="208" t="s">
        <v>130</v>
      </c>
      <c r="G5436" s="208" t="s">
        <v>130</v>
      </c>
      <c r="H5436" s="208"/>
      <c r="I5436" s="208"/>
      <c r="J5436" s="209"/>
      <c r="K5436" s="209"/>
      <c r="L5436" s="209"/>
      <c r="M5436" s="209"/>
      <c r="N5436" s="209"/>
      <c r="O5436" s="209"/>
      <c r="P5436" s="209"/>
      <c r="Q5436" s="209"/>
      <c r="R5436" s="209"/>
      <c r="S5436" s="209"/>
      <c r="T5436" s="209"/>
    </row>
    <row r="5437" spans="1:20" ht="15" hidden="1" customHeight="1">
      <c r="A5437" s="468">
        <v>45530</v>
      </c>
      <c r="B5437" s="208" t="s">
        <v>3717</v>
      </c>
      <c r="C5437" s="208" t="s">
        <v>133</v>
      </c>
      <c r="D5437" s="211">
        <v>-2652</v>
      </c>
      <c r="E5437" s="212">
        <v>45505</v>
      </c>
      <c r="F5437" s="208" t="s">
        <v>130</v>
      </c>
      <c r="G5437" s="208" t="s">
        <v>130</v>
      </c>
      <c r="H5437" s="208"/>
      <c r="I5437" s="208"/>
      <c r="J5437" s="209"/>
      <c r="K5437" s="209"/>
      <c r="L5437" s="209"/>
      <c r="M5437" s="209"/>
      <c r="N5437" s="209"/>
      <c r="O5437" s="209"/>
      <c r="P5437" s="209"/>
      <c r="Q5437" s="209"/>
      <c r="R5437" s="209"/>
      <c r="S5437" s="209"/>
      <c r="T5437" s="209"/>
    </row>
    <row r="5438" spans="1:20" ht="15" hidden="1" customHeight="1">
      <c r="A5438" s="468">
        <v>45530</v>
      </c>
      <c r="B5438" s="208" t="s">
        <v>2663</v>
      </c>
      <c r="C5438" s="208" t="s">
        <v>269</v>
      </c>
      <c r="D5438" s="211">
        <v>-28000</v>
      </c>
      <c r="E5438" s="212">
        <v>45505</v>
      </c>
      <c r="F5438" s="208" t="s">
        <v>109</v>
      </c>
      <c r="G5438" s="601" t="s">
        <v>581</v>
      </c>
      <c r="H5438" s="208" t="s">
        <v>138</v>
      </c>
      <c r="I5438" s="208"/>
      <c r="J5438" s="209"/>
      <c r="K5438" s="209"/>
      <c r="L5438" s="209"/>
      <c r="M5438" s="209"/>
      <c r="N5438" s="209"/>
      <c r="O5438" s="209"/>
      <c r="P5438" s="209"/>
      <c r="Q5438" s="209"/>
      <c r="R5438" s="209"/>
      <c r="S5438" s="209"/>
      <c r="T5438" s="209"/>
    </row>
    <row r="5439" spans="1:20" ht="15" hidden="1" customHeight="1">
      <c r="A5439" s="468">
        <v>45530</v>
      </c>
      <c r="B5439" s="208" t="s">
        <v>2663</v>
      </c>
      <c r="C5439" s="208" t="s">
        <v>269</v>
      </c>
      <c r="D5439" s="211">
        <v>-14000</v>
      </c>
      <c r="E5439" s="212">
        <v>45505</v>
      </c>
      <c r="F5439" s="208" t="s">
        <v>110</v>
      </c>
      <c r="G5439" s="208" t="s">
        <v>774</v>
      </c>
      <c r="H5439" s="208" t="s">
        <v>138</v>
      </c>
      <c r="I5439" s="208"/>
      <c r="J5439" s="209"/>
      <c r="K5439" s="209"/>
      <c r="L5439" s="209"/>
      <c r="M5439" s="209"/>
      <c r="N5439" s="209"/>
      <c r="O5439" s="209"/>
      <c r="P5439" s="209"/>
      <c r="Q5439" s="209"/>
      <c r="R5439" s="209"/>
      <c r="S5439" s="209"/>
      <c r="T5439" s="209"/>
    </row>
    <row r="5440" spans="1:20" ht="15" hidden="1" customHeight="1">
      <c r="A5440" s="468">
        <v>45530</v>
      </c>
      <c r="B5440" s="208" t="s">
        <v>2663</v>
      </c>
      <c r="C5440" s="208" t="s">
        <v>269</v>
      </c>
      <c r="D5440" s="211">
        <v>-14000</v>
      </c>
      <c r="E5440" s="212">
        <v>45505</v>
      </c>
      <c r="F5440" s="208" t="s">
        <v>109</v>
      </c>
      <c r="G5440" s="208" t="s">
        <v>3529</v>
      </c>
      <c r="H5440" s="208" t="s">
        <v>138</v>
      </c>
      <c r="I5440" s="208"/>
      <c r="J5440" s="209"/>
      <c r="K5440" s="209"/>
      <c r="L5440" s="209"/>
      <c r="M5440" s="209"/>
      <c r="N5440" s="209"/>
      <c r="O5440" s="209"/>
      <c r="P5440" s="209"/>
      <c r="Q5440" s="209"/>
      <c r="R5440" s="209"/>
      <c r="S5440" s="209"/>
      <c r="T5440" s="209"/>
    </row>
    <row r="5441" spans="1:20" ht="15" hidden="1" customHeight="1">
      <c r="A5441" s="468">
        <v>45530</v>
      </c>
      <c r="B5441" s="208" t="s">
        <v>2663</v>
      </c>
      <c r="C5441" s="208" t="s">
        <v>269</v>
      </c>
      <c r="D5441" s="211">
        <v>-14000</v>
      </c>
      <c r="E5441" s="212">
        <v>45505</v>
      </c>
      <c r="F5441" s="208" t="s">
        <v>109</v>
      </c>
      <c r="G5441" s="201" t="s">
        <v>1261</v>
      </c>
      <c r="H5441" s="208" t="s">
        <v>138</v>
      </c>
      <c r="I5441" s="208"/>
      <c r="J5441" s="209"/>
      <c r="K5441" s="209"/>
      <c r="L5441" s="209"/>
      <c r="M5441" s="209"/>
      <c r="N5441" s="209"/>
      <c r="O5441" s="209"/>
      <c r="P5441" s="209"/>
      <c r="Q5441" s="209"/>
      <c r="R5441" s="209"/>
      <c r="S5441" s="209"/>
      <c r="T5441" s="209"/>
    </row>
    <row r="5442" spans="1:20" ht="15" hidden="1" customHeight="1">
      <c r="A5442" s="468">
        <v>45530</v>
      </c>
      <c r="B5442" s="208" t="s">
        <v>2663</v>
      </c>
      <c r="C5442" s="208" t="s">
        <v>269</v>
      </c>
      <c r="D5442" s="211">
        <v>-36000</v>
      </c>
      <c r="E5442" s="212">
        <v>45505</v>
      </c>
      <c r="F5442" s="208" t="s">
        <v>109</v>
      </c>
      <c r="G5442" s="654" t="s">
        <v>2585</v>
      </c>
      <c r="H5442" s="208" t="s">
        <v>138</v>
      </c>
      <c r="I5442" s="208"/>
      <c r="J5442" s="209"/>
      <c r="K5442" s="209"/>
      <c r="L5442" s="209"/>
      <c r="M5442" s="209"/>
      <c r="N5442" s="209"/>
      <c r="O5442" s="209"/>
      <c r="P5442" s="209"/>
      <c r="Q5442" s="209"/>
      <c r="R5442" s="209"/>
      <c r="S5442" s="209"/>
      <c r="T5442" s="209"/>
    </row>
    <row r="5443" spans="1:20" ht="15" hidden="1" customHeight="1">
      <c r="A5443" s="468">
        <v>45530</v>
      </c>
      <c r="B5443" s="208" t="s">
        <v>2663</v>
      </c>
      <c r="C5443" s="208" t="s">
        <v>269</v>
      </c>
      <c r="D5443" s="211">
        <v>-40000</v>
      </c>
      <c r="E5443" s="212">
        <v>45505</v>
      </c>
      <c r="F5443" s="208" t="s">
        <v>110</v>
      </c>
      <c r="G5443" s="201" t="s">
        <v>1489</v>
      </c>
      <c r="H5443" s="208" t="s">
        <v>138</v>
      </c>
      <c r="I5443" s="208"/>
      <c r="J5443" s="209"/>
      <c r="K5443" s="209"/>
      <c r="L5443" s="209"/>
      <c r="M5443" s="209"/>
      <c r="N5443" s="209"/>
      <c r="O5443" s="209"/>
      <c r="P5443" s="209"/>
      <c r="Q5443" s="209"/>
      <c r="R5443" s="209"/>
      <c r="S5443" s="209"/>
      <c r="T5443" s="209"/>
    </row>
    <row r="5444" spans="1:20" ht="15" hidden="1" customHeight="1">
      <c r="A5444" s="468">
        <v>45530</v>
      </c>
      <c r="B5444" s="208" t="s">
        <v>2663</v>
      </c>
      <c r="C5444" s="208" t="s">
        <v>269</v>
      </c>
      <c r="D5444" s="211">
        <v>-21000</v>
      </c>
      <c r="E5444" s="212">
        <v>45505</v>
      </c>
      <c r="F5444" s="208" t="s">
        <v>130</v>
      </c>
      <c r="G5444" s="208" t="s">
        <v>130</v>
      </c>
      <c r="H5444" s="208" t="s">
        <v>138</v>
      </c>
      <c r="I5444" s="208"/>
      <c r="J5444" s="209"/>
      <c r="K5444" s="209"/>
      <c r="L5444" s="209"/>
      <c r="M5444" s="209"/>
      <c r="N5444" s="209"/>
      <c r="O5444" s="209"/>
      <c r="P5444" s="209"/>
      <c r="Q5444" s="209"/>
      <c r="R5444" s="209"/>
      <c r="S5444" s="209"/>
      <c r="T5444" s="209"/>
    </row>
    <row r="5445" spans="1:20" ht="15" hidden="1" customHeight="1">
      <c r="A5445" s="468">
        <v>45530</v>
      </c>
      <c r="B5445" s="208" t="s">
        <v>4536</v>
      </c>
      <c r="C5445" s="208" t="s">
        <v>269</v>
      </c>
      <c r="D5445" s="211">
        <v>17000</v>
      </c>
      <c r="E5445" s="212">
        <v>45505</v>
      </c>
      <c r="F5445" s="208" t="s">
        <v>130</v>
      </c>
      <c r="G5445" s="208" t="s">
        <v>257</v>
      </c>
      <c r="H5445" s="208" t="s">
        <v>1138</v>
      </c>
      <c r="I5445" s="208"/>
      <c r="J5445" s="209"/>
      <c r="K5445" s="209"/>
      <c r="L5445" s="209"/>
      <c r="M5445" s="209"/>
      <c r="N5445" s="209"/>
      <c r="O5445" s="209"/>
      <c r="P5445" s="209"/>
      <c r="Q5445" s="209"/>
      <c r="R5445" s="209"/>
      <c r="S5445" s="209"/>
      <c r="T5445" s="209"/>
    </row>
    <row r="5446" spans="1:20" ht="15" hidden="1" customHeight="1">
      <c r="A5446" s="468">
        <v>45524</v>
      </c>
      <c r="B5446" s="208" t="s">
        <v>4537</v>
      </c>
      <c r="C5446" s="208" t="s">
        <v>269</v>
      </c>
      <c r="D5446" s="211">
        <v>-12000</v>
      </c>
      <c r="E5446" s="212">
        <v>45505</v>
      </c>
      <c r="F5446" s="208" t="s">
        <v>109</v>
      </c>
      <c r="G5446" s="201" t="s">
        <v>581</v>
      </c>
      <c r="H5446" s="208"/>
      <c r="I5446" s="208" t="s">
        <v>173</v>
      </c>
      <c r="J5446" s="209"/>
      <c r="K5446" s="209"/>
      <c r="L5446" s="209"/>
      <c r="M5446" s="209"/>
      <c r="N5446" s="209"/>
      <c r="O5446" s="209"/>
      <c r="P5446" s="209"/>
      <c r="Q5446" s="209"/>
      <c r="R5446" s="209"/>
      <c r="S5446" s="209"/>
      <c r="T5446" s="209"/>
    </row>
    <row r="5447" spans="1:20" ht="15" hidden="1" customHeight="1">
      <c r="A5447" s="468">
        <v>45526</v>
      </c>
      <c r="B5447" s="208" t="s">
        <v>4538</v>
      </c>
      <c r="C5447" s="208" t="s">
        <v>269</v>
      </c>
      <c r="D5447" s="211">
        <v>-12000</v>
      </c>
      <c r="E5447" s="212">
        <v>45505</v>
      </c>
      <c r="F5447" s="208" t="s">
        <v>109</v>
      </c>
      <c r="G5447" s="201" t="s">
        <v>581</v>
      </c>
      <c r="H5447" s="208"/>
      <c r="I5447" s="208" t="s">
        <v>173</v>
      </c>
      <c r="J5447" s="209"/>
      <c r="K5447" s="209"/>
      <c r="L5447" s="209"/>
      <c r="M5447" s="209"/>
      <c r="N5447" s="209"/>
      <c r="O5447" s="209"/>
      <c r="P5447" s="209"/>
      <c r="Q5447" s="209"/>
      <c r="R5447" s="209"/>
      <c r="S5447" s="209"/>
      <c r="T5447" s="209"/>
    </row>
    <row r="5448" spans="1:20" ht="15" hidden="1" customHeight="1">
      <c r="A5448" s="468">
        <v>45526</v>
      </c>
      <c r="B5448" s="208" t="s">
        <v>4539</v>
      </c>
      <c r="C5448" s="208" t="s">
        <v>269</v>
      </c>
      <c r="D5448" s="211">
        <v>-35000</v>
      </c>
      <c r="E5448" s="212">
        <v>45505</v>
      </c>
      <c r="F5448" s="208" t="s">
        <v>109</v>
      </c>
      <c r="G5448" s="201" t="s">
        <v>581</v>
      </c>
      <c r="H5448" s="208"/>
      <c r="I5448" s="208" t="s">
        <v>173</v>
      </c>
      <c r="J5448" s="209"/>
      <c r="K5448" s="209"/>
      <c r="L5448" s="209"/>
      <c r="M5448" s="209"/>
      <c r="N5448" s="209"/>
      <c r="O5448" s="209"/>
      <c r="P5448" s="209"/>
      <c r="Q5448" s="209"/>
      <c r="R5448" s="209"/>
      <c r="S5448" s="209"/>
      <c r="T5448" s="209"/>
    </row>
    <row r="5449" spans="1:20" ht="15" hidden="1" customHeight="1">
      <c r="A5449" s="468">
        <v>45527</v>
      </c>
      <c r="B5449" s="208" t="s">
        <v>4540</v>
      </c>
      <c r="C5449" s="208" t="s">
        <v>269</v>
      </c>
      <c r="D5449" s="211">
        <v>-50000</v>
      </c>
      <c r="E5449" s="212">
        <v>45505</v>
      </c>
      <c r="F5449" s="208" t="s">
        <v>109</v>
      </c>
      <c r="G5449" s="201" t="s">
        <v>581</v>
      </c>
      <c r="H5449" s="208"/>
      <c r="I5449" s="208" t="s">
        <v>173</v>
      </c>
      <c r="J5449" s="209"/>
      <c r="K5449" s="209"/>
      <c r="L5449" s="209"/>
      <c r="M5449" s="209"/>
      <c r="N5449" s="209"/>
      <c r="O5449" s="209"/>
      <c r="P5449" s="209"/>
      <c r="Q5449" s="209"/>
      <c r="R5449" s="209"/>
      <c r="S5449" s="209"/>
      <c r="T5449" s="209"/>
    </row>
    <row r="5450" spans="1:20" ht="15" hidden="1" customHeight="1">
      <c r="A5450" s="468">
        <v>45520</v>
      </c>
      <c r="B5450" s="208" t="s">
        <v>4541</v>
      </c>
      <c r="C5450" s="208" t="s">
        <v>269</v>
      </c>
      <c r="D5450" s="211">
        <v>-19400</v>
      </c>
      <c r="E5450" s="212">
        <v>45505</v>
      </c>
      <c r="F5450" s="208" t="s">
        <v>109</v>
      </c>
      <c r="G5450" s="208" t="s">
        <v>3529</v>
      </c>
      <c r="H5450" s="208" t="s">
        <v>175</v>
      </c>
      <c r="I5450" s="208" t="s">
        <v>173</v>
      </c>
      <c r="J5450" s="209"/>
      <c r="K5450" s="209"/>
      <c r="L5450" s="209"/>
      <c r="M5450" s="209"/>
      <c r="N5450" s="209"/>
      <c r="O5450" s="209"/>
      <c r="P5450" s="209"/>
      <c r="Q5450" s="209"/>
      <c r="R5450" s="209"/>
      <c r="S5450" s="209"/>
      <c r="T5450" s="209"/>
    </row>
    <row r="5451" spans="1:20" ht="15" hidden="1" customHeight="1">
      <c r="A5451" s="468">
        <v>45524</v>
      </c>
      <c r="B5451" s="208" t="s">
        <v>4542</v>
      </c>
      <c r="C5451" s="208" t="s">
        <v>269</v>
      </c>
      <c r="D5451" s="211">
        <v>-28788</v>
      </c>
      <c r="E5451" s="212">
        <v>45505</v>
      </c>
      <c r="F5451" s="208" t="s">
        <v>109</v>
      </c>
      <c r="G5451" s="654" t="s">
        <v>2585</v>
      </c>
      <c r="H5451" s="208" t="s">
        <v>175</v>
      </c>
      <c r="I5451" s="208" t="s">
        <v>173</v>
      </c>
      <c r="J5451" s="209"/>
      <c r="K5451" s="209"/>
      <c r="L5451" s="209"/>
      <c r="M5451" s="209"/>
      <c r="N5451" s="209"/>
      <c r="O5451" s="209"/>
      <c r="P5451" s="209"/>
      <c r="Q5451" s="209"/>
      <c r="R5451" s="209"/>
      <c r="S5451" s="209"/>
      <c r="T5451" s="209"/>
    </row>
    <row r="5452" spans="1:20" ht="15" hidden="1" customHeight="1">
      <c r="A5452" s="468">
        <v>45524</v>
      </c>
      <c r="B5452" s="208" t="s">
        <v>4543</v>
      </c>
      <c r="C5452" s="208" t="s">
        <v>269</v>
      </c>
      <c r="D5452" s="211">
        <v>-6300</v>
      </c>
      <c r="E5452" s="212">
        <v>45505</v>
      </c>
      <c r="F5452" s="208" t="s">
        <v>109</v>
      </c>
      <c r="G5452" s="208" t="s">
        <v>3529</v>
      </c>
      <c r="H5452" s="208" t="s">
        <v>175</v>
      </c>
      <c r="I5452" s="208" t="s">
        <v>173</v>
      </c>
      <c r="J5452" s="209"/>
      <c r="K5452" s="209"/>
      <c r="L5452" s="209"/>
      <c r="M5452" s="209"/>
      <c r="N5452" s="209"/>
      <c r="O5452" s="209"/>
      <c r="P5452" s="209"/>
      <c r="Q5452" s="209"/>
      <c r="R5452" s="209"/>
      <c r="S5452" s="209"/>
      <c r="T5452" s="209"/>
    </row>
    <row r="5453" spans="1:20" ht="15" hidden="1" customHeight="1">
      <c r="A5453" s="468">
        <v>45525</v>
      </c>
      <c r="B5453" s="208" t="s">
        <v>4544</v>
      </c>
      <c r="C5453" s="208" t="s">
        <v>269</v>
      </c>
      <c r="D5453" s="211">
        <v>-22500</v>
      </c>
      <c r="E5453" s="212">
        <v>45505</v>
      </c>
      <c r="F5453" s="208" t="s">
        <v>109</v>
      </c>
      <c r="G5453" s="654" t="s">
        <v>2585</v>
      </c>
      <c r="H5453" s="208" t="s">
        <v>310</v>
      </c>
      <c r="I5453" s="208" t="s">
        <v>173</v>
      </c>
      <c r="J5453" s="209"/>
      <c r="K5453" s="209"/>
      <c r="L5453" s="209"/>
      <c r="M5453" s="209"/>
      <c r="N5453" s="209"/>
      <c r="O5453" s="209"/>
      <c r="P5453" s="209"/>
      <c r="Q5453" s="209"/>
      <c r="R5453" s="209"/>
      <c r="S5453" s="209"/>
      <c r="T5453" s="209"/>
    </row>
    <row r="5454" spans="1:20" ht="15" hidden="1" customHeight="1">
      <c r="A5454" s="468">
        <v>45525</v>
      </c>
      <c r="B5454" s="208" t="s">
        <v>4545</v>
      </c>
      <c r="C5454" s="208" t="s">
        <v>269</v>
      </c>
      <c r="D5454" s="211">
        <v>-12000</v>
      </c>
      <c r="E5454" s="212">
        <v>45505</v>
      </c>
      <c r="F5454" s="208" t="s">
        <v>109</v>
      </c>
      <c r="G5454" s="208" t="s">
        <v>3529</v>
      </c>
      <c r="H5454" s="208" t="s">
        <v>138</v>
      </c>
      <c r="I5454" s="208" t="s">
        <v>173</v>
      </c>
      <c r="J5454" s="209"/>
      <c r="K5454" s="209"/>
      <c r="L5454" s="209"/>
      <c r="M5454" s="209"/>
      <c r="N5454" s="209"/>
      <c r="O5454" s="209"/>
      <c r="P5454" s="209"/>
      <c r="Q5454" s="209"/>
      <c r="R5454" s="209"/>
      <c r="S5454" s="209"/>
      <c r="T5454" s="209"/>
    </row>
    <row r="5455" spans="1:20" ht="15" hidden="1" customHeight="1">
      <c r="A5455" s="468">
        <v>45525</v>
      </c>
      <c r="B5455" s="208" t="s">
        <v>4543</v>
      </c>
      <c r="C5455" s="208" t="s">
        <v>269</v>
      </c>
      <c r="D5455" s="211">
        <v>-6000</v>
      </c>
      <c r="E5455" s="212">
        <v>45505</v>
      </c>
      <c r="F5455" s="208" t="s">
        <v>109</v>
      </c>
      <c r="G5455" s="208" t="s">
        <v>3529</v>
      </c>
      <c r="H5455" s="208" t="s">
        <v>138</v>
      </c>
      <c r="I5455" s="208" t="s">
        <v>173</v>
      </c>
      <c r="J5455" s="209"/>
      <c r="K5455" s="209"/>
      <c r="L5455" s="209"/>
      <c r="M5455" s="209"/>
      <c r="N5455" s="209"/>
      <c r="O5455" s="209"/>
      <c r="P5455" s="209"/>
      <c r="Q5455" s="209"/>
      <c r="R5455" s="209"/>
      <c r="S5455" s="209"/>
      <c r="T5455" s="209"/>
    </row>
    <row r="5456" spans="1:20" ht="15" hidden="1" customHeight="1">
      <c r="A5456" s="468">
        <v>45525</v>
      </c>
      <c r="B5456" s="208" t="s">
        <v>4546</v>
      </c>
      <c r="C5456" s="208" t="s">
        <v>269</v>
      </c>
      <c r="D5456" s="211">
        <v>-12000</v>
      </c>
      <c r="E5456" s="212">
        <v>45505</v>
      </c>
      <c r="F5456" s="208" t="s">
        <v>109</v>
      </c>
      <c r="G5456" s="208" t="s">
        <v>3529</v>
      </c>
      <c r="H5456" s="208" t="s">
        <v>138</v>
      </c>
      <c r="I5456" s="208" t="s">
        <v>173</v>
      </c>
      <c r="J5456" s="209"/>
      <c r="K5456" s="209"/>
      <c r="L5456" s="209"/>
      <c r="M5456" s="209"/>
      <c r="N5456" s="209"/>
      <c r="O5456" s="209"/>
      <c r="P5456" s="209"/>
      <c r="Q5456" s="209"/>
      <c r="R5456" s="209"/>
      <c r="S5456" s="209"/>
      <c r="T5456" s="209"/>
    </row>
    <row r="5457" spans="1:20" ht="15" hidden="1" customHeight="1">
      <c r="A5457" s="468">
        <v>45525</v>
      </c>
      <c r="B5457" s="208" t="s">
        <v>4547</v>
      </c>
      <c r="C5457" s="208" t="s">
        <v>269</v>
      </c>
      <c r="D5457" s="211">
        <v>-12000</v>
      </c>
      <c r="E5457" s="212">
        <v>45505</v>
      </c>
      <c r="F5457" s="208" t="s">
        <v>110</v>
      </c>
      <c r="G5457" s="201" t="s">
        <v>1489</v>
      </c>
      <c r="H5457" s="208" t="s">
        <v>138</v>
      </c>
      <c r="I5457" s="208" t="s">
        <v>173</v>
      </c>
      <c r="J5457" s="209"/>
      <c r="K5457" s="209"/>
      <c r="L5457" s="209"/>
      <c r="M5457" s="209"/>
      <c r="N5457" s="209"/>
      <c r="O5457" s="209"/>
      <c r="P5457" s="209"/>
      <c r="Q5457" s="209"/>
      <c r="R5457" s="209"/>
      <c r="S5457" s="209"/>
      <c r="T5457" s="209"/>
    </row>
    <row r="5458" spans="1:20" ht="15" hidden="1" customHeight="1">
      <c r="A5458" s="468">
        <v>45526</v>
      </c>
      <c r="B5458" s="208" t="s">
        <v>4548</v>
      </c>
      <c r="C5458" s="208" t="s">
        <v>269</v>
      </c>
      <c r="D5458" s="211">
        <v>-14000</v>
      </c>
      <c r="E5458" s="212">
        <v>45505</v>
      </c>
      <c r="F5458" s="208" t="s">
        <v>109</v>
      </c>
      <c r="G5458" s="208" t="s">
        <v>3529</v>
      </c>
      <c r="H5458" s="208" t="s">
        <v>175</v>
      </c>
      <c r="I5458" s="208" t="s">
        <v>173</v>
      </c>
      <c r="J5458" s="209"/>
      <c r="K5458" s="209"/>
      <c r="L5458" s="209"/>
      <c r="M5458" s="209"/>
      <c r="N5458" s="209"/>
      <c r="O5458" s="209"/>
      <c r="P5458" s="209"/>
      <c r="Q5458" s="209"/>
      <c r="R5458" s="209"/>
      <c r="S5458" s="209"/>
      <c r="T5458" s="209"/>
    </row>
    <row r="5459" spans="1:20" ht="15" hidden="1" customHeight="1">
      <c r="A5459" s="468">
        <v>45526</v>
      </c>
      <c r="B5459" s="208" t="s">
        <v>4549</v>
      </c>
      <c r="C5459" s="208" t="s">
        <v>269</v>
      </c>
      <c r="D5459" s="211">
        <v>-6000</v>
      </c>
      <c r="E5459" s="212">
        <v>45505</v>
      </c>
      <c r="F5459" s="208" t="s">
        <v>109</v>
      </c>
      <c r="G5459" s="208" t="s">
        <v>3529</v>
      </c>
      <c r="H5459" s="208" t="s">
        <v>175</v>
      </c>
      <c r="I5459" s="208" t="s">
        <v>173</v>
      </c>
      <c r="J5459" s="209"/>
      <c r="K5459" s="209"/>
      <c r="L5459" s="209"/>
      <c r="M5459" s="209"/>
      <c r="N5459" s="209"/>
      <c r="O5459" s="209"/>
      <c r="P5459" s="209"/>
      <c r="Q5459" s="209"/>
      <c r="R5459" s="209"/>
      <c r="S5459" s="209"/>
      <c r="T5459" s="209"/>
    </row>
    <row r="5460" spans="1:20" ht="15" hidden="1" customHeight="1">
      <c r="A5460" s="468">
        <v>45526</v>
      </c>
      <c r="B5460" s="208" t="s">
        <v>4550</v>
      </c>
      <c r="C5460" s="208" t="s">
        <v>269</v>
      </c>
      <c r="D5460" s="211">
        <v>-12000</v>
      </c>
      <c r="E5460" s="212">
        <v>45505</v>
      </c>
      <c r="F5460" s="208" t="s">
        <v>109</v>
      </c>
      <c r="G5460" s="654" t="s">
        <v>2585</v>
      </c>
      <c r="H5460" s="208" t="s">
        <v>175</v>
      </c>
      <c r="I5460" s="208" t="s">
        <v>173</v>
      </c>
      <c r="J5460" s="209"/>
      <c r="K5460" s="209"/>
      <c r="L5460" s="209"/>
      <c r="M5460" s="209"/>
      <c r="N5460" s="209"/>
      <c r="O5460" s="209"/>
      <c r="P5460" s="209"/>
      <c r="Q5460" s="209"/>
      <c r="R5460" s="209"/>
      <c r="S5460" s="209"/>
      <c r="T5460" s="209"/>
    </row>
    <row r="5461" spans="1:20" ht="15" hidden="1" customHeight="1">
      <c r="A5461" s="468">
        <v>45526</v>
      </c>
      <c r="B5461" s="208" t="s">
        <v>4551</v>
      </c>
      <c r="C5461" s="208" t="s">
        <v>269</v>
      </c>
      <c r="D5461" s="211">
        <v>-12000</v>
      </c>
      <c r="E5461" s="212">
        <v>45505</v>
      </c>
      <c r="F5461" s="208" t="s">
        <v>109</v>
      </c>
      <c r="G5461" s="654" t="s">
        <v>2585</v>
      </c>
      <c r="H5461" s="208" t="s">
        <v>138</v>
      </c>
      <c r="I5461" s="208" t="s">
        <v>173</v>
      </c>
      <c r="J5461" s="209"/>
      <c r="K5461" s="209"/>
      <c r="L5461" s="209"/>
      <c r="M5461" s="209"/>
      <c r="N5461" s="209"/>
      <c r="O5461" s="209"/>
      <c r="P5461" s="209"/>
      <c r="Q5461" s="209"/>
      <c r="R5461" s="209"/>
      <c r="S5461" s="209"/>
      <c r="T5461" s="209"/>
    </row>
    <row r="5462" spans="1:20" ht="15" hidden="1" customHeight="1">
      <c r="A5462" s="468">
        <v>45526</v>
      </c>
      <c r="B5462" s="208" t="s">
        <v>4552</v>
      </c>
      <c r="C5462" s="208" t="s">
        <v>269</v>
      </c>
      <c r="D5462" s="211">
        <v>-15000</v>
      </c>
      <c r="E5462" s="212">
        <v>45505</v>
      </c>
      <c r="F5462" s="208" t="s">
        <v>109</v>
      </c>
      <c r="G5462" s="654" t="s">
        <v>2585</v>
      </c>
      <c r="H5462" s="208" t="s">
        <v>138</v>
      </c>
      <c r="I5462" s="208" t="s">
        <v>173</v>
      </c>
      <c r="J5462" s="209"/>
      <c r="K5462" s="209"/>
      <c r="L5462" s="209"/>
      <c r="M5462" s="209"/>
      <c r="N5462" s="209"/>
      <c r="O5462" s="209"/>
      <c r="P5462" s="209"/>
      <c r="Q5462" s="209"/>
      <c r="R5462" s="209"/>
      <c r="S5462" s="209"/>
      <c r="T5462" s="209"/>
    </row>
    <row r="5463" spans="1:20" ht="15" hidden="1" customHeight="1">
      <c r="A5463" s="468">
        <v>45526</v>
      </c>
      <c r="B5463" s="208" t="s">
        <v>4553</v>
      </c>
      <c r="C5463" s="208" t="s">
        <v>269</v>
      </c>
      <c r="D5463" s="211">
        <v>-15000</v>
      </c>
      <c r="E5463" s="212">
        <v>45505</v>
      </c>
      <c r="F5463" s="208" t="s">
        <v>109</v>
      </c>
      <c r="G5463" s="654" t="s">
        <v>2585</v>
      </c>
      <c r="H5463" s="208" t="s">
        <v>138</v>
      </c>
      <c r="I5463" s="208" t="s">
        <v>173</v>
      </c>
      <c r="J5463" s="209"/>
      <c r="K5463" s="209"/>
      <c r="L5463" s="209"/>
      <c r="M5463" s="209"/>
      <c r="N5463" s="209"/>
      <c r="O5463" s="209"/>
      <c r="P5463" s="209"/>
      <c r="Q5463" s="209"/>
      <c r="R5463" s="209"/>
      <c r="S5463" s="209"/>
      <c r="T5463" s="209"/>
    </row>
    <row r="5464" spans="1:20" ht="15" hidden="1" customHeight="1">
      <c r="A5464" s="468">
        <v>45526</v>
      </c>
      <c r="B5464" s="208" t="s">
        <v>4554</v>
      </c>
      <c r="C5464" s="208" t="s">
        <v>269</v>
      </c>
      <c r="D5464" s="211">
        <v>-67300</v>
      </c>
      <c r="E5464" s="212">
        <v>45505</v>
      </c>
      <c r="F5464" s="208" t="s">
        <v>109</v>
      </c>
      <c r="G5464" s="654" t="s">
        <v>2585</v>
      </c>
      <c r="H5464" s="208" t="s">
        <v>175</v>
      </c>
      <c r="I5464" s="208" t="s">
        <v>173</v>
      </c>
      <c r="J5464" s="209"/>
      <c r="K5464" s="209"/>
      <c r="L5464" s="209"/>
      <c r="M5464" s="209"/>
      <c r="N5464" s="209"/>
      <c r="O5464" s="209"/>
      <c r="P5464" s="209"/>
      <c r="Q5464" s="209"/>
      <c r="R5464" s="209"/>
      <c r="S5464" s="209"/>
      <c r="T5464" s="209"/>
    </row>
    <row r="5465" spans="1:20" ht="15" hidden="1" customHeight="1">
      <c r="A5465" s="468">
        <v>45526</v>
      </c>
      <c r="B5465" s="208" t="s">
        <v>4555</v>
      </c>
      <c r="C5465" s="208" t="s">
        <v>269</v>
      </c>
      <c r="D5465" s="211">
        <v>-48600</v>
      </c>
      <c r="E5465" s="212">
        <v>45505</v>
      </c>
      <c r="F5465" s="208" t="s">
        <v>109</v>
      </c>
      <c r="G5465" s="654" t="s">
        <v>2585</v>
      </c>
      <c r="H5465" s="208" t="s">
        <v>175</v>
      </c>
      <c r="I5465" s="208" t="s">
        <v>173</v>
      </c>
      <c r="J5465" s="209"/>
      <c r="K5465" s="209"/>
      <c r="L5465" s="209"/>
      <c r="M5465" s="209"/>
      <c r="N5465" s="209"/>
      <c r="O5465" s="209"/>
      <c r="P5465" s="209"/>
      <c r="Q5465" s="209"/>
      <c r="R5465" s="209"/>
      <c r="S5465" s="209"/>
      <c r="T5465" s="209"/>
    </row>
    <row r="5466" spans="1:20" ht="15" hidden="1" customHeight="1">
      <c r="A5466" s="468">
        <v>45527</v>
      </c>
      <c r="B5466" s="208" t="s">
        <v>4556</v>
      </c>
      <c r="C5466" s="208" t="s">
        <v>269</v>
      </c>
      <c r="D5466" s="211">
        <v>-20000</v>
      </c>
      <c r="E5466" s="212">
        <v>45505</v>
      </c>
      <c r="F5466" s="208" t="s">
        <v>109</v>
      </c>
      <c r="G5466" s="654" t="s">
        <v>2585</v>
      </c>
      <c r="H5466" s="208" t="s">
        <v>175</v>
      </c>
      <c r="I5466" s="208" t="s">
        <v>173</v>
      </c>
      <c r="J5466" s="209"/>
      <c r="K5466" s="209"/>
      <c r="L5466" s="209"/>
      <c r="M5466" s="209"/>
      <c r="N5466" s="209"/>
      <c r="O5466" s="209"/>
      <c r="P5466" s="209"/>
      <c r="Q5466" s="209"/>
      <c r="R5466" s="209"/>
      <c r="S5466" s="209"/>
      <c r="T5466" s="209"/>
    </row>
    <row r="5467" spans="1:20" ht="15" hidden="1" customHeight="1">
      <c r="A5467" s="468">
        <v>45527</v>
      </c>
      <c r="B5467" s="208" t="s">
        <v>4557</v>
      </c>
      <c r="C5467" s="208" t="s">
        <v>269</v>
      </c>
      <c r="D5467" s="211">
        <v>-97000</v>
      </c>
      <c r="E5467" s="212">
        <v>45505</v>
      </c>
      <c r="F5467" s="208" t="s">
        <v>109</v>
      </c>
      <c r="G5467" s="654" t="s">
        <v>2585</v>
      </c>
      <c r="H5467" s="208" t="s">
        <v>175</v>
      </c>
      <c r="I5467" s="208" t="s">
        <v>173</v>
      </c>
      <c r="J5467" s="209"/>
      <c r="K5467" s="209"/>
      <c r="L5467" s="209"/>
      <c r="M5467" s="209"/>
      <c r="N5467" s="209"/>
      <c r="O5467" s="209"/>
      <c r="P5467" s="209"/>
      <c r="Q5467" s="209"/>
      <c r="R5467" s="209"/>
      <c r="S5467" s="209"/>
      <c r="T5467" s="209"/>
    </row>
    <row r="5468" spans="1:20" ht="15" hidden="1" customHeight="1">
      <c r="A5468" s="468">
        <v>45530</v>
      </c>
      <c r="B5468" s="208" t="s">
        <v>3724</v>
      </c>
      <c r="C5468" s="208" t="s">
        <v>269</v>
      </c>
      <c r="D5468" s="211">
        <v>-17000</v>
      </c>
      <c r="E5468" s="212">
        <v>45505</v>
      </c>
      <c r="F5468" s="208" t="s">
        <v>110</v>
      </c>
      <c r="G5468" s="201" t="s">
        <v>1489</v>
      </c>
      <c r="H5468" s="208" t="s">
        <v>2941</v>
      </c>
      <c r="I5468" s="208" t="s">
        <v>173</v>
      </c>
      <c r="J5468" s="209"/>
      <c r="K5468" s="209"/>
      <c r="L5468" s="209"/>
      <c r="M5468" s="209"/>
      <c r="N5468" s="209"/>
      <c r="O5468" s="209"/>
      <c r="P5468" s="209"/>
      <c r="Q5468" s="209"/>
      <c r="R5468" s="209"/>
      <c r="S5468" s="209"/>
      <c r="T5468" s="209"/>
    </row>
    <row r="5469" spans="1:20" ht="15" hidden="1" customHeight="1">
      <c r="A5469" s="468">
        <v>45532</v>
      </c>
      <c r="B5469" s="208" t="s">
        <v>4558</v>
      </c>
      <c r="C5469" s="208" t="s">
        <v>269</v>
      </c>
      <c r="D5469" s="211">
        <v>-3200</v>
      </c>
      <c r="E5469" s="212">
        <v>45505</v>
      </c>
      <c r="F5469" s="208" t="s">
        <v>109</v>
      </c>
      <c r="G5469" s="201" t="s">
        <v>581</v>
      </c>
      <c r="H5469" s="208" t="s">
        <v>138</v>
      </c>
      <c r="I5469" s="208"/>
      <c r="J5469" s="209"/>
      <c r="K5469" s="209"/>
      <c r="L5469" s="209"/>
      <c r="M5469" s="209"/>
      <c r="N5469" s="209"/>
      <c r="O5469" s="209"/>
      <c r="P5469" s="209"/>
      <c r="Q5469" s="209"/>
      <c r="R5469" s="209"/>
      <c r="S5469" s="209"/>
      <c r="T5469" s="209"/>
    </row>
    <row r="5470" spans="1:20" ht="15" hidden="1" customHeight="1">
      <c r="A5470" s="468">
        <v>45533</v>
      </c>
      <c r="B5470" s="208" t="s">
        <v>4559</v>
      </c>
      <c r="C5470" s="208" t="s">
        <v>269</v>
      </c>
      <c r="D5470" s="211">
        <v>-7000</v>
      </c>
      <c r="E5470" s="212">
        <v>45505</v>
      </c>
      <c r="F5470" s="208" t="s">
        <v>109</v>
      </c>
      <c r="G5470" s="208" t="s">
        <v>3529</v>
      </c>
      <c r="H5470" s="208" t="s">
        <v>138</v>
      </c>
      <c r="I5470" s="208"/>
      <c r="J5470" s="209"/>
      <c r="K5470" s="209"/>
      <c r="L5470" s="209"/>
      <c r="M5470" s="209"/>
      <c r="N5470" s="209"/>
      <c r="O5470" s="209"/>
      <c r="P5470" s="209"/>
      <c r="Q5470" s="209"/>
      <c r="R5470" s="209"/>
      <c r="S5470" s="209"/>
      <c r="T5470" s="209"/>
    </row>
    <row r="5471" spans="1:20" ht="15" hidden="1" customHeight="1">
      <c r="A5471" s="468">
        <v>45534</v>
      </c>
      <c r="B5471" s="208" t="s">
        <v>4560</v>
      </c>
      <c r="C5471" s="208" t="s">
        <v>269</v>
      </c>
      <c r="D5471" s="211">
        <v>-33400</v>
      </c>
      <c r="E5471" s="212">
        <v>45505</v>
      </c>
      <c r="F5471" s="208" t="s">
        <v>130</v>
      </c>
      <c r="G5471" s="208" t="s">
        <v>257</v>
      </c>
      <c r="H5471" s="208" t="s">
        <v>1138</v>
      </c>
      <c r="I5471" s="208"/>
      <c r="J5471" s="209"/>
      <c r="K5471" s="209"/>
      <c r="L5471" s="209"/>
      <c r="M5471" s="209"/>
      <c r="N5471" s="209"/>
      <c r="O5471" s="209"/>
      <c r="P5471" s="209"/>
      <c r="Q5471" s="209"/>
      <c r="R5471" s="209"/>
      <c r="S5471" s="209"/>
      <c r="T5471" s="209"/>
    </row>
    <row r="5472" spans="1:20" ht="15" hidden="1" customHeight="1">
      <c r="A5472" s="468">
        <v>45514</v>
      </c>
      <c r="B5472" s="208" t="s">
        <v>4561</v>
      </c>
      <c r="C5472" s="208" t="s">
        <v>269</v>
      </c>
      <c r="D5472" s="211">
        <v>-70000</v>
      </c>
      <c r="E5472" s="212">
        <v>45505</v>
      </c>
      <c r="F5472" s="208" t="s">
        <v>109</v>
      </c>
      <c r="G5472" s="201" t="s">
        <v>581</v>
      </c>
      <c r="H5472" s="208"/>
      <c r="I5472" s="208" t="s">
        <v>3364</v>
      </c>
      <c r="J5472" s="209"/>
      <c r="K5472" s="209"/>
      <c r="L5472" s="209"/>
      <c r="M5472" s="209"/>
      <c r="N5472" s="209"/>
      <c r="O5472" s="209"/>
      <c r="P5472" s="209"/>
      <c r="Q5472" s="209"/>
      <c r="R5472" s="209"/>
      <c r="S5472" s="209"/>
      <c r="T5472" s="209"/>
    </row>
    <row r="5473" spans="1:20" ht="15" hidden="1" customHeight="1">
      <c r="A5473" s="468">
        <v>45515</v>
      </c>
      <c r="B5473" s="208" t="s">
        <v>4562</v>
      </c>
      <c r="C5473" s="208" t="s">
        <v>269</v>
      </c>
      <c r="D5473" s="211">
        <v>-135000</v>
      </c>
      <c r="E5473" s="212">
        <v>45505</v>
      </c>
      <c r="F5473" s="208" t="s">
        <v>109</v>
      </c>
      <c r="G5473" s="201" t="s">
        <v>581</v>
      </c>
      <c r="H5473" s="208"/>
      <c r="I5473" s="208" t="s">
        <v>3364</v>
      </c>
      <c r="J5473" s="209"/>
      <c r="K5473" s="209"/>
      <c r="L5473" s="209"/>
      <c r="M5473" s="209"/>
      <c r="N5473" s="209"/>
      <c r="O5473" s="209"/>
      <c r="P5473" s="209"/>
      <c r="Q5473" s="209"/>
      <c r="R5473" s="209"/>
      <c r="S5473" s="209"/>
      <c r="T5473" s="209"/>
    </row>
    <row r="5474" spans="1:20" ht="15" hidden="1" customHeight="1">
      <c r="A5474" s="468">
        <v>45516</v>
      </c>
      <c r="B5474" s="208" t="s">
        <v>4563</v>
      </c>
      <c r="C5474" s="208" t="s">
        <v>269</v>
      </c>
      <c r="D5474" s="211">
        <v>-23000</v>
      </c>
      <c r="E5474" s="212">
        <v>45505</v>
      </c>
      <c r="F5474" s="208" t="s">
        <v>109</v>
      </c>
      <c r="G5474" s="201" t="s">
        <v>581</v>
      </c>
      <c r="H5474" s="208"/>
      <c r="I5474" s="208" t="s">
        <v>3364</v>
      </c>
      <c r="J5474" s="209"/>
      <c r="K5474" s="209"/>
      <c r="L5474" s="209"/>
      <c r="M5474" s="209"/>
      <c r="N5474" s="209"/>
      <c r="O5474" s="209"/>
      <c r="P5474" s="209"/>
      <c r="Q5474" s="209"/>
      <c r="R5474" s="209"/>
      <c r="S5474" s="209"/>
      <c r="T5474" s="209"/>
    </row>
    <row r="5475" spans="1:20" ht="15" hidden="1" customHeight="1">
      <c r="A5475" s="468">
        <v>45516</v>
      </c>
      <c r="B5475" s="208" t="s">
        <v>4564</v>
      </c>
      <c r="C5475" s="208" t="s">
        <v>269</v>
      </c>
      <c r="D5475" s="211">
        <v>-34000</v>
      </c>
      <c r="E5475" s="212">
        <v>45505</v>
      </c>
      <c r="F5475" s="208" t="s">
        <v>109</v>
      </c>
      <c r="G5475" s="201" t="s">
        <v>581</v>
      </c>
      <c r="H5475" s="208"/>
      <c r="I5475" s="208" t="s">
        <v>3364</v>
      </c>
      <c r="J5475" s="209"/>
      <c r="K5475" s="209"/>
      <c r="L5475" s="209"/>
      <c r="M5475" s="209"/>
      <c r="N5475" s="209"/>
      <c r="O5475" s="209"/>
      <c r="P5475" s="209"/>
      <c r="Q5475" s="209"/>
      <c r="R5475" s="209"/>
      <c r="S5475" s="209"/>
      <c r="T5475" s="209"/>
    </row>
    <row r="5476" spans="1:20" ht="15" hidden="1" customHeight="1">
      <c r="A5476" s="468">
        <v>45516</v>
      </c>
      <c r="B5476" s="208" t="s">
        <v>4565</v>
      </c>
      <c r="C5476" s="208" t="s">
        <v>269</v>
      </c>
      <c r="D5476" s="211">
        <v>-80000</v>
      </c>
      <c r="E5476" s="212">
        <v>45505</v>
      </c>
      <c r="F5476" s="208" t="s">
        <v>109</v>
      </c>
      <c r="G5476" s="201" t="s">
        <v>581</v>
      </c>
      <c r="H5476" s="208"/>
      <c r="I5476" s="208" t="s">
        <v>3364</v>
      </c>
      <c r="J5476" s="209"/>
      <c r="K5476" s="209"/>
      <c r="L5476" s="209"/>
      <c r="M5476" s="209"/>
      <c r="N5476" s="209"/>
      <c r="O5476" s="209"/>
      <c r="P5476" s="209"/>
      <c r="Q5476" s="209"/>
      <c r="R5476" s="209"/>
      <c r="S5476" s="209"/>
      <c r="T5476" s="209"/>
    </row>
    <row r="5477" spans="1:20" ht="15" hidden="1" customHeight="1">
      <c r="A5477" s="468">
        <v>45517</v>
      </c>
      <c r="B5477" s="208" t="s">
        <v>4566</v>
      </c>
      <c r="C5477" s="208" t="s">
        <v>269</v>
      </c>
      <c r="D5477" s="211">
        <v>-80000</v>
      </c>
      <c r="E5477" s="212">
        <v>45505</v>
      </c>
      <c r="F5477" s="208" t="s">
        <v>109</v>
      </c>
      <c r="G5477" s="201" t="s">
        <v>581</v>
      </c>
      <c r="H5477" s="208"/>
      <c r="I5477" s="208" t="s">
        <v>3364</v>
      </c>
      <c r="J5477" s="209"/>
      <c r="K5477" s="209"/>
      <c r="L5477" s="209"/>
      <c r="M5477" s="209"/>
      <c r="N5477" s="209"/>
      <c r="O5477" s="209"/>
      <c r="P5477" s="209"/>
      <c r="Q5477" s="209"/>
      <c r="R5477" s="209"/>
      <c r="S5477" s="209"/>
      <c r="T5477" s="209"/>
    </row>
    <row r="5478" spans="1:20" ht="15" hidden="1" customHeight="1">
      <c r="A5478" s="468">
        <v>45517</v>
      </c>
      <c r="B5478" s="208" t="s">
        <v>4567</v>
      </c>
      <c r="C5478" s="208" t="s">
        <v>269</v>
      </c>
      <c r="D5478" s="211">
        <v>-28000</v>
      </c>
      <c r="E5478" s="212">
        <v>45505</v>
      </c>
      <c r="F5478" s="208" t="s">
        <v>109</v>
      </c>
      <c r="G5478" s="201" t="s">
        <v>581</v>
      </c>
      <c r="H5478" s="208"/>
      <c r="I5478" s="208" t="s">
        <v>3364</v>
      </c>
      <c r="J5478" s="209"/>
      <c r="K5478" s="209"/>
      <c r="L5478" s="209"/>
      <c r="M5478" s="209"/>
      <c r="N5478" s="209"/>
      <c r="O5478" s="209"/>
      <c r="P5478" s="209"/>
      <c r="Q5478" s="209"/>
      <c r="R5478" s="209"/>
      <c r="S5478" s="209"/>
      <c r="T5478" s="209"/>
    </row>
    <row r="5479" spans="1:20" ht="15" hidden="1" customHeight="1">
      <c r="A5479" s="468">
        <v>45518</v>
      </c>
      <c r="B5479" s="208" t="s">
        <v>4568</v>
      </c>
      <c r="C5479" s="208" t="s">
        <v>269</v>
      </c>
      <c r="D5479" s="211">
        <v>-70000</v>
      </c>
      <c r="E5479" s="212">
        <v>45505</v>
      </c>
      <c r="F5479" s="208" t="s">
        <v>109</v>
      </c>
      <c r="G5479" s="201" t="s">
        <v>581</v>
      </c>
      <c r="H5479" s="208"/>
      <c r="I5479" s="208" t="s">
        <v>3364</v>
      </c>
      <c r="J5479" s="209"/>
      <c r="K5479" s="209"/>
      <c r="L5479" s="209"/>
      <c r="M5479" s="209"/>
      <c r="N5479" s="209"/>
      <c r="O5479" s="209"/>
      <c r="P5479" s="209"/>
      <c r="Q5479" s="209"/>
      <c r="R5479" s="209"/>
      <c r="S5479" s="209"/>
      <c r="T5479" s="209"/>
    </row>
    <row r="5480" spans="1:20" ht="15" hidden="1" customHeight="1">
      <c r="A5480" s="468">
        <v>45518</v>
      </c>
      <c r="B5480" s="208" t="s">
        <v>2125</v>
      </c>
      <c r="C5480" s="208" t="s">
        <v>269</v>
      </c>
      <c r="D5480" s="211">
        <v>-40000</v>
      </c>
      <c r="E5480" s="212">
        <v>45505</v>
      </c>
      <c r="F5480" s="208" t="s">
        <v>109</v>
      </c>
      <c r="G5480" s="201" t="s">
        <v>581</v>
      </c>
      <c r="H5480" s="208"/>
      <c r="I5480" s="208" t="s">
        <v>3364</v>
      </c>
      <c r="J5480" s="209"/>
      <c r="K5480" s="209"/>
      <c r="L5480" s="209"/>
      <c r="M5480" s="209"/>
      <c r="N5480" s="209"/>
      <c r="O5480" s="209"/>
      <c r="P5480" s="209"/>
      <c r="Q5480" s="209"/>
      <c r="R5480" s="209"/>
      <c r="S5480" s="209"/>
      <c r="T5480" s="209"/>
    </row>
    <row r="5481" spans="1:20" ht="15" hidden="1" customHeight="1">
      <c r="A5481" s="468">
        <v>45518</v>
      </c>
      <c r="B5481" s="208" t="s">
        <v>4287</v>
      </c>
      <c r="C5481" s="208" t="s">
        <v>269</v>
      </c>
      <c r="D5481" s="211">
        <v>-30000</v>
      </c>
      <c r="E5481" s="212">
        <v>45505</v>
      </c>
      <c r="F5481" s="208" t="s">
        <v>109</v>
      </c>
      <c r="G5481" s="201" t="s">
        <v>581</v>
      </c>
      <c r="H5481" s="208"/>
      <c r="I5481" s="208" t="s">
        <v>3364</v>
      </c>
      <c r="J5481" s="209"/>
      <c r="K5481" s="209"/>
      <c r="L5481" s="209"/>
      <c r="M5481" s="209"/>
      <c r="N5481" s="209"/>
      <c r="O5481" s="209"/>
      <c r="P5481" s="209"/>
      <c r="Q5481" s="209"/>
      <c r="R5481" s="209"/>
      <c r="S5481" s="209"/>
      <c r="T5481" s="209"/>
    </row>
    <row r="5482" spans="1:20" ht="15" hidden="1" customHeight="1">
      <c r="A5482" s="468">
        <v>45519</v>
      </c>
      <c r="B5482" s="208" t="s">
        <v>4569</v>
      </c>
      <c r="C5482" s="208" t="s">
        <v>269</v>
      </c>
      <c r="D5482" s="211">
        <v>-106000</v>
      </c>
      <c r="E5482" s="212">
        <v>45505</v>
      </c>
      <c r="F5482" s="208" t="s">
        <v>109</v>
      </c>
      <c r="G5482" s="201" t="s">
        <v>581</v>
      </c>
      <c r="H5482" s="208"/>
      <c r="I5482" s="208" t="s">
        <v>3364</v>
      </c>
      <c r="J5482" s="209"/>
      <c r="K5482" s="209"/>
      <c r="L5482" s="209"/>
      <c r="M5482" s="209"/>
      <c r="N5482" s="209"/>
      <c r="O5482" s="209"/>
      <c r="P5482" s="209"/>
      <c r="Q5482" s="209"/>
      <c r="R5482" s="209"/>
      <c r="S5482" s="209"/>
      <c r="T5482" s="209"/>
    </row>
    <row r="5483" spans="1:20" ht="15" hidden="1" customHeight="1">
      <c r="A5483" s="468">
        <v>45519</v>
      </c>
      <c r="B5483" s="208" t="s">
        <v>4570</v>
      </c>
      <c r="C5483" s="208" t="s">
        <v>269</v>
      </c>
      <c r="D5483" s="211">
        <v>-5000</v>
      </c>
      <c r="E5483" s="212">
        <v>45505</v>
      </c>
      <c r="F5483" s="208" t="s">
        <v>109</v>
      </c>
      <c r="G5483" s="201" t="s">
        <v>581</v>
      </c>
      <c r="H5483" s="208"/>
      <c r="I5483" s="208" t="s">
        <v>3364</v>
      </c>
      <c r="J5483" s="209"/>
      <c r="K5483" s="209"/>
      <c r="L5483" s="209"/>
      <c r="M5483" s="209"/>
      <c r="N5483" s="209"/>
      <c r="O5483" s="209"/>
      <c r="P5483" s="209"/>
      <c r="Q5483" s="209"/>
      <c r="R5483" s="209"/>
      <c r="S5483" s="209"/>
      <c r="T5483" s="209"/>
    </row>
    <row r="5484" spans="1:20" ht="15" hidden="1" customHeight="1">
      <c r="A5484" s="468">
        <v>45519</v>
      </c>
      <c r="B5484" s="208" t="s">
        <v>4571</v>
      </c>
      <c r="C5484" s="208" t="s">
        <v>269</v>
      </c>
      <c r="D5484" s="211">
        <v>-368000</v>
      </c>
      <c r="E5484" s="212">
        <v>45505</v>
      </c>
      <c r="F5484" s="208" t="s">
        <v>109</v>
      </c>
      <c r="G5484" s="201" t="s">
        <v>581</v>
      </c>
      <c r="H5484" s="208"/>
      <c r="I5484" s="208" t="s">
        <v>3364</v>
      </c>
      <c r="J5484" s="209"/>
      <c r="K5484" s="209"/>
      <c r="L5484" s="209"/>
      <c r="M5484" s="209"/>
      <c r="N5484" s="209"/>
      <c r="O5484" s="209"/>
      <c r="P5484" s="209"/>
      <c r="Q5484" s="209"/>
      <c r="R5484" s="209"/>
      <c r="S5484" s="209"/>
      <c r="T5484" s="209"/>
    </row>
    <row r="5485" spans="1:20" ht="15" hidden="1" customHeight="1">
      <c r="A5485" s="468">
        <v>45519</v>
      </c>
      <c r="B5485" s="208" t="s">
        <v>4572</v>
      </c>
      <c r="C5485" s="208" t="s">
        <v>269</v>
      </c>
      <c r="D5485" s="211">
        <v>-30000</v>
      </c>
      <c r="E5485" s="212">
        <v>45505</v>
      </c>
      <c r="F5485" s="208" t="s">
        <v>109</v>
      </c>
      <c r="G5485" s="201" t="s">
        <v>581</v>
      </c>
      <c r="H5485" s="208"/>
      <c r="I5485" s="208" t="s">
        <v>3364</v>
      </c>
      <c r="J5485" s="209"/>
      <c r="K5485" s="209"/>
      <c r="L5485" s="209"/>
      <c r="M5485" s="209"/>
      <c r="N5485" s="209"/>
      <c r="O5485" s="209"/>
      <c r="P5485" s="209"/>
      <c r="Q5485" s="209"/>
      <c r="R5485" s="209"/>
      <c r="S5485" s="209"/>
      <c r="T5485" s="209"/>
    </row>
    <row r="5486" spans="1:20" ht="15" hidden="1" customHeight="1">
      <c r="A5486" s="468">
        <v>45520</v>
      </c>
      <c r="B5486" s="208" t="s">
        <v>4573</v>
      </c>
      <c r="C5486" s="208" t="s">
        <v>269</v>
      </c>
      <c r="D5486" s="211">
        <v>-35000</v>
      </c>
      <c r="E5486" s="212">
        <v>45505</v>
      </c>
      <c r="F5486" s="208" t="s">
        <v>109</v>
      </c>
      <c r="G5486" s="201" t="s">
        <v>581</v>
      </c>
      <c r="H5486" s="208"/>
      <c r="I5486" s="208" t="s">
        <v>3364</v>
      </c>
      <c r="J5486" s="209"/>
      <c r="K5486" s="209"/>
      <c r="L5486" s="209"/>
      <c r="M5486" s="209"/>
      <c r="N5486" s="209"/>
      <c r="O5486" s="209"/>
      <c r="P5486" s="209"/>
      <c r="Q5486" s="209"/>
      <c r="R5486" s="209"/>
      <c r="S5486" s="209"/>
      <c r="T5486" s="209"/>
    </row>
    <row r="5487" spans="1:20" ht="15" hidden="1" customHeight="1">
      <c r="A5487" s="468">
        <v>45521</v>
      </c>
      <c r="B5487" s="208" t="s">
        <v>4574</v>
      </c>
      <c r="C5487" s="208" t="s">
        <v>269</v>
      </c>
      <c r="D5487" s="211">
        <v>-40000</v>
      </c>
      <c r="E5487" s="212">
        <v>45505</v>
      </c>
      <c r="F5487" s="208" t="s">
        <v>109</v>
      </c>
      <c r="G5487" s="201" t="s">
        <v>581</v>
      </c>
      <c r="H5487" s="208"/>
      <c r="I5487" s="208" t="s">
        <v>3364</v>
      </c>
      <c r="J5487" s="209"/>
      <c r="K5487" s="209"/>
      <c r="L5487" s="209"/>
      <c r="M5487" s="209"/>
      <c r="N5487" s="209"/>
      <c r="O5487" s="209"/>
      <c r="P5487" s="209"/>
      <c r="Q5487" s="209"/>
      <c r="R5487" s="209"/>
      <c r="S5487" s="209"/>
      <c r="T5487" s="209"/>
    </row>
    <row r="5488" spans="1:20" ht="15" hidden="1" customHeight="1">
      <c r="A5488" s="468">
        <v>45521</v>
      </c>
      <c r="B5488" s="208" t="s">
        <v>4575</v>
      </c>
      <c r="C5488" s="208" t="s">
        <v>269</v>
      </c>
      <c r="D5488" s="211">
        <v>-40000</v>
      </c>
      <c r="E5488" s="212">
        <v>45505</v>
      </c>
      <c r="F5488" s="208" t="s">
        <v>109</v>
      </c>
      <c r="G5488" s="201" t="s">
        <v>581</v>
      </c>
      <c r="H5488" s="208"/>
      <c r="I5488" s="208" t="s">
        <v>3364</v>
      </c>
      <c r="J5488" s="209"/>
      <c r="K5488" s="209"/>
      <c r="L5488" s="209"/>
      <c r="M5488" s="209"/>
      <c r="N5488" s="209"/>
      <c r="O5488" s="209"/>
      <c r="P5488" s="209"/>
      <c r="Q5488" s="209"/>
      <c r="R5488" s="209"/>
      <c r="S5488" s="209"/>
      <c r="T5488" s="209"/>
    </row>
    <row r="5489" spans="1:20" ht="15" hidden="1" customHeight="1">
      <c r="A5489" s="468">
        <v>45521</v>
      </c>
      <c r="B5489" s="208" t="s">
        <v>4576</v>
      </c>
      <c r="C5489" s="208" t="s">
        <v>269</v>
      </c>
      <c r="D5489" s="801">
        <v>-13500</v>
      </c>
      <c r="E5489" s="212">
        <v>45505</v>
      </c>
      <c r="F5489" s="208" t="s">
        <v>109</v>
      </c>
      <c r="G5489" s="201" t="s">
        <v>581</v>
      </c>
      <c r="H5489" s="208"/>
      <c r="I5489" s="208" t="s">
        <v>3364</v>
      </c>
      <c r="J5489" s="209"/>
      <c r="K5489" s="209"/>
      <c r="L5489" s="209"/>
      <c r="M5489" s="209"/>
      <c r="N5489" s="209"/>
      <c r="O5489" s="209"/>
      <c r="P5489" s="209"/>
      <c r="Q5489" s="209"/>
      <c r="R5489" s="209"/>
      <c r="S5489" s="209"/>
      <c r="T5489" s="209"/>
    </row>
    <row r="5490" spans="1:20" ht="15" hidden="1" customHeight="1">
      <c r="A5490" s="468">
        <v>45524</v>
      </c>
      <c r="B5490" s="208" t="s">
        <v>4577</v>
      </c>
      <c r="C5490" s="208" t="s">
        <v>269</v>
      </c>
      <c r="D5490" s="211">
        <v>-80000</v>
      </c>
      <c r="E5490" s="212">
        <v>45505</v>
      </c>
      <c r="F5490" s="208" t="s">
        <v>109</v>
      </c>
      <c r="G5490" s="201" t="s">
        <v>581</v>
      </c>
      <c r="H5490" s="208"/>
      <c r="I5490" s="208" t="s">
        <v>3364</v>
      </c>
      <c r="J5490" s="209"/>
      <c r="K5490" s="209"/>
      <c r="L5490" s="209"/>
      <c r="M5490" s="209"/>
      <c r="N5490" s="209"/>
      <c r="O5490" s="209"/>
      <c r="P5490" s="209"/>
      <c r="Q5490" s="209"/>
      <c r="R5490" s="209"/>
      <c r="S5490" s="209"/>
      <c r="T5490" s="209"/>
    </row>
    <row r="5491" spans="1:20" ht="15" hidden="1" customHeight="1">
      <c r="A5491" s="468">
        <v>45524</v>
      </c>
      <c r="B5491" s="208" t="s">
        <v>4578</v>
      </c>
      <c r="C5491" s="208" t="s">
        <v>269</v>
      </c>
      <c r="D5491" s="211">
        <v>-20000</v>
      </c>
      <c r="E5491" s="212">
        <v>45505</v>
      </c>
      <c r="F5491" s="208" t="s">
        <v>109</v>
      </c>
      <c r="G5491" s="201" t="s">
        <v>581</v>
      </c>
      <c r="H5491" s="208"/>
      <c r="I5491" s="208" t="s">
        <v>3364</v>
      </c>
      <c r="J5491" s="209"/>
      <c r="K5491" s="209"/>
      <c r="L5491" s="209"/>
      <c r="M5491" s="209"/>
      <c r="N5491" s="209"/>
      <c r="O5491" s="209"/>
      <c r="P5491" s="209"/>
      <c r="Q5491" s="209"/>
      <c r="R5491" s="209"/>
      <c r="S5491" s="209"/>
      <c r="T5491" s="209"/>
    </row>
    <row r="5492" spans="1:20" ht="15" hidden="1" customHeight="1">
      <c r="A5492" s="468">
        <v>45525</v>
      </c>
      <c r="B5492" s="208" t="s">
        <v>4579</v>
      </c>
      <c r="C5492" s="208" t="s">
        <v>269</v>
      </c>
      <c r="D5492" s="211">
        <v>-74000</v>
      </c>
      <c r="E5492" s="212">
        <v>45505</v>
      </c>
      <c r="F5492" s="208" t="s">
        <v>109</v>
      </c>
      <c r="G5492" s="201" t="s">
        <v>581</v>
      </c>
      <c r="H5492" s="208"/>
      <c r="I5492" s="208" t="s">
        <v>3364</v>
      </c>
      <c r="J5492" s="209"/>
      <c r="K5492" s="209"/>
      <c r="L5492" s="209"/>
      <c r="M5492" s="209"/>
      <c r="N5492" s="209"/>
      <c r="O5492" s="209"/>
      <c r="P5492" s="209"/>
      <c r="Q5492" s="209"/>
      <c r="R5492" s="209"/>
      <c r="S5492" s="209"/>
      <c r="T5492" s="209"/>
    </row>
    <row r="5493" spans="1:20" ht="15" hidden="1" customHeight="1">
      <c r="A5493" s="468">
        <v>45525</v>
      </c>
      <c r="B5493" s="208" t="s">
        <v>4580</v>
      </c>
      <c r="C5493" s="208" t="s">
        <v>269</v>
      </c>
      <c r="D5493" s="211">
        <v>-30000</v>
      </c>
      <c r="E5493" s="212">
        <v>45505</v>
      </c>
      <c r="F5493" s="208" t="s">
        <v>109</v>
      </c>
      <c r="G5493" s="201" t="s">
        <v>581</v>
      </c>
      <c r="H5493" s="208"/>
      <c r="I5493" s="208" t="s">
        <v>3364</v>
      </c>
      <c r="J5493" s="209"/>
      <c r="K5493" s="209"/>
      <c r="L5493" s="209"/>
      <c r="M5493" s="209"/>
      <c r="N5493" s="209"/>
      <c r="O5493" s="209"/>
      <c r="P5493" s="209"/>
      <c r="Q5493" s="209"/>
      <c r="R5493" s="209"/>
      <c r="S5493" s="209"/>
      <c r="T5493" s="209"/>
    </row>
    <row r="5494" spans="1:20" ht="15" hidden="1" customHeight="1">
      <c r="A5494" s="468">
        <v>45526</v>
      </c>
      <c r="B5494" s="208" t="s">
        <v>4581</v>
      </c>
      <c r="C5494" s="208" t="s">
        <v>269</v>
      </c>
      <c r="D5494" s="211">
        <v>-28000</v>
      </c>
      <c r="E5494" s="212">
        <v>45505</v>
      </c>
      <c r="F5494" s="208" t="s">
        <v>109</v>
      </c>
      <c r="G5494" s="201" t="s">
        <v>581</v>
      </c>
      <c r="H5494" s="208"/>
      <c r="I5494" s="208" t="s">
        <v>3364</v>
      </c>
      <c r="J5494" s="209"/>
      <c r="K5494" s="209"/>
      <c r="L5494" s="209"/>
      <c r="M5494" s="209"/>
      <c r="N5494" s="209"/>
      <c r="O5494" s="209"/>
      <c r="P5494" s="209"/>
      <c r="Q5494" s="209"/>
      <c r="R5494" s="209"/>
      <c r="S5494" s="209"/>
      <c r="T5494" s="209"/>
    </row>
    <row r="5495" spans="1:20" ht="15" hidden="1" customHeight="1">
      <c r="A5495" s="468">
        <v>45526</v>
      </c>
      <c r="B5495" s="208" t="s">
        <v>2709</v>
      </c>
      <c r="C5495" s="208" t="s">
        <v>269</v>
      </c>
      <c r="D5495" s="211">
        <v>-30000</v>
      </c>
      <c r="E5495" s="212">
        <v>45505</v>
      </c>
      <c r="F5495" s="208" t="s">
        <v>109</v>
      </c>
      <c r="G5495" s="201" t="s">
        <v>581</v>
      </c>
      <c r="H5495" s="208"/>
      <c r="I5495" s="208" t="s">
        <v>3364</v>
      </c>
      <c r="J5495" s="209"/>
      <c r="K5495" s="209"/>
      <c r="L5495" s="209"/>
      <c r="M5495" s="209"/>
      <c r="N5495" s="209"/>
      <c r="O5495" s="209"/>
      <c r="P5495" s="209"/>
      <c r="Q5495" s="209"/>
      <c r="R5495" s="209"/>
      <c r="S5495" s="209"/>
      <c r="T5495" s="209"/>
    </row>
    <row r="5496" spans="1:20" ht="15" hidden="1" customHeight="1">
      <c r="A5496" s="468">
        <v>45526</v>
      </c>
      <c r="B5496" s="208" t="s">
        <v>4582</v>
      </c>
      <c r="C5496" s="208" t="s">
        <v>269</v>
      </c>
      <c r="D5496" s="211">
        <v>-20000</v>
      </c>
      <c r="E5496" s="212">
        <v>45505</v>
      </c>
      <c r="F5496" s="208" t="s">
        <v>109</v>
      </c>
      <c r="G5496" s="201" t="s">
        <v>581</v>
      </c>
      <c r="H5496" s="208"/>
      <c r="I5496" s="208" t="s">
        <v>3364</v>
      </c>
      <c r="J5496" s="209"/>
      <c r="K5496" s="209"/>
      <c r="L5496" s="209"/>
      <c r="M5496" s="209"/>
      <c r="N5496" s="209"/>
      <c r="O5496" s="209"/>
      <c r="P5496" s="209"/>
      <c r="Q5496" s="209"/>
      <c r="R5496" s="209"/>
      <c r="S5496" s="209"/>
      <c r="T5496" s="209"/>
    </row>
    <row r="5497" spans="1:20" ht="15" hidden="1" customHeight="1">
      <c r="A5497" s="468">
        <v>45527</v>
      </c>
      <c r="B5497" s="208" t="s">
        <v>4583</v>
      </c>
      <c r="C5497" s="208" t="s">
        <v>269</v>
      </c>
      <c r="D5497" s="801">
        <v>-13500</v>
      </c>
      <c r="E5497" s="212">
        <v>45505</v>
      </c>
      <c r="F5497" s="208" t="s">
        <v>109</v>
      </c>
      <c r="G5497" s="201" t="s">
        <v>581</v>
      </c>
      <c r="H5497" s="208"/>
      <c r="I5497" s="208" t="s">
        <v>3364</v>
      </c>
      <c r="J5497" s="209"/>
      <c r="K5497" s="209"/>
      <c r="L5497" s="209"/>
      <c r="M5497" s="209"/>
      <c r="N5497" s="209"/>
      <c r="O5497" s="209"/>
      <c r="P5497" s="209"/>
      <c r="Q5497" s="209"/>
      <c r="R5497" s="209"/>
      <c r="S5497" s="209"/>
      <c r="T5497" s="209"/>
    </row>
    <row r="5498" spans="1:20" ht="15" hidden="1" customHeight="1">
      <c r="A5498" s="468">
        <v>45527</v>
      </c>
      <c r="B5498" s="208" t="s">
        <v>4562</v>
      </c>
      <c r="C5498" s="208" t="s">
        <v>269</v>
      </c>
      <c r="D5498" s="211">
        <v>-120000</v>
      </c>
      <c r="E5498" s="212">
        <v>45505</v>
      </c>
      <c r="F5498" s="208" t="s">
        <v>109</v>
      </c>
      <c r="G5498" s="201" t="s">
        <v>581</v>
      </c>
      <c r="H5498" s="208"/>
      <c r="I5498" s="208" t="s">
        <v>3364</v>
      </c>
      <c r="J5498" s="209"/>
      <c r="K5498" s="209"/>
      <c r="L5498" s="209"/>
      <c r="M5498" s="209"/>
      <c r="N5498" s="209"/>
      <c r="O5498" s="209"/>
      <c r="P5498" s="209"/>
      <c r="Q5498" s="209"/>
      <c r="R5498" s="209"/>
      <c r="S5498" s="209"/>
      <c r="T5498" s="209"/>
    </row>
    <row r="5499" spans="1:20" ht="15" hidden="1" customHeight="1">
      <c r="A5499" s="468">
        <v>45527</v>
      </c>
      <c r="B5499" s="208" t="s">
        <v>4584</v>
      </c>
      <c r="C5499" s="208" t="s">
        <v>269</v>
      </c>
      <c r="D5499" s="211">
        <v>-40000</v>
      </c>
      <c r="E5499" s="212">
        <v>45505</v>
      </c>
      <c r="F5499" s="208" t="s">
        <v>109</v>
      </c>
      <c r="G5499" s="201" t="s">
        <v>581</v>
      </c>
      <c r="H5499" s="208"/>
      <c r="I5499" s="208" t="s">
        <v>3364</v>
      </c>
      <c r="J5499" s="209"/>
      <c r="K5499" s="209"/>
      <c r="L5499" s="209"/>
      <c r="M5499" s="209"/>
      <c r="N5499" s="209"/>
      <c r="O5499" s="209"/>
      <c r="P5499" s="209"/>
      <c r="Q5499" s="209"/>
      <c r="R5499" s="209"/>
      <c r="S5499" s="209"/>
      <c r="T5499" s="209"/>
    </row>
    <row r="5500" spans="1:20" ht="15" hidden="1" customHeight="1">
      <c r="A5500" s="468">
        <v>45528</v>
      </c>
      <c r="B5500" s="208" t="s">
        <v>4585</v>
      </c>
      <c r="C5500" s="208" t="s">
        <v>269</v>
      </c>
      <c r="D5500" s="211">
        <v>-100000</v>
      </c>
      <c r="E5500" s="212">
        <v>45505</v>
      </c>
      <c r="F5500" s="208" t="s">
        <v>109</v>
      </c>
      <c r="G5500" s="201" t="s">
        <v>581</v>
      </c>
      <c r="H5500" s="208"/>
      <c r="I5500" s="208" t="s">
        <v>3364</v>
      </c>
      <c r="J5500" s="209"/>
      <c r="K5500" s="209"/>
      <c r="L5500" s="209"/>
      <c r="M5500" s="209"/>
      <c r="N5500" s="209"/>
      <c r="O5500" s="209"/>
      <c r="P5500" s="209"/>
      <c r="Q5500" s="209"/>
      <c r="R5500" s="209"/>
      <c r="S5500" s="209"/>
      <c r="T5500" s="209"/>
    </row>
    <row r="5501" spans="1:20" ht="15" hidden="1" customHeight="1">
      <c r="A5501" s="468">
        <v>45528</v>
      </c>
      <c r="B5501" s="208" t="s">
        <v>4586</v>
      </c>
      <c r="C5501" s="208" t="s">
        <v>269</v>
      </c>
      <c r="D5501" s="211">
        <v>-40000</v>
      </c>
      <c r="E5501" s="212">
        <v>45505</v>
      </c>
      <c r="F5501" s="208" t="s">
        <v>109</v>
      </c>
      <c r="G5501" s="201" t="s">
        <v>581</v>
      </c>
      <c r="H5501" s="208"/>
      <c r="I5501" s="208" t="s">
        <v>3364</v>
      </c>
      <c r="J5501" s="209"/>
      <c r="K5501" s="209"/>
      <c r="L5501" s="209"/>
      <c r="M5501" s="209"/>
      <c r="N5501" s="209"/>
      <c r="O5501" s="209"/>
      <c r="P5501" s="209"/>
      <c r="Q5501" s="209"/>
      <c r="R5501" s="209"/>
      <c r="S5501" s="209"/>
      <c r="T5501" s="209"/>
    </row>
    <row r="5502" spans="1:20" ht="15" hidden="1" customHeight="1">
      <c r="A5502" s="468">
        <v>45530</v>
      </c>
      <c r="B5502" s="208" t="s">
        <v>4587</v>
      </c>
      <c r="C5502" s="208" t="s">
        <v>269</v>
      </c>
      <c r="D5502" s="211">
        <v>-432000</v>
      </c>
      <c r="E5502" s="212">
        <v>45505</v>
      </c>
      <c r="F5502" s="208" t="s">
        <v>109</v>
      </c>
      <c r="G5502" s="201" t="s">
        <v>581</v>
      </c>
      <c r="H5502" s="208"/>
      <c r="I5502" s="208" t="s">
        <v>3364</v>
      </c>
      <c r="J5502" s="209"/>
      <c r="K5502" s="209"/>
      <c r="L5502" s="209"/>
      <c r="M5502" s="209"/>
      <c r="N5502" s="209"/>
      <c r="O5502" s="209"/>
      <c r="P5502" s="209"/>
      <c r="Q5502" s="209"/>
      <c r="R5502" s="209"/>
      <c r="S5502" s="209"/>
      <c r="T5502" s="209"/>
    </row>
    <row r="5503" spans="1:20" ht="15" hidden="1" customHeight="1">
      <c r="A5503" s="468">
        <v>45530</v>
      </c>
      <c r="B5503" s="208" t="s">
        <v>4588</v>
      </c>
      <c r="C5503" s="208" t="s">
        <v>269</v>
      </c>
      <c r="D5503" s="211">
        <v>-140000</v>
      </c>
      <c r="E5503" s="212">
        <v>45505</v>
      </c>
      <c r="F5503" s="208" t="s">
        <v>109</v>
      </c>
      <c r="G5503" s="201" t="s">
        <v>581</v>
      </c>
      <c r="H5503" s="208"/>
      <c r="I5503" s="208" t="s">
        <v>3364</v>
      </c>
      <c r="J5503" s="209"/>
      <c r="K5503" s="209"/>
      <c r="L5503" s="209"/>
      <c r="M5503" s="209"/>
      <c r="N5503" s="209"/>
      <c r="O5503" s="209"/>
      <c r="P5503" s="209"/>
      <c r="Q5503" s="209"/>
      <c r="R5503" s="209"/>
      <c r="S5503" s="209"/>
      <c r="T5503" s="209"/>
    </row>
    <row r="5504" spans="1:20" ht="15" hidden="1" customHeight="1">
      <c r="A5504" s="468">
        <v>45530</v>
      </c>
      <c r="B5504" s="208" t="s">
        <v>4589</v>
      </c>
      <c r="C5504" s="208" t="s">
        <v>269</v>
      </c>
      <c r="D5504" s="211">
        <v>-12000</v>
      </c>
      <c r="E5504" s="212">
        <v>45505</v>
      </c>
      <c r="F5504" s="208" t="s">
        <v>109</v>
      </c>
      <c r="G5504" s="201" t="s">
        <v>581</v>
      </c>
      <c r="H5504" s="208"/>
      <c r="I5504" s="208" t="s">
        <v>3364</v>
      </c>
      <c r="J5504" s="209"/>
      <c r="K5504" s="209"/>
      <c r="L5504" s="209"/>
      <c r="M5504" s="209"/>
      <c r="N5504" s="209"/>
      <c r="O5504" s="209"/>
      <c r="P5504" s="209"/>
      <c r="Q5504" s="209"/>
      <c r="R5504" s="209"/>
      <c r="S5504" s="209"/>
      <c r="T5504" s="209"/>
    </row>
    <row r="5505" spans="1:20" ht="15" hidden="1" customHeight="1">
      <c r="A5505" s="468">
        <v>45531</v>
      </c>
      <c r="B5505" s="208" t="s">
        <v>2709</v>
      </c>
      <c r="C5505" s="208" t="s">
        <v>269</v>
      </c>
      <c r="D5505" s="211">
        <v>-30000</v>
      </c>
      <c r="E5505" s="212">
        <v>45505</v>
      </c>
      <c r="F5505" s="208" t="s">
        <v>109</v>
      </c>
      <c r="G5505" s="201" t="s">
        <v>581</v>
      </c>
      <c r="H5505" s="208"/>
      <c r="I5505" s="208" t="s">
        <v>3364</v>
      </c>
      <c r="J5505" s="209"/>
      <c r="K5505" s="209"/>
      <c r="L5505" s="209"/>
      <c r="M5505" s="209"/>
      <c r="N5505" s="209"/>
      <c r="O5505" s="209"/>
      <c r="P5505" s="209"/>
      <c r="Q5505" s="209"/>
      <c r="R5505" s="209"/>
      <c r="S5505" s="209"/>
      <c r="T5505" s="209"/>
    </row>
    <row r="5506" spans="1:20" ht="15" hidden="1" customHeight="1">
      <c r="A5506" s="468">
        <v>45531</v>
      </c>
      <c r="B5506" s="208" t="s">
        <v>4590</v>
      </c>
      <c r="C5506" s="208" t="s">
        <v>269</v>
      </c>
      <c r="D5506" s="211">
        <v>-17400</v>
      </c>
      <c r="E5506" s="212">
        <v>45505</v>
      </c>
      <c r="F5506" s="208" t="s">
        <v>109</v>
      </c>
      <c r="G5506" s="201" t="s">
        <v>583</v>
      </c>
      <c r="H5506" s="208" t="s">
        <v>147</v>
      </c>
      <c r="I5506" s="208" t="s">
        <v>3364</v>
      </c>
      <c r="J5506" s="209"/>
      <c r="K5506" s="209"/>
      <c r="L5506" s="209"/>
      <c r="M5506" s="209"/>
      <c r="N5506" s="209"/>
      <c r="O5506" s="209"/>
      <c r="P5506" s="209"/>
      <c r="Q5506" s="209"/>
      <c r="R5506" s="209"/>
      <c r="S5506" s="209"/>
      <c r="T5506" s="209"/>
    </row>
    <row r="5507" spans="1:20" ht="15" hidden="1" customHeight="1">
      <c r="A5507" s="468">
        <v>45532</v>
      </c>
      <c r="B5507" s="208" t="s">
        <v>4591</v>
      </c>
      <c r="C5507" s="208" t="s">
        <v>269</v>
      </c>
      <c r="D5507" s="211">
        <v>-8000</v>
      </c>
      <c r="E5507" s="212">
        <v>45505</v>
      </c>
      <c r="F5507" s="208" t="s">
        <v>109</v>
      </c>
      <c r="G5507" s="201" t="s">
        <v>581</v>
      </c>
      <c r="H5507" s="208"/>
      <c r="I5507" s="208" t="s">
        <v>3364</v>
      </c>
      <c r="J5507" s="209"/>
      <c r="K5507" s="209"/>
      <c r="L5507" s="209"/>
      <c r="M5507" s="209"/>
      <c r="N5507" s="209"/>
      <c r="O5507" s="209"/>
      <c r="P5507" s="209"/>
      <c r="Q5507" s="209"/>
      <c r="R5507" s="209"/>
      <c r="S5507" s="209"/>
      <c r="T5507" s="209"/>
    </row>
    <row r="5508" spans="1:20" ht="15" hidden="1" customHeight="1">
      <c r="A5508" s="468">
        <v>45532</v>
      </c>
      <c r="B5508" s="208" t="s">
        <v>4592</v>
      </c>
      <c r="C5508" s="208" t="s">
        <v>269</v>
      </c>
      <c r="D5508" s="211">
        <v>-93000</v>
      </c>
      <c r="E5508" s="212">
        <v>45505</v>
      </c>
      <c r="F5508" s="208" t="s">
        <v>109</v>
      </c>
      <c r="G5508" s="201" t="s">
        <v>581</v>
      </c>
      <c r="H5508" s="208"/>
      <c r="I5508" s="208" t="s">
        <v>3364</v>
      </c>
      <c r="J5508" s="209"/>
      <c r="K5508" s="209"/>
      <c r="L5508" s="209"/>
      <c r="M5508" s="209"/>
      <c r="N5508" s="209"/>
      <c r="O5508" s="209"/>
      <c r="P5508" s="209"/>
      <c r="Q5508" s="209"/>
      <c r="R5508" s="209"/>
      <c r="S5508" s="209"/>
      <c r="T5508" s="209"/>
    </row>
    <row r="5509" spans="1:20" ht="15" hidden="1" customHeight="1">
      <c r="A5509" s="468">
        <v>45532</v>
      </c>
      <c r="B5509" s="208" t="s">
        <v>4593</v>
      </c>
      <c r="C5509" s="208" t="s">
        <v>269</v>
      </c>
      <c r="D5509" s="211">
        <v>-48000</v>
      </c>
      <c r="E5509" s="212">
        <v>45505</v>
      </c>
      <c r="F5509" s="208" t="s">
        <v>109</v>
      </c>
      <c r="G5509" s="201" t="s">
        <v>581</v>
      </c>
      <c r="H5509" s="208"/>
      <c r="I5509" s="208" t="s">
        <v>3364</v>
      </c>
      <c r="J5509" s="209"/>
      <c r="K5509" s="209"/>
      <c r="L5509" s="209"/>
      <c r="M5509" s="209"/>
      <c r="N5509" s="209"/>
      <c r="O5509" s="209"/>
      <c r="P5509" s="209"/>
      <c r="Q5509" s="209"/>
      <c r="R5509" s="209"/>
      <c r="S5509" s="209"/>
      <c r="T5509" s="209"/>
    </row>
    <row r="5510" spans="1:20" ht="15" hidden="1" customHeight="1">
      <c r="A5510" s="468">
        <v>45534</v>
      </c>
      <c r="B5510" s="208" t="s">
        <v>2663</v>
      </c>
      <c r="C5510" s="208" t="s">
        <v>269</v>
      </c>
      <c r="D5510" s="211">
        <v>-55000</v>
      </c>
      <c r="E5510" s="212">
        <v>45505</v>
      </c>
      <c r="F5510" s="208" t="s">
        <v>130</v>
      </c>
      <c r="G5510" s="208" t="s">
        <v>130</v>
      </c>
      <c r="H5510" s="208" t="s">
        <v>138</v>
      </c>
      <c r="I5510" s="208"/>
      <c r="J5510" s="209"/>
      <c r="K5510" s="209"/>
      <c r="L5510" s="209"/>
      <c r="M5510" s="209"/>
      <c r="N5510" s="209"/>
      <c r="O5510" s="209"/>
      <c r="P5510" s="209"/>
      <c r="Q5510" s="209"/>
      <c r="R5510" s="209"/>
      <c r="S5510" s="209"/>
      <c r="T5510" s="209"/>
    </row>
    <row r="5511" spans="1:20" ht="15" hidden="1" customHeight="1">
      <c r="A5511" s="468">
        <v>45534</v>
      </c>
      <c r="B5511" s="208" t="s">
        <v>2663</v>
      </c>
      <c r="C5511" s="208" t="s">
        <v>269</v>
      </c>
      <c r="D5511" s="211">
        <v>-61000</v>
      </c>
      <c r="E5511" s="212">
        <v>45505</v>
      </c>
      <c r="F5511" s="208" t="s">
        <v>110</v>
      </c>
      <c r="G5511" s="201" t="s">
        <v>1489</v>
      </c>
      <c r="H5511" s="208" t="s">
        <v>138</v>
      </c>
      <c r="I5511" s="208"/>
      <c r="J5511" s="209"/>
      <c r="K5511" s="209"/>
      <c r="L5511" s="209"/>
      <c r="M5511" s="209"/>
      <c r="N5511" s="209"/>
      <c r="O5511" s="209"/>
      <c r="P5511" s="209"/>
      <c r="Q5511" s="209"/>
      <c r="R5511" s="209"/>
      <c r="S5511" s="209"/>
      <c r="T5511" s="209"/>
    </row>
    <row r="5512" spans="1:20" ht="15" hidden="1" customHeight="1">
      <c r="A5512" s="468">
        <v>45534</v>
      </c>
      <c r="B5512" s="208" t="s">
        <v>2663</v>
      </c>
      <c r="C5512" s="208" t="s">
        <v>269</v>
      </c>
      <c r="D5512" s="211">
        <v>-39896</v>
      </c>
      <c r="E5512" s="212">
        <v>45505</v>
      </c>
      <c r="F5512" s="208" t="s">
        <v>109</v>
      </c>
      <c r="G5512" s="654" t="s">
        <v>2585</v>
      </c>
      <c r="H5512" s="208" t="s">
        <v>138</v>
      </c>
      <c r="I5512" s="208"/>
      <c r="J5512" s="209"/>
      <c r="K5512" s="209"/>
      <c r="L5512" s="209"/>
      <c r="M5512" s="209"/>
      <c r="N5512" s="209"/>
      <c r="O5512" s="209"/>
      <c r="P5512" s="209"/>
      <c r="Q5512" s="209"/>
      <c r="R5512" s="209"/>
      <c r="S5512" s="209"/>
      <c r="T5512" s="209"/>
    </row>
    <row r="5513" spans="1:20" ht="15" hidden="1" customHeight="1">
      <c r="A5513" s="468">
        <v>45534</v>
      </c>
      <c r="B5513" s="208" t="s">
        <v>2663</v>
      </c>
      <c r="C5513" s="208" t="s">
        <v>269</v>
      </c>
      <c r="D5513" s="211">
        <v>-28000</v>
      </c>
      <c r="E5513" s="212">
        <v>45505</v>
      </c>
      <c r="F5513" s="208" t="s">
        <v>109</v>
      </c>
      <c r="G5513" s="601" t="s">
        <v>581</v>
      </c>
      <c r="H5513" s="208" t="s">
        <v>138</v>
      </c>
      <c r="I5513" s="208"/>
      <c r="J5513" s="209"/>
      <c r="K5513" s="209"/>
      <c r="L5513" s="209"/>
      <c r="M5513" s="209"/>
      <c r="N5513" s="209"/>
      <c r="O5513" s="209"/>
      <c r="P5513" s="209"/>
      <c r="Q5513" s="209"/>
      <c r="R5513" s="209"/>
      <c r="S5513" s="209"/>
      <c r="T5513" s="209"/>
    </row>
    <row r="5514" spans="1:20" ht="15" hidden="1" customHeight="1">
      <c r="A5514" s="468">
        <v>45534</v>
      </c>
      <c r="B5514" s="208" t="s">
        <v>2663</v>
      </c>
      <c r="C5514" s="208" t="s">
        <v>269</v>
      </c>
      <c r="D5514" s="211">
        <v>-7000</v>
      </c>
      <c r="E5514" s="212">
        <v>45505</v>
      </c>
      <c r="F5514" s="208" t="s">
        <v>110</v>
      </c>
      <c r="G5514" s="208" t="s">
        <v>774</v>
      </c>
      <c r="H5514" s="208" t="s">
        <v>138</v>
      </c>
      <c r="I5514" s="208"/>
      <c r="J5514" s="209"/>
      <c r="K5514" s="209"/>
      <c r="L5514" s="209"/>
      <c r="M5514" s="209"/>
      <c r="N5514" s="209"/>
      <c r="O5514" s="209"/>
      <c r="P5514" s="209"/>
      <c r="Q5514" s="209"/>
      <c r="R5514" s="209"/>
      <c r="S5514" s="209"/>
      <c r="T5514" s="209"/>
    </row>
    <row r="5515" spans="1:20" ht="15" hidden="1" customHeight="1">
      <c r="A5515" s="468">
        <v>45534</v>
      </c>
      <c r="B5515" s="208" t="s">
        <v>3187</v>
      </c>
      <c r="C5515" s="208" t="s">
        <v>133</v>
      </c>
      <c r="D5515" s="211">
        <v>-1940</v>
      </c>
      <c r="E5515" s="212">
        <v>45505</v>
      </c>
      <c r="F5515" s="208" t="s">
        <v>109</v>
      </c>
      <c r="G5515" s="654" t="s">
        <v>2585</v>
      </c>
      <c r="H5515" s="208" t="s">
        <v>138</v>
      </c>
      <c r="I5515" s="208"/>
      <c r="J5515" s="209"/>
      <c r="K5515" s="209"/>
      <c r="L5515" s="209"/>
      <c r="M5515" s="209"/>
      <c r="N5515" s="209"/>
      <c r="O5515" s="209"/>
      <c r="P5515" s="209"/>
      <c r="Q5515" s="209"/>
      <c r="R5515" s="209"/>
      <c r="S5515" s="209"/>
      <c r="T5515" s="209"/>
    </row>
    <row r="5516" spans="1:20" ht="15" hidden="1" customHeight="1">
      <c r="A5516" s="468">
        <v>45534</v>
      </c>
      <c r="B5516" s="208" t="s">
        <v>4594</v>
      </c>
      <c r="C5516" s="208" t="s">
        <v>133</v>
      </c>
      <c r="D5516" s="211">
        <v>-1164</v>
      </c>
      <c r="E5516" s="212">
        <v>45505</v>
      </c>
      <c r="F5516" s="208" t="s">
        <v>109</v>
      </c>
      <c r="G5516" s="654" t="s">
        <v>2585</v>
      </c>
      <c r="H5516" s="208" t="s">
        <v>138</v>
      </c>
      <c r="I5516" s="208"/>
      <c r="J5516" s="209"/>
      <c r="K5516" s="209"/>
      <c r="L5516" s="209"/>
      <c r="M5516" s="209"/>
      <c r="N5516" s="209"/>
      <c r="O5516" s="209"/>
      <c r="P5516" s="209"/>
      <c r="Q5516" s="209"/>
      <c r="R5516" s="209"/>
      <c r="S5516" s="209"/>
      <c r="T5516" s="209"/>
    </row>
    <row r="5517" spans="1:20" ht="15" hidden="1" customHeight="1">
      <c r="A5517" s="468">
        <v>45510</v>
      </c>
      <c r="B5517" s="208" t="s">
        <v>4595</v>
      </c>
      <c r="C5517" s="208" t="s">
        <v>269</v>
      </c>
      <c r="D5517" s="211">
        <v>-16000</v>
      </c>
      <c r="E5517" s="212">
        <v>45505</v>
      </c>
      <c r="F5517" s="208" t="s">
        <v>130</v>
      </c>
      <c r="G5517" s="208" t="s">
        <v>257</v>
      </c>
      <c r="H5517" s="208" t="s">
        <v>138</v>
      </c>
      <c r="I5517" s="208" t="s">
        <v>2052</v>
      </c>
      <c r="J5517" s="209"/>
      <c r="K5517" s="209"/>
      <c r="L5517" s="209"/>
      <c r="M5517" s="209"/>
      <c r="N5517" s="209"/>
      <c r="O5517" s="209"/>
      <c r="P5517" s="209"/>
      <c r="Q5517" s="209"/>
      <c r="R5517" s="209"/>
      <c r="S5517" s="209"/>
      <c r="T5517" s="209"/>
    </row>
    <row r="5518" spans="1:20" ht="15" hidden="1" customHeight="1">
      <c r="A5518" s="468">
        <v>45510</v>
      </c>
      <c r="B5518" s="208" t="s">
        <v>4595</v>
      </c>
      <c r="C5518" s="208" t="s">
        <v>269</v>
      </c>
      <c r="D5518" s="211">
        <v>-16000</v>
      </c>
      <c r="E5518" s="212">
        <v>45505</v>
      </c>
      <c r="F5518" s="208" t="s">
        <v>130</v>
      </c>
      <c r="G5518" s="208" t="s">
        <v>257</v>
      </c>
      <c r="H5518" s="208" t="s">
        <v>138</v>
      </c>
      <c r="I5518" s="208" t="s">
        <v>2052</v>
      </c>
      <c r="J5518" s="209"/>
      <c r="K5518" s="209"/>
      <c r="L5518" s="209"/>
      <c r="M5518" s="209"/>
      <c r="N5518" s="209"/>
      <c r="O5518" s="209"/>
      <c r="P5518" s="209"/>
      <c r="Q5518" s="209"/>
      <c r="R5518" s="209"/>
      <c r="S5518" s="209"/>
      <c r="T5518" s="209"/>
    </row>
    <row r="5519" spans="1:20" ht="15" hidden="1" customHeight="1">
      <c r="A5519" s="468">
        <v>45510</v>
      </c>
      <c r="B5519" s="208" t="s">
        <v>4596</v>
      </c>
      <c r="C5519" s="208" t="s">
        <v>269</v>
      </c>
      <c r="D5519" s="211">
        <v>-6200</v>
      </c>
      <c r="E5519" s="212">
        <v>45505</v>
      </c>
      <c r="F5519" s="208" t="s">
        <v>130</v>
      </c>
      <c r="G5519" s="208" t="s">
        <v>257</v>
      </c>
      <c r="H5519" s="208" t="s">
        <v>138</v>
      </c>
      <c r="I5519" s="208" t="s">
        <v>2052</v>
      </c>
      <c r="J5519" s="209"/>
      <c r="K5519" s="209"/>
      <c r="L5519" s="209"/>
      <c r="M5519" s="209"/>
      <c r="N5519" s="209"/>
      <c r="O5519" s="209"/>
      <c r="P5519" s="209"/>
      <c r="Q5519" s="209"/>
      <c r="R5519" s="209"/>
      <c r="S5519" s="209"/>
      <c r="T5519" s="209"/>
    </row>
    <row r="5520" spans="1:20" ht="15" hidden="1" customHeight="1">
      <c r="A5520" s="468">
        <v>45510</v>
      </c>
      <c r="B5520" s="208" t="s">
        <v>4597</v>
      </c>
      <c r="C5520" s="208" t="s">
        <v>269</v>
      </c>
      <c r="D5520" s="211">
        <v>-6200</v>
      </c>
      <c r="E5520" s="212">
        <v>45505</v>
      </c>
      <c r="F5520" s="208" t="s">
        <v>130</v>
      </c>
      <c r="G5520" s="208" t="s">
        <v>257</v>
      </c>
      <c r="H5520" s="208" t="s">
        <v>138</v>
      </c>
      <c r="I5520" s="208" t="s">
        <v>2052</v>
      </c>
      <c r="J5520" s="209"/>
      <c r="K5520" s="209"/>
      <c r="L5520" s="209"/>
      <c r="M5520" s="209"/>
      <c r="N5520" s="209"/>
      <c r="O5520" s="209"/>
      <c r="P5520" s="209"/>
      <c r="Q5520" s="209"/>
      <c r="R5520" s="209"/>
      <c r="S5520" s="209"/>
      <c r="T5520" s="209"/>
    </row>
    <row r="5521" spans="1:20" ht="15" hidden="1" customHeight="1">
      <c r="A5521" s="468">
        <v>45510</v>
      </c>
      <c r="B5521" s="208" t="s">
        <v>4598</v>
      </c>
      <c r="C5521" s="208" t="s">
        <v>269</v>
      </c>
      <c r="D5521" s="211">
        <v>-15000</v>
      </c>
      <c r="E5521" s="212">
        <v>45505</v>
      </c>
      <c r="F5521" s="208" t="s">
        <v>130</v>
      </c>
      <c r="G5521" s="208" t="s">
        <v>257</v>
      </c>
      <c r="H5521" s="208" t="s">
        <v>138</v>
      </c>
      <c r="I5521" s="208" t="s">
        <v>2052</v>
      </c>
      <c r="J5521" s="209"/>
      <c r="K5521" s="209"/>
      <c r="L5521" s="209"/>
      <c r="M5521" s="209"/>
      <c r="N5521" s="209"/>
      <c r="O5521" s="209"/>
      <c r="P5521" s="209"/>
      <c r="Q5521" s="209"/>
      <c r="R5521" s="209"/>
      <c r="S5521" s="209"/>
      <c r="T5521" s="209"/>
    </row>
    <row r="5522" spans="1:20" ht="15" hidden="1" customHeight="1">
      <c r="A5522" s="468">
        <v>45510</v>
      </c>
      <c r="B5522" s="208" t="s">
        <v>4599</v>
      </c>
      <c r="C5522" s="208" t="s">
        <v>269</v>
      </c>
      <c r="D5522" s="211">
        <v>-50000</v>
      </c>
      <c r="E5522" s="212">
        <v>45505</v>
      </c>
      <c r="F5522" s="208" t="s">
        <v>130</v>
      </c>
      <c r="G5522" s="208" t="s">
        <v>257</v>
      </c>
      <c r="H5522" s="208" t="s">
        <v>138</v>
      </c>
      <c r="I5522" s="208" t="s">
        <v>2052</v>
      </c>
      <c r="J5522" s="209"/>
      <c r="K5522" s="209"/>
      <c r="L5522" s="209"/>
      <c r="M5522" s="209"/>
      <c r="N5522" s="209"/>
      <c r="O5522" s="209"/>
      <c r="P5522" s="209"/>
      <c r="Q5522" s="209"/>
      <c r="R5522" s="209"/>
      <c r="S5522" s="209"/>
      <c r="T5522" s="209"/>
    </row>
    <row r="5523" spans="1:20" ht="15" hidden="1" customHeight="1">
      <c r="A5523" s="468">
        <v>45510</v>
      </c>
      <c r="B5523" s="208" t="s">
        <v>4600</v>
      </c>
      <c r="C5523" s="208" t="s">
        <v>269</v>
      </c>
      <c r="D5523" s="211">
        <v>-6200</v>
      </c>
      <c r="E5523" s="212">
        <v>45505</v>
      </c>
      <c r="F5523" s="208" t="s">
        <v>130</v>
      </c>
      <c r="G5523" s="208" t="s">
        <v>257</v>
      </c>
      <c r="H5523" s="208" t="s">
        <v>138</v>
      </c>
      <c r="I5523" s="208" t="s">
        <v>2052</v>
      </c>
      <c r="J5523" s="209"/>
      <c r="K5523" s="209"/>
      <c r="L5523" s="209"/>
      <c r="M5523" s="209"/>
      <c r="N5523" s="209"/>
      <c r="O5523" s="209"/>
      <c r="P5523" s="209"/>
      <c r="Q5523" s="209"/>
      <c r="R5523" s="209"/>
      <c r="S5523" s="209"/>
      <c r="T5523" s="209"/>
    </row>
    <row r="5524" spans="1:20" ht="15" hidden="1" customHeight="1">
      <c r="A5524" s="468">
        <v>45510</v>
      </c>
      <c r="B5524" s="208" t="s">
        <v>4601</v>
      </c>
      <c r="C5524" s="208" t="s">
        <v>269</v>
      </c>
      <c r="D5524" s="211">
        <v>-17000</v>
      </c>
      <c r="E5524" s="212">
        <v>45505</v>
      </c>
      <c r="F5524" s="208" t="s">
        <v>130</v>
      </c>
      <c r="G5524" s="208" t="s">
        <v>257</v>
      </c>
      <c r="H5524" s="208" t="s">
        <v>138</v>
      </c>
      <c r="I5524" s="208" t="s">
        <v>2052</v>
      </c>
      <c r="J5524" s="209"/>
      <c r="K5524" s="209"/>
      <c r="L5524" s="209"/>
      <c r="M5524" s="209"/>
      <c r="N5524" s="209"/>
      <c r="O5524" s="209"/>
      <c r="P5524" s="209"/>
      <c r="Q5524" s="209"/>
      <c r="R5524" s="209"/>
      <c r="S5524" s="209"/>
      <c r="T5524" s="209"/>
    </row>
    <row r="5525" spans="1:20" ht="15" hidden="1" customHeight="1">
      <c r="A5525" s="468">
        <v>45511</v>
      </c>
      <c r="B5525" s="208" t="s">
        <v>4602</v>
      </c>
      <c r="C5525" s="208" t="s">
        <v>269</v>
      </c>
      <c r="D5525" s="526">
        <v>-14500</v>
      </c>
      <c r="E5525" s="212">
        <v>45505</v>
      </c>
      <c r="F5525" s="208" t="s">
        <v>130</v>
      </c>
      <c r="G5525" s="208" t="s">
        <v>257</v>
      </c>
      <c r="H5525" s="208" t="s">
        <v>138</v>
      </c>
      <c r="I5525" s="208" t="s">
        <v>2052</v>
      </c>
      <c r="J5525" s="209"/>
      <c r="K5525" s="209"/>
      <c r="L5525" s="209"/>
      <c r="M5525" s="209"/>
      <c r="N5525" s="209"/>
      <c r="O5525" s="209"/>
      <c r="P5525" s="209"/>
      <c r="Q5525" s="209"/>
      <c r="R5525" s="209"/>
      <c r="S5525" s="209"/>
      <c r="T5525" s="209"/>
    </row>
    <row r="5526" spans="1:20" ht="15" hidden="1" customHeight="1">
      <c r="A5526" s="468">
        <v>45511</v>
      </c>
      <c r="B5526" s="208" t="s">
        <v>4603</v>
      </c>
      <c r="C5526" s="208" t="s">
        <v>269</v>
      </c>
      <c r="D5526" s="211">
        <v>-52900</v>
      </c>
      <c r="E5526" s="212">
        <v>45505</v>
      </c>
      <c r="F5526" s="208" t="s">
        <v>130</v>
      </c>
      <c r="G5526" s="208" t="s">
        <v>257</v>
      </c>
      <c r="H5526" s="208" t="s">
        <v>138</v>
      </c>
      <c r="I5526" s="208"/>
      <c r="J5526" s="209"/>
      <c r="K5526" s="209"/>
      <c r="L5526" s="209"/>
      <c r="M5526" s="209"/>
      <c r="N5526" s="209"/>
      <c r="O5526" s="209"/>
      <c r="P5526" s="209"/>
      <c r="Q5526" s="209"/>
      <c r="R5526" s="209"/>
      <c r="S5526" s="209"/>
      <c r="T5526" s="209"/>
    </row>
    <row r="5527" spans="1:20" ht="15" hidden="1" customHeight="1">
      <c r="A5527" s="468">
        <v>45513</v>
      </c>
      <c r="B5527" s="208" t="s">
        <v>4604</v>
      </c>
      <c r="C5527" s="208" t="s">
        <v>269</v>
      </c>
      <c r="D5527" s="211">
        <v>-15000</v>
      </c>
      <c r="E5527" s="212">
        <v>45505</v>
      </c>
      <c r="F5527" s="208" t="s">
        <v>130</v>
      </c>
      <c r="G5527" s="208" t="s">
        <v>257</v>
      </c>
      <c r="H5527" s="208" t="s">
        <v>138</v>
      </c>
      <c r="I5527" s="208" t="s">
        <v>3742</v>
      </c>
      <c r="J5527" s="209"/>
      <c r="K5527" s="209"/>
      <c r="L5527" s="209"/>
      <c r="M5527" s="209"/>
      <c r="N5527" s="209"/>
      <c r="O5527" s="209"/>
      <c r="P5527" s="209"/>
      <c r="Q5527" s="209"/>
      <c r="R5527" s="209"/>
      <c r="S5527" s="209"/>
      <c r="T5527" s="209"/>
    </row>
    <row r="5528" spans="1:20" ht="15" hidden="1" customHeight="1">
      <c r="A5528" s="468">
        <v>45513</v>
      </c>
      <c r="B5528" s="208" t="s">
        <v>4605</v>
      </c>
      <c r="C5528" s="208" t="s">
        <v>269</v>
      </c>
      <c r="D5528" s="211">
        <v>-16000</v>
      </c>
      <c r="E5528" s="212">
        <v>45505</v>
      </c>
      <c r="F5528" s="208" t="s">
        <v>130</v>
      </c>
      <c r="G5528" s="208" t="s">
        <v>257</v>
      </c>
      <c r="H5528" s="208" t="s">
        <v>138</v>
      </c>
      <c r="I5528" s="208" t="s">
        <v>3742</v>
      </c>
      <c r="J5528" s="209"/>
      <c r="K5528" s="209"/>
      <c r="L5528" s="209"/>
      <c r="M5528" s="209"/>
      <c r="N5528" s="209"/>
      <c r="O5528" s="209"/>
      <c r="P5528" s="209"/>
      <c r="Q5528" s="209"/>
      <c r="R5528" s="209"/>
      <c r="S5528" s="209"/>
      <c r="T5528" s="209"/>
    </row>
    <row r="5529" spans="1:20" ht="15" hidden="1" customHeight="1">
      <c r="A5529" s="468">
        <v>45513</v>
      </c>
      <c r="B5529" s="208" t="s">
        <v>4606</v>
      </c>
      <c r="C5529" s="208" t="s">
        <v>269</v>
      </c>
      <c r="D5529" s="211">
        <v>-18000</v>
      </c>
      <c r="E5529" s="212">
        <v>45505</v>
      </c>
      <c r="F5529" s="208" t="s">
        <v>130</v>
      </c>
      <c r="G5529" s="208" t="s">
        <v>257</v>
      </c>
      <c r="H5529" s="208" t="s">
        <v>138</v>
      </c>
      <c r="I5529" s="208" t="s">
        <v>3742</v>
      </c>
      <c r="J5529" s="209"/>
      <c r="K5529" s="209"/>
      <c r="L5529" s="209"/>
      <c r="M5529" s="209"/>
      <c r="N5529" s="209"/>
      <c r="O5529" s="209"/>
      <c r="P5529" s="209"/>
      <c r="Q5529" s="209"/>
      <c r="R5529" s="209"/>
      <c r="S5529" s="209"/>
      <c r="T5529" s="209"/>
    </row>
    <row r="5530" spans="1:20" ht="15" hidden="1" customHeight="1">
      <c r="A5530" s="468">
        <v>45513</v>
      </c>
      <c r="B5530" s="208" t="s">
        <v>4607</v>
      </c>
      <c r="C5530" s="208" t="s">
        <v>269</v>
      </c>
      <c r="D5530" s="211">
        <v>-10000</v>
      </c>
      <c r="E5530" s="212">
        <v>45505</v>
      </c>
      <c r="F5530" s="208" t="s">
        <v>130</v>
      </c>
      <c r="G5530" s="208" t="s">
        <v>257</v>
      </c>
      <c r="H5530" s="208" t="s">
        <v>1138</v>
      </c>
      <c r="I5530" s="208" t="s">
        <v>3742</v>
      </c>
      <c r="J5530" s="209"/>
      <c r="K5530" s="209"/>
      <c r="L5530" s="209"/>
      <c r="M5530" s="209"/>
      <c r="N5530" s="209"/>
      <c r="O5530" s="209"/>
      <c r="P5530" s="209"/>
      <c r="Q5530" s="209"/>
      <c r="R5530" s="209"/>
      <c r="S5530" s="209"/>
      <c r="T5530" s="209"/>
    </row>
    <row r="5531" spans="1:20" ht="15" hidden="1" customHeight="1">
      <c r="A5531" s="468">
        <v>45513</v>
      </c>
      <c r="B5531" s="208" t="s">
        <v>4608</v>
      </c>
      <c r="C5531" s="208" t="s">
        <v>269</v>
      </c>
      <c r="D5531" s="211">
        <v>-12000</v>
      </c>
      <c r="E5531" s="212">
        <v>45505</v>
      </c>
      <c r="F5531" s="208" t="s">
        <v>130</v>
      </c>
      <c r="G5531" s="208" t="s">
        <v>257</v>
      </c>
      <c r="H5531" s="208" t="s">
        <v>138</v>
      </c>
      <c r="I5531" s="208" t="s">
        <v>3742</v>
      </c>
      <c r="J5531" s="209"/>
      <c r="K5531" s="209"/>
      <c r="L5531" s="209"/>
      <c r="M5531" s="209"/>
      <c r="N5531" s="209"/>
      <c r="O5531" s="209"/>
      <c r="P5531" s="209"/>
      <c r="Q5531" s="209"/>
      <c r="R5531" s="209"/>
      <c r="S5531" s="209"/>
      <c r="T5531" s="209"/>
    </row>
    <row r="5532" spans="1:20" ht="15" hidden="1" customHeight="1">
      <c r="A5532" s="468">
        <v>45517</v>
      </c>
      <c r="B5532" s="208" t="s">
        <v>4609</v>
      </c>
      <c r="C5532" s="208" t="s">
        <v>269</v>
      </c>
      <c r="D5532" s="211">
        <v>-12000</v>
      </c>
      <c r="E5532" s="212">
        <v>45505</v>
      </c>
      <c r="F5532" s="208" t="s">
        <v>130</v>
      </c>
      <c r="G5532" s="208" t="s">
        <v>257</v>
      </c>
      <c r="H5532" s="208" t="s">
        <v>138</v>
      </c>
      <c r="I5532" s="208" t="s">
        <v>3742</v>
      </c>
      <c r="J5532" s="209"/>
      <c r="K5532" s="209"/>
      <c r="L5532" s="209"/>
      <c r="M5532" s="209"/>
      <c r="N5532" s="209"/>
      <c r="O5532" s="209"/>
      <c r="P5532" s="209"/>
      <c r="Q5532" s="209"/>
      <c r="R5532" s="209"/>
      <c r="S5532" s="209"/>
      <c r="T5532" s="209"/>
    </row>
    <row r="5533" spans="1:20" ht="15" hidden="1" customHeight="1">
      <c r="A5533" s="468">
        <v>45517</v>
      </c>
      <c r="B5533" s="208" t="s">
        <v>4610</v>
      </c>
      <c r="C5533" s="208" t="s">
        <v>269</v>
      </c>
      <c r="D5533" s="211">
        <v>-17000</v>
      </c>
      <c r="E5533" s="212">
        <v>45505</v>
      </c>
      <c r="F5533" s="208" t="s">
        <v>130</v>
      </c>
      <c r="G5533" s="208" t="s">
        <v>257</v>
      </c>
      <c r="H5533" s="208" t="s">
        <v>138</v>
      </c>
      <c r="I5533" s="208"/>
      <c r="J5533" s="209"/>
      <c r="K5533" s="209"/>
      <c r="L5533" s="209"/>
      <c r="M5533" s="209"/>
      <c r="N5533" s="209"/>
      <c r="O5533" s="209"/>
      <c r="P5533" s="209"/>
      <c r="Q5533" s="209"/>
      <c r="R5533" s="209"/>
      <c r="S5533" s="209"/>
      <c r="T5533" s="209"/>
    </row>
    <row r="5534" spans="1:20" ht="15" hidden="1" customHeight="1">
      <c r="A5534" s="468">
        <v>45527</v>
      </c>
      <c r="B5534" s="208" t="s">
        <v>4611</v>
      </c>
      <c r="C5534" s="208" t="s">
        <v>269</v>
      </c>
      <c r="D5534" s="211">
        <v>-10800</v>
      </c>
      <c r="E5534" s="212">
        <v>45505</v>
      </c>
      <c r="F5534" s="208" t="s">
        <v>109</v>
      </c>
      <c r="G5534" s="201" t="s">
        <v>581</v>
      </c>
      <c r="H5534" s="208"/>
      <c r="I5534" s="208" t="s">
        <v>59</v>
      </c>
      <c r="J5534" s="209"/>
      <c r="K5534" s="209"/>
      <c r="L5534" s="209"/>
      <c r="M5534" s="209"/>
      <c r="N5534" s="209"/>
      <c r="O5534" s="209"/>
      <c r="P5534" s="209"/>
      <c r="Q5534" s="209"/>
      <c r="R5534" s="209"/>
      <c r="S5534" s="209"/>
      <c r="T5534" s="209"/>
    </row>
    <row r="5535" spans="1:20" ht="15" hidden="1" customHeight="1">
      <c r="A5535" s="468">
        <v>45530</v>
      </c>
      <c r="B5535" s="208" t="s">
        <v>4612</v>
      </c>
      <c r="C5535" s="208" t="s">
        <v>269</v>
      </c>
      <c r="D5535" s="211">
        <v>-20000</v>
      </c>
      <c r="E5535" s="212">
        <v>45505</v>
      </c>
      <c r="F5535" s="208" t="s">
        <v>109</v>
      </c>
      <c r="G5535" s="201" t="s">
        <v>581</v>
      </c>
      <c r="H5535" s="208"/>
      <c r="I5535" s="208" t="s">
        <v>59</v>
      </c>
      <c r="J5535" s="209"/>
      <c r="K5535" s="209"/>
      <c r="L5535" s="209"/>
      <c r="M5535" s="209"/>
      <c r="N5535" s="209"/>
      <c r="O5535" s="209"/>
      <c r="P5535" s="209"/>
      <c r="Q5535" s="209"/>
      <c r="R5535" s="209"/>
      <c r="S5535" s="209"/>
      <c r="T5535" s="209"/>
    </row>
    <row r="5536" spans="1:20" ht="15" hidden="1" customHeight="1">
      <c r="A5536" s="468">
        <v>45532</v>
      </c>
      <c r="B5536" s="208" t="s">
        <v>4613</v>
      </c>
      <c r="C5536" s="208" t="s">
        <v>269</v>
      </c>
      <c r="D5536" s="211">
        <v>-120000</v>
      </c>
      <c r="E5536" s="212">
        <v>45505</v>
      </c>
      <c r="F5536" s="208" t="s">
        <v>130</v>
      </c>
      <c r="G5536" s="208" t="s">
        <v>130</v>
      </c>
      <c r="H5536" s="208" t="s">
        <v>323</v>
      </c>
      <c r="I5536" s="208" t="s">
        <v>4362</v>
      </c>
      <c r="J5536" s="209"/>
      <c r="K5536" s="209"/>
      <c r="L5536" s="209"/>
      <c r="M5536" s="209"/>
      <c r="N5536" s="209"/>
      <c r="O5536" s="209"/>
      <c r="P5536" s="209"/>
      <c r="Q5536" s="209"/>
      <c r="R5536" s="209"/>
      <c r="S5536" s="209"/>
      <c r="T5536" s="209"/>
    </row>
    <row r="5537" spans="1:20" ht="15" hidden="1" customHeight="1">
      <c r="A5537" s="468">
        <v>45534</v>
      </c>
      <c r="B5537" s="208" t="s">
        <v>4614</v>
      </c>
      <c r="C5537" s="208" t="s">
        <v>269</v>
      </c>
      <c r="D5537" s="211">
        <v>-803000</v>
      </c>
      <c r="E5537" s="212">
        <v>45505</v>
      </c>
      <c r="F5537" s="208" t="s">
        <v>110</v>
      </c>
      <c r="G5537" s="208" t="s">
        <v>3245</v>
      </c>
      <c r="H5537" s="208" t="s">
        <v>416</v>
      </c>
      <c r="I5537" s="208"/>
      <c r="J5537" s="209"/>
      <c r="K5537" s="209"/>
      <c r="L5537" s="209"/>
      <c r="M5537" s="209"/>
      <c r="N5537" s="209"/>
      <c r="O5537" s="209"/>
      <c r="P5537" s="209"/>
      <c r="Q5537" s="209"/>
      <c r="R5537" s="209"/>
      <c r="S5537" s="209"/>
      <c r="T5537" s="209"/>
    </row>
    <row r="5538" spans="1:20" ht="15" hidden="1" customHeight="1">
      <c r="A5538" s="468">
        <v>45533</v>
      </c>
      <c r="B5538" s="208" t="s">
        <v>4615</v>
      </c>
      <c r="C5538" s="208" t="s">
        <v>269</v>
      </c>
      <c r="D5538" s="526">
        <v>-14800</v>
      </c>
      <c r="E5538" s="212">
        <v>45505</v>
      </c>
      <c r="F5538" s="208" t="s">
        <v>130</v>
      </c>
      <c r="G5538" s="208" t="s">
        <v>257</v>
      </c>
      <c r="H5538" s="208" t="s">
        <v>138</v>
      </c>
      <c r="I5538" s="208" t="s">
        <v>3742</v>
      </c>
      <c r="J5538" s="209"/>
      <c r="K5538" s="209"/>
      <c r="L5538" s="209"/>
      <c r="M5538" s="209"/>
      <c r="N5538" s="209"/>
      <c r="O5538" s="209"/>
      <c r="P5538" s="209"/>
      <c r="Q5538" s="209"/>
      <c r="R5538" s="209"/>
      <c r="S5538" s="209"/>
      <c r="T5538" s="209"/>
    </row>
    <row r="5539" spans="1:20" ht="15" hidden="1" customHeight="1">
      <c r="A5539" s="468">
        <v>45533</v>
      </c>
      <c r="B5539" s="208" t="s">
        <v>4615</v>
      </c>
      <c r="C5539" s="208" t="s">
        <v>269</v>
      </c>
      <c r="D5539" s="526">
        <v>-14800</v>
      </c>
      <c r="E5539" s="212">
        <v>45505</v>
      </c>
      <c r="F5539" s="208" t="s">
        <v>130</v>
      </c>
      <c r="G5539" s="208" t="s">
        <v>257</v>
      </c>
      <c r="H5539" s="208" t="s">
        <v>138</v>
      </c>
      <c r="I5539" s="208" t="s">
        <v>3742</v>
      </c>
      <c r="J5539" s="209"/>
      <c r="K5539" s="209"/>
      <c r="L5539" s="209"/>
      <c r="M5539" s="209"/>
      <c r="N5539" s="209"/>
      <c r="O5539" s="209"/>
      <c r="P5539" s="209"/>
      <c r="Q5539" s="209"/>
      <c r="R5539" s="209"/>
      <c r="S5539" s="209"/>
      <c r="T5539" s="209"/>
    </row>
    <row r="5540" spans="1:20" ht="15" hidden="1" customHeight="1">
      <c r="A5540" s="468">
        <v>45533</v>
      </c>
      <c r="B5540" s="208" t="s">
        <v>4616</v>
      </c>
      <c r="C5540" s="208" t="s">
        <v>269</v>
      </c>
      <c r="D5540" s="211">
        <v>-33700</v>
      </c>
      <c r="E5540" s="212">
        <v>45505</v>
      </c>
      <c r="F5540" s="208" t="s">
        <v>130</v>
      </c>
      <c r="G5540" s="208" t="s">
        <v>257</v>
      </c>
      <c r="H5540" s="208" t="s">
        <v>138</v>
      </c>
      <c r="I5540" s="208" t="s">
        <v>3742</v>
      </c>
      <c r="J5540" s="209"/>
      <c r="K5540" s="209"/>
      <c r="L5540" s="209"/>
      <c r="M5540" s="209"/>
      <c r="N5540" s="209"/>
      <c r="O5540" s="209"/>
      <c r="P5540" s="209"/>
      <c r="Q5540" s="209"/>
      <c r="R5540" s="209"/>
      <c r="S5540" s="209"/>
      <c r="T5540" s="209"/>
    </row>
    <row r="5541" spans="1:20" ht="15" hidden="1" customHeight="1">
      <c r="A5541" s="468">
        <v>45533</v>
      </c>
      <c r="B5541" s="208" t="s">
        <v>4617</v>
      </c>
      <c r="C5541" s="208" t="s">
        <v>269</v>
      </c>
      <c r="D5541" s="211">
        <v>-102000</v>
      </c>
      <c r="E5541" s="212">
        <v>45505</v>
      </c>
      <c r="F5541" s="208" t="s">
        <v>130</v>
      </c>
      <c r="G5541" s="208" t="s">
        <v>257</v>
      </c>
      <c r="H5541" s="208" t="s">
        <v>138</v>
      </c>
      <c r="I5541" s="208" t="s">
        <v>3742</v>
      </c>
      <c r="J5541" s="209"/>
      <c r="K5541" s="209"/>
      <c r="L5541" s="209"/>
      <c r="M5541" s="209"/>
      <c r="N5541" s="209"/>
      <c r="O5541" s="209"/>
      <c r="P5541" s="209"/>
      <c r="Q5541" s="209"/>
      <c r="R5541" s="209"/>
      <c r="S5541" s="209"/>
      <c r="T5541" s="209"/>
    </row>
    <row r="5542" spans="1:20" ht="15" hidden="1" customHeight="1">
      <c r="A5542" s="468">
        <v>45533</v>
      </c>
      <c r="B5542" s="208" t="s">
        <v>4618</v>
      </c>
      <c r="C5542" s="208" t="s">
        <v>269</v>
      </c>
      <c r="D5542" s="211">
        <v>-51600</v>
      </c>
      <c r="E5542" s="212">
        <v>45505</v>
      </c>
      <c r="F5542" s="208" t="s">
        <v>130</v>
      </c>
      <c r="G5542" s="208" t="s">
        <v>257</v>
      </c>
      <c r="H5542" s="208" t="s">
        <v>1138</v>
      </c>
      <c r="I5542" s="208" t="s">
        <v>3742</v>
      </c>
      <c r="J5542" s="209"/>
      <c r="K5542" s="209"/>
      <c r="L5542" s="209"/>
      <c r="M5542" s="209"/>
      <c r="N5542" s="209"/>
      <c r="O5542" s="209"/>
      <c r="P5542" s="209"/>
      <c r="Q5542" s="209"/>
      <c r="R5542" s="209"/>
      <c r="S5542" s="209"/>
      <c r="T5542" s="209"/>
    </row>
    <row r="5543" spans="1:20" ht="15" hidden="1" customHeight="1">
      <c r="A5543" s="468">
        <v>45533</v>
      </c>
      <c r="B5543" s="208" t="s">
        <v>4619</v>
      </c>
      <c r="C5543" s="208" t="s">
        <v>269</v>
      </c>
      <c r="D5543" s="211">
        <v>-183100</v>
      </c>
      <c r="E5543" s="212">
        <v>45505</v>
      </c>
      <c r="F5543" s="208" t="s">
        <v>130</v>
      </c>
      <c r="G5543" s="208" t="s">
        <v>257</v>
      </c>
      <c r="H5543" s="208" t="s">
        <v>138</v>
      </c>
      <c r="I5543" s="208" t="s">
        <v>3742</v>
      </c>
      <c r="J5543" s="209"/>
      <c r="K5543" s="209"/>
      <c r="L5543" s="209"/>
      <c r="M5543" s="209"/>
      <c r="N5543" s="209"/>
      <c r="O5543" s="209"/>
      <c r="P5543" s="209"/>
      <c r="Q5543" s="209"/>
      <c r="R5543" s="209"/>
      <c r="S5543" s="209"/>
      <c r="T5543" s="209"/>
    </row>
    <row r="5544" spans="1:20" ht="15" hidden="1" customHeight="1">
      <c r="A5544" s="468">
        <v>45533</v>
      </c>
      <c r="B5544" s="208" t="s">
        <v>4536</v>
      </c>
      <c r="C5544" s="208" t="s">
        <v>269</v>
      </c>
      <c r="D5544" s="211">
        <v>183100</v>
      </c>
      <c r="E5544" s="212">
        <v>45505</v>
      </c>
      <c r="F5544" s="208" t="s">
        <v>130</v>
      </c>
      <c r="G5544" s="208" t="s">
        <v>257</v>
      </c>
      <c r="H5544" s="208" t="s">
        <v>138</v>
      </c>
      <c r="I5544" s="208" t="s">
        <v>3742</v>
      </c>
      <c r="J5544" s="209"/>
      <c r="K5544" s="209"/>
      <c r="L5544" s="209"/>
      <c r="M5544" s="209"/>
      <c r="N5544" s="209"/>
      <c r="O5544" s="209"/>
      <c r="P5544" s="209"/>
      <c r="Q5544" s="209"/>
      <c r="R5544" s="209"/>
      <c r="S5544" s="209"/>
      <c r="T5544" s="209"/>
    </row>
    <row r="5545" spans="1:20" s="476" customFormat="1" ht="15" hidden="1" customHeight="1">
      <c r="A5545" s="468">
        <v>45530</v>
      </c>
      <c r="B5545" s="208" t="s">
        <v>4620</v>
      </c>
      <c r="C5545" s="208" t="s">
        <v>27</v>
      </c>
      <c r="D5545" s="211">
        <v>-401000</v>
      </c>
      <c r="E5545" s="212">
        <v>45505</v>
      </c>
      <c r="F5545" s="208" t="s">
        <v>130</v>
      </c>
      <c r="G5545" s="208" t="s">
        <v>130</v>
      </c>
      <c r="H5545" s="208"/>
      <c r="I5545" s="208"/>
      <c r="J5545" s="209"/>
      <c r="K5545" s="209"/>
      <c r="L5545" s="209"/>
      <c r="M5545" s="209"/>
      <c r="N5545" s="209"/>
      <c r="O5545" s="209"/>
      <c r="P5545" s="209"/>
      <c r="Q5545" s="209"/>
      <c r="R5545" s="209"/>
      <c r="S5545" s="209"/>
      <c r="T5545" s="209"/>
    </row>
    <row r="5546" spans="1:20" s="476" customFormat="1" ht="15" hidden="1" customHeight="1">
      <c r="A5546" s="468">
        <v>45531</v>
      </c>
      <c r="B5546" s="208" t="s">
        <v>4621</v>
      </c>
      <c r="C5546" s="208" t="s">
        <v>3331</v>
      </c>
      <c r="D5546" s="211">
        <v>-746991</v>
      </c>
      <c r="E5546" s="212">
        <v>45505</v>
      </c>
      <c r="F5546" s="208" t="s">
        <v>109</v>
      </c>
      <c r="G5546" s="208" t="s">
        <v>3529</v>
      </c>
      <c r="H5546" s="208" t="s">
        <v>175</v>
      </c>
      <c r="I5546" s="208"/>
      <c r="J5546" s="209"/>
      <c r="K5546" s="209"/>
      <c r="L5546" s="209"/>
      <c r="M5546" s="209"/>
      <c r="N5546" s="209"/>
      <c r="O5546" s="209"/>
      <c r="P5546" s="209"/>
      <c r="Q5546" s="209"/>
      <c r="R5546" s="209"/>
      <c r="S5546" s="209"/>
      <c r="T5546" s="209"/>
    </row>
    <row r="5547" spans="1:20" ht="15" hidden="1" customHeight="1">
      <c r="A5547" s="468">
        <v>45531</v>
      </c>
      <c r="B5547" s="208" t="s">
        <v>4622</v>
      </c>
      <c r="C5547" s="208" t="s">
        <v>3331</v>
      </c>
      <c r="D5547" s="211">
        <v>-500000</v>
      </c>
      <c r="E5547" s="212">
        <v>45505</v>
      </c>
      <c r="F5547" s="208" t="s">
        <v>109</v>
      </c>
      <c r="G5547" s="208" t="s">
        <v>10</v>
      </c>
      <c r="H5547" s="208"/>
      <c r="I5547" s="208"/>
      <c r="J5547" s="209"/>
      <c r="K5547" s="209"/>
      <c r="L5547" s="209"/>
      <c r="M5547" s="209"/>
      <c r="N5547" s="209"/>
      <c r="O5547" s="209"/>
      <c r="P5547" s="209"/>
      <c r="Q5547" s="209"/>
      <c r="R5547" s="209"/>
      <c r="S5547" s="209"/>
      <c r="T5547" s="209"/>
    </row>
    <row r="5548" spans="1:20" ht="15" hidden="1" customHeight="1">
      <c r="A5548" s="468">
        <v>45531</v>
      </c>
      <c r="B5548" s="208" t="s">
        <v>4623</v>
      </c>
      <c r="C5548" s="208" t="s">
        <v>3331</v>
      </c>
      <c r="D5548" s="211">
        <v>-2500000</v>
      </c>
      <c r="E5548" s="212">
        <v>45505</v>
      </c>
      <c r="F5548" s="208" t="s">
        <v>110</v>
      </c>
      <c r="G5548" s="208" t="s">
        <v>4399</v>
      </c>
      <c r="H5548" s="208" t="s">
        <v>147</v>
      </c>
      <c r="I5548" s="208"/>
      <c r="J5548" s="209"/>
      <c r="K5548" s="209"/>
      <c r="L5548" s="209"/>
      <c r="M5548" s="209"/>
      <c r="N5548" s="209"/>
      <c r="O5548" s="209"/>
      <c r="P5548" s="209"/>
      <c r="Q5548" s="209"/>
      <c r="R5548" s="209"/>
      <c r="S5548" s="209"/>
      <c r="T5548" s="209"/>
    </row>
    <row r="5549" spans="1:20" ht="14.25" hidden="1" customHeight="1">
      <c r="A5549" s="468">
        <v>45531</v>
      </c>
      <c r="B5549" s="208" t="s">
        <v>4624</v>
      </c>
      <c r="C5549" s="208" t="s">
        <v>3331</v>
      </c>
      <c r="D5549" s="211">
        <v>-775000</v>
      </c>
      <c r="E5549" s="212">
        <v>45505</v>
      </c>
      <c r="F5549" s="208" t="s">
        <v>109</v>
      </c>
      <c r="G5549" s="208" t="s">
        <v>10</v>
      </c>
      <c r="H5549" s="208"/>
      <c r="I5549" s="208"/>
      <c r="J5549" s="209"/>
      <c r="K5549" s="209"/>
      <c r="L5549" s="209"/>
      <c r="M5549" s="209"/>
      <c r="N5549" s="209"/>
      <c r="O5549" s="209"/>
      <c r="P5549" s="209"/>
      <c r="Q5549" s="209"/>
      <c r="R5549" s="209"/>
      <c r="S5549" s="209"/>
      <c r="T5549" s="209"/>
    </row>
    <row r="5550" spans="1:20" ht="15" hidden="1" customHeight="1">
      <c r="A5550" s="468">
        <v>45531</v>
      </c>
      <c r="B5550" s="208" t="s">
        <v>4624</v>
      </c>
      <c r="C5550" s="208" t="s">
        <v>3331</v>
      </c>
      <c r="D5550" s="211">
        <v>-775000</v>
      </c>
      <c r="E5550" s="212">
        <v>45505</v>
      </c>
      <c r="F5550" s="208" t="s">
        <v>109</v>
      </c>
      <c r="G5550" s="208" t="s">
        <v>4625</v>
      </c>
      <c r="H5550" s="208"/>
      <c r="I5550" s="208"/>
      <c r="J5550" s="209"/>
      <c r="K5550" s="209"/>
      <c r="L5550" s="209"/>
      <c r="M5550" s="209"/>
      <c r="N5550" s="209"/>
      <c r="O5550" s="209"/>
      <c r="P5550" s="209"/>
      <c r="Q5550" s="209"/>
      <c r="R5550" s="209"/>
      <c r="S5550" s="209"/>
      <c r="T5550" s="209"/>
    </row>
    <row r="5551" spans="1:20" ht="15" hidden="1" customHeight="1">
      <c r="A5551" s="468">
        <v>45531</v>
      </c>
      <c r="B5551" s="208" t="s">
        <v>4626</v>
      </c>
      <c r="C5551" s="208" t="s">
        <v>3331</v>
      </c>
      <c r="D5551" s="211">
        <v>-684899</v>
      </c>
      <c r="E5551" s="212">
        <v>45505</v>
      </c>
      <c r="F5551" s="208" t="s">
        <v>109</v>
      </c>
      <c r="G5551" s="208" t="s">
        <v>4407</v>
      </c>
      <c r="H5551" s="208"/>
      <c r="I5551" s="208"/>
      <c r="J5551" s="209"/>
      <c r="K5551" s="209"/>
      <c r="L5551" s="209"/>
      <c r="M5551" s="209"/>
      <c r="N5551" s="209"/>
      <c r="O5551" s="209"/>
      <c r="P5551" s="209"/>
      <c r="Q5551" s="209"/>
      <c r="R5551" s="209"/>
      <c r="S5551" s="209"/>
      <c r="T5551" s="209"/>
    </row>
    <row r="5552" spans="1:20" ht="15" hidden="1" customHeight="1">
      <c r="A5552" s="468">
        <v>45531</v>
      </c>
      <c r="B5552" s="208" t="s">
        <v>4627</v>
      </c>
      <c r="C5552" s="208" t="s">
        <v>3331</v>
      </c>
      <c r="D5552" s="211">
        <v>-213438</v>
      </c>
      <c r="E5552" s="212">
        <v>45505</v>
      </c>
      <c r="F5552" s="201" t="s">
        <v>110</v>
      </c>
      <c r="G5552" s="208" t="s">
        <v>3245</v>
      </c>
      <c r="H5552" s="208" t="s">
        <v>310</v>
      </c>
      <c r="I5552" s="208"/>
      <c r="J5552" s="209"/>
      <c r="K5552" s="209"/>
      <c r="L5552" s="209"/>
      <c r="M5552" s="209"/>
      <c r="N5552" s="209"/>
      <c r="O5552" s="209"/>
      <c r="P5552" s="209"/>
      <c r="Q5552" s="209"/>
      <c r="R5552" s="209"/>
      <c r="S5552" s="209"/>
      <c r="T5552" s="209"/>
    </row>
    <row r="5553" spans="1:20" ht="15" hidden="1" customHeight="1">
      <c r="A5553" s="468">
        <v>45531</v>
      </c>
      <c r="B5553" s="208" t="s">
        <v>4627</v>
      </c>
      <c r="C5553" s="208" t="s">
        <v>3331</v>
      </c>
      <c r="D5553" s="211">
        <v>-5120844</v>
      </c>
      <c r="E5553" s="212">
        <v>45505</v>
      </c>
      <c r="F5553" s="208" t="s">
        <v>109</v>
      </c>
      <c r="G5553" s="654" t="s">
        <v>2585</v>
      </c>
      <c r="H5553" s="208" t="s">
        <v>310</v>
      </c>
      <c r="I5553" s="208"/>
      <c r="J5553" s="209"/>
      <c r="K5553" s="209"/>
      <c r="L5553" s="209"/>
      <c r="M5553" s="209"/>
      <c r="N5553" s="209"/>
      <c r="O5553" s="209"/>
      <c r="P5553" s="209"/>
      <c r="Q5553" s="209"/>
      <c r="R5553" s="209"/>
      <c r="S5553" s="209"/>
      <c r="T5553" s="209"/>
    </row>
    <row r="5554" spans="1:20" ht="15" hidden="1" customHeight="1">
      <c r="A5554" s="468">
        <v>45531</v>
      </c>
      <c r="B5554" s="208" t="s">
        <v>4627</v>
      </c>
      <c r="C5554" s="208" t="s">
        <v>3331</v>
      </c>
      <c r="D5554" s="211">
        <v>-2161183</v>
      </c>
      <c r="E5554" s="212">
        <v>45505</v>
      </c>
      <c r="F5554" s="201" t="s">
        <v>110</v>
      </c>
      <c r="G5554" s="208" t="s">
        <v>3245</v>
      </c>
      <c r="H5554" s="208" t="s">
        <v>310</v>
      </c>
      <c r="I5554" s="208"/>
      <c r="J5554" s="209"/>
      <c r="K5554" s="209"/>
      <c r="L5554" s="209"/>
      <c r="M5554" s="209"/>
      <c r="N5554" s="209"/>
      <c r="O5554" s="209"/>
      <c r="P5554" s="209"/>
      <c r="Q5554" s="209"/>
      <c r="R5554" s="209"/>
      <c r="S5554" s="209"/>
      <c r="T5554" s="209"/>
    </row>
    <row r="5555" spans="1:20" ht="15" hidden="1" customHeight="1">
      <c r="A5555" s="468">
        <v>45531</v>
      </c>
      <c r="B5555" s="208" t="s">
        <v>4627</v>
      </c>
      <c r="C5555" s="208" t="s">
        <v>3331</v>
      </c>
      <c r="D5555" s="211">
        <v>-69360</v>
      </c>
      <c r="E5555" s="212">
        <v>45505</v>
      </c>
      <c r="F5555" s="201" t="s">
        <v>110</v>
      </c>
      <c r="G5555" s="208" t="s">
        <v>3245</v>
      </c>
      <c r="H5555" s="208" t="s">
        <v>310</v>
      </c>
      <c r="I5555" s="208"/>
      <c r="J5555" s="209"/>
      <c r="K5555" s="209"/>
      <c r="L5555" s="209"/>
      <c r="M5555" s="209"/>
      <c r="N5555" s="209"/>
      <c r="O5555" s="209"/>
      <c r="P5555" s="209"/>
      <c r="Q5555" s="209"/>
      <c r="R5555" s="209"/>
      <c r="S5555" s="209"/>
      <c r="T5555" s="209"/>
    </row>
    <row r="5556" spans="1:20" ht="15" hidden="1" customHeight="1">
      <c r="A5556" s="468">
        <v>45531</v>
      </c>
      <c r="B5556" s="208" t="s">
        <v>4627</v>
      </c>
      <c r="C5556" s="208" t="s">
        <v>3331</v>
      </c>
      <c r="D5556" s="211">
        <v>-3918584</v>
      </c>
      <c r="E5556" s="212">
        <v>45505</v>
      </c>
      <c r="F5556" s="201" t="s">
        <v>110</v>
      </c>
      <c r="G5556" s="208" t="s">
        <v>3245</v>
      </c>
      <c r="H5556" s="208" t="s">
        <v>310</v>
      </c>
      <c r="I5556" s="208"/>
      <c r="J5556" s="209"/>
      <c r="K5556" s="209"/>
      <c r="L5556" s="209"/>
      <c r="M5556" s="209"/>
      <c r="N5556" s="209"/>
      <c r="O5556" s="209"/>
      <c r="P5556" s="209"/>
      <c r="Q5556" s="209"/>
      <c r="R5556" s="209"/>
      <c r="S5556" s="209"/>
      <c r="T5556" s="209"/>
    </row>
    <row r="5557" spans="1:20" ht="15" hidden="1" customHeight="1">
      <c r="A5557" s="468">
        <v>45531</v>
      </c>
      <c r="B5557" s="208" t="s">
        <v>4627</v>
      </c>
      <c r="C5557" s="208" t="s">
        <v>3331</v>
      </c>
      <c r="D5557" s="211">
        <v>-23787632</v>
      </c>
      <c r="E5557" s="212">
        <v>45505</v>
      </c>
      <c r="F5557" s="208" t="s">
        <v>109</v>
      </c>
      <c r="G5557" s="654" t="s">
        <v>2585</v>
      </c>
      <c r="H5557" s="208" t="s">
        <v>310</v>
      </c>
      <c r="I5557" s="208"/>
      <c r="J5557" s="209"/>
      <c r="K5557" s="209"/>
      <c r="L5557" s="209"/>
      <c r="M5557" s="209"/>
      <c r="N5557" s="209"/>
      <c r="O5557" s="209"/>
      <c r="P5557" s="209"/>
      <c r="Q5557" s="209"/>
      <c r="R5557" s="209"/>
      <c r="S5557" s="209"/>
      <c r="T5557" s="209"/>
    </row>
    <row r="5558" spans="1:20" ht="15" hidden="1" customHeight="1">
      <c r="A5558" s="468">
        <v>45531</v>
      </c>
      <c r="B5558" s="208" t="s">
        <v>4627</v>
      </c>
      <c r="C5558" s="208" t="s">
        <v>3331</v>
      </c>
      <c r="D5558" s="211">
        <v>-5655953</v>
      </c>
      <c r="E5558" s="212">
        <v>45505</v>
      </c>
      <c r="F5558" s="201" t="s">
        <v>110</v>
      </c>
      <c r="G5558" s="208" t="s">
        <v>774</v>
      </c>
      <c r="H5558" s="208" t="s">
        <v>310</v>
      </c>
      <c r="I5558" s="208"/>
      <c r="J5558" s="209"/>
      <c r="K5558" s="209"/>
      <c r="L5558" s="209"/>
      <c r="M5558" s="209"/>
      <c r="N5558" s="209"/>
      <c r="O5558" s="209"/>
      <c r="P5558" s="209"/>
      <c r="Q5558" s="209"/>
      <c r="R5558" s="209"/>
      <c r="S5558" s="209"/>
      <c r="T5558" s="209"/>
    </row>
    <row r="5559" spans="1:20" ht="15" hidden="1" customHeight="1">
      <c r="A5559" s="468">
        <v>45531</v>
      </c>
      <c r="B5559" s="208" t="s">
        <v>4627</v>
      </c>
      <c r="C5559" s="208" t="s">
        <v>3331</v>
      </c>
      <c r="D5559" s="211">
        <v>-803369</v>
      </c>
      <c r="E5559" s="212">
        <v>45505</v>
      </c>
      <c r="F5559" s="201" t="s">
        <v>110</v>
      </c>
      <c r="G5559" s="201" t="s">
        <v>1489</v>
      </c>
      <c r="H5559" s="208" t="s">
        <v>310</v>
      </c>
      <c r="I5559" s="208"/>
      <c r="J5559" s="209"/>
      <c r="K5559" s="209"/>
      <c r="L5559" s="209"/>
      <c r="M5559" s="209"/>
      <c r="N5559" s="209"/>
      <c r="O5559" s="209"/>
      <c r="P5559" s="209"/>
      <c r="Q5559" s="209"/>
      <c r="R5559" s="209"/>
      <c r="S5559" s="209"/>
      <c r="T5559" s="209"/>
    </row>
    <row r="5560" spans="1:20" ht="15" hidden="1" customHeight="1">
      <c r="A5560" s="468">
        <v>45531</v>
      </c>
      <c r="B5560" s="208" t="s">
        <v>4627</v>
      </c>
      <c r="C5560" s="208" t="s">
        <v>3331</v>
      </c>
      <c r="D5560" s="211">
        <v>-1019638</v>
      </c>
      <c r="E5560" s="212">
        <v>45505</v>
      </c>
      <c r="F5560" s="208" t="s">
        <v>109</v>
      </c>
      <c r="G5560" s="201" t="s">
        <v>1306</v>
      </c>
      <c r="H5560" s="208" t="s">
        <v>310</v>
      </c>
      <c r="I5560" s="208"/>
      <c r="J5560" s="209"/>
      <c r="K5560" s="209"/>
      <c r="L5560" s="209"/>
      <c r="M5560" s="209"/>
      <c r="N5560" s="209"/>
      <c r="O5560" s="209"/>
      <c r="P5560" s="209"/>
      <c r="Q5560" s="209"/>
      <c r="R5560" s="209"/>
      <c r="S5560" s="209"/>
      <c r="T5560" s="209"/>
    </row>
    <row r="5561" spans="1:20" ht="15" hidden="1" customHeight="1">
      <c r="A5561" s="468">
        <v>45531</v>
      </c>
      <c r="B5561" s="208" t="s">
        <v>4627</v>
      </c>
      <c r="C5561" s="208" t="s">
        <v>3331</v>
      </c>
      <c r="D5561" s="211">
        <v>-108831</v>
      </c>
      <c r="E5561" s="212">
        <v>45505</v>
      </c>
      <c r="F5561" s="201" t="s">
        <v>110</v>
      </c>
      <c r="G5561" s="208" t="s">
        <v>774</v>
      </c>
      <c r="H5561" s="208" t="s">
        <v>310</v>
      </c>
      <c r="I5561" s="208"/>
      <c r="J5561" s="209"/>
      <c r="K5561" s="209"/>
      <c r="L5561" s="209"/>
      <c r="M5561" s="209"/>
      <c r="N5561" s="209"/>
      <c r="O5561" s="209"/>
      <c r="P5561" s="209"/>
      <c r="Q5561" s="209"/>
      <c r="R5561" s="209"/>
      <c r="S5561" s="209"/>
      <c r="T5561" s="209"/>
    </row>
    <row r="5562" spans="1:20" ht="15" hidden="1" customHeight="1">
      <c r="A5562" s="468">
        <v>45531</v>
      </c>
      <c r="B5562" s="208" t="s">
        <v>4627</v>
      </c>
      <c r="C5562" s="208" t="s">
        <v>3331</v>
      </c>
      <c r="D5562" s="211">
        <v>-108831</v>
      </c>
      <c r="E5562" s="212">
        <v>45505</v>
      </c>
      <c r="F5562" s="201" t="s">
        <v>110</v>
      </c>
      <c r="G5562" s="208" t="s">
        <v>774</v>
      </c>
      <c r="H5562" s="208" t="s">
        <v>310</v>
      </c>
      <c r="I5562" s="208"/>
      <c r="J5562" s="209"/>
      <c r="K5562" s="209"/>
      <c r="L5562" s="209"/>
      <c r="M5562" s="209"/>
      <c r="N5562" s="209"/>
      <c r="O5562" s="209"/>
      <c r="P5562" s="209"/>
      <c r="Q5562" s="209"/>
      <c r="R5562" s="209"/>
      <c r="S5562" s="209"/>
      <c r="T5562" s="209"/>
    </row>
    <row r="5563" spans="1:20" ht="15" hidden="1" customHeight="1">
      <c r="A5563" s="468">
        <v>45531</v>
      </c>
      <c r="B5563" s="208" t="s">
        <v>4627</v>
      </c>
      <c r="C5563" s="208" t="s">
        <v>3331</v>
      </c>
      <c r="D5563" s="211">
        <v>-1148458</v>
      </c>
      <c r="E5563" s="212">
        <v>45505</v>
      </c>
      <c r="F5563" s="201" t="s">
        <v>110</v>
      </c>
      <c r="G5563" s="201" t="s">
        <v>1489</v>
      </c>
      <c r="H5563" s="208" t="s">
        <v>310</v>
      </c>
      <c r="I5563" s="208"/>
      <c r="J5563" s="209"/>
      <c r="K5563" s="209"/>
      <c r="L5563" s="209"/>
      <c r="M5563" s="209"/>
      <c r="N5563" s="209"/>
      <c r="O5563" s="209"/>
      <c r="P5563" s="209"/>
      <c r="Q5563" s="209"/>
      <c r="R5563" s="209"/>
      <c r="S5563" s="209"/>
      <c r="T5563" s="209"/>
    </row>
    <row r="5564" spans="1:20" ht="15" hidden="1" customHeight="1">
      <c r="A5564" s="468">
        <v>45531</v>
      </c>
      <c r="B5564" s="208" t="s">
        <v>4627</v>
      </c>
      <c r="C5564" s="208" t="s">
        <v>3331</v>
      </c>
      <c r="D5564" s="211">
        <v>-1104183</v>
      </c>
      <c r="E5564" s="212">
        <v>45505</v>
      </c>
      <c r="F5564" s="208" t="s">
        <v>109</v>
      </c>
      <c r="G5564" s="208" t="s">
        <v>125</v>
      </c>
      <c r="H5564" s="208" t="s">
        <v>310</v>
      </c>
      <c r="I5564" s="208"/>
      <c r="J5564" s="209"/>
      <c r="K5564" s="209"/>
      <c r="L5564" s="209"/>
      <c r="M5564" s="209"/>
      <c r="N5564" s="209"/>
      <c r="O5564" s="209"/>
      <c r="P5564" s="209"/>
      <c r="Q5564" s="209"/>
      <c r="R5564" s="209"/>
      <c r="S5564" s="209"/>
      <c r="T5564" s="209"/>
    </row>
    <row r="5565" spans="1:20" ht="15" hidden="1" customHeight="1">
      <c r="A5565" s="468">
        <v>45531</v>
      </c>
      <c r="B5565" s="208" t="s">
        <v>4628</v>
      </c>
      <c r="C5565" s="208" t="s">
        <v>3331</v>
      </c>
      <c r="D5565" s="211">
        <v>-149500</v>
      </c>
      <c r="E5565" s="212">
        <v>45505</v>
      </c>
      <c r="F5565" s="208" t="s">
        <v>130</v>
      </c>
      <c r="G5565" s="208" t="s">
        <v>130</v>
      </c>
      <c r="H5565" s="208" t="s">
        <v>852</v>
      </c>
      <c r="I5565" s="208"/>
      <c r="J5565" s="209"/>
      <c r="K5565" s="209"/>
      <c r="L5565" s="209"/>
      <c r="M5565" s="209"/>
      <c r="N5565" s="209"/>
      <c r="O5565" s="209"/>
      <c r="P5565" s="209"/>
      <c r="Q5565" s="209"/>
      <c r="R5565" s="209"/>
      <c r="S5565" s="209"/>
      <c r="T5565" s="209"/>
    </row>
    <row r="5566" spans="1:20" ht="15" hidden="1" customHeight="1">
      <c r="A5566" s="468">
        <v>45531</v>
      </c>
      <c r="B5566" s="208" t="s">
        <v>4629</v>
      </c>
      <c r="C5566" s="208" t="s">
        <v>3331</v>
      </c>
      <c r="D5566" s="211">
        <v>-542920</v>
      </c>
      <c r="E5566" s="212">
        <v>45505</v>
      </c>
      <c r="F5566" s="208" t="s">
        <v>109</v>
      </c>
      <c r="G5566" s="201" t="s">
        <v>581</v>
      </c>
      <c r="H5566" s="208"/>
      <c r="I5566" s="208"/>
      <c r="J5566" s="209"/>
      <c r="K5566" s="209"/>
      <c r="L5566" s="209"/>
      <c r="M5566" s="209"/>
      <c r="N5566" s="209"/>
      <c r="O5566" s="209"/>
      <c r="P5566" s="209"/>
      <c r="Q5566" s="209"/>
      <c r="R5566" s="209"/>
      <c r="S5566" s="209"/>
      <c r="T5566" s="209"/>
    </row>
    <row r="5567" spans="1:20" ht="15" hidden="1" customHeight="1">
      <c r="A5567" s="468">
        <v>45531</v>
      </c>
      <c r="B5567" s="208" t="s">
        <v>4629</v>
      </c>
      <c r="C5567" s="208" t="s">
        <v>3331</v>
      </c>
      <c r="D5567" s="211">
        <v>-474140</v>
      </c>
      <c r="E5567" s="212">
        <v>45505</v>
      </c>
      <c r="F5567" s="208" t="s">
        <v>109</v>
      </c>
      <c r="G5567" s="201" t="s">
        <v>581</v>
      </c>
      <c r="H5567" s="208"/>
      <c r="I5567" s="208"/>
      <c r="J5567" s="209"/>
      <c r="K5567" s="209"/>
      <c r="L5567" s="209"/>
      <c r="M5567" s="209"/>
      <c r="N5567" s="209"/>
      <c r="O5567" s="209"/>
      <c r="P5567" s="209"/>
      <c r="Q5567" s="209"/>
      <c r="R5567" s="209"/>
      <c r="S5567" s="209"/>
      <c r="T5567" s="209"/>
    </row>
    <row r="5568" spans="1:20" ht="15" hidden="1" customHeight="1">
      <c r="A5568" s="468">
        <v>45531</v>
      </c>
      <c r="B5568" s="208" t="s">
        <v>4630</v>
      </c>
      <c r="C5568" s="208" t="s">
        <v>3331</v>
      </c>
      <c r="D5568" s="211">
        <v>-48962403</v>
      </c>
      <c r="E5568" s="212">
        <v>45505</v>
      </c>
      <c r="F5568" s="201" t="s">
        <v>110</v>
      </c>
      <c r="G5568" s="201" t="s">
        <v>1489</v>
      </c>
      <c r="H5568" s="208" t="s">
        <v>123</v>
      </c>
      <c r="I5568" s="208"/>
      <c r="J5568" s="209"/>
      <c r="K5568" s="209"/>
      <c r="L5568" s="209"/>
      <c r="M5568" s="209"/>
      <c r="N5568" s="209"/>
      <c r="O5568" s="209"/>
      <c r="P5568" s="209"/>
      <c r="Q5568" s="209"/>
      <c r="R5568" s="209"/>
      <c r="S5568" s="209"/>
      <c r="T5568" s="209"/>
    </row>
    <row r="5569" spans="1:20" ht="15" hidden="1" customHeight="1">
      <c r="A5569" s="468">
        <v>45531</v>
      </c>
      <c r="B5569" s="208" t="s">
        <v>4631</v>
      </c>
      <c r="C5569" s="208" t="s">
        <v>3331</v>
      </c>
      <c r="D5569" s="211">
        <v>-720000</v>
      </c>
      <c r="E5569" s="212">
        <v>45505</v>
      </c>
      <c r="F5569" s="208" t="s">
        <v>109</v>
      </c>
      <c r="G5569" s="201" t="s">
        <v>581</v>
      </c>
      <c r="H5569" s="208"/>
      <c r="I5569" s="208"/>
      <c r="J5569" s="209"/>
      <c r="K5569" s="209"/>
      <c r="L5569" s="209"/>
      <c r="M5569" s="209"/>
      <c r="N5569" s="209"/>
      <c r="O5569" s="209"/>
      <c r="P5569" s="209"/>
      <c r="Q5569" s="209"/>
      <c r="R5569" s="209"/>
      <c r="S5569" s="209"/>
      <c r="T5569" s="209"/>
    </row>
    <row r="5570" spans="1:20" ht="15" hidden="1" customHeight="1">
      <c r="A5570" s="468">
        <v>45531</v>
      </c>
      <c r="B5570" s="208" t="s">
        <v>4632</v>
      </c>
      <c r="C5570" s="208" t="s">
        <v>3331</v>
      </c>
      <c r="D5570" s="211">
        <v>-443601</v>
      </c>
      <c r="E5570" s="212">
        <v>45505</v>
      </c>
      <c r="F5570" s="201" t="s">
        <v>110</v>
      </c>
      <c r="G5570" s="208" t="s">
        <v>774</v>
      </c>
      <c r="H5570" s="208" t="s">
        <v>310</v>
      </c>
      <c r="I5570" s="208"/>
      <c r="J5570" s="209"/>
      <c r="K5570" s="209"/>
      <c r="L5570" s="209"/>
      <c r="M5570" s="209"/>
      <c r="N5570" s="209"/>
      <c r="O5570" s="209"/>
      <c r="P5570" s="209"/>
      <c r="Q5570" s="209"/>
      <c r="R5570" s="209"/>
      <c r="S5570" s="209"/>
      <c r="T5570" s="209"/>
    </row>
    <row r="5571" spans="1:20" ht="15" hidden="1" customHeight="1">
      <c r="A5571" s="468">
        <v>45531</v>
      </c>
      <c r="B5571" s="208" t="s">
        <v>4632</v>
      </c>
      <c r="C5571" s="208" t="s">
        <v>3331</v>
      </c>
      <c r="D5571" s="211">
        <v>-721301</v>
      </c>
      <c r="E5571" s="212">
        <v>45505</v>
      </c>
      <c r="F5571" s="201" t="s">
        <v>110</v>
      </c>
      <c r="G5571" s="208" t="s">
        <v>122</v>
      </c>
      <c r="H5571" s="208" t="s">
        <v>310</v>
      </c>
      <c r="I5571" s="208"/>
      <c r="J5571" s="209"/>
      <c r="K5571" s="209"/>
      <c r="L5571" s="209"/>
      <c r="M5571" s="209"/>
      <c r="N5571" s="209"/>
      <c r="O5571" s="209"/>
      <c r="P5571" s="209"/>
      <c r="Q5571" s="209"/>
      <c r="R5571" s="209"/>
      <c r="S5571" s="209"/>
      <c r="T5571" s="209"/>
    </row>
    <row r="5572" spans="1:20" ht="15" hidden="1" customHeight="1">
      <c r="A5572" s="468">
        <v>45531</v>
      </c>
      <c r="B5572" s="208" t="s">
        <v>4632</v>
      </c>
      <c r="C5572" s="208" t="s">
        <v>3331</v>
      </c>
      <c r="D5572" s="211">
        <v>-597266</v>
      </c>
      <c r="E5572" s="212">
        <v>45505</v>
      </c>
      <c r="F5572" s="201" t="s">
        <v>110</v>
      </c>
      <c r="G5572" s="208" t="s">
        <v>122</v>
      </c>
      <c r="H5572" s="208" t="s">
        <v>310</v>
      </c>
      <c r="I5572" s="208"/>
      <c r="J5572" s="209"/>
      <c r="K5572" s="209"/>
      <c r="L5572" s="209"/>
      <c r="M5572" s="209"/>
      <c r="N5572" s="209"/>
      <c r="O5572" s="209"/>
      <c r="P5572" s="209"/>
      <c r="Q5572" s="209"/>
      <c r="R5572" s="209"/>
      <c r="S5572" s="209"/>
      <c r="T5572" s="209"/>
    </row>
    <row r="5573" spans="1:20" ht="15" hidden="1" customHeight="1">
      <c r="A5573" s="468">
        <v>45531</v>
      </c>
      <c r="B5573" s="208" t="s">
        <v>4632</v>
      </c>
      <c r="C5573" s="208" t="s">
        <v>3331</v>
      </c>
      <c r="D5573" s="211">
        <v>-272738</v>
      </c>
      <c r="E5573" s="212">
        <v>45505</v>
      </c>
      <c r="F5573" s="671" t="s">
        <v>109</v>
      </c>
      <c r="G5573" s="208" t="s">
        <v>3529</v>
      </c>
      <c r="H5573" s="208" t="s">
        <v>310</v>
      </c>
      <c r="I5573" s="208"/>
      <c r="J5573" s="209"/>
      <c r="K5573" s="209"/>
      <c r="L5573" s="209"/>
      <c r="M5573" s="209"/>
      <c r="N5573" s="209"/>
      <c r="O5573" s="209"/>
      <c r="P5573" s="209"/>
      <c r="Q5573" s="209"/>
      <c r="R5573" s="209"/>
      <c r="S5573" s="209"/>
      <c r="T5573" s="209"/>
    </row>
    <row r="5574" spans="1:20" ht="15" hidden="1" customHeight="1">
      <c r="A5574" s="468">
        <v>45532</v>
      </c>
      <c r="B5574" s="208" t="s">
        <v>4633</v>
      </c>
      <c r="C5574" s="208" t="s">
        <v>3331</v>
      </c>
      <c r="D5574" s="211">
        <v>-2325000</v>
      </c>
      <c r="E5574" s="212">
        <v>45505</v>
      </c>
      <c r="F5574" s="208" t="s">
        <v>110</v>
      </c>
      <c r="G5574" s="208" t="s">
        <v>4399</v>
      </c>
      <c r="H5574" s="208" t="s">
        <v>147</v>
      </c>
      <c r="I5574" s="208"/>
      <c r="J5574" s="209"/>
      <c r="K5574" s="209"/>
      <c r="L5574" s="209"/>
      <c r="M5574" s="209"/>
      <c r="N5574" s="209"/>
      <c r="O5574" s="209"/>
      <c r="P5574" s="209"/>
      <c r="Q5574" s="209"/>
      <c r="R5574" s="209"/>
      <c r="S5574" s="209"/>
      <c r="T5574" s="209"/>
    </row>
    <row r="5575" spans="1:20" ht="15" hidden="1" customHeight="1">
      <c r="A5575" s="468">
        <v>45532</v>
      </c>
      <c r="B5575" s="208" t="s">
        <v>4634</v>
      </c>
      <c r="C5575" s="208" t="s">
        <v>3331</v>
      </c>
      <c r="D5575" s="211">
        <v>-300000</v>
      </c>
      <c r="E5575" s="212">
        <v>45505</v>
      </c>
      <c r="F5575" s="208" t="s">
        <v>109</v>
      </c>
      <c r="G5575" s="201" t="s">
        <v>1261</v>
      </c>
      <c r="H5575" s="208"/>
      <c r="I5575" s="208"/>
      <c r="J5575" s="209"/>
      <c r="K5575" s="209"/>
      <c r="L5575" s="209"/>
      <c r="M5575" s="209"/>
      <c r="N5575" s="209"/>
      <c r="O5575" s="209"/>
      <c r="P5575" s="209"/>
      <c r="Q5575" s="209"/>
      <c r="R5575" s="209"/>
      <c r="S5575" s="209"/>
      <c r="T5575" s="209"/>
    </row>
    <row r="5576" spans="1:20" ht="15" hidden="1" customHeight="1">
      <c r="A5576" s="468">
        <v>45532</v>
      </c>
      <c r="B5576" s="208" t="s">
        <v>4635</v>
      </c>
      <c r="C5576" s="208" t="s">
        <v>3331</v>
      </c>
      <c r="D5576" s="211">
        <v>-200000</v>
      </c>
      <c r="E5576" s="212">
        <v>45505</v>
      </c>
      <c r="F5576" s="208" t="s">
        <v>109</v>
      </c>
      <c r="G5576" s="208" t="s">
        <v>170</v>
      </c>
      <c r="H5576" s="208" t="s">
        <v>663</v>
      </c>
      <c r="I5576" s="208"/>
      <c r="J5576" s="209"/>
      <c r="K5576" s="209"/>
      <c r="L5576" s="209"/>
      <c r="M5576" s="209"/>
      <c r="N5576" s="209"/>
      <c r="O5576" s="209"/>
      <c r="P5576" s="209"/>
      <c r="Q5576" s="209"/>
      <c r="R5576" s="209"/>
      <c r="S5576" s="209"/>
      <c r="T5576" s="209"/>
    </row>
    <row r="5577" spans="1:20" ht="15" hidden="1" customHeight="1">
      <c r="A5577" s="468">
        <v>45532</v>
      </c>
      <c r="B5577" s="208" t="s">
        <v>4636</v>
      </c>
      <c r="C5577" s="208" t="s">
        <v>3331</v>
      </c>
      <c r="D5577" s="211">
        <v>-722514</v>
      </c>
      <c r="E5577" s="212">
        <v>45505</v>
      </c>
      <c r="F5577" s="208" t="s">
        <v>109</v>
      </c>
      <c r="G5577" s="201" t="s">
        <v>581</v>
      </c>
      <c r="H5577" s="208" t="s">
        <v>1175</v>
      </c>
      <c r="I5577" s="208"/>
      <c r="J5577" s="209"/>
      <c r="K5577" s="209"/>
      <c r="L5577" s="209"/>
      <c r="M5577" s="209"/>
      <c r="N5577" s="209"/>
      <c r="O5577" s="209"/>
      <c r="P5577" s="209"/>
      <c r="Q5577" s="209"/>
      <c r="R5577" s="209"/>
      <c r="S5577" s="209"/>
      <c r="T5577" s="209"/>
    </row>
    <row r="5578" spans="1:20" ht="15" hidden="1" customHeight="1">
      <c r="A5578" s="468">
        <v>45532</v>
      </c>
      <c r="B5578" s="208" t="s">
        <v>4637</v>
      </c>
      <c r="C5578" s="208" t="s">
        <v>3331</v>
      </c>
      <c r="D5578" s="211">
        <v>-7900</v>
      </c>
      <c r="E5578" s="212">
        <v>45505</v>
      </c>
      <c r="F5578" s="208" t="s">
        <v>109</v>
      </c>
      <c r="G5578" s="208" t="s">
        <v>4638</v>
      </c>
      <c r="H5578" s="208"/>
      <c r="I5578" s="208"/>
      <c r="J5578" s="209"/>
      <c r="K5578" s="209"/>
      <c r="L5578" s="209"/>
      <c r="M5578" s="209"/>
      <c r="N5578" s="209"/>
      <c r="O5578" s="209"/>
      <c r="P5578" s="209"/>
      <c r="Q5578" s="209"/>
      <c r="R5578" s="209"/>
      <c r="S5578" s="209"/>
      <c r="T5578" s="209"/>
    </row>
    <row r="5579" spans="1:20" ht="15" hidden="1" customHeight="1">
      <c r="A5579" s="468">
        <v>45533</v>
      </c>
      <c r="B5579" s="208" t="s">
        <v>4639</v>
      </c>
      <c r="C5579" s="208" t="s">
        <v>27</v>
      </c>
      <c r="D5579" s="718">
        <v>-3680000.0000000005</v>
      </c>
      <c r="E5579" s="212">
        <v>45505</v>
      </c>
      <c r="F5579" s="671" t="s">
        <v>109</v>
      </c>
      <c r="G5579" s="201" t="s">
        <v>581</v>
      </c>
      <c r="H5579" s="208" t="s">
        <v>147</v>
      </c>
      <c r="I5579" s="208"/>
      <c r="J5579" s="209"/>
      <c r="K5579" s="209"/>
      <c r="L5579" s="209"/>
      <c r="M5579" s="209"/>
      <c r="N5579" s="209"/>
      <c r="O5579" s="209"/>
      <c r="P5579" s="209"/>
      <c r="Q5579" s="209"/>
      <c r="R5579" s="209"/>
      <c r="S5579" s="209"/>
      <c r="T5579" s="209"/>
    </row>
    <row r="5580" spans="1:20" ht="15" hidden="1" customHeight="1">
      <c r="A5580" s="468">
        <v>45533</v>
      </c>
      <c r="B5580" s="208" t="s">
        <v>4640</v>
      </c>
      <c r="C5580" s="208" t="s">
        <v>27</v>
      </c>
      <c r="D5580" s="718">
        <v>-5842200</v>
      </c>
      <c r="E5580" s="212">
        <v>45505</v>
      </c>
      <c r="F5580" s="671" t="s">
        <v>109</v>
      </c>
      <c r="G5580" s="201" t="s">
        <v>581</v>
      </c>
      <c r="H5580" s="208" t="s">
        <v>147</v>
      </c>
      <c r="I5580" s="208"/>
      <c r="J5580" s="209"/>
      <c r="K5580" s="209"/>
      <c r="L5580" s="209"/>
      <c r="M5580" s="209"/>
      <c r="N5580" s="209"/>
      <c r="O5580" s="209"/>
      <c r="P5580" s="209"/>
      <c r="Q5580" s="209"/>
      <c r="R5580" s="209"/>
      <c r="S5580" s="209"/>
      <c r="T5580" s="209"/>
    </row>
    <row r="5581" spans="1:20" ht="15" hidden="1" customHeight="1">
      <c r="A5581" s="468">
        <v>45533</v>
      </c>
      <c r="B5581" s="208" t="s">
        <v>4641</v>
      </c>
      <c r="C5581" s="208" t="s">
        <v>27</v>
      </c>
      <c r="D5581" s="718">
        <v>-1278600</v>
      </c>
      <c r="E5581" s="212">
        <v>45505</v>
      </c>
      <c r="F5581" s="671" t="s">
        <v>109</v>
      </c>
      <c r="G5581" s="201" t="s">
        <v>581</v>
      </c>
      <c r="H5581" s="208" t="s">
        <v>147</v>
      </c>
      <c r="I5581" s="208"/>
      <c r="J5581" s="209"/>
      <c r="K5581" s="209"/>
      <c r="L5581" s="209"/>
      <c r="M5581" s="209"/>
      <c r="N5581" s="209"/>
      <c r="O5581" s="209"/>
      <c r="P5581" s="209"/>
      <c r="Q5581" s="209"/>
      <c r="R5581" s="209"/>
      <c r="S5581" s="209"/>
      <c r="T5581" s="209"/>
    </row>
    <row r="5582" spans="1:20" ht="15" hidden="1" customHeight="1">
      <c r="A5582" s="468">
        <v>45533</v>
      </c>
      <c r="B5582" s="208" t="s">
        <v>4642</v>
      </c>
      <c r="C5582" s="208" t="s">
        <v>27</v>
      </c>
      <c r="D5582" s="211">
        <v>-831840</v>
      </c>
      <c r="E5582" s="212">
        <v>45505</v>
      </c>
      <c r="F5582" s="671" t="s">
        <v>109</v>
      </c>
      <c r="G5582" s="208" t="s">
        <v>3529</v>
      </c>
      <c r="H5582" s="208" t="s">
        <v>147</v>
      </c>
      <c r="I5582" s="208"/>
      <c r="J5582" s="209"/>
      <c r="K5582" s="209"/>
      <c r="L5582" s="209"/>
      <c r="M5582" s="209"/>
      <c r="N5582" s="209"/>
      <c r="O5582" s="209"/>
      <c r="P5582" s="209"/>
      <c r="Q5582" s="209"/>
      <c r="R5582" s="209"/>
      <c r="S5582" s="209"/>
      <c r="T5582" s="209"/>
    </row>
    <row r="5583" spans="1:20" ht="15" hidden="1" customHeight="1">
      <c r="A5583" s="468">
        <v>45533</v>
      </c>
      <c r="B5583" s="208" t="s">
        <v>4643</v>
      </c>
      <c r="C5583" s="208" t="s">
        <v>27</v>
      </c>
      <c r="D5583" s="211">
        <v>-2862230.4</v>
      </c>
      <c r="E5583" s="212">
        <v>45505</v>
      </c>
      <c r="F5583" s="671" t="s">
        <v>130</v>
      </c>
      <c r="G5583" s="671" t="s">
        <v>130</v>
      </c>
      <c r="H5583" s="208" t="s">
        <v>1175</v>
      </c>
      <c r="I5583" s="208"/>
      <c r="J5583" s="209"/>
      <c r="K5583" s="209"/>
      <c r="L5583" s="209"/>
      <c r="M5583" s="209"/>
      <c r="N5583" s="209"/>
      <c r="O5583" s="209"/>
      <c r="P5583" s="209"/>
      <c r="Q5583" s="209"/>
      <c r="R5583" s="209"/>
      <c r="S5583" s="209"/>
      <c r="T5583" s="209"/>
    </row>
    <row r="5584" spans="1:20" ht="15" hidden="1" customHeight="1">
      <c r="A5584" s="468">
        <v>45533</v>
      </c>
      <c r="B5584" s="208" t="s">
        <v>4644</v>
      </c>
      <c r="C5584" s="208" t="s">
        <v>27</v>
      </c>
      <c r="D5584" s="211">
        <v>-1091128.0000000002</v>
      </c>
      <c r="E5584" s="212">
        <v>45505</v>
      </c>
      <c r="F5584" s="201" t="s">
        <v>110</v>
      </c>
      <c r="G5584" s="201" t="s">
        <v>1489</v>
      </c>
      <c r="H5584" s="208" t="s">
        <v>147</v>
      </c>
      <c r="I5584" s="208"/>
      <c r="J5584" s="209"/>
      <c r="K5584" s="209"/>
      <c r="L5584" s="209"/>
      <c r="M5584" s="209"/>
      <c r="N5584" s="209"/>
      <c r="O5584" s="209"/>
      <c r="P5584" s="209"/>
      <c r="Q5584" s="209"/>
      <c r="R5584" s="209"/>
      <c r="S5584" s="209"/>
      <c r="T5584" s="209"/>
    </row>
    <row r="5585" spans="1:20" ht="15" hidden="1" customHeight="1">
      <c r="A5585" s="468">
        <v>45533</v>
      </c>
      <c r="B5585" s="208" t="s">
        <v>4645</v>
      </c>
      <c r="C5585" s="208" t="s">
        <v>27</v>
      </c>
      <c r="D5585" s="211">
        <v>-9054530</v>
      </c>
      <c r="E5585" s="212">
        <v>45505</v>
      </c>
      <c r="F5585" s="671" t="s">
        <v>130</v>
      </c>
      <c r="G5585" s="671" t="s">
        <v>130</v>
      </c>
      <c r="H5585" s="208" t="s">
        <v>1175</v>
      </c>
      <c r="I5585" s="208"/>
      <c r="J5585" s="209"/>
      <c r="K5585" s="209"/>
      <c r="L5585" s="209"/>
      <c r="M5585" s="209"/>
      <c r="N5585" s="209"/>
      <c r="O5585" s="209"/>
      <c r="P5585" s="209"/>
      <c r="Q5585" s="209"/>
      <c r="R5585" s="209"/>
      <c r="S5585" s="209"/>
      <c r="T5585" s="209"/>
    </row>
    <row r="5586" spans="1:20" ht="15" hidden="1" customHeight="1">
      <c r="A5586" s="468">
        <v>45533</v>
      </c>
      <c r="B5586" s="208" t="s">
        <v>4646</v>
      </c>
      <c r="C5586" s="208" t="s">
        <v>27</v>
      </c>
      <c r="D5586" s="211">
        <v>-7665962.25</v>
      </c>
      <c r="E5586" s="212">
        <v>45505</v>
      </c>
      <c r="F5586" s="671" t="s">
        <v>109</v>
      </c>
      <c r="G5586" s="671" t="s">
        <v>2809</v>
      </c>
      <c r="H5586" s="208" t="s">
        <v>1175</v>
      </c>
      <c r="I5586" s="208"/>
      <c r="J5586" s="209"/>
      <c r="K5586" s="209"/>
      <c r="L5586" s="209"/>
      <c r="M5586" s="209"/>
      <c r="N5586" s="209"/>
      <c r="O5586" s="209"/>
      <c r="P5586" s="209"/>
      <c r="Q5586" s="209"/>
      <c r="R5586" s="209"/>
      <c r="S5586" s="209"/>
      <c r="T5586" s="209"/>
    </row>
    <row r="5587" spans="1:20" ht="15" hidden="1" customHeight="1">
      <c r="A5587" s="468">
        <v>45533</v>
      </c>
      <c r="B5587" s="208" t="s">
        <v>4647</v>
      </c>
      <c r="C5587" s="208" t="s">
        <v>27</v>
      </c>
      <c r="D5587" s="211">
        <v>-9054530</v>
      </c>
      <c r="E5587" s="212">
        <v>45505</v>
      </c>
      <c r="F5587" s="671" t="s">
        <v>130</v>
      </c>
      <c r="G5587" s="671" t="s">
        <v>130</v>
      </c>
      <c r="H5587" s="208" t="s">
        <v>1175</v>
      </c>
      <c r="I5587" s="208"/>
      <c r="J5587" s="209"/>
      <c r="K5587" s="209"/>
      <c r="L5587" s="209"/>
      <c r="M5587" s="209"/>
      <c r="N5587" s="209"/>
      <c r="O5587" s="209"/>
      <c r="P5587" s="209"/>
      <c r="Q5587" s="209"/>
      <c r="R5587" s="209"/>
      <c r="S5587" s="209"/>
      <c r="T5587" s="209"/>
    </row>
    <row r="5588" spans="1:20" ht="15" hidden="1" customHeight="1">
      <c r="A5588" s="468">
        <v>45533</v>
      </c>
      <c r="B5588" s="208" t="s">
        <v>4648</v>
      </c>
      <c r="C5588" s="208" t="s">
        <v>27</v>
      </c>
      <c r="D5588" s="211">
        <v>-233080</v>
      </c>
      <c r="E5588" s="212">
        <v>45505</v>
      </c>
      <c r="F5588" s="671" t="s">
        <v>109</v>
      </c>
      <c r="G5588" s="208" t="s">
        <v>3529</v>
      </c>
      <c r="H5588" s="208" t="s">
        <v>147</v>
      </c>
      <c r="I5588" s="208"/>
      <c r="J5588" s="209"/>
      <c r="K5588" s="209"/>
      <c r="L5588" s="209"/>
      <c r="M5588" s="209"/>
      <c r="N5588" s="209"/>
      <c r="O5588" s="209"/>
      <c r="P5588" s="209"/>
      <c r="Q5588" s="209"/>
      <c r="R5588" s="209"/>
      <c r="S5588" s="209"/>
      <c r="T5588" s="209"/>
    </row>
    <row r="5589" spans="1:20" ht="15" hidden="1" customHeight="1">
      <c r="A5589" s="468">
        <v>45533</v>
      </c>
      <c r="B5589" s="208" t="s">
        <v>4648</v>
      </c>
      <c r="C5589" s="208" t="s">
        <v>27</v>
      </c>
      <c r="D5589" s="211">
        <v>-233080</v>
      </c>
      <c r="E5589" s="212">
        <v>45505</v>
      </c>
      <c r="F5589" s="201" t="s">
        <v>110</v>
      </c>
      <c r="G5589" s="201" t="s">
        <v>1489</v>
      </c>
      <c r="H5589" s="208" t="s">
        <v>147</v>
      </c>
      <c r="I5589" s="208"/>
      <c r="J5589" s="209"/>
      <c r="K5589" s="209"/>
      <c r="L5589" s="209"/>
      <c r="M5589" s="209"/>
      <c r="N5589" s="209"/>
      <c r="O5589" s="209"/>
      <c r="P5589" s="209"/>
      <c r="Q5589" s="209"/>
      <c r="R5589" s="209"/>
      <c r="S5589" s="209"/>
      <c r="T5589" s="209"/>
    </row>
    <row r="5590" spans="1:20" ht="15" hidden="1" customHeight="1">
      <c r="A5590" s="468">
        <v>45533</v>
      </c>
      <c r="B5590" s="208" t="s">
        <v>4648</v>
      </c>
      <c r="C5590" s="208" t="s">
        <v>27</v>
      </c>
      <c r="D5590" s="211">
        <v>-233080</v>
      </c>
      <c r="E5590" s="212">
        <v>45505</v>
      </c>
      <c r="F5590" s="671" t="s">
        <v>109</v>
      </c>
      <c r="G5590" s="654" t="s">
        <v>2585</v>
      </c>
      <c r="H5590" s="208" t="s">
        <v>147</v>
      </c>
      <c r="I5590" s="208"/>
      <c r="J5590" s="209"/>
      <c r="K5590" s="209"/>
      <c r="L5590" s="209"/>
      <c r="M5590" s="209"/>
      <c r="N5590" s="209"/>
      <c r="O5590" s="209"/>
      <c r="P5590" s="209"/>
      <c r="Q5590" s="209"/>
      <c r="R5590" s="209"/>
      <c r="S5590" s="209"/>
      <c r="T5590" s="209"/>
    </row>
    <row r="5591" spans="1:20" ht="15" hidden="1" customHeight="1">
      <c r="A5591" s="468">
        <v>45533</v>
      </c>
      <c r="B5591" s="208" t="s">
        <v>4649</v>
      </c>
      <c r="C5591" s="208" t="s">
        <v>27</v>
      </c>
      <c r="D5591" s="680">
        <v>-626733.33333333302</v>
      </c>
      <c r="E5591" s="212">
        <v>45505</v>
      </c>
      <c r="F5591" s="201" t="s">
        <v>110</v>
      </c>
      <c r="G5591" s="201" t="s">
        <v>1489</v>
      </c>
      <c r="H5591" s="208" t="s">
        <v>147</v>
      </c>
      <c r="I5591" s="208"/>
      <c r="J5591" s="209"/>
      <c r="K5591" s="209"/>
      <c r="L5591" s="209"/>
      <c r="M5591" s="209"/>
      <c r="N5591" s="209"/>
      <c r="O5591" s="209"/>
      <c r="P5591" s="209"/>
      <c r="Q5591" s="209"/>
      <c r="R5591" s="209"/>
      <c r="S5591" s="209"/>
      <c r="T5591" s="209"/>
    </row>
    <row r="5592" spans="1:20" ht="15" hidden="1" customHeight="1">
      <c r="A5592" s="468">
        <v>45533</v>
      </c>
      <c r="B5592" s="208" t="s">
        <v>4650</v>
      </c>
      <c r="C5592" s="208" t="s">
        <v>27</v>
      </c>
      <c r="D5592" s="211">
        <v>-313800</v>
      </c>
      <c r="E5592" s="212">
        <v>45505</v>
      </c>
      <c r="F5592" s="671" t="s">
        <v>109</v>
      </c>
      <c r="G5592" s="208" t="s">
        <v>3529</v>
      </c>
      <c r="H5592" s="208" t="s">
        <v>508</v>
      </c>
      <c r="I5592" s="208"/>
      <c r="J5592" s="209"/>
      <c r="K5592" s="209"/>
      <c r="L5592" s="209"/>
      <c r="M5592" s="209"/>
      <c r="N5592" s="209"/>
      <c r="O5592" s="209"/>
      <c r="P5592" s="209"/>
      <c r="Q5592" s="209"/>
      <c r="R5592" s="209"/>
      <c r="S5592" s="209"/>
      <c r="T5592" s="209"/>
    </row>
    <row r="5593" spans="1:20" ht="15" hidden="1" customHeight="1">
      <c r="A5593" s="468">
        <v>45533</v>
      </c>
      <c r="B5593" s="208" t="s">
        <v>4650</v>
      </c>
      <c r="C5593" s="208" t="s">
        <v>27</v>
      </c>
      <c r="D5593" s="211">
        <v>-313800</v>
      </c>
      <c r="E5593" s="212">
        <v>45505</v>
      </c>
      <c r="F5593" s="201" t="s">
        <v>110</v>
      </c>
      <c r="G5593" s="201" t="s">
        <v>1489</v>
      </c>
      <c r="H5593" s="208" t="s">
        <v>508</v>
      </c>
      <c r="I5593" s="208"/>
      <c r="J5593" s="209"/>
      <c r="K5593" s="209"/>
      <c r="L5593" s="209"/>
      <c r="M5593" s="209"/>
      <c r="N5593" s="209"/>
      <c r="O5593" s="209"/>
      <c r="P5593" s="209"/>
      <c r="Q5593" s="209"/>
      <c r="R5593" s="209"/>
      <c r="S5593" s="209"/>
      <c r="T5593" s="209"/>
    </row>
    <row r="5594" spans="1:20" ht="15" hidden="1" customHeight="1">
      <c r="A5594" s="468">
        <v>45533</v>
      </c>
      <c r="B5594" s="208" t="s">
        <v>4650</v>
      </c>
      <c r="C5594" s="208" t="s">
        <v>27</v>
      </c>
      <c r="D5594" s="211">
        <v>-313800</v>
      </c>
      <c r="E5594" s="212">
        <v>45505</v>
      </c>
      <c r="F5594" s="671" t="s">
        <v>109</v>
      </c>
      <c r="G5594" s="654" t="s">
        <v>2585</v>
      </c>
      <c r="H5594" s="208" t="s">
        <v>508</v>
      </c>
      <c r="I5594" s="208"/>
      <c r="J5594" s="209"/>
      <c r="K5594" s="209"/>
      <c r="L5594" s="209"/>
      <c r="M5594" s="209"/>
      <c r="N5594" s="209"/>
      <c r="O5594" s="209"/>
      <c r="P5594" s="209"/>
      <c r="Q5594" s="209"/>
      <c r="R5594" s="209"/>
      <c r="S5594" s="209"/>
      <c r="T5594" s="209"/>
    </row>
    <row r="5595" spans="1:20" ht="15" hidden="1" customHeight="1">
      <c r="A5595" s="468">
        <v>45533</v>
      </c>
      <c r="B5595" s="208" t="s">
        <v>4651</v>
      </c>
      <c r="C5595" s="208" t="s">
        <v>27</v>
      </c>
      <c r="D5595" s="211">
        <v>-250447</v>
      </c>
      <c r="E5595" s="212">
        <v>45505</v>
      </c>
      <c r="F5595" s="671" t="s">
        <v>109</v>
      </c>
      <c r="G5595" s="208" t="s">
        <v>3529</v>
      </c>
      <c r="H5595" s="208" t="s">
        <v>147</v>
      </c>
      <c r="I5595" s="208"/>
      <c r="J5595" s="209"/>
      <c r="K5595" s="209"/>
      <c r="L5595" s="209"/>
      <c r="M5595" s="209"/>
      <c r="N5595" s="209"/>
      <c r="O5595" s="209"/>
      <c r="P5595" s="209"/>
      <c r="Q5595" s="209"/>
      <c r="R5595" s="209"/>
      <c r="S5595" s="209"/>
      <c r="T5595" s="209"/>
    </row>
    <row r="5596" spans="1:20" ht="15" hidden="1" customHeight="1">
      <c r="A5596" s="468">
        <v>45533</v>
      </c>
      <c r="B5596" s="208" t="s">
        <v>4651</v>
      </c>
      <c r="C5596" s="208" t="s">
        <v>27</v>
      </c>
      <c r="D5596" s="211">
        <v>-250447</v>
      </c>
      <c r="E5596" s="212">
        <v>45505</v>
      </c>
      <c r="F5596" s="201" t="s">
        <v>110</v>
      </c>
      <c r="G5596" s="201" t="s">
        <v>1489</v>
      </c>
      <c r="H5596" s="208" t="s">
        <v>147</v>
      </c>
      <c r="I5596" s="208"/>
      <c r="J5596" s="209"/>
      <c r="K5596" s="209"/>
      <c r="L5596" s="209"/>
      <c r="M5596" s="209"/>
      <c r="N5596" s="209"/>
      <c r="O5596" s="209"/>
      <c r="P5596" s="209"/>
      <c r="Q5596" s="209"/>
      <c r="R5596" s="209"/>
      <c r="S5596" s="209"/>
      <c r="T5596" s="209"/>
    </row>
    <row r="5597" spans="1:20" ht="15" hidden="1" customHeight="1">
      <c r="A5597" s="468">
        <v>45533</v>
      </c>
      <c r="B5597" s="208" t="s">
        <v>4651</v>
      </c>
      <c r="C5597" s="208" t="s">
        <v>27</v>
      </c>
      <c r="D5597" s="211">
        <v>-250446</v>
      </c>
      <c r="E5597" s="212">
        <v>45505</v>
      </c>
      <c r="F5597" s="671" t="s">
        <v>109</v>
      </c>
      <c r="G5597" s="654" t="s">
        <v>2585</v>
      </c>
      <c r="H5597" s="208" t="s">
        <v>147</v>
      </c>
      <c r="I5597" s="208"/>
      <c r="J5597" s="209"/>
      <c r="K5597" s="209"/>
      <c r="L5597" s="209"/>
      <c r="M5597" s="209"/>
      <c r="N5597" s="209"/>
      <c r="O5597" s="209"/>
      <c r="P5597" s="209"/>
      <c r="Q5597" s="209"/>
      <c r="R5597" s="209"/>
      <c r="S5597" s="209"/>
      <c r="T5597" s="209"/>
    </row>
    <row r="5598" spans="1:20" ht="15" hidden="1" customHeight="1">
      <c r="A5598" s="468">
        <v>45533</v>
      </c>
      <c r="B5598" s="208" t="s">
        <v>4652</v>
      </c>
      <c r="C5598" s="208" t="s">
        <v>27</v>
      </c>
      <c r="D5598" s="211">
        <v>-1057000</v>
      </c>
      <c r="E5598" s="212">
        <v>45505</v>
      </c>
      <c r="F5598" s="671" t="s">
        <v>109</v>
      </c>
      <c r="G5598" s="654" t="s">
        <v>2585</v>
      </c>
      <c r="H5598" s="208" t="s">
        <v>147</v>
      </c>
      <c r="I5598" s="208"/>
      <c r="J5598" s="209"/>
      <c r="K5598" s="209"/>
      <c r="L5598" s="209"/>
      <c r="M5598" s="209"/>
      <c r="N5598" s="209"/>
      <c r="O5598" s="209"/>
      <c r="P5598" s="209"/>
      <c r="Q5598" s="209"/>
      <c r="R5598" s="209"/>
      <c r="S5598" s="209"/>
      <c r="T5598" s="209"/>
    </row>
    <row r="5599" spans="1:20" ht="15" hidden="1" customHeight="1">
      <c r="A5599" s="468">
        <v>45533</v>
      </c>
      <c r="B5599" s="208" t="s">
        <v>4653</v>
      </c>
      <c r="C5599" s="208" t="s">
        <v>27</v>
      </c>
      <c r="D5599" s="211">
        <v>-679000</v>
      </c>
      <c r="E5599" s="212">
        <v>45505</v>
      </c>
      <c r="F5599" s="671" t="s">
        <v>109</v>
      </c>
      <c r="G5599" s="654" t="s">
        <v>2585</v>
      </c>
      <c r="H5599" s="208" t="s">
        <v>147</v>
      </c>
      <c r="I5599" s="208"/>
      <c r="J5599" s="209"/>
      <c r="K5599" s="209"/>
      <c r="L5599" s="209"/>
      <c r="M5599" s="209"/>
      <c r="N5599" s="209"/>
      <c r="O5599" s="209"/>
      <c r="P5599" s="209"/>
      <c r="Q5599" s="209"/>
      <c r="R5599" s="209"/>
      <c r="S5599" s="209"/>
      <c r="T5599" s="209"/>
    </row>
    <row r="5600" spans="1:20" ht="15" hidden="1" customHeight="1">
      <c r="A5600" s="468">
        <v>45533</v>
      </c>
      <c r="B5600" s="208" t="s">
        <v>4654</v>
      </c>
      <c r="C5600" s="208" t="s">
        <v>27</v>
      </c>
      <c r="D5600" s="211">
        <v>-971733</v>
      </c>
      <c r="E5600" s="212">
        <v>45505</v>
      </c>
      <c r="F5600" s="671" t="s">
        <v>109</v>
      </c>
      <c r="G5600" s="208" t="s">
        <v>3529</v>
      </c>
      <c r="H5600" s="208" t="s">
        <v>508</v>
      </c>
      <c r="I5600" s="208"/>
      <c r="J5600" s="209"/>
      <c r="K5600" s="209"/>
      <c r="L5600" s="209"/>
      <c r="M5600" s="209"/>
      <c r="N5600" s="209"/>
      <c r="O5600" s="209"/>
      <c r="P5600" s="209"/>
      <c r="Q5600" s="209"/>
      <c r="R5600" s="209"/>
      <c r="S5600" s="209"/>
      <c r="T5600" s="209"/>
    </row>
    <row r="5601" spans="1:20" ht="15" hidden="1" customHeight="1">
      <c r="A5601" s="468">
        <v>45533</v>
      </c>
      <c r="B5601" s="208" t="s">
        <v>4654</v>
      </c>
      <c r="C5601" s="208" t="s">
        <v>27</v>
      </c>
      <c r="D5601" s="211">
        <v>-971733</v>
      </c>
      <c r="E5601" s="212">
        <v>45505</v>
      </c>
      <c r="F5601" s="201" t="s">
        <v>110</v>
      </c>
      <c r="G5601" s="201" t="s">
        <v>1489</v>
      </c>
      <c r="H5601" s="208" t="s">
        <v>508</v>
      </c>
      <c r="I5601" s="208"/>
      <c r="J5601" s="209"/>
      <c r="K5601" s="209"/>
      <c r="L5601" s="209"/>
      <c r="M5601" s="209"/>
      <c r="N5601" s="209"/>
      <c r="O5601" s="209"/>
      <c r="P5601" s="209"/>
      <c r="Q5601" s="209"/>
      <c r="R5601" s="209"/>
      <c r="S5601" s="209"/>
      <c r="T5601" s="209"/>
    </row>
    <row r="5602" spans="1:20" ht="15" hidden="1" customHeight="1">
      <c r="A5602" s="468">
        <v>45533</v>
      </c>
      <c r="B5602" s="208" t="s">
        <v>4654</v>
      </c>
      <c r="C5602" s="208" t="s">
        <v>27</v>
      </c>
      <c r="D5602" s="211">
        <v>-971734</v>
      </c>
      <c r="E5602" s="212">
        <v>45505</v>
      </c>
      <c r="F5602" s="671" t="s">
        <v>109</v>
      </c>
      <c r="G5602" s="654" t="s">
        <v>2585</v>
      </c>
      <c r="H5602" s="208" t="s">
        <v>508</v>
      </c>
      <c r="I5602" s="208"/>
      <c r="J5602" s="209"/>
      <c r="K5602" s="209"/>
      <c r="L5602" s="209"/>
      <c r="M5602" s="209"/>
      <c r="N5602" s="209"/>
      <c r="O5602" s="209"/>
      <c r="P5602" s="209"/>
      <c r="Q5602" s="209"/>
      <c r="R5602" s="209"/>
      <c r="S5602" s="209"/>
      <c r="T5602" s="209"/>
    </row>
    <row r="5603" spans="1:20" ht="15" hidden="1" customHeight="1">
      <c r="A5603" s="468">
        <v>45533</v>
      </c>
      <c r="B5603" s="208" t="s">
        <v>4655</v>
      </c>
      <c r="C5603" s="208" t="s">
        <v>27</v>
      </c>
      <c r="D5603" s="211">
        <v>-3118800</v>
      </c>
      <c r="E5603" s="212">
        <v>45505</v>
      </c>
      <c r="F5603" s="671" t="s">
        <v>109</v>
      </c>
      <c r="G5603" s="671" t="s">
        <v>2809</v>
      </c>
      <c r="H5603" s="208" t="s">
        <v>1175</v>
      </c>
      <c r="I5603" s="208"/>
      <c r="J5603" s="209"/>
      <c r="K5603" s="209"/>
      <c r="L5603" s="209"/>
      <c r="M5603" s="209"/>
      <c r="N5603" s="209"/>
      <c r="O5603" s="209"/>
      <c r="P5603" s="209"/>
      <c r="Q5603" s="209"/>
      <c r="R5603" s="209"/>
      <c r="S5603" s="209"/>
      <c r="T5603" s="209"/>
    </row>
    <row r="5604" spans="1:20" ht="15" hidden="1" customHeight="1">
      <c r="A5604" s="468">
        <v>45533</v>
      </c>
      <c r="B5604" s="208" t="s">
        <v>4656</v>
      </c>
      <c r="C5604" s="208" t="s">
        <v>27</v>
      </c>
      <c r="D5604" s="211">
        <v>-2024000</v>
      </c>
      <c r="E5604" s="212">
        <v>45505</v>
      </c>
      <c r="F5604" s="671" t="s">
        <v>130</v>
      </c>
      <c r="G5604" s="671" t="s">
        <v>130</v>
      </c>
      <c r="H5604" s="208" t="s">
        <v>1175</v>
      </c>
      <c r="I5604" s="208"/>
      <c r="J5604" s="209"/>
      <c r="K5604" s="209"/>
      <c r="L5604" s="209"/>
      <c r="M5604" s="209"/>
      <c r="N5604" s="209"/>
      <c r="O5604" s="209"/>
      <c r="P5604" s="209"/>
      <c r="Q5604" s="209"/>
      <c r="R5604" s="209"/>
      <c r="S5604" s="209"/>
      <c r="T5604" s="209"/>
    </row>
    <row r="5605" spans="1:20" ht="15" hidden="1" customHeight="1">
      <c r="A5605" s="468">
        <v>45533</v>
      </c>
      <c r="B5605" s="208" t="s">
        <v>4657</v>
      </c>
      <c r="C5605" s="208" t="s">
        <v>27</v>
      </c>
      <c r="D5605" s="211">
        <v>-904000</v>
      </c>
      <c r="E5605" s="212">
        <v>45505</v>
      </c>
      <c r="F5605" s="671" t="s">
        <v>109</v>
      </c>
      <c r="G5605" s="208" t="s">
        <v>3529</v>
      </c>
      <c r="H5605" s="208" t="s">
        <v>508</v>
      </c>
      <c r="I5605" s="208"/>
      <c r="J5605" s="209"/>
      <c r="K5605" s="209"/>
      <c r="L5605" s="209"/>
      <c r="M5605" s="209"/>
      <c r="N5605" s="209"/>
      <c r="O5605" s="209"/>
      <c r="P5605" s="209"/>
      <c r="Q5605" s="209"/>
      <c r="R5605" s="209"/>
      <c r="S5605" s="209"/>
      <c r="T5605" s="209"/>
    </row>
    <row r="5606" spans="1:20" ht="15" hidden="1" customHeight="1">
      <c r="A5606" s="468">
        <v>45533</v>
      </c>
      <c r="B5606" s="208" t="s">
        <v>4657</v>
      </c>
      <c r="C5606" s="208" t="s">
        <v>27</v>
      </c>
      <c r="D5606" s="211">
        <v>-904000</v>
      </c>
      <c r="E5606" s="212">
        <v>45505</v>
      </c>
      <c r="F5606" s="201" t="s">
        <v>110</v>
      </c>
      <c r="G5606" s="201" t="s">
        <v>1489</v>
      </c>
      <c r="H5606" s="208" t="s">
        <v>508</v>
      </c>
      <c r="I5606" s="208"/>
      <c r="J5606" s="209"/>
      <c r="K5606" s="209"/>
      <c r="L5606" s="209"/>
      <c r="M5606" s="209"/>
      <c r="N5606" s="209"/>
      <c r="O5606" s="209"/>
      <c r="P5606" s="209"/>
      <c r="Q5606" s="209"/>
      <c r="R5606" s="209"/>
      <c r="S5606" s="209"/>
      <c r="T5606" s="209"/>
    </row>
    <row r="5607" spans="1:20" ht="15" hidden="1" customHeight="1">
      <c r="A5607" s="468">
        <v>45533</v>
      </c>
      <c r="B5607" s="208" t="s">
        <v>4657</v>
      </c>
      <c r="C5607" s="208" t="s">
        <v>27</v>
      </c>
      <c r="D5607" s="211">
        <v>-904000</v>
      </c>
      <c r="E5607" s="212">
        <v>45505</v>
      </c>
      <c r="F5607" s="671" t="s">
        <v>109</v>
      </c>
      <c r="G5607" s="654" t="s">
        <v>2585</v>
      </c>
      <c r="H5607" s="208" t="s">
        <v>508</v>
      </c>
      <c r="I5607" s="208"/>
      <c r="J5607" s="209"/>
      <c r="K5607" s="209"/>
      <c r="L5607" s="209"/>
      <c r="M5607" s="209"/>
      <c r="N5607" s="209"/>
      <c r="O5607" s="209"/>
      <c r="P5607" s="209"/>
      <c r="Q5607" s="209"/>
      <c r="R5607" s="209"/>
      <c r="S5607" s="209"/>
      <c r="T5607" s="209"/>
    </row>
    <row r="5608" spans="1:20" ht="15" hidden="1" customHeight="1">
      <c r="A5608" s="468">
        <v>45533</v>
      </c>
      <c r="B5608" s="208" t="s">
        <v>4658</v>
      </c>
      <c r="C5608" s="208" t="s">
        <v>27</v>
      </c>
      <c r="D5608" s="211">
        <v>-817000</v>
      </c>
      <c r="E5608" s="212">
        <v>45505</v>
      </c>
      <c r="F5608" s="208" t="s">
        <v>130</v>
      </c>
      <c r="G5608" s="209" t="s">
        <v>130</v>
      </c>
      <c r="H5608" s="208" t="s">
        <v>1175</v>
      </c>
      <c r="I5608" s="208"/>
      <c r="J5608" s="209"/>
      <c r="K5608" s="209"/>
      <c r="L5608" s="209"/>
      <c r="M5608" s="209"/>
      <c r="N5608" s="209"/>
      <c r="O5608" s="209"/>
      <c r="P5608" s="209"/>
      <c r="Q5608" s="209"/>
      <c r="R5608" s="209"/>
      <c r="S5608" s="209"/>
      <c r="T5608" s="209"/>
    </row>
    <row r="5609" spans="1:20" ht="15" hidden="1" customHeight="1">
      <c r="A5609" s="468">
        <v>45533</v>
      </c>
      <c r="B5609" s="208" t="s">
        <v>4659</v>
      </c>
      <c r="C5609" s="208" t="s">
        <v>27</v>
      </c>
      <c r="D5609" s="211">
        <v>-679000</v>
      </c>
      <c r="E5609" s="212">
        <v>45505</v>
      </c>
      <c r="F5609" s="671" t="s">
        <v>130</v>
      </c>
      <c r="G5609" s="671" t="s">
        <v>130</v>
      </c>
      <c r="H5609" s="208" t="s">
        <v>1175</v>
      </c>
      <c r="I5609" s="208"/>
      <c r="J5609" s="209"/>
      <c r="K5609" s="209"/>
      <c r="L5609" s="209"/>
      <c r="M5609" s="209"/>
      <c r="N5609" s="209"/>
      <c r="O5609" s="209"/>
      <c r="P5609" s="209"/>
      <c r="Q5609" s="209"/>
      <c r="R5609" s="209"/>
      <c r="S5609" s="209"/>
      <c r="T5609" s="209"/>
    </row>
    <row r="5610" spans="1:20" ht="15" hidden="1" customHeight="1">
      <c r="A5610" s="468">
        <v>45533</v>
      </c>
      <c r="B5610" s="208" t="s">
        <v>4660</v>
      </c>
      <c r="C5610" s="208" t="s">
        <v>27</v>
      </c>
      <c r="D5610" s="211">
        <v>-6000611.4798250003</v>
      </c>
      <c r="E5610" s="212">
        <v>45505</v>
      </c>
      <c r="F5610" s="671" t="s">
        <v>130</v>
      </c>
      <c r="G5610" s="671" t="s">
        <v>257</v>
      </c>
      <c r="H5610" s="208" t="s">
        <v>1175</v>
      </c>
      <c r="I5610" s="208"/>
      <c r="J5610" s="209"/>
      <c r="K5610" s="209"/>
      <c r="L5610" s="209"/>
      <c r="M5610" s="209"/>
      <c r="N5610" s="209"/>
      <c r="O5610" s="209"/>
      <c r="P5610" s="209"/>
      <c r="Q5610" s="209"/>
      <c r="R5610" s="209"/>
      <c r="S5610" s="209"/>
      <c r="T5610" s="209"/>
    </row>
    <row r="5611" spans="1:20" ht="15" hidden="1" customHeight="1">
      <c r="A5611" s="468">
        <v>45533</v>
      </c>
      <c r="B5611" s="208" t="s">
        <v>4661</v>
      </c>
      <c r="C5611" s="208" t="s">
        <v>27</v>
      </c>
      <c r="D5611" s="211">
        <v>-685500</v>
      </c>
      <c r="E5611" s="212">
        <v>45505</v>
      </c>
      <c r="F5611" s="201" t="s">
        <v>110</v>
      </c>
      <c r="G5611" s="201" t="s">
        <v>1489</v>
      </c>
      <c r="H5611" s="208" t="s">
        <v>147</v>
      </c>
      <c r="I5611" s="208"/>
      <c r="J5611" s="209"/>
      <c r="K5611" s="209"/>
      <c r="L5611" s="209"/>
      <c r="M5611" s="209"/>
      <c r="N5611" s="209"/>
      <c r="O5611" s="209"/>
      <c r="P5611" s="209"/>
      <c r="Q5611" s="209"/>
      <c r="R5611" s="209"/>
      <c r="S5611" s="209"/>
      <c r="T5611" s="209"/>
    </row>
    <row r="5612" spans="1:20" ht="15" hidden="1" customHeight="1">
      <c r="A5612" s="468">
        <v>45533</v>
      </c>
      <c r="B5612" s="208" t="s">
        <v>4662</v>
      </c>
      <c r="C5612" s="208" t="s">
        <v>27</v>
      </c>
      <c r="D5612" s="718">
        <v>-685500</v>
      </c>
      <c r="E5612" s="212">
        <v>45505</v>
      </c>
      <c r="F5612" s="671" t="s">
        <v>109</v>
      </c>
      <c r="G5612" s="201" t="s">
        <v>581</v>
      </c>
      <c r="H5612" s="208" t="s">
        <v>147</v>
      </c>
      <c r="I5612" s="208"/>
      <c r="J5612" s="209"/>
      <c r="K5612" s="209"/>
      <c r="L5612" s="209"/>
      <c r="M5612" s="209"/>
      <c r="N5612" s="209"/>
      <c r="O5612" s="209"/>
      <c r="P5612" s="209"/>
      <c r="Q5612" s="209"/>
      <c r="R5612" s="209"/>
      <c r="S5612" s="209"/>
      <c r="T5612" s="209"/>
    </row>
    <row r="5613" spans="1:20" ht="15" hidden="1" customHeight="1">
      <c r="A5613" s="468">
        <v>45533</v>
      </c>
      <c r="B5613" s="208" t="s">
        <v>4663</v>
      </c>
      <c r="C5613" s="208" t="s">
        <v>27</v>
      </c>
      <c r="D5613" s="211">
        <v>-679000</v>
      </c>
      <c r="E5613" s="212">
        <v>45505</v>
      </c>
      <c r="F5613" s="671" t="s">
        <v>109</v>
      </c>
      <c r="G5613" s="208" t="s">
        <v>3529</v>
      </c>
      <c r="H5613" s="208" t="s">
        <v>147</v>
      </c>
      <c r="I5613" s="208"/>
      <c r="J5613" s="209"/>
      <c r="K5613" s="209"/>
      <c r="L5613" s="209"/>
      <c r="M5613" s="209"/>
      <c r="N5613" s="209"/>
      <c r="O5613" s="209"/>
      <c r="P5613" s="209"/>
      <c r="Q5613" s="209"/>
      <c r="R5613" s="209"/>
      <c r="S5613" s="209"/>
      <c r="T5613" s="209"/>
    </row>
    <row r="5614" spans="1:20" ht="15" hidden="1" customHeight="1">
      <c r="A5614" s="468">
        <v>45533</v>
      </c>
      <c r="B5614" s="208" t="s">
        <v>4664</v>
      </c>
      <c r="C5614" s="208" t="s">
        <v>27</v>
      </c>
      <c r="D5614" s="211">
        <v>-679000</v>
      </c>
      <c r="E5614" s="212">
        <v>45505</v>
      </c>
      <c r="F5614" s="671" t="s">
        <v>207</v>
      </c>
      <c r="G5614" s="671"/>
      <c r="H5614" s="208"/>
      <c r="I5614" s="208"/>
      <c r="J5614" s="209"/>
      <c r="K5614" s="209"/>
      <c r="L5614" s="209"/>
      <c r="M5614" s="209"/>
      <c r="N5614" s="209"/>
      <c r="O5614" s="209"/>
      <c r="P5614" s="209"/>
      <c r="Q5614" s="209"/>
      <c r="R5614" s="209"/>
      <c r="S5614" s="209"/>
      <c r="T5614" s="209"/>
    </row>
    <row r="5615" spans="1:20" ht="15" hidden="1" customHeight="1">
      <c r="A5615" s="468">
        <v>45533</v>
      </c>
      <c r="B5615" s="208" t="s">
        <v>4665</v>
      </c>
      <c r="C5615" s="208" t="s">
        <v>27</v>
      </c>
      <c r="D5615" s="211">
        <v>-1258600</v>
      </c>
      <c r="E5615" s="212">
        <v>45505</v>
      </c>
      <c r="F5615" s="671" t="s">
        <v>207</v>
      </c>
      <c r="G5615" s="671"/>
      <c r="H5615" s="208"/>
      <c r="I5615" s="208"/>
      <c r="J5615" s="209"/>
      <c r="K5615" s="209"/>
      <c r="L5615" s="209"/>
      <c r="M5615" s="209"/>
      <c r="N5615" s="209"/>
      <c r="O5615" s="209"/>
      <c r="P5615" s="209"/>
      <c r="Q5615" s="209"/>
      <c r="R5615" s="209"/>
      <c r="S5615" s="209"/>
      <c r="T5615" s="209"/>
    </row>
    <row r="5616" spans="1:20" ht="15" hidden="1" customHeight="1">
      <c r="A5616" s="468">
        <v>45533</v>
      </c>
      <c r="B5616" s="208" t="s">
        <v>4666</v>
      </c>
      <c r="C5616" s="208" t="s">
        <v>27</v>
      </c>
      <c r="D5616" s="211">
        <v>-734200</v>
      </c>
      <c r="E5616" s="212">
        <v>45505</v>
      </c>
      <c r="F5616" s="201" t="s">
        <v>110</v>
      </c>
      <c r="G5616" s="201" t="s">
        <v>1489</v>
      </c>
      <c r="H5616" s="208" t="s">
        <v>147</v>
      </c>
      <c r="I5616" s="208"/>
      <c r="J5616" s="209"/>
      <c r="K5616" s="209"/>
      <c r="L5616" s="209"/>
      <c r="M5616" s="209"/>
      <c r="N5616" s="209"/>
      <c r="O5616" s="209"/>
      <c r="P5616" s="209"/>
      <c r="Q5616" s="209"/>
      <c r="R5616" s="209"/>
      <c r="S5616" s="209"/>
      <c r="T5616" s="209"/>
    </row>
    <row r="5617" spans="1:20" ht="15" hidden="1" customHeight="1">
      <c r="A5617" s="468">
        <v>45533</v>
      </c>
      <c r="B5617" s="208" t="s">
        <v>4667</v>
      </c>
      <c r="C5617" s="208" t="s">
        <v>27</v>
      </c>
      <c r="D5617" s="211">
        <v>-2768000</v>
      </c>
      <c r="E5617" s="212">
        <v>45505</v>
      </c>
      <c r="F5617" s="671" t="s">
        <v>130</v>
      </c>
      <c r="G5617" s="671" t="s">
        <v>257</v>
      </c>
      <c r="H5617" s="208" t="s">
        <v>1175</v>
      </c>
      <c r="I5617" s="208"/>
      <c r="J5617" s="209"/>
      <c r="K5617" s="209"/>
      <c r="L5617" s="209"/>
      <c r="M5617" s="209"/>
      <c r="N5617" s="209"/>
      <c r="O5617" s="209"/>
      <c r="P5617" s="209"/>
      <c r="Q5617" s="209"/>
      <c r="R5617" s="209"/>
      <c r="S5617" s="209"/>
      <c r="T5617" s="209"/>
    </row>
    <row r="5618" spans="1:20" ht="15" hidden="1" customHeight="1">
      <c r="A5618" s="468">
        <v>45533</v>
      </c>
      <c r="B5618" s="208" t="s">
        <v>4668</v>
      </c>
      <c r="C5618" s="208" t="s">
        <v>27</v>
      </c>
      <c r="D5618" s="211">
        <v>-487500</v>
      </c>
      <c r="E5618" s="212">
        <v>45505</v>
      </c>
      <c r="F5618" s="671" t="s">
        <v>130</v>
      </c>
      <c r="G5618" s="671" t="s">
        <v>130</v>
      </c>
      <c r="H5618" s="208" t="s">
        <v>1175</v>
      </c>
      <c r="I5618" s="208"/>
      <c r="J5618" s="209"/>
      <c r="K5618" s="209"/>
      <c r="L5618" s="209"/>
      <c r="M5618" s="209"/>
      <c r="N5618" s="209"/>
      <c r="O5618" s="209"/>
      <c r="P5618" s="209"/>
      <c r="Q5618" s="209"/>
      <c r="R5618" s="209"/>
      <c r="S5618" s="209"/>
      <c r="T5618" s="209"/>
    </row>
    <row r="5619" spans="1:20" ht="15" hidden="1" customHeight="1">
      <c r="A5619" s="468">
        <v>45533</v>
      </c>
      <c r="B5619" s="208" t="s">
        <v>4669</v>
      </c>
      <c r="C5619" s="208" t="s">
        <v>27</v>
      </c>
      <c r="D5619" s="718">
        <v>-679000</v>
      </c>
      <c r="E5619" s="212">
        <v>45505</v>
      </c>
      <c r="F5619" s="671" t="s">
        <v>109</v>
      </c>
      <c r="G5619" s="201" t="s">
        <v>581</v>
      </c>
      <c r="H5619" s="208" t="s">
        <v>147</v>
      </c>
      <c r="I5619" s="208"/>
      <c r="J5619" s="209"/>
      <c r="K5619" s="209"/>
      <c r="L5619" s="209"/>
      <c r="M5619" s="209"/>
      <c r="N5619" s="209"/>
      <c r="O5619" s="209"/>
      <c r="P5619" s="209"/>
      <c r="Q5619" s="209"/>
      <c r="R5619" s="209"/>
      <c r="S5619" s="209"/>
      <c r="T5619" s="209"/>
    </row>
    <row r="5620" spans="1:20" ht="15" hidden="1" customHeight="1">
      <c r="A5620" s="468">
        <v>45533</v>
      </c>
      <c r="B5620" s="208" t="s">
        <v>4670</v>
      </c>
      <c r="C5620" s="208" t="s">
        <v>27</v>
      </c>
      <c r="D5620" s="718">
        <v>-1038260</v>
      </c>
      <c r="E5620" s="212">
        <v>45505</v>
      </c>
      <c r="F5620" s="671" t="s">
        <v>109</v>
      </c>
      <c r="G5620" s="201" t="s">
        <v>581</v>
      </c>
      <c r="H5620" s="208" t="s">
        <v>147</v>
      </c>
      <c r="I5620" s="208"/>
      <c r="J5620" s="209"/>
      <c r="K5620" s="209"/>
      <c r="L5620" s="209"/>
      <c r="M5620" s="209"/>
      <c r="N5620" s="209"/>
      <c r="O5620" s="209"/>
      <c r="P5620" s="209"/>
      <c r="Q5620" s="209"/>
      <c r="R5620" s="209"/>
      <c r="S5620" s="209"/>
      <c r="T5620" s="209"/>
    </row>
    <row r="5621" spans="1:20" ht="15" hidden="1" customHeight="1">
      <c r="A5621" s="468">
        <v>45533</v>
      </c>
      <c r="B5621" s="208" t="s">
        <v>4671</v>
      </c>
      <c r="C5621" s="208" t="s">
        <v>27</v>
      </c>
      <c r="D5621" s="211">
        <v>-687333</v>
      </c>
      <c r="E5621" s="212">
        <v>45505</v>
      </c>
      <c r="F5621" s="671" t="s">
        <v>109</v>
      </c>
      <c r="G5621" s="208" t="s">
        <v>3529</v>
      </c>
      <c r="H5621" s="208" t="s">
        <v>508</v>
      </c>
      <c r="I5621" s="208"/>
      <c r="J5621" s="209"/>
      <c r="K5621" s="209"/>
      <c r="L5621" s="209"/>
      <c r="M5621" s="209"/>
      <c r="N5621" s="209"/>
      <c r="O5621" s="209"/>
      <c r="P5621" s="209"/>
      <c r="Q5621" s="209"/>
      <c r="R5621" s="209"/>
      <c r="S5621" s="209"/>
      <c r="T5621" s="209"/>
    </row>
    <row r="5622" spans="1:20" ht="15" hidden="1" customHeight="1">
      <c r="A5622" s="468">
        <v>45533</v>
      </c>
      <c r="B5622" s="208" t="s">
        <v>4671</v>
      </c>
      <c r="C5622" s="208" t="s">
        <v>27</v>
      </c>
      <c r="D5622" s="211">
        <v>-687333</v>
      </c>
      <c r="E5622" s="212">
        <v>45505</v>
      </c>
      <c r="F5622" s="201" t="s">
        <v>110</v>
      </c>
      <c r="G5622" s="201" t="s">
        <v>1489</v>
      </c>
      <c r="H5622" s="208" t="s">
        <v>508</v>
      </c>
      <c r="I5622" s="208"/>
      <c r="J5622" s="209"/>
      <c r="K5622" s="209"/>
      <c r="L5622" s="209"/>
      <c r="M5622" s="209"/>
      <c r="N5622" s="209"/>
      <c r="O5622" s="209"/>
      <c r="P5622" s="209"/>
      <c r="Q5622" s="209"/>
      <c r="R5622" s="209"/>
      <c r="S5622" s="209"/>
      <c r="T5622" s="209"/>
    </row>
    <row r="5623" spans="1:20" ht="15" hidden="1" customHeight="1">
      <c r="A5623" s="468">
        <v>45533</v>
      </c>
      <c r="B5623" s="208" t="s">
        <v>4671</v>
      </c>
      <c r="C5623" s="208" t="s">
        <v>27</v>
      </c>
      <c r="D5623" s="211">
        <v>-687334</v>
      </c>
      <c r="E5623" s="212">
        <v>45505</v>
      </c>
      <c r="F5623" s="671" t="s">
        <v>109</v>
      </c>
      <c r="G5623" s="654" t="s">
        <v>2585</v>
      </c>
      <c r="H5623" s="208" t="s">
        <v>508</v>
      </c>
      <c r="I5623" s="208"/>
      <c r="J5623" s="209"/>
      <c r="K5623" s="209"/>
      <c r="L5623" s="209"/>
      <c r="M5623" s="209"/>
      <c r="N5623" s="209"/>
      <c r="O5623" s="209"/>
      <c r="P5623" s="209"/>
      <c r="Q5623" s="209"/>
      <c r="R5623" s="209"/>
      <c r="S5623" s="209"/>
      <c r="T5623" s="209"/>
    </row>
    <row r="5624" spans="1:20" ht="15" hidden="1" customHeight="1">
      <c r="A5624" s="468">
        <v>45533</v>
      </c>
      <c r="B5624" s="208" t="s">
        <v>4672</v>
      </c>
      <c r="C5624" s="208" t="s">
        <v>27</v>
      </c>
      <c r="D5624" s="211">
        <v>-1228700</v>
      </c>
      <c r="E5624" s="212">
        <v>45505</v>
      </c>
      <c r="F5624" s="671" t="s">
        <v>109</v>
      </c>
      <c r="G5624" s="208" t="s">
        <v>3529</v>
      </c>
      <c r="H5624" s="208" t="s">
        <v>147</v>
      </c>
      <c r="I5624" s="208"/>
      <c r="J5624" s="209"/>
      <c r="K5624" s="209"/>
      <c r="L5624" s="209"/>
      <c r="M5624" s="209"/>
      <c r="N5624" s="209"/>
      <c r="O5624" s="209"/>
      <c r="P5624" s="209"/>
      <c r="Q5624" s="209"/>
      <c r="R5624" s="209"/>
      <c r="S5624" s="209"/>
      <c r="T5624" s="209"/>
    </row>
    <row r="5625" spans="1:20" ht="15" hidden="1" customHeight="1">
      <c r="A5625" s="468">
        <v>45533</v>
      </c>
      <c r="B5625" s="208" t="s">
        <v>4673</v>
      </c>
      <c r="C5625" s="208" t="s">
        <v>27</v>
      </c>
      <c r="D5625" s="718">
        <v>-679000</v>
      </c>
      <c r="E5625" s="212">
        <v>45505</v>
      </c>
      <c r="F5625" s="671" t="s">
        <v>109</v>
      </c>
      <c r="G5625" s="201" t="s">
        <v>581</v>
      </c>
      <c r="H5625" s="208" t="s">
        <v>147</v>
      </c>
      <c r="I5625" s="208"/>
      <c r="J5625" s="209"/>
      <c r="K5625" s="209"/>
      <c r="L5625" s="209"/>
      <c r="M5625" s="209"/>
      <c r="N5625" s="209"/>
      <c r="O5625" s="209"/>
      <c r="P5625" s="209"/>
      <c r="Q5625" s="209"/>
      <c r="R5625" s="209"/>
      <c r="S5625" s="209"/>
      <c r="T5625" s="209"/>
    </row>
    <row r="5626" spans="1:20" ht="15" hidden="1" customHeight="1">
      <c r="A5626" s="468">
        <v>45533</v>
      </c>
      <c r="B5626" s="208" t="s">
        <v>4674</v>
      </c>
      <c r="C5626" s="208" t="s">
        <v>27</v>
      </c>
      <c r="D5626" s="718">
        <v>-679000</v>
      </c>
      <c r="E5626" s="212">
        <v>45505</v>
      </c>
      <c r="F5626" s="671" t="s">
        <v>109</v>
      </c>
      <c r="G5626" s="201" t="s">
        <v>581</v>
      </c>
      <c r="H5626" s="208" t="s">
        <v>147</v>
      </c>
      <c r="I5626" s="208"/>
      <c r="J5626" s="209"/>
      <c r="K5626" s="209"/>
      <c r="L5626" s="209"/>
      <c r="M5626" s="209"/>
      <c r="N5626" s="209"/>
      <c r="O5626" s="209"/>
      <c r="P5626" s="209"/>
      <c r="Q5626" s="209"/>
      <c r="R5626" s="209"/>
      <c r="S5626" s="209"/>
      <c r="T5626" s="209"/>
    </row>
    <row r="5627" spans="1:20" ht="15" hidden="1" customHeight="1">
      <c r="A5627" s="468">
        <v>45533</v>
      </c>
      <c r="B5627" s="208" t="s">
        <v>4675</v>
      </c>
      <c r="C5627" s="208" t="s">
        <v>27</v>
      </c>
      <c r="D5627" s="718">
        <v>-685500</v>
      </c>
      <c r="E5627" s="212">
        <v>45505</v>
      </c>
      <c r="F5627" s="671" t="s">
        <v>109</v>
      </c>
      <c r="G5627" s="201" t="s">
        <v>581</v>
      </c>
      <c r="H5627" s="208" t="s">
        <v>147</v>
      </c>
      <c r="I5627" s="208"/>
      <c r="J5627" s="209"/>
      <c r="K5627" s="209"/>
      <c r="L5627" s="209"/>
      <c r="M5627" s="209"/>
      <c r="N5627" s="209"/>
      <c r="O5627" s="209"/>
      <c r="P5627" s="209"/>
      <c r="Q5627" s="209"/>
      <c r="R5627" s="209"/>
      <c r="S5627" s="209"/>
      <c r="T5627" s="209"/>
    </row>
    <row r="5628" spans="1:20" ht="15" hidden="1" customHeight="1">
      <c r="A5628" s="468">
        <v>45533</v>
      </c>
      <c r="B5628" s="208" t="s">
        <v>4676</v>
      </c>
      <c r="C5628" s="208" t="s">
        <v>27</v>
      </c>
      <c r="D5628" s="718">
        <v>-452666.66666666669</v>
      </c>
      <c r="E5628" s="212">
        <v>45505</v>
      </c>
      <c r="F5628" s="671" t="s">
        <v>109</v>
      </c>
      <c r="G5628" s="201" t="s">
        <v>581</v>
      </c>
      <c r="H5628" s="208" t="s">
        <v>147</v>
      </c>
      <c r="I5628" s="208"/>
      <c r="J5628" s="209"/>
      <c r="K5628" s="209"/>
      <c r="L5628" s="209"/>
      <c r="M5628" s="209"/>
      <c r="N5628" s="209"/>
      <c r="O5628" s="209"/>
      <c r="P5628" s="209"/>
      <c r="Q5628" s="209"/>
      <c r="R5628" s="209"/>
      <c r="S5628" s="209"/>
      <c r="T5628" s="209"/>
    </row>
    <row r="5629" spans="1:20" ht="15" hidden="1" customHeight="1">
      <c r="A5629" s="468">
        <v>45533</v>
      </c>
      <c r="B5629" s="208" t="s">
        <v>4677</v>
      </c>
      <c r="C5629" s="208" t="s">
        <v>27</v>
      </c>
      <c r="D5629" s="718">
        <v>-452666.66666666669</v>
      </c>
      <c r="E5629" s="212">
        <v>45505</v>
      </c>
      <c r="F5629" s="671" t="s">
        <v>109</v>
      </c>
      <c r="G5629" s="201" t="s">
        <v>581</v>
      </c>
      <c r="H5629" s="208" t="s">
        <v>147</v>
      </c>
      <c r="I5629" s="208"/>
      <c r="J5629" s="209"/>
      <c r="K5629" s="209"/>
      <c r="L5629" s="209"/>
      <c r="M5629" s="209"/>
      <c r="N5629" s="209"/>
      <c r="O5629" s="209"/>
      <c r="P5629" s="209"/>
      <c r="Q5629" s="209"/>
      <c r="R5629" s="209"/>
      <c r="S5629" s="209"/>
      <c r="T5629" s="209"/>
    </row>
    <row r="5630" spans="1:20" ht="15" hidden="1" customHeight="1">
      <c r="A5630" s="468">
        <v>45533</v>
      </c>
      <c r="B5630" s="208" t="s">
        <v>4678</v>
      </c>
      <c r="C5630" s="208" t="s">
        <v>27</v>
      </c>
      <c r="D5630" s="718">
        <v>-679000</v>
      </c>
      <c r="E5630" s="212">
        <v>45505</v>
      </c>
      <c r="F5630" s="671" t="s">
        <v>109</v>
      </c>
      <c r="G5630" s="201" t="s">
        <v>581</v>
      </c>
      <c r="H5630" s="208" t="s">
        <v>147</v>
      </c>
      <c r="I5630" s="208"/>
      <c r="J5630" s="209"/>
      <c r="K5630" s="209"/>
      <c r="L5630" s="209"/>
      <c r="M5630" s="209"/>
      <c r="N5630" s="209"/>
      <c r="O5630" s="209"/>
      <c r="P5630" s="209"/>
      <c r="Q5630" s="209"/>
      <c r="R5630" s="209"/>
      <c r="S5630" s="209"/>
      <c r="T5630" s="209"/>
    </row>
    <row r="5631" spans="1:20" ht="15" hidden="1" customHeight="1">
      <c r="A5631" s="468">
        <v>45533</v>
      </c>
      <c r="B5631" s="208" t="s">
        <v>4679</v>
      </c>
      <c r="C5631" s="208" t="s">
        <v>27</v>
      </c>
      <c r="D5631" s="718">
        <v>-679000</v>
      </c>
      <c r="E5631" s="212">
        <v>45505</v>
      </c>
      <c r="F5631" s="671" t="s">
        <v>109</v>
      </c>
      <c r="G5631" s="201" t="s">
        <v>581</v>
      </c>
      <c r="H5631" s="208" t="s">
        <v>147</v>
      </c>
      <c r="I5631" s="208"/>
      <c r="J5631" s="209"/>
      <c r="K5631" s="209"/>
      <c r="L5631" s="209"/>
      <c r="M5631" s="209"/>
      <c r="N5631" s="209"/>
      <c r="O5631" s="209"/>
      <c r="P5631" s="209"/>
      <c r="Q5631" s="209"/>
      <c r="R5631" s="209"/>
      <c r="S5631" s="209"/>
      <c r="T5631" s="209"/>
    </row>
    <row r="5632" spans="1:20" ht="15" hidden="1" customHeight="1">
      <c r="A5632" s="468">
        <v>45533</v>
      </c>
      <c r="B5632" s="208" t="s">
        <v>4680</v>
      </c>
      <c r="C5632" s="208" t="s">
        <v>27</v>
      </c>
      <c r="D5632" s="718">
        <v>-679000</v>
      </c>
      <c r="E5632" s="212">
        <v>45505</v>
      </c>
      <c r="F5632" s="671" t="s">
        <v>109</v>
      </c>
      <c r="G5632" s="201" t="s">
        <v>581</v>
      </c>
      <c r="H5632" s="208" t="s">
        <v>147</v>
      </c>
      <c r="I5632" s="208"/>
      <c r="J5632" s="209"/>
      <c r="K5632" s="209"/>
      <c r="L5632" s="209"/>
      <c r="M5632" s="209"/>
      <c r="N5632" s="209"/>
      <c r="O5632" s="209"/>
      <c r="P5632" s="209"/>
      <c r="Q5632" s="209"/>
      <c r="R5632" s="209"/>
      <c r="S5632" s="209"/>
      <c r="T5632" s="209"/>
    </row>
    <row r="5633" spans="1:20" ht="15" hidden="1" customHeight="1">
      <c r="A5633" s="468">
        <v>45533</v>
      </c>
      <c r="B5633" s="208" t="s">
        <v>4681</v>
      </c>
      <c r="C5633" s="208" t="s">
        <v>27</v>
      </c>
      <c r="D5633" s="211">
        <v>-679000</v>
      </c>
      <c r="E5633" s="212">
        <v>45505</v>
      </c>
      <c r="F5633" s="671" t="s">
        <v>109</v>
      </c>
      <c r="G5633" s="654" t="s">
        <v>2585</v>
      </c>
      <c r="H5633" s="208" t="s">
        <v>147</v>
      </c>
      <c r="I5633" s="208"/>
      <c r="J5633" s="209"/>
      <c r="K5633" s="209"/>
      <c r="L5633" s="209"/>
      <c r="M5633" s="209"/>
      <c r="N5633" s="209"/>
      <c r="O5633" s="209"/>
      <c r="P5633" s="209"/>
      <c r="Q5633" s="209"/>
      <c r="R5633" s="209"/>
      <c r="S5633" s="209"/>
      <c r="T5633" s="209"/>
    </row>
    <row r="5634" spans="1:20" ht="15" hidden="1" customHeight="1">
      <c r="A5634" s="468">
        <v>45533</v>
      </c>
      <c r="B5634" s="208" t="s">
        <v>4682</v>
      </c>
      <c r="C5634" s="208" t="s">
        <v>27</v>
      </c>
      <c r="D5634" s="211">
        <v>-715400</v>
      </c>
      <c r="E5634" s="212">
        <v>45505</v>
      </c>
      <c r="F5634" s="671" t="s">
        <v>207</v>
      </c>
      <c r="G5634" s="671"/>
      <c r="H5634" s="208"/>
      <c r="I5634" s="208"/>
      <c r="J5634" s="209"/>
      <c r="K5634" s="209"/>
      <c r="L5634" s="209"/>
      <c r="M5634" s="209"/>
      <c r="N5634" s="209"/>
      <c r="O5634" s="209"/>
      <c r="P5634" s="209"/>
      <c r="Q5634" s="209"/>
      <c r="R5634" s="209"/>
      <c r="S5634" s="209"/>
      <c r="T5634" s="209"/>
    </row>
    <row r="5635" spans="1:20" ht="15" hidden="1" customHeight="1">
      <c r="A5635" s="468">
        <v>45533</v>
      </c>
      <c r="B5635" s="208" t="s">
        <v>4683</v>
      </c>
      <c r="C5635" s="208" t="s">
        <v>27</v>
      </c>
      <c r="D5635" s="718">
        <v>-679000</v>
      </c>
      <c r="E5635" s="212">
        <v>45505</v>
      </c>
      <c r="F5635" s="671" t="s">
        <v>109</v>
      </c>
      <c r="G5635" s="201" t="s">
        <v>581</v>
      </c>
      <c r="H5635" s="208" t="s">
        <v>147</v>
      </c>
      <c r="I5635" s="208"/>
      <c r="J5635" s="209"/>
      <c r="K5635" s="209"/>
      <c r="L5635" s="209"/>
      <c r="M5635" s="209"/>
      <c r="N5635" s="209"/>
      <c r="O5635" s="209"/>
      <c r="P5635" s="209"/>
      <c r="Q5635" s="209"/>
      <c r="R5635" s="209"/>
      <c r="S5635" s="209"/>
      <c r="T5635" s="209"/>
    </row>
    <row r="5636" spans="1:20" ht="15" hidden="1" customHeight="1">
      <c r="A5636" s="468">
        <v>45533</v>
      </c>
      <c r="B5636" s="208" t="s">
        <v>4684</v>
      </c>
      <c r="C5636" s="208" t="s">
        <v>27</v>
      </c>
      <c r="D5636" s="211">
        <v>-679000</v>
      </c>
      <c r="E5636" s="212">
        <v>45505</v>
      </c>
      <c r="F5636" s="201" t="s">
        <v>110</v>
      </c>
      <c r="G5636" s="201" t="s">
        <v>1489</v>
      </c>
      <c r="H5636" s="208" t="s">
        <v>147</v>
      </c>
      <c r="I5636" s="208"/>
      <c r="J5636" s="209"/>
      <c r="K5636" s="209"/>
      <c r="L5636" s="209"/>
      <c r="M5636" s="209"/>
      <c r="N5636" s="209"/>
      <c r="O5636" s="209"/>
      <c r="P5636" s="209"/>
      <c r="Q5636" s="209"/>
      <c r="R5636" s="209"/>
      <c r="S5636" s="209"/>
      <c r="T5636" s="209"/>
    </row>
    <row r="5637" spans="1:20" ht="15" hidden="1" customHeight="1">
      <c r="A5637" s="468">
        <v>45533</v>
      </c>
      <c r="B5637" s="208" t="s">
        <v>4685</v>
      </c>
      <c r="C5637" s="208" t="s">
        <v>27</v>
      </c>
      <c r="D5637" s="211">
        <v>-679000</v>
      </c>
      <c r="E5637" s="212">
        <v>45505</v>
      </c>
      <c r="F5637" s="671" t="s">
        <v>207</v>
      </c>
      <c r="G5637" s="671"/>
      <c r="H5637" s="208"/>
      <c r="I5637" s="208"/>
      <c r="J5637" s="209"/>
      <c r="K5637" s="209"/>
      <c r="L5637" s="209"/>
      <c r="M5637" s="209"/>
      <c r="N5637" s="209"/>
      <c r="O5637" s="209"/>
      <c r="P5637" s="209"/>
      <c r="Q5637" s="209"/>
      <c r="R5637" s="209"/>
      <c r="S5637" s="209"/>
      <c r="T5637" s="209"/>
    </row>
    <row r="5638" spans="1:20" ht="15" hidden="1" customHeight="1">
      <c r="A5638" s="468">
        <v>45533</v>
      </c>
      <c r="B5638" s="208" t="s">
        <v>4686</v>
      </c>
      <c r="C5638" s="208" t="s">
        <v>27</v>
      </c>
      <c r="D5638" s="211">
        <v>-3036000</v>
      </c>
      <c r="E5638" s="212">
        <v>45505</v>
      </c>
      <c r="F5638" s="201" t="s">
        <v>110</v>
      </c>
      <c r="G5638" s="671" t="s">
        <v>3245</v>
      </c>
      <c r="H5638" s="208" t="s">
        <v>508</v>
      </c>
      <c r="I5638" s="208"/>
      <c r="J5638" s="209"/>
      <c r="K5638" s="209"/>
      <c r="L5638" s="209"/>
      <c r="M5638" s="209"/>
      <c r="N5638" s="209"/>
      <c r="O5638" s="209"/>
      <c r="P5638" s="209"/>
      <c r="Q5638" s="209"/>
      <c r="R5638" s="209"/>
      <c r="S5638" s="209"/>
      <c r="T5638" s="209"/>
    </row>
    <row r="5639" spans="1:20" ht="15" hidden="1" customHeight="1">
      <c r="A5639" s="468">
        <v>45533</v>
      </c>
      <c r="B5639" s="208" t="s">
        <v>4687</v>
      </c>
      <c r="C5639" s="208" t="s">
        <v>27</v>
      </c>
      <c r="D5639" s="211">
        <v>-309666</v>
      </c>
      <c r="E5639" s="212">
        <v>45505</v>
      </c>
      <c r="F5639" s="671" t="s">
        <v>109</v>
      </c>
      <c r="G5639" s="208" t="s">
        <v>3529</v>
      </c>
      <c r="H5639" s="208" t="s">
        <v>508</v>
      </c>
      <c r="I5639" s="208"/>
      <c r="J5639" s="209"/>
      <c r="K5639" s="209"/>
      <c r="L5639" s="209"/>
      <c r="M5639" s="209"/>
      <c r="N5639" s="209"/>
      <c r="O5639" s="209"/>
      <c r="P5639" s="209"/>
      <c r="Q5639" s="209"/>
      <c r="R5639" s="209"/>
      <c r="S5639" s="209"/>
      <c r="T5639" s="209"/>
    </row>
    <row r="5640" spans="1:20" ht="15" hidden="1" customHeight="1">
      <c r="A5640" s="468">
        <v>45533</v>
      </c>
      <c r="B5640" s="208" t="s">
        <v>4687</v>
      </c>
      <c r="C5640" s="208" t="s">
        <v>27</v>
      </c>
      <c r="D5640" s="211">
        <v>-309666</v>
      </c>
      <c r="E5640" s="212">
        <v>45505</v>
      </c>
      <c r="F5640" s="201" t="s">
        <v>110</v>
      </c>
      <c r="G5640" s="201" t="s">
        <v>1489</v>
      </c>
      <c r="H5640" s="208" t="s">
        <v>508</v>
      </c>
      <c r="I5640" s="208"/>
      <c r="J5640" s="209"/>
      <c r="K5640" s="209"/>
      <c r="L5640" s="209"/>
      <c r="M5640" s="209"/>
      <c r="N5640" s="209"/>
      <c r="O5640" s="209"/>
      <c r="P5640" s="209"/>
      <c r="Q5640" s="209"/>
      <c r="R5640" s="209"/>
      <c r="S5640" s="209"/>
      <c r="T5640" s="209"/>
    </row>
    <row r="5641" spans="1:20" ht="15" hidden="1" customHeight="1">
      <c r="A5641" s="468">
        <v>45533</v>
      </c>
      <c r="B5641" s="208" t="s">
        <v>4687</v>
      </c>
      <c r="C5641" s="208" t="s">
        <v>27</v>
      </c>
      <c r="D5641" s="211">
        <v>-309667</v>
      </c>
      <c r="E5641" s="212">
        <v>45505</v>
      </c>
      <c r="F5641" s="671" t="s">
        <v>109</v>
      </c>
      <c r="G5641" s="654" t="s">
        <v>2585</v>
      </c>
      <c r="H5641" s="208" t="s">
        <v>508</v>
      </c>
      <c r="I5641" s="208"/>
      <c r="J5641" s="209"/>
      <c r="K5641" s="209"/>
      <c r="L5641" s="209"/>
      <c r="M5641" s="209"/>
      <c r="N5641" s="209"/>
      <c r="O5641" s="209"/>
      <c r="P5641" s="209"/>
      <c r="Q5641" s="209"/>
      <c r="R5641" s="209"/>
      <c r="S5641" s="209"/>
      <c r="T5641" s="209"/>
    </row>
    <row r="5642" spans="1:20" ht="15" hidden="1" customHeight="1">
      <c r="A5642" s="468">
        <v>45533</v>
      </c>
      <c r="B5642" s="208" t="s">
        <v>4688</v>
      </c>
      <c r="C5642" s="208" t="s">
        <v>27</v>
      </c>
      <c r="D5642" s="211">
        <v>-2462000</v>
      </c>
      <c r="E5642" s="212">
        <v>45505</v>
      </c>
      <c r="F5642" s="671" t="s">
        <v>109</v>
      </c>
      <c r="G5642" s="671" t="s">
        <v>2809</v>
      </c>
      <c r="H5642" s="208" t="s">
        <v>1175</v>
      </c>
      <c r="I5642" s="208"/>
      <c r="J5642" s="209"/>
      <c r="K5642" s="209"/>
      <c r="L5642" s="209"/>
      <c r="M5642" s="209"/>
      <c r="N5642" s="209"/>
      <c r="O5642" s="209"/>
      <c r="P5642" s="209"/>
      <c r="Q5642" s="209"/>
      <c r="R5642" s="209"/>
      <c r="S5642" s="209"/>
      <c r="T5642" s="209"/>
    </row>
    <row r="5643" spans="1:20" ht="15" hidden="1" customHeight="1">
      <c r="A5643" s="468">
        <v>45533</v>
      </c>
      <c r="B5643" s="208" t="s">
        <v>4689</v>
      </c>
      <c r="C5643" s="208" t="s">
        <v>27</v>
      </c>
      <c r="D5643" s="718">
        <v>-2462000</v>
      </c>
      <c r="E5643" s="212">
        <v>45505</v>
      </c>
      <c r="F5643" s="671" t="s">
        <v>109</v>
      </c>
      <c r="G5643" s="201" t="s">
        <v>581</v>
      </c>
      <c r="H5643" s="208" t="s">
        <v>508</v>
      </c>
      <c r="I5643" s="208"/>
      <c r="J5643" s="209"/>
      <c r="K5643" s="209"/>
      <c r="L5643" s="209"/>
      <c r="M5643" s="209"/>
      <c r="N5643" s="209"/>
      <c r="O5643" s="209"/>
      <c r="P5643" s="209"/>
      <c r="Q5643" s="209"/>
      <c r="R5643" s="209"/>
      <c r="S5643" s="209"/>
      <c r="T5643" s="209"/>
    </row>
    <row r="5644" spans="1:20" ht="15" hidden="1" customHeight="1">
      <c r="A5644" s="468">
        <v>45533</v>
      </c>
      <c r="B5644" s="208" t="s">
        <v>4690</v>
      </c>
      <c r="C5644" s="208" t="s">
        <v>27</v>
      </c>
      <c r="D5644" s="211">
        <v>-3036000</v>
      </c>
      <c r="E5644" s="212">
        <v>45505</v>
      </c>
      <c r="F5644" s="671" t="s">
        <v>109</v>
      </c>
      <c r="G5644" s="671" t="s">
        <v>2809</v>
      </c>
      <c r="H5644" s="208" t="s">
        <v>1175</v>
      </c>
      <c r="I5644" s="208"/>
      <c r="J5644" s="209"/>
      <c r="K5644" s="209"/>
      <c r="L5644" s="209"/>
      <c r="M5644" s="209"/>
      <c r="N5644" s="209"/>
      <c r="O5644" s="209"/>
      <c r="P5644" s="209"/>
      <c r="Q5644" s="209"/>
      <c r="R5644" s="209"/>
      <c r="S5644" s="209"/>
      <c r="T5644" s="209"/>
    </row>
    <row r="5645" spans="1:20" ht="15" hidden="1" customHeight="1">
      <c r="A5645" s="468">
        <v>45533</v>
      </c>
      <c r="B5645" s="208" t="s">
        <v>4691</v>
      </c>
      <c r="C5645" s="208" t="s">
        <v>27</v>
      </c>
      <c r="D5645" s="211">
        <v>-2462000</v>
      </c>
      <c r="E5645" s="212">
        <v>45505</v>
      </c>
      <c r="F5645" s="671" t="s">
        <v>109</v>
      </c>
      <c r="G5645" s="208" t="s">
        <v>3529</v>
      </c>
      <c r="H5645" s="208" t="s">
        <v>508</v>
      </c>
      <c r="I5645" s="208"/>
      <c r="J5645" s="209"/>
      <c r="K5645" s="209"/>
      <c r="L5645" s="209"/>
      <c r="M5645" s="209"/>
      <c r="N5645" s="209"/>
      <c r="O5645" s="209"/>
      <c r="P5645" s="209"/>
      <c r="Q5645" s="209"/>
      <c r="R5645" s="209"/>
      <c r="S5645" s="209"/>
      <c r="T5645" s="209"/>
    </row>
    <row r="5646" spans="1:20" ht="15" hidden="1" customHeight="1">
      <c r="A5646" s="468">
        <v>45533</v>
      </c>
      <c r="B5646" s="208" t="s">
        <v>4692</v>
      </c>
      <c r="C5646" s="208" t="s">
        <v>27</v>
      </c>
      <c r="D5646" s="718">
        <v>-685500</v>
      </c>
      <c r="E5646" s="212">
        <v>45505</v>
      </c>
      <c r="F5646" s="671" t="s">
        <v>109</v>
      </c>
      <c r="G5646" s="201" t="s">
        <v>581</v>
      </c>
      <c r="H5646" s="208" t="s">
        <v>147</v>
      </c>
      <c r="I5646" s="208"/>
      <c r="J5646" s="209"/>
      <c r="K5646" s="209"/>
      <c r="L5646" s="209"/>
      <c r="M5646" s="209"/>
      <c r="N5646" s="209"/>
      <c r="O5646" s="209"/>
      <c r="P5646" s="209"/>
      <c r="Q5646" s="209"/>
      <c r="R5646" s="209"/>
      <c r="S5646" s="209"/>
      <c r="T5646" s="209"/>
    </row>
    <row r="5647" spans="1:20" ht="15" hidden="1" customHeight="1">
      <c r="A5647" s="468">
        <v>45533</v>
      </c>
      <c r="B5647" s="208" t="s">
        <v>4693</v>
      </c>
      <c r="C5647" s="208" t="s">
        <v>27</v>
      </c>
      <c r="D5647" s="718">
        <v>-685500</v>
      </c>
      <c r="E5647" s="212">
        <v>45505</v>
      </c>
      <c r="F5647" s="671" t="s">
        <v>109</v>
      </c>
      <c r="G5647" s="201" t="s">
        <v>581</v>
      </c>
      <c r="H5647" s="208" t="s">
        <v>147</v>
      </c>
      <c r="I5647" s="208"/>
      <c r="J5647" s="209"/>
      <c r="K5647" s="209"/>
      <c r="L5647" s="209"/>
      <c r="M5647" s="209"/>
      <c r="N5647" s="209"/>
      <c r="O5647" s="209"/>
      <c r="P5647" s="209"/>
      <c r="Q5647" s="209"/>
      <c r="R5647" s="209"/>
      <c r="S5647" s="209"/>
      <c r="T5647" s="209"/>
    </row>
    <row r="5648" spans="1:20" ht="15" hidden="1" customHeight="1">
      <c r="A5648" s="468">
        <v>45533</v>
      </c>
      <c r="B5648" s="208" t="s">
        <v>4694</v>
      </c>
      <c r="C5648" s="208" t="s">
        <v>27</v>
      </c>
      <c r="D5648" s="718">
        <v>-685500</v>
      </c>
      <c r="E5648" s="212">
        <v>45505</v>
      </c>
      <c r="F5648" s="671" t="s">
        <v>109</v>
      </c>
      <c r="G5648" s="201" t="s">
        <v>581</v>
      </c>
      <c r="H5648" s="208" t="s">
        <v>147</v>
      </c>
      <c r="I5648" s="208"/>
      <c r="J5648" s="209"/>
      <c r="K5648" s="209"/>
      <c r="L5648" s="209"/>
      <c r="M5648" s="209"/>
      <c r="N5648" s="209"/>
      <c r="O5648" s="209"/>
      <c r="P5648" s="209"/>
      <c r="Q5648" s="209"/>
      <c r="R5648" s="209"/>
      <c r="S5648" s="209"/>
      <c r="T5648" s="209"/>
    </row>
    <row r="5649" spans="1:20" ht="15" hidden="1" customHeight="1">
      <c r="A5649" s="468">
        <v>45533</v>
      </c>
      <c r="B5649" s="208" t="s">
        <v>4695</v>
      </c>
      <c r="C5649" s="208" t="s">
        <v>27</v>
      </c>
      <c r="D5649" s="718">
        <v>-685500</v>
      </c>
      <c r="E5649" s="212">
        <v>45505</v>
      </c>
      <c r="F5649" s="671" t="s">
        <v>109</v>
      </c>
      <c r="G5649" s="201" t="s">
        <v>581</v>
      </c>
      <c r="H5649" s="208" t="s">
        <v>147</v>
      </c>
      <c r="I5649" s="208"/>
      <c r="J5649" s="209"/>
      <c r="K5649" s="209"/>
      <c r="L5649" s="209"/>
      <c r="M5649" s="209"/>
      <c r="N5649" s="209"/>
      <c r="O5649" s="209"/>
      <c r="P5649" s="209"/>
      <c r="Q5649" s="209"/>
      <c r="R5649" s="209"/>
      <c r="S5649" s="209"/>
      <c r="T5649" s="209"/>
    </row>
    <row r="5650" spans="1:20" ht="15" hidden="1" customHeight="1">
      <c r="A5650" s="468">
        <v>45533</v>
      </c>
      <c r="B5650" s="208" t="s">
        <v>4696</v>
      </c>
      <c r="C5650" s="208" t="s">
        <v>27</v>
      </c>
      <c r="D5650" s="211">
        <v>-650000</v>
      </c>
      <c r="E5650" s="212">
        <v>45505</v>
      </c>
      <c r="F5650" s="671" t="s">
        <v>130</v>
      </c>
      <c r="G5650" s="671" t="s">
        <v>130</v>
      </c>
      <c r="H5650" s="208" t="s">
        <v>1175</v>
      </c>
      <c r="I5650" s="208"/>
      <c r="J5650" s="209"/>
      <c r="K5650" s="209"/>
      <c r="L5650" s="209"/>
      <c r="M5650" s="209"/>
      <c r="N5650" s="209"/>
      <c r="O5650" s="209"/>
      <c r="P5650" s="209"/>
      <c r="Q5650" s="209"/>
      <c r="R5650" s="209"/>
      <c r="S5650" s="209"/>
      <c r="T5650" s="209"/>
    </row>
    <row r="5651" spans="1:20" ht="15" hidden="1" customHeight="1">
      <c r="A5651" s="468">
        <v>45533</v>
      </c>
      <c r="B5651" s="208" t="s">
        <v>4697</v>
      </c>
      <c r="C5651" s="208" t="s">
        <v>27</v>
      </c>
      <c r="D5651" s="211">
        <v>-5404596.0133333337</v>
      </c>
      <c r="E5651" s="212">
        <v>45505</v>
      </c>
      <c r="F5651" s="671" t="s">
        <v>130</v>
      </c>
      <c r="G5651" s="671" t="s">
        <v>257</v>
      </c>
      <c r="H5651" s="208" t="s">
        <v>1175</v>
      </c>
      <c r="I5651" s="208"/>
      <c r="J5651" s="209"/>
      <c r="K5651" s="209"/>
      <c r="L5651" s="209"/>
      <c r="M5651" s="209"/>
      <c r="N5651" s="209"/>
      <c r="O5651" s="209"/>
      <c r="P5651" s="209"/>
      <c r="Q5651" s="209"/>
      <c r="R5651" s="209"/>
      <c r="S5651" s="209"/>
      <c r="T5651" s="209"/>
    </row>
    <row r="5652" spans="1:20" ht="15" hidden="1" customHeight="1">
      <c r="A5652" s="468">
        <v>45533</v>
      </c>
      <c r="B5652" s="208" t="s">
        <v>4698</v>
      </c>
      <c r="C5652" s="208" t="s">
        <v>27</v>
      </c>
      <c r="D5652" s="211">
        <v>-2160000</v>
      </c>
      <c r="E5652" s="212">
        <v>45505</v>
      </c>
      <c r="F5652" s="671" t="s">
        <v>130</v>
      </c>
      <c r="G5652" s="671" t="s">
        <v>130</v>
      </c>
      <c r="H5652" s="208" t="s">
        <v>1175</v>
      </c>
      <c r="I5652" s="208"/>
      <c r="J5652" s="209"/>
      <c r="K5652" s="209"/>
      <c r="L5652" s="209"/>
      <c r="M5652" s="209"/>
      <c r="N5652" s="209"/>
      <c r="O5652" s="209"/>
      <c r="P5652" s="209"/>
      <c r="Q5652" s="209"/>
      <c r="R5652" s="209"/>
      <c r="S5652" s="209"/>
      <c r="T5652" s="209"/>
    </row>
    <row r="5653" spans="1:20" ht="15" hidden="1" customHeight="1">
      <c r="A5653" s="468">
        <v>45533</v>
      </c>
      <c r="B5653" s="208" t="s">
        <v>4699</v>
      </c>
      <c r="C5653" s="208" t="s">
        <v>27</v>
      </c>
      <c r="D5653" s="211">
        <v>-1238733.3333333333</v>
      </c>
      <c r="E5653" s="212">
        <v>45505</v>
      </c>
      <c r="F5653" s="671" t="s">
        <v>130</v>
      </c>
      <c r="G5653" s="671" t="s">
        <v>257</v>
      </c>
      <c r="H5653" s="208" t="s">
        <v>1175</v>
      </c>
      <c r="I5653" s="208"/>
      <c r="J5653" s="209"/>
      <c r="K5653" s="209"/>
      <c r="L5653" s="209"/>
      <c r="M5653" s="209"/>
      <c r="N5653" s="209"/>
      <c r="O5653" s="209"/>
      <c r="P5653" s="209"/>
      <c r="Q5653" s="209"/>
      <c r="R5653" s="209"/>
      <c r="S5653" s="209"/>
      <c r="T5653" s="209"/>
    </row>
    <row r="5654" spans="1:20" ht="15" hidden="1" customHeight="1">
      <c r="A5654" s="468">
        <v>45533</v>
      </c>
      <c r="B5654" s="208" t="s">
        <v>4700</v>
      </c>
      <c r="C5654" s="208" t="s">
        <v>27</v>
      </c>
      <c r="D5654" s="718">
        <v>-181066.66666666669</v>
      </c>
      <c r="E5654" s="212">
        <v>45505</v>
      </c>
      <c r="F5654" s="671" t="s">
        <v>109</v>
      </c>
      <c r="G5654" s="201" t="s">
        <v>581</v>
      </c>
      <c r="H5654" s="208" t="s">
        <v>147</v>
      </c>
      <c r="I5654" s="208"/>
      <c r="J5654" s="209"/>
      <c r="K5654" s="209"/>
      <c r="L5654" s="209"/>
      <c r="M5654" s="209"/>
      <c r="N5654" s="209"/>
      <c r="O5654" s="209"/>
      <c r="P5654" s="209"/>
      <c r="Q5654" s="209"/>
      <c r="R5654" s="209"/>
      <c r="S5654" s="209"/>
      <c r="T5654" s="209"/>
    </row>
    <row r="5655" spans="1:20" ht="15" hidden="1" customHeight="1">
      <c r="A5655" s="468">
        <v>45533</v>
      </c>
      <c r="B5655" s="208" t="s">
        <v>4701</v>
      </c>
      <c r="C5655" s="208" t="s">
        <v>27</v>
      </c>
      <c r="D5655" s="718">
        <v>-181066.66666666669</v>
      </c>
      <c r="E5655" s="212">
        <v>45505</v>
      </c>
      <c r="F5655" s="671" t="s">
        <v>109</v>
      </c>
      <c r="G5655" s="201" t="s">
        <v>581</v>
      </c>
      <c r="H5655" s="208" t="s">
        <v>147</v>
      </c>
      <c r="I5655" s="208"/>
      <c r="J5655" s="209"/>
      <c r="K5655" s="209"/>
      <c r="L5655" s="209"/>
      <c r="M5655" s="209"/>
      <c r="N5655" s="209"/>
      <c r="O5655" s="209"/>
      <c r="P5655" s="209"/>
      <c r="Q5655" s="209"/>
      <c r="R5655" s="209"/>
      <c r="S5655" s="209"/>
      <c r="T5655" s="209"/>
    </row>
    <row r="5656" spans="1:20" ht="15" hidden="1" customHeight="1">
      <c r="A5656" s="468">
        <v>45533</v>
      </c>
      <c r="B5656" s="208" t="s">
        <v>4702</v>
      </c>
      <c r="C5656" s="208" t="s">
        <v>27</v>
      </c>
      <c r="D5656" s="718">
        <v>-181066.66666666669</v>
      </c>
      <c r="E5656" s="212">
        <v>45505</v>
      </c>
      <c r="F5656" s="671" t="s">
        <v>109</v>
      </c>
      <c r="G5656" s="201" t="s">
        <v>581</v>
      </c>
      <c r="H5656" s="208" t="s">
        <v>147</v>
      </c>
      <c r="I5656" s="208"/>
      <c r="J5656" s="209"/>
      <c r="K5656" s="209"/>
      <c r="L5656" s="209"/>
      <c r="M5656" s="209"/>
      <c r="N5656" s="209"/>
      <c r="O5656" s="209"/>
      <c r="P5656" s="209"/>
      <c r="Q5656" s="209"/>
      <c r="R5656" s="209"/>
      <c r="S5656" s="209"/>
      <c r="T5656" s="209"/>
    </row>
    <row r="5657" spans="1:20" ht="15" hidden="1" customHeight="1">
      <c r="A5657" s="468">
        <v>45533</v>
      </c>
      <c r="B5657" s="208" t="s">
        <v>4703</v>
      </c>
      <c r="C5657" s="208" t="s">
        <v>27</v>
      </c>
      <c r="D5657" s="718">
        <v>-181066.66666666669</v>
      </c>
      <c r="E5657" s="212">
        <v>45505</v>
      </c>
      <c r="F5657" s="671" t="s">
        <v>109</v>
      </c>
      <c r="G5657" s="201" t="s">
        <v>581</v>
      </c>
      <c r="H5657" s="208" t="s">
        <v>147</v>
      </c>
      <c r="I5657" s="208"/>
      <c r="J5657" s="209"/>
      <c r="K5657" s="209"/>
      <c r="L5657" s="209"/>
      <c r="M5657" s="209"/>
      <c r="N5657" s="209"/>
      <c r="O5657" s="209"/>
      <c r="P5657" s="209"/>
      <c r="Q5657" s="209"/>
      <c r="R5657" s="209"/>
      <c r="S5657" s="209"/>
      <c r="T5657" s="209"/>
    </row>
    <row r="5658" spans="1:20" ht="15" hidden="1" customHeight="1">
      <c r="A5658" s="468">
        <v>45533</v>
      </c>
      <c r="B5658" s="208" t="s">
        <v>4704</v>
      </c>
      <c r="C5658" s="208" t="s">
        <v>27</v>
      </c>
      <c r="D5658" s="718">
        <v>-181066.66666666669</v>
      </c>
      <c r="E5658" s="212">
        <v>45505</v>
      </c>
      <c r="F5658" s="671" t="s">
        <v>109</v>
      </c>
      <c r="G5658" s="201" t="s">
        <v>581</v>
      </c>
      <c r="H5658" s="208" t="s">
        <v>147</v>
      </c>
      <c r="I5658" s="208"/>
      <c r="J5658" s="209"/>
      <c r="K5658" s="209"/>
      <c r="L5658" s="209"/>
      <c r="M5658" s="209"/>
      <c r="N5658" s="209"/>
      <c r="O5658" s="209"/>
      <c r="P5658" s="209"/>
      <c r="Q5658" s="209"/>
      <c r="R5658" s="209"/>
      <c r="S5658" s="209"/>
      <c r="T5658" s="209"/>
    </row>
    <row r="5659" spans="1:20" ht="15" hidden="1" customHeight="1">
      <c r="A5659" s="468">
        <v>45533</v>
      </c>
      <c r="B5659" s="208" t="s">
        <v>4705</v>
      </c>
      <c r="C5659" s="208" t="s">
        <v>27</v>
      </c>
      <c r="D5659" s="718">
        <v>-181066.66666666669</v>
      </c>
      <c r="E5659" s="212">
        <v>45505</v>
      </c>
      <c r="F5659" s="671" t="s">
        <v>109</v>
      </c>
      <c r="G5659" s="201" t="s">
        <v>581</v>
      </c>
      <c r="H5659" s="208" t="s">
        <v>147</v>
      </c>
      <c r="I5659" s="208"/>
      <c r="J5659" s="209"/>
      <c r="K5659" s="209"/>
      <c r="L5659" s="209"/>
      <c r="M5659" s="209"/>
      <c r="N5659" s="209"/>
      <c r="O5659" s="209"/>
      <c r="P5659" s="209"/>
      <c r="Q5659" s="209"/>
      <c r="R5659" s="209"/>
      <c r="S5659" s="209"/>
      <c r="T5659" s="209"/>
    </row>
    <row r="5660" spans="1:20" ht="15" hidden="1" customHeight="1">
      <c r="A5660" s="468">
        <v>45533</v>
      </c>
      <c r="B5660" s="208" t="s">
        <v>4706</v>
      </c>
      <c r="C5660" s="208" t="s">
        <v>27</v>
      </c>
      <c r="D5660" s="718">
        <v>-679000</v>
      </c>
      <c r="E5660" s="212">
        <v>45505</v>
      </c>
      <c r="F5660" s="671" t="s">
        <v>109</v>
      </c>
      <c r="G5660" s="201" t="s">
        <v>581</v>
      </c>
      <c r="H5660" s="208" t="s">
        <v>147</v>
      </c>
      <c r="I5660" s="208"/>
      <c r="J5660" s="209"/>
      <c r="K5660" s="209"/>
      <c r="L5660" s="209"/>
      <c r="M5660" s="209"/>
      <c r="N5660" s="209"/>
      <c r="O5660" s="209"/>
      <c r="P5660" s="209"/>
      <c r="Q5660" s="209"/>
      <c r="R5660" s="209"/>
      <c r="S5660" s="209"/>
      <c r="T5660" s="209"/>
    </row>
    <row r="5661" spans="1:20" ht="15" hidden="1" customHeight="1">
      <c r="A5661" s="468">
        <v>45533</v>
      </c>
      <c r="B5661" s="208" t="s">
        <v>4707</v>
      </c>
      <c r="C5661" s="208" t="s">
        <v>27</v>
      </c>
      <c r="D5661" s="211">
        <v>-257000</v>
      </c>
      <c r="E5661" s="212">
        <v>45505</v>
      </c>
      <c r="F5661" s="671" t="s">
        <v>109</v>
      </c>
      <c r="G5661" s="208" t="s">
        <v>3529</v>
      </c>
      <c r="H5661" s="208" t="s">
        <v>147</v>
      </c>
      <c r="I5661" s="208"/>
      <c r="J5661" s="209"/>
      <c r="K5661" s="209"/>
      <c r="L5661" s="209"/>
      <c r="M5661" s="209"/>
      <c r="N5661" s="209"/>
      <c r="O5661" s="209"/>
      <c r="P5661" s="209"/>
      <c r="Q5661" s="209"/>
      <c r="R5661" s="209"/>
      <c r="S5661" s="209"/>
      <c r="T5661" s="209"/>
    </row>
    <row r="5662" spans="1:20" ht="15" hidden="1" customHeight="1">
      <c r="A5662" s="468">
        <v>45533</v>
      </c>
      <c r="B5662" s="208" t="s">
        <v>4707</v>
      </c>
      <c r="C5662" s="208" t="s">
        <v>27</v>
      </c>
      <c r="D5662" s="211">
        <v>-257000</v>
      </c>
      <c r="E5662" s="212">
        <v>45505</v>
      </c>
      <c r="F5662" s="201" t="s">
        <v>110</v>
      </c>
      <c r="G5662" s="201" t="s">
        <v>1489</v>
      </c>
      <c r="H5662" s="208" t="s">
        <v>147</v>
      </c>
      <c r="I5662" s="208"/>
      <c r="J5662" s="209"/>
      <c r="K5662" s="209"/>
      <c r="L5662" s="209"/>
      <c r="M5662" s="209"/>
      <c r="N5662" s="209"/>
      <c r="O5662" s="209"/>
      <c r="P5662" s="209"/>
      <c r="Q5662" s="209"/>
      <c r="R5662" s="209"/>
      <c r="S5662" s="209"/>
      <c r="T5662" s="209"/>
    </row>
    <row r="5663" spans="1:20" ht="15" hidden="1" customHeight="1">
      <c r="A5663" s="468">
        <v>45533</v>
      </c>
      <c r="B5663" s="208" t="s">
        <v>4707</v>
      </c>
      <c r="C5663" s="208" t="s">
        <v>27</v>
      </c>
      <c r="D5663" s="211">
        <v>-257000</v>
      </c>
      <c r="E5663" s="212">
        <v>45505</v>
      </c>
      <c r="F5663" s="671" t="s">
        <v>109</v>
      </c>
      <c r="G5663" s="654" t="s">
        <v>2585</v>
      </c>
      <c r="H5663" s="208" t="s">
        <v>147</v>
      </c>
      <c r="I5663" s="208"/>
      <c r="J5663" s="209"/>
      <c r="K5663" s="209"/>
      <c r="L5663" s="209"/>
      <c r="M5663" s="209"/>
      <c r="N5663" s="209"/>
      <c r="O5663" s="209"/>
      <c r="P5663" s="209"/>
      <c r="Q5663" s="209"/>
      <c r="R5663" s="209"/>
      <c r="S5663" s="209"/>
      <c r="T5663" s="209"/>
    </row>
    <row r="5664" spans="1:20" ht="15" hidden="1" customHeight="1">
      <c r="A5664" s="468">
        <v>45533</v>
      </c>
      <c r="B5664" s="208" t="s">
        <v>4708</v>
      </c>
      <c r="C5664" s="208" t="s">
        <v>3331</v>
      </c>
      <c r="D5664" s="211">
        <v>-9007200</v>
      </c>
      <c r="E5664" s="212">
        <v>45505</v>
      </c>
      <c r="F5664" s="208" t="s">
        <v>109</v>
      </c>
      <c r="G5664" s="208" t="s">
        <v>2809</v>
      </c>
      <c r="H5664" s="208" t="s">
        <v>4187</v>
      </c>
      <c r="I5664" s="208"/>
      <c r="J5664" s="209"/>
      <c r="K5664" s="209"/>
      <c r="L5664" s="209"/>
      <c r="M5664" s="209"/>
      <c r="N5664" s="209"/>
      <c r="O5664" s="209"/>
      <c r="P5664" s="209"/>
      <c r="Q5664" s="209"/>
      <c r="R5664" s="209"/>
      <c r="S5664" s="209"/>
      <c r="T5664" s="209"/>
    </row>
    <row r="5665" spans="1:20" ht="15" hidden="1" customHeight="1">
      <c r="A5665" s="468">
        <v>45533</v>
      </c>
      <c r="B5665" s="208" t="s">
        <v>4709</v>
      </c>
      <c r="C5665" s="208" t="s">
        <v>3331</v>
      </c>
      <c r="D5665" s="211">
        <v>-6372000</v>
      </c>
      <c r="E5665" s="212">
        <v>45505</v>
      </c>
      <c r="F5665" s="208" t="s">
        <v>109</v>
      </c>
      <c r="G5665" s="201" t="s">
        <v>581</v>
      </c>
      <c r="H5665" s="208"/>
      <c r="I5665" s="208"/>
      <c r="J5665" s="209"/>
      <c r="K5665" s="209"/>
      <c r="L5665" s="209"/>
      <c r="M5665" s="209"/>
      <c r="N5665" s="209"/>
      <c r="O5665" s="209"/>
      <c r="P5665" s="209"/>
      <c r="Q5665" s="209"/>
      <c r="R5665" s="209"/>
      <c r="S5665" s="209"/>
      <c r="T5665" s="209"/>
    </row>
    <row r="5666" spans="1:20" ht="15" hidden="1" customHeight="1">
      <c r="A5666" s="468">
        <v>45533</v>
      </c>
      <c r="B5666" s="208" t="s">
        <v>4710</v>
      </c>
      <c r="C5666" s="208" t="s">
        <v>3331</v>
      </c>
      <c r="D5666" s="211">
        <v>-3034800</v>
      </c>
      <c r="E5666" s="212">
        <v>45505</v>
      </c>
      <c r="F5666" s="208" t="s">
        <v>109</v>
      </c>
      <c r="G5666" s="208" t="s">
        <v>2809</v>
      </c>
      <c r="H5666" s="208" t="s">
        <v>4187</v>
      </c>
      <c r="I5666" s="208"/>
      <c r="J5666" s="209"/>
      <c r="K5666" s="209"/>
      <c r="L5666" s="209"/>
      <c r="M5666" s="209"/>
      <c r="N5666" s="209"/>
      <c r="O5666" s="209"/>
      <c r="P5666" s="209"/>
      <c r="Q5666" s="209"/>
      <c r="R5666" s="209"/>
      <c r="S5666" s="209"/>
      <c r="T5666" s="209"/>
    </row>
    <row r="5667" spans="1:20" ht="15" hidden="1" customHeight="1">
      <c r="A5667" s="468">
        <v>45533</v>
      </c>
      <c r="B5667" s="208" t="s">
        <v>4710</v>
      </c>
      <c r="C5667" s="208" t="s">
        <v>3331</v>
      </c>
      <c r="D5667" s="211">
        <v>-3034800</v>
      </c>
      <c r="E5667" s="212">
        <v>45505</v>
      </c>
      <c r="F5667" s="208" t="s">
        <v>109</v>
      </c>
      <c r="G5667" s="208" t="s">
        <v>4625</v>
      </c>
      <c r="H5667" s="208" t="s">
        <v>4711</v>
      </c>
      <c r="I5667" s="208"/>
      <c r="J5667" s="209"/>
      <c r="K5667" s="209"/>
      <c r="L5667" s="209"/>
      <c r="M5667" s="209"/>
      <c r="N5667" s="209"/>
      <c r="O5667" s="209"/>
      <c r="P5667" s="209"/>
      <c r="Q5667" s="209"/>
      <c r="R5667" s="209"/>
      <c r="S5667" s="209"/>
      <c r="T5667" s="209"/>
    </row>
    <row r="5668" spans="1:20" ht="15" hidden="1" customHeight="1">
      <c r="A5668" s="468">
        <v>45533</v>
      </c>
      <c r="B5668" s="208" t="s">
        <v>4710</v>
      </c>
      <c r="C5668" s="208" t="s">
        <v>3331</v>
      </c>
      <c r="D5668" s="211">
        <v>-3034800</v>
      </c>
      <c r="E5668" s="212">
        <v>45505</v>
      </c>
      <c r="F5668" s="208" t="s">
        <v>109</v>
      </c>
      <c r="G5668" s="208" t="s">
        <v>10</v>
      </c>
      <c r="H5668" s="208" t="s">
        <v>4711</v>
      </c>
      <c r="I5668" s="208"/>
      <c r="J5668" s="209"/>
      <c r="K5668" s="209"/>
      <c r="L5668" s="209"/>
      <c r="M5668" s="209"/>
      <c r="N5668" s="209"/>
      <c r="O5668" s="209"/>
      <c r="P5668" s="209"/>
      <c r="Q5668" s="209"/>
      <c r="R5668" s="209"/>
      <c r="S5668" s="209"/>
      <c r="T5668" s="209"/>
    </row>
    <row r="5669" spans="1:20" ht="15" hidden="1" customHeight="1">
      <c r="A5669" s="468">
        <v>45533</v>
      </c>
      <c r="B5669" s="208" t="s">
        <v>4712</v>
      </c>
      <c r="C5669" s="208" t="s">
        <v>3331</v>
      </c>
      <c r="D5669" s="211">
        <v>-831600</v>
      </c>
      <c r="E5669" s="212">
        <v>45505</v>
      </c>
      <c r="F5669" s="208" t="s">
        <v>109</v>
      </c>
      <c r="G5669" s="201" t="s">
        <v>581</v>
      </c>
      <c r="H5669" s="208" t="s">
        <v>138</v>
      </c>
      <c r="I5669" s="208"/>
      <c r="J5669" s="209"/>
      <c r="K5669" s="209"/>
      <c r="L5669" s="209"/>
      <c r="M5669" s="209"/>
      <c r="N5669" s="209"/>
      <c r="O5669" s="209"/>
      <c r="P5669" s="209"/>
      <c r="Q5669" s="209"/>
      <c r="R5669" s="209"/>
      <c r="S5669" s="209"/>
      <c r="T5669" s="209"/>
    </row>
    <row r="5670" spans="1:20" ht="15" hidden="1" customHeight="1">
      <c r="A5670" s="468">
        <v>45533</v>
      </c>
      <c r="B5670" s="208" t="s">
        <v>4713</v>
      </c>
      <c r="C5670" s="208" t="s">
        <v>3331</v>
      </c>
      <c r="D5670" s="211">
        <v>-3080453</v>
      </c>
      <c r="E5670" s="212">
        <v>45505</v>
      </c>
      <c r="F5670" s="208" t="s">
        <v>110</v>
      </c>
      <c r="G5670" s="208" t="s">
        <v>4399</v>
      </c>
      <c r="H5670" s="208" t="s">
        <v>212</v>
      </c>
      <c r="I5670" s="208"/>
      <c r="J5670" s="209"/>
      <c r="K5670" s="209"/>
      <c r="L5670" s="209"/>
      <c r="M5670" s="209"/>
      <c r="N5670" s="209"/>
      <c r="O5670" s="209"/>
      <c r="P5670" s="209"/>
      <c r="Q5670" s="209"/>
      <c r="R5670" s="209"/>
      <c r="S5670" s="209"/>
      <c r="T5670" s="209"/>
    </row>
    <row r="5671" spans="1:20" ht="15" hidden="1" customHeight="1">
      <c r="A5671" s="468">
        <v>45533</v>
      </c>
      <c r="B5671" s="208" t="s">
        <v>4714</v>
      </c>
      <c r="C5671" s="208" t="s">
        <v>3331</v>
      </c>
      <c r="D5671" s="211">
        <v>-820052</v>
      </c>
      <c r="E5671" s="212">
        <v>45505</v>
      </c>
      <c r="F5671" s="201" t="s">
        <v>110</v>
      </c>
      <c r="G5671" s="208" t="s">
        <v>2444</v>
      </c>
      <c r="H5671" s="208"/>
      <c r="I5671" s="208"/>
      <c r="J5671" s="209"/>
      <c r="K5671" s="209"/>
      <c r="L5671" s="209"/>
      <c r="M5671" s="209"/>
      <c r="N5671" s="209"/>
      <c r="O5671" s="209"/>
      <c r="P5671" s="209"/>
      <c r="Q5671" s="209"/>
      <c r="R5671" s="209"/>
      <c r="S5671" s="209"/>
      <c r="T5671" s="209"/>
    </row>
    <row r="5672" spans="1:20" ht="15" hidden="1" customHeight="1">
      <c r="A5672" s="468">
        <v>45533</v>
      </c>
      <c r="B5672" s="208" t="s">
        <v>4715</v>
      </c>
      <c r="C5672" s="208" t="s">
        <v>3331</v>
      </c>
      <c r="D5672" s="211">
        <v>-108161</v>
      </c>
      <c r="E5672" s="212">
        <v>45505</v>
      </c>
      <c r="F5672" s="201" t="s">
        <v>110</v>
      </c>
      <c r="G5672" s="208" t="s">
        <v>3245</v>
      </c>
      <c r="H5672" s="208" t="s">
        <v>508</v>
      </c>
      <c r="I5672" s="208"/>
      <c r="J5672" s="209"/>
      <c r="K5672" s="209"/>
      <c r="L5672" s="209"/>
      <c r="M5672" s="209"/>
      <c r="N5672" s="209"/>
      <c r="O5672" s="209"/>
      <c r="P5672" s="209"/>
      <c r="Q5672" s="209"/>
      <c r="R5672" s="209"/>
      <c r="S5672" s="209"/>
      <c r="T5672" s="209"/>
    </row>
    <row r="5673" spans="1:20" ht="15" hidden="1" customHeight="1">
      <c r="A5673" s="468">
        <v>45533</v>
      </c>
      <c r="B5673" s="208" t="s">
        <v>4621</v>
      </c>
      <c r="C5673" s="208" t="s">
        <v>3331</v>
      </c>
      <c r="D5673" s="211">
        <v>-200000</v>
      </c>
      <c r="E5673" s="212">
        <v>45505</v>
      </c>
      <c r="F5673" s="208" t="s">
        <v>110</v>
      </c>
      <c r="G5673" s="208" t="s">
        <v>4399</v>
      </c>
      <c r="H5673" s="208" t="s">
        <v>175</v>
      </c>
      <c r="I5673" s="208"/>
      <c r="J5673" s="209"/>
      <c r="K5673" s="209"/>
      <c r="L5673" s="209"/>
      <c r="M5673" s="209"/>
      <c r="N5673" s="209"/>
      <c r="O5673" s="209"/>
      <c r="P5673" s="209"/>
      <c r="Q5673" s="209"/>
      <c r="R5673" s="209"/>
      <c r="S5673" s="209"/>
      <c r="T5673" s="209"/>
    </row>
    <row r="5674" spans="1:20" ht="15" hidden="1" customHeight="1">
      <c r="A5674" s="468">
        <v>45533</v>
      </c>
      <c r="B5674" s="208" t="s">
        <v>4716</v>
      </c>
      <c r="C5674" s="208" t="s">
        <v>3331</v>
      </c>
      <c r="D5674" s="211">
        <v>-278600</v>
      </c>
      <c r="E5674" s="212">
        <v>45505</v>
      </c>
      <c r="F5674" s="201" t="s">
        <v>110</v>
      </c>
      <c r="G5674" s="208" t="s">
        <v>2444</v>
      </c>
      <c r="H5674" s="208"/>
      <c r="I5674" s="208"/>
      <c r="J5674" s="209"/>
      <c r="K5674" s="209"/>
      <c r="L5674" s="209"/>
      <c r="M5674" s="209"/>
      <c r="N5674" s="209"/>
      <c r="O5674" s="209"/>
      <c r="P5674" s="209"/>
      <c r="Q5674" s="209"/>
      <c r="R5674" s="209"/>
      <c r="S5674" s="209"/>
      <c r="T5674" s="209"/>
    </row>
    <row r="5675" spans="1:20" ht="15" hidden="1" customHeight="1">
      <c r="A5675" s="468">
        <v>45533</v>
      </c>
      <c r="B5675" s="208" t="s">
        <v>4717</v>
      </c>
      <c r="C5675" s="208" t="s">
        <v>3331</v>
      </c>
      <c r="D5675" s="211">
        <v>-490000</v>
      </c>
      <c r="E5675" s="212">
        <v>45505</v>
      </c>
      <c r="F5675" s="208" t="s">
        <v>109</v>
      </c>
      <c r="G5675" s="208" t="s">
        <v>2809</v>
      </c>
      <c r="H5675" s="208" t="s">
        <v>4187</v>
      </c>
      <c r="I5675" s="208"/>
      <c r="J5675" s="209"/>
      <c r="K5675" s="209"/>
      <c r="L5675" s="209"/>
      <c r="M5675" s="209"/>
      <c r="N5675" s="209"/>
      <c r="O5675" s="209"/>
      <c r="P5675" s="209"/>
      <c r="Q5675" s="209"/>
      <c r="R5675" s="209"/>
      <c r="S5675" s="209"/>
      <c r="T5675" s="209"/>
    </row>
    <row r="5676" spans="1:20" ht="15" hidden="1" customHeight="1">
      <c r="A5676" s="468">
        <v>45533</v>
      </c>
      <c r="B5676" s="208" t="s">
        <v>4718</v>
      </c>
      <c r="C5676" s="208" t="s">
        <v>3331</v>
      </c>
      <c r="D5676" s="211">
        <v>-5724000</v>
      </c>
      <c r="E5676" s="212">
        <v>45505</v>
      </c>
      <c r="F5676" s="201" t="s">
        <v>110</v>
      </c>
      <c r="G5676" s="208" t="s">
        <v>774</v>
      </c>
      <c r="H5676" s="208" t="s">
        <v>631</v>
      </c>
      <c r="I5676" s="208"/>
      <c r="J5676" s="209"/>
      <c r="K5676" s="209"/>
      <c r="L5676" s="209"/>
      <c r="M5676" s="209"/>
      <c r="N5676" s="209"/>
      <c r="O5676" s="209"/>
      <c r="P5676" s="209"/>
      <c r="Q5676" s="209"/>
      <c r="R5676" s="209"/>
      <c r="S5676" s="209"/>
      <c r="T5676" s="209"/>
    </row>
    <row r="5677" spans="1:20" ht="15" hidden="1" customHeight="1">
      <c r="A5677" s="468">
        <v>45533</v>
      </c>
      <c r="B5677" s="208" t="s">
        <v>3880</v>
      </c>
      <c r="C5677" s="208" t="s">
        <v>3331</v>
      </c>
      <c r="D5677" s="211">
        <v>-315336</v>
      </c>
      <c r="E5677" s="212">
        <v>45505</v>
      </c>
      <c r="F5677" s="201" t="s">
        <v>110</v>
      </c>
      <c r="G5677" s="81" t="s">
        <v>1621</v>
      </c>
      <c r="H5677" s="208" t="s">
        <v>585</v>
      </c>
      <c r="I5677" s="208"/>
      <c r="J5677" s="209"/>
      <c r="K5677" s="209"/>
      <c r="L5677" s="209"/>
      <c r="M5677" s="209"/>
      <c r="N5677" s="209"/>
      <c r="O5677" s="209"/>
      <c r="P5677" s="209"/>
      <c r="Q5677" s="209"/>
      <c r="R5677" s="209"/>
      <c r="S5677" s="209"/>
      <c r="T5677" s="209"/>
    </row>
    <row r="5678" spans="1:20" ht="15" hidden="1" customHeight="1">
      <c r="A5678" s="468">
        <v>45533</v>
      </c>
      <c r="B5678" s="208" t="s">
        <v>4719</v>
      </c>
      <c r="C5678" s="208" t="s">
        <v>3331</v>
      </c>
      <c r="D5678" s="211">
        <v>-125800</v>
      </c>
      <c r="E5678" s="212">
        <v>45505</v>
      </c>
      <c r="F5678" s="208" t="s">
        <v>130</v>
      </c>
      <c r="G5678" s="208" t="s">
        <v>130</v>
      </c>
      <c r="H5678" s="208" t="s">
        <v>3939</v>
      </c>
      <c r="I5678" s="208"/>
      <c r="J5678" s="209"/>
      <c r="K5678" s="209"/>
      <c r="L5678" s="209"/>
      <c r="M5678" s="209"/>
      <c r="N5678" s="209"/>
      <c r="O5678" s="209"/>
      <c r="P5678" s="209"/>
      <c r="Q5678" s="209"/>
      <c r="R5678" s="209"/>
      <c r="S5678" s="209"/>
      <c r="T5678" s="209"/>
    </row>
    <row r="5679" spans="1:20" ht="15" hidden="1" customHeight="1">
      <c r="A5679" s="468">
        <v>45533</v>
      </c>
      <c r="B5679" s="208" t="s">
        <v>4720</v>
      </c>
      <c r="C5679" s="208" t="s">
        <v>3331</v>
      </c>
      <c r="D5679" s="211">
        <v>-300000</v>
      </c>
      <c r="E5679" s="212">
        <v>45505</v>
      </c>
      <c r="F5679" s="208" t="s">
        <v>109</v>
      </c>
      <c r="G5679" s="201" t="s">
        <v>1306</v>
      </c>
      <c r="H5679" s="208" t="s">
        <v>421</v>
      </c>
      <c r="I5679" s="208"/>
      <c r="J5679" s="209"/>
      <c r="K5679" s="209"/>
      <c r="L5679" s="209"/>
      <c r="M5679" s="209"/>
      <c r="N5679" s="209"/>
      <c r="O5679" s="209"/>
      <c r="P5679" s="209"/>
      <c r="Q5679" s="209"/>
      <c r="R5679" s="209"/>
      <c r="S5679" s="209"/>
      <c r="T5679" s="209"/>
    </row>
    <row r="5680" spans="1:20" ht="15" hidden="1" customHeight="1">
      <c r="A5680" s="468">
        <v>45533</v>
      </c>
      <c r="B5680" s="208" t="s">
        <v>4721</v>
      </c>
      <c r="C5680" s="208" t="s">
        <v>3331</v>
      </c>
      <c r="D5680" s="211">
        <v>-2491060</v>
      </c>
      <c r="E5680" s="212">
        <v>45505</v>
      </c>
      <c r="F5680" s="671" t="s">
        <v>118</v>
      </c>
      <c r="G5680" s="635"/>
      <c r="H5680" s="208"/>
      <c r="I5680" s="208"/>
      <c r="J5680" s="209"/>
      <c r="K5680" s="209"/>
      <c r="L5680" s="209"/>
      <c r="M5680" s="209"/>
      <c r="N5680" s="209"/>
      <c r="O5680" s="209"/>
      <c r="P5680" s="209"/>
      <c r="Q5680" s="209"/>
      <c r="R5680" s="209"/>
      <c r="S5680" s="209"/>
      <c r="T5680" s="209"/>
    </row>
    <row r="5681" spans="1:20" ht="15" hidden="1" customHeight="1">
      <c r="A5681" s="468">
        <v>45534</v>
      </c>
      <c r="B5681" s="208" t="s">
        <v>4722</v>
      </c>
      <c r="C5681" s="208" t="s">
        <v>3331</v>
      </c>
      <c r="D5681" s="211">
        <v>-279287</v>
      </c>
      <c r="E5681" s="212">
        <v>45505</v>
      </c>
      <c r="F5681" s="671" t="s">
        <v>130</v>
      </c>
      <c r="G5681" s="671" t="s">
        <v>130</v>
      </c>
      <c r="H5681" s="208" t="s">
        <v>249</v>
      </c>
      <c r="I5681" s="208"/>
      <c r="J5681" s="209"/>
      <c r="K5681" s="209"/>
      <c r="L5681" s="209"/>
      <c r="M5681" s="209"/>
      <c r="N5681" s="209"/>
      <c r="O5681" s="209"/>
      <c r="P5681" s="209"/>
      <c r="Q5681" s="209"/>
      <c r="R5681" s="209"/>
      <c r="S5681" s="209"/>
      <c r="T5681" s="209"/>
    </row>
    <row r="5682" spans="1:20" ht="15" hidden="1" customHeight="1">
      <c r="A5682" s="468">
        <v>45534</v>
      </c>
      <c r="B5682" s="208" t="s">
        <v>4723</v>
      </c>
      <c r="C5682" s="208" t="s">
        <v>3331</v>
      </c>
      <c r="D5682" s="211">
        <v>-329900</v>
      </c>
      <c r="E5682" s="212">
        <v>45505</v>
      </c>
      <c r="F5682" s="671" t="s">
        <v>130</v>
      </c>
      <c r="G5682" s="671" t="s">
        <v>257</v>
      </c>
      <c r="H5682" s="208" t="s">
        <v>1032</v>
      </c>
      <c r="I5682" s="208"/>
      <c r="J5682" s="209"/>
      <c r="K5682" s="209"/>
      <c r="L5682" s="209"/>
      <c r="M5682" s="209"/>
      <c r="N5682" s="209"/>
      <c r="O5682" s="209"/>
      <c r="P5682" s="209"/>
      <c r="Q5682" s="209"/>
      <c r="R5682" s="209"/>
      <c r="S5682" s="209"/>
      <c r="T5682" s="209"/>
    </row>
    <row r="5683" spans="1:20" ht="15" hidden="1" customHeight="1">
      <c r="A5683" s="468">
        <v>45530</v>
      </c>
      <c r="B5683" s="208" t="s">
        <v>4724</v>
      </c>
      <c r="C5683" s="208" t="s">
        <v>3331</v>
      </c>
      <c r="D5683" s="211">
        <v>-33526486</v>
      </c>
      <c r="E5683" s="212">
        <v>45505</v>
      </c>
      <c r="F5683" s="201" t="s">
        <v>110</v>
      </c>
      <c r="G5683" s="671" t="s">
        <v>4725</v>
      </c>
      <c r="H5683" s="201" t="s">
        <v>363</v>
      </c>
      <c r="I5683" s="208"/>
      <c r="J5683" s="209"/>
      <c r="K5683" s="209"/>
      <c r="L5683" s="209"/>
      <c r="M5683" s="209"/>
      <c r="N5683" s="209"/>
      <c r="O5683" s="209"/>
      <c r="P5683" s="209"/>
      <c r="Q5683" s="209"/>
      <c r="R5683" s="209"/>
      <c r="S5683" s="209"/>
      <c r="T5683" s="209"/>
    </row>
    <row r="5684" spans="1:20" ht="15" hidden="1" customHeight="1">
      <c r="A5684" s="468">
        <v>45530</v>
      </c>
      <c r="B5684" s="208" t="s">
        <v>4726</v>
      </c>
      <c r="C5684" s="208" t="s">
        <v>3331</v>
      </c>
      <c r="D5684" s="211">
        <v>-2269700</v>
      </c>
      <c r="E5684" s="212">
        <v>45505</v>
      </c>
      <c r="F5684" s="201" t="s">
        <v>110</v>
      </c>
      <c r="G5684" s="671" t="s">
        <v>2444</v>
      </c>
      <c r="H5684" s="208"/>
      <c r="I5684" s="208"/>
      <c r="J5684" s="209"/>
      <c r="K5684" s="209"/>
      <c r="L5684" s="209"/>
      <c r="M5684" s="209"/>
      <c r="N5684" s="209"/>
      <c r="O5684" s="209"/>
      <c r="P5684" s="209"/>
      <c r="Q5684" s="209"/>
      <c r="R5684" s="209"/>
      <c r="S5684" s="209"/>
      <c r="T5684" s="209"/>
    </row>
    <row r="5685" spans="1:20" ht="15" hidden="1" customHeight="1">
      <c r="A5685" s="468">
        <v>45530</v>
      </c>
      <c r="B5685" s="208" t="s">
        <v>4727</v>
      </c>
      <c r="C5685" s="208" t="s">
        <v>3331</v>
      </c>
      <c r="D5685" s="211">
        <v>-135000</v>
      </c>
      <c r="E5685" s="212">
        <v>45505</v>
      </c>
      <c r="F5685" s="671" t="s">
        <v>207</v>
      </c>
      <c r="G5685" s="635"/>
      <c r="H5685" s="208"/>
      <c r="I5685" s="208"/>
      <c r="J5685" s="209"/>
      <c r="K5685" s="209"/>
      <c r="L5685" s="209"/>
      <c r="M5685" s="209"/>
      <c r="N5685" s="209"/>
      <c r="O5685" s="209"/>
      <c r="P5685" s="209"/>
      <c r="Q5685" s="209"/>
      <c r="R5685" s="209"/>
      <c r="S5685" s="209"/>
      <c r="T5685" s="209"/>
    </row>
    <row r="5686" spans="1:20" ht="15" hidden="1" customHeight="1">
      <c r="A5686" s="468">
        <v>45533</v>
      </c>
      <c r="B5686" s="208" t="s">
        <v>4728</v>
      </c>
      <c r="C5686" s="208" t="s">
        <v>3331</v>
      </c>
      <c r="D5686" s="211">
        <v>1613897</v>
      </c>
      <c r="E5686" s="212">
        <v>45505</v>
      </c>
      <c r="F5686" s="654" t="s">
        <v>108</v>
      </c>
      <c r="G5686" s="208"/>
      <c r="H5686" s="208"/>
      <c r="I5686" s="208"/>
      <c r="J5686" s="209"/>
      <c r="K5686" s="209"/>
      <c r="L5686" s="209"/>
      <c r="M5686" s="209"/>
      <c r="N5686" s="209"/>
      <c r="O5686" s="209"/>
      <c r="P5686" s="209"/>
      <c r="Q5686" s="209"/>
      <c r="R5686" s="209"/>
      <c r="S5686" s="209"/>
      <c r="T5686" s="209"/>
    </row>
    <row r="5687" spans="1:20" ht="15" hidden="1" customHeight="1">
      <c r="A5687" s="468">
        <v>45530</v>
      </c>
      <c r="B5687" s="208" t="s">
        <v>4729</v>
      </c>
      <c r="C5687" s="208" t="s">
        <v>27</v>
      </c>
      <c r="D5687" s="211">
        <v>7235709.1799999997</v>
      </c>
      <c r="E5687" s="212">
        <v>45505</v>
      </c>
      <c r="F5687" s="208" t="s">
        <v>108</v>
      </c>
      <c r="G5687" s="208"/>
      <c r="H5687" s="208"/>
      <c r="I5687" s="208"/>
      <c r="J5687" s="209"/>
      <c r="K5687" s="209"/>
      <c r="L5687" s="209"/>
      <c r="M5687" s="209"/>
      <c r="N5687" s="209"/>
      <c r="O5687" s="209"/>
      <c r="P5687" s="209"/>
      <c r="Q5687" s="209"/>
      <c r="R5687" s="209"/>
      <c r="S5687" s="209"/>
      <c r="T5687" s="209"/>
    </row>
    <row r="5688" spans="1:20" ht="15" hidden="1" customHeight="1">
      <c r="A5688" s="468">
        <v>45532</v>
      </c>
      <c r="B5688" s="208" t="s">
        <v>4730</v>
      </c>
      <c r="C5688" s="208" t="s">
        <v>27</v>
      </c>
      <c r="D5688" s="211">
        <v>23929677</v>
      </c>
      <c r="E5688" s="212">
        <v>45505</v>
      </c>
      <c r="F5688" s="671" t="s">
        <v>109</v>
      </c>
      <c r="G5688" s="208" t="s">
        <v>383</v>
      </c>
      <c r="H5688" s="208" t="s">
        <v>461</v>
      </c>
      <c r="I5688" s="208"/>
      <c r="J5688" s="209"/>
      <c r="K5688" s="209"/>
      <c r="L5688" s="209"/>
      <c r="M5688" s="209"/>
      <c r="N5688" s="209"/>
      <c r="O5688" s="209"/>
      <c r="P5688" s="209"/>
      <c r="Q5688" s="209"/>
      <c r="R5688" s="209"/>
      <c r="S5688" s="209"/>
      <c r="T5688" s="209"/>
    </row>
    <row r="5689" spans="1:20" ht="15" hidden="1" customHeight="1">
      <c r="A5689" s="468">
        <v>45534</v>
      </c>
      <c r="B5689" s="208" t="s">
        <v>4731</v>
      </c>
      <c r="C5689" s="208" t="s">
        <v>27</v>
      </c>
      <c r="D5689" s="718">
        <v>-679000</v>
      </c>
      <c r="E5689" s="212">
        <v>45505</v>
      </c>
      <c r="F5689" s="671" t="s">
        <v>109</v>
      </c>
      <c r="G5689" s="201" t="s">
        <v>581</v>
      </c>
      <c r="H5689" s="208" t="s">
        <v>147</v>
      </c>
      <c r="I5689" s="208"/>
      <c r="J5689" s="209"/>
      <c r="K5689" s="209"/>
      <c r="L5689" s="209"/>
      <c r="M5689" s="209"/>
      <c r="N5689" s="209"/>
      <c r="O5689" s="209"/>
      <c r="P5689" s="209"/>
      <c r="Q5689" s="209"/>
      <c r="R5689" s="209"/>
      <c r="S5689" s="209"/>
      <c r="T5689" s="209"/>
    </row>
    <row r="5690" spans="1:20" ht="15" hidden="1" customHeight="1">
      <c r="A5690" s="468">
        <v>45534</v>
      </c>
      <c r="B5690" s="208" t="s">
        <v>4732</v>
      </c>
      <c r="C5690" s="208" t="s">
        <v>27</v>
      </c>
      <c r="D5690" s="211">
        <v>679000</v>
      </c>
      <c r="E5690" s="212">
        <v>45505</v>
      </c>
      <c r="F5690" s="671" t="s">
        <v>109</v>
      </c>
      <c r="G5690" s="201" t="s">
        <v>581</v>
      </c>
      <c r="H5690" s="208" t="s">
        <v>147</v>
      </c>
      <c r="I5690" s="208"/>
      <c r="J5690" s="209"/>
      <c r="K5690" s="209"/>
      <c r="L5690" s="209"/>
      <c r="M5690" s="209"/>
      <c r="N5690" s="209"/>
      <c r="O5690" s="209"/>
      <c r="P5690" s="209"/>
      <c r="Q5690" s="209"/>
      <c r="R5690" s="209"/>
      <c r="S5690" s="209"/>
      <c r="T5690" s="209"/>
    </row>
    <row r="5691" spans="1:20" ht="15" hidden="1" customHeight="1">
      <c r="A5691" s="468">
        <v>45534</v>
      </c>
      <c r="B5691" s="208" t="s">
        <v>4733</v>
      </c>
      <c r="C5691" s="208" t="s">
        <v>27</v>
      </c>
      <c r="D5691" s="211">
        <v>400000</v>
      </c>
      <c r="E5691" s="212">
        <v>45505</v>
      </c>
      <c r="F5691" s="671" t="s">
        <v>130</v>
      </c>
      <c r="G5691" s="671" t="s">
        <v>130</v>
      </c>
      <c r="H5691" s="208" t="s">
        <v>852</v>
      </c>
      <c r="I5691" s="208"/>
      <c r="J5691" s="209"/>
      <c r="K5691" s="209"/>
      <c r="L5691" s="209"/>
      <c r="M5691" s="209"/>
      <c r="N5691" s="209"/>
      <c r="O5691" s="209"/>
      <c r="P5691" s="209"/>
      <c r="Q5691" s="209"/>
      <c r="R5691" s="209"/>
      <c r="S5691" s="209"/>
      <c r="T5691" s="209"/>
    </row>
    <row r="5692" spans="1:20" ht="15" hidden="1" customHeight="1">
      <c r="A5692" s="468">
        <v>45534</v>
      </c>
      <c r="B5692" s="208" t="s">
        <v>4734</v>
      </c>
      <c r="C5692" s="208" t="s">
        <v>27</v>
      </c>
      <c r="D5692" s="211">
        <v>48536716</v>
      </c>
      <c r="E5692" s="212">
        <v>45505</v>
      </c>
      <c r="F5692" s="883" t="s">
        <v>707</v>
      </c>
      <c r="G5692" s="201" t="s">
        <v>581</v>
      </c>
      <c r="H5692" s="208"/>
      <c r="I5692" s="208"/>
      <c r="J5692" s="209"/>
      <c r="K5692" s="209"/>
      <c r="L5692" s="209"/>
      <c r="M5692" s="209"/>
      <c r="N5692" s="209"/>
      <c r="O5692" s="209"/>
      <c r="P5692" s="209"/>
      <c r="Q5692" s="209"/>
      <c r="R5692" s="209"/>
      <c r="S5692" s="209"/>
      <c r="T5692" s="209"/>
    </row>
    <row r="5693" spans="1:20" ht="15" hidden="1" customHeight="1">
      <c r="A5693" s="468">
        <v>45527</v>
      </c>
      <c r="B5693" s="208" t="s">
        <v>4422</v>
      </c>
      <c r="C5693" s="208" t="s">
        <v>3331</v>
      </c>
      <c r="D5693" s="211">
        <v>2000000</v>
      </c>
      <c r="E5693" s="212">
        <v>45505</v>
      </c>
      <c r="F5693" s="208" t="s">
        <v>108</v>
      </c>
      <c r="G5693" s="208"/>
      <c r="H5693" s="208"/>
      <c r="I5693" s="208"/>
      <c r="J5693" s="209"/>
      <c r="K5693" s="209"/>
      <c r="L5693" s="209"/>
      <c r="M5693" s="209"/>
      <c r="N5693" s="209"/>
      <c r="O5693" s="209"/>
      <c r="P5693" s="209"/>
      <c r="Q5693" s="209"/>
      <c r="R5693" s="209"/>
      <c r="S5693" s="209"/>
      <c r="T5693" s="209"/>
    </row>
    <row r="5694" spans="1:20" ht="15" hidden="1" customHeight="1">
      <c r="A5694" s="468">
        <v>45534</v>
      </c>
      <c r="B5694" s="208" t="s">
        <v>4735</v>
      </c>
      <c r="C5694" s="208" t="s">
        <v>27</v>
      </c>
      <c r="D5694" s="211">
        <v>-8904819</v>
      </c>
      <c r="E5694" s="212">
        <v>45505</v>
      </c>
      <c r="F5694" s="671" t="s">
        <v>109</v>
      </c>
      <c r="G5694" s="201" t="s">
        <v>581</v>
      </c>
      <c r="H5694" s="208" t="s">
        <v>318</v>
      </c>
      <c r="I5694" s="208"/>
      <c r="J5694" s="209"/>
      <c r="K5694" s="209"/>
      <c r="L5694" s="209"/>
      <c r="M5694" s="209"/>
      <c r="N5694" s="209"/>
      <c r="O5694" s="209"/>
      <c r="P5694" s="209"/>
      <c r="Q5694" s="209"/>
      <c r="R5694" s="209"/>
      <c r="S5694" s="209"/>
      <c r="T5694" s="209"/>
    </row>
    <row r="5695" spans="1:20" ht="15" hidden="1" customHeight="1">
      <c r="A5695" s="468">
        <v>45533</v>
      </c>
      <c r="B5695" s="208" t="s">
        <v>4718</v>
      </c>
      <c r="C5695" s="208" t="s">
        <v>3331</v>
      </c>
      <c r="D5695" s="211">
        <v>-3672000</v>
      </c>
      <c r="E5695" s="212">
        <v>45505</v>
      </c>
      <c r="F5695" s="201" t="s">
        <v>110</v>
      </c>
      <c r="G5695" s="208" t="s">
        <v>122</v>
      </c>
      <c r="H5695" s="208" t="s">
        <v>631</v>
      </c>
      <c r="I5695" s="208"/>
      <c r="J5695" s="209"/>
      <c r="K5695" s="209"/>
      <c r="L5695" s="209"/>
      <c r="M5695" s="209"/>
      <c r="N5695" s="209"/>
      <c r="O5695" s="209"/>
      <c r="P5695" s="209"/>
      <c r="Q5695" s="209"/>
      <c r="R5695" s="209"/>
      <c r="S5695" s="209"/>
      <c r="T5695" s="209"/>
    </row>
    <row r="5696" spans="1:20" ht="15" hidden="1" customHeight="1">
      <c r="A5696" s="468">
        <v>45534</v>
      </c>
      <c r="B5696" s="208" t="s">
        <v>4735</v>
      </c>
      <c r="C5696" s="208" t="s">
        <v>27</v>
      </c>
      <c r="D5696" s="211">
        <v>-9276103</v>
      </c>
      <c r="E5696" s="212">
        <v>45505</v>
      </c>
      <c r="F5696" s="671" t="s">
        <v>109</v>
      </c>
      <c r="G5696" s="201" t="s">
        <v>583</v>
      </c>
      <c r="H5696" s="208" t="s">
        <v>318</v>
      </c>
      <c r="I5696" s="208"/>
      <c r="J5696" s="209"/>
      <c r="K5696" s="209"/>
      <c r="L5696" s="209"/>
      <c r="M5696" s="209"/>
      <c r="N5696" s="209"/>
      <c r="O5696" s="209"/>
      <c r="P5696" s="209"/>
      <c r="Q5696" s="209"/>
      <c r="R5696" s="209"/>
      <c r="S5696" s="209"/>
      <c r="T5696" s="209"/>
    </row>
    <row r="5697" spans="1:20" ht="15" hidden="1" customHeight="1">
      <c r="A5697" s="468">
        <v>45534</v>
      </c>
      <c r="B5697" s="208" t="s">
        <v>4735</v>
      </c>
      <c r="C5697" s="208" t="s">
        <v>27</v>
      </c>
      <c r="D5697" s="211">
        <v>-930009</v>
      </c>
      <c r="E5697" s="212">
        <v>45505</v>
      </c>
      <c r="F5697" s="671" t="s">
        <v>130</v>
      </c>
      <c r="G5697" s="671" t="s">
        <v>130</v>
      </c>
      <c r="H5697" s="208" t="s">
        <v>318</v>
      </c>
      <c r="I5697" s="208"/>
      <c r="J5697" s="209"/>
      <c r="K5697" s="209"/>
      <c r="L5697" s="209"/>
      <c r="M5697" s="209"/>
      <c r="N5697" s="209"/>
      <c r="O5697" s="209"/>
      <c r="P5697" s="209"/>
      <c r="Q5697" s="209"/>
      <c r="R5697" s="209"/>
      <c r="S5697" s="209"/>
      <c r="T5697" s="209"/>
    </row>
    <row r="5698" spans="1:20" ht="15" hidden="1" customHeight="1">
      <c r="A5698" s="468">
        <v>45534</v>
      </c>
      <c r="B5698" s="208" t="s">
        <v>4736</v>
      </c>
      <c r="C5698" s="208" t="s">
        <v>27</v>
      </c>
      <c r="D5698" s="211">
        <v>-3747545</v>
      </c>
      <c r="E5698" s="212">
        <v>45505</v>
      </c>
      <c r="F5698" s="201" t="s">
        <v>110</v>
      </c>
      <c r="G5698" s="201" t="s">
        <v>1489</v>
      </c>
      <c r="H5698" s="208" t="s">
        <v>1463</v>
      </c>
      <c r="I5698" s="208"/>
      <c r="J5698" s="209"/>
      <c r="K5698" s="209"/>
      <c r="L5698" s="209"/>
      <c r="M5698" s="209"/>
      <c r="N5698" s="209"/>
      <c r="O5698" s="209"/>
      <c r="P5698" s="209"/>
      <c r="Q5698" s="209"/>
      <c r="R5698" s="209"/>
      <c r="S5698" s="209"/>
      <c r="T5698" s="209"/>
    </row>
    <row r="5699" spans="1:20" ht="15" hidden="1" customHeight="1">
      <c r="A5699" s="468">
        <v>45534</v>
      </c>
      <c r="B5699" s="208" t="s">
        <v>4737</v>
      </c>
      <c r="C5699" s="208" t="s">
        <v>27</v>
      </c>
      <c r="D5699" s="211">
        <v>-3108877</v>
      </c>
      <c r="E5699" s="212">
        <v>45505</v>
      </c>
      <c r="F5699" s="671" t="s">
        <v>207</v>
      </c>
      <c r="G5699" s="635"/>
      <c r="H5699" s="208"/>
      <c r="I5699" s="208"/>
      <c r="J5699" s="209"/>
      <c r="K5699" s="209"/>
      <c r="L5699" s="209"/>
      <c r="M5699" s="209"/>
      <c r="N5699" s="209"/>
      <c r="O5699" s="209"/>
      <c r="P5699" s="209"/>
      <c r="Q5699" s="209"/>
      <c r="R5699" s="209"/>
      <c r="S5699" s="209"/>
      <c r="T5699" s="209"/>
    </row>
    <row r="5700" spans="1:20" ht="15" hidden="1" customHeight="1">
      <c r="A5700" s="468">
        <v>45534</v>
      </c>
      <c r="B5700" s="208" t="s">
        <v>4721</v>
      </c>
      <c r="C5700" s="208" t="s">
        <v>27</v>
      </c>
      <c r="D5700" s="211">
        <v>-510855</v>
      </c>
      <c r="E5700" s="212">
        <v>45505</v>
      </c>
      <c r="F5700" s="671" t="s">
        <v>118</v>
      </c>
      <c r="G5700" s="635"/>
      <c r="H5700" s="208"/>
      <c r="I5700" s="208"/>
      <c r="J5700" s="209"/>
      <c r="K5700" s="209"/>
      <c r="L5700" s="209"/>
      <c r="M5700" s="209"/>
      <c r="N5700" s="209"/>
      <c r="O5700" s="209"/>
      <c r="P5700" s="209"/>
      <c r="Q5700" s="209"/>
      <c r="R5700" s="209"/>
      <c r="S5700" s="209"/>
      <c r="T5700" s="209"/>
    </row>
    <row r="5701" spans="1:20" ht="15" hidden="1" customHeight="1">
      <c r="A5701" s="468">
        <v>45527</v>
      </c>
      <c r="B5701" s="208" t="s">
        <v>4738</v>
      </c>
      <c r="C5701" s="208" t="s">
        <v>3331</v>
      </c>
      <c r="D5701" s="211">
        <v>3859924</v>
      </c>
      <c r="E5701" s="212">
        <v>45505</v>
      </c>
      <c r="F5701" s="671" t="s">
        <v>207</v>
      </c>
      <c r="G5701" s="208"/>
      <c r="H5701" s="208"/>
      <c r="I5701" s="208"/>
      <c r="J5701" s="209"/>
      <c r="K5701" s="209"/>
      <c r="L5701" s="209"/>
      <c r="M5701" s="209"/>
      <c r="N5701" s="209"/>
      <c r="O5701" s="209"/>
      <c r="P5701" s="209"/>
      <c r="Q5701" s="209"/>
      <c r="R5701" s="209"/>
      <c r="S5701" s="209"/>
      <c r="T5701" s="209"/>
    </row>
    <row r="5702" spans="1:20" ht="15" hidden="1" customHeight="1">
      <c r="A5702" s="468">
        <v>45520</v>
      </c>
      <c r="B5702" s="81" t="s">
        <v>3017</v>
      </c>
      <c r="C5702" s="677" t="s">
        <v>643</v>
      </c>
      <c r="D5702" s="211">
        <v>-123500</v>
      </c>
      <c r="E5702" s="212">
        <v>45505</v>
      </c>
      <c r="F5702" s="208" t="s">
        <v>130</v>
      </c>
      <c r="G5702" s="208" t="s">
        <v>130</v>
      </c>
      <c r="H5702" s="208" t="s">
        <v>1245</v>
      </c>
      <c r="I5702" s="208"/>
      <c r="J5702" s="209"/>
      <c r="K5702" s="209"/>
      <c r="L5702" s="209"/>
      <c r="M5702" s="209"/>
      <c r="N5702" s="209"/>
      <c r="O5702" s="209"/>
      <c r="P5702" s="209"/>
      <c r="Q5702" s="209"/>
      <c r="R5702" s="209"/>
      <c r="S5702" s="209"/>
      <c r="T5702" s="209"/>
    </row>
    <row r="5703" spans="1:20" ht="15" hidden="1" customHeight="1">
      <c r="A5703" s="468">
        <v>45520</v>
      </c>
      <c r="B5703" s="81" t="s">
        <v>4340</v>
      </c>
      <c r="C5703" s="677" t="s">
        <v>643</v>
      </c>
      <c r="D5703" s="211">
        <v>-42650</v>
      </c>
      <c r="E5703" s="212">
        <v>45505</v>
      </c>
      <c r="F5703" s="208" t="s">
        <v>130</v>
      </c>
      <c r="G5703" s="208" t="s">
        <v>257</v>
      </c>
      <c r="H5703" s="208" t="s">
        <v>852</v>
      </c>
      <c r="I5703" s="208"/>
      <c r="J5703" s="209"/>
      <c r="K5703" s="209"/>
      <c r="L5703" s="209"/>
      <c r="M5703" s="209"/>
      <c r="N5703" s="209"/>
      <c r="O5703" s="209"/>
      <c r="P5703" s="209"/>
      <c r="Q5703" s="209"/>
      <c r="R5703" s="209"/>
      <c r="S5703" s="209"/>
      <c r="T5703" s="209"/>
    </row>
    <row r="5704" spans="1:20" ht="15" hidden="1" customHeight="1">
      <c r="A5704" s="468">
        <v>45521</v>
      </c>
      <c r="B5704" s="81" t="s">
        <v>3106</v>
      </c>
      <c r="C5704" s="677" t="s">
        <v>643</v>
      </c>
      <c r="D5704" s="211">
        <v>-125322.69</v>
      </c>
      <c r="E5704" s="212">
        <v>45505</v>
      </c>
      <c r="F5704" s="208" t="s">
        <v>130</v>
      </c>
      <c r="G5704" s="208" t="s">
        <v>130</v>
      </c>
      <c r="H5704" s="208" t="s">
        <v>1245</v>
      </c>
      <c r="I5704" s="208"/>
      <c r="J5704" s="209"/>
      <c r="K5704" s="209"/>
      <c r="L5704" s="209"/>
      <c r="M5704" s="209"/>
      <c r="N5704" s="209"/>
      <c r="O5704" s="209"/>
      <c r="P5704" s="209"/>
      <c r="Q5704" s="209"/>
      <c r="R5704" s="209"/>
      <c r="S5704" s="209"/>
      <c r="T5704" s="209"/>
    </row>
    <row r="5705" spans="1:20" ht="15" hidden="1" customHeight="1">
      <c r="A5705" s="468">
        <v>45521</v>
      </c>
      <c r="B5705" s="81" t="s">
        <v>4739</v>
      </c>
      <c r="C5705" s="677" t="s">
        <v>643</v>
      </c>
      <c r="D5705" s="211">
        <v>-34730</v>
      </c>
      <c r="E5705" s="212">
        <v>45505</v>
      </c>
      <c r="F5705" s="208" t="s">
        <v>130</v>
      </c>
      <c r="G5705" s="208" t="s">
        <v>257</v>
      </c>
      <c r="H5705" s="208" t="s">
        <v>852</v>
      </c>
      <c r="I5705" s="208"/>
      <c r="J5705" s="209"/>
      <c r="K5705" s="209"/>
      <c r="L5705" s="209"/>
      <c r="M5705" s="209"/>
      <c r="N5705" s="209"/>
      <c r="O5705" s="209"/>
      <c r="P5705" s="209"/>
      <c r="Q5705" s="209"/>
      <c r="R5705" s="209"/>
      <c r="S5705" s="209"/>
      <c r="T5705" s="209"/>
    </row>
    <row r="5706" spans="1:20" ht="15" hidden="1" customHeight="1">
      <c r="A5706" s="468">
        <v>45522</v>
      </c>
      <c r="B5706" s="81" t="s">
        <v>4740</v>
      </c>
      <c r="C5706" s="677" t="s">
        <v>643</v>
      </c>
      <c r="D5706" s="211">
        <v>-217608.69</v>
      </c>
      <c r="E5706" s="212">
        <v>45505</v>
      </c>
      <c r="F5706" s="208" t="s">
        <v>130</v>
      </c>
      <c r="G5706" s="208" t="s">
        <v>130</v>
      </c>
      <c r="H5706" s="208" t="s">
        <v>1245</v>
      </c>
      <c r="I5706" s="208"/>
      <c r="J5706" s="209"/>
      <c r="K5706" s="209"/>
      <c r="L5706" s="209"/>
      <c r="M5706" s="209"/>
      <c r="N5706" s="209"/>
      <c r="O5706" s="209"/>
      <c r="P5706" s="209"/>
      <c r="Q5706" s="209"/>
      <c r="R5706" s="209"/>
      <c r="S5706" s="209"/>
      <c r="T5706" s="209"/>
    </row>
    <row r="5707" spans="1:20" ht="15" hidden="1" customHeight="1">
      <c r="A5707" s="468">
        <v>45522</v>
      </c>
      <c r="B5707" s="81" t="s">
        <v>4340</v>
      </c>
      <c r="C5707" s="677" t="s">
        <v>643</v>
      </c>
      <c r="D5707" s="211">
        <v>-35800</v>
      </c>
      <c r="E5707" s="212">
        <v>45505</v>
      </c>
      <c r="F5707" s="208" t="s">
        <v>130</v>
      </c>
      <c r="G5707" s="208" t="s">
        <v>257</v>
      </c>
      <c r="H5707" s="208" t="s">
        <v>852</v>
      </c>
      <c r="I5707" s="208"/>
      <c r="J5707" s="209"/>
      <c r="K5707" s="209"/>
      <c r="L5707" s="209"/>
      <c r="M5707" s="209"/>
      <c r="N5707" s="209"/>
      <c r="O5707" s="209"/>
      <c r="P5707" s="209"/>
      <c r="Q5707" s="209"/>
      <c r="R5707" s="209"/>
      <c r="S5707" s="209"/>
      <c r="T5707" s="209"/>
    </row>
    <row r="5708" spans="1:20" ht="15" hidden="1" customHeight="1">
      <c r="A5708" s="468">
        <v>45524</v>
      </c>
      <c r="B5708" s="81" t="s">
        <v>4741</v>
      </c>
      <c r="C5708" s="677" t="s">
        <v>643</v>
      </c>
      <c r="D5708" s="211">
        <v>-1633787.18</v>
      </c>
      <c r="E5708" s="212">
        <v>45505</v>
      </c>
      <c r="F5708" s="208" t="s">
        <v>130</v>
      </c>
      <c r="G5708" s="208" t="s">
        <v>130</v>
      </c>
      <c r="H5708" s="208" t="s">
        <v>1245</v>
      </c>
      <c r="I5708" s="208"/>
      <c r="J5708" s="209"/>
      <c r="K5708" s="209"/>
      <c r="L5708" s="209"/>
      <c r="M5708" s="209"/>
      <c r="N5708" s="209"/>
      <c r="O5708" s="209"/>
      <c r="P5708" s="209"/>
      <c r="Q5708" s="209"/>
      <c r="R5708" s="209"/>
      <c r="S5708" s="209"/>
      <c r="T5708" s="209"/>
    </row>
    <row r="5709" spans="1:20" ht="15" hidden="1" customHeight="1">
      <c r="A5709" s="468">
        <v>45524</v>
      </c>
      <c r="B5709" s="81" t="s">
        <v>4742</v>
      </c>
      <c r="C5709" s="677" t="s">
        <v>643</v>
      </c>
      <c r="D5709" s="211">
        <v>-40417.379999999997</v>
      </c>
      <c r="E5709" s="212">
        <v>45505</v>
      </c>
      <c r="F5709" s="208" t="s">
        <v>130</v>
      </c>
      <c r="G5709" s="208" t="s">
        <v>130</v>
      </c>
      <c r="H5709" s="208" t="s">
        <v>1245</v>
      </c>
      <c r="I5709" s="208"/>
      <c r="J5709" s="209"/>
      <c r="K5709" s="209"/>
      <c r="L5709" s="209"/>
      <c r="M5709" s="209"/>
      <c r="N5709" s="209"/>
      <c r="O5709" s="209"/>
      <c r="P5709" s="209"/>
      <c r="Q5709" s="209"/>
      <c r="R5709" s="209"/>
      <c r="S5709" s="209"/>
      <c r="T5709" s="209"/>
    </row>
    <row r="5710" spans="1:20" ht="15" hidden="1" customHeight="1">
      <c r="A5710" s="468">
        <v>45524</v>
      </c>
      <c r="B5710" s="81" t="s">
        <v>3282</v>
      </c>
      <c r="C5710" s="677" t="s">
        <v>643</v>
      </c>
      <c r="D5710" s="211">
        <v>-30800</v>
      </c>
      <c r="E5710" s="212">
        <v>45505</v>
      </c>
      <c r="F5710" s="208" t="s">
        <v>130</v>
      </c>
      <c r="G5710" s="208" t="s">
        <v>130</v>
      </c>
      <c r="H5710" s="208" t="s">
        <v>1245</v>
      </c>
      <c r="I5710" s="208"/>
      <c r="J5710" s="209"/>
      <c r="K5710" s="209"/>
      <c r="L5710" s="209"/>
      <c r="M5710" s="209"/>
      <c r="N5710" s="209"/>
      <c r="O5710" s="209"/>
      <c r="P5710" s="209"/>
      <c r="Q5710" s="209"/>
      <c r="R5710" s="209"/>
      <c r="S5710" s="209"/>
      <c r="T5710" s="209"/>
    </row>
    <row r="5711" spans="1:20" ht="15" hidden="1" customHeight="1">
      <c r="A5711" s="468">
        <v>45524</v>
      </c>
      <c r="B5711" s="208" t="s">
        <v>4743</v>
      </c>
      <c r="C5711" s="677" t="s">
        <v>643</v>
      </c>
      <c r="D5711" s="211">
        <v>70530</v>
      </c>
      <c r="E5711" s="212">
        <v>45505</v>
      </c>
      <c r="F5711" s="208" t="s">
        <v>130</v>
      </c>
      <c r="G5711" s="208" t="s">
        <v>130</v>
      </c>
      <c r="H5711" s="208"/>
      <c r="I5711" s="208"/>
      <c r="J5711" s="209"/>
      <c r="K5711" s="209"/>
      <c r="L5711" s="209"/>
      <c r="M5711" s="209"/>
      <c r="N5711" s="209"/>
      <c r="O5711" s="209"/>
      <c r="P5711" s="209"/>
      <c r="Q5711" s="209"/>
      <c r="R5711" s="209"/>
      <c r="S5711" s="209"/>
      <c r="T5711" s="209"/>
    </row>
    <row r="5712" spans="1:20" ht="15" hidden="1" customHeight="1">
      <c r="A5712" s="468">
        <v>45532</v>
      </c>
      <c r="B5712" s="81" t="s">
        <v>4744</v>
      </c>
      <c r="C5712" s="677" t="s">
        <v>643</v>
      </c>
      <c r="D5712" s="211">
        <v>-165871.24</v>
      </c>
      <c r="E5712" s="212">
        <v>45505</v>
      </c>
      <c r="F5712" s="208" t="s">
        <v>130</v>
      </c>
      <c r="G5712" s="208" t="s">
        <v>130</v>
      </c>
      <c r="H5712" s="208" t="s">
        <v>1245</v>
      </c>
      <c r="I5712" s="208"/>
      <c r="J5712" s="209"/>
      <c r="K5712" s="209"/>
      <c r="L5712" s="209"/>
      <c r="M5712" s="209"/>
      <c r="N5712" s="209"/>
      <c r="O5712" s="209"/>
      <c r="P5712" s="209"/>
      <c r="Q5712" s="209"/>
      <c r="R5712" s="209"/>
      <c r="S5712" s="209"/>
      <c r="T5712" s="209"/>
    </row>
    <row r="5713" spans="1:20" ht="15" hidden="1" customHeight="1">
      <c r="A5713" s="468">
        <v>45532</v>
      </c>
      <c r="B5713" s="84" t="s">
        <v>4745</v>
      </c>
      <c r="C5713" s="677" t="s">
        <v>643</v>
      </c>
      <c r="D5713" s="211">
        <v>-462600</v>
      </c>
      <c r="E5713" s="212">
        <v>45505</v>
      </c>
      <c r="F5713" s="208" t="s">
        <v>130</v>
      </c>
      <c r="G5713" s="208" t="s">
        <v>130</v>
      </c>
      <c r="H5713" s="208" t="s">
        <v>1245</v>
      </c>
      <c r="I5713" s="208"/>
      <c r="J5713" s="209"/>
      <c r="K5713" s="209"/>
      <c r="L5713" s="209"/>
      <c r="M5713" s="209"/>
      <c r="N5713" s="209"/>
      <c r="O5713" s="209"/>
      <c r="P5713" s="209"/>
      <c r="Q5713" s="209"/>
      <c r="R5713" s="209"/>
      <c r="S5713" s="209"/>
      <c r="T5713" s="209"/>
    </row>
    <row r="5714" spans="1:20" ht="15" hidden="1" customHeight="1">
      <c r="A5714" s="468">
        <v>45532</v>
      </c>
      <c r="B5714" s="84" t="s">
        <v>4745</v>
      </c>
      <c r="C5714" s="677" t="s">
        <v>643</v>
      </c>
      <c r="D5714" s="211">
        <v>-704800</v>
      </c>
      <c r="E5714" s="212">
        <v>45505</v>
      </c>
      <c r="F5714" s="208" t="s">
        <v>130</v>
      </c>
      <c r="G5714" s="208" t="s">
        <v>130</v>
      </c>
      <c r="H5714" s="208" t="s">
        <v>1245</v>
      </c>
      <c r="I5714" s="208"/>
      <c r="J5714" s="209"/>
      <c r="K5714" s="209"/>
      <c r="L5714" s="209"/>
      <c r="M5714" s="209"/>
      <c r="N5714" s="209"/>
      <c r="O5714" s="209"/>
      <c r="P5714" s="209"/>
      <c r="Q5714" s="209"/>
      <c r="R5714" s="209"/>
      <c r="S5714" s="209"/>
      <c r="T5714" s="209"/>
    </row>
    <row r="5715" spans="1:20" ht="15" hidden="1" customHeight="1">
      <c r="A5715" s="468">
        <v>45533</v>
      </c>
      <c r="B5715" s="81" t="s">
        <v>4746</v>
      </c>
      <c r="C5715" s="677" t="s">
        <v>643</v>
      </c>
      <c r="D5715" s="211">
        <v>-7073.69</v>
      </c>
      <c r="E5715" s="212">
        <v>45505</v>
      </c>
      <c r="F5715" s="208" t="s">
        <v>130</v>
      </c>
      <c r="G5715" s="208" t="s">
        <v>130</v>
      </c>
      <c r="H5715" s="208" t="s">
        <v>1245</v>
      </c>
      <c r="I5715" s="208"/>
      <c r="J5715" s="209"/>
      <c r="K5715" s="209"/>
      <c r="L5715" s="209"/>
      <c r="M5715" s="209"/>
      <c r="N5715" s="209"/>
      <c r="O5715" s="209"/>
      <c r="P5715" s="209"/>
      <c r="Q5715" s="209"/>
      <c r="R5715" s="209"/>
      <c r="S5715" s="209"/>
      <c r="T5715" s="209"/>
    </row>
    <row r="5716" spans="1:20" ht="15" hidden="1" customHeight="1">
      <c r="A5716" s="468">
        <v>45533</v>
      </c>
      <c r="B5716" s="81" t="s">
        <v>4229</v>
      </c>
      <c r="C5716" s="677" t="s">
        <v>643</v>
      </c>
      <c r="D5716" s="211">
        <v>-460377</v>
      </c>
      <c r="E5716" s="212">
        <v>45505</v>
      </c>
      <c r="F5716" s="208" t="s">
        <v>130</v>
      </c>
      <c r="G5716" s="208" t="s">
        <v>257</v>
      </c>
      <c r="H5716" s="208" t="s">
        <v>2272</v>
      </c>
      <c r="I5716" s="208"/>
      <c r="J5716" s="209"/>
      <c r="K5716" s="209"/>
      <c r="L5716" s="209"/>
      <c r="M5716" s="209"/>
      <c r="N5716" s="209"/>
      <c r="O5716" s="209"/>
      <c r="P5716" s="209"/>
      <c r="Q5716" s="209"/>
      <c r="R5716" s="209"/>
      <c r="S5716" s="209"/>
      <c r="T5716" s="209"/>
    </row>
    <row r="5717" spans="1:20" ht="15" hidden="1" customHeight="1">
      <c r="A5717" s="468">
        <v>45452</v>
      </c>
      <c r="B5717" s="208" t="s">
        <v>4747</v>
      </c>
      <c r="C5717" s="208" t="s">
        <v>146</v>
      </c>
      <c r="D5717" s="211">
        <v>-105000</v>
      </c>
      <c r="E5717" s="212">
        <v>45536</v>
      </c>
      <c r="F5717" s="208" t="s">
        <v>110</v>
      </c>
      <c r="G5717" s="208" t="s">
        <v>4399</v>
      </c>
      <c r="H5717" s="208" t="s">
        <v>138</v>
      </c>
      <c r="I5717" s="208" t="s">
        <v>3378</v>
      </c>
      <c r="J5717" s="209"/>
      <c r="K5717" s="209"/>
      <c r="L5717" s="209"/>
      <c r="M5717" s="209"/>
      <c r="N5717" s="209"/>
      <c r="O5717" s="209"/>
      <c r="P5717" s="209"/>
      <c r="Q5717" s="209"/>
      <c r="R5717" s="209"/>
      <c r="S5717" s="209"/>
      <c r="T5717" s="209"/>
    </row>
    <row r="5718" spans="1:20" ht="15" hidden="1" customHeight="1">
      <c r="A5718" s="468">
        <v>45480</v>
      </c>
      <c r="B5718" s="208" t="s">
        <v>3530</v>
      </c>
      <c r="C5718" s="208" t="s">
        <v>146</v>
      </c>
      <c r="D5718" s="211">
        <v>-100000</v>
      </c>
      <c r="E5718" s="212">
        <v>45536</v>
      </c>
      <c r="F5718" s="208" t="s">
        <v>130</v>
      </c>
      <c r="G5718" s="208" t="s">
        <v>257</v>
      </c>
      <c r="H5718" s="208" t="s">
        <v>138</v>
      </c>
      <c r="I5718" s="208" t="s">
        <v>63</v>
      </c>
      <c r="J5718" s="209"/>
      <c r="K5718" s="209"/>
      <c r="L5718" s="209"/>
      <c r="M5718" s="209"/>
      <c r="N5718" s="209"/>
      <c r="O5718" s="209"/>
      <c r="P5718" s="209"/>
      <c r="Q5718" s="209"/>
      <c r="R5718" s="209"/>
      <c r="S5718" s="209"/>
      <c r="T5718" s="209"/>
    </row>
    <row r="5719" spans="1:20" ht="15" hidden="1" customHeight="1">
      <c r="A5719" s="468">
        <v>45480</v>
      </c>
      <c r="B5719" s="208" t="s">
        <v>3536</v>
      </c>
      <c r="C5719" s="208" t="s">
        <v>146</v>
      </c>
      <c r="D5719" s="211">
        <v>-25000</v>
      </c>
      <c r="E5719" s="212">
        <v>45536</v>
      </c>
      <c r="F5719" s="208" t="s">
        <v>130</v>
      </c>
      <c r="G5719" s="208" t="s">
        <v>257</v>
      </c>
      <c r="H5719" s="208" t="s">
        <v>138</v>
      </c>
      <c r="I5719" s="208" t="s">
        <v>63</v>
      </c>
      <c r="J5719" s="209"/>
      <c r="K5719" s="209"/>
      <c r="L5719" s="209"/>
      <c r="M5719" s="209"/>
      <c r="N5719" s="209"/>
      <c r="O5719" s="209"/>
      <c r="P5719" s="209"/>
      <c r="Q5719" s="209"/>
      <c r="R5719" s="209"/>
      <c r="S5719" s="209"/>
      <c r="T5719" s="209"/>
    </row>
    <row r="5720" spans="1:20" ht="15" hidden="1" customHeight="1">
      <c r="A5720" s="468">
        <v>45480</v>
      </c>
      <c r="B5720" s="208" t="s">
        <v>3532</v>
      </c>
      <c r="C5720" s="208" t="s">
        <v>146</v>
      </c>
      <c r="D5720" s="211">
        <v>-70000</v>
      </c>
      <c r="E5720" s="212">
        <v>45536</v>
      </c>
      <c r="F5720" s="208" t="s">
        <v>130</v>
      </c>
      <c r="G5720" s="208" t="s">
        <v>257</v>
      </c>
      <c r="H5720" s="208" t="s">
        <v>138</v>
      </c>
      <c r="I5720" s="208" t="s">
        <v>63</v>
      </c>
      <c r="J5720" s="209"/>
      <c r="K5720" s="209"/>
      <c r="L5720" s="209"/>
      <c r="M5720" s="209"/>
      <c r="N5720" s="209"/>
      <c r="O5720" s="209"/>
      <c r="P5720" s="209"/>
      <c r="Q5720" s="209"/>
      <c r="R5720" s="209"/>
      <c r="S5720" s="209"/>
      <c r="T5720" s="209"/>
    </row>
    <row r="5721" spans="1:20" ht="15" hidden="1" customHeight="1">
      <c r="A5721" s="468">
        <v>45480</v>
      </c>
      <c r="B5721" s="208" t="s">
        <v>853</v>
      </c>
      <c r="C5721" s="208" t="s">
        <v>146</v>
      </c>
      <c r="D5721" s="211">
        <v>-11030</v>
      </c>
      <c r="E5721" s="212">
        <v>45536</v>
      </c>
      <c r="F5721" s="208" t="s">
        <v>130</v>
      </c>
      <c r="G5721" s="208" t="s">
        <v>257</v>
      </c>
      <c r="H5721" s="208" t="s">
        <v>138</v>
      </c>
      <c r="I5721" s="208" t="s">
        <v>63</v>
      </c>
      <c r="J5721" s="209"/>
      <c r="K5721" s="209"/>
      <c r="L5721" s="209"/>
      <c r="M5721" s="209"/>
      <c r="N5721" s="209"/>
      <c r="O5721" s="209"/>
      <c r="P5721" s="209"/>
      <c r="Q5721" s="209"/>
      <c r="R5721" s="209"/>
      <c r="S5721" s="209"/>
      <c r="T5721" s="209"/>
    </row>
    <row r="5722" spans="1:20" ht="15" hidden="1" customHeight="1">
      <c r="A5722" s="468">
        <v>45481</v>
      </c>
      <c r="B5722" s="208" t="s">
        <v>4748</v>
      </c>
      <c r="C5722" s="208" t="s">
        <v>146</v>
      </c>
      <c r="D5722" s="211">
        <v>-20000</v>
      </c>
      <c r="E5722" s="212">
        <v>45536</v>
      </c>
      <c r="F5722" s="208" t="s">
        <v>130</v>
      </c>
      <c r="G5722" s="208" t="s">
        <v>257</v>
      </c>
      <c r="H5722" s="208" t="s">
        <v>303</v>
      </c>
      <c r="I5722" s="208" t="s">
        <v>63</v>
      </c>
      <c r="J5722" s="209"/>
      <c r="K5722" s="209"/>
      <c r="L5722" s="209"/>
      <c r="M5722" s="209"/>
      <c r="N5722" s="209"/>
      <c r="O5722" s="209"/>
      <c r="P5722" s="209"/>
      <c r="Q5722" s="209"/>
      <c r="R5722" s="209"/>
      <c r="S5722" s="209"/>
      <c r="T5722" s="209"/>
    </row>
    <row r="5723" spans="1:20" ht="15" hidden="1" customHeight="1">
      <c r="A5723" s="468">
        <v>45481</v>
      </c>
      <c r="B5723" s="208" t="s">
        <v>3535</v>
      </c>
      <c r="C5723" s="208" t="s">
        <v>146</v>
      </c>
      <c r="D5723" s="211">
        <v>-61000</v>
      </c>
      <c r="E5723" s="212">
        <v>45536</v>
      </c>
      <c r="F5723" s="208" t="s">
        <v>130</v>
      </c>
      <c r="G5723" s="208" t="s">
        <v>257</v>
      </c>
      <c r="H5723" s="208" t="s">
        <v>303</v>
      </c>
      <c r="I5723" s="208" t="s">
        <v>63</v>
      </c>
      <c r="J5723" s="209"/>
      <c r="K5723" s="209"/>
      <c r="L5723" s="209"/>
      <c r="M5723" s="209"/>
      <c r="N5723" s="209"/>
      <c r="O5723" s="209"/>
      <c r="P5723" s="209"/>
      <c r="Q5723" s="209"/>
      <c r="R5723" s="209"/>
      <c r="S5723" s="209"/>
      <c r="T5723" s="209"/>
    </row>
    <row r="5724" spans="1:20" ht="15" hidden="1" customHeight="1">
      <c r="A5724" s="468">
        <v>45481</v>
      </c>
      <c r="B5724" s="208" t="s">
        <v>853</v>
      </c>
      <c r="C5724" s="208" t="s">
        <v>146</v>
      </c>
      <c r="D5724" s="211">
        <v>-8280</v>
      </c>
      <c r="E5724" s="212">
        <v>45536</v>
      </c>
      <c r="F5724" s="208" t="s">
        <v>130</v>
      </c>
      <c r="G5724" s="208" t="s">
        <v>257</v>
      </c>
      <c r="H5724" s="208" t="s">
        <v>138</v>
      </c>
      <c r="I5724" s="208" t="s">
        <v>63</v>
      </c>
      <c r="J5724" s="209"/>
      <c r="K5724" s="209"/>
      <c r="L5724" s="209"/>
      <c r="M5724" s="209"/>
      <c r="N5724" s="209"/>
      <c r="O5724" s="209"/>
      <c r="P5724" s="209"/>
      <c r="Q5724" s="209"/>
      <c r="R5724" s="209"/>
      <c r="S5724" s="209"/>
      <c r="T5724" s="209"/>
    </row>
    <row r="5725" spans="1:20" ht="15" hidden="1" customHeight="1">
      <c r="A5725" s="468">
        <v>45482</v>
      </c>
      <c r="B5725" s="208" t="s">
        <v>853</v>
      </c>
      <c r="C5725" s="208" t="s">
        <v>146</v>
      </c>
      <c r="D5725" s="211">
        <v>-20000</v>
      </c>
      <c r="E5725" s="212">
        <v>45536</v>
      </c>
      <c r="F5725" s="208" t="s">
        <v>130</v>
      </c>
      <c r="G5725" s="208" t="s">
        <v>257</v>
      </c>
      <c r="H5725" s="208" t="s">
        <v>138</v>
      </c>
      <c r="I5725" s="208" t="s">
        <v>63</v>
      </c>
      <c r="J5725" s="209"/>
      <c r="K5725" s="209"/>
      <c r="L5725" s="209"/>
      <c r="M5725" s="209"/>
      <c r="N5725" s="209"/>
      <c r="O5725" s="209"/>
      <c r="P5725" s="209"/>
      <c r="Q5725" s="209"/>
      <c r="R5725" s="209"/>
      <c r="S5725" s="209"/>
      <c r="T5725" s="209"/>
    </row>
    <row r="5726" spans="1:20" ht="15" hidden="1" customHeight="1">
      <c r="A5726" s="468">
        <v>45482</v>
      </c>
      <c r="B5726" s="208" t="s">
        <v>4748</v>
      </c>
      <c r="C5726" s="208" t="s">
        <v>146</v>
      </c>
      <c r="D5726" s="211">
        <v>-72178</v>
      </c>
      <c r="E5726" s="212">
        <v>45536</v>
      </c>
      <c r="F5726" s="208" t="s">
        <v>130</v>
      </c>
      <c r="G5726" s="208" t="s">
        <v>257</v>
      </c>
      <c r="H5726" s="208" t="s">
        <v>303</v>
      </c>
      <c r="I5726" s="208" t="s">
        <v>63</v>
      </c>
      <c r="J5726" s="209"/>
      <c r="K5726" s="209"/>
      <c r="L5726" s="209"/>
      <c r="M5726" s="209"/>
      <c r="N5726" s="209"/>
      <c r="O5726" s="209"/>
      <c r="P5726" s="209"/>
      <c r="Q5726" s="209"/>
      <c r="R5726" s="209"/>
      <c r="S5726" s="209"/>
      <c r="T5726" s="209"/>
    </row>
    <row r="5727" spans="1:20" ht="15" hidden="1" customHeight="1">
      <c r="A5727" s="468">
        <v>45484</v>
      </c>
      <c r="B5727" s="208" t="s">
        <v>4749</v>
      </c>
      <c r="C5727" s="208" t="s">
        <v>146</v>
      </c>
      <c r="D5727" s="211">
        <v>-53900</v>
      </c>
      <c r="E5727" s="212">
        <v>45536</v>
      </c>
      <c r="F5727" s="208" t="s">
        <v>130</v>
      </c>
      <c r="G5727" s="208" t="s">
        <v>257</v>
      </c>
      <c r="H5727" s="208"/>
      <c r="I5727" s="208" t="s">
        <v>63</v>
      </c>
      <c r="J5727" s="209"/>
      <c r="K5727" s="209"/>
      <c r="L5727" s="209"/>
      <c r="M5727" s="209"/>
      <c r="N5727" s="209"/>
      <c r="O5727" s="209"/>
      <c r="P5727" s="209"/>
      <c r="Q5727" s="209"/>
      <c r="R5727" s="209"/>
      <c r="S5727" s="209"/>
      <c r="T5727" s="209"/>
    </row>
    <row r="5728" spans="1:20" ht="15" hidden="1" customHeight="1">
      <c r="A5728" s="468">
        <v>45503</v>
      </c>
      <c r="B5728" s="208" t="s">
        <v>4750</v>
      </c>
      <c r="C5728" s="208" t="s">
        <v>146</v>
      </c>
      <c r="D5728" s="211">
        <v>-100000</v>
      </c>
      <c r="E5728" s="212">
        <v>45536</v>
      </c>
      <c r="F5728" s="208" t="s">
        <v>130</v>
      </c>
      <c r="G5728" s="208" t="s">
        <v>257</v>
      </c>
      <c r="H5728" s="208" t="s">
        <v>138</v>
      </c>
      <c r="I5728" s="208" t="s">
        <v>63</v>
      </c>
      <c r="J5728" s="209"/>
      <c r="K5728" s="209"/>
      <c r="L5728" s="209"/>
      <c r="M5728" s="209"/>
      <c r="N5728" s="209"/>
      <c r="O5728" s="209"/>
      <c r="P5728" s="209"/>
      <c r="Q5728" s="209"/>
      <c r="R5728" s="209"/>
      <c r="S5728" s="209"/>
      <c r="T5728" s="209"/>
    </row>
    <row r="5729" spans="1:20" ht="15" hidden="1" customHeight="1">
      <c r="A5729" s="468">
        <v>45503</v>
      </c>
      <c r="B5729" s="208" t="s">
        <v>4749</v>
      </c>
      <c r="C5729" s="208" t="s">
        <v>146</v>
      </c>
      <c r="D5729" s="211">
        <v>-26000</v>
      </c>
      <c r="E5729" s="212">
        <v>45536</v>
      </c>
      <c r="F5729" s="208" t="s">
        <v>130</v>
      </c>
      <c r="G5729" s="208" t="s">
        <v>257</v>
      </c>
      <c r="H5729" s="208" t="s">
        <v>138</v>
      </c>
      <c r="I5729" s="208" t="s">
        <v>63</v>
      </c>
      <c r="J5729" s="209"/>
      <c r="K5729" s="209"/>
      <c r="L5729" s="209"/>
      <c r="M5729" s="209"/>
      <c r="N5729" s="209"/>
      <c r="O5729" s="209"/>
      <c r="P5729" s="209"/>
      <c r="Q5729" s="209"/>
      <c r="R5729" s="209"/>
      <c r="S5729" s="209"/>
      <c r="T5729" s="209"/>
    </row>
    <row r="5730" spans="1:20" ht="15" hidden="1" customHeight="1">
      <c r="A5730" s="468">
        <v>45505</v>
      </c>
      <c r="B5730" s="208" t="s">
        <v>4751</v>
      </c>
      <c r="C5730" s="208" t="s">
        <v>146</v>
      </c>
      <c r="D5730" s="211">
        <v>-60000</v>
      </c>
      <c r="E5730" s="212">
        <v>45536</v>
      </c>
      <c r="F5730" s="208" t="s">
        <v>130</v>
      </c>
      <c r="G5730" s="591" t="s">
        <v>257</v>
      </c>
      <c r="H5730" s="208" t="s">
        <v>138</v>
      </c>
      <c r="I5730" s="208" t="s">
        <v>63</v>
      </c>
      <c r="J5730" s="209"/>
      <c r="K5730" s="209"/>
      <c r="L5730" s="209"/>
      <c r="M5730" s="209"/>
      <c r="N5730" s="209"/>
      <c r="O5730" s="209"/>
      <c r="P5730" s="209"/>
      <c r="Q5730" s="209"/>
      <c r="R5730" s="209"/>
      <c r="S5730" s="209"/>
      <c r="T5730" s="209"/>
    </row>
    <row r="5731" spans="1:20" ht="15" hidden="1" customHeight="1">
      <c r="A5731" s="468">
        <v>45506</v>
      </c>
      <c r="B5731" s="208" t="s">
        <v>4748</v>
      </c>
      <c r="C5731" s="208" t="s">
        <v>146</v>
      </c>
      <c r="D5731" s="211">
        <v>-12000</v>
      </c>
      <c r="E5731" s="212">
        <v>45536</v>
      </c>
      <c r="F5731" s="208" t="s">
        <v>130</v>
      </c>
      <c r="G5731" s="591" t="s">
        <v>257</v>
      </c>
      <c r="H5731" s="208" t="s">
        <v>303</v>
      </c>
      <c r="I5731" s="208" t="s">
        <v>63</v>
      </c>
      <c r="J5731" s="209"/>
      <c r="K5731" s="209"/>
      <c r="L5731" s="209"/>
      <c r="M5731" s="209"/>
      <c r="N5731" s="209"/>
      <c r="O5731" s="209"/>
      <c r="P5731" s="209"/>
      <c r="Q5731" s="209"/>
      <c r="R5731" s="209"/>
      <c r="S5731" s="209"/>
      <c r="T5731" s="209"/>
    </row>
    <row r="5732" spans="1:20" ht="15" hidden="1" customHeight="1">
      <c r="A5732" s="468">
        <v>45506</v>
      </c>
      <c r="B5732" s="208" t="s">
        <v>4752</v>
      </c>
      <c r="C5732" s="208" t="s">
        <v>146</v>
      </c>
      <c r="D5732" s="211">
        <v>-100000</v>
      </c>
      <c r="E5732" s="212">
        <v>45536</v>
      </c>
      <c r="F5732" s="208" t="s">
        <v>130</v>
      </c>
      <c r="G5732" s="591" t="s">
        <v>257</v>
      </c>
      <c r="H5732" s="208" t="s">
        <v>138</v>
      </c>
      <c r="I5732" s="208" t="s">
        <v>63</v>
      </c>
      <c r="J5732" s="209"/>
      <c r="K5732" s="209"/>
      <c r="L5732" s="209"/>
      <c r="M5732" s="209"/>
      <c r="N5732" s="209"/>
      <c r="O5732" s="209"/>
      <c r="P5732" s="209"/>
      <c r="Q5732" s="209"/>
      <c r="R5732" s="209"/>
      <c r="S5732" s="209"/>
      <c r="T5732" s="209"/>
    </row>
    <row r="5733" spans="1:20" ht="15" hidden="1" customHeight="1">
      <c r="A5733" s="468">
        <v>45510</v>
      </c>
      <c r="B5733" s="208" t="s">
        <v>4595</v>
      </c>
      <c r="C5733" s="208" t="s">
        <v>269</v>
      </c>
      <c r="D5733" s="211">
        <v>-16000</v>
      </c>
      <c r="E5733" s="212">
        <v>45536</v>
      </c>
      <c r="F5733" s="208" t="s">
        <v>130</v>
      </c>
      <c r="G5733" s="591" t="s">
        <v>257</v>
      </c>
      <c r="H5733" s="208" t="s">
        <v>138</v>
      </c>
      <c r="I5733" s="208" t="s">
        <v>2052</v>
      </c>
      <c r="J5733" s="209"/>
      <c r="K5733" s="209"/>
      <c r="L5733" s="209"/>
      <c r="M5733" s="209"/>
      <c r="N5733" s="209"/>
      <c r="O5733" s="209"/>
      <c r="P5733" s="209"/>
      <c r="Q5733" s="209"/>
      <c r="R5733" s="209"/>
      <c r="S5733" s="209"/>
      <c r="T5733" s="209"/>
    </row>
    <row r="5734" spans="1:20" ht="15" hidden="1" customHeight="1">
      <c r="A5734" s="468">
        <v>45510</v>
      </c>
      <c r="B5734" s="208" t="s">
        <v>4595</v>
      </c>
      <c r="C5734" s="208" t="s">
        <v>269</v>
      </c>
      <c r="D5734" s="211">
        <v>-16000</v>
      </c>
      <c r="E5734" s="212">
        <v>45536</v>
      </c>
      <c r="F5734" s="208" t="s">
        <v>130</v>
      </c>
      <c r="G5734" s="208" t="s">
        <v>257</v>
      </c>
      <c r="H5734" s="208" t="s">
        <v>138</v>
      </c>
      <c r="I5734" s="208" t="s">
        <v>2052</v>
      </c>
      <c r="J5734" s="209"/>
      <c r="K5734" s="209"/>
      <c r="L5734" s="209"/>
      <c r="M5734" s="209"/>
      <c r="N5734" s="209"/>
      <c r="O5734" s="209"/>
      <c r="P5734" s="209"/>
      <c r="Q5734" s="209"/>
      <c r="R5734" s="209"/>
      <c r="S5734" s="209"/>
      <c r="T5734" s="209"/>
    </row>
    <row r="5735" spans="1:20" ht="15" hidden="1" customHeight="1">
      <c r="A5735" s="468">
        <v>45510</v>
      </c>
      <c r="B5735" s="208" t="s">
        <v>4596</v>
      </c>
      <c r="C5735" s="208" t="s">
        <v>269</v>
      </c>
      <c r="D5735" s="211">
        <v>-6200</v>
      </c>
      <c r="E5735" s="212">
        <v>45536</v>
      </c>
      <c r="F5735" s="208" t="s">
        <v>130</v>
      </c>
      <c r="G5735" s="591" t="s">
        <v>257</v>
      </c>
      <c r="H5735" s="208" t="s">
        <v>138</v>
      </c>
      <c r="I5735" s="208" t="s">
        <v>2052</v>
      </c>
      <c r="J5735" s="209"/>
      <c r="K5735" s="209"/>
      <c r="L5735" s="209"/>
      <c r="M5735" s="209"/>
      <c r="N5735" s="209"/>
      <c r="O5735" s="209"/>
      <c r="P5735" s="209"/>
      <c r="Q5735" s="209"/>
      <c r="R5735" s="209"/>
      <c r="S5735" s="209"/>
      <c r="T5735" s="209"/>
    </row>
    <row r="5736" spans="1:20" ht="15" hidden="1" customHeight="1">
      <c r="A5736" s="468">
        <v>45510</v>
      </c>
      <c r="B5736" s="208" t="s">
        <v>4597</v>
      </c>
      <c r="C5736" s="208" t="s">
        <v>269</v>
      </c>
      <c r="D5736" s="211">
        <v>-6200</v>
      </c>
      <c r="E5736" s="212">
        <v>45536</v>
      </c>
      <c r="F5736" s="208" t="s">
        <v>130</v>
      </c>
      <c r="G5736" s="208" t="s">
        <v>257</v>
      </c>
      <c r="H5736" s="208" t="s">
        <v>138</v>
      </c>
      <c r="I5736" s="208" t="s">
        <v>2052</v>
      </c>
      <c r="J5736" s="209"/>
      <c r="K5736" s="209"/>
      <c r="L5736" s="209"/>
      <c r="M5736" s="209"/>
      <c r="N5736" s="209"/>
      <c r="O5736" s="209"/>
      <c r="P5736" s="209"/>
      <c r="Q5736" s="209"/>
      <c r="R5736" s="209"/>
      <c r="S5736" s="209"/>
      <c r="T5736" s="209"/>
    </row>
    <row r="5737" spans="1:20" ht="15" hidden="1" customHeight="1">
      <c r="A5737" s="468">
        <v>45510</v>
      </c>
      <c r="B5737" s="208" t="s">
        <v>4598</v>
      </c>
      <c r="C5737" s="208" t="s">
        <v>269</v>
      </c>
      <c r="D5737" s="211">
        <v>-15000</v>
      </c>
      <c r="E5737" s="212">
        <v>45536</v>
      </c>
      <c r="F5737" s="208" t="s">
        <v>130</v>
      </c>
      <c r="G5737" s="591" t="s">
        <v>257</v>
      </c>
      <c r="H5737" s="208" t="s">
        <v>303</v>
      </c>
      <c r="I5737" s="208" t="s">
        <v>2052</v>
      </c>
      <c r="J5737" s="209"/>
      <c r="K5737" s="209"/>
      <c r="L5737" s="209"/>
      <c r="M5737" s="209"/>
      <c r="N5737" s="209"/>
      <c r="O5737" s="209"/>
      <c r="P5737" s="209"/>
      <c r="Q5737" s="209"/>
      <c r="R5737" s="209"/>
      <c r="S5737" s="209"/>
      <c r="T5737" s="209"/>
    </row>
    <row r="5738" spans="1:20" ht="15" hidden="1" customHeight="1">
      <c r="A5738" s="468">
        <v>45510</v>
      </c>
      <c r="B5738" s="208" t="s">
        <v>4599</v>
      </c>
      <c r="C5738" s="208" t="s">
        <v>269</v>
      </c>
      <c r="D5738" s="211">
        <v>-50000</v>
      </c>
      <c r="E5738" s="212">
        <v>45536</v>
      </c>
      <c r="F5738" s="208" t="s">
        <v>130</v>
      </c>
      <c r="G5738" s="591" t="s">
        <v>257</v>
      </c>
      <c r="H5738" s="208" t="s">
        <v>303</v>
      </c>
      <c r="I5738" s="208" t="s">
        <v>2052</v>
      </c>
      <c r="J5738" s="209"/>
      <c r="K5738" s="209"/>
      <c r="L5738" s="209"/>
      <c r="M5738" s="209"/>
      <c r="N5738" s="209"/>
      <c r="O5738" s="209"/>
      <c r="P5738" s="209"/>
      <c r="Q5738" s="209"/>
      <c r="R5738" s="209"/>
      <c r="S5738" s="209"/>
      <c r="T5738" s="209"/>
    </row>
    <row r="5739" spans="1:20" ht="15" hidden="1" customHeight="1">
      <c r="A5739" s="468">
        <v>45510</v>
      </c>
      <c r="B5739" s="208" t="s">
        <v>4600</v>
      </c>
      <c r="C5739" s="208" t="s">
        <v>269</v>
      </c>
      <c r="D5739" s="211">
        <v>-6200</v>
      </c>
      <c r="E5739" s="212">
        <v>45536</v>
      </c>
      <c r="F5739" s="208" t="s">
        <v>130</v>
      </c>
      <c r="G5739" s="591" t="s">
        <v>257</v>
      </c>
      <c r="H5739" s="208" t="s">
        <v>138</v>
      </c>
      <c r="I5739" s="208" t="s">
        <v>2052</v>
      </c>
      <c r="J5739" s="209"/>
      <c r="K5739" s="209"/>
      <c r="L5739" s="209"/>
      <c r="M5739" s="209"/>
      <c r="N5739" s="209"/>
      <c r="O5739" s="209"/>
      <c r="P5739" s="209"/>
      <c r="Q5739" s="209"/>
      <c r="R5739" s="209"/>
      <c r="S5739" s="209"/>
      <c r="T5739" s="209"/>
    </row>
    <row r="5740" spans="1:20" ht="15" hidden="1" customHeight="1">
      <c r="A5740" s="468">
        <v>45510</v>
      </c>
      <c r="B5740" s="208" t="s">
        <v>4601</v>
      </c>
      <c r="C5740" s="208" t="s">
        <v>269</v>
      </c>
      <c r="D5740" s="211">
        <v>-17000</v>
      </c>
      <c r="E5740" s="212">
        <v>45536</v>
      </c>
      <c r="F5740" s="208" t="s">
        <v>130</v>
      </c>
      <c r="G5740" s="591" t="s">
        <v>257</v>
      </c>
      <c r="H5740" s="208" t="s">
        <v>138</v>
      </c>
      <c r="I5740" s="208" t="s">
        <v>2052</v>
      </c>
      <c r="J5740" s="209"/>
      <c r="K5740" s="209"/>
      <c r="L5740" s="209"/>
      <c r="M5740" s="209"/>
      <c r="N5740" s="209"/>
      <c r="O5740" s="209"/>
      <c r="P5740" s="209"/>
      <c r="Q5740" s="209"/>
      <c r="R5740" s="209"/>
      <c r="S5740" s="209"/>
      <c r="T5740" s="209"/>
    </row>
    <row r="5741" spans="1:20" ht="15" hidden="1" customHeight="1">
      <c r="A5741" s="468">
        <v>45511</v>
      </c>
      <c r="B5741" s="208" t="s">
        <v>4602</v>
      </c>
      <c r="C5741" s="208" t="s">
        <v>269</v>
      </c>
      <c r="D5741" s="211">
        <v>-14500</v>
      </c>
      <c r="E5741" s="212">
        <v>45536</v>
      </c>
      <c r="F5741" s="208" t="s">
        <v>130</v>
      </c>
      <c r="G5741" s="591" t="s">
        <v>257</v>
      </c>
      <c r="H5741" s="208" t="s">
        <v>138</v>
      </c>
      <c r="I5741" s="208" t="s">
        <v>2052</v>
      </c>
      <c r="J5741" s="209"/>
      <c r="K5741" s="209"/>
      <c r="L5741" s="209"/>
      <c r="M5741" s="209"/>
      <c r="N5741" s="209"/>
      <c r="O5741" s="209"/>
      <c r="P5741" s="209"/>
      <c r="Q5741" s="209"/>
      <c r="R5741" s="209"/>
      <c r="S5741" s="209"/>
      <c r="T5741" s="209"/>
    </row>
    <row r="5742" spans="1:20" ht="15" hidden="1" customHeight="1">
      <c r="A5742" s="468">
        <v>45516</v>
      </c>
      <c r="B5742" s="208" t="s">
        <v>3530</v>
      </c>
      <c r="C5742" s="208" t="s">
        <v>146</v>
      </c>
      <c r="D5742" s="211">
        <v>-100000</v>
      </c>
      <c r="E5742" s="212">
        <v>45536</v>
      </c>
      <c r="F5742" s="208" t="s">
        <v>130</v>
      </c>
      <c r="G5742" s="208" t="s">
        <v>257</v>
      </c>
      <c r="H5742" s="208" t="s">
        <v>138</v>
      </c>
      <c r="I5742" s="208" t="s">
        <v>63</v>
      </c>
      <c r="J5742" s="209"/>
      <c r="K5742" s="209"/>
      <c r="L5742" s="209"/>
      <c r="M5742" s="209"/>
      <c r="N5742" s="209"/>
      <c r="O5742" s="209"/>
      <c r="P5742" s="209"/>
      <c r="Q5742" s="209"/>
      <c r="R5742" s="209"/>
      <c r="S5742" s="209"/>
      <c r="T5742" s="209"/>
    </row>
    <row r="5743" spans="1:20" ht="15" hidden="1" customHeight="1">
      <c r="A5743" s="468">
        <v>45516</v>
      </c>
      <c r="B5743" s="208" t="s">
        <v>853</v>
      </c>
      <c r="C5743" s="208" t="s">
        <v>146</v>
      </c>
      <c r="D5743" s="211">
        <v>-28494</v>
      </c>
      <c r="E5743" s="212">
        <v>45536</v>
      </c>
      <c r="F5743" s="208" t="s">
        <v>130</v>
      </c>
      <c r="G5743" s="208" t="s">
        <v>257</v>
      </c>
      <c r="H5743" s="208" t="s">
        <v>138</v>
      </c>
      <c r="I5743" s="208" t="s">
        <v>63</v>
      </c>
      <c r="J5743" s="209"/>
      <c r="K5743" s="209"/>
      <c r="L5743" s="209"/>
      <c r="M5743" s="209"/>
      <c r="N5743" s="209"/>
      <c r="O5743" s="209"/>
      <c r="P5743" s="209"/>
      <c r="Q5743" s="209"/>
      <c r="R5743" s="209"/>
      <c r="S5743" s="209"/>
      <c r="T5743" s="209"/>
    </row>
    <row r="5744" spans="1:20" ht="15" hidden="1" customHeight="1">
      <c r="A5744" s="468">
        <v>45516</v>
      </c>
      <c r="B5744" s="208" t="s">
        <v>853</v>
      </c>
      <c r="C5744" s="208" t="s">
        <v>146</v>
      </c>
      <c r="D5744" s="211">
        <v>-25439</v>
      </c>
      <c r="E5744" s="212">
        <v>45536</v>
      </c>
      <c r="F5744" s="208" t="s">
        <v>130</v>
      </c>
      <c r="G5744" s="208" t="s">
        <v>257</v>
      </c>
      <c r="H5744" s="208" t="s">
        <v>138</v>
      </c>
      <c r="I5744" s="208" t="s">
        <v>63</v>
      </c>
      <c r="J5744" s="209"/>
      <c r="K5744" s="209"/>
      <c r="L5744" s="209"/>
      <c r="M5744" s="209"/>
      <c r="N5744" s="209"/>
      <c r="O5744" s="209"/>
      <c r="P5744" s="209"/>
      <c r="Q5744" s="209"/>
      <c r="R5744" s="209"/>
      <c r="S5744" s="209"/>
      <c r="T5744" s="209"/>
    </row>
    <row r="5745" spans="1:20" ht="15" hidden="1" customHeight="1">
      <c r="A5745" s="468">
        <v>45517</v>
      </c>
      <c r="B5745" s="208" t="s">
        <v>3535</v>
      </c>
      <c r="C5745" s="208" t="s">
        <v>146</v>
      </c>
      <c r="D5745" s="211">
        <v>-96200</v>
      </c>
      <c r="E5745" s="212">
        <v>45536</v>
      </c>
      <c r="F5745" s="208" t="s">
        <v>130</v>
      </c>
      <c r="G5745" s="208" t="s">
        <v>257</v>
      </c>
      <c r="H5745" s="208" t="s">
        <v>303</v>
      </c>
      <c r="I5745" s="208" t="s">
        <v>63</v>
      </c>
      <c r="J5745" s="209"/>
      <c r="K5745" s="209"/>
      <c r="L5745" s="209"/>
      <c r="M5745" s="209"/>
      <c r="N5745" s="209"/>
      <c r="O5745" s="209"/>
      <c r="P5745" s="209"/>
      <c r="Q5745" s="209"/>
      <c r="R5745" s="209"/>
      <c r="S5745" s="209"/>
      <c r="T5745" s="209"/>
    </row>
    <row r="5746" spans="1:20" ht="15" hidden="1" customHeight="1">
      <c r="A5746" s="468">
        <v>45517</v>
      </c>
      <c r="B5746" s="208" t="s">
        <v>3530</v>
      </c>
      <c r="C5746" s="208" t="s">
        <v>146</v>
      </c>
      <c r="D5746" s="211">
        <v>-100000</v>
      </c>
      <c r="E5746" s="212">
        <v>45536</v>
      </c>
      <c r="F5746" s="208" t="s">
        <v>130</v>
      </c>
      <c r="G5746" s="208" t="s">
        <v>257</v>
      </c>
      <c r="H5746" s="208" t="s">
        <v>138</v>
      </c>
      <c r="I5746" s="208" t="s">
        <v>63</v>
      </c>
      <c r="J5746" s="209"/>
      <c r="K5746" s="209"/>
      <c r="L5746" s="209"/>
      <c r="M5746" s="209"/>
      <c r="N5746" s="209"/>
      <c r="O5746" s="209"/>
      <c r="P5746" s="209"/>
      <c r="Q5746" s="209"/>
      <c r="R5746" s="209"/>
      <c r="S5746" s="209"/>
      <c r="T5746" s="209"/>
    </row>
    <row r="5747" spans="1:20" ht="15" hidden="1" customHeight="1">
      <c r="A5747" s="468">
        <v>45533</v>
      </c>
      <c r="B5747" s="208" t="s">
        <v>3720</v>
      </c>
      <c r="C5747" s="208" t="s">
        <v>269</v>
      </c>
      <c r="D5747" s="211">
        <v>-7000</v>
      </c>
      <c r="E5747" s="212">
        <v>45536</v>
      </c>
      <c r="F5747" s="208" t="s">
        <v>109</v>
      </c>
      <c r="G5747" s="208" t="s">
        <v>3529</v>
      </c>
      <c r="H5747" s="208" t="s">
        <v>175</v>
      </c>
      <c r="I5747" s="208" t="s">
        <v>173</v>
      </c>
      <c r="J5747" s="209"/>
      <c r="K5747" s="209"/>
      <c r="L5747" s="209"/>
      <c r="M5747" s="209"/>
      <c r="N5747" s="209"/>
      <c r="O5747" s="209"/>
      <c r="P5747" s="209"/>
      <c r="Q5747" s="209"/>
      <c r="R5747" s="209"/>
      <c r="S5747" s="209"/>
      <c r="T5747" s="209"/>
    </row>
    <row r="5748" spans="1:20" ht="15" hidden="1" customHeight="1">
      <c r="A5748" s="468">
        <v>45533</v>
      </c>
      <c r="B5748" s="208" t="s">
        <v>4753</v>
      </c>
      <c r="C5748" s="208" t="s">
        <v>269</v>
      </c>
      <c r="D5748" s="211">
        <v>-12000</v>
      </c>
      <c r="E5748" s="212">
        <v>45536</v>
      </c>
      <c r="F5748" s="208" t="s">
        <v>110</v>
      </c>
      <c r="G5748" s="681" t="s">
        <v>774</v>
      </c>
      <c r="H5748" s="208" t="s">
        <v>175</v>
      </c>
      <c r="I5748" s="208" t="s">
        <v>173</v>
      </c>
      <c r="J5748" s="209"/>
      <c r="K5748" s="209"/>
      <c r="L5748" s="209"/>
      <c r="M5748" s="209"/>
      <c r="N5748" s="209"/>
      <c r="O5748" s="209"/>
      <c r="P5748" s="209"/>
      <c r="Q5748" s="209"/>
      <c r="R5748" s="209"/>
      <c r="S5748" s="209"/>
      <c r="T5748" s="209"/>
    </row>
    <row r="5749" spans="1:20" ht="15" hidden="1" customHeight="1">
      <c r="A5749" s="468">
        <v>45533</v>
      </c>
      <c r="B5749" s="208" t="s">
        <v>4754</v>
      </c>
      <c r="C5749" s="208" t="s">
        <v>269</v>
      </c>
      <c r="D5749" s="211">
        <v>-35886</v>
      </c>
      <c r="E5749" s="212">
        <v>45536</v>
      </c>
      <c r="F5749" s="208" t="s">
        <v>110</v>
      </c>
      <c r="G5749" s="681" t="s">
        <v>774</v>
      </c>
      <c r="H5749" s="208" t="s">
        <v>175</v>
      </c>
      <c r="I5749" s="208" t="s">
        <v>173</v>
      </c>
      <c r="J5749" s="209"/>
      <c r="K5749" s="209"/>
      <c r="L5749" s="209"/>
      <c r="M5749" s="209"/>
      <c r="N5749" s="209"/>
      <c r="O5749" s="209"/>
      <c r="P5749" s="209"/>
      <c r="Q5749" s="209"/>
      <c r="R5749" s="209"/>
      <c r="S5749" s="209"/>
      <c r="T5749" s="209"/>
    </row>
    <row r="5750" spans="1:20" ht="15" hidden="1" customHeight="1">
      <c r="A5750" s="468">
        <v>45533</v>
      </c>
      <c r="B5750" s="208" t="s">
        <v>4755</v>
      </c>
      <c r="C5750" s="208" t="s">
        <v>269</v>
      </c>
      <c r="D5750" s="211">
        <v>-24000</v>
      </c>
      <c r="E5750" s="212">
        <v>45536</v>
      </c>
      <c r="F5750" s="208" t="s">
        <v>110</v>
      </c>
      <c r="G5750" s="208" t="s">
        <v>4399</v>
      </c>
      <c r="H5750" s="208" t="s">
        <v>175</v>
      </c>
      <c r="I5750" s="208" t="s">
        <v>173</v>
      </c>
      <c r="J5750" s="209"/>
      <c r="K5750" s="209"/>
      <c r="L5750" s="209"/>
      <c r="M5750" s="209"/>
      <c r="N5750" s="209"/>
      <c r="O5750" s="209"/>
      <c r="P5750" s="209"/>
      <c r="Q5750" s="209"/>
      <c r="R5750" s="209"/>
      <c r="S5750" s="209"/>
      <c r="T5750" s="209"/>
    </row>
    <row r="5751" spans="1:20" ht="15" hidden="1" customHeight="1">
      <c r="A5751" s="468">
        <v>45533</v>
      </c>
      <c r="B5751" s="208" t="s">
        <v>4756</v>
      </c>
      <c r="C5751" s="208" t="s">
        <v>269</v>
      </c>
      <c r="D5751" s="211">
        <v>-19600</v>
      </c>
      <c r="E5751" s="212">
        <v>45536</v>
      </c>
      <c r="F5751" s="208" t="s">
        <v>110</v>
      </c>
      <c r="G5751" s="208" t="s">
        <v>4399</v>
      </c>
      <c r="H5751" s="208" t="s">
        <v>175</v>
      </c>
      <c r="I5751" s="208" t="s">
        <v>173</v>
      </c>
      <c r="J5751" s="209"/>
      <c r="K5751" s="209"/>
      <c r="L5751" s="209"/>
      <c r="M5751" s="209"/>
      <c r="N5751" s="209"/>
      <c r="O5751" s="209"/>
      <c r="P5751" s="209"/>
      <c r="Q5751" s="209"/>
      <c r="R5751" s="209"/>
      <c r="S5751" s="209"/>
      <c r="T5751" s="209"/>
    </row>
    <row r="5752" spans="1:20" ht="15" hidden="1" customHeight="1">
      <c r="A5752" s="468">
        <v>45533</v>
      </c>
      <c r="B5752" s="208" t="s">
        <v>4757</v>
      </c>
      <c r="C5752" s="208" t="s">
        <v>269</v>
      </c>
      <c r="D5752" s="211">
        <v>-12000</v>
      </c>
      <c r="E5752" s="212">
        <v>45536</v>
      </c>
      <c r="F5752" s="208" t="s">
        <v>109</v>
      </c>
      <c r="G5752" s="208" t="s">
        <v>3529</v>
      </c>
      <c r="H5752" s="208" t="s">
        <v>175</v>
      </c>
      <c r="I5752" s="208" t="s">
        <v>173</v>
      </c>
      <c r="J5752" s="209"/>
      <c r="K5752" s="209"/>
      <c r="L5752" s="209"/>
      <c r="M5752" s="209"/>
      <c r="N5752" s="209"/>
      <c r="O5752" s="209"/>
      <c r="P5752" s="209"/>
      <c r="Q5752" s="209"/>
      <c r="R5752" s="209"/>
      <c r="S5752" s="209"/>
      <c r="T5752" s="209"/>
    </row>
    <row r="5753" spans="1:20" ht="15" hidden="1" customHeight="1">
      <c r="A5753" s="468">
        <v>45533</v>
      </c>
      <c r="B5753" s="208" t="s">
        <v>4758</v>
      </c>
      <c r="C5753" s="208" t="s">
        <v>269</v>
      </c>
      <c r="D5753" s="211">
        <v>-53680</v>
      </c>
      <c r="E5753" s="212">
        <v>45536</v>
      </c>
      <c r="F5753" s="208" t="s">
        <v>110</v>
      </c>
      <c r="G5753" s="208" t="s">
        <v>4399</v>
      </c>
      <c r="H5753" s="208" t="s">
        <v>175</v>
      </c>
      <c r="I5753" s="208" t="s">
        <v>173</v>
      </c>
      <c r="J5753" s="209"/>
      <c r="K5753" s="209"/>
      <c r="L5753" s="209"/>
      <c r="M5753" s="209"/>
      <c r="N5753" s="209"/>
      <c r="O5753" s="209"/>
      <c r="P5753" s="209"/>
      <c r="Q5753" s="209"/>
      <c r="R5753" s="209"/>
      <c r="S5753" s="209"/>
      <c r="T5753" s="209"/>
    </row>
    <row r="5754" spans="1:20" ht="15" hidden="1" customHeight="1">
      <c r="A5754" s="468">
        <v>45533</v>
      </c>
      <c r="B5754" s="208" t="s">
        <v>4759</v>
      </c>
      <c r="C5754" s="208" t="s">
        <v>269</v>
      </c>
      <c r="D5754" s="211">
        <v>-13600</v>
      </c>
      <c r="E5754" s="212">
        <v>45536</v>
      </c>
      <c r="F5754" s="208" t="s">
        <v>109</v>
      </c>
      <c r="G5754" s="208" t="s">
        <v>3529</v>
      </c>
      <c r="H5754" s="208" t="s">
        <v>175</v>
      </c>
      <c r="I5754" s="208" t="s">
        <v>173</v>
      </c>
      <c r="J5754" s="209"/>
      <c r="K5754" s="209"/>
      <c r="L5754" s="209"/>
      <c r="M5754" s="209"/>
      <c r="N5754" s="209"/>
      <c r="O5754" s="209"/>
      <c r="P5754" s="209"/>
      <c r="Q5754" s="209"/>
      <c r="R5754" s="209"/>
      <c r="S5754" s="209"/>
      <c r="T5754" s="209"/>
    </row>
    <row r="5755" spans="1:20" ht="15" hidden="1" customHeight="1">
      <c r="A5755" s="468">
        <v>45533</v>
      </c>
      <c r="B5755" s="208" t="s">
        <v>4760</v>
      </c>
      <c r="C5755" s="208" t="s">
        <v>269</v>
      </c>
      <c r="D5755" s="211">
        <v>-15799</v>
      </c>
      <c r="E5755" s="212">
        <v>45536</v>
      </c>
      <c r="F5755" s="208" t="s">
        <v>130</v>
      </c>
      <c r="G5755" s="681" t="s">
        <v>130</v>
      </c>
      <c r="H5755" s="208" t="s">
        <v>175</v>
      </c>
      <c r="I5755" s="208" t="s">
        <v>173</v>
      </c>
      <c r="J5755" s="209"/>
      <c r="K5755" s="209"/>
      <c r="L5755" s="209"/>
      <c r="M5755" s="209"/>
      <c r="N5755" s="209"/>
      <c r="O5755" s="209"/>
      <c r="P5755" s="209"/>
      <c r="Q5755" s="209"/>
      <c r="R5755" s="209"/>
      <c r="S5755" s="209"/>
      <c r="T5755" s="209"/>
    </row>
    <row r="5756" spans="1:20" ht="15" hidden="1" customHeight="1">
      <c r="A5756" s="468">
        <v>45533</v>
      </c>
      <c r="B5756" s="208" t="s">
        <v>4761</v>
      </c>
      <c r="C5756" s="208" t="s">
        <v>269</v>
      </c>
      <c r="D5756" s="211">
        <v>-134099</v>
      </c>
      <c r="E5756" s="212">
        <v>45536</v>
      </c>
      <c r="F5756" s="208" t="s">
        <v>110</v>
      </c>
      <c r="G5756" s="208" t="s">
        <v>4399</v>
      </c>
      <c r="H5756" s="208" t="s">
        <v>175</v>
      </c>
      <c r="I5756" s="208" t="s">
        <v>173</v>
      </c>
      <c r="J5756" s="209"/>
      <c r="K5756" s="209"/>
      <c r="L5756" s="209"/>
      <c r="M5756" s="209"/>
      <c r="N5756" s="209"/>
      <c r="O5756" s="209"/>
      <c r="P5756" s="209"/>
      <c r="Q5756" s="209"/>
      <c r="R5756" s="209"/>
      <c r="S5756" s="209"/>
      <c r="T5756" s="209"/>
    </row>
    <row r="5757" spans="1:20" ht="15" hidden="1" customHeight="1">
      <c r="A5757" s="468">
        <v>45533</v>
      </c>
      <c r="B5757" s="208" t="s">
        <v>4762</v>
      </c>
      <c r="C5757" s="208" t="s">
        <v>269</v>
      </c>
      <c r="D5757" s="211">
        <v>-24000</v>
      </c>
      <c r="E5757" s="212">
        <v>45536</v>
      </c>
      <c r="F5757" s="208" t="s">
        <v>110</v>
      </c>
      <c r="G5757" s="208" t="s">
        <v>4399</v>
      </c>
      <c r="H5757" s="208" t="s">
        <v>175</v>
      </c>
      <c r="I5757" s="208" t="s">
        <v>173</v>
      </c>
      <c r="J5757" s="209"/>
      <c r="K5757" s="209"/>
      <c r="L5757" s="209"/>
      <c r="M5757" s="209"/>
      <c r="N5757" s="209"/>
      <c r="O5757" s="209"/>
      <c r="P5757" s="209"/>
      <c r="Q5757" s="209"/>
      <c r="R5757" s="209"/>
      <c r="S5757" s="209"/>
      <c r="T5757" s="209"/>
    </row>
    <row r="5758" spans="1:20" ht="15" hidden="1" customHeight="1">
      <c r="A5758" s="468">
        <v>45533</v>
      </c>
      <c r="B5758" s="208" t="s">
        <v>4763</v>
      </c>
      <c r="C5758" s="208" t="s">
        <v>269</v>
      </c>
      <c r="D5758" s="211">
        <v>-7000</v>
      </c>
      <c r="E5758" s="212">
        <v>45536</v>
      </c>
      <c r="F5758" s="208" t="s">
        <v>110</v>
      </c>
      <c r="G5758" s="208" t="s">
        <v>4399</v>
      </c>
      <c r="H5758" s="208" t="s">
        <v>175</v>
      </c>
      <c r="I5758" s="208" t="s">
        <v>173</v>
      </c>
      <c r="J5758" s="209"/>
      <c r="K5758" s="209"/>
      <c r="L5758" s="209"/>
      <c r="M5758" s="209"/>
      <c r="N5758" s="209"/>
      <c r="O5758" s="209"/>
      <c r="P5758" s="209"/>
      <c r="Q5758" s="209"/>
      <c r="R5758" s="209"/>
      <c r="S5758" s="209"/>
      <c r="T5758" s="209"/>
    </row>
    <row r="5759" spans="1:20" ht="15" hidden="1" customHeight="1">
      <c r="A5759" s="468">
        <v>45533</v>
      </c>
      <c r="B5759" s="208" t="s">
        <v>4764</v>
      </c>
      <c r="C5759" s="208" t="s">
        <v>269</v>
      </c>
      <c r="D5759" s="211">
        <v>-8399</v>
      </c>
      <c r="E5759" s="212">
        <v>45536</v>
      </c>
      <c r="F5759" s="208" t="s">
        <v>130</v>
      </c>
      <c r="G5759" s="681" t="s">
        <v>130</v>
      </c>
      <c r="H5759" s="208" t="s">
        <v>175</v>
      </c>
      <c r="I5759" s="208" t="s">
        <v>173</v>
      </c>
      <c r="J5759" s="209"/>
      <c r="K5759" s="209"/>
      <c r="L5759" s="209"/>
      <c r="M5759" s="209"/>
      <c r="N5759" s="209"/>
      <c r="O5759" s="209"/>
      <c r="P5759" s="209"/>
      <c r="Q5759" s="209"/>
      <c r="R5759" s="209"/>
      <c r="S5759" s="209"/>
      <c r="T5759" s="209"/>
    </row>
    <row r="5760" spans="1:20" ht="15" hidden="1" customHeight="1">
      <c r="A5760" s="468">
        <v>45533</v>
      </c>
      <c r="B5760" s="208" t="s">
        <v>3537</v>
      </c>
      <c r="C5760" s="208" t="s">
        <v>146</v>
      </c>
      <c r="D5760" s="211">
        <v>-28500</v>
      </c>
      <c r="E5760" s="212">
        <v>45536</v>
      </c>
      <c r="F5760" s="208" t="s">
        <v>130</v>
      </c>
      <c r="G5760" s="208" t="s">
        <v>257</v>
      </c>
      <c r="H5760" s="208" t="s">
        <v>138</v>
      </c>
      <c r="I5760" s="208" t="s">
        <v>63</v>
      </c>
      <c r="J5760" s="209"/>
      <c r="K5760" s="209"/>
      <c r="L5760" s="209"/>
      <c r="M5760" s="209"/>
      <c r="N5760" s="209"/>
      <c r="O5760" s="209"/>
      <c r="P5760" s="209"/>
      <c r="Q5760" s="209"/>
      <c r="R5760" s="209"/>
      <c r="S5760" s="209"/>
      <c r="T5760" s="209"/>
    </row>
    <row r="5761" spans="1:149" ht="15" hidden="1" customHeight="1">
      <c r="A5761" s="468">
        <v>45534</v>
      </c>
      <c r="B5761" s="208" t="s">
        <v>2709</v>
      </c>
      <c r="C5761" s="208" t="s">
        <v>269</v>
      </c>
      <c r="D5761" s="211">
        <v>-30000</v>
      </c>
      <c r="E5761" s="212">
        <v>45536</v>
      </c>
      <c r="F5761" s="208" t="s">
        <v>109</v>
      </c>
      <c r="G5761" s="201" t="s">
        <v>581</v>
      </c>
      <c r="H5761" s="208"/>
      <c r="I5761" s="208" t="s">
        <v>3364</v>
      </c>
      <c r="J5761" s="209"/>
      <c r="K5761" s="209"/>
      <c r="L5761" s="209"/>
      <c r="M5761" s="209"/>
      <c r="N5761" s="209"/>
      <c r="O5761" s="209"/>
      <c r="P5761" s="209"/>
      <c r="Q5761" s="209"/>
      <c r="R5761" s="209"/>
      <c r="S5761" s="209"/>
      <c r="T5761" s="209"/>
      <c r="U5761" s="451"/>
      <c r="V5761" s="451"/>
      <c r="W5761" s="451"/>
      <c r="X5761" s="451"/>
      <c r="Y5761" s="451"/>
      <c r="Z5761" s="451"/>
      <c r="AA5761" s="451"/>
      <c r="AB5761" s="451"/>
      <c r="AC5761" s="451"/>
      <c r="AD5761" s="451"/>
      <c r="AE5761" s="451"/>
      <c r="AF5761" s="451"/>
      <c r="AG5761" s="451"/>
      <c r="AH5761" s="451"/>
      <c r="AI5761" s="451"/>
      <c r="AJ5761" s="451"/>
      <c r="AK5761" s="451"/>
      <c r="AL5761" s="451"/>
      <c r="AM5761" s="451"/>
      <c r="AN5761" s="451"/>
      <c r="AO5761" s="451"/>
      <c r="AP5761" s="451"/>
      <c r="AQ5761" s="451"/>
      <c r="AR5761" s="451"/>
      <c r="AS5761" s="451"/>
      <c r="AT5761" s="451"/>
      <c r="AU5761" s="451"/>
      <c r="AV5761" s="451"/>
      <c r="AW5761" s="451"/>
      <c r="AX5761" s="451"/>
      <c r="AY5761" s="451"/>
      <c r="AZ5761" s="451"/>
      <c r="BA5761" s="451"/>
      <c r="BB5761" s="451"/>
      <c r="BC5761" s="451"/>
      <c r="BD5761" s="451"/>
      <c r="BE5761" s="451"/>
      <c r="BF5761" s="451"/>
      <c r="BG5761" s="451"/>
      <c r="BH5761" s="451"/>
      <c r="BI5761" s="451"/>
      <c r="BJ5761" s="451"/>
      <c r="BK5761" s="451"/>
      <c r="BL5761" s="451"/>
      <c r="BM5761" s="451"/>
      <c r="BN5761" s="451"/>
      <c r="BO5761" s="451"/>
      <c r="BP5761" s="451"/>
      <c r="BQ5761" s="451"/>
      <c r="BR5761" s="451"/>
      <c r="BS5761" s="451"/>
      <c r="BT5761" s="451"/>
      <c r="BU5761" s="451"/>
      <c r="BV5761" s="451"/>
      <c r="BW5761" s="451"/>
      <c r="BX5761" s="451"/>
      <c r="BY5761" s="451"/>
      <c r="BZ5761" s="451"/>
      <c r="CA5761" s="451"/>
      <c r="CB5761" s="451"/>
      <c r="CC5761" s="451"/>
      <c r="CD5761" s="451"/>
      <c r="CE5761" s="451"/>
      <c r="CF5761" s="451"/>
      <c r="CG5761" s="451"/>
      <c r="CH5761" s="451"/>
      <c r="CI5761" s="451"/>
      <c r="CJ5761" s="451"/>
      <c r="CK5761" s="451"/>
      <c r="CL5761" s="451"/>
      <c r="CM5761" s="451"/>
      <c r="CN5761" s="451"/>
      <c r="CO5761" s="451"/>
      <c r="CP5761" s="451"/>
      <c r="CQ5761" s="451"/>
      <c r="CR5761" s="451"/>
      <c r="CS5761" s="451"/>
      <c r="CT5761" s="451"/>
      <c r="CU5761" s="451"/>
      <c r="CV5761" s="451"/>
      <c r="CW5761" s="451"/>
      <c r="CX5761" s="451"/>
      <c r="CY5761" s="451"/>
      <c r="CZ5761" s="451"/>
      <c r="DA5761" s="451"/>
      <c r="DB5761" s="451"/>
      <c r="DC5761" s="451"/>
      <c r="DD5761" s="451"/>
      <c r="DE5761" s="451"/>
      <c r="DF5761" s="451"/>
      <c r="DG5761" s="451"/>
      <c r="DH5761" s="451"/>
      <c r="DI5761" s="451"/>
      <c r="DJ5761" s="451"/>
      <c r="DK5761" s="451"/>
      <c r="DL5761" s="451"/>
      <c r="DM5761" s="451"/>
      <c r="DN5761" s="451"/>
      <c r="DO5761" s="451"/>
      <c r="DP5761" s="451"/>
      <c r="DQ5761" s="451"/>
      <c r="DR5761" s="451"/>
      <c r="DS5761" s="451"/>
      <c r="DT5761" s="451"/>
      <c r="DU5761" s="451"/>
      <c r="DV5761" s="451"/>
      <c r="DW5761" s="451"/>
      <c r="DX5761" s="451"/>
      <c r="DY5761" s="451"/>
      <c r="DZ5761" s="451"/>
      <c r="EA5761" s="451"/>
      <c r="EB5761" s="451"/>
      <c r="EC5761" s="451"/>
      <c r="ED5761" s="451"/>
      <c r="EE5761" s="451"/>
      <c r="EF5761" s="451"/>
      <c r="EG5761" s="451"/>
      <c r="EH5761" s="451"/>
      <c r="EI5761" s="451"/>
      <c r="EJ5761" s="451"/>
      <c r="EK5761" s="451"/>
      <c r="EL5761" s="451"/>
      <c r="EM5761" s="451"/>
      <c r="EN5761" s="451"/>
      <c r="EO5761" s="451"/>
      <c r="EP5761" s="451"/>
      <c r="EQ5761" s="451"/>
      <c r="ER5761" s="451"/>
      <c r="ES5761" s="451"/>
    </row>
    <row r="5762" spans="1:149" ht="15" hidden="1" customHeight="1">
      <c r="A5762" s="468">
        <v>45534</v>
      </c>
      <c r="B5762" s="208" t="s">
        <v>4765</v>
      </c>
      <c r="C5762" s="208" t="s">
        <v>146</v>
      </c>
      <c r="D5762" s="526">
        <v>-32000</v>
      </c>
      <c r="E5762" s="212">
        <v>45536</v>
      </c>
      <c r="F5762" s="208" t="s">
        <v>109</v>
      </c>
      <c r="G5762" s="208" t="s">
        <v>525</v>
      </c>
      <c r="H5762" s="208" t="s">
        <v>138</v>
      </c>
      <c r="I5762" s="208" t="s">
        <v>4766</v>
      </c>
      <c r="J5762" s="209"/>
      <c r="K5762" s="209"/>
      <c r="L5762" s="209"/>
      <c r="M5762" s="209"/>
      <c r="N5762" s="209"/>
      <c r="O5762" s="209"/>
      <c r="P5762" s="209"/>
      <c r="Q5762" s="209"/>
      <c r="R5762" s="209"/>
      <c r="S5762" s="209"/>
      <c r="T5762" s="209"/>
    </row>
    <row r="5763" spans="1:149" ht="15" hidden="1" customHeight="1">
      <c r="A5763" s="468">
        <v>45534</v>
      </c>
      <c r="B5763" s="208" t="s">
        <v>4767</v>
      </c>
      <c r="C5763" s="208" t="s">
        <v>146</v>
      </c>
      <c r="D5763" s="526">
        <v>-32000</v>
      </c>
      <c r="E5763" s="212">
        <v>45536</v>
      </c>
      <c r="F5763" s="208" t="s">
        <v>109</v>
      </c>
      <c r="G5763" s="208" t="s">
        <v>525</v>
      </c>
      <c r="H5763" s="208" t="s">
        <v>138</v>
      </c>
      <c r="I5763" s="208" t="s">
        <v>4766</v>
      </c>
      <c r="J5763" s="209"/>
      <c r="K5763" s="209"/>
      <c r="L5763" s="209"/>
      <c r="M5763" s="209"/>
      <c r="N5763" s="209"/>
      <c r="O5763" s="209"/>
      <c r="P5763" s="209"/>
      <c r="Q5763" s="209"/>
      <c r="R5763" s="209"/>
      <c r="S5763" s="209"/>
      <c r="T5763" s="209"/>
    </row>
    <row r="5764" spans="1:149" ht="15" hidden="1" customHeight="1">
      <c r="A5764" s="468">
        <v>45534</v>
      </c>
      <c r="B5764" s="208" t="s">
        <v>4768</v>
      </c>
      <c r="C5764" s="208" t="s">
        <v>146</v>
      </c>
      <c r="D5764" s="526">
        <v>-80000</v>
      </c>
      <c r="E5764" s="212">
        <v>45536</v>
      </c>
      <c r="F5764" s="208" t="s">
        <v>109</v>
      </c>
      <c r="G5764" s="208" t="s">
        <v>525</v>
      </c>
      <c r="H5764" s="208" t="s">
        <v>138</v>
      </c>
      <c r="I5764" s="208" t="s">
        <v>4766</v>
      </c>
      <c r="J5764" s="209"/>
      <c r="K5764" s="209"/>
      <c r="L5764" s="209"/>
      <c r="M5764" s="209"/>
      <c r="N5764" s="209"/>
      <c r="O5764" s="209"/>
      <c r="P5764" s="209"/>
      <c r="Q5764" s="209"/>
      <c r="R5764" s="209"/>
      <c r="S5764" s="209"/>
      <c r="T5764" s="209"/>
    </row>
    <row r="5765" spans="1:149" ht="15" hidden="1" customHeight="1">
      <c r="A5765" s="468">
        <v>45534</v>
      </c>
      <c r="B5765" s="208" t="s">
        <v>4769</v>
      </c>
      <c r="C5765" s="208" t="s">
        <v>146</v>
      </c>
      <c r="D5765" s="526">
        <v>-20000</v>
      </c>
      <c r="E5765" s="212">
        <v>45536</v>
      </c>
      <c r="F5765" s="208" t="s">
        <v>109</v>
      </c>
      <c r="G5765" s="208" t="s">
        <v>525</v>
      </c>
      <c r="H5765" s="208" t="s">
        <v>138</v>
      </c>
      <c r="I5765" s="208" t="s">
        <v>4766</v>
      </c>
      <c r="J5765" s="209"/>
      <c r="K5765" s="209"/>
      <c r="L5765" s="209"/>
      <c r="M5765" s="209"/>
      <c r="N5765" s="209"/>
      <c r="O5765" s="209"/>
      <c r="P5765" s="209"/>
      <c r="Q5765" s="209"/>
      <c r="R5765" s="209"/>
      <c r="S5765" s="209"/>
      <c r="T5765" s="209"/>
    </row>
    <row r="5766" spans="1:149" ht="15" hidden="1" customHeight="1">
      <c r="A5766" s="468">
        <v>45534</v>
      </c>
      <c r="B5766" s="208" t="s">
        <v>4770</v>
      </c>
      <c r="C5766" s="208" t="s">
        <v>146</v>
      </c>
      <c r="D5766" s="526">
        <v>-24000</v>
      </c>
      <c r="E5766" s="212">
        <v>45536</v>
      </c>
      <c r="F5766" s="208" t="s">
        <v>109</v>
      </c>
      <c r="G5766" s="208" t="s">
        <v>525</v>
      </c>
      <c r="H5766" s="208" t="s">
        <v>138</v>
      </c>
      <c r="I5766" s="208" t="s">
        <v>4766</v>
      </c>
      <c r="J5766" s="209"/>
      <c r="K5766" s="209"/>
      <c r="L5766" s="209"/>
      <c r="M5766" s="209"/>
      <c r="N5766" s="209"/>
      <c r="O5766" s="209"/>
      <c r="P5766" s="209"/>
      <c r="Q5766" s="209"/>
      <c r="R5766" s="209"/>
      <c r="S5766" s="209"/>
      <c r="T5766" s="209"/>
    </row>
    <row r="5767" spans="1:149" ht="15" hidden="1" customHeight="1">
      <c r="A5767" s="468">
        <v>45534</v>
      </c>
      <c r="B5767" s="208" t="s">
        <v>4771</v>
      </c>
      <c r="C5767" s="208" t="s">
        <v>146</v>
      </c>
      <c r="D5767" s="211">
        <v>-26680</v>
      </c>
      <c r="E5767" s="212">
        <v>45536</v>
      </c>
      <c r="F5767" s="208" t="s">
        <v>130</v>
      </c>
      <c r="G5767" s="208" t="s">
        <v>257</v>
      </c>
      <c r="H5767" s="208" t="s">
        <v>303</v>
      </c>
      <c r="I5767" s="208" t="s">
        <v>63</v>
      </c>
      <c r="J5767" s="209"/>
      <c r="K5767" s="209"/>
      <c r="L5767" s="209"/>
      <c r="M5767" s="209"/>
      <c r="N5767" s="209"/>
      <c r="O5767" s="209"/>
      <c r="P5767" s="209"/>
      <c r="Q5767" s="209"/>
      <c r="R5767" s="209"/>
      <c r="S5767" s="209"/>
      <c r="T5767" s="209"/>
    </row>
    <row r="5768" spans="1:149" ht="15" hidden="1" customHeight="1">
      <c r="A5768" s="468">
        <v>45534</v>
      </c>
      <c r="B5768" s="208" t="s">
        <v>4772</v>
      </c>
      <c r="C5768" s="208" t="s">
        <v>146</v>
      </c>
      <c r="D5768" s="211">
        <v>-23800</v>
      </c>
      <c r="E5768" s="212">
        <v>45536</v>
      </c>
      <c r="F5768" s="208" t="s">
        <v>130</v>
      </c>
      <c r="G5768" s="208" t="s">
        <v>257</v>
      </c>
      <c r="H5768" s="208" t="s">
        <v>138</v>
      </c>
      <c r="I5768" s="208" t="s">
        <v>63</v>
      </c>
      <c r="J5768" s="209"/>
      <c r="K5768" s="209"/>
      <c r="L5768" s="209"/>
      <c r="M5768" s="209"/>
      <c r="N5768" s="209"/>
      <c r="O5768" s="209"/>
      <c r="P5768" s="209"/>
      <c r="Q5768" s="209"/>
      <c r="R5768" s="209"/>
      <c r="S5768" s="209"/>
      <c r="T5768" s="209"/>
    </row>
    <row r="5769" spans="1:149" ht="15" hidden="1" customHeight="1">
      <c r="A5769" s="468">
        <v>45535</v>
      </c>
      <c r="B5769" s="208" t="s">
        <v>4773</v>
      </c>
      <c r="C5769" s="208" t="s">
        <v>269</v>
      </c>
      <c r="D5769" s="211">
        <v>-70000</v>
      </c>
      <c r="E5769" s="212">
        <v>45536</v>
      </c>
      <c r="F5769" s="208" t="s">
        <v>109</v>
      </c>
      <c r="G5769" s="201" t="s">
        <v>581</v>
      </c>
      <c r="H5769" s="208"/>
      <c r="I5769" s="208" t="s">
        <v>3364</v>
      </c>
      <c r="J5769" s="209"/>
      <c r="K5769" s="209"/>
      <c r="L5769" s="209"/>
      <c r="M5769" s="209"/>
      <c r="N5769" s="209"/>
      <c r="O5769" s="209"/>
      <c r="P5769" s="209"/>
      <c r="Q5769" s="209"/>
      <c r="R5769" s="209"/>
      <c r="S5769" s="209"/>
      <c r="T5769" s="209"/>
    </row>
    <row r="5770" spans="1:149" ht="15" hidden="1" customHeight="1">
      <c r="A5770" s="468">
        <v>45535</v>
      </c>
      <c r="B5770" s="208" t="s">
        <v>4575</v>
      </c>
      <c r="C5770" s="208" t="s">
        <v>269</v>
      </c>
      <c r="D5770" s="211">
        <v>-40000</v>
      </c>
      <c r="E5770" s="212">
        <v>45536</v>
      </c>
      <c r="F5770" s="208" t="s">
        <v>109</v>
      </c>
      <c r="G5770" s="201" t="s">
        <v>581</v>
      </c>
      <c r="H5770" s="208"/>
      <c r="I5770" s="208" t="s">
        <v>3364</v>
      </c>
      <c r="J5770" s="209"/>
      <c r="K5770" s="209"/>
      <c r="L5770" s="209"/>
      <c r="M5770" s="209"/>
      <c r="N5770" s="209"/>
      <c r="O5770" s="209"/>
      <c r="P5770" s="209"/>
      <c r="Q5770" s="209"/>
      <c r="R5770" s="209"/>
      <c r="S5770" s="209"/>
      <c r="T5770" s="209"/>
    </row>
    <row r="5771" spans="1:149" ht="15" hidden="1" customHeight="1">
      <c r="A5771" s="468">
        <v>45535</v>
      </c>
      <c r="B5771" s="208" t="s">
        <v>4774</v>
      </c>
      <c r="C5771" s="208" t="s">
        <v>269</v>
      </c>
      <c r="D5771" s="211">
        <v>-80000</v>
      </c>
      <c r="E5771" s="212">
        <v>45536</v>
      </c>
      <c r="F5771" s="208" t="s">
        <v>109</v>
      </c>
      <c r="G5771" s="201" t="s">
        <v>581</v>
      </c>
      <c r="H5771" s="208"/>
      <c r="I5771" s="208" t="s">
        <v>3364</v>
      </c>
      <c r="J5771" s="209"/>
      <c r="K5771" s="209"/>
      <c r="L5771" s="209"/>
      <c r="M5771" s="209"/>
      <c r="N5771" s="209"/>
      <c r="O5771" s="209"/>
      <c r="P5771" s="209"/>
      <c r="Q5771" s="209"/>
      <c r="R5771" s="209"/>
      <c r="S5771" s="209"/>
      <c r="T5771" s="209"/>
    </row>
    <row r="5772" spans="1:149" ht="15" hidden="1" customHeight="1">
      <c r="A5772" s="468">
        <v>45536</v>
      </c>
      <c r="B5772" s="208" t="s">
        <v>4775</v>
      </c>
      <c r="C5772" s="208" t="s">
        <v>269</v>
      </c>
      <c r="D5772" s="211">
        <v>-100000</v>
      </c>
      <c r="E5772" s="212">
        <v>45536</v>
      </c>
      <c r="F5772" s="208" t="s">
        <v>130</v>
      </c>
      <c r="G5772" s="84" t="s">
        <v>257</v>
      </c>
      <c r="H5772" s="208" t="s">
        <v>2724</v>
      </c>
      <c r="I5772" s="208"/>
      <c r="J5772" s="209"/>
      <c r="K5772" s="209"/>
      <c r="L5772" s="209"/>
      <c r="M5772" s="209"/>
      <c r="N5772" s="209"/>
      <c r="O5772" s="209"/>
      <c r="P5772" s="209"/>
      <c r="Q5772" s="209"/>
      <c r="R5772" s="209"/>
      <c r="S5772" s="209"/>
      <c r="T5772" s="209"/>
    </row>
    <row r="5773" spans="1:149" ht="15" hidden="1" customHeight="1">
      <c r="A5773" s="468">
        <v>45536</v>
      </c>
      <c r="B5773" s="208" t="s">
        <v>4776</v>
      </c>
      <c r="C5773" s="208" t="s">
        <v>269</v>
      </c>
      <c r="D5773" s="211">
        <v>-77200</v>
      </c>
      <c r="E5773" s="212">
        <v>45536</v>
      </c>
      <c r="F5773" s="208" t="s">
        <v>110</v>
      </c>
      <c r="G5773" s="208" t="s">
        <v>4399</v>
      </c>
      <c r="H5773" s="208" t="s">
        <v>416</v>
      </c>
      <c r="I5773" s="208"/>
      <c r="J5773" s="209"/>
      <c r="K5773" s="209"/>
      <c r="L5773" s="209"/>
      <c r="M5773" s="209"/>
      <c r="N5773" s="209"/>
      <c r="O5773" s="209"/>
      <c r="P5773" s="209"/>
      <c r="Q5773" s="209"/>
      <c r="R5773" s="209"/>
      <c r="S5773" s="209"/>
      <c r="T5773" s="209"/>
    </row>
    <row r="5774" spans="1:149" ht="15" hidden="1" customHeight="1">
      <c r="A5774" s="468">
        <v>45536</v>
      </c>
      <c r="B5774" s="81" t="s">
        <v>4229</v>
      </c>
      <c r="C5774" s="208" t="s">
        <v>643</v>
      </c>
      <c r="D5774" s="682">
        <v>-17593</v>
      </c>
      <c r="E5774" s="212">
        <v>45536</v>
      </c>
      <c r="F5774" s="208" t="s">
        <v>130</v>
      </c>
      <c r="G5774" s="208" t="s">
        <v>130</v>
      </c>
      <c r="H5774" s="208" t="s">
        <v>1245</v>
      </c>
      <c r="I5774" s="208"/>
      <c r="J5774" s="209"/>
      <c r="K5774" s="209"/>
      <c r="L5774" s="209"/>
      <c r="M5774" s="209"/>
      <c r="N5774" s="209"/>
      <c r="O5774" s="209"/>
      <c r="P5774" s="209"/>
      <c r="Q5774" s="209"/>
      <c r="R5774" s="209"/>
      <c r="S5774" s="209"/>
      <c r="T5774" s="209"/>
    </row>
    <row r="5775" spans="1:149" ht="15" hidden="1" customHeight="1">
      <c r="A5775" s="468">
        <v>45536</v>
      </c>
      <c r="B5775" s="208" t="s">
        <v>4777</v>
      </c>
      <c r="C5775" s="208" t="s">
        <v>146</v>
      </c>
      <c r="D5775" s="526">
        <v>-80000</v>
      </c>
      <c r="E5775" s="212">
        <v>45536</v>
      </c>
      <c r="F5775" s="208" t="s">
        <v>110</v>
      </c>
      <c r="G5775" s="208" t="s">
        <v>4399</v>
      </c>
      <c r="H5775" s="208" t="s">
        <v>138</v>
      </c>
      <c r="I5775" s="208" t="s">
        <v>47</v>
      </c>
      <c r="J5775" s="209"/>
      <c r="K5775" s="209"/>
      <c r="L5775" s="209"/>
      <c r="M5775" s="209"/>
      <c r="N5775" s="209"/>
      <c r="O5775" s="209"/>
      <c r="P5775" s="209"/>
      <c r="Q5775" s="209"/>
      <c r="R5775" s="209"/>
      <c r="S5775" s="209"/>
      <c r="T5775" s="209"/>
    </row>
    <row r="5776" spans="1:149" ht="15" hidden="1" customHeight="1">
      <c r="A5776" s="468">
        <v>45536</v>
      </c>
      <c r="B5776" s="208" t="s">
        <v>4777</v>
      </c>
      <c r="C5776" s="208" t="s">
        <v>146</v>
      </c>
      <c r="D5776" s="526">
        <v>-80000</v>
      </c>
      <c r="E5776" s="212">
        <v>45536</v>
      </c>
      <c r="F5776" s="208" t="s">
        <v>110</v>
      </c>
      <c r="G5776" s="208" t="s">
        <v>4399</v>
      </c>
      <c r="H5776" s="208" t="s">
        <v>138</v>
      </c>
      <c r="I5776" s="208" t="s">
        <v>47</v>
      </c>
      <c r="J5776" s="209"/>
      <c r="K5776" s="209"/>
      <c r="L5776" s="209"/>
      <c r="M5776" s="209"/>
      <c r="N5776" s="209"/>
      <c r="O5776" s="209"/>
      <c r="P5776" s="209"/>
      <c r="Q5776" s="209"/>
      <c r="R5776" s="209"/>
      <c r="S5776" s="209"/>
      <c r="T5776" s="209"/>
    </row>
    <row r="5777" spans="1:149" ht="15" hidden="1" customHeight="1">
      <c r="A5777" s="468">
        <v>45536</v>
      </c>
      <c r="B5777" s="208" t="s">
        <v>4777</v>
      </c>
      <c r="C5777" s="208" t="s">
        <v>146</v>
      </c>
      <c r="D5777" s="526">
        <v>-80000</v>
      </c>
      <c r="E5777" s="212">
        <v>45536</v>
      </c>
      <c r="F5777" s="208" t="s">
        <v>110</v>
      </c>
      <c r="G5777" s="208" t="s">
        <v>4399</v>
      </c>
      <c r="H5777" s="208" t="s">
        <v>138</v>
      </c>
      <c r="I5777" s="208" t="s">
        <v>47</v>
      </c>
      <c r="J5777" s="209"/>
      <c r="K5777" s="209"/>
      <c r="L5777" s="209"/>
      <c r="M5777" s="209"/>
      <c r="N5777" s="209"/>
      <c r="O5777" s="209"/>
      <c r="P5777" s="209"/>
      <c r="Q5777" s="209"/>
      <c r="R5777" s="209"/>
      <c r="S5777" s="209"/>
      <c r="T5777" s="209"/>
    </row>
    <row r="5778" spans="1:149" ht="15" hidden="1" customHeight="1">
      <c r="A5778" s="468">
        <v>45536</v>
      </c>
      <c r="B5778" s="208" t="s">
        <v>4777</v>
      </c>
      <c r="C5778" s="208" t="s">
        <v>146</v>
      </c>
      <c r="D5778" s="526">
        <v>-80000</v>
      </c>
      <c r="E5778" s="212">
        <v>45536</v>
      </c>
      <c r="F5778" s="208" t="s">
        <v>110</v>
      </c>
      <c r="G5778" s="208" t="s">
        <v>4399</v>
      </c>
      <c r="H5778" s="208" t="s">
        <v>138</v>
      </c>
      <c r="I5778" s="208" t="s">
        <v>47</v>
      </c>
      <c r="J5778" s="209"/>
      <c r="K5778" s="209"/>
      <c r="L5778" s="209"/>
      <c r="M5778" s="209"/>
      <c r="N5778" s="209"/>
      <c r="O5778" s="209"/>
      <c r="P5778" s="209"/>
      <c r="Q5778" s="209"/>
      <c r="R5778" s="209"/>
      <c r="S5778" s="209"/>
      <c r="T5778" s="209"/>
    </row>
    <row r="5779" spans="1:149" ht="15" hidden="1" customHeight="1">
      <c r="A5779" s="468">
        <v>45536</v>
      </c>
      <c r="B5779" s="208" t="s">
        <v>4777</v>
      </c>
      <c r="C5779" s="208" t="s">
        <v>146</v>
      </c>
      <c r="D5779" s="526">
        <v>-80000</v>
      </c>
      <c r="E5779" s="212">
        <v>45536</v>
      </c>
      <c r="F5779" s="208" t="s">
        <v>110</v>
      </c>
      <c r="G5779" s="208" t="s">
        <v>4399</v>
      </c>
      <c r="H5779" s="208" t="s">
        <v>138</v>
      </c>
      <c r="I5779" s="208" t="s">
        <v>47</v>
      </c>
      <c r="J5779" s="209"/>
      <c r="K5779" s="209"/>
      <c r="L5779" s="209"/>
      <c r="M5779" s="209"/>
      <c r="N5779" s="209"/>
      <c r="O5779" s="209"/>
      <c r="P5779" s="209"/>
      <c r="Q5779" s="209"/>
      <c r="R5779" s="209"/>
      <c r="S5779" s="209"/>
      <c r="T5779" s="209"/>
    </row>
    <row r="5780" spans="1:149" ht="15" hidden="1" customHeight="1">
      <c r="A5780" s="468">
        <v>45536</v>
      </c>
      <c r="B5780" s="208" t="s">
        <v>4777</v>
      </c>
      <c r="C5780" s="208" t="s">
        <v>146</v>
      </c>
      <c r="D5780" s="526">
        <v>-80000</v>
      </c>
      <c r="E5780" s="212">
        <v>45536</v>
      </c>
      <c r="F5780" s="208" t="s">
        <v>110</v>
      </c>
      <c r="G5780" s="208" t="s">
        <v>4399</v>
      </c>
      <c r="H5780" s="208" t="s">
        <v>138</v>
      </c>
      <c r="I5780" s="208" t="s">
        <v>47</v>
      </c>
      <c r="J5780" s="209"/>
      <c r="K5780" s="209"/>
      <c r="L5780" s="209"/>
      <c r="M5780" s="209"/>
      <c r="N5780" s="209"/>
      <c r="O5780" s="209"/>
      <c r="P5780" s="209"/>
      <c r="Q5780" s="209"/>
      <c r="R5780" s="209"/>
      <c r="S5780" s="209"/>
      <c r="T5780" s="209"/>
    </row>
    <row r="5781" spans="1:149" ht="15" hidden="1" customHeight="1">
      <c r="A5781" s="468">
        <v>45548</v>
      </c>
      <c r="B5781" s="208" t="s">
        <v>4778</v>
      </c>
      <c r="C5781" s="209" t="s">
        <v>146</v>
      </c>
      <c r="D5781" s="526">
        <v>6200</v>
      </c>
      <c r="E5781" s="212">
        <v>45536</v>
      </c>
      <c r="F5781" s="208" t="s">
        <v>130</v>
      </c>
      <c r="G5781" s="208" t="s">
        <v>130</v>
      </c>
      <c r="H5781" s="208" t="s">
        <v>138</v>
      </c>
      <c r="I5781" s="208" t="s">
        <v>4357</v>
      </c>
      <c r="J5781" s="209"/>
      <c r="K5781" s="209"/>
      <c r="L5781" s="209"/>
      <c r="M5781" s="209"/>
      <c r="N5781" s="209"/>
      <c r="O5781" s="209"/>
      <c r="P5781" s="209"/>
      <c r="Q5781" s="209"/>
      <c r="R5781" s="209"/>
      <c r="S5781" s="209"/>
      <c r="T5781" s="209"/>
    </row>
    <row r="5782" spans="1:149" ht="15" hidden="1" customHeight="1">
      <c r="A5782" s="468">
        <v>45537</v>
      </c>
      <c r="B5782" s="208" t="s">
        <v>3846</v>
      </c>
      <c r="C5782" s="591" t="s">
        <v>269</v>
      </c>
      <c r="D5782" s="211">
        <v>-137000</v>
      </c>
      <c r="E5782" s="212">
        <v>45536</v>
      </c>
      <c r="F5782" s="208" t="s">
        <v>130</v>
      </c>
      <c r="G5782" s="208" t="s">
        <v>130</v>
      </c>
      <c r="H5782" s="208" t="s">
        <v>138</v>
      </c>
      <c r="I5782" s="208"/>
      <c r="J5782" s="209"/>
      <c r="K5782" s="209"/>
      <c r="L5782" s="209"/>
      <c r="M5782" s="209"/>
      <c r="N5782" s="209"/>
      <c r="O5782" s="209"/>
      <c r="P5782" s="209"/>
      <c r="Q5782" s="209"/>
      <c r="R5782" s="209"/>
      <c r="S5782" s="209"/>
      <c r="T5782" s="209"/>
    </row>
    <row r="5783" spans="1:149" s="451" customFormat="1" ht="15" hidden="1" customHeight="1">
      <c r="A5783" s="468">
        <v>45537</v>
      </c>
      <c r="B5783" s="208" t="s">
        <v>3846</v>
      </c>
      <c r="C5783" s="208" t="s">
        <v>269</v>
      </c>
      <c r="D5783" s="211">
        <v>-57000</v>
      </c>
      <c r="E5783" s="212">
        <v>45536</v>
      </c>
      <c r="F5783" s="208" t="s">
        <v>109</v>
      </c>
      <c r="G5783" s="208" t="s">
        <v>3529</v>
      </c>
      <c r="H5783" s="208" t="s">
        <v>138</v>
      </c>
      <c r="I5783" s="208"/>
      <c r="J5783" s="209"/>
      <c r="K5783" s="209"/>
      <c r="L5783" s="209"/>
      <c r="M5783" s="209"/>
      <c r="N5783" s="209"/>
      <c r="O5783" s="209"/>
      <c r="P5783" s="209"/>
      <c r="Q5783" s="209"/>
      <c r="R5783" s="209"/>
      <c r="S5783" s="209"/>
      <c r="T5783" s="209"/>
      <c r="U5783" s="165"/>
      <c r="V5783" s="165"/>
      <c r="W5783" s="165"/>
      <c r="X5783" s="165"/>
      <c r="Y5783" s="165"/>
      <c r="Z5783" s="165"/>
      <c r="AA5783" s="165"/>
      <c r="AB5783" s="165"/>
      <c r="AC5783" s="165"/>
      <c r="AD5783" s="165"/>
      <c r="AE5783" s="165"/>
      <c r="AF5783" s="165"/>
      <c r="AG5783" s="165"/>
      <c r="AH5783" s="165"/>
      <c r="AI5783" s="165"/>
      <c r="AJ5783" s="165"/>
      <c r="AK5783" s="165"/>
      <c r="AL5783" s="165"/>
      <c r="AM5783" s="165"/>
      <c r="AN5783" s="165"/>
      <c r="AO5783" s="165"/>
      <c r="AP5783" s="165"/>
      <c r="AQ5783" s="165"/>
      <c r="AR5783" s="165"/>
      <c r="AS5783" s="165"/>
      <c r="AT5783" s="165"/>
      <c r="AU5783" s="165"/>
      <c r="AV5783" s="165"/>
      <c r="AW5783" s="165"/>
      <c r="AX5783" s="165"/>
      <c r="AY5783" s="165"/>
      <c r="AZ5783" s="165"/>
      <c r="BA5783" s="165"/>
      <c r="BB5783" s="165"/>
      <c r="BC5783" s="165"/>
      <c r="BD5783" s="165"/>
      <c r="BE5783" s="165"/>
      <c r="BF5783" s="165"/>
      <c r="BG5783" s="165"/>
      <c r="BH5783" s="165"/>
      <c r="BI5783" s="165"/>
      <c r="BJ5783" s="165"/>
      <c r="BK5783" s="165"/>
      <c r="BL5783" s="165"/>
      <c r="BM5783" s="165"/>
      <c r="BN5783" s="165"/>
      <c r="BO5783" s="165"/>
      <c r="BP5783" s="165"/>
      <c r="BQ5783" s="165"/>
      <c r="BR5783" s="165"/>
      <c r="BS5783" s="165"/>
      <c r="BT5783" s="165"/>
      <c r="BU5783" s="165"/>
      <c r="BV5783" s="165"/>
      <c r="BW5783" s="165"/>
      <c r="BX5783" s="165"/>
      <c r="BY5783" s="165"/>
      <c r="BZ5783" s="165"/>
      <c r="CA5783" s="165"/>
      <c r="CB5783" s="165"/>
      <c r="CC5783" s="165"/>
      <c r="CD5783" s="165"/>
      <c r="CE5783" s="165"/>
      <c r="CF5783" s="165"/>
      <c r="CG5783" s="165"/>
      <c r="CH5783" s="165"/>
      <c r="CI5783" s="165"/>
      <c r="CJ5783" s="165"/>
      <c r="CK5783" s="165"/>
      <c r="CL5783" s="165"/>
      <c r="CM5783" s="165"/>
      <c r="CN5783" s="165"/>
      <c r="CO5783" s="165"/>
      <c r="CP5783" s="165"/>
      <c r="CQ5783" s="165"/>
      <c r="CR5783" s="165"/>
      <c r="CS5783" s="165"/>
      <c r="CT5783" s="165"/>
      <c r="CU5783" s="165"/>
      <c r="CV5783" s="165"/>
      <c r="CW5783" s="165"/>
      <c r="CX5783" s="165"/>
      <c r="CY5783" s="165"/>
      <c r="CZ5783" s="165"/>
      <c r="DA5783" s="165"/>
      <c r="DB5783" s="165"/>
      <c r="DC5783" s="165"/>
      <c r="DD5783" s="165"/>
      <c r="DE5783" s="165"/>
      <c r="DF5783" s="165"/>
      <c r="DG5783" s="165"/>
      <c r="DH5783" s="165"/>
      <c r="DI5783" s="165"/>
      <c r="DJ5783" s="165"/>
      <c r="DK5783" s="165"/>
      <c r="DL5783" s="165"/>
      <c r="DM5783" s="165"/>
      <c r="DN5783" s="165"/>
      <c r="DO5783" s="165"/>
      <c r="DP5783" s="165"/>
      <c r="DQ5783" s="165"/>
      <c r="DR5783" s="165"/>
      <c r="DS5783" s="165"/>
      <c r="DT5783" s="165"/>
      <c r="DU5783" s="165"/>
      <c r="DV5783" s="165"/>
      <c r="DW5783" s="165"/>
      <c r="DX5783" s="165"/>
      <c r="DY5783" s="165"/>
      <c r="DZ5783" s="165"/>
      <c r="EA5783" s="165"/>
      <c r="EB5783" s="165"/>
      <c r="EC5783" s="165"/>
      <c r="ED5783" s="165"/>
      <c r="EE5783" s="165"/>
      <c r="EF5783" s="165"/>
      <c r="EG5783" s="165"/>
      <c r="EH5783" s="165"/>
      <c r="EI5783" s="165"/>
      <c r="EJ5783" s="165"/>
      <c r="EK5783" s="165"/>
      <c r="EL5783" s="165"/>
      <c r="EM5783" s="165"/>
      <c r="EN5783" s="165"/>
      <c r="EO5783" s="165"/>
      <c r="EP5783" s="165"/>
      <c r="EQ5783" s="165"/>
      <c r="ER5783" s="165"/>
      <c r="ES5783" s="165"/>
    </row>
    <row r="5784" spans="1:149" s="451" customFormat="1" ht="15" hidden="1" customHeight="1">
      <c r="A5784" s="468">
        <v>45537</v>
      </c>
      <c r="B5784" s="208" t="s">
        <v>3846</v>
      </c>
      <c r="C5784" s="208" t="s">
        <v>269</v>
      </c>
      <c r="D5784" s="211">
        <v>-88000</v>
      </c>
      <c r="E5784" s="212">
        <v>45536</v>
      </c>
      <c r="F5784" s="208" t="s">
        <v>110</v>
      </c>
      <c r="G5784" s="208" t="s">
        <v>774</v>
      </c>
      <c r="H5784" s="208" t="s">
        <v>138</v>
      </c>
      <c r="I5784" s="208"/>
      <c r="J5784" s="209"/>
      <c r="K5784" s="209"/>
      <c r="L5784" s="209"/>
      <c r="M5784" s="209"/>
      <c r="N5784" s="209"/>
      <c r="O5784" s="209"/>
      <c r="P5784" s="209"/>
      <c r="Q5784" s="209"/>
      <c r="R5784" s="209"/>
      <c r="S5784" s="209"/>
      <c r="T5784" s="209"/>
      <c r="U5784" s="165"/>
      <c r="V5784" s="165"/>
      <c r="W5784" s="165"/>
      <c r="X5784" s="165"/>
      <c r="Y5784" s="165"/>
      <c r="Z5784" s="165"/>
      <c r="AA5784" s="165"/>
      <c r="AB5784" s="165"/>
      <c r="AC5784" s="165"/>
      <c r="AD5784" s="165"/>
      <c r="AE5784" s="165"/>
      <c r="AF5784" s="165"/>
      <c r="AG5784" s="165"/>
      <c r="AH5784" s="165"/>
      <c r="AI5784" s="165"/>
      <c r="AJ5784" s="165"/>
      <c r="AK5784" s="165"/>
      <c r="AL5784" s="165"/>
      <c r="AM5784" s="165"/>
      <c r="AN5784" s="165"/>
      <c r="AO5784" s="165"/>
      <c r="AP5784" s="165"/>
      <c r="AQ5784" s="165"/>
      <c r="AR5784" s="165"/>
      <c r="AS5784" s="165"/>
      <c r="AT5784" s="165"/>
      <c r="AU5784" s="165"/>
      <c r="AV5784" s="165"/>
      <c r="AW5784" s="165"/>
      <c r="AX5784" s="165"/>
      <c r="AY5784" s="165"/>
      <c r="AZ5784" s="165"/>
      <c r="BA5784" s="165"/>
      <c r="BB5784" s="165"/>
      <c r="BC5784" s="165"/>
      <c r="BD5784" s="165"/>
      <c r="BE5784" s="165"/>
      <c r="BF5784" s="165"/>
      <c r="BG5784" s="165"/>
      <c r="BH5784" s="165"/>
      <c r="BI5784" s="165"/>
      <c r="BJ5784" s="165"/>
      <c r="BK5784" s="165"/>
      <c r="BL5784" s="165"/>
      <c r="BM5784" s="165"/>
      <c r="BN5784" s="165"/>
      <c r="BO5784" s="165"/>
      <c r="BP5784" s="165"/>
      <c r="BQ5784" s="165"/>
      <c r="BR5784" s="165"/>
      <c r="BS5784" s="165"/>
      <c r="BT5784" s="165"/>
      <c r="BU5784" s="165"/>
      <c r="BV5784" s="165"/>
      <c r="BW5784" s="165"/>
      <c r="BX5784" s="165"/>
      <c r="BY5784" s="165"/>
      <c r="BZ5784" s="165"/>
      <c r="CA5784" s="165"/>
      <c r="CB5784" s="165"/>
      <c r="CC5784" s="165"/>
      <c r="CD5784" s="165"/>
      <c r="CE5784" s="165"/>
      <c r="CF5784" s="165"/>
      <c r="CG5784" s="165"/>
      <c r="CH5784" s="165"/>
      <c r="CI5784" s="165"/>
      <c r="CJ5784" s="165"/>
      <c r="CK5784" s="165"/>
      <c r="CL5784" s="165"/>
      <c r="CM5784" s="165"/>
      <c r="CN5784" s="165"/>
      <c r="CO5784" s="165"/>
      <c r="CP5784" s="165"/>
      <c r="CQ5784" s="165"/>
      <c r="CR5784" s="165"/>
      <c r="CS5784" s="165"/>
      <c r="CT5784" s="165"/>
      <c r="CU5784" s="165"/>
      <c r="CV5784" s="165"/>
      <c r="CW5784" s="165"/>
      <c r="CX5784" s="165"/>
      <c r="CY5784" s="165"/>
      <c r="CZ5784" s="165"/>
      <c r="DA5784" s="165"/>
      <c r="DB5784" s="165"/>
      <c r="DC5784" s="165"/>
      <c r="DD5784" s="165"/>
      <c r="DE5784" s="165"/>
      <c r="DF5784" s="165"/>
      <c r="DG5784" s="165"/>
      <c r="DH5784" s="165"/>
      <c r="DI5784" s="165"/>
      <c r="DJ5784" s="165"/>
      <c r="DK5784" s="165"/>
      <c r="DL5784" s="165"/>
      <c r="DM5784" s="165"/>
      <c r="DN5784" s="165"/>
      <c r="DO5784" s="165"/>
      <c r="DP5784" s="165"/>
      <c r="DQ5784" s="165"/>
      <c r="DR5784" s="165"/>
      <c r="DS5784" s="165"/>
      <c r="DT5784" s="165"/>
      <c r="DU5784" s="165"/>
      <c r="DV5784" s="165"/>
      <c r="DW5784" s="165"/>
      <c r="DX5784" s="165"/>
      <c r="DY5784" s="165"/>
      <c r="DZ5784" s="165"/>
      <c r="EA5784" s="165"/>
      <c r="EB5784" s="165"/>
      <c r="EC5784" s="165"/>
      <c r="ED5784" s="165"/>
      <c r="EE5784" s="165"/>
      <c r="EF5784" s="165"/>
      <c r="EG5784" s="165"/>
      <c r="EH5784" s="165"/>
      <c r="EI5784" s="165"/>
      <c r="EJ5784" s="165"/>
      <c r="EK5784" s="165"/>
      <c r="EL5784" s="165"/>
      <c r="EM5784" s="165"/>
      <c r="EN5784" s="165"/>
      <c r="EO5784" s="165"/>
      <c r="EP5784" s="165"/>
      <c r="EQ5784" s="165"/>
      <c r="ER5784" s="165"/>
      <c r="ES5784" s="165"/>
    </row>
    <row r="5785" spans="1:149" s="451" customFormat="1" ht="15" hidden="1" customHeight="1">
      <c r="A5785" s="468">
        <v>45537</v>
      </c>
      <c r="B5785" s="208" t="s">
        <v>3846</v>
      </c>
      <c r="C5785" s="208" t="s">
        <v>269</v>
      </c>
      <c r="D5785" s="211">
        <v>-30000</v>
      </c>
      <c r="E5785" s="212">
        <v>45536</v>
      </c>
      <c r="F5785" s="208" t="s">
        <v>109</v>
      </c>
      <c r="G5785" s="201" t="s">
        <v>581</v>
      </c>
      <c r="H5785" s="208"/>
      <c r="I5785" s="208"/>
      <c r="J5785" s="209"/>
      <c r="K5785" s="209"/>
      <c r="L5785" s="209"/>
      <c r="M5785" s="209"/>
      <c r="N5785" s="209"/>
      <c r="O5785" s="209"/>
      <c r="P5785" s="209"/>
      <c r="Q5785" s="209"/>
      <c r="R5785" s="209"/>
      <c r="S5785" s="209"/>
      <c r="T5785" s="209"/>
      <c r="U5785" s="165"/>
      <c r="V5785" s="165"/>
      <c r="W5785" s="165"/>
      <c r="X5785" s="165"/>
      <c r="Y5785" s="165"/>
      <c r="Z5785" s="165"/>
      <c r="AA5785" s="165"/>
      <c r="AB5785" s="165"/>
      <c r="AC5785" s="165"/>
      <c r="AD5785" s="165"/>
      <c r="AE5785" s="165"/>
      <c r="AF5785" s="165"/>
      <c r="AG5785" s="165"/>
      <c r="AH5785" s="165"/>
      <c r="AI5785" s="165"/>
      <c r="AJ5785" s="165"/>
      <c r="AK5785" s="165"/>
      <c r="AL5785" s="165"/>
      <c r="AM5785" s="165"/>
      <c r="AN5785" s="165"/>
      <c r="AO5785" s="165"/>
      <c r="AP5785" s="165"/>
      <c r="AQ5785" s="165"/>
      <c r="AR5785" s="165"/>
      <c r="AS5785" s="165"/>
      <c r="AT5785" s="165"/>
      <c r="AU5785" s="165"/>
      <c r="AV5785" s="165"/>
      <c r="AW5785" s="165"/>
      <c r="AX5785" s="165"/>
      <c r="AY5785" s="165"/>
      <c r="AZ5785" s="165"/>
      <c r="BA5785" s="165"/>
      <c r="BB5785" s="165"/>
      <c r="BC5785" s="165"/>
      <c r="BD5785" s="165"/>
      <c r="BE5785" s="165"/>
      <c r="BF5785" s="165"/>
      <c r="BG5785" s="165"/>
      <c r="BH5785" s="165"/>
      <c r="BI5785" s="165"/>
      <c r="BJ5785" s="165"/>
      <c r="BK5785" s="165"/>
      <c r="BL5785" s="165"/>
      <c r="BM5785" s="165"/>
      <c r="BN5785" s="165"/>
      <c r="BO5785" s="165"/>
      <c r="BP5785" s="165"/>
      <c r="BQ5785" s="165"/>
      <c r="BR5785" s="165"/>
      <c r="BS5785" s="165"/>
      <c r="BT5785" s="165"/>
      <c r="BU5785" s="165"/>
      <c r="BV5785" s="165"/>
      <c r="BW5785" s="165"/>
      <c r="BX5785" s="165"/>
      <c r="BY5785" s="165"/>
      <c r="BZ5785" s="165"/>
      <c r="CA5785" s="165"/>
      <c r="CB5785" s="165"/>
      <c r="CC5785" s="165"/>
      <c r="CD5785" s="165"/>
      <c r="CE5785" s="165"/>
      <c r="CF5785" s="165"/>
      <c r="CG5785" s="165"/>
      <c r="CH5785" s="165"/>
      <c r="CI5785" s="165"/>
      <c r="CJ5785" s="165"/>
      <c r="CK5785" s="165"/>
      <c r="CL5785" s="165"/>
      <c r="CM5785" s="165"/>
      <c r="CN5785" s="165"/>
      <c r="CO5785" s="165"/>
      <c r="CP5785" s="165"/>
      <c r="CQ5785" s="165"/>
      <c r="CR5785" s="165"/>
      <c r="CS5785" s="165"/>
      <c r="CT5785" s="165"/>
      <c r="CU5785" s="165"/>
      <c r="CV5785" s="165"/>
      <c r="CW5785" s="165"/>
      <c r="CX5785" s="165"/>
      <c r="CY5785" s="165"/>
      <c r="CZ5785" s="165"/>
      <c r="DA5785" s="165"/>
      <c r="DB5785" s="165"/>
      <c r="DC5785" s="165"/>
      <c r="DD5785" s="165"/>
      <c r="DE5785" s="165"/>
      <c r="DF5785" s="165"/>
      <c r="DG5785" s="165"/>
      <c r="DH5785" s="165"/>
      <c r="DI5785" s="165"/>
      <c r="DJ5785" s="165"/>
      <c r="DK5785" s="165"/>
      <c r="DL5785" s="165"/>
      <c r="DM5785" s="165"/>
      <c r="DN5785" s="165"/>
      <c r="DO5785" s="165"/>
      <c r="DP5785" s="165"/>
      <c r="DQ5785" s="165"/>
      <c r="DR5785" s="165"/>
      <c r="DS5785" s="165"/>
      <c r="DT5785" s="165"/>
      <c r="DU5785" s="165"/>
      <c r="DV5785" s="165"/>
      <c r="DW5785" s="165"/>
      <c r="DX5785" s="165"/>
      <c r="DY5785" s="165"/>
      <c r="DZ5785" s="165"/>
      <c r="EA5785" s="165"/>
      <c r="EB5785" s="165"/>
      <c r="EC5785" s="165"/>
      <c r="ED5785" s="165"/>
      <c r="EE5785" s="165"/>
      <c r="EF5785" s="165"/>
      <c r="EG5785" s="165"/>
      <c r="EH5785" s="165"/>
      <c r="EI5785" s="165"/>
      <c r="EJ5785" s="165"/>
      <c r="EK5785" s="165"/>
      <c r="EL5785" s="165"/>
      <c r="EM5785" s="165"/>
      <c r="EN5785" s="165"/>
      <c r="EO5785" s="165"/>
      <c r="EP5785" s="165"/>
      <c r="EQ5785" s="165"/>
      <c r="ER5785" s="165"/>
      <c r="ES5785" s="165"/>
    </row>
    <row r="5786" spans="1:149" s="451" customFormat="1" ht="15" hidden="1" customHeight="1">
      <c r="A5786" s="468">
        <v>45537</v>
      </c>
      <c r="B5786" s="208" t="s">
        <v>3846</v>
      </c>
      <c r="C5786" s="208" t="s">
        <v>269</v>
      </c>
      <c r="D5786" s="211">
        <v>-7000</v>
      </c>
      <c r="E5786" s="212">
        <v>45536</v>
      </c>
      <c r="F5786" s="208" t="s">
        <v>109</v>
      </c>
      <c r="G5786" s="208" t="s">
        <v>4407</v>
      </c>
      <c r="H5786" s="208" t="s">
        <v>138</v>
      </c>
      <c r="I5786" s="208"/>
      <c r="J5786" s="209"/>
      <c r="K5786" s="209"/>
      <c r="L5786" s="209"/>
      <c r="M5786" s="209"/>
      <c r="N5786" s="209"/>
      <c r="O5786" s="209"/>
      <c r="P5786" s="209"/>
      <c r="Q5786" s="209"/>
      <c r="R5786" s="209"/>
      <c r="S5786" s="209"/>
      <c r="T5786" s="209"/>
      <c r="U5786" s="165"/>
      <c r="V5786" s="165"/>
      <c r="W5786" s="165"/>
      <c r="X5786" s="165"/>
      <c r="Y5786" s="165"/>
      <c r="Z5786" s="165"/>
      <c r="AA5786" s="165"/>
      <c r="AB5786" s="165"/>
      <c r="AC5786" s="165"/>
      <c r="AD5786" s="165"/>
      <c r="AE5786" s="165"/>
      <c r="AF5786" s="165"/>
      <c r="AG5786" s="165"/>
      <c r="AH5786" s="165"/>
      <c r="AI5786" s="165"/>
      <c r="AJ5786" s="165"/>
      <c r="AK5786" s="165"/>
      <c r="AL5786" s="165"/>
      <c r="AM5786" s="165"/>
      <c r="AN5786" s="165"/>
      <c r="AO5786" s="165"/>
      <c r="AP5786" s="165"/>
      <c r="AQ5786" s="165"/>
      <c r="AR5786" s="165"/>
      <c r="AS5786" s="165"/>
      <c r="AT5786" s="165"/>
      <c r="AU5786" s="165"/>
      <c r="AV5786" s="165"/>
      <c r="AW5786" s="165"/>
      <c r="AX5786" s="165"/>
      <c r="AY5786" s="165"/>
      <c r="AZ5786" s="165"/>
      <c r="BA5786" s="165"/>
      <c r="BB5786" s="165"/>
      <c r="BC5786" s="165"/>
      <c r="BD5786" s="165"/>
      <c r="BE5786" s="165"/>
      <c r="BF5786" s="165"/>
      <c r="BG5786" s="165"/>
      <c r="BH5786" s="165"/>
      <c r="BI5786" s="165"/>
      <c r="BJ5786" s="165"/>
      <c r="BK5786" s="165"/>
      <c r="BL5786" s="165"/>
      <c r="BM5786" s="165"/>
      <c r="BN5786" s="165"/>
      <c r="BO5786" s="165"/>
      <c r="BP5786" s="165"/>
      <c r="BQ5786" s="165"/>
      <c r="BR5786" s="165"/>
      <c r="BS5786" s="165"/>
      <c r="BT5786" s="165"/>
      <c r="BU5786" s="165"/>
      <c r="BV5786" s="165"/>
      <c r="BW5786" s="165"/>
      <c r="BX5786" s="165"/>
      <c r="BY5786" s="165"/>
      <c r="BZ5786" s="165"/>
      <c r="CA5786" s="165"/>
      <c r="CB5786" s="165"/>
      <c r="CC5786" s="165"/>
      <c r="CD5786" s="165"/>
      <c r="CE5786" s="165"/>
      <c r="CF5786" s="165"/>
      <c r="CG5786" s="165"/>
      <c r="CH5786" s="165"/>
      <c r="CI5786" s="165"/>
      <c r="CJ5786" s="165"/>
      <c r="CK5786" s="165"/>
      <c r="CL5786" s="165"/>
      <c r="CM5786" s="165"/>
      <c r="CN5786" s="165"/>
      <c r="CO5786" s="165"/>
      <c r="CP5786" s="165"/>
      <c r="CQ5786" s="165"/>
      <c r="CR5786" s="165"/>
      <c r="CS5786" s="165"/>
      <c r="CT5786" s="165"/>
      <c r="CU5786" s="165"/>
      <c r="CV5786" s="165"/>
      <c r="CW5786" s="165"/>
      <c r="CX5786" s="165"/>
      <c r="CY5786" s="165"/>
      <c r="CZ5786" s="165"/>
      <c r="DA5786" s="165"/>
      <c r="DB5786" s="165"/>
      <c r="DC5786" s="165"/>
      <c r="DD5786" s="165"/>
      <c r="DE5786" s="165"/>
      <c r="DF5786" s="165"/>
      <c r="DG5786" s="165"/>
      <c r="DH5786" s="165"/>
      <c r="DI5786" s="165"/>
      <c r="DJ5786" s="165"/>
      <c r="DK5786" s="165"/>
      <c r="DL5786" s="165"/>
      <c r="DM5786" s="165"/>
      <c r="DN5786" s="165"/>
      <c r="DO5786" s="165"/>
      <c r="DP5786" s="165"/>
      <c r="DQ5786" s="165"/>
      <c r="DR5786" s="165"/>
      <c r="DS5786" s="165"/>
      <c r="DT5786" s="165"/>
      <c r="DU5786" s="165"/>
      <c r="DV5786" s="165"/>
      <c r="DW5786" s="165"/>
      <c r="DX5786" s="165"/>
      <c r="DY5786" s="165"/>
      <c r="DZ5786" s="165"/>
      <c r="EA5786" s="165"/>
      <c r="EB5786" s="165"/>
      <c r="EC5786" s="165"/>
      <c r="ED5786" s="165"/>
      <c r="EE5786" s="165"/>
      <c r="EF5786" s="165"/>
      <c r="EG5786" s="165"/>
      <c r="EH5786" s="165"/>
      <c r="EI5786" s="165"/>
      <c r="EJ5786" s="165"/>
      <c r="EK5786" s="165"/>
      <c r="EL5786" s="165"/>
      <c r="EM5786" s="165"/>
      <c r="EN5786" s="165"/>
      <c r="EO5786" s="165"/>
      <c r="EP5786" s="165"/>
      <c r="EQ5786" s="165"/>
      <c r="ER5786" s="165"/>
      <c r="ES5786" s="165"/>
    </row>
    <row r="5787" spans="1:149" s="451" customFormat="1" ht="15" hidden="1" customHeight="1">
      <c r="A5787" s="468">
        <v>45537</v>
      </c>
      <c r="B5787" s="208" t="s">
        <v>3846</v>
      </c>
      <c r="C5787" s="208" t="s">
        <v>269</v>
      </c>
      <c r="D5787" s="211">
        <v>-45552</v>
      </c>
      <c r="E5787" s="212">
        <v>45536</v>
      </c>
      <c r="F5787" s="208" t="s">
        <v>109</v>
      </c>
      <c r="G5787" s="654" t="s">
        <v>2585</v>
      </c>
      <c r="H5787" s="208" t="s">
        <v>138</v>
      </c>
      <c r="I5787" s="208"/>
      <c r="J5787" s="209"/>
      <c r="K5787" s="209"/>
      <c r="L5787" s="209"/>
      <c r="M5787" s="209"/>
      <c r="N5787" s="209"/>
      <c r="O5787" s="209"/>
      <c r="P5787" s="209"/>
      <c r="Q5787" s="209"/>
      <c r="R5787" s="209"/>
      <c r="S5787" s="209"/>
      <c r="T5787" s="209"/>
      <c r="U5787" s="165"/>
      <c r="V5787" s="165"/>
      <c r="W5787" s="165"/>
      <c r="X5787" s="165"/>
      <c r="Y5787" s="165"/>
      <c r="Z5787" s="165"/>
      <c r="AA5787" s="165"/>
      <c r="AB5787" s="165"/>
      <c r="AC5787" s="165"/>
      <c r="AD5787" s="165"/>
      <c r="AE5787" s="165"/>
      <c r="AF5787" s="165"/>
      <c r="AG5787" s="165"/>
      <c r="AH5787" s="165"/>
      <c r="AI5787" s="165"/>
      <c r="AJ5787" s="165"/>
      <c r="AK5787" s="165"/>
      <c r="AL5787" s="165"/>
      <c r="AM5787" s="165"/>
      <c r="AN5787" s="165"/>
      <c r="AO5787" s="165"/>
      <c r="AP5787" s="165"/>
      <c r="AQ5787" s="165"/>
      <c r="AR5787" s="165"/>
      <c r="AS5787" s="165"/>
      <c r="AT5787" s="165"/>
      <c r="AU5787" s="165"/>
      <c r="AV5787" s="165"/>
      <c r="AW5787" s="165"/>
      <c r="AX5787" s="165"/>
      <c r="AY5787" s="165"/>
      <c r="AZ5787" s="165"/>
      <c r="BA5787" s="165"/>
      <c r="BB5787" s="165"/>
      <c r="BC5787" s="165"/>
      <c r="BD5787" s="165"/>
      <c r="BE5787" s="165"/>
      <c r="BF5787" s="165"/>
      <c r="BG5787" s="165"/>
      <c r="BH5787" s="165"/>
      <c r="BI5787" s="165"/>
      <c r="BJ5787" s="165"/>
      <c r="BK5787" s="165"/>
      <c r="BL5787" s="165"/>
      <c r="BM5787" s="165"/>
      <c r="BN5787" s="165"/>
      <c r="BO5787" s="165"/>
      <c r="BP5787" s="165"/>
      <c r="BQ5787" s="165"/>
      <c r="BR5787" s="165"/>
      <c r="BS5787" s="165"/>
      <c r="BT5787" s="165"/>
      <c r="BU5787" s="165"/>
      <c r="BV5787" s="165"/>
      <c r="BW5787" s="165"/>
      <c r="BX5787" s="165"/>
      <c r="BY5787" s="165"/>
      <c r="BZ5787" s="165"/>
      <c r="CA5787" s="165"/>
      <c r="CB5787" s="165"/>
      <c r="CC5787" s="165"/>
      <c r="CD5787" s="165"/>
      <c r="CE5787" s="165"/>
      <c r="CF5787" s="165"/>
      <c r="CG5787" s="165"/>
      <c r="CH5787" s="165"/>
      <c r="CI5787" s="165"/>
      <c r="CJ5787" s="165"/>
      <c r="CK5787" s="165"/>
      <c r="CL5787" s="165"/>
      <c r="CM5787" s="165"/>
      <c r="CN5787" s="165"/>
      <c r="CO5787" s="165"/>
      <c r="CP5787" s="165"/>
      <c r="CQ5787" s="165"/>
      <c r="CR5787" s="165"/>
      <c r="CS5787" s="165"/>
      <c r="CT5787" s="165"/>
      <c r="CU5787" s="165"/>
      <c r="CV5787" s="165"/>
      <c r="CW5787" s="165"/>
      <c r="CX5787" s="165"/>
      <c r="CY5787" s="165"/>
      <c r="CZ5787" s="165"/>
      <c r="DA5787" s="165"/>
      <c r="DB5787" s="165"/>
      <c r="DC5787" s="165"/>
      <c r="DD5787" s="165"/>
      <c r="DE5787" s="165"/>
      <c r="DF5787" s="165"/>
      <c r="DG5787" s="165"/>
      <c r="DH5787" s="165"/>
      <c r="DI5787" s="165"/>
      <c r="DJ5787" s="165"/>
      <c r="DK5787" s="165"/>
      <c r="DL5787" s="165"/>
      <c r="DM5787" s="165"/>
      <c r="DN5787" s="165"/>
      <c r="DO5787" s="165"/>
      <c r="DP5787" s="165"/>
      <c r="DQ5787" s="165"/>
      <c r="DR5787" s="165"/>
      <c r="DS5787" s="165"/>
      <c r="DT5787" s="165"/>
      <c r="DU5787" s="165"/>
      <c r="DV5787" s="165"/>
      <c r="DW5787" s="165"/>
      <c r="DX5787" s="165"/>
      <c r="DY5787" s="165"/>
      <c r="DZ5787" s="165"/>
      <c r="EA5787" s="165"/>
      <c r="EB5787" s="165"/>
      <c r="EC5787" s="165"/>
      <c r="ED5787" s="165"/>
      <c r="EE5787" s="165"/>
      <c r="EF5787" s="165"/>
      <c r="EG5787" s="165"/>
      <c r="EH5787" s="165"/>
      <c r="EI5787" s="165"/>
      <c r="EJ5787" s="165"/>
      <c r="EK5787" s="165"/>
      <c r="EL5787" s="165"/>
      <c r="EM5787" s="165"/>
      <c r="EN5787" s="165"/>
      <c r="EO5787" s="165"/>
      <c r="EP5787" s="165"/>
      <c r="EQ5787" s="165"/>
      <c r="ER5787" s="165"/>
      <c r="ES5787" s="165"/>
    </row>
    <row r="5788" spans="1:149" s="451" customFormat="1" ht="15" hidden="1" customHeight="1">
      <c r="A5788" s="468">
        <v>45537</v>
      </c>
      <c r="B5788" s="208" t="s">
        <v>3846</v>
      </c>
      <c r="C5788" s="208" t="s">
        <v>269</v>
      </c>
      <c r="D5788" s="211">
        <v>-10000</v>
      </c>
      <c r="E5788" s="212">
        <v>45536</v>
      </c>
      <c r="F5788" s="208" t="s">
        <v>110</v>
      </c>
      <c r="G5788" s="201" t="s">
        <v>1489</v>
      </c>
      <c r="H5788" s="208" t="s">
        <v>138</v>
      </c>
      <c r="I5788" s="208"/>
      <c r="J5788" s="209"/>
      <c r="K5788" s="209"/>
      <c r="L5788" s="209"/>
      <c r="M5788" s="209"/>
      <c r="N5788" s="209"/>
      <c r="O5788" s="209"/>
      <c r="P5788" s="209"/>
      <c r="Q5788" s="209"/>
      <c r="R5788" s="209"/>
      <c r="S5788" s="209"/>
      <c r="T5788" s="209"/>
      <c r="U5788" s="165"/>
      <c r="V5788" s="165"/>
      <c r="W5788" s="165"/>
      <c r="X5788" s="165"/>
      <c r="Y5788" s="165"/>
      <c r="Z5788" s="165"/>
      <c r="AA5788" s="165"/>
      <c r="AB5788" s="165"/>
      <c r="AC5788" s="165"/>
      <c r="AD5788" s="165"/>
      <c r="AE5788" s="165"/>
      <c r="AF5788" s="165"/>
      <c r="AG5788" s="165"/>
      <c r="AH5788" s="165"/>
      <c r="AI5788" s="165"/>
      <c r="AJ5788" s="165"/>
      <c r="AK5788" s="165"/>
      <c r="AL5788" s="165"/>
      <c r="AM5788" s="165"/>
      <c r="AN5788" s="165"/>
      <c r="AO5788" s="165"/>
      <c r="AP5788" s="165"/>
      <c r="AQ5788" s="165"/>
      <c r="AR5788" s="165"/>
      <c r="AS5788" s="165"/>
      <c r="AT5788" s="165"/>
      <c r="AU5788" s="165"/>
      <c r="AV5788" s="165"/>
      <c r="AW5788" s="165"/>
      <c r="AX5788" s="165"/>
      <c r="AY5788" s="165"/>
      <c r="AZ5788" s="165"/>
      <c r="BA5788" s="165"/>
      <c r="BB5788" s="165"/>
      <c r="BC5788" s="165"/>
      <c r="BD5788" s="165"/>
      <c r="BE5788" s="165"/>
      <c r="BF5788" s="165"/>
      <c r="BG5788" s="165"/>
      <c r="BH5788" s="165"/>
      <c r="BI5788" s="165"/>
      <c r="BJ5788" s="165"/>
      <c r="BK5788" s="165"/>
      <c r="BL5788" s="165"/>
      <c r="BM5788" s="165"/>
      <c r="BN5788" s="165"/>
      <c r="BO5788" s="165"/>
      <c r="BP5788" s="165"/>
      <c r="BQ5788" s="165"/>
      <c r="BR5788" s="165"/>
      <c r="BS5788" s="165"/>
      <c r="BT5788" s="165"/>
      <c r="BU5788" s="165"/>
      <c r="BV5788" s="165"/>
      <c r="BW5788" s="165"/>
      <c r="BX5788" s="165"/>
      <c r="BY5788" s="165"/>
      <c r="BZ5788" s="165"/>
      <c r="CA5788" s="165"/>
      <c r="CB5788" s="165"/>
      <c r="CC5788" s="165"/>
      <c r="CD5788" s="165"/>
      <c r="CE5788" s="165"/>
      <c r="CF5788" s="165"/>
      <c r="CG5788" s="165"/>
      <c r="CH5788" s="165"/>
      <c r="CI5788" s="165"/>
      <c r="CJ5788" s="165"/>
      <c r="CK5788" s="165"/>
      <c r="CL5788" s="165"/>
      <c r="CM5788" s="165"/>
      <c r="CN5788" s="165"/>
      <c r="CO5788" s="165"/>
      <c r="CP5788" s="165"/>
      <c r="CQ5788" s="165"/>
      <c r="CR5788" s="165"/>
      <c r="CS5788" s="165"/>
      <c r="CT5788" s="165"/>
      <c r="CU5788" s="165"/>
      <c r="CV5788" s="165"/>
      <c r="CW5788" s="165"/>
      <c r="CX5788" s="165"/>
      <c r="CY5788" s="165"/>
      <c r="CZ5788" s="165"/>
      <c r="DA5788" s="165"/>
      <c r="DB5788" s="165"/>
      <c r="DC5788" s="165"/>
      <c r="DD5788" s="165"/>
      <c r="DE5788" s="165"/>
      <c r="DF5788" s="165"/>
      <c r="DG5788" s="165"/>
      <c r="DH5788" s="165"/>
      <c r="DI5788" s="165"/>
      <c r="DJ5788" s="165"/>
      <c r="DK5788" s="165"/>
      <c r="DL5788" s="165"/>
      <c r="DM5788" s="165"/>
      <c r="DN5788" s="165"/>
      <c r="DO5788" s="165"/>
      <c r="DP5788" s="165"/>
      <c r="DQ5788" s="165"/>
      <c r="DR5788" s="165"/>
      <c r="DS5788" s="165"/>
      <c r="DT5788" s="165"/>
      <c r="DU5788" s="165"/>
      <c r="DV5788" s="165"/>
      <c r="DW5788" s="165"/>
      <c r="DX5788" s="165"/>
      <c r="DY5788" s="165"/>
      <c r="DZ5788" s="165"/>
      <c r="EA5788" s="165"/>
      <c r="EB5788" s="165"/>
      <c r="EC5788" s="165"/>
      <c r="ED5788" s="165"/>
      <c r="EE5788" s="165"/>
      <c r="EF5788" s="165"/>
      <c r="EG5788" s="165"/>
      <c r="EH5788" s="165"/>
      <c r="EI5788" s="165"/>
      <c r="EJ5788" s="165"/>
      <c r="EK5788" s="165"/>
      <c r="EL5788" s="165"/>
      <c r="EM5788" s="165"/>
      <c r="EN5788" s="165"/>
      <c r="EO5788" s="165"/>
      <c r="EP5788" s="165"/>
      <c r="EQ5788" s="165"/>
      <c r="ER5788" s="165"/>
      <c r="ES5788" s="165"/>
    </row>
    <row r="5789" spans="1:149" s="451" customFormat="1" ht="15" hidden="1" customHeight="1">
      <c r="A5789" s="468">
        <v>45537</v>
      </c>
      <c r="B5789" s="208" t="s">
        <v>3846</v>
      </c>
      <c r="C5789" s="208" t="s">
        <v>269</v>
      </c>
      <c r="D5789" s="211">
        <v>-22000</v>
      </c>
      <c r="E5789" s="212">
        <v>45536</v>
      </c>
      <c r="F5789" s="208" t="s">
        <v>110</v>
      </c>
      <c r="G5789" s="208" t="s">
        <v>4399</v>
      </c>
      <c r="H5789" s="208" t="s">
        <v>138</v>
      </c>
      <c r="I5789" s="208"/>
      <c r="J5789" s="209"/>
      <c r="K5789" s="209"/>
      <c r="L5789" s="209"/>
      <c r="M5789" s="209"/>
      <c r="N5789" s="209"/>
      <c r="O5789" s="209"/>
      <c r="P5789" s="209"/>
      <c r="Q5789" s="209"/>
      <c r="R5789" s="209"/>
      <c r="S5789" s="209"/>
      <c r="T5789" s="209"/>
      <c r="U5789" s="165"/>
      <c r="V5789" s="165"/>
      <c r="W5789" s="165"/>
      <c r="X5789" s="165"/>
      <c r="Y5789" s="165"/>
      <c r="Z5789" s="165"/>
      <c r="AA5789" s="165"/>
      <c r="AB5789" s="165"/>
      <c r="AC5789" s="165"/>
      <c r="AD5789" s="165"/>
      <c r="AE5789" s="165"/>
      <c r="AF5789" s="165"/>
      <c r="AG5789" s="165"/>
      <c r="AH5789" s="165"/>
      <c r="AI5789" s="165"/>
      <c r="AJ5789" s="165"/>
      <c r="AK5789" s="165"/>
      <c r="AL5789" s="165"/>
      <c r="AM5789" s="165"/>
      <c r="AN5789" s="165"/>
      <c r="AO5789" s="165"/>
      <c r="AP5789" s="165"/>
      <c r="AQ5789" s="165"/>
      <c r="AR5789" s="165"/>
      <c r="AS5789" s="165"/>
      <c r="AT5789" s="165"/>
      <c r="AU5789" s="165"/>
      <c r="AV5789" s="165"/>
      <c r="AW5789" s="165"/>
      <c r="AX5789" s="165"/>
      <c r="AY5789" s="165"/>
      <c r="AZ5789" s="165"/>
      <c r="BA5789" s="165"/>
      <c r="BB5789" s="165"/>
      <c r="BC5789" s="165"/>
      <c r="BD5789" s="165"/>
      <c r="BE5789" s="165"/>
      <c r="BF5789" s="165"/>
      <c r="BG5789" s="165"/>
      <c r="BH5789" s="165"/>
      <c r="BI5789" s="165"/>
      <c r="BJ5789" s="165"/>
      <c r="BK5789" s="165"/>
      <c r="BL5789" s="165"/>
      <c r="BM5789" s="165"/>
      <c r="BN5789" s="165"/>
      <c r="BO5789" s="165"/>
      <c r="BP5789" s="165"/>
      <c r="BQ5789" s="165"/>
      <c r="BR5789" s="165"/>
      <c r="BS5789" s="165"/>
      <c r="BT5789" s="165"/>
      <c r="BU5789" s="165"/>
      <c r="BV5789" s="165"/>
      <c r="BW5789" s="165"/>
      <c r="BX5789" s="165"/>
      <c r="BY5789" s="165"/>
      <c r="BZ5789" s="165"/>
      <c r="CA5789" s="165"/>
      <c r="CB5789" s="165"/>
      <c r="CC5789" s="165"/>
      <c r="CD5789" s="165"/>
      <c r="CE5789" s="165"/>
      <c r="CF5789" s="165"/>
      <c r="CG5789" s="165"/>
      <c r="CH5789" s="165"/>
      <c r="CI5789" s="165"/>
      <c r="CJ5789" s="165"/>
      <c r="CK5789" s="165"/>
      <c r="CL5789" s="165"/>
      <c r="CM5789" s="165"/>
      <c r="CN5789" s="165"/>
      <c r="CO5789" s="165"/>
      <c r="CP5789" s="165"/>
      <c r="CQ5789" s="165"/>
      <c r="CR5789" s="165"/>
      <c r="CS5789" s="165"/>
      <c r="CT5789" s="165"/>
      <c r="CU5789" s="165"/>
      <c r="CV5789" s="165"/>
      <c r="CW5789" s="165"/>
      <c r="CX5789" s="165"/>
      <c r="CY5789" s="165"/>
      <c r="CZ5789" s="165"/>
      <c r="DA5789" s="165"/>
      <c r="DB5789" s="165"/>
      <c r="DC5789" s="165"/>
      <c r="DD5789" s="165"/>
      <c r="DE5789" s="165"/>
      <c r="DF5789" s="165"/>
      <c r="DG5789" s="165"/>
      <c r="DH5789" s="165"/>
      <c r="DI5789" s="165"/>
      <c r="DJ5789" s="165"/>
      <c r="DK5789" s="165"/>
      <c r="DL5789" s="165"/>
      <c r="DM5789" s="165"/>
      <c r="DN5789" s="165"/>
      <c r="DO5789" s="165"/>
      <c r="DP5789" s="165"/>
      <c r="DQ5789" s="165"/>
      <c r="DR5789" s="165"/>
      <c r="DS5789" s="165"/>
      <c r="DT5789" s="165"/>
      <c r="DU5789" s="165"/>
      <c r="DV5789" s="165"/>
      <c r="DW5789" s="165"/>
      <c r="DX5789" s="165"/>
      <c r="DY5789" s="165"/>
      <c r="DZ5789" s="165"/>
      <c r="EA5789" s="165"/>
      <c r="EB5789" s="165"/>
      <c r="EC5789" s="165"/>
      <c r="ED5789" s="165"/>
      <c r="EE5789" s="165"/>
      <c r="EF5789" s="165"/>
      <c r="EG5789" s="165"/>
      <c r="EH5789" s="165"/>
      <c r="EI5789" s="165"/>
      <c r="EJ5789" s="165"/>
      <c r="EK5789" s="165"/>
      <c r="EL5789" s="165"/>
      <c r="EM5789" s="165"/>
      <c r="EN5789" s="165"/>
      <c r="EO5789" s="165"/>
      <c r="EP5789" s="165"/>
      <c r="EQ5789" s="165"/>
      <c r="ER5789" s="165"/>
      <c r="ES5789" s="165"/>
    </row>
    <row r="5790" spans="1:149" s="451" customFormat="1" ht="15" hidden="1" customHeight="1">
      <c r="A5790" s="468">
        <v>45537</v>
      </c>
      <c r="B5790" s="208" t="s">
        <v>3716</v>
      </c>
      <c r="C5790" s="208" t="s">
        <v>4314</v>
      </c>
      <c r="D5790" s="211">
        <v>-4030</v>
      </c>
      <c r="E5790" s="212">
        <v>45536</v>
      </c>
      <c r="F5790" s="208" t="s">
        <v>109</v>
      </c>
      <c r="G5790" s="654" t="s">
        <v>2585</v>
      </c>
      <c r="H5790" s="208" t="s">
        <v>138</v>
      </c>
      <c r="I5790" s="208"/>
      <c r="J5790" s="209"/>
      <c r="K5790" s="209"/>
      <c r="L5790" s="209"/>
      <c r="M5790" s="209"/>
      <c r="N5790" s="209"/>
      <c r="O5790" s="209"/>
      <c r="P5790" s="209"/>
      <c r="Q5790" s="209"/>
      <c r="R5790" s="209"/>
      <c r="S5790" s="209"/>
      <c r="T5790" s="209"/>
      <c r="U5790" s="165"/>
      <c r="V5790" s="165"/>
      <c r="W5790" s="165"/>
      <c r="X5790" s="165"/>
      <c r="Y5790" s="165"/>
      <c r="Z5790" s="165"/>
      <c r="AA5790" s="165"/>
      <c r="AB5790" s="165"/>
      <c r="AC5790" s="165"/>
      <c r="AD5790" s="165"/>
      <c r="AE5790" s="165"/>
      <c r="AF5790" s="165"/>
      <c r="AG5790" s="165"/>
      <c r="AH5790" s="165"/>
      <c r="AI5790" s="165"/>
      <c r="AJ5790" s="165"/>
      <c r="AK5790" s="165"/>
      <c r="AL5790" s="165"/>
      <c r="AM5790" s="165"/>
      <c r="AN5790" s="165"/>
      <c r="AO5790" s="165"/>
      <c r="AP5790" s="165"/>
      <c r="AQ5790" s="165"/>
      <c r="AR5790" s="165"/>
      <c r="AS5790" s="165"/>
      <c r="AT5790" s="165"/>
      <c r="AU5790" s="165"/>
      <c r="AV5790" s="165"/>
      <c r="AW5790" s="165"/>
      <c r="AX5790" s="165"/>
      <c r="AY5790" s="165"/>
      <c r="AZ5790" s="165"/>
      <c r="BA5790" s="165"/>
      <c r="BB5790" s="165"/>
      <c r="BC5790" s="165"/>
      <c r="BD5790" s="165"/>
      <c r="BE5790" s="165"/>
      <c r="BF5790" s="165"/>
      <c r="BG5790" s="165"/>
      <c r="BH5790" s="165"/>
      <c r="BI5790" s="165"/>
      <c r="BJ5790" s="165"/>
      <c r="BK5790" s="165"/>
      <c r="BL5790" s="165"/>
      <c r="BM5790" s="165"/>
      <c r="BN5790" s="165"/>
      <c r="BO5790" s="165"/>
      <c r="BP5790" s="165"/>
      <c r="BQ5790" s="165"/>
      <c r="BR5790" s="165"/>
      <c r="BS5790" s="165"/>
      <c r="BT5790" s="165"/>
      <c r="BU5790" s="165"/>
      <c r="BV5790" s="165"/>
      <c r="BW5790" s="165"/>
      <c r="BX5790" s="165"/>
      <c r="BY5790" s="165"/>
      <c r="BZ5790" s="165"/>
      <c r="CA5790" s="165"/>
      <c r="CB5790" s="165"/>
      <c r="CC5790" s="165"/>
      <c r="CD5790" s="165"/>
      <c r="CE5790" s="165"/>
      <c r="CF5790" s="165"/>
      <c r="CG5790" s="165"/>
      <c r="CH5790" s="165"/>
      <c r="CI5790" s="165"/>
      <c r="CJ5790" s="165"/>
      <c r="CK5790" s="165"/>
      <c r="CL5790" s="165"/>
      <c r="CM5790" s="165"/>
      <c r="CN5790" s="165"/>
      <c r="CO5790" s="165"/>
      <c r="CP5790" s="165"/>
      <c r="CQ5790" s="165"/>
      <c r="CR5790" s="165"/>
      <c r="CS5790" s="165"/>
      <c r="CT5790" s="165"/>
      <c r="CU5790" s="165"/>
      <c r="CV5790" s="165"/>
      <c r="CW5790" s="165"/>
      <c r="CX5790" s="165"/>
      <c r="CY5790" s="165"/>
      <c r="CZ5790" s="165"/>
      <c r="DA5790" s="165"/>
      <c r="DB5790" s="165"/>
      <c r="DC5790" s="165"/>
      <c r="DD5790" s="165"/>
      <c r="DE5790" s="165"/>
      <c r="DF5790" s="165"/>
      <c r="DG5790" s="165"/>
      <c r="DH5790" s="165"/>
      <c r="DI5790" s="165"/>
      <c r="DJ5790" s="165"/>
      <c r="DK5790" s="165"/>
      <c r="DL5790" s="165"/>
      <c r="DM5790" s="165"/>
      <c r="DN5790" s="165"/>
      <c r="DO5790" s="165"/>
      <c r="DP5790" s="165"/>
      <c r="DQ5790" s="165"/>
      <c r="DR5790" s="165"/>
      <c r="DS5790" s="165"/>
      <c r="DT5790" s="165"/>
      <c r="DU5790" s="165"/>
      <c r="DV5790" s="165"/>
      <c r="DW5790" s="165"/>
      <c r="DX5790" s="165"/>
      <c r="DY5790" s="165"/>
      <c r="DZ5790" s="165"/>
      <c r="EA5790" s="165"/>
      <c r="EB5790" s="165"/>
      <c r="EC5790" s="165"/>
      <c r="ED5790" s="165"/>
      <c r="EE5790" s="165"/>
      <c r="EF5790" s="165"/>
      <c r="EG5790" s="165"/>
      <c r="EH5790" s="165"/>
      <c r="EI5790" s="165"/>
      <c r="EJ5790" s="165"/>
      <c r="EK5790" s="165"/>
      <c r="EL5790" s="165"/>
      <c r="EM5790" s="165"/>
      <c r="EN5790" s="165"/>
      <c r="EO5790" s="165"/>
      <c r="EP5790" s="165"/>
      <c r="EQ5790" s="165"/>
      <c r="ER5790" s="165"/>
      <c r="ES5790" s="165"/>
    </row>
    <row r="5791" spans="1:149" s="451" customFormat="1" ht="15" hidden="1" customHeight="1">
      <c r="A5791" s="468">
        <v>45537</v>
      </c>
      <c r="B5791" s="208" t="s">
        <v>3717</v>
      </c>
      <c r="C5791" s="208" t="s">
        <v>4314</v>
      </c>
      <c r="D5791" s="211">
        <v>-2418</v>
      </c>
      <c r="E5791" s="212">
        <v>45536</v>
      </c>
      <c r="F5791" s="208" t="s">
        <v>109</v>
      </c>
      <c r="G5791" s="654" t="s">
        <v>2585</v>
      </c>
      <c r="H5791" s="208" t="s">
        <v>138</v>
      </c>
      <c r="I5791" s="208"/>
      <c r="J5791" s="209"/>
      <c r="K5791" s="209"/>
      <c r="L5791" s="209"/>
      <c r="M5791" s="209"/>
      <c r="N5791" s="209"/>
      <c r="O5791" s="209"/>
      <c r="P5791" s="209"/>
      <c r="Q5791" s="209"/>
      <c r="R5791" s="209"/>
      <c r="S5791" s="209"/>
      <c r="T5791" s="209"/>
      <c r="U5791" s="165"/>
      <c r="V5791" s="165"/>
      <c r="W5791" s="165"/>
      <c r="X5791" s="165"/>
      <c r="Y5791" s="165"/>
      <c r="Z5791" s="165"/>
      <c r="AA5791" s="165"/>
      <c r="AB5791" s="165"/>
      <c r="AC5791" s="165"/>
      <c r="AD5791" s="165"/>
      <c r="AE5791" s="165"/>
      <c r="AF5791" s="165"/>
      <c r="AG5791" s="165"/>
      <c r="AH5791" s="165"/>
      <c r="AI5791" s="165"/>
      <c r="AJ5791" s="165"/>
      <c r="AK5791" s="165"/>
      <c r="AL5791" s="165"/>
      <c r="AM5791" s="165"/>
      <c r="AN5791" s="165"/>
      <c r="AO5791" s="165"/>
      <c r="AP5791" s="165"/>
      <c r="AQ5791" s="165"/>
      <c r="AR5791" s="165"/>
      <c r="AS5791" s="165"/>
      <c r="AT5791" s="165"/>
      <c r="AU5791" s="165"/>
      <c r="AV5791" s="165"/>
      <c r="AW5791" s="165"/>
      <c r="AX5791" s="165"/>
      <c r="AY5791" s="165"/>
      <c r="AZ5791" s="165"/>
      <c r="BA5791" s="165"/>
      <c r="BB5791" s="165"/>
      <c r="BC5791" s="165"/>
      <c r="BD5791" s="165"/>
      <c r="BE5791" s="165"/>
      <c r="BF5791" s="165"/>
      <c r="BG5791" s="165"/>
      <c r="BH5791" s="165"/>
      <c r="BI5791" s="165"/>
      <c r="BJ5791" s="165"/>
      <c r="BK5791" s="165"/>
      <c r="BL5791" s="165"/>
      <c r="BM5791" s="165"/>
      <c r="BN5791" s="165"/>
      <c r="BO5791" s="165"/>
      <c r="BP5791" s="165"/>
      <c r="BQ5791" s="165"/>
      <c r="BR5791" s="165"/>
      <c r="BS5791" s="165"/>
      <c r="BT5791" s="165"/>
      <c r="BU5791" s="165"/>
      <c r="BV5791" s="165"/>
      <c r="BW5791" s="165"/>
      <c r="BX5791" s="165"/>
      <c r="BY5791" s="165"/>
      <c r="BZ5791" s="165"/>
      <c r="CA5791" s="165"/>
      <c r="CB5791" s="165"/>
      <c r="CC5791" s="165"/>
      <c r="CD5791" s="165"/>
      <c r="CE5791" s="165"/>
      <c r="CF5791" s="165"/>
      <c r="CG5791" s="165"/>
      <c r="CH5791" s="165"/>
      <c r="CI5791" s="165"/>
      <c r="CJ5791" s="165"/>
      <c r="CK5791" s="165"/>
      <c r="CL5791" s="165"/>
      <c r="CM5791" s="165"/>
      <c r="CN5791" s="165"/>
      <c r="CO5791" s="165"/>
      <c r="CP5791" s="165"/>
      <c r="CQ5791" s="165"/>
      <c r="CR5791" s="165"/>
      <c r="CS5791" s="165"/>
      <c r="CT5791" s="165"/>
      <c r="CU5791" s="165"/>
      <c r="CV5791" s="165"/>
      <c r="CW5791" s="165"/>
      <c r="CX5791" s="165"/>
      <c r="CY5791" s="165"/>
      <c r="CZ5791" s="165"/>
      <c r="DA5791" s="165"/>
      <c r="DB5791" s="165"/>
      <c r="DC5791" s="165"/>
      <c r="DD5791" s="165"/>
      <c r="DE5791" s="165"/>
      <c r="DF5791" s="165"/>
      <c r="DG5791" s="165"/>
      <c r="DH5791" s="165"/>
      <c r="DI5791" s="165"/>
      <c r="DJ5791" s="165"/>
      <c r="DK5791" s="165"/>
      <c r="DL5791" s="165"/>
      <c r="DM5791" s="165"/>
      <c r="DN5791" s="165"/>
      <c r="DO5791" s="165"/>
      <c r="DP5791" s="165"/>
      <c r="DQ5791" s="165"/>
      <c r="DR5791" s="165"/>
      <c r="DS5791" s="165"/>
      <c r="DT5791" s="165"/>
      <c r="DU5791" s="165"/>
      <c r="DV5791" s="165"/>
      <c r="DW5791" s="165"/>
      <c r="DX5791" s="165"/>
      <c r="DY5791" s="165"/>
      <c r="DZ5791" s="165"/>
      <c r="EA5791" s="165"/>
      <c r="EB5791" s="165"/>
      <c r="EC5791" s="165"/>
      <c r="ED5791" s="165"/>
      <c r="EE5791" s="165"/>
      <c r="EF5791" s="165"/>
      <c r="EG5791" s="165"/>
      <c r="EH5791" s="165"/>
      <c r="EI5791" s="165"/>
      <c r="EJ5791" s="165"/>
      <c r="EK5791" s="165"/>
      <c r="EL5791" s="165"/>
      <c r="EM5791" s="165"/>
      <c r="EN5791" s="165"/>
      <c r="EO5791" s="165"/>
      <c r="EP5791" s="165"/>
      <c r="EQ5791" s="165"/>
      <c r="ER5791" s="165"/>
      <c r="ES5791" s="165"/>
    </row>
    <row r="5792" spans="1:149" s="451" customFormat="1" ht="15" hidden="1" customHeight="1">
      <c r="A5792" s="468">
        <v>45537</v>
      </c>
      <c r="B5792" s="208" t="s">
        <v>3931</v>
      </c>
      <c r="C5792" s="208" t="s">
        <v>269</v>
      </c>
      <c r="D5792" s="211">
        <v>-277200</v>
      </c>
      <c r="E5792" s="212">
        <v>45536</v>
      </c>
      <c r="F5792" s="208" t="s">
        <v>109</v>
      </c>
      <c r="G5792" s="208" t="s">
        <v>3529</v>
      </c>
      <c r="H5792" s="208" t="s">
        <v>1463</v>
      </c>
      <c r="I5792" s="208"/>
      <c r="J5792" s="209"/>
      <c r="K5792" s="209"/>
      <c r="L5792" s="209"/>
      <c r="M5792" s="209"/>
      <c r="N5792" s="209"/>
      <c r="O5792" s="209"/>
      <c r="P5792" s="209"/>
      <c r="Q5792" s="209"/>
      <c r="R5792" s="209"/>
      <c r="S5792" s="209"/>
      <c r="T5792" s="209"/>
      <c r="U5792" s="165"/>
      <c r="V5792" s="165"/>
      <c r="W5792" s="165"/>
      <c r="X5792" s="165"/>
      <c r="Y5792" s="165"/>
      <c r="Z5792" s="165"/>
      <c r="AA5792" s="165"/>
      <c r="AB5792" s="165"/>
      <c r="AC5792" s="165"/>
      <c r="AD5792" s="165"/>
      <c r="AE5792" s="165"/>
      <c r="AF5792" s="165"/>
      <c r="AG5792" s="165"/>
      <c r="AH5792" s="165"/>
      <c r="AI5792" s="165"/>
      <c r="AJ5792" s="165"/>
      <c r="AK5792" s="165"/>
      <c r="AL5792" s="165"/>
      <c r="AM5792" s="165"/>
      <c r="AN5792" s="165"/>
      <c r="AO5792" s="165"/>
      <c r="AP5792" s="165"/>
      <c r="AQ5792" s="165"/>
      <c r="AR5792" s="165"/>
      <c r="AS5792" s="165"/>
      <c r="AT5792" s="165"/>
      <c r="AU5792" s="165"/>
      <c r="AV5792" s="165"/>
      <c r="AW5792" s="165"/>
      <c r="AX5792" s="165"/>
      <c r="AY5792" s="165"/>
      <c r="AZ5792" s="165"/>
      <c r="BA5792" s="165"/>
      <c r="BB5792" s="165"/>
      <c r="BC5792" s="165"/>
      <c r="BD5792" s="165"/>
      <c r="BE5792" s="165"/>
      <c r="BF5792" s="165"/>
      <c r="BG5792" s="165"/>
      <c r="BH5792" s="165"/>
      <c r="BI5792" s="165"/>
      <c r="BJ5792" s="165"/>
      <c r="BK5792" s="165"/>
      <c r="BL5792" s="165"/>
      <c r="BM5792" s="165"/>
      <c r="BN5792" s="165"/>
      <c r="BO5792" s="165"/>
      <c r="BP5792" s="165"/>
      <c r="BQ5792" s="165"/>
      <c r="BR5792" s="165"/>
      <c r="BS5792" s="165"/>
      <c r="BT5792" s="165"/>
      <c r="BU5792" s="165"/>
      <c r="BV5792" s="165"/>
      <c r="BW5792" s="165"/>
      <c r="BX5792" s="165"/>
      <c r="BY5792" s="165"/>
      <c r="BZ5792" s="165"/>
      <c r="CA5792" s="165"/>
      <c r="CB5792" s="165"/>
      <c r="CC5792" s="165"/>
      <c r="CD5792" s="165"/>
      <c r="CE5792" s="165"/>
      <c r="CF5792" s="165"/>
      <c r="CG5792" s="165"/>
      <c r="CH5792" s="165"/>
      <c r="CI5792" s="165"/>
      <c r="CJ5792" s="165"/>
      <c r="CK5792" s="165"/>
      <c r="CL5792" s="165"/>
      <c r="CM5792" s="165"/>
      <c r="CN5792" s="165"/>
      <c r="CO5792" s="165"/>
      <c r="CP5792" s="165"/>
      <c r="CQ5792" s="165"/>
      <c r="CR5792" s="165"/>
      <c r="CS5792" s="165"/>
      <c r="CT5792" s="165"/>
      <c r="CU5792" s="165"/>
      <c r="CV5792" s="165"/>
      <c r="CW5792" s="165"/>
      <c r="CX5792" s="165"/>
      <c r="CY5792" s="165"/>
      <c r="CZ5792" s="165"/>
      <c r="DA5792" s="165"/>
      <c r="DB5792" s="165"/>
      <c r="DC5792" s="165"/>
      <c r="DD5792" s="165"/>
      <c r="DE5792" s="165"/>
      <c r="DF5792" s="165"/>
      <c r="DG5792" s="165"/>
      <c r="DH5792" s="165"/>
      <c r="DI5792" s="165"/>
      <c r="DJ5792" s="165"/>
      <c r="DK5792" s="165"/>
      <c r="DL5792" s="165"/>
      <c r="DM5792" s="165"/>
      <c r="DN5792" s="165"/>
      <c r="DO5792" s="165"/>
      <c r="DP5792" s="165"/>
      <c r="DQ5792" s="165"/>
      <c r="DR5792" s="165"/>
      <c r="DS5792" s="165"/>
      <c r="DT5792" s="165"/>
      <c r="DU5792" s="165"/>
      <c r="DV5792" s="165"/>
      <c r="DW5792" s="165"/>
      <c r="DX5792" s="165"/>
      <c r="DY5792" s="165"/>
      <c r="DZ5792" s="165"/>
      <c r="EA5792" s="165"/>
      <c r="EB5792" s="165"/>
      <c r="EC5792" s="165"/>
      <c r="ED5792" s="165"/>
      <c r="EE5792" s="165"/>
      <c r="EF5792" s="165"/>
      <c r="EG5792" s="165"/>
      <c r="EH5792" s="165"/>
      <c r="EI5792" s="165"/>
      <c r="EJ5792" s="165"/>
      <c r="EK5792" s="165"/>
      <c r="EL5792" s="165"/>
      <c r="EM5792" s="165"/>
      <c r="EN5792" s="165"/>
      <c r="EO5792" s="165"/>
      <c r="EP5792" s="165"/>
      <c r="EQ5792" s="165"/>
      <c r="ER5792" s="165"/>
      <c r="ES5792" s="165"/>
    </row>
    <row r="5793" spans="1:149" s="451" customFormat="1" ht="15" hidden="1" customHeight="1">
      <c r="A5793" s="468">
        <v>45537</v>
      </c>
      <c r="B5793" s="208" t="s">
        <v>4779</v>
      </c>
      <c r="C5793" s="208" t="s">
        <v>269</v>
      </c>
      <c r="D5793" s="211">
        <v>-77199</v>
      </c>
      <c r="E5793" s="212">
        <v>45536</v>
      </c>
      <c r="F5793" s="208" t="s">
        <v>110</v>
      </c>
      <c r="G5793" s="201" t="s">
        <v>1489</v>
      </c>
      <c r="H5793" s="208" t="s">
        <v>2941</v>
      </c>
      <c r="I5793" s="208" t="s">
        <v>173</v>
      </c>
      <c r="J5793" s="209"/>
      <c r="K5793" s="209"/>
      <c r="L5793" s="209"/>
      <c r="M5793" s="209"/>
      <c r="N5793" s="209"/>
      <c r="O5793" s="209"/>
      <c r="P5793" s="209"/>
      <c r="Q5793" s="209"/>
      <c r="R5793" s="209"/>
      <c r="S5793" s="209"/>
      <c r="T5793" s="209"/>
      <c r="U5793" s="165"/>
      <c r="V5793" s="165"/>
      <c r="W5793" s="165"/>
      <c r="X5793" s="165"/>
      <c r="Y5793" s="165"/>
      <c r="Z5793" s="165"/>
      <c r="AA5793" s="165"/>
      <c r="AB5793" s="165"/>
      <c r="AC5793" s="165"/>
      <c r="AD5793" s="165"/>
      <c r="AE5793" s="165"/>
      <c r="AF5793" s="165"/>
      <c r="AG5793" s="165"/>
      <c r="AH5793" s="165"/>
      <c r="AI5793" s="165"/>
      <c r="AJ5793" s="165"/>
      <c r="AK5793" s="165"/>
      <c r="AL5793" s="165"/>
      <c r="AM5793" s="165"/>
      <c r="AN5793" s="165"/>
      <c r="AO5793" s="165"/>
      <c r="AP5793" s="165"/>
      <c r="AQ5793" s="165"/>
      <c r="AR5793" s="165"/>
      <c r="AS5793" s="165"/>
      <c r="AT5793" s="165"/>
      <c r="AU5793" s="165"/>
      <c r="AV5793" s="165"/>
      <c r="AW5793" s="165"/>
      <c r="AX5793" s="165"/>
      <c r="AY5793" s="165"/>
      <c r="AZ5793" s="165"/>
      <c r="BA5793" s="165"/>
      <c r="BB5793" s="165"/>
      <c r="BC5793" s="165"/>
      <c r="BD5793" s="165"/>
      <c r="BE5793" s="165"/>
      <c r="BF5793" s="165"/>
      <c r="BG5793" s="165"/>
      <c r="BH5793" s="165"/>
      <c r="BI5793" s="165"/>
      <c r="BJ5793" s="165"/>
      <c r="BK5793" s="165"/>
      <c r="BL5793" s="165"/>
      <c r="BM5793" s="165"/>
      <c r="BN5793" s="165"/>
      <c r="BO5793" s="165"/>
      <c r="BP5793" s="165"/>
      <c r="BQ5793" s="165"/>
      <c r="BR5793" s="165"/>
      <c r="BS5793" s="165"/>
      <c r="BT5793" s="165"/>
      <c r="BU5793" s="165"/>
      <c r="BV5793" s="165"/>
      <c r="BW5793" s="165"/>
      <c r="BX5793" s="165"/>
      <c r="BY5793" s="165"/>
      <c r="BZ5793" s="165"/>
      <c r="CA5793" s="165"/>
      <c r="CB5793" s="165"/>
      <c r="CC5793" s="165"/>
      <c r="CD5793" s="165"/>
      <c r="CE5793" s="165"/>
      <c r="CF5793" s="165"/>
      <c r="CG5793" s="165"/>
      <c r="CH5793" s="165"/>
      <c r="CI5793" s="165"/>
      <c r="CJ5793" s="165"/>
      <c r="CK5793" s="165"/>
      <c r="CL5793" s="165"/>
      <c r="CM5793" s="165"/>
      <c r="CN5793" s="165"/>
      <c r="CO5793" s="165"/>
      <c r="CP5793" s="165"/>
      <c r="CQ5793" s="165"/>
      <c r="CR5793" s="165"/>
      <c r="CS5793" s="165"/>
      <c r="CT5793" s="165"/>
      <c r="CU5793" s="165"/>
      <c r="CV5793" s="165"/>
      <c r="CW5793" s="165"/>
      <c r="CX5793" s="165"/>
      <c r="CY5793" s="165"/>
      <c r="CZ5793" s="165"/>
      <c r="DA5793" s="165"/>
      <c r="DB5793" s="165"/>
      <c r="DC5793" s="165"/>
      <c r="DD5793" s="165"/>
      <c r="DE5793" s="165"/>
      <c r="DF5793" s="165"/>
      <c r="DG5793" s="165"/>
      <c r="DH5793" s="165"/>
      <c r="DI5793" s="165"/>
      <c r="DJ5793" s="165"/>
      <c r="DK5793" s="165"/>
      <c r="DL5793" s="165"/>
      <c r="DM5793" s="165"/>
      <c r="DN5793" s="165"/>
      <c r="DO5793" s="165"/>
      <c r="DP5793" s="165"/>
      <c r="DQ5793" s="165"/>
      <c r="DR5793" s="165"/>
      <c r="DS5793" s="165"/>
      <c r="DT5793" s="165"/>
      <c r="DU5793" s="165"/>
      <c r="DV5793" s="165"/>
      <c r="DW5793" s="165"/>
      <c r="DX5793" s="165"/>
      <c r="DY5793" s="165"/>
      <c r="DZ5793" s="165"/>
      <c r="EA5793" s="165"/>
      <c r="EB5793" s="165"/>
      <c r="EC5793" s="165"/>
      <c r="ED5793" s="165"/>
      <c r="EE5793" s="165"/>
      <c r="EF5793" s="165"/>
      <c r="EG5793" s="165"/>
      <c r="EH5793" s="165"/>
      <c r="EI5793" s="165"/>
      <c r="EJ5793" s="165"/>
      <c r="EK5793" s="165"/>
      <c r="EL5793" s="165"/>
      <c r="EM5793" s="165"/>
      <c r="EN5793" s="165"/>
      <c r="EO5793" s="165"/>
      <c r="EP5793" s="165"/>
      <c r="EQ5793" s="165"/>
      <c r="ER5793" s="165"/>
      <c r="ES5793" s="165"/>
    </row>
    <row r="5794" spans="1:149" s="451" customFormat="1" ht="15" hidden="1" customHeight="1">
      <c r="A5794" s="468">
        <v>45537</v>
      </c>
      <c r="B5794" s="208" t="s">
        <v>4780</v>
      </c>
      <c r="C5794" s="208" t="s">
        <v>269</v>
      </c>
      <c r="D5794" s="211">
        <v>-60892</v>
      </c>
      <c r="E5794" s="212">
        <v>45536</v>
      </c>
      <c r="F5794" s="208" t="s">
        <v>109</v>
      </c>
      <c r="G5794" s="208" t="s">
        <v>3529</v>
      </c>
      <c r="H5794" s="208" t="s">
        <v>175</v>
      </c>
      <c r="I5794" s="208" t="s">
        <v>173</v>
      </c>
      <c r="J5794" s="209"/>
      <c r="K5794" s="209"/>
      <c r="L5794" s="209"/>
      <c r="M5794" s="209"/>
      <c r="N5794" s="209"/>
      <c r="O5794" s="209"/>
      <c r="P5794" s="209"/>
      <c r="Q5794" s="209"/>
      <c r="R5794" s="209"/>
      <c r="S5794" s="209"/>
      <c r="T5794" s="209"/>
      <c r="U5794" s="165"/>
      <c r="V5794" s="165"/>
      <c r="W5794" s="165"/>
      <c r="X5794" s="165"/>
      <c r="Y5794" s="165"/>
      <c r="Z5794" s="165"/>
      <c r="AA5794" s="165"/>
      <c r="AB5794" s="165"/>
      <c r="AC5794" s="165"/>
      <c r="AD5794" s="165"/>
      <c r="AE5794" s="165"/>
      <c r="AF5794" s="165"/>
      <c r="AG5794" s="165"/>
      <c r="AH5794" s="165"/>
      <c r="AI5794" s="165"/>
      <c r="AJ5794" s="165"/>
      <c r="AK5794" s="165"/>
      <c r="AL5794" s="165"/>
      <c r="AM5794" s="165"/>
      <c r="AN5794" s="165"/>
      <c r="AO5794" s="165"/>
      <c r="AP5794" s="165"/>
      <c r="AQ5794" s="165"/>
      <c r="AR5794" s="165"/>
      <c r="AS5794" s="165"/>
      <c r="AT5794" s="165"/>
      <c r="AU5794" s="165"/>
      <c r="AV5794" s="165"/>
      <c r="AW5794" s="165"/>
      <c r="AX5794" s="165"/>
      <c r="AY5794" s="165"/>
      <c r="AZ5794" s="165"/>
      <c r="BA5794" s="165"/>
      <c r="BB5794" s="165"/>
      <c r="BC5794" s="165"/>
      <c r="BD5794" s="165"/>
      <c r="BE5794" s="165"/>
      <c r="BF5794" s="165"/>
      <c r="BG5794" s="165"/>
      <c r="BH5794" s="165"/>
      <c r="BI5794" s="165"/>
      <c r="BJ5794" s="165"/>
      <c r="BK5794" s="165"/>
      <c r="BL5794" s="165"/>
      <c r="BM5794" s="165"/>
      <c r="BN5794" s="165"/>
      <c r="BO5794" s="165"/>
      <c r="BP5794" s="165"/>
      <c r="BQ5794" s="165"/>
      <c r="BR5794" s="165"/>
      <c r="BS5794" s="165"/>
      <c r="BT5794" s="165"/>
      <c r="BU5794" s="165"/>
      <c r="BV5794" s="165"/>
      <c r="BW5794" s="165"/>
      <c r="BX5794" s="165"/>
      <c r="BY5794" s="165"/>
      <c r="BZ5794" s="165"/>
      <c r="CA5794" s="165"/>
      <c r="CB5794" s="165"/>
      <c r="CC5794" s="165"/>
      <c r="CD5794" s="165"/>
      <c r="CE5794" s="165"/>
      <c r="CF5794" s="165"/>
      <c r="CG5794" s="165"/>
      <c r="CH5794" s="165"/>
      <c r="CI5794" s="165"/>
      <c r="CJ5794" s="165"/>
      <c r="CK5794" s="165"/>
      <c r="CL5794" s="165"/>
      <c r="CM5794" s="165"/>
      <c r="CN5794" s="165"/>
      <c r="CO5794" s="165"/>
      <c r="CP5794" s="165"/>
      <c r="CQ5794" s="165"/>
      <c r="CR5794" s="165"/>
      <c r="CS5794" s="165"/>
      <c r="CT5794" s="165"/>
      <c r="CU5794" s="165"/>
      <c r="CV5794" s="165"/>
      <c r="CW5794" s="165"/>
      <c r="CX5794" s="165"/>
      <c r="CY5794" s="165"/>
      <c r="CZ5794" s="165"/>
      <c r="DA5794" s="165"/>
      <c r="DB5794" s="165"/>
      <c r="DC5794" s="165"/>
      <c r="DD5794" s="165"/>
      <c r="DE5794" s="165"/>
      <c r="DF5794" s="165"/>
      <c r="DG5794" s="165"/>
      <c r="DH5794" s="165"/>
      <c r="DI5794" s="165"/>
      <c r="DJ5794" s="165"/>
      <c r="DK5794" s="165"/>
      <c r="DL5794" s="165"/>
      <c r="DM5794" s="165"/>
      <c r="DN5794" s="165"/>
      <c r="DO5794" s="165"/>
      <c r="DP5794" s="165"/>
      <c r="DQ5794" s="165"/>
      <c r="DR5794" s="165"/>
      <c r="DS5794" s="165"/>
      <c r="DT5794" s="165"/>
      <c r="DU5794" s="165"/>
      <c r="DV5794" s="165"/>
      <c r="DW5794" s="165"/>
      <c r="DX5794" s="165"/>
      <c r="DY5794" s="165"/>
      <c r="DZ5794" s="165"/>
      <c r="EA5794" s="165"/>
      <c r="EB5794" s="165"/>
      <c r="EC5794" s="165"/>
      <c r="ED5794" s="165"/>
      <c r="EE5794" s="165"/>
      <c r="EF5794" s="165"/>
      <c r="EG5794" s="165"/>
      <c r="EH5794" s="165"/>
      <c r="EI5794" s="165"/>
      <c r="EJ5794" s="165"/>
      <c r="EK5794" s="165"/>
      <c r="EL5794" s="165"/>
      <c r="EM5794" s="165"/>
      <c r="EN5794" s="165"/>
      <c r="EO5794" s="165"/>
      <c r="EP5794" s="165"/>
      <c r="EQ5794" s="165"/>
      <c r="ER5794" s="165"/>
      <c r="ES5794" s="165"/>
    </row>
    <row r="5795" spans="1:149" s="451" customFormat="1" ht="15" hidden="1" customHeight="1">
      <c r="A5795" s="468">
        <v>45537</v>
      </c>
      <c r="B5795" s="208" t="s">
        <v>4126</v>
      </c>
      <c r="C5795" s="208" t="s">
        <v>3331</v>
      </c>
      <c r="D5795" s="211">
        <v>-11111111</v>
      </c>
      <c r="E5795" s="212">
        <v>45536</v>
      </c>
      <c r="F5795" s="84" t="s">
        <v>111</v>
      </c>
      <c r="G5795" s="208"/>
      <c r="H5795" s="208"/>
      <c r="I5795" s="208"/>
      <c r="J5795" s="209"/>
      <c r="K5795" s="209"/>
      <c r="L5795" s="209"/>
      <c r="M5795" s="209"/>
      <c r="N5795" s="209"/>
      <c r="O5795" s="209"/>
      <c r="P5795" s="209"/>
      <c r="Q5795" s="209"/>
      <c r="R5795" s="209"/>
      <c r="S5795" s="209"/>
      <c r="T5795" s="209"/>
      <c r="U5795" s="165"/>
      <c r="V5795" s="165"/>
      <c r="W5795" s="165"/>
      <c r="X5795" s="165"/>
      <c r="Y5795" s="165"/>
      <c r="Z5795" s="165"/>
      <c r="AA5795" s="165"/>
      <c r="AB5795" s="165"/>
      <c r="AC5795" s="165"/>
      <c r="AD5795" s="165"/>
      <c r="AE5795" s="165"/>
      <c r="AF5795" s="165"/>
      <c r="AG5795" s="165"/>
      <c r="AH5795" s="165"/>
      <c r="AI5795" s="165"/>
      <c r="AJ5795" s="165"/>
      <c r="AK5795" s="165"/>
      <c r="AL5795" s="165"/>
      <c r="AM5795" s="165"/>
      <c r="AN5795" s="165"/>
      <c r="AO5795" s="165"/>
      <c r="AP5795" s="165"/>
      <c r="AQ5795" s="165"/>
      <c r="AR5795" s="165"/>
      <c r="AS5795" s="165"/>
      <c r="AT5795" s="165"/>
      <c r="AU5795" s="165"/>
      <c r="AV5795" s="165"/>
      <c r="AW5795" s="165"/>
      <c r="AX5795" s="165"/>
      <c r="AY5795" s="165"/>
      <c r="AZ5795" s="165"/>
      <c r="BA5795" s="165"/>
      <c r="BB5795" s="165"/>
      <c r="BC5795" s="165"/>
      <c r="BD5795" s="165"/>
      <c r="BE5795" s="165"/>
      <c r="BF5795" s="165"/>
      <c r="BG5795" s="165"/>
      <c r="BH5795" s="165"/>
      <c r="BI5795" s="165"/>
      <c r="BJ5795" s="165"/>
      <c r="BK5795" s="165"/>
      <c r="BL5795" s="165"/>
      <c r="BM5795" s="165"/>
      <c r="BN5795" s="165"/>
      <c r="BO5795" s="165"/>
      <c r="BP5795" s="165"/>
      <c r="BQ5795" s="165"/>
      <c r="BR5795" s="165"/>
      <c r="BS5795" s="165"/>
      <c r="BT5795" s="165"/>
      <c r="BU5795" s="165"/>
      <c r="BV5795" s="165"/>
      <c r="BW5795" s="165"/>
      <c r="BX5795" s="165"/>
      <c r="BY5795" s="165"/>
      <c r="BZ5795" s="165"/>
      <c r="CA5795" s="165"/>
      <c r="CB5795" s="165"/>
      <c r="CC5795" s="165"/>
      <c r="CD5795" s="165"/>
      <c r="CE5795" s="165"/>
      <c r="CF5795" s="165"/>
      <c r="CG5795" s="165"/>
      <c r="CH5795" s="165"/>
      <c r="CI5795" s="165"/>
      <c r="CJ5795" s="165"/>
      <c r="CK5795" s="165"/>
      <c r="CL5795" s="165"/>
      <c r="CM5795" s="165"/>
      <c r="CN5795" s="165"/>
      <c r="CO5795" s="165"/>
      <c r="CP5795" s="165"/>
      <c r="CQ5795" s="165"/>
      <c r="CR5795" s="165"/>
      <c r="CS5795" s="165"/>
      <c r="CT5795" s="165"/>
      <c r="CU5795" s="165"/>
      <c r="CV5795" s="165"/>
      <c r="CW5795" s="165"/>
      <c r="CX5795" s="165"/>
      <c r="CY5795" s="165"/>
      <c r="CZ5795" s="165"/>
      <c r="DA5795" s="165"/>
      <c r="DB5795" s="165"/>
      <c r="DC5795" s="165"/>
      <c r="DD5795" s="165"/>
      <c r="DE5795" s="165"/>
      <c r="DF5795" s="165"/>
      <c r="DG5795" s="165"/>
      <c r="DH5795" s="165"/>
      <c r="DI5795" s="165"/>
      <c r="DJ5795" s="165"/>
      <c r="DK5795" s="165"/>
      <c r="DL5795" s="165"/>
      <c r="DM5795" s="165"/>
      <c r="DN5795" s="165"/>
      <c r="DO5795" s="165"/>
      <c r="DP5795" s="165"/>
      <c r="DQ5795" s="165"/>
      <c r="DR5795" s="165"/>
      <c r="DS5795" s="165"/>
      <c r="DT5795" s="165"/>
      <c r="DU5795" s="165"/>
      <c r="DV5795" s="165"/>
      <c r="DW5795" s="165"/>
      <c r="DX5795" s="165"/>
      <c r="DY5795" s="165"/>
      <c r="DZ5795" s="165"/>
      <c r="EA5795" s="165"/>
      <c r="EB5795" s="165"/>
      <c r="EC5795" s="165"/>
      <c r="ED5795" s="165"/>
      <c r="EE5795" s="165"/>
      <c r="EF5795" s="165"/>
      <c r="EG5795" s="165"/>
      <c r="EH5795" s="165"/>
      <c r="EI5795" s="165"/>
      <c r="EJ5795" s="165"/>
      <c r="EK5795" s="165"/>
      <c r="EL5795" s="165"/>
      <c r="EM5795" s="165"/>
      <c r="EN5795" s="165"/>
      <c r="EO5795" s="165"/>
      <c r="EP5795" s="165"/>
      <c r="EQ5795" s="165"/>
      <c r="ER5795" s="165"/>
      <c r="ES5795" s="165"/>
    </row>
    <row r="5796" spans="1:149" s="451" customFormat="1" ht="15" hidden="1" customHeight="1">
      <c r="A5796" s="468">
        <v>45537</v>
      </c>
      <c r="B5796" s="208" t="s">
        <v>4126</v>
      </c>
      <c r="C5796" s="208" t="s">
        <v>3331</v>
      </c>
      <c r="D5796" s="211">
        <v>-4099775</v>
      </c>
      <c r="E5796" s="212">
        <v>45536</v>
      </c>
      <c r="F5796" s="208" t="s">
        <v>118</v>
      </c>
      <c r="G5796" s="208"/>
      <c r="H5796" s="208"/>
      <c r="I5796" s="208"/>
      <c r="J5796" s="209"/>
      <c r="K5796" s="209"/>
      <c r="L5796" s="209"/>
      <c r="M5796" s="209"/>
      <c r="N5796" s="209"/>
      <c r="O5796" s="209"/>
      <c r="P5796" s="209"/>
      <c r="Q5796" s="209"/>
      <c r="R5796" s="209"/>
      <c r="S5796" s="209"/>
      <c r="T5796" s="209"/>
      <c r="U5796" s="165"/>
      <c r="V5796" s="165"/>
      <c r="W5796" s="165"/>
      <c r="X5796" s="165"/>
      <c r="Y5796" s="165"/>
      <c r="Z5796" s="165"/>
      <c r="AA5796" s="165"/>
      <c r="AB5796" s="165"/>
      <c r="AC5796" s="165"/>
      <c r="AD5796" s="165"/>
      <c r="AE5796" s="165"/>
      <c r="AF5796" s="165"/>
      <c r="AG5796" s="165"/>
      <c r="AH5796" s="165"/>
      <c r="AI5796" s="165"/>
      <c r="AJ5796" s="165"/>
      <c r="AK5796" s="165"/>
      <c r="AL5796" s="165"/>
      <c r="AM5796" s="165"/>
      <c r="AN5796" s="165"/>
      <c r="AO5796" s="165"/>
      <c r="AP5796" s="165"/>
      <c r="AQ5796" s="165"/>
      <c r="AR5796" s="165"/>
      <c r="AS5796" s="165"/>
      <c r="AT5796" s="165"/>
      <c r="AU5796" s="165"/>
      <c r="AV5796" s="165"/>
      <c r="AW5796" s="165"/>
      <c r="AX5796" s="165"/>
      <c r="AY5796" s="165"/>
      <c r="AZ5796" s="165"/>
      <c r="BA5796" s="165"/>
      <c r="BB5796" s="165"/>
      <c r="BC5796" s="165"/>
      <c r="BD5796" s="165"/>
      <c r="BE5796" s="165"/>
      <c r="BF5796" s="165"/>
      <c r="BG5796" s="165"/>
      <c r="BH5796" s="165"/>
      <c r="BI5796" s="165"/>
      <c r="BJ5796" s="165"/>
      <c r="BK5796" s="165"/>
      <c r="BL5796" s="165"/>
      <c r="BM5796" s="165"/>
      <c r="BN5796" s="165"/>
      <c r="BO5796" s="165"/>
      <c r="BP5796" s="165"/>
      <c r="BQ5796" s="165"/>
      <c r="BR5796" s="165"/>
      <c r="BS5796" s="165"/>
      <c r="BT5796" s="165"/>
      <c r="BU5796" s="165"/>
      <c r="BV5796" s="165"/>
      <c r="BW5796" s="165"/>
      <c r="BX5796" s="165"/>
      <c r="BY5796" s="165"/>
      <c r="BZ5796" s="165"/>
      <c r="CA5796" s="165"/>
      <c r="CB5796" s="165"/>
      <c r="CC5796" s="165"/>
      <c r="CD5796" s="165"/>
      <c r="CE5796" s="165"/>
      <c r="CF5796" s="165"/>
      <c r="CG5796" s="165"/>
      <c r="CH5796" s="165"/>
      <c r="CI5796" s="165"/>
      <c r="CJ5796" s="165"/>
      <c r="CK5796" s="165"/>
      <c r="CL5796" s="165"/>
      <c r="CM5796" s="165"/>
      <c r="CN5796" s="165"/>
      <c r="CO5796" s="165"/>
      <c r="CP5796" s="165"/>
      <c r="CQ5796" s="165"/>
      <c r="CR5796" s="165"/>
      <c r="CS5796" s="165"/>
      <c r="CT5796" s="165"/>
      <c r="CU5796" s="165"/>
      <c r="CV5796" s="165"/>
      <c r="CW5796" s="165"/>
      <c r="CX5796" s="165"/>
      <c r="CY5796" s="165"/>
      <c r="CZ5796" s="165"/>
      <c r="DA5796" s="165"/>
      <c r="DB5796" s="165"/>
      <c r="DC5796" s="165"/>
      <c r="DD5796" s="165"/>
      <c r="DE5796" s="165"/>
      <c r="DF5796" s="165"/>
      <c r="DG5796" s="165"/>
      <c r="DH5796" s="165"/>
      <c r="DI5796" s="165"/>
      <c r="DJ5796" s="165"/>
      <c r="DK5796" s="165"/>
      <c r="DL5796" s="165"/>
      <c r="DM5796" s="165"/>
      <c r="DN5796" s="165"/>
      <c r="DO5796" s="165"/>
      <c r="DP5796" s="165"/>
      <c r="DQ5796" s="165"/>
      <c r="DR5796" s="165"/>
      <c r="DS5796" s="165"/>
      <c r="DT5796" s="165"/>
      <c r="DU5796" s="165"/>
      <c r="DV5796" s="165"/>
      <c r="DW5796" s="165"/>
      <c r="DX5796" s="165"/>
      <c r="DY5796" s="165"/>
      <c r="DZ5796" s="165"/>
      <c r="EA5796" s="165"/>
      <c r="EB5796" s="165"/>
      <c r="EC5796" s="165"/>
      <c r="ED5796" s="165"/>
      <c r="EE5796" s="165"/>
      <c r="EF5796" s="165"/>
      <c r="EG5796" s="165"/>
      <c r="EH5796" s="165"/>
      <c r="EI5796" s="165"/>
      <c r="EJ5796" s="165"/>
      <c r="EK5796" s="165"/>
      <c r="EL5796" s="165"/>
      <c r="EM5796" s="165"/>
      <c r="EN5796" s="165"/>
      <c r="EO5796" s="165"/>
      <c r="EP5796" s="165"/>
      <c r="EQ5796" s="165"/>
      <c r="ER5796" s="165"/>
      <c r="ES5796" s="165"/>
    </row>
    <row r="5797" spans="1:149" s="209" customFormat="1" ht="15" hidden="1" customHeight="1">
      <c r="A5797" s="468">
        <v>45537</v>
      </c>
      <c r="B5797" s="208" t="s">
        <v>4344</v>
      </c>
      <c r="C5797" s="208" t="s">
        <v>3331</v>
      </c>
      <c r="D5797" s="211">
        <v>2227732</v>
      </c>
      <c r="E5797" s="212">
        <v>45536</v>
      </c>
      <c r="F5797" s="654" t="s">
        <v>108</v>
      </c>
      <c r="G5797" s="208"/>
      <c r="H5797" s="208"/>
      <c r="I5797" s="208"/>
    </row>
    <row r="5798" spans="1:149" s="451" customFormat="1" ht="15" hidden="1" customHeight="1">
      <c r="A5798" s="468">
        <v>45537</v>
      </c>
      <c r="B5798" s="81" t="s">
        <v>4339</v>
      </c>
      <c r="C5798" s="208" t="s">
        <v>643</v>
      </c>
      <c r="D5798" s="682">
        <v>-14500</v>
      </c>
      <c r="E5798" s="212">
        <v>45536</v>
      </c>
      <c r="F5798" s="208" t="s">
        <v>130</v>
      </c>
      <c r="G5798" s="208" t="s">
        <v>257</v>
      </c>
      <c r="H5798" s="208" t="s">
        <v>1138</v>
      </c>
      <c r="I5798" s="208"/>
      <c r="J5798" s="209"/>
      <c r="K5798" s="209"/>
      <c r="L5798" s="209"/>
      <c r="M5798" s="209"/>
      <c r="N5798" s="209"/>
      <c r="O5798" s="209"/>
      <c r="P5798" s="209"/>
      <c r="Q5798" s="209"/>
      <c r="R5798" s="209"/>
      <c r="S5798" s="209"/>
      <c r="T5798" s="209"/>
      <c r="U5798" s="165"/>
      <c r="V5798" s="165"/>
      <c r="W5798" s="165"/>
      <c r="X5798" s="165"/>
      <c r="Y5798" s="165"/>
      <c r="Z5798" s="165"/>
      <c r="AA5798" s="165"/>
      <c r="AB5798" s="165"/>
      <c r="AC5798" s="165"/>
      <c r="AD5798" s="165"/>
      <c r="AE5798" s="165"/>
      <c r="AF5798" s="165"/>
      <c r="AG5798" s="165"/>
      <c r="AH5798" s="165"/>
      <c r="AI5798" s="165"/>
      <c r="AJ5798" s="165"/>
      <c r="AK5798" s="165"/>
      <c r="AL5798" s="165"/>
      <c r="AM5798" s="165"/>
      <c r="AN5798" s="165"/>
      <c r="AO5798" s="165"/>
      <c r="AP5798" s="165"/>
      <c r="AQ5798" s="165"/>
      <c r="AR5798" s="165"/>
      <c r="AS5798" s="165"/>
      <c r="AT5798" s="165"/>
      <c r="AU5798" s="165"/>
      <c r="AV5798" s="165"/>
      <c r="AW5798" s="165"/>
      <c r="AX5798" s="165"/>
      <c r="AY5798" s="165"/>
      <c r="AZ5798" s="165"/>
      <c r="BA5798" s="165"/>
      <c r="BB5798" s="165"/>
      <c r="BC5798" s="165"/>
      <c r="BD5798" s="165"/>
      <c r="BE5798" s="165"/>
      <c r="BF5798" s="165"/>
      <c r="BG5798" s="165"/>
      <c r="BH5798" s="165"/>
      <c r="BI5798" s="165"/>
      <c r="BJ5798" s="165"/>
      <c r="BK5798" s="165"/>
      <c r="BL5798" s="165"/>
      <c r="BM5798" s="165"/>
      <c r="BN5798" s="165"/>
      <c r="BO5798" s="165"/>
      <c r="BP5798" s="165"/>
      <c r="BQ5798" s="165"/>
      <c r="BR5798" s="165"/>
      <c r="BS5798" s="165"/>
      <c r="BT5798" s="165"/>
      <c r="BU5798" s="165"/>
      <c r="BV5798" s="165"/>
      <c r="BW5798" s="165"/>
      <c r="BX5798" s="165"/>
      <c r="BY5798" s="165"/>
      <c r="BZ5798" s="165"/>
      <c r="CA5798" s="165"/>
      <c r="CB5798" s="165"/>
      <c r="CC5798" s="165"/>
      <c r="CD5798" s="165"/>
      <c r="CE5798" s="165"/>
      <c r="CF5798" s="165"/>
      <c r="CG5798" s="165"/>
      <c r="CH5798" s="165"/>
      <c r="CI5798" s="165"/>
      <c r="CJ5798" s="165"/>
      <c r="CK5798" s="165"/>
      <c r="CL5798" s="165"/>
      <c r="CM5798" s="165"/>
      <c r="CN5798" s="165"/>
      <c r="CO5798" s="165"/>
      <c r="CP5798" s="165"/>
      <c r="CQ5798" s="165"/>
      <c r="CR5798" s="165"/>
      <c r="CS5798" s="165"/>
      <c r="CT5798" s="165"/>
      <c r="CU5798" s="165"/>
      <c r="CV5798" s="165"/>
      <c r="CW5798" s="165"/>
      <c r="CX5798" s="165"/>
      <c r="CY5798" s="165"/>
      <c r="CZ5798" s="165"/>
      <c r="DA5798" s="165"/>
      <c r="DB5798" s="165"/>
      <c r="DC5798" s="165"/>
      <c r="DD5798" s="165"/>
      <c r="DE5798" s="165"/>
      <c r="DF5798" s="165"/>
      <c r="DG5798" s="165"/>
      <c r="DH5798" s="165"/>
      <c r="DI5798" s="165"/>
      <c r="DJ5798" s="165"/>
      <c r="DK5798" s="165"/>
      <c r="DL5798" s="165"/>
      <c r="DM5798" s="165"/>
      <c r="DN5798" s="165"/>
      <c r="DO5798" s="165"/>
      <c r="DP5798" s="165"/>
      <c r="DQ5798" s="165"/>
      <c r="DR5798" s="165"/>
      <c r="DS5798" s="165"/>
      <c r="DT5798" s="165"/>
      <c r="DU5798" s="165"/>
      <c r="DV5798" s="165"/>
      <c r="DW5798" s="165"/>
      <c r="DX5798" s="165"/>
      <c r="DY5798" s="165"/>
      <c r="DZ5798" s="165"/>
      <c r="EA5798" s="165"/>
      <c r="EB5798" s="165"/>
      <c r="EC5798" s="165"/>
      <c r="ED5798" s="165"/>
      <c r="EE5798" s="165"/>
      <c r="EF5798" s="165"/>
      <c r="EG5798" s="165"/>
      <c r="EH5798" s="165"/>
      <c r="EI5798" s="165"/>
      <c r="EJ5798" s="165"/>
      <c r="EK5798" s="165"/>
      <c r="EL5798" s="165"/>
      <c r="EM5798" s="165"/>
      <c r="EN5798" s="165"/>
      <c r="EO5798" s="165"/>
      <c r="EP5798" s="165"/>
      <c r="EQ5798" s="165"/>
      <c r="ER5798" s="165"/>
      <c r="ES5798" s="165"/>
    </row>
    <row r="5799" spans="1:149" s="451" customFormat="1" ht="15" hidden="1" customHeight="1">
      <c r="A5799" s="468">
        <v>45537</v>
      </c>
      <c r="B5799" s="81" t="s">
        <v>4781</v>
      </c>
      <c r="C5799" s="208" t="s">
        <v>643</v>
      </c>
      <c r="D5799" s="211">
        <v>-65000</v>
      </c>
      <c r="E5799" s="212">
        <v>45536</v>
      </c>
      <c r="F5799" s="208" t="s">
        <v>130</v>
      </c>
      <c r="G5799" s="208" t="s">
        <v>130</v>
      </c>
      <c r="H5799" s="208" t="s">
        <v>1245</v>
      </c>
      <c r="I5799" s="208"/>
      <c r="J5799" s="209"/>
      <c r="K5799" s="209"/>
      <c r="L5799" s="209"/>
      <c r="M5799" s="209"/>
      <c r="N5799" s="209"/>
      <c r="O5799" s="209"/>
      <c r="P5799" s="209"/>
      <c r="Q5799" s="209"/>
      <c r="R5799" s="209"/>
      <c r="S5799" s="209"/>
      <c r="T5799" s="209"/>
      <c r="U5799" s="165"/>
      <c r="V5799" s="165"/>
      <c r="W5799" s="165"/>
      <c r="X5799" s="165"/>
      <c r="Y5799" s="165"/>
      <c r="Z5799" s="165"/>
      <c r="AA5799" s="165"/>
      <c r="AB5799" s="165"/>
      <c r="AC5799" s="165"/>
      <c r="AD5799" s="165"/>
      <c r="AE5799" s="165"/>
      <c r="AF5799" s="165"/>
      <c r="AG5799" s="165"/>
      <c r="AH5799" s="165"/>
      <c r="AI5799" s="165"/>
      <c r="AJ5799" s="165"/>
      <c r="AK5799" s="165"/>
      <c r="AL5799" s="165"/>
      <c r="AM5799" s="165"/>
      <c r="AN5799" s="165"/>
      <c r="AO5799" s="165"/>
      <c r="AP5799" s="165"/>
      <c r="AQ5799" s="165"/>
      <c r="AR5799" s="165"/>
      <c r="AS5799" s="165"/>
      <c r="AT5799" s="165"/>
      <c r="AU5799" s="165"/>
      <c r="AV5799" s="165"/>
      <c r="AW5799" s="165"/>
      <c r="AX5799" s="165"/>
      <c r="AY5799" s="165"/>
      <c r="AZ5799" s="165"/>
      <c r="BA5799" s="165"/>
      <c r="BB5799" s="165"/>
      <c r="BC5799" s="165"/>
      <c r="BD5799" s="165"/>
      <c r="BE5799" s="165"/>
      <c r="BF5799" s="165"/>
      <c r="BG5799" s="165"/>
      <c r="BH5799" s="165"/>
      <c r="BI5799" s="165"/>
      <c r="BJ5799" s="165"/>
      <c r="BK5799" s="165"/>
      <c r="BL5799" s="165"/>
      <c r="BM5799" s="165"/>
      <c r="BN5799" s="165"/>
      <c r="BO5799" s="165"/>
      <c r="BP5799" s="165"/>
      <c r="BQ5799" s="165"/>
      <c r="BR5799" s="165"/>
      <c r="BS5799" s="165"/>
      <c r="BT5799" s="165"/>
      <c r="BU5799" s="165"/>
      <c r="BV5799" s="165"/>
      <c r="BW5799" s="165"/>
      <c r="BX5799" s="165"/>
      <c r="BY5799" s="165"/>
      <c r="BZ5799" s="165"/>
      <c r="CA5799" s="165"/>
      <c r="CB5799" s="165"/>
      <c r="CC5799" s="165"/>
      <c r="CD5799" s="165"/>
      <c r="CE5799" s="165"/>
      <c r="CF5799" s="165"/>
      <c r="CG5799" s="165"/>
      <c r="CH5799" s="165"/>
      <c r="CI5799" s="165"/>
      <c r="CJ5799" s="165"/>
      <c r="CK5799" s="165"/>
      <c r="CL5799" s="165"/>
      <c r="CM5799" s="165"/>
      <c r="CN5799" s="165"/>
      <c r="CO5799" s="165"/>
      <c r="CP5799" s="165"/>
      <c r="CQ5799" s="165"/>
      <c r="CR5799" s="165"/>
      <c r="CS5799" s="165"/>
      <c r="CT5799" s="165"/>
      <c r="CU5799" s="165"/>
      <c r="CV5799" s="165"/>
      <c r="CW5799" s="165"/>
      <c r="CX5799" s="165"/>
      <c r="CY5799" s="165"/>
      <c r="CZ5799" s="165"/>
      <c r="DA5799" s="165"/>
      <c r="DB5799" s="165"/>
      <c r="DC5799" s="165"/>
      <c r="DD5799" s="165"/>
      <c r="DE5799" s="165"/>
      <c r="DF5799" s="165"/>
      <c r="DG5799" s="165"/>
      <c r="DH5799" s="165"/>
      <c r="DI5799" s="165"/>
      <c r="DJ5799" s="165"/>
      <c r="DK5799" s="165"/>
      <c r="DL5799" s="165"/>
      <c r="DM5799" s="165"/>
      <c r="DN5799" s="165"/>
      <c r="DO5799" s="165"/>
      <c r="DP5799" s="165"/>
      <c r="DQ5799" s="165"/>
      <c r="DR5799" s="165"/>
      <c r="DS5799" s="165"/>
      <c r="DT5799" s="165"/>
      <c r="DU5799" s="165"/>
      <c r="DV5799" s="165"/>
      <c r="DW5799" s="165"/>
      <c r="DX5799" s="165"/>
      <c r="DY5799" s="165"/>
      <c r="DZ5799" s="165"/>
      <c r="EA5799" s="165"/>
      <c r="EB5799" s="165"/>
      <c r="EC5799" s="165"/>
      <c r="ED5799" s="165"/>
      <c r="EE5799" s="165"/>
      <c r="EF5799" s="165"/>
      <c r="EG5799" s="165"/>
      <c r="EH5799" s="165"/>
      <c r="EI5799" s="165"/>
      <c r="EJ5799" s="165"/>
      <c r="EK5799" s="165"/>
      <c r="EL5799" s="165"/>
      <c r="EM5799" s="165"/>
      <c r="EN5799" s="165"/>
      <c r="EO5799" s="165"/>
      <c r="EP5799" s="165"/>
      <c r="EQ5799" s="165"/>
      <c r="ER5799" s="165"/>
      <c r="ES5799" s="165"/>
    </row>
    <row r="5800" spans="1:149" s="451" customFormat="1" ht="15" hidden="1" customHeight="1">
      <c r="A5800" s="468">
        <v>45537</v>
      </c>
      <c r="B5800" s="208" t="s">
        <v>4782</v>
      </c>
      <c r="C5800" s="208" t="s">
        <v>4783</v>
      </c>
      <c r="D5800" s="211">
        <v>-5149182</v>
      </c>
      <c r="E5800" s="212">
        <v>45536</v>
      </c>
      <c r="F5800" s="84" t="s">
        <v>111</v>
      </c>
      <c r="G5800" s="208"/>
      <c r="H5800" s="208"/>
      <c r="I5800" s="208"/>
      <c r="J5800" s="209"/>
      <c r="K5800" s="209"/>
      <c r="L5800" s="209"/>
      <c r="M5800" s="209"/>
      <c r="N5800" s="209"/>
      <c r="O5800" s="209"/>
      <c r="P5800" s="209"/>
      <c r="Q5800" s="209"/>
      <c r="R5800" s="209"/>
      <c r="S5800" s="209"/>
      <c r="T5800" s="209"/>
    </row>
    <row r="5801" spans="1:149" s="451" customFormat="1" ht="15" hidden="1" customHeight="1">
      <c r="A5801" s="468">
        <v>45537</v>
      </c>
      <c r="B5801" s="208" t="s">
        <v>4784</v>
      </c>
      <c r="C5801" s="208" t="s">
        <v>146</v>
      </c>
      <c r="D5801" s="526">
        <v>-10000</v>
      </c>
      <c r="E5801" s="212">
        <v>45536</v>
      </c>
      <c r="F5801" s="208" t="s">
        <v>2531</v>
      </c>
      <c r="G5801" s="208" t="s">
        <v>774</v>
      </c>
      <c r="H5801" s="208" t="s">
        <v>138</v>
      </c>
      <c r="I5801" s="208" t="s">
        <v>4766</v>
      </c>
      <c r="J5801" s="209"/>
      <c r="K5801" s="209"/>
      <c r="L5801" s="209"/>
      <c r="M5801" s="209"/>
      <c r="N5801" s="209"/>
      <c r="O5801" s="209"/>
      <c r="P5801" s="209"/>
      <c r="Q5801" s="209"/>
      <c r="R5801" s="209"/>
      <c r="S5801" s="209"/>
      <c r="T5801" s="209"/>
      <c r="U5801" s="165"/>
      <c r="V5801" s="165"/>
      <c r="W5801" s="165"/>
      <c r="X5801" s="165"/>
      <c r="Y5801" s="165"/>
      <c r="Z5801" s="165"/>
      <c r="AA5801" s="165"/>
      <c r="AB5801" s="165"/>
      <c r="AC5801" s="165"/>
      <c r="AD5801" s="165"/>
      <c r="AE5801" s="165"/>
      <c r="AF5801" s="165"/>
      <c r="AG5801" s="165"/>
      <c r="AH5801" s="165"/>
      <c r="AI5801" s="165"/>
      <c r="AJ5801" s="165"/>
      <c r="AK5801" s="165"/>
      <c r="AL5801" s="165"/>
      <c r="AM5801" s="165"/>
      <c r="AN5801" s="165"/>
      <c r="AO5801" s="165"/>
      <c r="AP5801" s="165"/>
      <c r="AQ5801" s="165"/>
      <c r="AR5801" s="165"/>
      <c r="AS5801" s="165"/>
      <c r="AT5801" s="165"/>
      <c r="AU5801" s="165"/>
      <c r="AV5801" s="165"/>
      <c r="AW5801" s="165"/>
      <c r="AX5801" s="165"/>
      <c r="AY5801" s="165"/>
      <c r="AZ5801" s="165"/>
      <c r="BA5801" s="165"/>
      <c r="BB5801" s="165"/>
      <c r="BC5801" s="165"/>
      <c r="BD5801" s="165"/>
      <c r="BE5801" s="165"/>
      <c r="BF5801" s="165"/>
      <c r="BG5801" s="165"/>
      <c r="BH5801" s="165"/>
      <c r="BI5801" s="165"/>
      <c r="BJ5801" s="165"/>
      <c r="BK5801" s="165"/>
      <c r="BL5801" s="165"/>
      <c r="BM5801" s="165"/>
      <c r="BN5801" s="165"/>
      <c r="BO5801" s="165"/>
      <c r="BP5801" s="165"/>
      <c r="BQ5801" s="165"/>
      <c r="BR5801" s="165"/>
      <c r="BS5801" s="165"/>
      <c r="BT5801" s="165"/>
      <c r="BU5801" s="165"/>
      <c r="BV5801" s="165"/>
      <c r="BW5801" s="165"/>
      <c r="BX5801" s="165"/>
      <c r="BY5801" s="165"/>
      <c r="BZ5801" s="165"/>
      <c r="CA5801" s="165"/>
      <c r="CB5801" s="165"/>
      <c r="CC5801" s="165"/>
      <c r="CD5801" s="165"/>
      <c r="CE5801" s="165"/>
      <c r="CF5801" s="165"/>
      <c r="CG5801" s="165"/>
      <c r="CH5801" s="165"/>
      <c r="CI5801" s="165"/>
      <c r="CJ5801" s="165"/>
      <c r="CK5801" s="165"/>
      <c r="CL5801" s="165"/>
      <c r="CM5801" s="165"/>
      <c r="CN5801" s="165"/>
      <c r="CO5801" s="165"/>
      <c r="CP5801" s="165"/>
      <c r="CQ5801" s="165"/>
      <c r="CR5801" s="165"/>
      <c r="CS5801" s="165"/>
      <c r="CT5801" s="165"/>
      <c r="CU5801" s="165"/>
      <c r="CV5801" s="165"/>
      <c r="CW5801" s="165"/>
      <c r="CX5801" s="165"/>
      <c r="CY5801" s="165"/>
      <c r="CZ5801" s="165"/>
      <c r="DA5801" s="165"/>
      <c r="DB5801" s="165"/>
      <c r="DC5801" s="165"/>
      <c r="DD5801" s="165"/>
      <c r="DE5801" s="165"/>
      <c r="DF5801" s="165"/>
      <c r="DG5801" s="165"/>
      <c r="DH5801" s="165"/>
      <c r="DI5801" s="165"/>
      <c r="DJ5801" s="165"/>
      <c r="DK5801" s="165"/>
      <c r="DL5801" s="165"/>
      <c r="DM5801" s="165"/>
      <c r="DN5801" s="165"/>
      <c r="DO5801" s="165"/>
      <c r="DP5801" s="165"/>
      <c r="DQ5801" s="165"/>
      <c r="DR5801" s="165"/>
      <c r="DS5801" s="165"/>
      <c r="DT5801" s="165"/>
      <c r="DU5801" s="165"/>
      <c r="DV5801" s="165"/>
      <c r="DW5801" s="165"/>
      <c r="DX5801" s="165"/>
      <c r="DY5801" s="165"/>
      <c r="DZ5801" s="165"/>
      <c r="EA5801" s="165"/>
      <c r="EB5801" s="165"/>
      <c r="EC5801" s="165"/>
      <c r="ED5801" s="165"/>
      <c r="EE5801" s="165"/>
      <c r="EF5801" s="165"/>
      <c r="EG5801" s="165"/>
      <c r="EH5801" s="165"/>
      <c r="EI5801" s="165"/>
      <c r="EJ5801" s="165"/>
      <c r="EK5801" s="165"/>
      <c r="EL5801" s="165"/>
      <c r="EM5801" s="165"/>
      <c r="EN5801" s="165"/>
      <c r="EO5801" s="165"/>
      <c r="EP5801" s="165"/>
      <c r="EQ5801" s="165"/>
      <c r="ER5801" s="165"/>
      <c r="ES5801" s="165"/>
    </row>
    <row r="5802" spans="1:149" s="451" customFormat="1" ht="15" hidden="1" customHeight="1">
      <c r="A5802" s="468">
        <v>45537</v>
      </c>
      <c r="B5802" s="208" t="s">
        <v>4785</v>
      </c>
      <c r="C5802" s="208" t="s">
        <v>146</v>
      </c>
      <c r="D5802" s="211">
        <v>-53000</v>
      </c>
      <c r="E5802" s="212">
        <v>45536</v>
      </c>
      <c r="F5802" s="208" t="s">
        <v>110</v>
      </c>
      <c r="G5802" s="208" t="s">
        <v>4399</v>
      </c>
      <c r="H5802" s="208" t="s">
        <v>147</v>
      </c>
      <c r="I5802" s="208" t="s">
        <v>3378</v>
      </c>
      <c r="J5802" s="209"/>
      <c r="K5802" s="209"/>
      <c r="L5802" s="209"/>
      <c r="M5802" s="209"/>
      <c r="N5802" s="209"/>
      <c r="O5802" s="209"/>
      <c r="P5802" s="209"/>
      <c r="Q5802" s="209"/>
      <c r="R5802" s="209"/>
      <c r="S5802" s="209"/>
      <c r="T5802" s="209"/>
      <c r="U5802" s="165"/>
      <c r="V5802" s="165"/>
      <c r="W5802" s="165"/>
      <c r="X5802" s="165"/>
      <c r="Y5802" s="165"/>
      <c r="Z5802" s="165"/>
      <c r="AA5802" s="165"/>
      <c r="AB5802" s="165"/>
      <c r="AC5802" s="165"/>
      <c r="AD5802" s="165"/>
      <c r="AE5802" s="165"/>
      <c r="AF5802" s="165"/>
      <c r="AG5802" s="165"/>
      <c r="AH5802" s="165"/>
      <c r="AI5802" s="165"/>
      <c r="AJ5802" s="165"/>
      <c r="AK5802" s="165"/>
      <c r="AL5802" s="165"/>
      <c r="AM5802" s="165"/>
      <c r="AN5802" s="165"/>
      <c r="AO5802" s="165"/>
      <c r="AP5802" s="165"/>
      <c r="AQ5802" s="165"/>
      <c r="AR5802" s="165"/>
      <c r="AS5802" s="165"/>
      <c r="AT5802" s="165"/>
      <c r="AU5802" s="165"/>
      <c r="AV5802" s="165"/>
      <c r="AW5802" s="165"/>
      <c r="AX5802" s="165"/>
      <c r="AY5802" s="165"/>
      <c r="AZ5802" s="165"/>
      <c r="BA5802" s="165"/>
      <c r="BB5802" s="165"/>
      <c r="BC5802" s="165"/>
      <c r="BD5802" s="165"/>
      <c r="BE5802" s="165"/>
      <c r="BF5802" s="165"/>
      <c r="BG5802" s="165"/>
      <c r="BH5802" s="165"/>
      <c r="BI5802" s="165"/>
      <c r="BJ5802" s="165"/>
      <c r="BK5802" s="165"/>
      <c r="BL5802" s="165"/>
      <c r="BM5802" s="165"/>
      <c r="BN5802" s="165"/>
      <c r="BO5802" s="165"/>
      <c r="BP5802" s="165"/>
      <c r="BQ5802" s="165"/>
      <c r="BR5802" s="165"/>
      <c r="BS5802" s="165"/>
      <c r="BT5802" s="165"/>
      <c r="BU5802" s="165"/>
      <c r="BV5802" s="165"/>
      <c r="BW5802" s="165"/>
      <c r="BX5802" s="165"/>
      <c r="BY5802" s="165"/>
      <c r="BZ5802" s="165"/>
      <c r="CA5802" s="165"/>
      <c r="CB5802" s="165"/>
      <c r="CC5802" s="165"/>
      <c r="CD5802" s="165"/>
      <c r="CE5802" s="165"/>
      <c r="CF5802" s="165"/>
      <c r="CG5802" s="165"/>
      <c r="CH5802" s="165"/>
      <c r="CI5802" s="165"/>
      <c r="CJ5802" s="165"/>
      <c r="CK5802" s="165"/>
      <c r="CL5802" s="165"/>
      <c r="CM5802" s="165"/>
      <c r="CN5802" s="165"/>
      <c r="CO5802" s="165"/>
      <c r="CP5802" s="165"/>
      <c r="CQ5802" s="165"/>
      <c r="CR5802" s="165"/>
      <c r="CS5802" s="165"/>
      <c r="CT5802" s="165"/>
      <c r="CU5802" s="165"/>
      <c r="CV5802" s="165"/>
      <c r="CW5802" s="165"/>
      <c r="CX5802" s="165"/>
      <c r="CY5802" s="165"/>
      <c r="CZ5802" s="165"/>
      <c r="DA5802" s="165"/>
      <c r="DB5802" s="165"/>
      <c r="DC5802" s="165"/>
      <c r="DD5802" s="165"/>
      <c r="DE5802" s="165"/>
      <c r="DF5802" s="165"/>
      <c r="DG5802" s="165"/>
      <c r="DH5802" s="165"/>
      <c r="DI5802" s="165"/>
      <c r="DJ5802" s="165"/>
      <c r="DK5802" s="165"/>
      <c r="DL5802" s="165"/>
      <c r="DM5802" s="165"/>
      <c r="DN5802" s="165"/>
      <c r="DO5802" s="165"/>
      <c r="DP5802" s="165"/>
      <c r="DQ5802" s="165"/>
      <c r="DR5802" s="165"/>
      <c r="DS5802" s="165"/>
      <c r="DT5802" s="165"/>
      <c r="DU5802" s="165"/>
      <c r="DV5802" s="165"/>
      <c r="DW5802" s="165"/>
      <c r="DX5802" s="165"/>
      <c r="DY5802" s="165"/>
      <c r="DZ5802" s="165"/>
      <c r="EA5802" s="165"/>
      <c r="EB5802" s="165"/>
      <c r="EC5802" s="165"/>
      <c r="ED5802" s="165"/>
      <c r="EE5802" s="165"/>
      <c r="EF5802" s="165"/>
      <c r="EG5802" s="165"/>
      <c r="EH5802" s="165"/>
      <c r="EI5802" s="165"/>
      <c r="EJ5802" s="165"/>
      <c r="EK5802" s="165"/>
      <c r="EL5802" s="165"/>
      <c r="EM5802" s="165"/>
      <c r="EN5802" s="165"/>
      <c r="EO5802" s="165"/>
      <c r="EP5802" s="165"/>
      <c r="EQ5802" s="165"/>
      <c r="ER5802" s="165"/>
      <c r="ES5802" s="165"/>
    </row>
    <row r="5803" spans="1:149" s="451" customFormat="1" ht="15" hidden="1" customHeight="1">
      <c r="A5803" s="468">
        <v>45537</v>
      </c>
      <c r="B5803" s="208" t="s">
        <v>4786</v>
      </c>
      <c r="C5803" s="208" t="s">
        <v>146</v>
      </c>
      <c r="D5803" s="211">
        <v>-199258</v>
      </c>
      <c r="E5803" s="212">
        <v>45536</v>
      </c>
      <c r="F5803" s="208" t="s">
        <v>110</v>
      </c>
      <c r="G5803" s="208" t="s">
        <v>4399</v>
      </c>
      <c r="H5803" s="208" t="s">
        <v>147</v>
      </c>
      <c r="I5803" s="208" t="s">
        <v>3378</v>
      </c>
      <c r="J5803" s="209"/>
      <c r="K5803" s="209"/>
      <c r="L5803" s="209"/>
      <c r="M5803" s="209"/>
      <c r="N5803" s="209"/>
      <c r="O5803" s="209"/>
      <c r="P5803" s="209"/>
      <c r="Q5803" s="209"/>
      <c r="R5803" s="209"/>
      <c r="S5803" s="209"/>
      <c r="T5803" s="209"/>
      <c r="U5803" s="165"/>
      <c r="V5803" s="165"/>
      <c r="W5803" s="165"/>
      <c r="X5803" s="165"/>
      <c r="Y5803" s="165"/>
      <c r="Z5803" s="165"/>
      <c r="AA5803" s="165"/>
      <c r="AB5803" s="165"/>
      <c r="AC5803" s="165"/>
      <c r="AD5803" s="165"/>
      <c r="AE5803" s="165"/>
      <c r="AF5803" s="165"/>
      <c r="AG5803" s="165"/>
      <c r="AH5803" s="165"/>
      <c r="AI5803" s="165"/>
      <c r="AJ5803" s="165"/>
      <c r="AK5803" s="165"/>
      <c r="AL5803" s="165"/>
      <c r="AM5803" s="165"/>
      <c r="AN5803" s="165"/>
      <c r="AO5803" s="165"/>
      <c r="AP5803" s="165"/>
      <c r="AQ5803" s="165"/>
      <c r="AR5803" s="165"/>
      <c r="AS5803" s="165"/>
      <c r="AT5803" s="165"/>
      <c r="AU5803" s="165"/>
      <c r="AV5803" s="165"/>
      <c r="AW5803" s="165"/>
      <c r="AX5803" s="165"/>
      <c r="AY5803" s="165"/>
      <c r="AZ5803" s="165"/>
      <c r="BA5803" s="165"/>
      <c r="BB5803" s="165"/>
      <c r="BC5803" s="165"/>
      <c r="BD5803" s="165"/>
      <c r="BE5803" s="165"/>
      <c r="BF5803" s="165"/>
      <c r="BG5803" s="165"/>
      <c r="BH5803" s="165"/>
      <c r="BI5803" s="165"/>
      <c r="BJ5803" s="165"/>
      <c r="BK5803" s="165"/>
      <c r="BL5803" s="165"/>
      <c r="BM5803" s="165"/>
      <c r="BN5803" s="165"/>
      <c r="BO5803" s="165"/>
      <c r="BP5803" s="165"/>
      <c r="BQ5803" s="165"/>
      <c r="BR5803" s="165"/>
      <c r="BS5803" s="165"/>
      <c r="BT5803" s="165"/>
      <c r="BU5803" s="165"/>
      <c r="BV5803" s="165"/>
      <c r="BW5803" s="165"/>
      <c r="BX5803" s="165"/>
      <c r="BY5803" s="165"/>
      <c r="BZ5803" s="165"/>
      <c r="CA5803" s="165"/>
      <c r="CB5803" s="165"/>
      <c r="CC5803" s="165"/>
      <c r="CD5803" s="165"/>
      <c r="CE5803" s="165"/>
      <c r="CF5803" s="165"/>
      <c r="CG5803" s="165"/>
      <c r="CH5803" s="165"/>
      <c r="CI5803" s="165"/>
      <c r="CJ5803" s="165"/>
      <c r="CK5803" s="165"/>
      <c r="CL5803" s="165"/>
      <c r="CM5803" s="165"/>
      <c r="CN5803" s="165"/>
      <c r="CO5803" s="165"/>
      <c r="CP5803" s="165"/>
      <c r="CQ5803" s="165"/>
      <c r="CR5803" s="165"/>
      <c r="CS5803" s="165"/>
      <c r="CT5803" s="165"/>
      <c r="CU5803" s="165"/>
      <c r="CV5803" s="165"/>
      <c r="CW5803" s="165"/>
      <c r="CX5803" s="165"/>
      <c r="CY5803" s="165"/>
      <c r="CZ5803" s="165"/>
      <c r="DA5803" s="165"/>
      <c r="DB5803" s="165"/>
      <c r="DC5803" s="165"/>
      <c r="DD5803" s="165"/>
      <c r="DE5803" s="165"/>
      <c r="DF5803" s="165"/>
      <c r="DG5803" s="165"/>
      <c r="DH5803" s="165"/>
      <c r="DI5803" s="165"/>
      <c r="DJ5803" s="165"/>
      <c r="DK5803" s="165"/>
      <c r="DL5803" s="165"/>
      <c r="DM5803" s="165"/>
      <c r="DN5803" s="165"/>
      <c r="DO5803" s="165"/>
      <c r="DP5803" s="165"/>
      <c r="DQ5803" s="165"/>
      <c r="DR5803" s="165"/>
      <c r="DS5803" s="165"/>
      <c r="DT5803" s="165"/>
      <c r="DU5803" s="165"/>
      <c r="DV5803" s="165"/>
      <c r="DW5803" s="165"/>
      <c r="DX5803" s="165"/>
      <c r="DY5803" s="165"/>
      <c r="DZ5803" s="165"/>
      <c r="EA5803" s="165"/>
      <c r="EB5803" s="165"/>
      <c r="EC5803" s="165"/>
      <c r="ED5803" s="165"/>
      <c r="EE5803" s="165"/>
      <c r="EF5803" s="165"/>
      <c r="EG5803" s="165"/>
      <c r="EH5803" s="165"/>
      <c r="EI5803" s="165"/>
      <c r="EJ5803" s="165"/>
      <c r="EK5803" s="165"/>
      <c r="EL5803" s="165"/>
      <c r="EM5803" s="165"/>
      <c r="EN5803" s="165"/>
      <c r="EO5803" s="165"/>
      <c r="EP5803" s="165"/>
      <c r="EQ5803" s="165"/>
      <c r="ER5803" s="165"/>
      <c r="ES5803" s="165"/>
    </row>
    <row r="5804" spans="1:149" s="451" customFormat="1" ht="15" hidden="1" customHeight="1">
      <c r="A5804" s="468">
        <v>45537</v>
      </c>
      <c r="B5804" s="208" t="s">
        <v>4787</v>
      </c>
      <c r="C5804" s="208" t="s">
        <v>146</v>
      </c>
      <c r="D5804" s="211">
        <v>-48000</v>
      </c>
      <c r="E5804" s="212">
        <v>45536</v>
      </c>
      <c r="F5804" s="208" t="s">
        <v>110</v>
      </c>
      <c r="G5804" s="208" t="s">
        <v>4399</v>
      </c>
      <c r="H5804" s="208" t="s">
        <v>147</v>
      </c>
      <c r="I5804" s="208" t="s">
        <v>3378</v>
      </c>
      <c r="J5804" s="209"/>
      <c r="K5804" s="209"/>
      <c r="L5804" s="209"/>
      <c r="M5804" s="209"/>
      <c r="N5804" s="209"/>
      <c r="O5804" s="209"/>
      <c r="P5804" s="209"/>
      <c r="Q5804" s="209"/>
      <c r="R5804" s="209"/>
      <c r="S5804" s="209"/>
      <c r="T5804" s="209"/>
      <c r="U5804" s="165"/>
      <c r="V5804" s="165"/>
      <c r="W5804" s="165"/>
      <c r="X5804" s="165"/>
      <c r="Y5804" s="165"/>
      <c r="Z5804" s="165"/>
      <c r="AA5804" s="165"/>
      <c r="AB5804" s="165"/>
      <c r="AC5804" s="165"/>
      <c r="AD5804" s="165"/>
      <c r="AE5804" s="165"/>
      <c r="AF5804" s="165"/>
      <c r="AG5804" s="165"/>
      <c r="AH5804" s="165"/>
      <c r="AI5804" s="165"/>
      <c r="AJ5804" s="165"/>
      <c r="AK5804" s="165"/>
      <c r="AL5804" s="165"/>
      <c r="AM5804" s="165"/>
      <c r="AN5804" s="165"/>
      <c r="AO5804" s="165"/>
      <c r="AP5804" s="165"/>
      <c r="AQ5804" s="165"/>
      <c r="AR5804" s="165"/>
      <c r="AS5804" s="165"/>
      <c r="AT5804" s="165"/>
      <c r="AU5804" s="165"/>
      <c r="AV5804" s="165"/>
      <c r="AW5804" s="165"/>
      <c r="AX5804" s="165"/>
      <c r="AY5804" s="165"/>
      <c r="AZ5804" s="165"/>
      <c r="BA5804" s="165"/>
      <c r="BB5804" s="165"/>
      <c r="BC5804" s="165"/>
      <c r="BD5804" s="165"/>
      <c r="BE5804" s="165"/>
      <c r="BF5804" s="165"/>
      <c r="BG5804" s="165"/>
      <c r="BH5804" s="165"/>
      <c r="BI5804" s="165"/>
      <c r="BJ5804" s="165"/>
      <c r="BK5804" s="165"/>
      <c r="BL5804" s="165"/>
      <c r="BM5804" s="165"/>
      <c r="BN5804" s="165"/>
      <c r="BO5804" s="165"/>
      <c r="BP5804" s="165"/>
      <c r="BQ5804" s="165"/>
      <c r="BR5804" s="165"/>
      <c r="BS5804" s="165"/>
      <c r="BT5804" s="165"/>
      <c r="BU5804" s="165"/>
      <c r="BV5804" s="165"/>
      <c r="BW5804" s="165"/>
      <c r="BX5804" s="165"/>
      <c r="BY5804" s="165"/>
      <c r="BZ5804" s="165"/>
      <c r="CA5804" s="165"/>
      <c r="CB5804" s="165"/>
      <c r="CC5804" s="165"/>
      <c r="CD5804" s="165"/>
      <c r="CE5804" s="165"/>
      <c r="CF5804" s="165"/>
      <c r="CG5804" s="165"/>
      <c r="CH5804" s="165"/>
      <c r="CI5804" s="165"/>
      <c r="CJ5804" s="165"/>
      <c r="CK5804" s="165"/>
      <c r="CL5804" s="165"/>
      <c r="CM5804" s="165"/>
      <c r="CN5804" s="165"/>
      <c r="CO5804" s="165"/>
      <c r="CP5804" s="165"/>
      <c r="CQ5804" s="165"/>
      <c r="CR5804" s="165"/>
      <c r="CS5804" s="165"/>
      <c r="CT5804" s="165"/>
      <c r="CU5804" s="165"/>
      <c r="CV5804" s="165"/>
      <c r="CW5804" s="165"/>
      <c r="CX5804" s="165"/>
      <c r="CY5804" s="165"/>
      <c r="CZ5804" s="165"/>
      <c r="DA5804" s="165"/>
      <c r="DB5804" s="165"/>
      <c r="DC5804" s="165"/>
      <c r="DD5804" s="165"/>
      <c r="DE5804" s="165"/>
      <c r="DF5804" s="165"/>
      <c r="DG5804" s="165"/>
      <c r="DH5804" s="165"/>
      <c r="DI5804" s="165"/>
      <c r="DJ5804" s="165"/>
      <c r="DK5804" s="165"/>
      <c r="DL5804" s="165"/>
      <c r="DM5804" s="165"/>
      <c r="DN5804" s="165"/>
      <c r="DO5804" s="165"/>
      <c r="DP5804" s="165"/>
      <c r="DQ5804" s="165"/>
      <c r="DR5804" s="165"/>
      <c r="DS5804" s="165"/>
      <c r="DT5804" s="165"/>
      <c r="DU5804" s="165"/>
      <c r="DV5804" s="165"/>
      <c r="DW5804" s="165"/>
      <c r="DX5804" s="165"/>
      <c r="DY5804" s="165"/>
      <c r="DZ5804" s="165"/>
      <c r="EA5804" s="165"/>
      <c r="EB5804" s="165"/>
      <c r="EC5804" s="165"/>
      <c r="ED5804" s="165"/>
      <c r="EE5804" s="165"/>
      <c r="EF5804" s="165"/>
      <c r="EG5804" s="165"/>
      <c r="EH5804" s="165"/>
      <c r="EI5804" s="165"/>
      <c r="EJ5804" s="165"/>
      <c r="EK5804" s="165"/>
      <c r="EL5804" s="165"/>
      <c r="EM5804" s="165"/>
      <c r="EN5804" s="165"/>
      <c r="EO5804" s="165"/>
      <c r="EP5804" s="165"/>
      <c r="EQ5804" s="165"/>
      <c r="ER5804" s="165"/>
      <c r="ES5804" s="165"/>
    </row>
    <row r="5805" spans="1:149" s="451" customFormat="1" ht="15" hidden="1" customHeight="1">
      <c r="A5805" s="468">
        <v>45537</v>
      </c>
      <c r="B5805" s="208" t="s">
        <v>4788</v>
      </c>
      <c r="C5805" s="208" t="s">
        <v>146</v>
      </c>
      <c r="D5805" s="211">
        <v>-101400</v>
      </c>
      <c r="E5805" s="212">
        <v>45536</v>
      </c>
      <c r="F5805" s="208" t="s">
        <v>110</v>
      </c>
      <c r="G5805" s="208" t="s">
        <v>4399</v>
      </c>
      <c r="H5805" s="208" t="s">
        <v>147</v>
      </c>
      <c r="I5805" s="208" t="s">
        <v>3378</v>
      </c>
      <c r="J5805" s="209"/>
      <c r="K5805" s="209"/>
      <c r="L5805" s="209"/>
      <c r="M5805" s="209"/>
      <c r="N5805" s="209"/>
      <c r="O5805" s="209"/>
      <c r="P5805" s="209"/>
      <c r="Q5805" s="209"/>
      <c r="R5805" s="209"/>
      <c r="S5805" s="209"/>
      <c r="T5805" s="209"/>
      <c r="U5805" s="165"/>
      <c r="V5805" s="165"/>
      <c r="W5805" s="165"/>
      <c r="X5805" s="165"/>
      <c r="Y5805" s="165"/>
      <c r="Z5805" s="165"/>
      <c r="AA5805" s="165"/>
      <c r="AB5805" s="165"/>
      <c r="AC5805" s="165"/>
      <c r="AD5805" s="165"/>
      <c r="AE5805" s="165"/>
      <c r="AF5805" s="165"/>
      <c r="AG5805" s="165"/>
      <c r="AH5805" s="165"/>
      <c r="AI5805" s="165"/>
      <c r="AJ5805" s="165"/>
      <c r="AK5805" s="165"/>
      <c r="AL5805" s="165"/>
      <c r="AM5805" s="165"/>
      <c r="AN5805" s="165"/>
      <c r="AO5805" s="165"/>
      <c r="AP5805" s="165"/>
      <c r="AQ5805" s="165"/>
      <c r="AR5805" s="165"/>
      <c r="AS5805" s="165"/>
      <c r="AT5805" s="165"/>
      <c r="AU5805" s="165"/>
      <c r="AV5805" s="165"/>
      <c r="AW5805" s="165"/>
      <c r="AX5805" s="165"/>
      <c r="AY5805" s="165"/>
      <c r="AZ5805" s="165"/>
      <c r="BA5805" s="165"/>
      <c r="BB5805" s="165"/>
      <c r="BC5805" s="165"/>
      <c r="BD5805" s="165"/>
      <c r="BE5805" s="165"/>
      <c r="BF5805" s="165"/>
      <c r="BG5805" s="165"/>
      <c r="BH5805" s="165"/>
      <c r="BI5805" s="165"/>
      <c r="BJ5805" s="165"/>
      <c r="BK5805" s="165"/>
      <c r="BL5805" s="165"/>
      <c r="BM5805" s="165"/>
      <c r="BN5805" s="165"/>
      <c r="BO5805" s="165"/>
      <c r="BP5805" s="165"/>
      <c r="BQ5805" s="165"/>
      <c r="BR5805" s="165"/>
      <c r="BS5805" s="165"/>
      <c r="BT5805" s="165"/>
      <c r="BU5805" s="165"/>
      <c r="BV5805" s="165"/>
      <c r="BW5805" s="165"/>
      <c r="BX5805" s="165"/>
      <c r="BY5805" s="165"/>
      <c r="BZ5805" s="165"/>
      <c r="CA5805" s="165"/>
      <c r="CB5805" s="165"/>
      <c r="CC5805" s="165"/>
      <c r="CD5805" s="165"/>
      <c r="CE5805" s="165"/>
      <c r="CF5805" s="165"/>
      <c r="CG5805" s="165"/>
      <c r="CH5805" s="165"/>
      <c r="CI5805" s="165"/>
      <c r="CJ5805" s="165"/>
      <c r="CK5805" s="165"/>
      <c r="CL5805" s="165"/>
      <c r="CM5805" s="165"/>
      <c r="CN5805" s="165"/>
      <c r="CO5805" s="165"/>
      <c r="CP5805" s="165"/>
      <c r="CQ5805" s="165"/>
      <c r="CR5805" s="165"/>
      <c r="CS5805" s="165"/>
      <c r="CT5805" s="165"/>
      <c r="CU5805" s="165"/>
      <c r="CV5805" s="165"/>
      <c r="CW5805" s="165"/>
      <c r="CX5805" s="165"/>
      <c r="CY5805" s="165"/>
      <c r="CZ5805" s="165"/>
      <c r="DA5805" s="165"/>
      <c r="DB5805" s="165"/>
      <c r="DC5805" s="165"/>
      <c r="DD5805" s="165"/>
      <c r="DE5805" s="165"/>
      <c r="DF5805" s="165"/>
      <c r="DG5805" s="165"/>
      <c r="DH5805" s="165"/>
      <c r="DI5805" s="165"/>
      <c r="DJ5805" s="165"/>
      <c r="DK5805" s="165"/>
      <c r="DL5805" s="165"/>
      <c r="DM5805" s="165"/>
      <c r="DN5805" s="165"/>
      <c r="DO5805" s="165"/>
      <c r="DP5805" s="165"/>
      <c r="DQ5805" s="165"/>
      <c r="DR5805" s="165"/>
      <c r="DS5805" s="165"/>
      <c r="DT5805" s="165"/>
      <c r="DU5805" s="165"/>
      <c r="DV5805" s="165"/>
      <c r="DW5805" s="165"/>
      <c r="DX5805" s="165"/>
      <c r="DY5805" s="165"/>
      <c r="DZ5805" s="165"/>
      <c r="EA5805" s="165"/>
      <c r="EB5805" s="165"/>
      <c r="EC5805" s="165"/>
      <c r="ED5805" s="165"/>
      <c r="EE5805" s="165"/>
      <c r="EF5805" s="165"/>
      <c r="EG5805" s="165"/>
      <c r="EH5805" s="165"/>
      <c r="EI5805" s="165"/>
      <c r="EJ5805" s="165"/>
      <c r="EK5805" s="165"/>
      <c r="EL5805" s="165"/>
      <c r="EM5805" s="165"/>
      <c r="EN5805" s="165"/>
      <c r="EO5805" s="165"/>
      <c r="EP5805" s="165"/>
      <c r="EQ5805" s="165"/>
      <c r="ER5805" s="165"/>
      <c r="ES5805" s="165"/>
    </row>
    <row r="5806" spans="1:149" s="451" customFormat="1" ht="15" hidden="1" customHeight="1">
      <c r="A5806" s="468">
        <v>45537</v>
      </c>
      <c r="B5806" s="208" t="s">
        <v>4789</v>
      </c>
      <c r="C5806" s="208" t="s">
        <v>146</v>
      </c>
      <c r="D5806" s="211">
        <v>-6650</v>
      </c>
      <c r="E5806" s="212">
        <v>45536</v>
      </c>
      <c r="F5806" s="208" t="s">
        <v>110</v>
      </c>
      <c r="G5806" s="208" t="s">
        <v>4399</v>
      </c>
      <c r="H5806" s="208" t="s">
        <v>147</v>
      </c>
      <c r="I5806" s="208" t="s">
        <v>3378</v>
      </c>
      <c r="J5806" s="209"/>
      <c r="K5806" s="209"/>
      <c r="L5806" s="209"/>
      <c r="M5806" s="209"/>
      <c r="N5806" s="209"/>
      <c r="O5806" s="209"/>
      <c r="P5806" s="209"/>
      <c r="Q5806" s="209"/>
      <c r="R5806" s="209"/>
      <c r="S5806" s="209"/>
      <c r="T5806" s="209"/>
      <c r="U5806" s="165"/>
      <c r="V5806" s="165"/>
      <c r="W5806" s="165"/>
      <c r="X5806" s="165"/>
      <c r="Y5806" s="165"/>
      <c r="Z5806" s="165"/>
      <c r="AA5806" s="165"/>
      <c r="AB5806" s="165"/>
      <c r="AC5806" s="165"/>
      <c r="AD5806" s="165"/>
      <c r="AE5806" s="165"/>
      <c r="AF5806" s="165"/>
      <c r="AG5806" s="165"/>
      <c r="AH5806" s="165"/>
      <c r="AI5806" s="165"/>
      <c r="AJ5806" s="165"/>
      <c r="AK5806" s="165"/>
      <c r="AL5806" s="165"/>
      <c r="AM5806" s="165"/>
      <c r="AN5806" s="165"/>
      <c r="AO5806" s="165"/>
      <c r="AP5806" s="165"/>
      <c r="AQ5806" s="165"/>
      <c r="AR5806" s="165"/>
      <c r="AS5806" s="165"/>
      <c r="AT5806" s="165"/>
      <c r="AU5806" s="165"/>
      <c r="AV5806" s="165"/>
      <c r="AW5806" s="165"/>
      <c r="AX5806" s="165"/>
      <c r="AY5806" s="165"/>
      <c r="AZ5806" s="165"/>
      <c r="BA5806" s="165"/>
      <c r="BB5806" s="165"/>
      <c r="BC5806" s="165"/>
      <c r="BD5806" s="165"/>
      <c r="BE5806" s="165"/>
      <c r="BF5806" s="165"/>
      <c r="BG5806" s="165"/>
      <c r="BH5806" s="165"/>
      <c r="BI5806" s="165"/>
      <c r="BJ5806" s="165"/>
      <c r="BK5806" s="165"/>
      <c r="BL5806" s="165"/>
      <c r="BM5806" s="165"/>
      <c r="BN5806" s="165"/>
      <c r="BO5806" s="165"/>
      <c r="BP5806" s="165"/>
      <c r="BQ5806" s="165"/>
      <c r="BR5806" s="165"/>
      <c r="BS5806" s="165"/>
      <c r="BT5806" s="165"/>
      <c r="BU5806" s="165"/>
      <c r="BV5806" s="165"/>
      <c r="BW5806" s="165"/>
      <c r="BX5806" s="165"/>
      <c r="BY5806" s="165"/>
      <c r="BZ5806" s="165"/>
      <c r="CA5806" s="165"/>
      <c r="CB5806" s="165"/>
      <c r="CC5806" s="165"/>
      <c r="CD5806" s="165"/>
      <c r="CE5806" s="165"/>
      <c r="CF5806" s="165"/>
      <c r="CG5806" s="165"/>
      <c r="CH5806" s="165"/>
      <c r="CI5806" s="165"/>
      <c r="CJ5806" s="165"/>
      <c r="CK5806" s="165"/>
      <c r="CL5806" s="165"/>
      <c r="CM5806" s="165"/>
      <c r="CN5806" s="165"/>
      <c r="CO5806" s="165"/>
      <c r="CP5806" s="165"/>
      <c r="CQ5806" s="165"/>
      <c r="CR5806" s="165"/>
      <c r="CS5806" s="165"/>
      <c r="CT5806" s="165"/>
      <c r="CU5806" s="165"/>
      <c r="CV5806" s="165"/>
      <c r="CW5806" s="165"/>
      <c r="CX5806" s="165"/>
      <c r="CY5806" s="165"/>
      <c r="CZ5806" s="165"/>
      <c r="DA5806" s="165"/>
      <c r="DB5806" s="165"/>
      <c r="DC5806" s="165"/>
      <c r="DD5806" s="165"/>
      <c r="DE5806" s="165"/>
      <c r="DF5806" s="165"/>
      <c r="DG5806" s="165"/>
      <c r="DH5806" s="165"/>
      <c r="DI5806" s="165"/>
      <c r="DJ5806" s="165"/>
      <c r="DK5806" s="165"/>
      <c r="DL5806" s="165"/>
      <c r="DM5806" s="165"/>
      <c r="DN5806" s="165"/>
      <c r="DO5806" s="165"/>
      <c r="DP5806" s="165"/>
      <c r="DQ5806" s="165"/>
      <c r="DR5806" s="165"/>
      <c r="DS5806" s="165"/>
      <c r="DT5806" s="165"/>
      <c r="DU5806" s="165"/>
      <c r="DV5806" s="165"/>
      <c r="DW5806" s="165"/>
      <c r="DX5806" s="165"/>
      <c r="DY5806" s="165"/>
      <c r="DZ5806" s="165"/>
      <c r="EA5806" s="165"/>
      <c r="EB5806" s="165"/>
      <c r="EC5806" s="165"/>
      <c r="ED5806" s="165"/>
      <c r="EE5806" s="165"/>
      <c r="EF5806" s="165"/>
      <c r="EG5806" s="165"/>
      <c r="EH5806" s="165"/>
      <c r="EI5806" s="165"/>
      <c r="EJ5806" s="165"/>
      <c r="EK5806" s="165"/>
      <c r="EL5806" s="165"/>
      <c r="EM5806" s="165"/>
      <c r="EN5806" s="165"/>
      <c r="EO5806" s="165"/>
      <c r="EP5806" s="165"/>
      <c r="EQ5806" s="165"/>
      <c r="ER5806" s="165"/>
      <c r="ES5806" s="165"/>
    </row>
    <row r="5807" spans="1:149" s="451" customFormat="1" ht="15" hidden="1" customHeight="1">
      <c r="A5807" s="468">
        <v>45537</v>
      </c>
      <c r="B5807" s="208" t="s">
        <v>4790</v>
      </c>
      <c r="C5807" s="208" t="s">
        <v>146</v>
      </c>
      <c r="D5807" s="526">
        <v>-10000</v>
      </c>
      <c r="E5807" s="212">
        <v>45536</v>
      </c>
      <c r="F5807" s="208" t="s">
        <v>110</v>
      </c>
      <c r="G5807" s="208" t="s">
        <v>4399</v>
      </c>
      <c r="H5807" s="208" t="s">
        <v>138</v>
      </c>
      <c r="I5807" s="208" t="s">
        <v>47</v>
      </c>
      <c r="J5807" s="209"/>
      <c r="K5807" s="209"/>
      <c r="L5807" s="209"/>
      <c r="M5807" s="209"/>
      <c r="N5807" s="209"/>
      <c r="O5807" s="209"/>
      <c r="P5807" s="209"/>
      <c r="Q5807" s="209"/>
      <c r="R5807" s="209"/>
      <c r="S5807" s="209"/>
      <c r="T5807" s="209"/>
      <c r="U5807" s="165"/>
      <c r="V5807" s="165"/>
      <c r="W5807" s="165"/>
      <c r="X5807" s="165"/>
      <c r="Y5807" s="165"/>
      <c r="Z5807" s="165"/>
      <c r="AA5807" s="165"/>
      <c r="AB5807" s="165"/>
      <c r="AC5807" s="165"/>
      <c r="AD5807" s="165"/>
      <c r="AE5807" s="165"/>
      <c r="AF5807" s="165"/>
      <c r="AG5807" s="165"/>
      <c r="AH5807" s="165"/>
      <c r="AI5807" s="165"/>
      <c r="AJ5807" s="165"/>
      <c r="AK5807" s="165"/>
      <c r="AL5807" s="165"/>
      <c r="AM5807" s="165"/>
      <c r="AN5807" s="165"/>
      <c r="AO5807" s="165"/>
      <c r="AP5807" s="165"/>
      <c r="AQ5807" s="165"/>
      <c r="AR5807" s="165"/>
      <c r="AS5807" s="165"/>
      <c r="AT5807" s="165"/>
      <c r="AU5807" s="165"/>
      <c r="AV5807" s="165"/>
      <c r="AW5807" s="165"/>
      <c r="AX5807" s="165"/>
      <c r="AY5807" s="165"/>
      <c r="AZ5807" s="165"/>
      <c r="BA5807" s="165"/>
      <c r="BB5807" s="165"/>
      <c r="BC5807" s="165"/>
      <c r="BD5807" s="165"/>
      <c r="BE5807" s="165"/>
      <c r="BF5807" s="165"/>
      <c r="BG5807" s="165"/>
      <c r="BH5807" s="165"/>
      <c r="BI5807" s="165"/>
      <c r="BJ5807" s="165"/>
      <c r="BK5807" s="165"/>
      <c r="BL5807" s="165"/>
      <c r="BM5807" s="165"/>
      <c r="BN5807" s="165"/>
      <c r="BO5807" s="165"/>
      <c r="BP5807" s="165"/>
      <c r="BQ5807" s="165"/>
      <c r="BR5807" s="165"/>
      <c r="BS5807" s="165"/>
      <c r="BT5807" s="165"/>
      <c r="BU5807" s="165"/>
      <c r="BV5807" s="165"/>
      <c r="BW5807" s="165"/>
      <c r="BX5807" s="165"/>
      <c r="BY5807" s="165"/>
      <c r="BZ5807" s="165"/>
      <c r="CA5807" s="165"/>
      <c r="CB5807" s="165"/>
      <c r="CC5807" s="165"/>
      <c r="CD5807" s="165"/>
      <c r="CE5807" s="165"/>
      <c r="CF5807" s="165"/>
      <c r="CG5807" s="165"/>
      <c r="CH5807" s="165"/>
      <c r="CI5807" s="165"/>
      <c r="CJ5807" s="165"/>
      <c r="CK5807" s="165"/>
      <c r="CL5807" s="165"/>
      <c r="CM5807" s="165"/>
      <c r="CN5807" s="165"/>
      <c r="CO5807" s="165"/>
      <c r="CP5807" s="165"/>
      <c r="CQ5807" s="165"/>
      <c r="CR5807" s="165"/>
      <c r="CS5807" s="165"/>
      <c r="CT5807" s="165"/>
      <c r="CU5807" s="165"/>
      <c r="CV5807" s="165"/>
      <c r="CW5807" s="165"/>
      <c r="CX5807" s="165"/>
      <c r="CY5807" s="165"/>
      <c r="CZ5807" s="165"/>
      <c r="DA5807" s="165"/>
      <c r="DB5807" s="165"/>
      <c r="DC5807" s="165"/>
      <c r="DD5807" s="165"/>
      <c r="DE5807" s="165"/>
      <c r="DF5807" s="165"/>
      <c r="DG5807" s="165"/>
      <c r="DH5807" s="165"/>
      <c r="DI5807" s="165"/>
      <c r="DJ5807" s="165"/>
      <c r="DK5807" s="165"/>
      <c r="DL5807" s="165"/>
      <c r="DM5807" s="165"/>
      <c r="DN5807" s="165"/>
      <c r="DO5807" s="165"/>
      <c r="DP5807" s="165"/>
      <c r="DQ5807" s="165"/>
      <c r="DR5807" s="165"/>
      <c r="DS5807" s="165"/>
      <c r="DT5807" s="165"/>
      <c r="DU5807" s="165"/>
      <c r="DV5807" s="165"/>
      <c r="DW5807" s="165"/>
      <c r="DX5807" s="165"/>
      <c r="DY5807" s="165"/>
      <c r="DZ5807" s="165"/>
      <c r="EA5807" s="165"/>
      <c r="EB5807" s="165"/>
      <c r="EC5807" s="165"/>
      <c r="ED5807" s="165"/>
      <c r="EE5807" s="165"/>
      <c r="EF5807" s="165"/>
      <c r="EG5807" s="165"/>
      <c r="EH5807" s="165"/>
      <c r="EI5807" s="165"/>
      <c r="EJ5807" s="165"/>
      <c r="EK5807" s="165"/>
      <c r="EL5807" s="165"/>
      <c r="EM5807" s="165"/>
      <c r="EN5807" s="165"/>
      <c r="EO5807" s="165"/>
      <c r="EP5807" s="165"/>
      <c r="EQ5807" s="165"/>
      <c r="ER5807" s="165"/>
      <c r="ES5807" s="165"/>
    </row>
    <row r="5808" spans="1:149" s="451" customFormat="1" ht="15" hidden="1" customHeight="1">
      <c r="A5808" s="468">
        <v>45537</v>
      </c>
      <c r="B5808" s="208" t="s">
        <v>4791</v>
      </c>
      <c r="C5808" s="208" t="s">
        <v>146</v>
      </c>
      <c r="D5808" s="526">
        <v>-29200</v>
      </c>
      <c r="E5808" s="212">
        <v>45536</v>
      </c>
      <c r="F5808" s="208" t="s">
        <v>110</v>
      </c>
      <c r="G5808" s="208" t="s">
        <v>4399</v>
      </c>
      <c r="H5808" s="208" t="s">
        <v>147</v>
      </c>
      <c r="I5808" s="208" t="s">
        <v>47</v>
      </c>
      <c r="J5808" s="209"/>
      <c r="K5808" s="209"/>
      <c r="L5808" s="209"/>
      <c r="M5808" s="209"/>
      <c r="N5808" s="209"/>
      <c r="O5808" s="209"/>
      <c r="P5808" s="209"/>
      <c r="Q5808" s="209"/>
      <c r="R5808" s="209"/>
      <c r="S5808" s="209"/>
      <c r="T5808" s="209"/>
      <c r="U5808" s="165"/>
      <c r="V5808" s="165"/>
      <c r="W5808" s="165"/>
      <c r="X5808" s="165"/>
      <c r="Y5808" s="165"/>
      <c r="Z5808" s="165"/>
      <c r="AA5808" s="165"/>
      <c r="AB5808" s="165"/>
      <c r="AC5808" s="165"/>
      <c r="AD5808" s="165"/>
      <c r="AE5808" s="165"/>
      <c r="AF5808" s="165"/>
      <c r="AG5808" s="165"/>
      <c r="AH5808" s="165"/>
      <c r="AI5808" s="165"/>
      <c r="AJ5808" s="165"/>
      <c r="AK5808" s="165"/>
      <c r="AL5808" s="165"/>
      <c r="AM5808" s="165"/>
      <c r="AN5808" s="165"/>
      <c r="AO5808" s="165"/>
      <c r="AP5808" s="165"/>
      <c r="AQ5808" s="165"/>
      <c r="AR5808" s="165"/>
      <c r="AS5808" s="165"/>
      <c r="AT5808" s="165"/>
      <c r="AU5808" s="165"/>
      <c r="AV5808" s="165"/>
      <c r="AW5808" s="165"/>
      <c r="AX5808" s="165"/>
      <c r="AY5808" s="165"/>
      <c r="AZ5808" s="165"/>
      <c r="BA5808" s="165"/>
      <c r="BB5808" s="165"/>
      <c r="BC5808" s="165"/>
      <c r="BD5808" s="165"/>
      <c r="BE5808" s="165"/>
      <c r="BF5808" s="165"/>
      <c r="BG5808" s="165"/>
      <c r="BH5808" s="165"/>
      <c r="BI5808" s="165"/>
      <c r="BJ5808" s="165"/>
      <c r="BK5808" s="165"/>
      <c r="BL5808" s="165"/>
      <c r="BM5808" s="165"/>
      <c r="BN5808" s="165"/>
      <c r="BO5808" s="165"/>
      <c r="BP5808" s="165"/>
      <c r="BQ5808" s="165"/>
      <c r="BR5808" s="165"/>
      <c r="BS5808" s="165"/>
      <c r="BT5808" s="165"/>
      <c r="BU5808" s="165"/>
      <c r="BV5808" s="165"/>
      <c r="BW5808" s="165"/>
      <c r="BX5808" s="165"/>
      <c r="BY5808" s="165"/>
      <c r="BZ5808" s="165"/>
      <c r="CA5808" s="165"/>
      <c r="CB5808" s="165"/>
      <c r="CC5808" s="165"/>
      <c r="CD5808" s="165"/>
      <c r="CE5808" s="165"/>
      <c r="CF5808" s="165"/>
      <c r="CG5808" s="165"/>
      <c r="CH5808" s="165"/>
      <c r="CI5808" s="165"/>
      <c r="CJ5808" s="165"/>
      <c r="CK5808" s="165"/>
      <c r="CL5808" s="165"/>
      <c r="CM5808" s="165"/>
      <c r="CN5808" s="165"/>
      <c r="CO5808" s="165"/>
      <c r="CP5808" s="165"/>
      <c r="CQ5808" s="165"/>
      <c r="CR5808" s="165"/>
      <c r="CS5808" s="165"/>
      <c r="CT5808" s="165"/>
      <c r="CU5808" s="165"/>
      <c r="CV5808" s="165"/>
      <c r="CW5808" s="165"/>
      <c r="CX5808" s="165"/>
      <c r="CY5808" s="165"/>
      <c r="CZ5808" s="165"/>
      <c r="DA5808" s="165"/>
      <c r="DB5808" s="165"/>
      <c r="DC5808" s="165"/>
      <c r="DD5808" s="165"/>
      <c r="DE5808" s="165"/>
      <c r="DF5808" s="165"/>
      <c r="DG5808" s="165"/>
      <c r="DH5808" s="165"/>
      <c r="DI5808" s="165"/>
      <c r="DJ5808" s="165"/>
      <c r="DK5808" s="165"/>
      <c r="DL5808" s="165"/>
      <c r="DM5808" s="165"/>
      <c r="DN5808" s="165"/>
      <c r="DO5808" s="165"/>
      <c r="DP5808" s="165"/>
      <c r="DQ5808" s="165"/>
      <c r="DR5808" s="165"/>
      <c r="DS5808" s="165"/>
      <c r="DT5808" s="165"/>
      <c r="DU5808" s="165"/>
      <c r="DV5808" s="165"/>
      <c r="DW5808" s="165"/>
      <c r="DX5808" s="165"/>
      <c r="DY5808" s="165"/>
      <c r="DZ5808" s="165"/>
      <c r="EA5808" s="165"/>
      <c r="EB5808" s="165"/>
      <c r="EC5808" s="165"/>
      <c r="ED5808" s="165"/>
      <c r="EE5808" s="165"/>
      <c r="EF5808" s="165"/>
      <c r="EG5808" s="165"/>
      <c r="EH5808" s="165"/>
      <c r="EI5808" s="165"/>
      <c r="EJ5808" s="165"/>
      <c r="EK5808" s="165"/>
      <c r="EL5808" s="165"/>
      <c r="EM5808" s="165"/>
      <c r="EN5808" s="165"/>
      <c r="EO5808" s="165"/>
      <c r="EP5808" s="165"/>
      <c r="EQ5808" s="165"/>
      <c r="ER5808" s="165"/>
      <c r="ES5808" s="165"/>
    </row>
    <row r="5809" spans="1:149" s="451" customFormat="1" ht="15" hidden="1" customHeight="1">
      <c r="A5809" s="468">
        <v>45537</v>
      </c>
      <c r="B5809" s="208" t="s">
        <v>4792</v>
      </c>
      <c r="C5809" s="208" t="s">
        <v>146</v>
      </c>
      <c r="D5809" s="526">
        <v>-9500</v>
      </c>
      <c r="E5809" s="212">
        <v>45536</v>
      </c>
      <c r="F5809" s="208" t="s">
        <v>110</v>
      </c>
      <c r="G5809" s="208" t="s">
        <v>4399</v>
      </c>
      <c r="H5809" s="208" t="s">
        <v>175</v>
      </c>
      <c r="I5809" s="208" t="s">
        <v>47</v>
      </c>
      <c r="J5809" s="209"/>
      <c r="K5809" s="209"/>
      <c r="L5809" s="209"/>
      <c r="M5809" s="209"/>
      <c r="N5809" s="209"/>
      <c r="O5809" s="209"/>
      <c r="P5809" s="209"/>
      <c r="Q5809" s="209"/>
      <c r="R5809" s="209"/>
      <c r="S5809" s="209"/>
      <c r="T5809" s="209"/>
      <c r="U5809" s="165"/>
      <c r="V5809" s="165"/>
      <c r="W5809" s="165"/>
      <c r="X5809" s="165"/>
      <c r="Y5809" s="165"/>
      <c r="Z5809" s="165"/>
      <c r="AA5809" s="165"/>
      <c r="AB5809" s="165"/>
      <c r="AC5809" s="165"/>
      <c r="AD5809" s="165"/>
      <c r="AE5809" s="165"/>
      <c r="AF5809" s="165"/>
      <c r="AG5809" s="165"/>
      <c r="AH5809" s="165"/>
      <c r="AI5809" s="165"/>
      <c r="AJ5809" s="165"/>
      <c r="AK5809" s="165"/>
      <c r="AL5809" s="165"/>
      <c r="AM5809" s="165"/>
      <c r="AN5809" s="165"/>
      <c r="AO5809" s="165"/>
      <c r="AP5809" s="165"/>
      <c r="AQ5809" s="165"/>
      <c r="AR5809" s="165"/>
      <c r="AS5809" s="165"/>
      <c r="AT5809" s="165"/>
      <c r="AU5809" s="165"/>
      <c r="AV5809" s="165"/>
      <c r="AW5809" s="165"/>
      <c r="AX5809" s="165"/>
      <c r="AY5809" s="165"/>
      <c r="AZ5809" s="165"/>
      <c r="BA5809" s="165"/>
      <c r="BB5809" s="165"/>
      <c r="BC5809" s="165"/>
      <c r="BD5809" s="165"/>
      <c r="BE5809" s="165"/>
      <c r="BF5809" s="165"/>
      <c r="BG5809" s="165"/>
      <c r="BH5809" s="165"/>
      <c r="BI5809" s="165"/>
      <c r="BJ5809" s="165"/>
      <c r="BK5809" s="165"/>
      <c r="BL5809" s="165"/>
      <c r="BM5809" s="165"/>
      <c r="BN5809" s="165"/>
      <c r="BO5809" s="165"/>
      <c r="BP5809" s="165"/>
      <c r="BQ5809" s="165"/>
      <c r="BR5809" s="165"/>
      <c r="BS5809" s="165"/>
      <c r="BT5809" s="165"/>
      <c r="BU5809" s="165"/>
      <c r="BV5809" s="165"/>
      <c r="BW5809" s="165"/>
      <c r="BX5809" s="165"/>
      <c r="BY5809" s="165"/>
      <c r="BZ5809" s="165"/>
      <c r="CA5809" s="165"/>
      <c r="CB5809" s="165"/>
      <c r="CC5809" s="165"/>
      <c r="CD5809" s="165"/>
      <c r="CE5809" s="165"/>
      <c r="CF5809" s="165"/>
      <c r="CG5809" s="165"/>
      <c r="CH5809" s="165"/>
      <c r="CI5809" s="165"/>
      <c r="CJ5809" s="165"/>
      <c r="CK5809" s="165"/>
      <c r="CL5809" s="165"/>
      <c r="CM5809" s="165"/>
      <c r="CN5809" s="165"/>
      <c r="CO5809" s="165"/>
      <c r="CP5809" s="165"/>
      <c r="CQ5809" s="165"/>
      <c r="CR5809" s="165"/>
      <c r="CS5809" s="165"/>
      <c r="CT5809" s="165"/>
      <c r="CU5809" s="165"/>
      <c r="CV5809" s="165"/>
      <c r="CW5809" s="165"/>
      <c r="CX5809" s="165"/>
      <c r="CY5809" s="165"/>
      <c r="CZ5809" s="165"/>
      <c r="DA5809" s="165"/>
      <c r="DB5809" s="165"/>
      <c r="DC5809" s="165"/>
      <c r="DD5809" s="165"/>
      <c r="DE5809" s="165"/>
      <c r="DF5809" s="165"/>
      <c r="DG5809" s="165"/>
      <c r="DH5809" s="165"/>
      <c r="DI5809" s="165"/>
      <c r="DJ5809" s="165"/>
      <c r="DK5809" s="165"/>
      <c r="DL5809" s="165"/>
      <c r="DM5809" s="165"/>
      <c r="DN5809" s="165"/>
      <c r="DO5809" s="165"/>
      <c r="DP5809" s="165"/>
      <c r="DQ5809" s="165"/>
      <c r="DR5809" s="165"/>
      <c r="DS5809" s="165"/>
      <c r="DT5809" s="165"/>
      <c r="DU5809" s="165"/>
      <c r="DV5809" s="165"/>
      <c r="DW5809" s="165"/>
      <c r="DX5809" s="165"/>
      <c r="DY5809" s="165"/>
      <c r="DZ5809" s="165"/>
      <c r="EA5809" s="165"/>
      <c r="EB5809" s="165"/>
      <c r="EC5809" s="165"/>
      <c r="ED5809" s="165"/>
      <c r="EE5809" s="165"/>
      <c r="EF5809" s="165"/>
      <c r="EG5809" s="165"/>
      <c r="EH5809" s="165"/>
      <c r="EI5809" s="165"/>
      <c r="EJ5809" s="165"/>
      <c r="EK5809" s="165"/>
      <c r="EL5809" s="165"/>
      <c r="EM5809" s="165"/>
      <c r="EN5809" s="165"/>
      <c r="EO5809" s="165"/>
      <c r="EP5809" s="165"/>
      <c r="EQ5809" s="165"/>
      <c r="ER5809" s="165"/>
      <c r="ES5809" s="165"/>
    </row>
    <row r="5810" spans="1:149" s="451" customFormat="1" ht="15" hidden="1" customHeight="1">
      <c r="A5810" s="468">
        <v>45537</v>
      </c>
      <c r="B5810" s="208" t="s">
        <v>4793</v>
      </c>
      <c r="C5810" s="208" t="s">
        <v>146</v>
      </c>
      <c r="D5810" s="526">
        <v>-63000</v>
      </c>
      <c r="E5810" s="212">
        <v>45536</v>
      </c>
      <c r="F5810" s="208" t="s">
        <v>110</v>
      </c>
      <c r="G5810" s="208" t="s">
        <v>4399</v>
      </c>
      <c r="H5810" s="208" t="s">
        <v>138</v>
      </c>
      <c r="I5810" s="208" t="s">
        <v>47</v>
      </c>
      <c r="J5810" s="209"/>
      <c r="K5810" s="209"/>
      <c r="L5810" s="209"/>
      <c r="M5810" s="209"/>
      <c r="N5810" s="209"/>
      <c r="O5810" s="209"/>
      <c r="P5810" s="209"/>
      <c r="Q5810" s="209"/>
      <c r="R5810" s="209"/>
      <c r="S5810" s="209"/>
      <c r="T5810" s="209"/>
      <c r="U5810" s="165"/>
      <c r="V5810" s="165"/>
      <c r="W5810" s="165"/>
      <c r="X5810" s="165"/>
      <c r="Y5810" s="165"/>
      <c r="Z5810" s="165"/>
      <c r="AA5810" s="165"/>
      <c r="AB5810" s="165"/>
      <c r="AC5810" s="165"/>
      <c r="AD5810" s="165"/>
      <c r="AE5810" s="165"/>
      <c r="AF5810" s="165"/>
      <c r="AG5810" s="165"/>
      <c r="AH5810" s="165"/>
      <c r="AI5810" s="165"/>
      <c r="AJ5810" s="165"/>
      <c r="AK5810" s="165"/>
      <c r="AL5810" s="165"/>
      <c r="AM5810" s="165"/>
      <c r="AN5810" s="165"/>
      <c r="AO5810" s="165"/>
      <c r="AP5810" s="165"/>
      <c r="AQ5810" s="165"/>
      <c r="AR5810" s="165"/>
      <c r="AS5810" s="165"/>
      <c r="AT5810" s="165"/>
      <c r="AU5810" s="165"/>
      <c r="AV5810" s="165"/>
      <c r="AW5810" s="165"/>
      <c r="AX5810" s="165"/>
      <c r="AY5810" s="165"/>
      <c r="AZ5810" s="165"/>
      <c r="BA5810" s="165"/>
      <c r="BB5810" s="165"/>
      <c r="BC5810" s="165"/>
      <c r="BD5810" s="165"/>
      <c r="BE5810" s="165"/>
      <c r="BF5810" s="165"/>
      <c r="BG5810" s="165"/>
      <c r="BH5810" s="165"/>
      <c r="BI5810" s="165"/>
      <c r="BJ5810" s="165"/>
      <c r="BK5810" s="165"/>
      <c r="BL5810" s="165"/>
      <c r="BM5810" s="165"/>
      <c r="BN5810" s="165"/>
      <c r="BO5810" s="165"/>
      <c r="BP5810" s="165"/>
      <c r="BQ5810" s="165"/>
      <c r="BR5810" s="165"/>
      <c r="BS5810" s="165"/>
      <c r="BT5810" s="165"/>
      <c r="BU5810" s="165"/>
      <c r="BV5810" s="165"/>
      <c r="BW5810" s="165"/>
      <c r="BX5810" s="165"/>
      <c r="BY5810" s="165"/>
      <c r="BZ5810" s="165"/>
      <c r="CA5810" s="165"/>
      <c r="CB5810" s="165"/>
      <c r="CC5810" s="165"/>
      <c r="CD5810" s="165"/>
      <c r="CE5810" s="165"/>
      <c r="CF5810" s="165"/>
      <c r="CG5810" s="165"/>
      <c r="CH5810" s="165"/>
      <c r="CI5810" s="165"/>
      <c r="CJ5810" s="165"/>
      <c r="CK5810" s="165"/>
      <c r="CL5810" s="165"/>
      <c r="CM5810" s="165"/>
      <c r="CN5810" s="165"/>
      <c r="CO5810" s="165"/>
      <c r="CP5810" s="165"/>
      <c r="CQ5810" s="165"/>
      <c r="CR5810" s="165"/>
      <c r="CS5810" s="165"/>
      <c r="CT5810" s="165"/>
      <c r="CU5810" s="165"/>
      <c r="CV5810" s="165"/>
      <c r="CW5810" s="165"/>
      <c r="CX5810" s="165"/>
      <c r="CY5810" s="165"/>
      <c r="CZ5810" s="165"/>
      <c r="DA5810" s="165"/>
      <c r="DB5810" s="165"/>
      <c r="DC5810" s="165"/>
      <c r="DD5810" s="165"/>
      <c r="DE5810" s="165"/>
      <c r="DF5810" s="165"/>
      <c r="DG5810" s="165"/>
      <c r="DH5810" s="165"/>
      <c r="DI5810" s="165"/>
      <c r="DJ5810" s="165"/>
      <c r="DK5810" s="165"/>
      <c r="DL5810" s="165"/>
      <c r="DM5810" s="165"/>
      <c r="DN5810" s="165"/>
      <c r="DO5810" s="165"/>
      <c r="DP5810" s="165"/>
      <c r="DQ5810" s="165"/>
      <c r="DR5810" s="165"/>
      <c r="DS5810" s="165"/>
      <c r="DT5810" s="165"/>
      <c r="DU5810" s="165"/>
      <c r="DV5810" s="165"/>
      <c r="DW5810" s="165"/>
      <c r="DX5810" s="165"/>
      <c r="DY5810" s="165"/>
      <c r="DZ5810" s="165"/>
      <c r="EA5810" s="165"/>
      <c r="EB5810" s="165"/>
      <c r="EC5810" s="165"/>
      <c r="ED5810" s="165"/>
      <c r="EE5810" s="165"/>
      <c r="EF5810" s="165"/>
      <c r="EG5810" s="165"/>
      <c r="EH5810" s="165"/>
      <c r="EI5810" s="165"/>
      <c r="EJ5810" s="165"/>
      <c r="EK5810" s="165"/>
      <c r="EL5810" s="165"/>
      <c r="EM5810" s="165"/>
      <c r="EN5810" s="165"/>
      <c r="EO5810" s="165"/>
      <c r="EP5810" s="165"/>
      <c r="EQ5810" s="165"/>
      <c r="ER5810" s="165"/>
      <c r="ES5810" s="165"/>
    </row>
    <row r="5811" spans="1:149" s="451" customFormat="1" ht="15" hidden="1" customHeight="1">
      <c r="A5811" s="468">
        <v>45537</v>
      </c>
      <c r="B5811" s="208" t="s">
        <v>4794</v>
      </c>
      <c r="C5811" s="208" t="s">
        <v>146</v>
      </c>
      <c r="D5811" s="526">
        <v>-12500</v>
      </c>
      <c r="E5811" s="212">
        <v>45536</v>
      </c>
      <c r="F5811" s="208" t="s">
        <v>110</v>
      </c>
      <c r="G5811" s="208" t="s">
        <v>4399</v>
      </c>
      <c r="H5811" s="208" t="s">
        <v>138</v>
      </c>
      <c r="I5811" s="208" t="s">
        <v>47</v>
      </c>
      <c r="J5811" s="209"/>
      <c r="K5811" s="209"/>
      <c r="L5811" s="209"/>
      <c r="M5811" s="209"/>
      <c r="N5811" s="209"/>
      <c r="O5811" s="209"/>
      <c r="P5811" s="209"/>
      <c r="Q5811" s="209"/>
      <c r="R5811" s="209"/>
      <c r="S5811" s="209"/>
      <c r="T5811" s="209"/>
      <c r="U5811" s="165"/>
      <c r="V5811" s="165"/>
      <c r="W5811" s="165"/>
      <c r="X5811" s="165"/>
      <c r="Y5811" s="165"/>
      <c r="Z5811" s="165"/>
      <c r="AA5811" s="165"/>
      <c r="AB5811" s="165"/>
      <c r="AC5811" s="165"/>
      <c r="AD5811" s="165"/>
      <c r="AE5811" s="165"/>
      <c r="AF5811" s="165"/>
      <c r="AG5811" s="165"/>
      <c r="AH5811" s="165"/>
      <c r="AI5811" s="165"/>
      <c r="AJ5811" s="165"/>
      <c r="AK5811" s="165"/>
      <c r="AL5811" s="165"/>
      <c r="AM5811" s="165"/>
      <c r="AN5811" s="165"/>
      <c r="AO5811" s="165"/>
      <c r="AP5811" s="165"/>
      <c r="AQ5811" s="165"/>
      <c r="AR5811" s="165"/>
      <c r="AS5811" s="165"/>
      <c r="AT5811" s="165"/>
      <c r="AU5811" s="165"/>
      <c r="AV5811" s="165"/>
      <c r="AW5811" s="165"/>
      <c r="AX5811" s="165"/>
      <c r="AY5811" s="165"/>
      <c r="AZ5811" s="165"/>
      <c r="BA5811" s="165"/>
      <c r="BB5811" s="165"/>
      <c r="BC5811" s="165"/>
      <c r="BD5811" s="165"/>
      <c r="BE5811" s="165"/>
      <c r="BF5811" s="165"/>
      <c r="BG5811" s="165"/>
      <c r="BH5811" s="165"/>
      <c r="BI5811" s="165"/>
      <c r="BJ5811" s="165"/>
      <c r="BK5811" s="165"/>
      <c r="BL5811" s="165"/>
      <c r="BM5811" s="165"/>
      <c r="BN5811" s="165"/>
      <c r="BO5811" s="165"/>
      <c r="BP5811" s="165"/>
      <c r="BQ5811" s="165"/>
      <c r="BR5811" s="165"/>
      <c r="BS5811" s="165"/>
      <c r="BT5811" s="165"/>
      <c r="BU5811" s="165"/>
      <c r="BV5811" s="165"/>
      <c r="BW5811" s="165"/>
      <c r="BX5811" s="165"/>
      <c r="BY5811" s="165"/>
      <c r="BZ5811" s="165"/>
      <c r="CA5811" s="165"/>
      <c r="CB5811" s="165"/>
      <c r="CC5811" s="165"/>
      <c r="CD5811" s="165"/>
      <c r="CE5811" s="165"/>
      <c r="CF5811" s="165"/>
      <c r="CG5811" s="165"/>
      <c r="CH5811" s="165"/>
      <c r="CI5811" s="165"/>
      <c r="CJ5811" s="165"/>
      <c r="CK5811" s="165"/>
      <c r="CL5811" s="165"/>
      <c r="CM5811" s="165"/>
      <c r="CN5811" s="165"/>
      <c r="CO5811" s="165"/>
      <c r="CP5811" s="165"/>
      <c r="CQ5811" s="165"/>
      <c r="CR5811" s="165"/>
      <c r="CS5811" s="165"/>
      <c r="CT5811" s="165"/>
      <c r="CU5811" s="165"/>
      <c r="CV5811" s="165"/>
      <c r="CW5811" s="165"/>
      <c r="CX5811" s="165"/>
      <c r="CY5811" s="165"/>
      <c r="CZ5811" s="165"/>
      <c r="DA5811" s="165"/>
      <c r="DB5811" s="165"/>
      <c r="DC5811" s="165"/>
      <c r="DD5811" s="165"/>
      <c r="DE5811" s="165"/>
      <c r="DF5811" s="165"/>
      <c r="DG5811" s="165"/>
      <c r="DH5811" s="165"/>
      <c r="DI5811" s="165"/>
      <c r="DJ5811" s="165"/>
      <c r="DK5811" s="165"/>
      <c r="DL5811" s="165"/>
      <c r="DM5811" s="165"/>
      <c r="DN5811" s="165"/>
      <c r="DO5811" s="165"/>
      <c r="DP5811" s="165"/>
      <c r="DQ5811" s="165"/>
      <c r="DR5811" s="165"/>
      <c r="DS5811" s="165"/>
      <c r="DT5811" s="165"/>
      <c r="DU5811" s="165"/>
      <c r="DV5811" s="165"/>
      <c r="DW5811" s="165"/>
      <c r="DX5811" s="165"/>
      <c r="DY5811" s="165"/>
      <c r="DZ5811" s="165"/>
      <c r="EA5811" s="165"/>
      <c r="EB5811" s="165"/>
      <c r="EC5811" s="165"/>
      <c r="ED5811" s="165"/>
      <c r="EE5811" s="165"/>
      <c r="EF5811" s="165"/>
      <c r="EG5811" s="165"/>
      <c r="EH5811" s="165"/>
      <c r="EI5811" s="165"/>
      <c r="EJ5811" s="165"/>
      <c r="EK5811" s="165"/>
      <c r="EL5811" s="165"/>
      <c r="EM5811" s="165"/>
      <c r="EN5811" s="165"/>
      <c r="EO5811" s="165"/>
      <c r="EP5811" s="165"/>
      <c r="EQ5811" s="165"/>
      <c r="ER5811" s="165"/>
      <c r="ES5811" s="165"/>
    </row>
    <row r="5812" spans="1:149" s="451" customFormat="1" ht="15" hidden="1" customHeight="1">
      <c r="A5812" s="468">
        <v>45537</v>
      </c>
      <c r="B5812" s="208" t="s">
        <v>4795</v>
      </c>
      <c r="C5812" s="208" t="s">
        <v>146</v>
      </c>
      <c r="D5812" s="526">
        <v>-10000</v>
      </c>
      <c r="E5812" s="212">
        <v>45536</v>
      </c>
      <c r="F5812" s="208" t="s">
        <v>110</v>
      </c>
      <c r="G5812" s="208" t="s">
        <v>4399</v>
      </c>
      <c r="H5812" s="208" t="s">
        <v>147</v>
      </c>
      <c r="I5812" s="208" t="s">
        <v>47</v>
      </c>
      <c r="J5812" s="209"/>
      <c r="K5812" s="209"/>
      <c r="L5812" s="209"/>
      <c r="M5812" s="209"/>
      <c r="N5812" s="209"/>
      <c r="O5812" s="209"/>
      <c r="P5812" s="209"/>
      <c r="Q5812" s="209"/>
      <c r="R5812" s="209"/>
      <c r="S5812" s="209"/>
      <c r="T5812" s="209"/>
      <c r="U5812" s="165"/>
      <c r="V5812" s="165"/>
      <c r="W5812" s="165"/>
      <c r="X5812" s="165"/>
      <c r="Y5812" s="165"/>
      <c r="Z5812" s="165"/>
      <c r="AA5812" s="165"/>
      <c r="AB5812" s="165"/>
      <c r="AC5812" s="165"/>
      <c r="AD5812" s="165"/>
      <c r="AE5812" s="165"/>
      <c r="AF5812" s="165"/>
      <c r="AG5812" s="165"/>
      <c r="AH5812" s="165"/>
      <c r="AI5812" s="165"/>
      <c r="AJ5812" s="165"/>
      <c r="AK5812" s="165"/>
      <c r="AL5812" s="165"/>
      <c r="AM5812" s="165"/>
      <c r="AN5812" s="165"/>
      <c r="AO5812" s="165"/>
      <c r="AP5812" s="165"/>
      <c r="AQ5812" s="165"/>
      <c r="AR5812" s="165"/>
      <c r="AS5812" s="165"/>
      <c r="AT5812" s="165"/>
      <c r="AU5812" s="165"/>
      <c r="AV5812" s="165"/>
      <c r="AW5812" s="165"/>
      <c r="AX5812" s="165"/>
      <c r="AY5812" s="165"/>
      <c r="AZ5812" s="165"/>
      <c r="BA5812" s="165"/>
      <c r="BB5812" s="165"/>
      <c r="BC5812" s="165"/>
      <c r="BD5812" s="165"/>
      <c r="BE5812" s="165"/>
      <c r="BF5812" s="165"/>
      <c r="BG5812" s="165"/>
      <c r="BH5812" s="165"/>
      <c r="BI5812" s="165"/>
      <c r="BJ5812" s="165"/>
      <c r="BK5812" s="165"/>
      <c r="BL5812" s="165"/>
      <c r="BM5812" s="165"/>
      <c r="BN5812" s="165"/>
      <c r="BO5812" s="165"/>
      <c r="BP5812" s="165"/>
      <c r="BQ5812" s="165"/>
      <c r="BR5812" s="165"/>
      <c r="BS5812" s="165"/>
      <c r="BT5812" s="165"/>
      <c r="BU5812" s="165"/>
      <c r="BV5812" s="165"/>
      <c r="BW5812" s="165"/>
      <c r="BX5812" s="165"/>
      <c r="BY5812" s="165"/>
      <c r="BZ5812" s="165"/>
      <c r="CA5812" s="165"/>
      <c r="CB5812" s="165"/>
      <c r="CC5812" s="165"/>
      <c r="CD5812" s="165"/>
      <c r="CE5812" s="165"/>
      <c r="CF5812" s="165"/>
      <c r="CG5812" s="165"/>
      <c r="CH5812" s="165"/>
      <c r="CI5812" s="165"/>
      <c r="CJ5812" s="165"/>
      <c r="CK5812" s="165"/>
      <c r="CL5812" s="165"/>
      <c r="CM5812" s="165"/>
      <c r="CN5812" s="165"/>
      <c r="CO5812" s="165"/>
      <c r="CP5812" s="165"/>
      <c r="CQ5812" s="165"/>
      <c r="CR5812" s="165"/>
      <c r="CS5812" s="165"/>
      <c r="CT5812" s="165"/>
      <c r="CU5812" s="165"/>
      <c r="CV5812" s="165"/>
      <c r="CW5812" s="165"/>
      <c r="CX5812" s="165"/>
      <c r="CY5812" s="165"/>
      <c r="CZ5812" s="165"/>
      <c r="DA5812" s="165"/>
      <c r="DB5812" s="165"/>
      <c r="DC5812" s="165"/>
      <c r="DD5812" s="165"/>
      <c r="DE5812" s="165"/>
      <c r="DF5812" s="165"/>
      <c r="DG5812" s="165"/>
      <c r="DH5812" s="165"/>
      <c r="DI5812" s="165"/>
      <c r="DJ5812" s="165"/>
      <c r="DK5812" s="165"/>
      <c r="DL5812" s="165"/>
      <c r="DM5812" s="165"/>
      <c r="DN5812" s="165"/>
      <c r="DO5812" s="165"/>
      <c r="DP5812" s="165"/>
      <c r="DQ5812" s="165"/>
      <c r="DR5812" s="165"/>
      <c r="DS5812" s="165"/>
      <c r="DT5812" s="165"/>
      <c r="DU5812" s="165"/>
      <c r="DV5812" s="165"/>
      <c r="DW5812" s="165"/>
      <c r="DX5812" s="165"/>
      <c r="DY5812" s="165"/>
      <c r="DZ5812" s="165"/>
      <c r="EA5812" s="165"/>
      <c r="EB5812" s="165"/>
      <c r="EC5812" s="165"/>
      <c r="ED5812" s="165"/>
      <c r="EE5812" s="165"/>
      <c r="EF5812" s="165"/>
      <c r="EG5812" s="165"/>
      <c r="EH5812" s="165"/>
      <c r="EI5812" s="165"/>
      <c r="EJ5812" s="165"/>
      <c r="EK5812" s="165"/>
      <c r="EL5812" s="165"/>
      <c r="EM5812" s="165"/>
      <c r="EN5812" s="165"/>
      <c r="EO5812" s="165"/>
      <c r="EP5812" s="165"/>
      <c r="EQ5812" s="165"/>
      <c r="ER5812" s="165"/>
      <c r="ES5812" s="165"/>
    </row>
    <row r="5813" spans="1:149" s="451" customFormat="1" ht="15" hidden="1" customHeight="1">
      <c r="A5813" s="468">
        <v>45537</v>
      </c>
      <c r="B5813" s="208" t="s">
        <v>4796</v>
      </c>
      <c r="C5813" s="208" t="s">
        <v>146</v>
      </c>
      <c r="D5813" s="526">
        <v>-10000</v>
      </c>
      <c r="E5813" s="212">
        <v>45536</v>
      </c>
      <c r="F5813" s="208" t="s">
        <v>110</v>
      </c>
      <c r="G5813" s="208" t="s">
        <v>4399</v>
      </c>
      <c r="H5813" s="208" t="s">
        <v>147</v>
      </c>
      <c r="I5813" s="208" t="s">
        <v>47</v>
      </c>
      <c r="J5813" s="209"/>
      <c r="K5813" s="209"/>
      <c r="L5813" s="209"/>
      <c r="M5813" s="209"/>
      <c r="N5813" s="209"/>
      <c r="O5813" s="209"/>
      <c r="P5813" s="209"/>
      <c r="Q5813" s="209"/>
      <c r="R5813" s="209"/>
      <c r="S5813" s="209"/>
      <c r="T5813" s="209"/>
      <c r="U5813" s="165"/>
      <c r="V5813" s="165"/>
      <c r="W5813" s="165"/>
      <c r="X5813" s="165"/>
      <c r="Y5813" s="165"/>
      <c r="Z5813" s="165"/>
      <c r="AA5813" s="165"/>
      <c r="AB5813" s="165"/>
      <c r="AC5813" s="165"/>
      <c r="AD5813" s="165"/>
      <c r="AE5813" s="165"/>
      <c r="AF5813" s="165"/>
      <c r="AG5813" s="165"/>
      <c r="AH5813" s="165"/>
      <c r="AI5813" s="165"/>
      <c r="AJ5813" s="165"/>
      <c r="AK5813" s="165"/>
      <c r="AL5813" s="165"/>
      <c r="AM5813" s="165"/>
      <c r="AN5813" s="165"/>
      <c r="AO5813" s="165"/>
      <c r="AP5813" s="165"/>
      <c r="AQ5813" s="165"/>
      <c r="AR5813" s="165"/>
      <c r="AS5813" s="165"/>
      <c r="AT5813" s="165"/>
      <c r="AU5813" s="165"/>
      <c r="AV5813" s="165"/>
      <c r="AW5813" s="165"/>
      <c r="AX5813" s="165"/>
      <c r="AY5813" s="165"/>
      <c r="AZ5813" s="165"/>
      <c r="BA5813" s="165"/>
      <c r="BB5813" s="165"/>
      <c r="BC5813" s="165"/>
      <c r="BD5813" s="165"/>
      <c r="BE5813" s="165"/>
      <c r="BF5813" s="165"/>
      <c r="BG5813" s="165"/>
      <c r="BH5813" s="165"/>
      <c r="BI5813" s="165"/>
      <c r="BJ5813" s="165"/>
      <c r="BK5813" s="165"/>
      <c r="BL5813" s="165"/>
      <c r="BM5813" s="165"/>
      <c r="BN5813" s="165"/>
      <c r="BO5813" s="165"/>
      <c r="BP5813" s="165"/>
      <c r="BQ5813" s="165"/>
      <c r="BR5813" s="165"/>
      <c r="BS5813" s="165"/>
      <c r="BT5813" s="165"/>
      <c r="BU5813" s="165"/>
      <c r="BV5813" s="165"/>
      <c r="BW5813" s="165"/>
      <c r="BX5813" s="165"/>
      <c r="BY5813" s="165"/>
      <c r="BZ5813" s="165"/>
      <c r="CA5813" s="165"/>
      <c r="CB5813" s="165"/>
      <c r="CC5813" s="165"/>
      <c r="CD5813" s="165"/>
      <c r="CE5813" s="165"/>
      <c r="CF5813" s="165"/>
      <c r="CG5813" s="165"/>
      <c r="CH5813" s="165"/>
      <c r="CI5813" s="165"/>
      <c r="CJ5813" s="165"/>
      <c r="CK5813" s="165"/>
      <c r="CL5813" s="165"/>
      <c r="CM5813" s="165"/>
      <c r="CN5813" s="165"/>
      <c r="CO5813" s="165"/>
      <c r="CP5813" s="165"/>
      <c r="CQ5813" s="165"/>
      <c r="CR5813" s="165"/>
      <c r="CS5813" s="165"/>
      <c r="CT5813" s="165"/>
      <c r="CU5813" s="165"/>
      <c r="CV5813" s="165"/>
      <c r="CW5813" s="165"/>
      <c r="CX5813" s="165"/>
      <c r="CY5813" s="165"/>
      <c r="CZ5813" s="165"/>
      <c r="DA5813" s="165"/>
      <c r="DB5813" s="165"/>
      <c r="DC5813" s="165"/>
      <c r="DD5813" s="165"/>
      <c r="DE5813" s="165"/>
      <c r="DF5813" s="165"/>
      <c r="DG5813" s="165"/>
      <c r="DH5813" s="165"/>
      <c r="DI5813" s="165"/>
      <c r="DJ5813" s="165"/>
      <c r="DK5813" s="165"/>
      <c r="DL5813" s="165"/>
      <c r="DM5813" s="165"/>
      <c r="DN5813" s="165"/>
      <c r="DO5813" s="165"/>
      <c r="DP5813" s="165"/>
      <c r="DQ5813" s="165"/>
      <c r="DR5813" s="165"/>
      <c r="DS5813" s="165"/>
      <c r="DT5813" s="165"/>
      <c r="DU5813" s="165"/>
      <c r="DV5813" s="165"/>
      <c r="DW5813" s="165"/>
      <c r="DX5813" s="165"/>
      <c r="DY5813" s="165"/>
      <c r="DZ5813" s="165"/>
      <c r="EA5813" s="165"/>
      <c r="EB5813" s="165"/>
      <c r="EC5813" s="165"/>
      <c r="ED5813" s="165"/>
      <c r="EE5813" s="165"/>
      <c r="EF5813" s="165"/>
      <c r="EG5813" s="165"/>
      <c r="EH5813" s="165"/>
      <c r="EI5813" s="165"/>
      <c r="EJ5813" s="165"/>
      <c r="EK5813" s="165"/>
      <c r="EL5813" s="165"/>
      <c r="EM5813" s="165"/>
      <c r="EN5813" s="165"/>
      <c r="EO5813" s="165"/>
      <c r="EP5813" s="165"/>
      <c r="EQ5813" s="165"/>
      <c r="ER5813" s="165"/>
      <c r="ES5813" s="165"/>
    </row>
    <row r="5814" spans="1:149" s="451" customFormat="1" ht="15" hidden="1" customHeight="1">
      <c r="A5814" s="468">
        <v>45537</v>
      </c>
      <c r="B5814" s="208" t="s">
        <v>4797</v>
      </c>
      <c r="C5814" s="208" t="s">
        <v>146</v>
      </c>
      <c r="D5814" s="526">
        <v>-22000</v>
      </c>
      <c r="E5814" s="212">
        <v>45536</v>
      </c>
      <c r="F5814" s="208" t="s">
        <v>110</v>
      </c>
      <c r="G5814" s="208" t="s">
        <v>4399</v>
      </c>
      <c r="H5814" s="208" t="s">
        <v>138</v>
      </c>
      <c r="I5814" s="208" t="s">
        <v>47</v>
      </c>
      <c r="J5814" s="209"/>
      <c r="K5814" s="209"/>
      <c r="L5814" s="209"/>
      <c r="M5814" s="209"/>
      <c r="N5814" s="209"/>
      <c r="O5814" s="209"/>
      <c r="P5814" s="209"/>
      <c r="Q5814" s="209"/>
      <c r="R5814" s="209"/>
      <c r="S5814" s="209"/>
      <c r="T5814" s="209"/>
      <c r="U5814" s="165"/>
      <c r="V5814" s="165"/>
      <c r="W5814" s="165"/>
      <c r="X5814" s="165"/>
      <c r="Y5814" s="165"/>
      <c r="Z5814" s="165"/>
      <c r="AA5814" s="165"/>
      <c r="AB5814" s="165"/>
      <c r="AC5814" s="165"/>
      <c r="AD5814" s="165"/>
      <c r="AE5814" s="165"/>
      <c r="AF5814" s="165"/>
      <c r="AG5814" s="165"/>
      <c r="AH5814" s="165"/>
      <c r="AI5814" s="165"/>
      <c r="AJ5814" s="165"/>
      <c r="AK5814" s="165"/>
      <c r="AL5814" s="165"/>
      <c r="AM5814" s="165"/>
      <c r="AN5814" s="165"/>
      <c r="AO5814" s="165"/>
      <c r="AP5814" s="165"/>
      <c r="AQ5814" s="165"/>
      <c r="AR5814" s="165"/>
      <c r="AS5814" s="165"/>
      <c r="AT5814" s="165"/>
      <c r="AU5814" s="165"/>
      <c r="AV5814" s="165"/>
      <c r="AW5814" s="165"/>
      <c r="AX5814" s="165"/>
      <c r="AY5814" s="165"/>
      <c r="AZ5814" s="165"/>
      <c r="BA5814" s="165"/>
      <c r="BB5814" s="165"/>
      <c r="BC5814" s="165"/>
      <c r="BD5814" s="165"/>
      <c r="BE5814" s="165"/>
      <c r="BF5814" s="165"/>
      <c r="BG5814" s="165"/>
      <c r="BH5814" s="165"/>
      <c r="BI5814" s="165"/>
      <c r="BJ5814" s="165"/>
      <c r="BK5814" s="165"/>
      <c r="BL5814" s="165"/>
      <c r="BM5814" s="165"/>
      <c r="BN5814" s="165"/>
      <c r="BO5814" s="165"/>
      <c r="BP5814" s="165"/>
      <c r="BQ5814" s="165"/>
      <c r="BR5814" s="165"/>
      <c r="BS5814" s="165"/>
      <c r="BT5814" s="165"/>
      <c r="BU5814" s="165"/>
      <c r="BV5814" s="165"/>
      <c r="BW5814" s="165"/>
      <c r="BX5814" s="165"/>
      <c r="BY5814" s="165"/>
      <c r="BZ5814" s="165"/>
      <c r="CA5814" s="165"/>
      <c r="CB5814" s="165"/>
      <c r="CC5814" s="165"/>
      <c r="CD5814" s="165"/>
      <c r="CE5814" s="165"/>
      <c r="CF5814" s="165"/>
      <c r="CG5814" s="165"/>
      <c r="CH5814" s="165"/>
      <c r="CI5814" s="165"/>
      <c r="CJ5814" s="165"/>
      <c r="CK5814" s="165"/>
      <c r="CL5814" s="165"/>
      <c r="CM5814" s="165"/>
      <c r="CN5814" s="165"/>
      <c r="CO5814" s="165"/>
      <c r="CP5814" s="165"/>
      <c r="CQ5814" s="165"/>
      <c r="CR5814" s="165"/>
      <c r="CS5814" s="165"/>
      <c r="CT5814" s="165"/>
      <c r="CU5814" s="165"/>
      <c r="CV5814" s="165"/>
      <c r="CW5814" s="165"/>
      <c r="CX5814" s="165"/>
      <c r="CY5814" s="165"/>
      <c r="CZ5814" s="165"/>
      <c r="DA5814" s="165"/>
      <c r="DB5814" s="165"/>
      <c r="DC5814" s="165"/>
      <c r="DD5814" s="165"/>
      <c r="DE5814" s="165"/>
      <c r="DF5814" s="165"/>
      <c r="DG5814" s="165"/>
      <c r="DH5814" s="165"/>
      <c r="DI5814" s="165"/>
      <c r="DJ5814" s="165"/>
      <c r="DK5814" s="165"/>
      <c r="DL5814" s="165"/>
      <c r="DM5814" s="165"/>
      <c r="DN5814" s="165"/>
      <c r="DO5814" s="165"/>
      <c r="DP5814" s="165"/>
      <c r="DQ5814" s="165"/>
      <c r="DR5814" s="165"/>
      <c r="DS5814" s="165"/>
      <c r="DT5814" s="165"/>
      <c r="DU5814" s="165"/>
      <c r="DV5814" s="165"/>
      <c r="DW5814" s="165"/>
      <c r="DX5814" s="165"/>
      <c r="DY5814" s="165"/>
      <c r="DZ5814" s="165"/>
      <c r="EA5814" s="165"/>
      <c r="EB5814" s="165"/>
      <c r="EC5814" s="165"/>
      <c r="ED5814" s="165"/>
      <c r="EE5814" s="165"/>
      <c r="EF5814" s="165"/>
      <c r="EG5814" s="165"/>
      <c r="EH5814" s="165"/>
      <c r="EI5814" s="165"/>
      <c r="EJ5814" s="165"/>
      <c r="EK5814" s="165"/>
      <c r="EL5814" s="165"/>
      <c r="EM5814" s="165"/>
      <c r="EN5814" s="165"/>
      <c r="EO5814" s="165"/>
      <c r="EP5814" s="165"/>
      <c r="EQ5814" s="165"/>
      <c r="ER5814" s="165"/>
      <c r="ES5814" s="165"/>
    </row>
    <row r="5815" spans="1:149" s="451" customFormat="1" ht="15" hidden="1" customHeight="1">
      <c r="A5815" s="468">
        <v>45537</v>
      </c>
      <c r="B5815" s="208" t="s">
        <v>4772</v>
      </c>
      <c r="C5815" s="208" t="s">
        <v>146</v>
      </c>
      <c r="D5815" s="211">
        <v>-23800</v>
      </c>
      <c r="E5815" s="212">
        <v>45536</v>
      </c>
      <c r="F5815" s="208" t="s">
        <v>130</v>
      </c>
      <c r="G5815" s="208" t="s">
        <v>257</v>
      </c>
      <c r="H5815" s="208" t="s">
        <v>138</v>
      </c>
      <c r="I5815" s="208" t="s">
        <v>63</v>
      </c>
      <c r="J5815" s="209"/>
      <c r="K5815" s="209"/>
      <c r="L5815" s="209"/>
      <c r="M5815" s="209"/>
      <c r="N5815" s="209"/>
      <c r="O5815" s="209"/>
      <c r="P5815" s="209"/>
      <c r="Q5815" s="209"/>
      <c r="R5815" s="209"/>
      <c r="S5815" s="209"/>
      <c r="T5815" s="209"/>
      <c r="U5815" s="165"/>
      <c r="V5815" s="165"/>
      <c r="W5815" s="165"/>
      <c r="X5815" s="165"/>
      <c r="Y5815" s="165"/>
      <c r="Z5815" s="165"/>
      <c r="AA5815" s="165"/>
      <c r="AB5815" s="165"/>
      <c r="AC5815" s="165"/>
      <c r="AD5815" s="165"/>
      <c r="AE5815" s="165"/>
      <c r="AF5815" s="165"/>
      <c r="AG5815" s="165"/>
      <c r="AH5815" s="165"/>
      <c r="AI5815" s="165"/>
      <c r="AJ5815" s="165"/>
      <c r="AK5815" s="165"/>
      <c r="AL5815" s="165"/>
      <c r="AM5815" s="165"/>
      <c r="AN5815" s="165"/>
      <c r="AO5815" s="165"/>
      <c r="AP5815" s="165"/>
      <c r="AQ5815" s="165"/>
      <c r="AR5815" s="165"/>
      <c r="AS5815" s="165"/>
      <c r="AT5815" s="165"/>
      <c r="AU5815" s="165"/>
      <c r="AV5815" s="165"/>
      <c r="AW5815" s="165"/>
      <c r="AX5815" s="165"/>
      <c r="AY5815" s="165"/>
      <c r="AZ5815" s="165"/>
      <c r="BA5815" s="165"/>
      <c r="BB5815" s="165"/>
      <c r="BC5815" s="165"/>
      <c r="BD5815" s="165"/>
      <c r="BE5815" s="165"/>
      <c r="BF5815" s="165"/>
      <c r="BG5815" s="165"/>
      <c r="BH5815" s="165"/>
      <c r="BI5815" s="165"/>
      <c r="BJ5815" s="165"/>
      <c r="BK5815" s="165"/>
      <c r="BL5815" s="165"/>
      <c r="BM5815" s="165"/>
      <c r="BN5815" s="165"/>
      <c r="BO5815" s="165"/>
      <c r="BP5815" s="165"/>
      <c r="BQ5815" s="165"/>
      <c r="BR5815" s="165"/>
      <c r="BS5815" s="165"/>
      <c r="BT5815" s="165"/>
      <c r="BU5815" s="165"/>
      <c r="BV5815" s="165"/>
      <c r="BW5815" s="165"/>
      <c r="BX5815" s="165"/>
      <c r="BY5815" s="165"/>
      <c r="BZ5815" s="165"/>
      <c r="CA5815" s="165"/>
      <c r="CB5815" s="165"/>
      <c r="CC5815" s="165"/>
      <c r="CD5815" s="165"/>
      <c r="CE5815" s="165"/>
      <c r="CF5815" s="165"/>
      <c r="CG5815" s="165"/>
      <c r="CH5815" s="165"/>
      <c r="CI5815" s="165"/>
      <c r="CJ5815" s="165"/>
      <c r="CK5815" s="165"/>
      <c r="CL5815" s="165"/>
      <c r="CM5815" s="165"/>
      <c r="CN5815" s="165"/>
      <c r="CO5815" s="165"/>
      <c r="CP5815" s="165"/>
      <c r="CQ5815" s="165"/>
      <c r="CR5815" s="165"/>
      <c r="CS5815" s="165"/>
      <c r="CT5815" s="165"/>
      <c r="CU5815" s="165"/>
      <c r="CV5815" s="165"/>
      <c r="CW5815" s="165"/>
      <c r="CX5815" s="165"/>
      <c r="CY5815" s="165"/>
      <c r="CZ5815" s="165"/>
      <c r="DA5815" s="165"/>
      <c r="DB5815" s="165"/>
      <c r="DC5815" s="165"/>
      <c r="DD5815" s="165"/>
      <c r="DE5815" s="165"/>
      <c r="DF5815" s="165"/>
      <c r="DG5815" s="165"/>
      <c r="DH5815" s="165"/>
      <c r="DI5815" s="165"/>
      <c r="DJ5815" s="165"/>
      <c r="DK5815" s="165"/>
      <c r="DL5815" s="165"/>
      <c r="DM5815" s="165"/>
      <c r="DN5815" s="165"/>
      <c r="DO5815" s="165"/>
      <c r="DP5815" s="165"/>
      <c r="DQ5815" s="165"/>
      <c r="DR5815" s="165"/>
      <c r="DS5815" s="165"/>
      <c r="DT5815" s="165"/>
      <c r="DU5815" s="165"/>
      <c r="DV5815" s="165"/>
      <c r="DW5815" s="165"/>
      <c r="DX5815" s="165"/>
      <c r="DY5815" s="165"/>
      <c r="DZ5815" s="165"/>
      <c r="EA5815" s="165"/>
      <c r="EB5815" s="165"/>
      <c r="EC5815" s="165"/>
      <c r="ED5815" s="165"/>
      <c r="EE5815" s="165"/>
      <c r="EF5815" s="165"/>
      <c r="EG5815" s="165"/>
      <c r="EH5815" s="165"/>
      <c r="EI5815" s="165"/>
      <c r="EJ5815" s="165"/>
      <c r="EK5815" s="165"/>
      <c r="EL5815" s="165"/>
      <c r="EM5815" s="165"/>
      <c r="EN5815" s="165"/>
      <c r="EO5815" s="165"/>
      <c r="EP5815" s="165"/>
      <c r="EQ5815" s="165"/>
      <c r="ER5815" s="165"/>
      <c r="ES5815" s="165"/>
    </row>
    <row r="5816" spans="1:149" s="451" customFormat="1" ht="15" hidden="1" customHeight="1">
      <c r="A5816" s="468">
        <v>45537</v>
      </c>
      <c r="B5816" s="208" t="s">
        <v>3532</v>
      </c>
      <c r="C5816" s="208" t="s">
        <v>146</v>
      </c>
      <c r="D5816" s="211">
        <v>-65000</v>
      </c>
      <c r="E5816" s="212">
        <v>45536</v>
      </c>
      <c r="F5816" s="208" t="s">
        <v>130</v>
      </c>
      <c r="G5816" s="208" t="s">
        <v>257</v>
      </c>
      <c r="H5816" s="208" t="s">
        <v>138</v>
      </c>
      <c r="I5816" s="208" t="s">
        <v>63</v>
      </c>
      <c r="J5816" s="209"/>
      <c r="K5816" s="209"/>
      <c r="L5816" s="209"/>
      <c r="M5816" s="209"/>
      <c r="N5816" s="209"/>
      <c r="O5816" s="209"/>
      <c r="P5816" s="209"/>
      <c r="Q5816" s="209"/>
      <c r="R5816" s="209"/>
      <c r="S5816" s="209"/>
      <c r="T5816" s="209"/>
      <c r="U5816" s="165"/>
      <c r="V5816" s="165"/>
      <c r="W5816" s="165"/>
      <c r="X5816" s="165"/>
      <c r="Y5816" s="165"/>
      <c r="Z5816" s="165"/>
      <c r="AA5816" s="165"/>
      <c r="AB5816" s="165"/>
      <c r="AC5816" s="165"/>
      <c r="AD5816" s="165"/>
      <c r="AE5816" s="165"/>
      <c r="AF5816" s="165"/>
      <c r="AG5816" s="165"/>
      <c r="AH5816" s="165"/>
      <c r="AI5816" s="165"/>
      <c r="AJ5816" s="165"/>
      <c r="AK5816" s="165"/>
      <c r="AL5816" s="165"/>
      <c r="AM5816" s="165"/>
      <c r="AN5816" s="165"/>
      <c r="AO5816" s="165"/>
      <c r="AP5816" s="165"/>
      <c r="AQ5816" s="165"/>
      <c r="AR5816" s="165"/>
      <c r="AS5816" s="165"/>
      <c r="AT5816" s="165"/>
      <c r="AU5816" s="165"/>
      <c r="AV5816" s="165"/>
      <c r="AW5816" s="165"/>
      <c r="AX5816" s="165"/>
      <c r="AY5816" s="165"/>
      <c r="AZ5816" s="165"/>
      <c r="BA5816" s="165"/>
      <c r="BB5816" s="165"/>
      <c r="BC5816" s="165"/>
      <c r="BD5816" s="165"/>
      <c r="BE5816" s="165"/>
      <c r="BF5816" s="165"/>
      <c r="BG5816" s="165"/>
      <c r="BH5816" s="165"/>
      <c r="BI5816" s="165"/>
      <c r="BJ5816" s="165"/>
      <c r="BK5816" s="165"/>
      <c r="BL5816" s="165"/>
      <c r="BM5816" s="165"/>
      <c r="BN5816" s="165"/>
      <c r="BO5816" s="165"/>
      <c r="BP5816" s="165"/>
      <c r="BQ5816" s="165"/>
      <c r="BR5816" s="165"/>
      <c r="BS5816" s="165"/>
      <c r="BT5816" s="165"/>
      <c r="BU5816" s="165"/>
      <c r="BV5816" s="165"/>
      <c r="BW5816" s="165"/>
      <c r="BX5816" s="165"/>
      <c r="BY5816" s="165"/>
      <c r="BZ5816" s="165"/>
      <c r="CA5816" s="165"/>
      <c r="CB5816" s="165"/>
      <c r="CC5816" s="165"/>
      <c r="CD5816" s="165"/>
      <c r="CE5816" s="165"/>
      <c r="CF5816" s="165"/>
      <c r="CG5816" s="165"/>
      <c r="CH5816" s="165"/>
      <c r="CI5816" s="165"/>
      <c r="CJ5816" s="165"/>
      <c r="CK5816" s="165"/>
      <c r="CL5816" s="165"/>
      <c r="CM5816" s="165"/>
      <c r="CN5816" s="165"/>
      <c r="CO5816" s="165"/>
      <c r="CP5816" s="165"/>
      <c r="CQ5816" s="165"/>
      <c r="CR5816" s="165"/>
      <c r="CS5816" s="165"/>
      <c r="CT5816" s="165"/>
      <c r="CU5816" s="165"/>
      <c r="CV5816" s="165"/>
      <c r="CW5816" s="165"/>
      <c r="CX5816" s="165"/>
      <c r="CY5816" s="165"/>
      <c r="CZ5816" s="165"/>
      <c r="DA5816" s="165"/>
      <c r="DB5816" s="165"/>
      <c r="DC5816" s="165"/>
      <c r="DD5816" s="165"/>
      <c r="DE5816" s="165"/>
      <c r="DF5816" s="165"/>
      <c r="DG5816" s="165"/>
      <c r="DH5816" s="165"/>
      <c r="DI5816" s="165"/>
      <c r="DJ5816" s="165"/>
      <c r="DK5816" s="165"/>
      <c r="DL5816" s="165"/>
      <c r="DM5816" s="165"/>
      <c r="DN5816" s="165"/>
      <c r="DO5816" s="165"/>
      <c r="DP5816" s="165"/>
      <c r="DQ5816" s="165"/>
      <c r="DR5816" s="165"/>
      <c r="DS5816" s="165"/>
      <c r="DT5816" s="165"/>
      <c r="DU5816" s="165"/>
      <c r="DV5816" s="165"/>
      <c r="DW5816" s="165"/>
      <c r="DX5816" s="165"/>
      <c r="DY5816" s="165"/>
      <c r="DZ5816" s="165"/>
      <c r="EA5816" s="165"/>
      <c r="EB5816" s="165"/>
      <c r="EC5816" s="165"/>
      <c r="ED5816" s="165"/>
      <c r="EE5816" s="165"/>
      <c r="EF5816" s="165"/>
      <c r="EG5816" s="165"/>
      <c r="EH5816" s="165"/>
      <c r="EI5816" s="165"/>
      <c r="EJ5816" s="165"/>
      <c r="EK5816" s="165"/>
      <c r="EL5816" s="165"/>
      <c r="EM5816" s="165"/>
      <c r="EN5816" s="165"/>
      <c r="EO5816" s="165"/>
      <c r="EP5816" s="165"/>
      <c r="EQ5816" s="165"/>
      <c r="ER5816" s="165"/>
      <c r="ES5816" s="165"/>
    </row>
    <row r="5817" spans="1:149" s="451" customFormat="1" ht="15" hidden="1" customHeight="1">
      <c r="A5817" s="468">
        <v>45537</v>
      </c>
      <c r="B5817" s="208" t="s">
        <v>853</v>
      </c>
      <c r="C5817" s="208" t="s">
        <v>146</v>
      </c>
      <c r="D5817" s="211">
        <v>-20000</v>
      </c>
      <c r="E5817" s="212">
        <v>45536</v>
      </c>
      <c r="F5817" s="208" t="s">
        <v>130</v>
      </c>
      <c r="G5817" s="208" t="s">
        <v>257</v>
      </c>
      <c r="H5817" s="208" t="s">
        <v>138</v>
      </c>
      <c r="I5817" s="208" t="s">
        <v>63</v>
      </c>
      <c r="J5817" s="209"/>
      <c r="K5817" s="209"/>
      <c r="L5817" s="209"/>
      <c r="M5817" s="209"/>
      <c r="N5817" s="209"/>
      <c r="O5817" s="209"/>
      <c r="P5817" s="209"/>
      <c r="Q5817" s="209"/>
      <c r="R5817" s="209"/>
      <c r="S5817" s="209"/>
      <c r="T5817" s="209"/>
      <c r="U5817" s="165"/>
      <c r="V5817" s="165"/>
      <c r="W5817" s="165"/>
      <c r="X5817" s="165"/>
      <c r="Y5817" s="165"/>
      <c r="Z5817" s="165"/>
      <c r="AA5817" s="165"/>
      <c r="AB5817" s="165"/>
      <c r="AC5817" s="165"/>
      <c r="AD5817" s="165"/>
      <c r="AE5817" s="165"/>
      <c r="AF5817" s="165"/>
      <c r="AG5817" s="165"/>
      <c r="AH5817" s="165"/>
      <c r="AI5817" s="165"/>
      <c r="AJ5817" s="165"/>
      <c r="AK5817" s="165"/>
      <c r="AL5817" s="165"/>
      <c r="AM5817" s="165"/>
      <c r="AN5817" s="165"/>
      <c r="AO5817" s="165"/>
      <c r="AP5817" s="165"/>
      <c r="AQ5817" s="165"/>
      <c r="AR5817" s="165"/>
      <c r="AS5817" s="165"/>
      <c r="AT5817" s="165"/>
      <c r="AU5817" s="165"/>
      <c r="AV5817" s="165"/>
      <c r="AW5817" s="165"/>
      <c r="AX5817" s="165"/>
      <c r="AY5817" s="165"/>
      <c r="AZ5817" s="165"/>
      <c r="BA5817" s="165"/>
      <c r="BB5817" s="165"/>
      <c r="BC5817" s="165"/>
      <c r="BD5817" s="165"/>
      <c r="BE5817" s="165"/>
      <c r="BF5817" s="165"/>
      <c r="BG5817" s="165"/>
      <c r="BH5817" s="165"/>
      <c r="BI5817" s="165"/>
      <c r="BJ5817" s="165"/>
      <c r="BK5817" s="165"/>
      <c r="BL5817" s="165"/>
      <c r="BM5817" s="165"/>
      <c r="BN5817" s="165"/>
      <c r="BO5817" s="165"/>
      <c r="BP5817" s="165"/>
      <c r="BQ5817" s="165"/>
      <c r="BR5817" s="165"/>
      <c r="BS5817" s="165"/>
      <c r="BT5817" s="165"/>
      <c r="BU5817" s="165"/>
      <c r="BV5817" s="165"/>
      <c r="BW5817" s="165"/>
      <c r="BX5817" s="165"/>
      <c r="BY5817" s="165"/>
      <c r="BZ5817" s="165"/>
      <c r="CA5817" s="165"/>
      <c r="CB5817" s="165"/>
      <c r="CC5817" s="165"/>
      <c r="CD5817" s="165"/>
      <c r="CE5817" s="165"/>
      <c r="CF5817" s="165"/>
      <c r="CG5817" s="165"/>
      <c r="CH5817" s="165"/>
      <c r="CI5817" s="165"/>
      <c r="CJ5817" s="165"/>
      <c r="CK5817" s="165"/>
      <c r="CL5817" s="165"/>
      <c r="CM5817" s="165"/>
      <c r="CN5817" s="165"/>
      <c r="CO5817" s="165"/>
      <c r="CP5817" s="165"/>
      <c r="CQ5817" s="165"/>
      <c r="CR5817" s="165"/>
      <c r="CS5817" s="165"/>
      <c r="CT5817" s="165"/>
      <c r="CU5817" s="165"/>
      <c r="CV5817" s="165"/>
      <c r="CW5817" s="165"/>
      <c r="CX5817" s="165"/>
      <c r="CY5817" s="165"/>
      <c r="CZ5817" s="165"/>
      <c r="DA5817" s="165"/>
      <c r="DB5817" s="165"/>
      <c r="DC5817" s="165"/>
      <c r="DD5817" s="165"/>
      <c r="DE5817" s="165"/>
      <c r="DF5817" s="165"/>
      <c r="DG5817" s="165"/>
      <c r="DH5817" s="165"/>
      <c r="DI5817" s="165"/>
      <c r="DJ5817" s="165"/>
      <c r="DK5817" s="165"/>
      <c r="DL5817" s="165"/>
      <c r="DM5817" s="165"/>
      <c r="DN5817" s="165"/>
      <c r="DO5817" s="165"/>
      <c r="DP5817" s="165"/>
      <c r="DQ5817" s="165"/>
      <c r="DR5817" s="165"/>
      <c r="DS5817" s="165"/>
      <c r="DT5817" s="165"/>
      <c r="DU5817" s="165"/>
      <c r="DV5817" s="165"/>
      <c r="DW5817" s="165"/>
      <c r="DX5817" s="165"/>
      <c r="DY5817" s="165"/>
      <c r="DZ5817" s="165"/>
      <c r="EA5817" s="165"/>
      <c r="EB5817" s="165"/>
      <c r="EC5817" s="165"/>
      <c r="ED5817" s="165"/>
      <c r="EE5817" s="165"/>
      <c r="EF5817" s="165"/>
      <c r="EG5817" s="165"/>
      <c r="EH5817" s="165"/>
      <c r="EI5817" s="165"/>
      <c r="EJ5817" s="165"/>
      <c r="EK5817" s="165"/>
      <c r="EL5817" s="165"/>
      <c r="EM5817" s="165"/>
      <c r="EN5817" s="165"/>
      <c r="EO5817" s="165"/>
      <c r="EP5817" s="165"/>
      <c r="EQ5817" s="165"/>
      <c r="ER5817" s="165"/>
      <c r="ES5817" s="165"/>
    </row>
    <row r="5818" spans="1:149" s="451" customFormat="1" ht="15" hidden="1" customHeight="1">
      <c r="A5818" s="468">
        <v>45537</v>
      </c>
      <c r="B5818" s="208" t="s">
        <v>3532</v>
      </c>
      <c r="C5818" s="208" t="s">
        <v>146</v>
      </c>
      <c r="D5818" s="211">
        <v>-70000</v>
      </c>
      <c r="E5818" s="212">
        <v>45536</v>
      </c>
      <c r="F5818" s="208" t="s">
        <v>130</v>
      </c>
      <c r="G5818" s="208" t="s">
        <v>257</v>
      </c>
      <c r="H5818" s="208" t="s">
        <v>138</v>
      </c>
      <c r="I5818" s="208" t="s">
        <v>63</v>
      </c>
      <c r="J5818" s="209"/>
      <c r="K5818" s="209"/>
      <c r="L5818" s="209"/>
      <c r="M5818" s="209"/>
      <c r="N5818" s="209"/>
      <c r="O5818" s="209"/>
      <c r="P5818" s="209"/>
      <c r="Q5818" s="209"/>
      <c r="R5818" s="209"/>
      <c r="S5818" s="209"/>
      <c r="T5818" s="209"/>
      <c r="U5818" s="165"/>
      <c r="V5818" s="165"/>
      <c r="W5818" s="165"/>
      <c r="X5818" s="165"/>
      <c r="Y5818" s="165"/>
      <c r="Z5818" s="165"/>
      <c r="AA5818" s="165"/>
      <c r="AB5818" s="165"/>
      <c r="AC5818" s="165"/>
      <c r="AD5818" s="165"/>
      <c r="AE5818" s="165"/>
      <c r="AF5818" s="165"/>
      <c r="AG5818" s="165"/>
      <c r="AH5818" s="165"/>
      <c r="AI5818" s="165"/>
      <c r="AJ5818" s="165"/>
      <c r="AK5818" s="165"/>
      <c r="AL5818" s="165"/>
      <c r="AM5818" s="165"/>
      <c r="AN5818" s="165"/>
      <c r="AO5818" s="165"/>
      <c r="AP5818" s="165"/>
      <c r="AQ5818" s="165"/>
      <c r="AR5818" s="165"/>
      <c r="AS5818" s="165"/>
      <c r="AT5818" s="165"/>
      <c r="AU5818" s="165"/>
      <c r="AV5818" s="165"/>
      <c r="AW5818" s="165"/>
      <c r="AX5818" s="165"/>
      <c r="AY5818" s="165"/>
      <c r="AZ5818" s="165"/>
      <c r="BA5818" s="165"/>
      <c r="BB5818" s="165"/>
      <c r="BC5818" s="165"/>
      <c r="BD5818" s="165"/>
      <c r="BE5818" s="165"/>
      <c r="BF5818" s="165"/>
      <c r="BG5818" s="165"/>
      <c r="BH5818" s="165"/>
      <c r="BI5818" s="165"/>
      <c r="BJ5818" s="165"/>
      <c r="BK5818" s="165"/>
      <c r="BL5818" s="165"/>
      <c r="BM5818" s="165"/>
      <c r="BN5818" s="165"/>
      <c r="BO5818" s="165"/>
      <c r="BP5818" s="165"/>
      <c r="BQ5818" s="165"/>
      <c r="BR5818" s="165"/>
      <c r="BS5818" s="165"/>
      <c r="BT5818" s="165"/>
      <c r="BU5818" s="165"/>
      <c r="BV5818" s="165"/>
      <c r="BW5818" s="165"/>
      <c r="BX5818" s="165"/>
      <c r="BY5818" s="165"/>
      <c r="BZ5818" s="165"/>
      <c r="CA5818" s="165"/>
      <c r="CB5818" s="165"/>
      <c r="CC5818" s="165"/>
      <c r="CD5818" s="165"/>
      <c r="CE5818" s="165"/>
      <c r="CF5818" s="165"/>
      <c r="CG5818" s="165"/>
      <c r="CH5818" s="165"/>
      <c r="CI5818" s="165"/>
      <c r="CJ5818" s="165"/>
      <c r="CK5818" s="165"/>
      <c r="CL5818" s="165"/>
      <c r="CM5818" s="165"/>
      <c r="CN5818" s="165"/>
      <c r="CO5818" s="165"/>
      <c r="CP5818" s="165"/>
      <c r="CQ5818" s="165"/>
      <c r="CR5818" s="165"/>
      <c r="CS5818" s="165"/>
      <c r="CT5818" s="165"/>
      <c r="CU5818" s="165"/>
      <c r="CV5818" s="165"/>
      <c r="CW5818" s="165"/>
      <c r="CX5818" s="165"/>
      <c r="CY5818" s="165"/>
      <c r="CZ5818" s="165"/>
      <c r="DA5818" s="165"/>
      <c r="DB5818" s="165"/>
      <c r="DC5818" s="165"/>
      <c r="DD5818" s="165"/>
      <c r="DE5818" s="165"/>
      <c r="DF5818" s="165"/>
      <c r="DG5818" s="165"/>
      <c r="DH5818" s="165"/>
      <c r="DI5818" s="165"/>
      <c r="DJ5818" s="165"/>
      <c r="DK5818" s="165"/>
      <c r="DL5818" s="165"/>
      <c r="DM5818" s="165"/>
      <c r="DN5818" s="165"/>
      <c r="DO5818" s="165"/>
      <c r="DP5818" s="165"/>
      <c r="DQ5818" s="165"/>
      <c r="DR5818" s="165"/>
      <c r="DS5818" s="165"/>
      <c r="DT5818" s="165"/>
      <c r="DU5818" s="165"/>
      <c r="DV5818" s="165"/>
      <c r="DW5818" s="165"/>
      <c r="DX5818" s="165"/>
      <c r="DY5818" s="165"/>
      <c r="DZ5818" s="165"/>
      <c r="EA5818" s="165"/>
      <c r="EB5818" s="165"/>
      <c r="EC5818" s="165"/>
      <c r="ED5818" s="165"/>
      <c r="EE5818" s="165"/>
      <c r="EF5818" s="165"/>
      <c r="EG5818" s="165"/>
      <c r="EH5818" s="165"/>
      <c r="EI5818" s="165"/>
      <c r="EJ5818" s="165"/>
      <c r="EK5818" s="165"/>
      <c r="EL5818" s="165"/>
      <c r="EM5818" s="165"/>
      <c r="EN5818" s="165"/>
      <c r="EO5818" s="165"/>
      <c r="EP5818" s="165"/>
      <c r="EQ5818" s="165"/>
      <c r="ER5818" s="165"/>
      <c r="ES5818" s="165"/>
    </row>
    <row r="5819" spans="1:149" s="451" customFormat="1" ht="15" hidden="1" customHeight="1">
      <c r="A5819" s="468">
        <v>45537</v>
      </c>
      <c r="B5819" s="208" t="s">
        <v>4772</v>
      </c>
      <c r="C5819" s="208" t="s">
        <v>146</v>
      </c>
      <c r="D5819" s="211">
        <v>-23800</v>
      </c>
      <c r="E5819" s="212">
        <v>45536</v>
      </c>
      <c r="F5819" s="208" t="s">
        <v>130</v>
      </c>
      <c r="G5819" s="208" t="s">
        <v>257</v>
      </c>
      <c r="H5819" s="208" t="s">
        <v>138</v>
      </c>
      <c r="I5819" s="208" t="s">
        <v>63</v>
      </c>
      <c r="J5819" s="209"/>
      <c r="K5819" s="209"/>
      <c r="L5819" s="209"/>
      <c r="M5819" s="209"/>
      <c r="N5819" s="209"/>
      <c r="O5819" s="209"/>
      <c r="P5819" s="209"/>
      <c r="Q5819" s="209"/>
      <c r="R5819" s="209"/>
      <c r="S5819" s="209"/>
      <c r="T5819" s="209"/>
      <c r="U5819" s="165"/>
      <c r="V5819" s="165"/>
      <c r="W5819" s="165"/>
      <c r="X5819" s="165"/>
      <c r="Y5819" s="165"/>
      <c r="Z5819" s="165"/>
      <c r="AA5819" s="165"/>
      <c r="AB5819" s="165"/>
      <c r="AC5819" s="165"/>
      <c r="AD5819" s="165"/>
      <c r="AE5819" s="165"/>
      <c r="AF5819" s="165"/>
      <c r="AG5819" s="165"/>
      <c r="AH5819" s="165"/>
      <c r="AI5819" s="165"/>
      <c r="AJ5819" s="165"/>
      <c r="AK5819" s="165"/>
      <c r="AL5819" s="165"/>
      <c r="AM5819" s="165"/>
      <c r="AN5819" s="165"/>
      <c r="AO5819" s="165"/>
      <c r="AP5819" s="165"/>
      <c r="AQ5819" s="165"/>
      <c r="AR5819" s="165"/>
      <c r="AS5819" s="165"/>
      <c r="AT5819" s="165"/>
      <c r="AU5819" s="165"/>
      <c r="AV5819" s="165"/>
      <c r="AW5819" s="165"/>
      <c r="AX5819" s="165"/>
      <c r="AY5819" s="165"/>
      <c r="AZ5819" s="165"/>
      <c r="BA5819" s="165"/>
      <c r="BB5819" s="165"/>
      <c r="BC5819" s="165"/>
      <c r="BD5819" s="165"/>
      <c r="BE5819" s="165"/>
      <c r="BF5819" s="165"/>
      <c r="BG5819" s="165"/>
      <c r="BH5819" s="165"/>
      <c r="BI5819" s="165"/>
      <c r="BJ5819" s="165"/>
      <c r="BK5819" s="165"/>
      <c r="BL5819" s="165"/>
      <c r="BM5819" s="165"/>
      <c r="BN5819" s="165"/>
      <c r="BO5819" s="165"/>
      <c r="BP5819" s="165"/>
      <c r="BQ5819" s="165"/>
      <c r="BR5819" s="165"/>
      <c r="BS5819" s="165"/>
      <c r="BT5819" s="165"/>
      <c r="BU5819" s="165"/>
      <c r="BV5819" s="165"/>
      <c r="BW5819" s="165"/>
      <c r="BX5819" s="165"/>
      <c r="BY5819" s="165"/>
      <c r="BZ5819" s="165"/>
      <c r="CA5819" s="165"/>
      <c r="CB5819" s="165"/>
      <c r="CC5819" s="165"/>
      <c r="CD5819" s="165"/>
      <c r="CE5819" s="165"/>
      <c r="CF5819" s="165"/>
      <c r="CG5819" s="165"/>
      <c r="CH5819" s="165"/>
      <c r="CI5819" s="165"/>
      <c r="CJ5819" s="165"/>
      <c r="CK5819" s="165"/>
      <c r="CL5819" s="165"/>
      <c r="CM5819" s="165"/>
      <c r="CN5819" s="165"/>
      <c r="CO5819" s="165"/>
      <c r="CP5819" s="165"/>
      <c r="CQ5819" s="165"/>
      <c r="CR5819" s="165"/>
      <c r="CS5819" s="165"/>
      <c r="CT5819" s="165"/>
      <c r="CU5819" s="165"/>
      <c r="CV5819" s="165"/>
      <c r="CW5819" s="165"/>
      <c r="CX5819" s="165"/>
      <c r="CY5819" s="165"/>
      <c r="CZ5819" s="165"/>
      <c r="DA5819" s="165"/>
      <c r="DB5819" s="165"/>
      <c r="DC5819" s="165"/>
      <c r="DD5819" s="165"/>
      <c r="DE5819" s="165"/>
      <c r="DF5819" s="165"/>
      <c r="DG5819" s="165"/>
      <c r="DH5819" s="165"/>
      <c r="DI5819" s="165"/>
      <c r="DJ5819" s="165"/>
      <c r="DK5819" s="165"/>
      <c r="DL5819" s="165"/>
      <c r="DM5819" s="165"/>
      <c r="DN5819" s="165"/>
      <c r="DO5819" s="165"/>
      <c r="DP5819" s="165"/>
      <c r="DQ5819" s="165"/>
      <c r="DR5819" s="165"/>
      <c r="DS5819" s="165"/>
      <c r="DT5819" s="165"/>
      <c r="DU5819" s="165"/>
      <c r="DV5819" s="165"/>
      <c r="DW5819" s="165"/>
      <c r="DX5819" s="165"/>
      <c r="DY5819" s="165"/>
      <c r="DZ5819" s="165"/>
      <c r="EA5819" s="165"/>
      <c r="EB5819" s="165"/>
      <c r="EC5819" s="165"/>
      <c r="ED5819" s="165"/>
      <c r="EE5819" s="165"/>
      <c r="EF5819" s="165"/>
      <c r="EG5819" s="165"/>
      <c r="EH5819" s="165"/>
      <c r="EI5819" s="165"/>
      <c r="EJ5819" s="165"/>
      <c r="EK5819" s="165"/>
      <c r="EL5819" s="165"/>
      <c r="EM5819" s="165"/>
      <c r="EN5819" s="165"/>
      <c r="EO5819" s="165"/>
      <c r="EP5819" s="165"/>
      <c r="EQ5819" s="165"/>
      <c r="ER5819" s="165"/>
      <c r="ES5819" s="165"/>
    </row>
    <row r="5820" spans="1:149" s="451" customFormat="1" ht="15" hidden="1" customHeight="1">
      <c r="A5820" s="468">
        <v>45538</v>
      </c>
      <c r="B5820" s="208" t="s">
        <v>4798</v>
      </c>
      <c r="C5820" s="208" t="s">
        <v>269</v>
      </c>
      <c r="D5820" s="211">
        <v>-150000</v>
      </c>
      <c r="E5820" s="212">
        <v>45536</v>
      </c>
      <c r="F5820" s="208" t="s">
        <v>110</v>
      </c>
      <c r="G5820" s="208" t="s">
        <v>2444</v>
      </c>
      <c r="H5820" s="208"/>
      <c r="I5820" s="208"/>
      <c r="J5820" s="209"/>
      <c r="K5820" s="209"/>
      <c r="L5820" s="209"/>
      <c r="M5820" s="209"/>
      <c r="N5820" s="209"/>
      <c r="O5820" s="209"/>
      <c r="P5820" s="209"/>
      <c r="Q5820" s="209"/>
      <c r="R5820" s="209"/>
      <c r="S5820" s="209"/>
      <c r="T5820" s="209"/>
      <c r="U5820" s="165"/>
      <c r="V5820" s="165"/>
      <c r="W5820" s="165"/>
      <c r="X5820" s="165"/>
      <c r="Y5820" s="165"/>
      <c r="Z5820" s="165"/>
      <c r="AA5820" s="165"/>
      <c r="AB5820" s="165"/>
      <c r="AC5820" s="165"/>
      <c r="AD5820" s="165"/>
      <c r="AE5820" s="165"/>
      <c r="AF5820" s="165"/>
      <c r="AG5820" s="165"/>
      <c r="AH5820" s="165"/>
      <c r="AI5820" s="165"/>
      <c r="AJ5820" s="165"/>
      <c r="AK5820" s="165"/>
      <c r="AL5820" s="165"/>
      <c r="AM5820" s="165"/>
      <c r="AN5820" s="165"/>
      <c r="AO5820" s="165"/>
      <c r="AP5820" s="165"/>
      <c r="AQ5820" s="165"/>
      <c r="AR5820" s="165"/>
      <c r="AS5820" s="165"/>
      <c r="AT5820" s="165"/>
      <c r="AU5820" s="165"/>
      <c r="AV5820" s="165"/>
      <c r="AW5820" s="165"/>
      <c r="AX5820" s="165"/>
      <c r="AY5820" s="165"/>
      <c r="AZ5820" s="165"/>
      <c r="BA5820" s="165"/>
      <c r="BB5820" s="165"/>
      <c r="BC5820" s="165"/>
      <c r="BD5820" s="165"/>
      <c r="BE5820" s="165"/>
      <c r="BF5820" s="165"/>
      <c r="BG5820" s="165"/>
      <c r="BH5820" s="165"/>
      <c r="BI5820" s="165"/>
      <c r="BJ5820" s="165"/>
      <c r="BK5820" s="165"/>
      <c r="BL5820" s="165"/>
      <c r="BM5820" s="165"/>
      <c r="BN5820" s="165"/>
      <c r="BO5820" s="165"/>
      <c r="BP5820" s="165"/>
      <c r="BQ5820" s="165"/>
      <c r="BR5820" s="165"/>
      <c r="BS5820" s="165"/>
      <c r="BT5820" s="165"/>
      <c r="BU5820" s="165"/>
      <c r="BV5820" s="165"/>
      <c r="BW5820" s="165"/>
      <c r="BX5820" s="165"/>
      <c r="BY5820" s="165"/>
      <c r="BZ5820" s="165"/>
      <c r="CA5820" s="165"/>
      <c r="CB5820" s="165"/>
      <c r="CC5820" s="165"/>
      <c r="CD5820" s="165"/>
      <c r="CE5820" s="165"/>
      <c r="CF5820" s="165"/>
      <c r="CG5820" s="165"/>
      <c r="CH5820" s="165"/>
      <c r="CI5820" s="165"/>
      <c r="CJ5820" s="165"/>
      <c r="CK5820" s="165"/>
      <c r="CL5820" s="165"/>
      <c r="CM5820" s="165"/>
      <c r="CN5820" s="165"/>
      <c r="CO5820" s="165"/>
      <c r="CP5820" s="165"/>
      <c r="CQ5820" s="165"/>
      <c r="CR5820" s="165"/>
      <c r="CS5820" s="165"/>
      <c r="CT5820" s="165"/>
      <c r="CU5820" s="165"/>
      <c r="CV5820" s="165"/>
      <c r="CW5820" s="165"/>
      <c r="CX5820" s="165"/>
      <c r="CY5820" s="165"/>
      <c r="CZ5820" s="165"/>
      <c r="DA5820" s="165"/>
      <c r="DB5820" s="165"/>
      <c r="DC5820" s="165"/>
      <c r="DD5820" s="165"/>
      <c r="DE5820" s="165"/>
      <c r="DF5820" s="165"/>
      <c r="DG5820" s="165"/>
      <c r="DH5820" s="165"/>
      <c r="DI5820" s="165"/>
      <c r="DJ5820" s="165"/>
      <c r="DK5820" s="165"/>
      <c r="DL5820" s="165"/>
      <c r="DM5820" s="165"/>
      <c r="DN5820" s="165"/>
      <c r="DO5820" s="165"/>
      <c r="DP5820" s="165"/>
      <c r="DQ5820" s="165"/>
      <c r="DR5820" s="165"/>
      <c r="DS5820" s="165"/>
      <c r="DT5820" s="165"/>
      <c r="DU5820" s="165"/>
      <c r="DV5820" s="165"/>
      <c r="DW5820" s="165"/>
      <c r="DX5820" s="165"/>
      <c r="DY5820" s="165"/>
      <c r="DZ5820" s="165"/>
      <c r="EA5820" s="165"/>
      <c r="EB5820" s="165"/>
      <c r="EC5820" s="165"/>
      <c r="ED5820" s="165"/>
      <c r="EE5820" s="165"/>
      <c r="EF5820" s="165"/>
      <c r="EG5820" s="165"/>
      <c r="EH5820" s="165"/>
      <c r="EI5820" s="165"/>
      <c r="EJ5820" s="165"/>
      <c r="EK5820" s="165"/>
      <c r="EL5820" s="165"/>
      <c r="EM5820" s="165"/>
      <c r="EN5820" s="165"/>
      <c r="EO5820" s="165"/>
      <c r="EP5820" s="165"/>
      <c r="EQ5820" s="165"/>
      <c r="ER5820" s="165"/>
      <c r="ES5820" s="165"/>
    </row>
    <row r="5821" spans="1:149" s="451" customFormat="1" ht="15" hidden="1" customHeight="1">
      <c r="A5821" s="468">
        <v>45538</v>
      </c>
      <c r="B5821" s="208" t="s">
        <v>4799</v>
      </c>
      <c r="C5821" s="208" t="s">
        <v>269</v>
      </c>
      <c r="D5821" s="211">
        <v>-242500</v>
      </c>
      <c r="E5821" s="212">
        <v>45536</v>
      </c>
      <c r="F5821" s="208" t="s">
        <v>130</v>
      </c>
      <c r="G5821" s="208" t="s">
        <v>130</v>
      </c>
      <c r="H5821" s="208" t="s">
        <v>3939</v>
      </c>
      <c r="I5821" s="208"/>
      <c r="J5821" s="209"/>
      <c r="K5821" s="209"/>
      <c r="L5821" s="209"/>
      <c r="M5821" s="209"/>
      <c r="N5821" s="209"/>
      <c r="O5821" s="209"/>
      <c r="P5821" s="209"/>
      <c r="Q5821" s="209"/>
      <c r="R5821" s="209"/>
      <c r="S5821" s="209"/>
      <c r="T5821" s="209"/>
      <c r="U5821" s="165"/>
      <c r="V5821" s="165"/>
      <c r="W5821" s="165"/>
      <c r="X5821" s="165"/>
      <c r="Y5821" s="165"/>
      <c r="Z5821" s="165"/>
      <c r="AA5821" s="165"/>
      <c r="AB5821" s="165"/>
      <c r="AC5821" s="165"/>
      <c r="AD5821" s="165"/>
      <c r="AE5821" s="165"/>
      <c r="AF5821" s="165"/>
      <c r="AG5821" s="165"/>
      <c r="AH5821" s="165"/>
      <c r="AI5821" s="165"/>
      <c r="AJ5821" s="165"/>
      <c r="AK5821" s="165"/>
      <c r="AL5821" s="165"/>
      <c r="AM5821" s="165"/>
      <c r="AN5821" s="165"/>
      <c r="AO5821" s="165"/>
      <c r="AP5821" s="165"/>
      <c r="AQ5821" s="165"/>
      <c r="AR5821" s="165"/>
      <c r="AS5821" s="165"/>
      <c r="AT5821" s="165"/>
      <c r="AU5821" s="165"/>
      <c r="AV5821" s="165"/>
      <c r="AW5821" s="165"/>
      <c r="AX5821" s="165"/>
      <c r="AY5821" s="165"/>
      <c r="AZ5821" s="165"/>
      <c r="BA5821" s="165"/>
      <c r="BB5821" s="165"/>
      <c r="BC5821" s="165"/>
      <c r="BD5821" s="165"/>
      <c r="BE5821" s="165"/>
      <c r="BF5821" s="165"/>
      <c r="BG5821" s="165"/>
      <c r="BH5821" s="165"/>
      <c r="BI5821" s="165"/>
      <c r="BJ5821" s="165"/>
      <c r="BK5821" s="165"/>
      <c r="BL5821" s="165"/>
      <c r="BM5821" s="165"/>
      <c r="BN5821" s="165"/>
      <c r="BO5821" s="165"/>
      <c r="BP5821" s="165"/>
      <c r="BQ5821" s="165"/>
      <c r="BR5821" s="165"/>
      <c r="BS5821" s="165"/>
      <c r="BT5821" s="165"/>
      <c r="BU5821" s="165"/>
      <c r="BV5821" s="165"/>
      <c r="BW5821" s="165"/>
      <c r="BX5821" s="165"/>
      <c r="BY5821" s="165"/>
      <c r="BZ5821" s="165"/>
      <c r="CA5821" s="165"/>
      <c r="CB5821" s="165"/>
      <c r="CC5821" s="165"/>
      <c r="CD5821" s="165"/>
      <c r="CE5821" s="165"/>
      <c r="CF5821" s="165"/>
      <c r="CG5821" s="165"/>
      <c r="CH5821" s="165"/>
      <c r="CI5821" s="165"/>
      <c r="CJ5821" s="165"/>
      <c r="CK5821" s="165"/>
      <c r="CL5821" s="165"/>
      <c r="CM5821" s="165"/>
      <c r="CN5821" s="165"/>
      <c r="CO5821" s="165"/>
      <c r="CP5821" s="165"/>
      <c r="CQ5821" s="165"/>
      <c r="CR5821" s="165"/>
      <c r="CS5821" s="165"/>
      <c r="CT5821" s="165"/>
      <c r="CU5821" s="165"/>
      <c r="CV5821" s="165"/>
      <c r="CW5821" s="165"/>
      <c r="CX5821" s="165"/>
      <c r="CY5821" s="165"/>
      <c r="CZ5821" s="165"/>
      <c r="DA5821" s="165"/>
      <c r="DB5821" s="165"/>
      <c r="DC5821" s="165"/>
      <c r="DD5821" s="165"/>
      <c r="DE5821" s="165"/>
      <c r="DF5821" s="165"/>
      <c r="DG5821" s="165"/>
      <c r="DH5821" s="165"/>
      <c r="DI5821" s="165"/>
      <c r="DJ5821" s="165"/>
      <c r="DK5821" s="165"/>
      <c r="DL5821" s="165"/>
      <c r="DM5821" s="165"/>
      <c r="DN5821" s="165"/>
      <c r="DO5821" s="165"/>
      <c r="DP5821" s="165"/>
      <c r="DQ5821" s="165"/>
      <c r="DR5821" s="165"/>
      <c r="DS5821" s="165"/>
      <c r="DT5821" s="165"/>
      <c r="DU5821" s="165"/>
      <c r="DV5821" s="165"/>
      <c r="DW5821" s="165"/>
      <c r="DX5821" s="165"/>
      <c r="DY5821" s="165"/>
      <c r="DZ5821" s="165"/>
      <c r="EA5821" s="165"/>
      <c r="EB5821" s="165"/>
      <c r="EC5821" s="165"/>
      <c r="ED5821" s="165"/>
      <c r="EE5821" s="165"/>
      <c r="EF5821" s="165"/>
      <c r="EG5821" s="165"/>
      <c r="EH5821" s="165"/>
      <c r="EI5821" s="165"/>
      <c r="EJ5821" s="165"/>
      <c r="EK5821" s="165"/>
      <c r="EL5821" s="165"/>
      <c r="EM5821" s="165"/>
      <c r="EN5821" s="165"/>
      <c r="EO5821" s="165"/>
      <c r="EP5821" s="165"/>
      <c r="EQ5821" s="165"/>
      <c r="ER5821" s="165"/>
      <c r="ES5821" s="165"/>
    </row>
    <row r="5822" spans="1:149" s="451" customFormat="1" ht="15" hidden="1" customHeight="1">
      <c r="A5822" s="468">
        <v>45538</v>
      </c>
      <c r="B5822" s="208" t="s">
        <v>4800</v>
      </c>
      <c r="C5822" s="208" t="s">
        <v>269</v>
      </c>
      <c r="D5822" s="211">
        <v>-20000</v>
      </c>
      <c r="E5822" s="212">
        <v>45536</v>
      </c>
      <c r="F5822" s="208" t="s">
        <v>130</v>
      </c>
      <c r="G5822" s="208" t="s">
        <v>130</v>
      </c>
      <c r="H5822" s="208" t="s">
        <v>323</v>
      </c>
      <c r="I5822" s="208"/>
      <c r="J5822" s="209"/>
      <c r="K5822" s="209"/>
      <c r="L5822" s="209"/>
      <c r="M5822" s="209"/>
      <c r="N5822" s="209"/>
      <c r="O5822" s="209"/>
      <c r="P5822" s="209"/>
      <c r="Q5822" s="209"/>
      <c r="R5822" s="209"/>
      <c r="S5822" s="209"/>
      <c r="T5822" s="209"/>
      <c r="U5822" s="165"/>
      <c r="V5822" s="165"/>
      <c r="W5822" s="165"/>
      <c r="X5822" s="165"/>
      <c r="Y5822" s="165"/>
      <c r="Z5822" s="165"/>
      <c r="AA5822" s="165"/>
      <c r="AB5822" s="165"/>
      <c r="AC5822" s="165"/>
      <c r="AD5822" s="165"/>
      <c r="AE5822" s="165"/>
      <c r="AF5822" s="165"/>
      <c r="AG5822" s="165"/>
      <c r="AH5822" s="165"/>
      <c r="AI5822" s="165"/>
      <c r="AJ5822" s="165"/>
      <c r="AK5822" s="165"/>
      <c r="AL5822" s="165"/>
      <c r="AM5822" s="165"/>
      <c r="AN5822" s="165"/>
      <c r="AO5822" s="165"/>
      <c r="AP5822" s="165"/>
      <c r="AQ5822" s="165"/>
      <c r="AR5822" s="165"/>
      <c r="AS5822" s="165"/>
      <c r="AT5822" s="165"/>
      <c r="AU5822" s="165"/>
      <c r="AV5822" s="165"/>
      <c r="AW5822" s="165"/>
      <c r="AX5822" s="165"/>
      <c r="AY5822" s="165"/>
      <c r="AZ5822" s="165"/>
      <c r="BA5822" s="165"/>
      <c r="BB5822" s="165"/>
      <c r="BC5822" s="165"/>
      <c r="BD5822" s="165"/>
      <c r="BE5822" s="165"/>
      <c r="BF5822" s="165"/>
      <c r="BG5822" s="165"/>
      <c r="BH5822" s="165"/>
      <c r="BI5822" s="165"/>
      <c r="BJ5822" s="165"/>
      <c r="BK5822" s="165"/>
      <c r="BL5822" s="165"/>
      <c r="BM5822" s="165"/>
      <c r="BN5822" s="165"/>
      <c r="BO5822" s="165"/>
      <c r="BP5822" s="165"/>
      <c r="BQ5822" s="165"/>
      <c r="BR5822" s="165"/>
      <c r="BS5822" s="165"/>
      <c r="BT5822" s="165"/>
      <c r="BU5822" s="165"/>
      <c r="BV5822" s="165"/>
      <c r="BW5822" s="165"/>
      <c r="BX5822" s="165"/>
      <c r="BY5822" s="165"/>
      <c r="BZ5822" s="165"/>
      <c r="CA5822" s="165"/>
      <c r="CB5822" s="165"/>
      <c r="CC5822" s="165"/>
      <c r="CD5822" s="165"/>
      <c r="CE5822" s="165"/>
      <c r="CF5822" s="165"/>
      <c r="CG5822" s="165"/>
      <c r="CH5822" s="165"/>
      <c r="CI5822" s="165"/>
      <c r="CJ5822" s="165"/>
      <c r="CK5822" s="165"/>
      <c r="CL5822" s="165"/>
      <c r="CM5822" s="165"/>
      <c r="CN5822" s="165"/>
      <c r="CO5822" s="165"/>
      <c r="CP5822" s="165"/>
      <c r="CQ5822" s="165"/>
      <c r="CR5822" s="165"/>
      <c r="CS5822" s="165"/>
      <c r="CT5822" s="165"/>
      <c r="CU5822" s="165"/>
      <c r="CV5822" s="165"/>
      <c r="CW5822" s="165"/>
      <c r="CX5822" s="165"/>
      <c r="CY5822" s="165"/>
      <c r="CZ5822" s="165"/>
      <c r="DA5822" s="165"/>
      <c r="DB5822" s="165"/>
      <c r="DC5822" s="165"/>
      <c r="DD5822" s="165"/>
      <c r="DE5822" s="165"/>
      <c r="DF5822" s="165"/>
      <c r="DG5822" s="165"/>
      <c r="DH5822" s="165"/>
      <c r="DI5822" s="165"/>
      <c r="DJ5822" s="165"/>
      <c r="DK5822" s="165"/>
      <c r="DL5822" s="165"/>
      <c r="DM5822" s="165"/>
      <c r="DN5822" s="165"/>
      <c r="DO5822" s="165"/>
      <c r="DP5822" s="165"/>
      <c r="DQ5822" s="165"/>
      <c r="DR5822" s="165"/>
      <c r="DS5822" s="165"/>
      <c r="DT5822" s="165"/>
      <c r="DU5822" s="165"/>
      <c r="DV5822" s="165"/>
      <c r="DW5822" s="165"/>
      <c r="DX5822" s="165"/>
      <c r="DY5822" s="165"/>
      <c r="DZ5822" s="165"/>
      <c r="EA5822" s="165"/>
      <c r="EB5822" s="165"/>
      <c r="EC5822" s="165"/>
      <c r="ED5822" s="165"/>
      <c r="EE5822" s="165"/>
      <c r="EF5822" s="165"/>
      <c r="EG5822" s="165"/>
      <c r="EH5822" s="165"/>
      <c r="EI5822" s="165"/>
      <c r="EJ5822" s="165"/>
      <c r="EK5822" s="165"/>
      <c r="EL5822" s="165"/>
      <c r="EM5822" s="165"/>
      <c r="EN5822" s="165"/>
      <c r="EO5822" s="165"/>
      <c r="EP5822" s="165"/>
      <c r="EQ5822" s="165"/>
      <c r="ER5822" s="165"/>
      <c r="ES5822" s="165"/>
    </row>
    <row r="5823" spans="1:149" s="451" customFormat="1" ht="15" hidden="1" customHeight="1">
      <c r="A5823" s="468">
        <v>45538</v>
      </c>
      <c r="B5823" s="208" t="s">
        <v>4801</v>
      </c>
      <c r="C5823" s="208" t="s">
        <v>269</v>
      </c>
      <c r="D5823" s="211">
        <v>-12000</v>
      </c>
      <c r="E5823" s="212">
        <v>45536</v>
      </c>
      <c r="F5823" s="208" t="s">
        <v>109</v>
      </c>
      <c r="G5823" s="654" t="s">
        <v>2585</v>
      </c>
      <c r="H5823" s="208" t="s">
        <v>138</v>
      </c>
      <c r="I5823" s="208" t="s">
        <v>2052</v>
      </c>
      <c r="J5823" s="209"/>
      <c r="K5823" s="209"/>
      <c r="L5823" s="209"/>
      <c r="M5823" s="209"/>
      <c r="N5823" s="209"/>
      <c r="O5823" s="209"/>
      <c r="P5823" s="209"/>
      <c r="Q5823" s="209"/>
      <c r="R5823" s="209"/>
      <c r="S5823" s="209"/>
      <c r="T5823" s="209"/>
      <c r="U5823" s="165"/>
      <c r="V5823" s="165"/>
      <c r="W5823" s="165"/>
      <c r="X5823" s="165"/>
      <c r="Y5823" s="165"/>
      <c r="Z5823" s="165"/>
      <c r="AA5823" s="165"/>
      <c r="AB5823" s="165"/>
      <c r="AC5823" s="165"/>
      <c r="AD5823" s="165"/>
      <c r="AE5823" s="165"/>
      <c r="AF5823" s="165"/>
      <c r="AG5823" s="165"/>
      <c r="AH5823" s="165"/>
      <c r="AI5823" s="165"/>
      <c r="AJ5823" s="165"/>
      <c r="AK5823" s="165"/>
      <c r="AL5823" s="165"/>
      <c r="AM5823" s="165"/>
      <c r="AN5823" s="165"/>
      <c r="AO5823" s="165"/>
      <c r="AP5823" s="165"/>
      <c r="AQ5823" s="165"/>
      <c r="AR5823" s="165"/>
      <c r="AS5823" s="165"/>
      <c r="AT5823" s="165"/>
      <c r="AU5823" s="165"/>
      <c r="AV5823" s="165"/>
      <c r="AW5823" s="165"/>
      <c r="AX5823" s="165"/>
      <c r="AY5823" s="165"/>
      <c r="AZ5823" s="165"/>
      <c r="BA5823" s="165"/>
      <c r="BB5823" s="165"/>
      <c r="BC5823" s="165"/>
      <c r="BD5823" s="165"/>
      <c r="BE5823" s="165"/>
      <c r="BF5823" s="165"/>
      <c r="BG5823" s="165"/>
      <c r="BH5823" s="165"/>
      <c r="BI5823" s="165"/>
      <c r="BJ5823" s="165"/>
      <c r="BK5823" s="165"/>
      <c r="BL5823" s="165"/>
      <c r="BM5823" s="165"/>
      <c r="BN5823" s="165"/>
      <c r="BO5823" s="165"/>
      <c r="BP5823" s="165"/>
      <c r="BQ5823" s="165"/>
      <c r="BR5823" s="165"/>
      <c r="BS5823" s="165"/>
      <c r="BT5823" s="165"/>
      <c r="BU5823" s="165"/>
      <c r="BV5823" s="165"/>
      <c r="BW5823" s="165"/>
      <c r="BX5823" s="165"/>
      <c r="BY5823" s="165"/>
      <c r="BZ5823" s="165"/>
      <c r="CA5823" s="165"/>
      <c r="CB5823" s="165"/>
      <c r="CC5823" s="165"/>
      <c r="CD5823" s="165"/>
      <c r="CE5823" s="165"/>
      <c r="CF5823" s="165"/>
      <c r="CG5823" s="165"/>
      <c r="CH5823" s="165"/>
      <c r="CI5823" s="165"/>
      <c r="CJ5823" s="165"/>
      <c r="CK5823" s="165"/>
      <c r="CL5823" s="165"/>
      <c r="CM5823" s="165"/>
      <c r="CN5823" s="165"/>
      <c r="CO5823" s="165"/>
      <c r="CP5823" s="165"/>
      <c r="CQ5823" s="165"/>
      <c r="CR5823" s="165"/>
      <c r="CS5823" s="165"/>
      <c r="CT5823" s="165"/>
      <c r="CU5823" s="165"/>
      <c r="CV5823" s="165"/>
      <c r="CW5823" s="165"/>
      <c r="CX5823" s="165"/>
      <c r="CY5823" s="165"/>
      <c r="CZ5823" s="165"/>
      <c r="DA5823" s="165"/>
      <c r="DB5823" s="165"/>
      <c r="DC5823" s="165"/>
      <c r="DD5823" s="165"/>
      <c r="DE5823" s="165"/>
      <c r="DF5823" s="165"/>
      <c r="DG5823" s="165"/>
      <c r="DH5823" s="165"/>
      <c r="DI5823" s="165"/>
      <c r="DJ5823" s="165"/>
      <c r="DK5823" s="165"/>
      <c r="DL5823" s="165"/>
      <c r="DM5823" s="165"/>
      <c r="DN5823" s="165"/>
      <c r="DO5823" s="165"/>
      <c r="DP5823" s="165"/>
      <c r="DQ5823" s="165"/>
      <c r="DR5823" s="165"/>
      <c r="DS5823" s="165"/>
      <c r="DT5823" s="165"/>
      <c r="DU5823" s="165"/>
      <c r="DV5823" s="165"/>
      <c r="DW5823" s="165"/>
      <c r="DX5823" s="165"/>
      <c r="DY5823" s="165"/>
      <c r="DZ5823" s="165"/>
      <c r="EA5823" s="165"/>
      <c r="EB5823" s="165"/>
      <c r="EC5823" s="165"/>
      <c r="ED5823" s="165"/>
      <c r="EE5823" s="165"/>
      <c r="EF5823" s="165"/>
      <c r="EG5823" s="165"/>
      <c r="EH5823" s="165"/>
      <c r="EI5823" s="165"/>
      <c r="EJ5823" s="165"/>
      <c r="EK5823" s="165"/>
      <c r="EL5823" s="165"/>
      <c r="EM5823" s="165"/>
      <c r="EN5823" s="165"/>
      <c r="EO5823" s="165"/>
      <c r="EP5823" s="165"/>
      <c r="EQ5823" s="165"/>
      <c r="ER5823" s="165"/>
      <c r="ES5823" s="165"/>
    </row>
    <row r="5824" spans="1:149" s="451" customFormat="1" ht="15" hidden="1" customHeight="1">
      <c r="A5824" s="468">
        <v>45538</v>
      </c>
      <c r="B5824" s="208" t="s">
        <v>4802</v>
      </c>
      <c r="C5824" s="208" t="s">
        <v>269</v>
      </c>
      <c r="D5824" s="211">
        <v>-12000</v>
      </c>
      <c r="E5824" s="212">
        <v>45536</v>
      </c>
      <c r="F5824" s="208" t="s">
        <v>109</v>
      </c>
      <c r="G5824" s="654" t="s">
        <v>2585</v>
      </c>
      <c r="H5824" s="208" t="s">
        <v>138</v>
      </c>
      <c r="I5824" s="208" t="s">
        <v>2052</v>
      </c>
      <c r="J5824" s="209"/>
      <c r="K5824" s="209"/>
      <c r="L5824" s="209"/>
      <c r="M5824" s="209"/>
      <c r="N5824" s="209"/>
      <c r="O5824" s="209"/>
      <c r="P5824" s="209"/>
      <c r="Q5824" s="209"/>
      <c r="R5824" s="209"/>
      <c r="S5824" s="209"/>
      <c r="T5824" s="209"/>
      <c r="U5824" s="165"/>
      <c r="V5824" s="165"/>
      <c r="W5824" s="165"/>
      <c r="X5824" s="165"/>
      <c r="Y5824" s="165"/>
      <c r="Z5824" s="165"/>
      <c r="AA5824" s="165"/>
      <c r="AB5824" s="165"/>
      <c r="AC5824" s="165"/>
      <c r="AD5824" s="165"/>
      <c r="AE5824" s="165"/>
      <c r="AF5824" s="165"/>
      <c r="AG5824" s="165"/>
      <c r="AH5824" s="165"/>
      <c r="AI5824" s="165"/>
      <c r="AJ5824" s="165"/>
      <c r="AK5824" s="165"/>
      <c r="AL5824" s="165"/>
      <c r="AM5824" s="165"/>
      <c r="AN5824" s="165"/>
      <c r="AO5824" s="165"/>
      <c r="AP5824" s="165"/>
      <c r="AQ5824" s="165"/>
      <c r="AR5824" s="165"/>
      <c r="AS5824" s="165"/>
      <c r="AT5824" s="165"/>
      <c r="AU5824" s="165"/>
      <c r="AV5824" s="165"/>
      <c r="AW5824" s="165"/>
      <c r="AX5824" s="165"/>
      <c r="AY5824" s="165"/>
      <c r="AZ5824" s="165"/>
      <c r="BA5824" s="165"/>
      <c r="BB5824" s="165"/>
      <c r="BC5824" s="165"/>
      <c r="BD5824" s="165"/>
      <c r="BE5824" s="165"/>
      <c r="BF5824" s="165"/>
      <c r="BG5824" s="165"/>
      <c r="BH5824" s="165"/>
      <c r="BI5824" s="165"/>
      <c r="BJ5824" s="165"/>
      <c r="BK5824" s="165"/>
      <c r="BL5824" s="165"/>
      <c r="BM5824" s="165"/>
      <c r="BN5824" s="165"/>
      <c r="BO5824" s="165"/>
      <c r="BP5824" s="165"/>
      <c r="BQ5824" s="165"/>
      <c r="BR5824" s="165"/>
      <c r="BS5824" s="165"/>
      <c r="BT5824" s="165"/>
      <c r="BU5824" s="165"/>
      <c r="BV5824" s="165"/>
      <c r="BW5824" s="165"/>
      <c r="BX5824" s="165"/>
      <c r="BY5824" s="165"/>
      <c r="BZ5824" s="165"/>
      <c r="CA5824" s="165"/>
      <c r="CB5824" s="165"/>
      <c r="CC5824" s="165"/>
      <c r="CD5824" s="165"/>
      <c r="CE5824" s="165"/>
      <c r="CF5824" s="165"/>
      <c r="CG5824" s="165"/>
      <c r="CH5824" s="165"/>
      <c r="CI5824" s="165"/>
      <c r="CJ5824" s="165"/>
      <c r="CK5824" s="165"/>
      <c r="CL5824" s="165"/>
      <c r="CM5824" s="165"/>
      <c r="CN5824" s="165"/>
      <c r="CO5824" s="165"/>
      <c r="CP5824" s="165"/>
      <c r="CQ5824" s="165"/>
      <c r="CR5824" s="165"/>
      <c r="CS5824" s="165"/>
      <c r="CT5824" s="165"/>
      <c r="CU5824" s="165"/>
      <c r="CV5824" s="165"/>
      <c r="CW5824" s="165"/>
      <c r="CX5824" s="165"/>
      <c r="CY5824" s="165"/>
      <c r="CZ5824" s="165"/>
      <c r="DA5824" s="165"/>
      <c r="DB5824" s="165"/>
      <c r="DC5824" s="165"/>
      <c r="DD5824" s="165"/>
      <c r="DE5824" s="165"/>
      <c r="DF5824" s="165"/>
      <c r="DG5824" s="165"/>
      <c r="DH5824" s="165"/>
      <c r="DI5824" s="165"/>
      <c r="DJ5824" s="165"/>
      <c r="DK5824" s="165"/>
      <c r="DL5824" s="165"/>
      <c r="DM5824" s="165"/>
      <c r="DN5824" s="165"/>
      <c r="DO5824" s="165"/>
      <c r="DP5824" s="165"/>
      <c r="DQ5824" s="165"/>
      <c r="DR5824" s="165"/>
      <c r="DS5824" s="165"/>
      <c r="DT5824" s="165"/>
      <c r="DU5824" s="165"/>
      <c r="DV5824" s="165"/>
      <c r="DW5824" s="165"/>
      <c r="DX5824" s="165"/>
      <c r="DY5824" s="165"/>
      <c r="DZ5824" s="165"/>
      <c r="EA5824" s="165"/>
      <c r="EB5824" s="165"/>
      <c r="EC5824" s="165"/>
      <c r="ED5824" s="165"/>
      <c r="EE5824" s="165"/>
      <c r="EF5824" s="165"/>
      <c r="EG5824" s="165"/>
      <c r="EH5824" s="165"/>
      <c r="EI5824" s="165"/>
      <c r="EJ5824" s="165"/>
      <c r="EK5824" s="165"/>
      <c r="EL5824" s="165"/>
      <c r="EM5824" s="165"/>
      <c r="EN5824" s="165"/>
      <c r="EO5824" s="165"/>
      <c r="EP5824" s="165"/>
      <c r="EQ5824" s="165"/>
      <c r="ER5824" s="165"/>
      <c r="ES5824" s="165"/>
    </row>
    <row r="5825" spans="1:149" s="451" customFormat="1" ht="15" hidden="1" customHeight="1">
      <c r="A5825" s="468">
        <v>45538</v>
      </c>
      <c r="B5825" s="208" t="s">
        <v>4803</v>
      </c>
      <c r="C5825" s="208" t="s">
        <v>269</v>
      </c>
      <c r="D5825" s="211">
        <v>-5000</v>
      </c>
      <c r="E5825" s="212">
        <v>45536</v>
      </c>
      <c r="F5825" s="208" t="s">
        <v>109</v>
      </c>
      <c r="G5825" s="201" t="s">
        <v>581</v>
      </c>
      <c r="H5825" s="208"/>
      <c r="I5825" s="208" t="s">
        <v>173</v>
      </c>
      <c r="J5825" s="209"/>
      <c r="K5825" s="209"/>
      <c r="L5825" s="209"/>
      <c r="M5825" s="209"/>
      <c r="N5825" s="209"/>
      <c r="O5825" s="209"/>
      <c r="P5825" s="209"/>
      <c r="Q5825" s="209"/>
      <c r="R5825" s="209"/>
      <c r="S5825" s="209"/>
      <c r="T5825" s="209"/>
      <c r="U5825" s="165"/>
      <c r="V5825" s="165"/>
      <c r="W5825" s="165"/>
      <c r="X5825" s="165"/>
      <c r="Y5825" s="165"/>
      <c r="Z5825" s="165"/>
      <c r="AA5825" s="165"/>
      <c r="AB5825" s="165"/>
      <c r="AC5825" s="165"/>
      <c r="AD5825" s="165"/>
      <c r="AE5825" s="165"/>
      <c r="AF5825" s="165"/>
      <c r="AG5825" s="165"/>
      <c r="AH5825" s="165"/>
      <c r="AI5825" s="165"/>
      <c r="AJ5825" s="165"/>
      <c r="AK5825" s="165"/>
      <c r="AL5825" s="165"/>
      <c r="AM5825" s="165"/>
      <c r="AN5825" s="165"/>
      <c r="AO5825" s="165"/>
      <c r="AP5825" s="165"/>
      <c r="AQ5825" s="165"/>
      <c r="AR5825" s="165"/>
      <c r="AS5825" s="165"/>
      <c r="AT5825" s="165"/>
      <c r="AU5825" s="165"/>
      <c r="AV5825" s="165"/>
      <c r="AW5825" s="165"/>
      <c r="AX5825" s="165"/>
      <c r="AY5825" s="165"/>
      <c r="AZ5825" s="165"/>
      <c r="BA5825" s="165"/>
      <c r="BB5825" s="165"/>
      <c r="BC5825" s="165"/>
      <c r="BD5825" s="165"/>
      <c r="BE5825" s="165"/>
      <c r="BF5825" s="165"/>
      <c r="BG5825" s="165"/>
      <c r="BH5825" s="165"/>
      <c r="BI5825" s="165"/>
      <c r="BJ5825" s="165"/>
      <c r="BK5825" s="165"/>
      <c r="BL5825" s="165"/>
      <c r="BM5825" s="165"/>
      <c r="BN5825" s="165"/>
      <c r="BO5825" s="165"/>
      <c r="BP5825" s="165"/>
      <c r="BQ5825" s="165"/>
      <c r="BR5825" s="165"/>
      <c r="BS5825" s="165"/>
      <c r="BT5825" s="165"/>
      <c r="BU5825" s="165"/>
      <c r="BV5825" s="165"/>
      <c r="BW5825" s="165"/>
      <c r="BX5825" s="165"/>
      <c r="BY5825" s="165"/>
      <c r="BZ5825" s="165"/>
      <c r="CA5825" s="165"/>
      <c r="CB5825" s="165"/>
      <c r="CC5825" s="165"/>
      <c r="CD5825" s="165"/>
      <c r="CE5825" s="165"/>
      <c r="CF5825" s="165"/>
      <c r="CG5825" s="165"/>
      <c r="CH5825" s="165"/>
      <c r="CI5825" s="165"/>
      <c r="CJ5825" s="165"/>
      <c r="CK5825" s="165"/>
      <c r="CL5825" s="165"/>
      <c r="CM5825" s="165"/>
      <c r="CN5825" s="165"/>
      <c r="CO5825" s="165"/>
      <c r="CP5825" s="165"/>
      <c r="CQ5825" s="165"/>
      <c r="CR5825" s="165"/>
      <c r="CS5825" s="165"/>
      <c r="CT5825" s="165"/>
      <c r="CU5825" s="165"/>
      <c r="CV5825" s="165"/>
      <c r="CW5825" s="165"/>
      <c r="CX5825" s="165"/>
      <c r="CY5825" s="165"/>
      <c r="CZ5825" s="165"/>
      <c r="DA5825" s="165"/>
      <c r="DB5825" s="165"/>
      <c r="DC5825" s="165"/>
      <c r="DD5825" s="165"/>
      <c r="DE5825" s="165"/>
      <c r="DF5825" s="165"/>
      <c r="DG5825" s="165"/>
      <c r="DH5825" s="165"/>
      <c r="DI5825" s="165"/>
      <c r="DJ5825" s="165"/>
      <c r="DK5825" s="165"/>
      <c r="DL5825" s="165"/>
      <c r="DM5825" s="165"/>
      <c r="DN5825" s="165"/>
      <c r="DO5825" s="165"/>
      <c r="DP5825" s="165"/>
      <c r="DQ5825" s="165"/>
      <c r="DR5825" s="165"/>
      <c r="DS5825" s="165"/>
      <c r="DT5825" s="165"/>
      <c r="DU5825" s="165"/>
      <c r="DV5825" s="165"/>
      <c r="DW5825" s="165"/>
      <c r="DX5825" s="165"/>
      <c r="DY5825" s="165"/>
      <c r="DZ5825" s="165"/>
      <c r="EA5825" s="165"/>
      <c r="EB5825" s="165"/>
      <c r="EC5825" s="165"/>
      <c r="ED5825" s="165"/>
      <c r="EE5825" s="165"/>
      <c r="EF5825" s="165"/>
      <c r="EG5825" s="165"/>
      <c r="EH5825" s="165"/>
      <c r="EI5825" s="165"/>
      <c r="EJ5825" s="165"/>
      <c r="EK5825" s="165"/>
      <c r="EL5825" s="165"/>
      <c r="EM5825" s="165"/>
      <c r="EN5825" s="165"/>
      <c r="EO5825" s="165"/>
      <c r="EP5825" s="165"/>
      <c r="EQ5825" s="165"/>
      <c r="ER5825" s="165"/>
      <c r="ES5825" s="165"/>
    </row>
    <row r="5826" spans="1:149" s="451" customFormat="1" ht="15" hidden="1" customHeight="1">
      <c r="A5826" s="468">
        <v>45538</v>
      </c>
      <c r="B5826" s="208" t="s">
        <v>4804</v>
      </c>
      <c r="C5826" s="208" t="s">
        <v>269</v>
      </c>
      <c r="D5826" s="211">
        <v>-13599</v>
      </c>
      <c r="E5826" s="212">
        <v>45536</v>
      </c>
      <c r="F5826" s="208" t="s">
        <v>109</v>
      </c>
      <c r="G5826" s="208" t="s">
        <v>3529</v>
      </c>
      <c r="H5826" s="208" t="s">
        <v>175</v>
      </c>
      <c r="I5826" s="208" t="s">
        <v>173</v>
      </c>
      <c r="J5826" s="209"/>
      <c r="K5826" s="209"/>
      <c r="L5826" s="209"/>
      <c r="M5826" s="209"/>
      <c r="N5826" s="209"/>
      <c r="O5826" s="209"/>
      <c r="P5826" s="209"/>
      <c r="Q5826" s="209"/>
      <c r="R5826" s="209"/>
      <c r="S5826" s="209"/>
      <c r="T5826" s="209"/>
      <c r="U5826" s="165"/>
      <c r="V5826" s="165"/>
      <c r="W5826" s="165"/>
      <c r="X5826" s="165"/>
      <c r="Y5826" s="165"/>
      <c r="Z5826" s="165"/>
      <c r="AA5826" s="165"/>
      <c r="AB5826" s="165"/>
      <c r="AC5826" s="165"/>
      <c r="AD5826" s="165"/>
      <c r="AE5826" s="165"/>
      <c r="AF5826" s="165"/>
      <c r="AG5826" s="165"/>
      <c r="AH5826" s="165"/>
      <c r="AI5826" s="165"/>
      <c r="AJ5826" s="165"/>
      <c r="AK5826" s="165"/>
      <c r="AL5826" s="165"/>
      <c r="AM5826" s="165"/>
      <c r="AN5826" s="165"/>
      <c r="AO5826" s="165"/>
      <c r="AP5826" s="165"/>
      <c r="AQ5826" s="165"/>
      <c r="AR5826" s="165"/>
      <c r="AS5826" s="165"/>
      <c r="AT5826" s="165"/>
      <c r="AU5826" s="165"/>
      <c r="AV5826" s="165"/>
      <c r="AW5826" s="165"/>
      <c r="AX5826" s="165"/>
      <c r="AY5826" s="165"/>
      <c r="AZ5826" s="165"/>
      <c r="BA5826" s="165"/>
      <c r="BB5826" s="165"/>
      <c r="BC5826" s="165"/>
      <c r="BD5826" s="165"/>
      <c r="BE5826" s="165"/>
      <c r="BF5826" s="165"/>
      <c r="BG5826" s="165"/>
      <c r="BH5826" s="165"/>
      <c r="BI5826" s="165"/>
      <c r="BJ5826" s="165"/>
      <c r="BK5826" s="165"/>
      <c r="BL5826" s="165"/>
      <c r="BM5826" s="165"/>
      <c r="BN5826" s="165"/>
      <c r="BO5826" s="165"/>
      <c r="BP5826" s="165"/>
      <c r="BQ5826" s="165"/>
      <c r="BR5826" s="165"/>
      <c r="BS5826" s="165"/>
      <c r="BT5826" s="165"/>
      <c r="BU5826" s="165"/>
      <c r="BV5826" s="165"/>
      <c r="BW5826" s="165"/>
      <c r="BX5826" s="165"/>
      <c r="BY5826" s="165"/>
      <c r="BZ5826" s="165"/>
      <c r="CA5826" s="165"/>
      <c r="CB5826" s="165"/>
      <c r="CC5826" s="165"/>
      <c r="CD5826" s="165"/>
      <c r="CE5826" s="165"/>
      <c r="CF5826" s="165"/>
      <c r="CG5826" s="165"/>
      <c r="CH5826" s="165"/>
      <c r="CI5826" s="165"/>
      <c r="CJ5826" s="165"/>
      <c r="CK5826" s="165"/>
      <c r="CL5826" s="165"/>
      <c r="CM5826" s="165"/>
      <c r="CN5826" s="165"/>
      <c r="CO5826" s="165"/>
      <c r="CP5826" s="165"/>
      <c r="CQ5826" s="165"/>
      <c r="CR5826" s="165"/>
      <c r="CS5826" s="165"/>
      <c r="CT5826" s="165"/>
      <c r="CU5826" s="165"/>
      <c r="CV5826" s="165"/>
      <c r="CW5826" s="165"/>
      <c r="CX5826" s="165"/>
      <c r="CY5826" s="165"/>
      <c r="CZ5826" s="165"/>
      <c r="DA5826" s="165"/>
      <c r="DB5826" s="165"/>
      <c r="DC5826" s="165"/>
      <c r="DD5826" s="165"/>
      <c r="DE5826" s="165"/>
      <c r="DF5826" s="165"/>
      <c r="DG5826" s="165"/>
      <c r="DH5826" s="165"/>
      <c r="DI5826" s="165"/>
      <c r="DJ5826" s="165"/>
      <c r="DK5826" s="165"/>
      <c r="DL5826" s="165"/>
      <c r="DM5826" s="165"/>
      <c r="DN5826" s="165"/>
      <c r="DO5826" s="165"/>
      <c r="DP5826" s="165"/>
      <c r="DQ5826" s="165"/>
      <c r="DR5826" s="165"/>
      <c r="DS5826" s="165"/>
      <c r="DT5826" s="165"/>
      <c r="DU5826" s="165"/>
      <c r="DV5826" s="165"/>
      <c r="DW5826" s="165"/>
      <c r="DX5826" s="165"/>
      <c r="DY5826" s="165"/>
      <c r="DZ5826" s="165"/>
      <c r="EA5826" s="165"/>
      <c r="EB5826" s="165"/>
      <c r="EC5826" s="165"/>
      <c r="ED5826" s="165"/>
      <c r="EE5826" s="165"/>
      <c r="EF5826" s="165"/>
      <c r="EG5826" s="165"/>
      <c r="EH5826" s="165"/>
      <c r="EI5826" s="165"/>
      <c r="EJ5826" s="165"/>
      <c r="EK5826" s="165"/>
      <c r="EL5826" s="165"/>
      <c r="EM5826" s="165"/>
      <c r="EN5826" s="165"/>
      <c r="EO5826" s="165"/>
      <c r="EP5826" s="165"/>
      <c r="EQ5826" s="165"/>
      <c r="ER5826" s="165"/>
      <c r="ES5826" s="165"/>
    </row>
    <row r="5827" spans="1:149" s="451" customFormat="1" ht="15" hidden="1" customHeight="1">
      <c r="A5827" s="468">
        <v>45538</v>
      </c>
      <c r="B5827" s="208" t="s">
        <v>4805</v>
      </c>
      <c r="C5827" s="208" t="s">
        <v>269</v>
      </c>
      <c r="D5827" s="211">
        <v>-123500</v>
      </c>
      <c r="E5827" s="212">
        <v>45536</v>
      </c>
      <c r="F5827" s="208" t="s">
        <v>109</v>
      </c>
      <c r="G5827" s="654" t="s">
        <v>2585</v>
      </c>
      <c r="H5827" s="208" t="s">
        <v>175</v>
      </c>
      <c r="I5827" s="208" t="s">
        <v>173</v>
      </c>
      <c r="J5827" s="209"/>
      <c r="K5827" s="209"/>
      <c r="L5827" s="209"/>
      <c r="M5827" s="209"/>
      <c r="N5827" s="209"/>
      <c r="O5827" s="209"/>
      <c r="P5827" s="209"/>
      <c r="Q5827" s="209"/>
      <c r="R5827" s="209"/>
      <c r="S5827" s="209"/>
      <c r="T5827" s="209"/>
      <c r="U5827" s="165"/>
      <c r="V5827" s="165"/>
      <c r="W5827" s="165"/>
      <c r="X5827" s="165"/>
      <c r="Y5827" s="165"/>
      <c r="Z5827" s="165"/>
      <c r="AA5827" s="165"/>
      <c r="AB5827" s="165"/>
      <c r="AC5827" s="165"/>
      <c r="AD5827" s="165"/>
      <c r="AE5827" s="165"/>
      <c r="AF5827" s="165"/>
      <c r="AG5827" s="165"/>
      <c r="AH5827" s="165"/>
      <c r="AI5827" s="165"/>
      <c r="AJ5827" s="165"/>
      <c r="AK5827" s="165"/>
      <c r="AL5827" s="165"/>
      <c r="AM5827" s="165"/>
      <c r="AN5827" s="165"/>
      <c r="AO5827" s="165"/>
      <c r="AP5827" s="165"/>
      <c r="AQ5827" s="165"/>
      <c r="AR5827" s="165"/>
      <c r="AS5827" s="165"/>
      <c r="AT5827" s="165"/>
      <c r="AU5827" s="165"/>
      <c r="AV5827" s="165"/>
      <c r="AW5827" s="165"/>
      <c r="AX5827" s="165"/>
      <c r="AY5827" s="165"/>
      <c r="AZ5827" s="165"/>
      <c r="BA5827" s="165"/>
      <c r="BB5827" s="165"/>
      <c r="BC5827" s="165"/>
      <c r="BD5827" s="165"/>
      <c r="BE5827" s="165"/>
      <c r="BF5827" s="165"/>
      <c r="BG5827" s="165"/>
      <c r="BH5827" s="165"/>
      <c r="BI5827" s="165"/>
      <c r="BJ5827" s="165"/>
      <c r="BK5827" s="165"/>
      <c r="BL5827" s="165"/>
      <c r="BM5827" s="165"/>
      <c r="BN5827" s="165"/>
      <c r="BO5827" s="165"/>
      <c r="BP5827" s="165"/>
      <c r="BQ5827" s="165"/>
      <c r="BR5827" s="165"/>
      <c r="BS5827" s="165"/>
      <c r="BT5827" s="165"/>
      <c r="BU5827" s="165"/>
      <c r="BV5827" s="165"/>
      <c r="BW5827" s="165"/>
      <c r="BX5827" s="165"/>
      <c r="BY5827" s="165"/>
      <c r="BZ5827" s="165"/>
      <c r="CA5827" s="165"/>
      <c r="CB5827" s="165"/>
      <c r="CC5827" s="165"/>
      <c r="CD5827" s="165"/>
      <c r="CE5827" s="165"/>
      <c r="CF5827" s="165"/>
      <c r="CG5827" s="165"/>
      <c r="CH5827" s="165"/>
      <c r="CI5827" s="165"/>
      <c r="CJ5827" s="165"/>
      <c r="CK5827" s="165"/>
      <c r="CL5827" s="165"/>
      <c r="CM5827" s="165"/>
      <c r="CN5827" s="165"/>
      <c r="CO5827" s="165"/>
      <c r="CP5827" s="165"/>
      <c r="CQ5827" s="165"/>
      <c r="CR5827" s="165"/>
      <c r="CS5827" s="165"/>
      <c r="CT5827" s="165"/>
      <c r="CU5827" s="165"/>
      <c r="CV5827" s="165"/>
      <c r="CW5827" s="165"/>
      <c r="CX5827" s="165"/>
      <c r="CY5827" s="165"/>
      <c r="CZ5827" s="165"/>
      <c r="DA5827" s="165"/>
      <c r="DB5827" s="165"/>
      <c r="DC5827" s="165"/>
      <c r="DD5827" s="165"/>
      <c r="DE5827" s="165"/>
      <c r="DF5827" s="165"/>
      <c r="DG5827" s="165"/>
      <c r="DH5827" s="165"/>
      <c r="DI5827" s="165"/>
      <c r="DJ5827" s="165"/>
      <c r="DK5827" s="165"/>
      <c r="DL5827" s="165"/>
      <c r="DM5827" s="165"/>
      <c r="DN5827" s="165"/>
      <c r="DO5827" s="165"/>
      <c r="DP5827" s="165"/>
      <c r="DQ5827" s="165"/>
      <c r="DR5827" s="165"/>
      <c r="DS5827" s="165"/>
      <c r="DT5827" s="165"/>
      <c r="DU5827" s="165"/>
      <c r="DV5827" s="165"/>
      <c r="DW5827" s="165"/>
      <c r="DX5827" s="165"/>
      <c r="DY5827" s="165"/>
      <c r="DZ5827" s="165"/>
      <c r="EA5827" s="165"/>
      <c r="EB5827" s="165"/>
      <c r="EC5827" s="165"/>
      <c r="ED5827" s="165"/>
      <c r="EE5827" s="165"/>
      <c r="EF5827" s="165"/>
      <c r="EG5827" s="165"/>
      <c r="EH5827" s="165"/>
      <c r="EI5827" s="165"/>
      <c r="EJ5827" s="165"/>
      <c r="EK5827" s="165"/>
      <c r="EL5827" s="165"/>
      <c r="EM5827" s="165"/>
      <c r="EN5827" s="165"/>
      <c r="EO5827" s="165"/>
      <c r="EP5827" s="165"/>
      <c r="EQ5827" s="165"/>
      <c r="ER5827" s="165"/>
      <c r="ES5827" s="165"/>
    </row>
    <row r="5828" spans="1:149" s="451" customFormat="1" ht="15" hidden="1" customHeight="1">
      <c r="A5828" s="468">
        <v>45538</v>
      </c>
      <c r="B5828" s="208" t="s">
        <v>4806</v>
      </c>
      <c r="C5828" s="208" t="s">
        <v>269</v>
      </c>
      <c r="D5828" s="211">
        <v>-167126</v>
      </c>
      <c r="E5828" s="212">
        <v>45536</v>
      </c>
      <c r="F5828" s="208" t="s">
        <v>110</v>
      </c>
      <c r="G5828" s="201" t="s">
        <v>1489</v>
      </c>
      <c r="H5828" s="208" t="s">
        <v>2941</v>
      </c>
      <c r="I5828" s="208" t="s">
        <v>173</v>
      </c>
      <c r="J5828" s="209"/>
      <c r="K5828" s="209"/>
      <c r="L5828" s="209"/>
      <c r="M5828" s="209"/>
      <c r="N5828" s="209"/>
      <c r="O5828" s="209"/>
      <c r="P5828" s="209"/>
      <c r="Q5828" s="209"/>
      <c r="R5828" s="209"/>
      <c r="S5828" s="209"/>
      <c r="T5828" s="209"/>
      <c r="U5828" s="165"/>
      <c r="V5828" s="165"/>
      <c r="W5828" s="165"/>
      <c r="X5828" s="165"/>
      <c r="Y5828" s="165"/>
      <c r="Z5828" s="165"/>
      <c r="AA5828" s="165"/>
      <c r="AB5828" s="165"/>
      <c r="AC5828" s="165"/>
      <c r="AD5828" s="165"/>
      <c r="AE5828" s="165"/>
      <c r="AF5828" s="165"/>
      <c r="AG5828" s="165"/>
      <c r="AH5828" s="165"/>
      <c r="AI5828" s="165"/>
      <c r="AJ5828" s="165"/>
      <c r="AK5828" s="165"/>
      <c r="AL5828" s="165"/>
      <c r="AM5828" s="165"/>
      <c r="AN5828" s="165"/>
      <c r="AO5828" s="165"/>
      <c r="AP5828" s="165"/>
      <c r="AQ5828" s="165"/>
      <c r="AR5828" s="165"/>
      <c r="AS5828" s="165"/>
      <c r="AT5828" s="165"/>
      <c r="AU5828" s="165"/>
      <c r="AV5828" s="165"/>
      <c r="AW5828" s="165"/>
      <c r="AX5828" s="165"/>
      <c r="AY5828" s="165"/>
      <c r="AZ5828" s="165"/>
      <c r="BA5828" s="165"/>
      <c r="BB5828" s="165"/>
      <c r="BC5828" s="165"/>
      <c r="BD5828" s="165"/>
      <c r="BE5828" s="165"/>
      <c r="BF5828" s="165"/>
      <c r="BG5828" s="165"/>
      <c r="BH5828" s="165"/>
      <c r="BI5828" s="165"/>
      <c r="BJ5828" s="165"/>
      <c r="BK5828" s="165"/>
      <c r="BL5828" s="165"/>
      <c r="BM5828" s="165"/>
      <c r="BN5828" s="165"/>
      <c r="BO5828" s="165"/>
      <c r="BP5828" s="165"/>
      <c r="BQ5828" s="165"/>
      <c r="BR5828" s="165"/>
      <c r="BS5828" s="165"/>
      <c r="BT5828" s="165"/>
      <c r="BU5828" s="165"/>
      <c r="BV5828" s="165"/>
      <c r="BW5828" s="165"/>
      <c r="BX5828" s="165"/>
      <c r="BY5828" s="165"/>
      <c r="BZ5828" s="165"/>
      <c r="CA5828" s="165"/>
      <c r="CB5828" s="165"/>
      <c r="CC5828" s="165"/>
      <c r="CD5828" s="165"/>
      <c r="CE5828" s="165"/>
      <c r="CF5828" s="165"/>
      <c r="CG5828" s="165"/>
      <c r="CH5828" s="165"/>
      <c r="CI5828" s="165"/>
      <c r="CJ5828" s="165"/>
      <c r="CK5828" s="165"/>
      <c r="CL5828" s="165"/>
      <c r="CM5828" s="165"/>
      <c r="CN5828" s="165"/>
      <c r="CO5828" s="165"/>
      <c r="CP5828" s="165"/>
      <c r="CQ5828" s="165"/>
      <c r="CR5828" s="165"/>
      <c r="CS5828" s="165"/>
      <c r="CT5828" s="165"/>
      <c r="CU5828" s="165"/>
      <c r="CV5828" s="165"/>
      <c r="CW5828" s="165"/>
      <c r="CX5828" s="165"/>
      <c r="CY5828" s="165"/>
      <c r="CZ5828" s="165"/>
      <c r="DA5828" s="165"/>
      <c r="DB5828" s="165"/>
      <c r="DC5828" s="165"/>
      <c r="DD5828" s="165"/>
      <c r="DE5828" s="165"/>
      <c r="DF5828" s="165"/>
      <c r="DG5828" s="165"/>
      <c r="DH5828" s="165"/>
      <c r="DI5828" s="165"/>
      <c r="DJ5828" s="165"/>
      <c r="DK5828" s="165"/>
      <c r="DL5828" s="165"/>
      <c r="DM5828" s="165"/>
      <c r="DN5828" s="165"/>
      <c r="DO5828" s="165"/>
      <c r="DP5828" s="165"/>
      <c r="DQ5828" s="165"/>
      <c r="DR5828" s="165"/>
      <c r="DS5828" s="165"/>
      <c r="DT5828" s="165"/>
      <c r="DU5828" s="165"/>
      <c r="DV5828" s="165"/>
      <c r="DW5828" s="165"/>
      <c r="DX5828" s="165"/>
      <c r="DY5828" s="165"/>
      <c r="DZ5828" s="165"/>
      <c r="EA5828" s="165"/>
      <c r="EB5828" s="165"/>
      <c r="EC5828" s="165"/>
      <c r="ED5828" s="165"/>
      <c r="EE5828" s="165"/>
      <c r="EF5828" s="165"/>
      <c r="EG5828" s="165"/>
      <c r="EH5828" s="165"/>
      <c r="EI5828" s="165"/>
      <c r="EJ5828" s="165"/>
      <c r="EK5828" s="165"/>
      <c r="EL5828" s="165"/>
      <c r="EM5828" s="165"/>
      <c r="EN5828" s="165"/>
      <c r="EO5828" s="165"/>
      <c r="EP5828" s="165"/>
      <c r="EQ5828" s="165"/>
      <c r="ER5828" s="165"/>
      <c r="ES5828" s="165"/>
    </row>
    <row r="5829" spans="1:149" s="451" customFormat="1" ht="15" hidden="1" customHeight="1">
      <c r="A5829" s="468">
        <v>45538</v>
      </c>
      <c r="B5829" s="208" t="s">
        <v>4807</v>
      </c>
      <c r="C5829" s="208" t="s">
        <v>269</v>
      </c>
      <c r="D5829" s="211">
        <v>-25000</v>
      </c>
      <c r="E5829" s="212">
        <v>45536</v>
      </c>
      <c r="F5829" s="208" t="s">
        <v>109</v>
      </c>
      <c r="G5829" s="654" t="s">
        <v>2585</v>
      </c>
      <c r="H5829" s="208" t="s">
        <v>175</v>
      </c>
      <c r="I5829" s="208" t="s">
        <v>173</v>
      </c>
      <c r="J5829" s="209"/>
      <c r="K5829" s="209"/>
      <c r="L5829" s="209"/>
      <c r="M5829" s="209"/>
      <c r="N5829" s="209"/>
      <c r="O5829" s="209"/>
      <c r="P5829" s="209"/>
      <c r="Q5829" s="209"/>
      <c r="R5829" s="209"/>
      <c r="S5829" s="209"/>
      <c r="T5829" s="209"/>
      <c r="U5829" s="165"/>
      <c r="V5829" s="165"/>
      <c r="W5829" s="165"/>
      <c r="X5829" s="165"/>
      <c r="Y5829" s="165"/>
      <c r="Z5829" s="165"/>
      <c r="AA5829" s="165"/>
      <c r="AB5829" s="165"/>
      <c r="AC5829" s="165"/>
      <c r="AD5829" s="165"/>
      <c r="AE5829" s="165"/>
      <c r="AF5829" s="165"/>
      <c r="AG5829" s="165"/>
      <c r="AH5829" s="165"/>
      <c r="AI5829" s="165"/>
      <c r="AJ5829" s="165"/>
      <c r="AK5829" s="165"/>
      <c r="AL5829" s="165"/>
      <c r="AM5829" s="165"/>
      <c r="AN5829" s="165"/>
      <c r="AO5829" s="165"/>
      <c r="AP5829" s="165"/>
      <c r="AQ5829" s="165"/>
      <c r="AR5829" s="165"/>
      <c r="AS5829" s="165"/>
      <c r="AT5829" s="165"/>
      <c r="AU5829" s="165"/>
      <c r="AV5829" s="165"/>
      <c r="AW5829" s="165"/>
      <c r="AX5829" s="165"/>
      <c r="AY5829" s="165"/>
      <c r="AZ5829" s="165"/>
      <c r="BA5829" s="165"/>
      <c r="BB5829" s="165"/>
      <c r="BC5829" s="165"/>
      <c r="BD5829" s="165"/>
      <c r="BE5829" s="165"/>
      <c r="BF5829" s="165"/>
      <c r="BG5829" s="165"/>
      <c r="BH5829" s="165"/>
      <c r="BI5829" s="165"/>
      <c r="BJ5829" s="165"/>
      <c r="BK5829" s="165"/>
      <c r="BL5829" s="165"/>
      <c r="BM5829" s="165"/>
      <c r="BN5829" s="165"/>
      <c r="BO5829" s="165"/>
      <c r="BP5829" s="165"/>
      <c r="BQ5829" s="165"/>
      <c r="BR5829" s="165"/>
      <c r="BS5829" s="165"/>
      <c r="BT5829" s="165"/>
      <c r="BU5829" s="165"/>
      <c r="BV5829" s="165"/>
      <c r="BW5829" s="165"/>
      <c r="BX5829" s="165"/>
      <c r="BY5829" s="165"/>
      <c r="BZ5829" s="165"/>
      <c r="CA5829" s="165"/>
      <c r="CB5829" s="165"/>
      <c r="CC5829" s="165"/>
      <c r="CD5829" s="165"/>
      <c r="CE5829" s="165"/>
      <c r="CF5829" s="165"/>
      <c r="CG5829" s="165"/>
      <c r="CH5829" s="165"/>
      <c r="CI5829" s="165"/>
      <c r="CJ5829" s="165"/>
      <c r="CK5829" s="165"/>
      <c r="CL5829" s="165"/>
      <c r="CM5829" s="165"/>
      <c r="CN5829" s="165"/>
      <c r="CO5829" s="165"/>
      <c r="CP5829" s="165"/>
      <c r="CQ5829" s="165"/>
      <c r="CR5829" s="165"/>
      <c r="CS5829" s="165"/>
      <c r="CT5829" s="165"/>
      <c r="CU5829" s="165"/>
      <c r="CV5829" s="165"/>
      <c r="CW5829" s="165"/>
      <c r="CX5829" s="165"/>
      <c r="CY5829" s="165"/>
      <c r="CZ5829" s="165"/>
      <c r="DA5829" s="165"/>
      <c r="DB5829" s="165"/>
      <c r="DC5829" s="165"/>
      <c r="DD5829" s="165"/>
      <c r="DE5829" s="165"/>
      <c r="DF5829" s="165"/>
      <c r="DG5829" s="165"/>
      <c r="DH5829" s="165"/>
      <c r="DI5829" s="165"/>
      <c r="DJ5829" s="165"/>
      <c r="DK5829" s="165"/>
      <c r="DL5829" s="165"/>
      <c r="DM5829" s="165"/>
      <c r="DN5829" s="165"/>
      <c r="DO5829" s="165"/>
      <c r="DP5829" s="165"/>
      <c r="DQ5829" s="165"/>
      <c r="DR5829" s="165"/>
      <c r="DS5829" s="165"/>
      <c r="DT5829" s="165"/>
      <c r="DU5829" s="165"/>
      <c r="DV5829" s="165"/>
      <c r="DW5829" s="165"/>
      <c r="DX5829" s="165"/>
      <c r="DY5829" s="165"/>
      <c r="DZ5829" s="165"/>
      <c r="EA5829" s="165"/>
      <c r="EB5829" s="165"/>
      <c r="EC5829" s="165"/>
      <c r="ED5829" s="165"/>
      <c r="EE5829" s="165"/>
      <c r="EF5829" s="165"/>
      <c r="EG5829" s="165"/>
      <c r="EH5829" s="165"/>
      <c r="EI5829" s="165"/>
      <c r="EJ5829" s="165"/>
      <c r="EK5829" s="165"/>
      <c r="EL5829" s="165"/>
      <c r="EM5829" s="165"/>
      <c r="EN5829" s="165"/>
      <c r="EO5829" s="165"/>
      <c r="EP5829" s="165"/>
      <c r="EQ5829" s="165"/>
      <c r="ER5829" s="165"/>
      <c r="ES5829" s="165"/>
    </row>
    <row r="5830" spans="1:149" s="451" customFormat="1" ht="15" hidden="1" customHeight="1">
      <c r="A5830" s="468">
        <v>45538</v>
      </c>
      <c r="B5830" s="208" t="s">
        <v>4808</v>
      </c>
      <c r="C5830" s="208" t="s">
        <v>269</v>
      </c>
      <c r="D5830" s="211">
        <v>-12000</v>
      </c>
      <c r="E5830" s="212">
        <v>45536</v>
      </c>
      <c r="F5830" s="208" t="s">
        <v>110</v>
      </c>
      <c r="G5830" s="201" t="s">
        <v>1489</v>
      </c>
      <c r="H5830" s="208" t="s">
        <v>2941</v>
      </c>
      <c r="I5830" s="208" t="s">
        <v>173</v>
      </c>
      <c r="J5830" s="209"/>
      <c r="K5830" s="209"/>
      <c r="L5830" s="209"/>
      <c r="M5830" s="209"/>
      <c r="N5830" s="209"/>
      <c r="O5830" s="209"/>
      <c r="P5830" s="209"/>
      <c r="Q5830" s="209"/>
      <c r="R5830" s="209"/>
      <c r="S5830" s="209"/>
      <c r="T5830" s="209"/>
      <c r="U5830" s="165"/>
      <c r="V5830" s="165"/>
      <c r="W5830" s="165"/>
      <c r="X5830" s="165"/>
      <c r="Y5830" s="165"/>
      <c r="Z5830" s="165"/>
      <c r="AA5830" s="165"/>
      <c r="AB5830" s="165"/>
      <c r="AC5830" s="165"/>
      <c r="AD5830" s="165"/>
      <c r="AE5830" s="165"/>
      <c r="AF5830" s="165"/>
      <c r="AG5830" s="165"/>
      <c r="AH5830" s="165"/>
      <c r="AI5830" s="165"/>
      <c r="AJ5830" s="165"/>
      <c r="AK5830" s="165"/>
      <c r="AL5830" s="165"/>
      <c r="AM5830" s="165"/>
      <c r="AN5830" s="165"/>
      <c r="AO5830" s="165"/>
      <c r="AP5830" s="165"/>
      <c r="AQ5830" s="165"/>
      <c r="AR5830" s="165"/>
      <c r="AS5830" s="165"/>
      <c r="AT5830" s="165"/>
      <c r="AU5830" s="165"/>
      <c r="AV5830" s="165"/>
      <c r="AW5830" s="165"/>
      <c r="AX5830" s="165"/>
      <c r="AY5830" s="165"/>
      <c r="AZ5830" s="165"/>
      <c r="BA5830" s="165"/>
      <c r="BB5830" s="165"/>
      <c r="BC5830" s="165"/>
      <c r="BD5830" s="165"/>
      <c r="BE5830" s="165"/>
      <c r="BF5830" s="165"/>
      <c r="BG5830" s="165"/>
      <c r="BH5830" s="165"/>
      <c r="BI5830" s="165"/>
      <c r="BJ5830" s="165"/>
      <c r="BK5830" s="165"/>
      <c r="BL5830" s="165"/>
      <c r="BM5830" s="165"/>
      <c r="BN5830" s="165"/>
      <c r="BO5830" s="165"/>
      <c r="BP5830" s="165"/>
      <c r="BQ5830" s="165"/>
      <c r="BR5830" s="165"/>
      <c r="BS5830" s="165"/>
      <c r="BT5830" s="165"/>
      <c r="BU5830" s="165"/>
      <c r="BV5830" s="165"/>
      <c r="BW5830" s="165"/>
      <c r="BX5830" s="165"/>
      <c r="BY5830" s="165"/>
      <c r="BZ5830" s="165"/>
      <c r="CA5830" s="165"/>
      <c r="CB5830" s="165"/>
      <c r="CC5830" s="165"/>
      <c r="CD5830" s="165"/>
      <c r="CE5830" s="165"/>
      <c r="CF5830" s="165"/>
      <c r="CG5830" s="165"/>
      <c r="CH5830" s="165"/>
      <c r="CI5830" s="165"/>
      <c r="CJ5830" s="165"/>
      <c r="CK5830" s="165"/>
      <c r="CL5830" s="165"/>
      <c r="CM5830" s="165"/>
      <c r="CN5830" s="165"/>
      <c r="CO5830" s="165"/>
      <c r="CP5830" s="165"/>
      <c r="CQ5830" s="165"/>
      <c r="CR5830" s="165"/>
      <c r="CS5830" s="165"/>
      <c r="CT5830" s="165"/>
      <c r="CU5830" s="165"/>
      <c r="CV5830" s="165"/>
      <c r="CW5830" s="165"/>
      <c r="CX5830" s="165"/>
      <c r="CY5830" s="165"/>
      <c r="CZ5830" s="165"/>
      <c r="DA5830" s="165"/>
      <c r="DB5830" s="165"/>
      <c r="DC5830" s="165"/>
      <c r="DD5830" s="165"/>
      <c r="DE5830" s="165"/>
      <c r="DF5830" s="165"/>
      <c r="DG5830" s="165"/>
      <c r="DH5830" s="165"/>
      <c r="DI5830" s="165"/>
      <c r="DJ5830" s="165"/>
      <c r="DK5830" s="165"/>
      <c r="DL5830" s="165"/>
      <c r="DM5830" s="165"/>
      <c r="DN5830" s="165"/>
      <c r="DO5830" s="165"/>
      <c r="DP5830" s="165"/>
      <c r="DQ5830" s="165"/>
      <c r="DR5830" s="165"/>
      <c r="DS5830" s="165"/>
      <c r="DT5830" s="165"/>
      <c r="DU5830" s="165"/>
      <c r="DV5830" s="165"/>
      <c r="DW5830" s="165"/>
      <c r="DX5830" s="165"/>
      <c r="DY5830" s="165"/>
      <c r="DZ5830" s="165"/>
      <c r="EA5830" s="165"/>
      <c r="EB5830" s="165"/>
      <c r="EC5830" s="165"/>
      <c r="ED5830" s="165"/>
      <c r="EE5830" s="165"/>
      <c r="EF5830" s="165"/>
      <c r="EG5830" s="165"/>
      <c r="EH5830" s="165"/>
      <c r="EI5830" s="165"/>
      <c r="EJ5830" s="165"/>
      <c r="EK5830" s="165"/>
      <c r="EL5830" s="165"/>
      <c r="EM5830" s="165"/>
      <c r="EN5830" s="165"/>
      <c r="EO5830" s="165"/>
      <c r="EP5830" s="165"/>
      <c r="EQ5830" s="165"/>
      <c r="ER5830" s="165"/>
      <c r="ES5830" s="165"/>
    </row>
    <row r="5831" spans="1:149" s="451" customFormat="1" ht="15" hidden="1" customHeight="1">
      <c r="A5831" s="468">
        <v>45538</v>
      </c>
      <c r="B5831" s="208" t="s">
        <v>4809</v>
      </c>
      <c r="C5831" s="208" t="s">
        <v>269</v>
      </c>
      <c r="D5831" s="211">
        <v>-28144</v>
      </c>
      <c r="E5831" s="212">
        <v>45536</v>
      </c>
      <c r="F5831" s="208" t="s">
        <v>110</v>
      </c>
      <c r="G5831" s="201" t="s">
        <v>1489</v>
      </c>
      <c r="H5831" s="208" t="s">
        <v>2941</v>
      </c>
      <c r="I5831" s="208" t="s">
        <v>173</v>
      </c>
      <c r="J5831" s="209"/>
      <c r="K5831" s="209"/>
      <c r="L5831" s="209"/>
      <c r="M5831" s="209"/>
      <c r="N5831" s="209"/>
      <c r="O5831" s="209"/>
      <c r="P5831" s="209"/>
      <c r="Q5831" s="209"/>
      <c r="R5831" s="209"/>
      <c r="S5831" s="209"/>
      <c r="T5831" s="209"/>
      <c r="U5831" s="165"/>
      <c r="V5831" s="165"/>
      <c r="W5831" s="165"/>
      <c r="X5831" s="165"/>
      <c r="Y5831" s="165"/>
      <c r="Z5831" s="165"/>
      <c r="AA5831" s="165"/>
      <c r="AB5831" s="165"/>
      <c r="AC5831" s="165"/>
      <c r="AD5831" s="165"/>
      <c r="AE5831" s="165"/>
      <c r="AF5831" s="165"/>
      <c r="AG5831" s="165"/>
      <c r="AH5831" s="165"/>
      <c r="AI5831" s="165"/>
      <c r="AJ5831" s="165"/>
      <c r="AK5831" s="165"/>
      <c r="AL5831" s="165"/>
      <c r="AM5831" s="165"/>
      <c r="AN5831" s="165"/>
      <c r="AO5831" s="165"/>
      <c r="AP5831" s="165"/>
      <c r="AQ5831" s="165"/>
      <c r="AR5831" s="165"/>
      <c r="AS5831" s="165"/>
      <c r="AT5831" s="165"/>
      <c r="AU5831" s="165"/>
      <c r="AV5831" s="165"/>
      <c r="AW5831" s="165"/>
      <c r="AX5831" s="165"/>
      <c r="AY5831" s="165"/>
      <c r="AZ5831" s="165"/>
      <c r="BA5831" s="165"/>
      <c r="BB5831" s="165"/>
      <c r="BC5831" s="165"/>
      <c r="BD5831" s="165"/>
      <c r="BE5831" s="165"/>
      <c r="BF5831" s="165"/>
      <c r="BG5831" s="165"/>
      <c r="BH5831" s="165"/>
      <c r="BI5831" s="165"/>
      <c r="BJ5831" s="165"/>
      <c r="BK5831" s="165"/>
      <c r="BL5831" s="165"/>
      <c r="BM5831" s="165"/>
      <c r="BN5831" s="165"/>
      <c r="BO5831" s="165"/>
      <c r="BP5831" s="165"/>
      <c r="BQ5831" s="165"/>
      <c r="BR5831" s="165"/>
      <c r="BS5831" s="165"/>
      <c r="BT5831" s="165"/>
      <c r="BU5831" s="165"/>
      <c r="BV5831" s="165"/>
      <c r="BW5831" s="165"/>
      <c r="BX5831" s="165"/>
      <c r="BY5831" s="165"/>
      <c r="BZ5831" s="165"/>
      <c r="CA5831" s="165"/>
      <c r="CB5831" s="165"/>
      <c r="CC5831" s="165"/>
      <c r="CD5831" s="165"/>
      <c r="CE5831" s="165"/>
      <c r="CF5831" s="165"/>
      <c r="CG5831" s="165"/>
      <c r="CH5831" s="165"/>
      <c r="CI5831" s="165"/>
      <c r="CJ5831" s="165"/>
      <c r="CK5831" s="165"/>
      <c r="CL5831" s="165"/>
      <c r="CM5831" s="165"/>
      <c r="CN5831" s="165"/>
      <c r="CO5831" s="165"/>
      <c r="CP5831" s="165"/>
      <c r="CQ5831" s="165"/>
      <c r="CR5831" s="165"/>
      <c r="CS5831" s="165"/>
      <c r="CT5831" s="165"/>
      <c r="CU5831" s="165"/>
      <c r="CV5831" s="165"/>
      <c r="CW5831" s="165"/>
      <c r="CX5831" s="165"/>
      <c r="CY5831" s="165"/>
      <c r="CZ5831" s="165"/>
      <c r="DA5831" s="165"/>
      <c r="DB5831" s="165"/>
      <c r="DC5831" s="165"/>
      <c r="DD5831" s="165"/>
      <c r="DE5831" s="165"/>
      <c r="DF5831" s="165"/>
      <c r="DG5831" s="165"/>
      <c r="DH5831" s="165"/>
      <c r="DI5831" s="165"/>
      <c r="DJ5831" s="165"/>
      <c r="DK5831" s="165"/>
      <c r="DL5831" s="165"/>
      <c r="DM5831" s="165"/>
      <c r="DN5831" s="165"/>
      <c r="DO5831" s="165"/>
      <c r="DP5831" s="165"/>
      <c r="DQ5831" s="165"/>
      <c r="DR5831" s="165"/>
      <c r="DS5831" s="165"/>
      <c r="DT5831" s="165"/>
      <c r="DU5831" s="165"/>
      <c r="DV5831" s="165"/>
      <c r="DW5831" s="165"/>
      <c r="DX5831" s="165"/>
      <c r="DY5831" s="165"/>
      <c r="DZ5831" s="165"/>
      <c r="EA5831" s="165"/>
      <c r="EB5831" s="165"/>
      <c r="EC5831" s="165"/>
      <c r="ED5831" s="165"/>
      <c r="EE5831" s="165"/>
      <c r="EF5831" s="165"/>
      <c r="EG5831" s="165"/>
      <c r="EH5831" s="165"/>
      <c r="EI5831" s="165"/>
      <c r="EJ5831" s="165"/>
      <c r="EK5831" s="165"/>
      <c r="EL5831" s="165"/>
      <c r="EM5831" s="165"/>
      <c r="EN5831" s="165"/>
      <c r="EO5831" s="165"/>
      <c r="EP5831" s="165"/>
      <c r="EQ5831" s="165"/>
      <c r="ER5831" s="165"/>
      <c r="ES5831" s="165"/>
    </row>
    <row r="5832" spans="1:149" s="451" customFormat="1" ht="15" hidden="1" customHeight="1">
      <c r="A5832" s="468">
        <v>45538</v>
      </c>
      <c r="B5832" s="208" t="s">
        <v>4810</v>
      </c>
      <c r="C5832" s="208" t="s">
        <v>27</v>
      </c>
      <c r="D5832" s="211">
        <v>-5651600</v>
      </c>
      <c r="E5832" s="212">
        <v>45536</v>
      </c>
      <c r="F5832" s="208" t="s">
        <v>110</v>
      </c>
      <c r="G5832" s="208" t="s">
        <v>2444</v>
      </c>
      <c r="H5832" s="208"/>
      <c r="I5832" s="208"/>
      <c r="J5832" s="209"/>
      <c r="K5832" s="209"/>
      <c r="L5832" s="209"/>
      <c r="M5832" s="209"/>
      <c r="N5832" s="209"/>
      <c r="O5832" s="209"/>
      <c r="P5832" s="209"/>
      <c r="Q5832" s="209"/>
      <c r="R5832" s="209"/>
      <c r="S5832" s="209"/>
      <c r="T5832" s="209"/>
    </row>
    <row r="5833" spans="1:149" ht="15" hidden="1" customHeight="1">
      <c r="A5833" s="468">
        <v>45538</v>
      </c>
      <c r="B5833" s="208" t="s">
        <v>4811</v>
      </c>
      <c r="C5833" s="208" t="s">
        <v>27</v>
      </c>
      <c r="D5833" s="211">
        <v>-4920000</v>
      </c>
      <c r="E5833" s="212">
        <v>45536</v>
      </c>
      <c r="F5833" s="208" t="s">
        <v>109</v>
      </c>
      <c r="G5833" s="208" t="s">
        <v>4625</v>
      </c>
      <c r="H5833" s="208" t="s">
        <v>212</v>
      </c>
      <c r="I5833" s="208"/>
      <c r="J5833" s="209"/>
      <c r="K5833" s="209"/>
      <c r="L5833" s="209"/>
      <c r="M5833" s="209"/>
      <c r="N5833" s="209"/>
      <c r="O5833" s="209"/>
      <c r="P5833" s="209"/>
      <c r="Q5833" s="209"/>
      <c r="R5833" s="209"/>
      <c r="S5833" s="209"/>
      <c r="T5833" s="209"/>
      <c r="U5833" s="451"/>
      <c r="V5833" s="451"/>
      <c r="W5833" s="451"/>
      <c r="X5833" s="451"/>
      <c r="Y5833" s="451"/>
      <c r="Z5833" s="451"/>
      <c r="AA5833" s="451"/>
      <c r="AB5833" s="451"/>
      <c r="AC5833" s="451"/>
      <c r="AD5833" s="451"/>
      <c r="AE5833" s="451"/>
      <c r="AF5833" s="451"/>
      <c r="AG5833" s="451"/>
      <c r="AH5833" s="451"/>
      <c r="AI5833" s="451"/>
      <c r="AJ5833" s="451"/>
      <c r="AK5833" s="451"/>
      <c r="AL5833" s="451"/>
      <c r="AM5833" s="451"/>
      <c r="AN5833" s="451"/>
      <c r="AO5833" s="451"/>
      <c r="AP5833" s="451"/>
      <c r="AQ5833" s="451"/>
      <c r="AR5833" s="451"/>
      <c r="AS5833" s="451"/>
      <c r="AT5833" s="451"/>
      <c r="AU5833" s="451"/>
      <c r="AV5833" s="451"/>
      <c r="AW5833" s="451"/>
      <c r="AX5833" s="451"/>
      <c r="AY5833" s="451"/>
      <c r="AZ5833" s="451"/>
      <c r="BA5833" s="451"/>
      <c r="BB5833" s="451"/>
      <c r="BC5833" s="451"/>
      <c r="BD5833" s="451"/>
      <c r="BE5833" s="451"/>
      <c r="BF5833" s="451"/>
      <c r="BG5833" s="451"/>
      <c r="BH5833" s="451"/>
      <c r="BI5833" s="451"/>
      <c r="BJ5833" s="451"/>
      <c r="BK5833" s="451"/>
      <c r="BL5833" s="451"/>
      <c r="BM5833" s="451"/>
      <c r="BN5833" s="451"/>
      <c r="BO5833" s="451"/>
      <c r="BP5833" s="451"/>
      <c r="BQ5833" s="451"/>
      <c r="BR5833" s="451"/>
      <c r="BS5833" s="451"/>
      <c r="BT5833" s="451"/>
      <c r="BU5833" s="451"/>
      <c r="BV5833" s="451"/>
      <c r="BW5833" s="451"/>
      <c r="BX5833" s="451"/>
      <c r="BY5833" s="451"/>
      <c r="BZ5833" s="451"/>
      <c r="CA5833" s="451"/>
      <c r="CB5833" s="451"/>
      <c r="CC5833" s="451"/>
      <c r="CD5833" s="451"/>
      <c r="CE5833" s="451"/>
      <c r="CF5833" s="451"/>
      <c r="CG5833" s="451"/>
      <c r="CH5833" s="451"/>
      <c r="CI5833" s="451"/>
      <c r="CJ5833" s="451"/>
      <c r="CK5833" s="451"/>
      <c r="CL5833" s="451"/>
      <c r="CM5833" s="451"/>
      <c r="CN5833" s="451"/>
      <c r="CO5833" s="451"/>
      <c r="CP5833" s="451"/>
      <c r="CQ5833" s="451"/>
      <c r="CR5833" s="451"/>
      <c r="CS5833" s="451"/>
      <c r="CT5833" s="451"/>
      <c r="CU5833" s="451"/>
      <c r="CV5833" s="451"/>
      <c r="CW5833" s="451"/>
      <c r="CX5833" s="451"/>
      <c r="CY5833" s="451"/>
      <c r="CZ5833" s="451"/>
      <c r="DA5833" s="451"/>
      <c r="DB5833" s="451"/>
      <c r="DC5833" s="451"/>
      <c r="DD5833" s="451"/>
      <c r="DE5833" s="451"/>
      <c r="DF5833" s="451"/>
      <c r="DG5833" s="451"/>
      <c r="DH5833" s="451"/>
      <c r="DI5833" s="451"/>
      <c r="DJ5833" s="451"/>
      <c r="DK5833" s="451"/>
      <c r="DL5833" s="451"/>
      <c r="DM5833" s="451"/>
      <c r="DN5833" s="451"/>
      <c r="DO5833" s="451"/>
      <c r="DP5833" s="451"/>
      <c r="DQ5833" s="451"/>
      <c r="DR5833" s="451"/>
      <c r="DS5833" s="451"/>
      <c r="DT5833" s="451"/>
      <c r="DU5833" s="451"/>
      <c r="DV5833" s="451"/>
      <c r="DW5833" s="451"/>
      <c r="DX5833" s="451"/>
      <c r="DY5833" s="451"/>
      <c r="DZ5833" s="451"/>
      <c r="EA5833" s="451"/>
      <c r="EB5833" s="451"/>
      <c r="EC5833" s="451"/>
      <c r="ED5833" s="451"/>
      <c r="EE5833" s="451"/>
      <c r="EF5833" s="451"/>
      <c r="EG5833" s="451"/>
      <c r="EH5833" s="451"/>
      <c r="EI5833" s="451"/>
      <c r="EJ5833" s="451"/>
      <c r="EK5833" s="451"/>
      <c r="EL5833" s="451"/>
      <c r="EM5833" s="451"/>
      <c r="EN5833" s="451"/>
      <c r="EO5833" s="451"/>
      <c r="EP5833" s="451"/>
      <c r="EQ5833" s="451"/>
      <c r="ER5833" s="451"/>
      <c r="ES5833" s="451"/>
    </row>
    <row r="5834" spans="1:149" ht="15" hidden="1" customHeight="1">
      <c r="A5834" s="468">
        <v>45538</v>
      </c>
      <c r="B5834" s="208" t="s">
        <v>4812</v>
      </c>
      <c r="C5834" s="208" t="s">
        <v>27</v>
      </c>
      <c r="D5834" s="211">
        <v>-370500</v>
      </c>
      <c r="E5834" s="212">
        <v>45536</v>
      </c>
      <c r="F5834" s="201" t="s">
        <v>110</v>
      </c>
      <c r="G5834" s="208" t="s">
        <v>2444</v>
      </c>
      <c r="H5834" s="208"/>
      <c r="I5834" s="208"/>
      <c r="J5834" s="209"/>
      <c r="K5834" s="209"/>
      <c r="L5834" s="209"/>
      <c r="M5834" s="209"/>
      <c r="N5834" s="209"/>
      <c r="O5834" s="209"/>
      <c r="P5834" s="209"/>
      <c r="Q5834" s="209"/>
      <c r="R5834" s="209"/>
      <c r="S5834" s="209"/>
      <c r="T5834" s="209"/>
      <c r="U5834" s="451"/>
      <c r="V5834" s="451"/>
      <c r="W5834" s="451"/>
      <c r="X5834" s="451"/>
      <c r="Y5834" s="451"/>
      <c r="Z5834" s="451"/>
      <c r="AA5834" s="451"/>
      <c r="AB5834" s="451"/>
      <c r="AC5834" s="451"/>
      <c r="AD5834" s="451"/>
      <c r="AE5834" s="451"/>
      <c r="AF5834" s="451"/>
      <c r="AG5834" s="451"/>
      <c r="AH5834" s="451"/>
      <c r="AI5834" s="451"/>
      <c r="AJ5834" s="451"/>
      <c r="AK5834" s="451"/>
      <c r="AL5834" s="451"/>
      <c r="AM5834" s="451"/>
      <c r="AN5834" s="451"/>
      <c r="AO5834" s="451"/>
      <c r="AP5834" s="451"/>
      <c r="AQ5834" s="451"/>
      <c r="AR5834" s="451"/>
      <c r="AS5834" s="451"/>
      <c r="AT5834" s="451"/>
      <c r="AU5834" s="451"/>
      <c r="AV5834" s="451"/>
      <c r="AW5834" s="451"/>
      <c r="AX5834" s="451"/>
      <c r="AY5834" s="451"/>
      <c r="AZ5834" s="451"/>
      <c r="BA5834" s="451"/>
      <c r="BB5834" s="451"/>
      <c r="BC5834" s="451"/>
      <c r="BD5834" s="451"/>
      <c r="BE5834" s="451"/>
      <c r="BF5834" s="451"/>
      <c r="BG5834" s="451"/>
      <c r="BH5834" s="451"/>
      <c r="BI5834" s="451"/>
      <c r="BJ5834" s="451"/>
      <c r="BK5834" s="451"/>
      <c r="BL5834" s="451"/>
      <c r="BM5834" s="451"/>
      <c r="BN5834" s="451"/>
      <c r="BO5834" s="451"/>
      <c r="BP5834" s="451"/>
      <c r="BQ5834" s="451"/>
      <c r="BR5834" s="451"/>
      <c r="BS5834" s="451"/>
      <c r="BT5834" s="451"/>
      <c r="BU5834" s="451"/>
      <c r="BV5834" s="451"/>
      <c r="BW5834" s="451"/>
      <c r="BX5834" s="451"/>
      <c r="BY5834" s="451"/>
      <c r="BZ5834" s="451"/>
      <c r="CA5834" s="451"/>
      <c r="CB5834" s="451"/>
      <c r="CC5834" s="451"/>
      <c r="CD5834" s="451"/>
      <c r="CE5834" s="451"/>
      <c r="CF5834" s="451"/>
      <c r="CG5834" s="451"/>
      <c r="CH5834" s="451"/>
      <c r="CI5834" s="451"/>
      <c r="CJ5834" s="451"/>
      <c r="CK5834" s="451"/>
      <c r="CL5834" s="451"/>
      <c r="CM5834" s="451"/>
      <c r="CN5834" s="451"/>
      <c r="CO5834" s="451"/>
      <c r="CP5834" s="451"/>
      <c r="CQ5834" s="451"/>
      <c r="CR5834" s="451"/>
      <c r="CS5834" s="451"/>
      <c r="CT5834" s="451"/>
      <c r="CU5834" s="451"/>
      <c r="CV5834" s="451"/>
      <c r="CW5834" s="451"/>
      <c r="CX5834" s="451"/>
      <c r="CY5834" s="451"/>
      <c r="CZ5834" s="451"/>
      <c r="DA5834" s="451"/>
      <c r="DB5834" s="451"/>
      <c r="DC5834" s="451"/>
      <c r="DD5834" s="451"/>
      <c r="DE5834" s="451"/>
      <c r="DF5834" s="451"/>
      <c r="DG5834" s="451"/>
      <c r="DH5834" s="451"/>
      <c r="DI5834" s="451"/>
      <c r="DJ5834" s="451"/>
      <c r="DK5834" s="451"/>
      <c r="DL5834" s="451"/>
      <c r="DM5834" s="451"/>
      <c r="DN5834" s="451"/>
      <c r="DO5834" s="451"/>
      <c r="DP5834" s="451"/>
      <c r="DQ5834" s="451"/>
      <c r="DR5834" s="451"/>
      <c r="DS5834" s="451"/>
      <c r="DT5834" s="451"/>
      <c r="DU5834" s="451"/>
      <c r="DV5834" s="451"/>
      <c r="DW5834" s="451"/>
      <c r="DX5834" s="451"/>
      <c r="DY5834" s="451"/>
      <c r="DZ5834" s="451"/>
      <c r="EA5834" s="451"/>
      <c r="EB5834" s="451"/>
      <c r="EC5834" s="451"/>
      <c r="ED5834" s="451"/>
      <c r="EE5834" s="451"/>
      <c r="EF5834" s="451"/>
      <c r="EG5834" s="451"/>
      <c r="EH5834" s="451"/>
      <c r="EI5834" s="451"/>
      <c r="EJ5834" s="451"/>
      <c r="EK5834" s="451"/>
      <c r="EL5834" s="451"/>
      <c r="EM5834" s="451"/>
      <c r="EN5834" s="451"/>
      <c r="EO5834" s="451"/>
      <c r="EP5834" s="451"/>
      <c r="EQ5834" s="451"/>
      <c r="ER5834" s="451"/>
      <c r="ES5834" s="451"/>
    </row>
    <row r="5835" spans="1:149" ht="15" hidden="1" customHeight="1">
      <c r="A5835" s="468">
        <v>45538</v>
      </c>
      <c r="B5835" s="208" t="s">
        <v>4813</v>
      </c>
      <c r="C5835" s="208" t="s">
        <v>27</v>
      </c>
      <c r="D5835" s="211">
        <v>-2961275</v>
      </c>
      <c r="E5835" s="212">
        <v>45536</v>
      </c>
      <c r="F5835" s="208" t="s">
        <v>109</v>
      </c>
      <c r="G5835" s="208" t="s">
        <v>2809</v>
      </c>
      <c r="H5835" s="208" t="s">
        <v>4814</v>
      </c>
      <c r="I5835" s="208"/>
      <c r="J5835" s="209"/>
      <c r="K5835" s="209"/>
      <c r="L5835" s="209"/>
      <c r="M5835" s="209"/>
      <c r="N5835" s="209"/>
      <c r="O5835" s="209"/>
      <c r="P5835" s="209"/>
      <c r="Q5835" s="209"/>
      <c r="R5835" s="209"/>
      <c r="S5835" s="209"/>
      <c r="T5835" s="209"/>
      <c r="U5835" s="451"/>
      <c r="V5835" s="451"/>
      <c r="W5835" s="451"/>
      <c r="X5835" s="451"/>
      <c r="Y5835" s="451"/>
      <c r="Z5835" s="451"/>
      <c r="AA5835" s="451"/>
      <c r="AB5835" s="451"/>
      <c r="AC5835" s="451"/>
      <c r="AD5835" s="451"/>
      <c r="AE5835" s="451"/>
      <c r="AF5835" s="451"/>
      <c r="AG5835" s="451"/>
      <c r="AH5835" s="451"/>
      <c r="AI5835" s="451"/>
      <c r="AJ5835" s="451"/>
      <c r="AK5835" s="451"/>
      <c r="AL5835" s="451"/>
      <c r="AM5835" s="451"/>
      <c r="AN5835" s="451"/>
      <c r="AO5835" s="451"/>
      <c r="AP5835" s="451"/>
      <c r="AQ5835" s="451"/>
      <c r="AR5835" s="451"/>
      <c r="AS5835" s="451"/>
      <c r="AT5835" s="451"/>
      <c r="AU5835" s="451"/>
      <c r="AV5835" s="451"/>
      <c r="AW5835" s="451"/>
      <c r="AX5835" s="451"/>
      <c r="AY5835" s="451"/>
      <c r="AZ5835" s="451"/>
      <c r="BA5835" s="451"/>
      <c r="BB5835" s="451"/>
      <c r="BC5835" s="451"/>
      <c r="BD5835" s="451"/>
      <c r="BE5835" s="451"/>
      <c r="BF5835" s="451"/>
      <c r="BG5835" s="451"/>
      <c r="BH5835" s="451"/>
      <c r="BI5835" s="451"/>
      <c r="BJ5835" s="451"/>
      <c r="BK5835" s="451"/>
      <c r="BL5835" s="451"/>
      <c r="BM5835" s="451"/>
      <c r="BN5835" s="451"/>
      <c r="BO5835" s="451"/>
      <c r="BP5835" s="451"/>
      <c r="BQ5835" s="451"/>
      <c r="BR5835" s="451"/>
      <c r="BS5835" s="451"/>
      <c r="BT5835" s="451"/>
      <c r="BU5835" s="451"/>
      <c r="BV5835" s="451"/>
      <c r="BW5835" s="451"/>
      <c r="BX5835" s="451"/>
      <c r="BY5835" s="451"/>
      <c r="BZ5835" s="451"/>
      <c r="CA5835" s="451"/>
      <c r="CB5835" s="451"/>
      <c r="CC5835" s="451"/>
      <c r="CD5835" s="451"/>
      <c r="CE5835" s="451"/>
      <c r="CF5835" s="451"/>
      <c r="CG5835" s="451"/>
      <c r="CH5835" s="451"/>
      <c r="CI5835" s="451"/>
      <c r="CJ5835" s="451"/>
      <c r="CK5835" s="451"/>
      <c r="CL5835" s="451"/>
      <c r="CM5835" s="451"/>
      <c r="CN5835" s="451"/>
      <c r="CO5835" s="451"/>
      <c r="CP5835" s="451"/>
      <c r="CQ5835" s="451"/>
      <c r="CR5835" s="451"/>
      <c r="CS5835" s="451"/>
      <c r="CT5835" s="451"/>
      <c r="CU5835" s="451"/>
      <c r="CV5835" s="451"/>
      <c r="CW5835" s="451"/>
      <c r="CX5835" s="451"/>
      <c r="CY5835" s="451"/>
      <c r="CZ5835" s="451"/>
      <c r="DA5835" s="451"/>
      <c r="DB5835" s="451"/>
      <c r="DC5835" s="451"/>
      <c r="DD5835" s="451"/>
      <c r="DE5835" s="451"/>
      <c r="DF5835" s="451"/>
      <c r="DG5835" s="451"/>
      <c r="DH5835" s="451"/>
      <c r="DI5835" s="451"/>
      <c r="DJ5835" s="451"/>
      <c r="DK5835" s="451"/>
      <c r="DL5835" s="451"/>
      <c r="DM5835" s="451"/>
      <c r="DN5835" s="451"/>
      <c r="DO5835" s="451"/>
      <c r="DP5835" s="451"/>
      <c r="DQ5835" s="451"/>
      <c r="DR5835" s="451"/>
      <c r="DS5835" s="451"/>
      <c r="DT5835" s="451"/>
      <c r="DU5835" s="451"/>
      <c r="DV5835" s="451"/>
      <c r="DW5835" s="451"/>
      <c r="DX5835" s="451"/>
      <c r="DY5835" s="451"/>
      <c r="DZ5835" s="451"/>
      <c r="EA5835" s="451"/>
      <c r="EB5835" s="451"/>
      <c r="EC5835" s="451"/>
      <c r="ED5835" s="451"/>
      <c r="EE5835" s="451"/>
      <c r="EF5835" s="451"/>
      <c r="EG5835" s="451"/>
      <c r="EH5835" s="451"/>
      <c r="EI5835" s="451"/>
      <c r="EJ5835" s="451"/>
      <c r="EK5835" s="451"/>
      <c r="EL5835" s="451"/>
      <c r="EM5835" s="451"/>
      <c r="EN5835" s="451"/>
      <c r="EO5835" s="451"/>
      <c r="EP5835" s="451"/>
      <c r="EQ5835" s="451"/>
      <c r="ER5835" s="451"/>
      <c r="ES5835" s="451"/>
    </row>
    <row r="5836" spans="1:149" ht="15" hidden="1" customHeight="1">
      <c r="A5836" s="468">
        <v>45538</v>
      </c>
      <c r="B5836" s="208" t="s">
        <v>4815</v>
      </c>
      <c r="C5836" s="208" t="s">
        <v>27</v>
      </c>
      <c r="D5836" s="211">
        <v>-2361000</v>
      </c>
      <c r="E5836" s="212">
        <v>45536</v>
      </c>
      <c r="F5836" s="208" t="s">
        <v>109</v>
      </c>
      <c r="G5836" s="201" t="s">
        <v>583</v>
      </c>
      <c r="H5836" s="208"/>
      <c r="I5836" s="208"/>
      <c r="J5836" s="209"/>
      <c r="K5836" s="209"/>
      <c r="L5836" s="209"/>
      <c r="M5836" s="209"/>
      <c r="N5836" s="209"/>
      <c r="O5836" s="209"/>
      <c r="P5836" s="209"/>
      <c r="Q5836" s="209"/>
      <c r="R5836" s="209"/>
      <c r="S5836" s="209"/>
      <c r="T5836" s="209"/>
      <c r="U5836" s="451"/>
      <c r="V5836" s="451"/>
      <c r="W5836" s="451"/>
      <c r="X5836" s="451"/>
      <c r="Y5836" s="451"/>
      <c r="Z5836" s="451"/>
      <c r="AA5836" s="451"/>
      <c r="AB5836" s="451"/>
      <c r="AC5836" s="451"/>
      <c r="AD5836" s="451"/>
      <c r="AE5836" s="451"/>
      <c r="AF5836" s="451"/>
      <c r="AG5836" s="451"/>
      <c r="AH5836" s="451"/>
      <c r="AI5836" s="451"/>
      <c r="AJ5836" s="451"/>
      <c r="AK5836" s="451"/>
      <c r="AL5836" s="451"/>
      <c r="AM5836" s="451"/>
      <c r="AN5836" s="451"/>
      <c r="AO5836" s="451"/>
      <c r="AP5836" s="451"/>
      <c r="AQ5836" s="451"/>
      <c r="AR5836" s="451"/>
      <c r="AS5836" s="451"/>
      <c r="AT5836" s="451"/>
      <c r="AU5836" s="451"/>
      <c r="AV5836" s="451"/>
      <c r="AW5836" s="451"/>
      <c r="AX5836" s="451"/>
      <c r="AY5836" s="451"/>
      <c r="AZ5836" s="451"/>
      <c r="BA5836" s="451"/>
      <c r="BB5836" s="451"/>
      <c r="BC5836" s="451"/>
      <c r="BD5836" s="451"/>
      <c r="BE5836" s="451"/>
      <c r="BF5836" s="451"/>
      <c r="BG5836" s="451"/>
      <c r="BH5836" s="451"/>
      <c r="BI5836" s="451"/>
      <c r="BJ5836" s="451"/>
      <c r="BK5836" s="451"/>
      <c r="BL5836" s="451"/>
      <c r="BM5836" s="451"/>
      <c r="BN5836" s="451"/>
      <c r="BO5836" s="451"/>
      <c r="BP5836" s="451"/>
      <c r="BQ5836" s="451"/>
      <c r="BR5836" s="451"/>
      <c r="BS5836" s="451"/>
      <c r="BT5836" s="451"/>
      <c r="BU5836" s="451"/>
      <c r="BV5836" s="451"/>
      <c r="BW5836" s="451"/>
      <c r="BX5836" s="451"/>
      <c r="BY5836" s="451"/>
      <c r="BZ5836" s="451"/>
      <c r="CA5836" s="451"/>
      <c r="CB5836" s="451"/>
      <c r="CC5836" s="451"/>
      <c r="CD5836" s="451"/>
      <c r="CE5836" s="451"/>
      <c r="CF5836" s="451"/>
      <c r="CG5836" s="451"/>
      <c r="CH5836" s="451"/>
      <c r="CI5836" s="451"/>
      <c r="CJ5836" s="451"/>
      <c r="CK5836" s="451"/>
      <c r="CL5836" s="451"/>
      <c r="CM5836" s="451"/>
      <c r="CN5836" s="451"/>
      <c r="CO5836" s="451"/>
      <c r="CP5836" s="451"/>
      <c r="CQ5836" s="451"/>
      <c r="CR5836" s="451"/>
      <c r="CS5836" s="451"/>
      <c r="CT5836" s="451"/>
      <c r="CU5836" s="451"/>
      <c r="CV5836" s="451"/>
      <c r="CW5836" s="451"/>
      <c r="CX5836" s="451"/>
      <c r="CY5836" s="451"/>
      <c r="CZ5836" s="451"/>
      <c r="DA5836" s="451"/>
      <c r="DB5836" s="451"/>
      <c r="DC5836" s="451"/>
      <c r="DD5836" s="451"/>
      <c r="DE5836" s="451"/>
      <c r="DF5836" s="451"/>
      <c r="DG5836" s="451"/>
      <c r="DH5836" s="451"/>
      <c r="DI5836" s="451"/>
      <c r="DJ5836" s="451"/>
      <c r="DK5836" s="451"/>
      <c r="DL5836" s="451"/>
      <c r="DM5836" s="451"/>
      <c r="DN5836" s="451"/>
      <c r="DO5836" s="451"/>
      <c r="DP5836" s="451"/>
      <c r="DQ5836" s="451"/>
      <c r="DR5836" s="451"/>
      <c r="DS5836" s="451"/>
      <c r="DT5836" s="451"/>
      <c r="DU5836" s="451"/>
      <c r="DV5836" s="451"/>
      <c r="DW5836" s="451"/>
      <c r="DX5836" s="451"/>
      <c r="DY5836" s="451"/>
      <c r="DZ5836" s="451"/>
      <c r="EA5836" s="451"/>
      <c r="EB5836" s="451"/>
      <c r="EC5836" s="451"/>
      <c r="ED5836" s="451"/>
      <c r="EE5836" s="451"/>
      <c r="EF5836" s="451"/>
      <c r="EG5836" s="451"/>
      <c r="EH5836" s="451"/>
      <c r="EI5836" s="451"/>
      <c r="EJ5836" s="451"/>
      <c r="EK5836" s="451"/>
      <c r="EL5836" s="451"/>
      <c r="EM5836" s="451"/>
      <c r="EN5836" s="451"/>
      <c r="EO5836" s="451"/>
      <c r="EP5836" s="451"/>
      <c r="EQ5836" s="451"/>
      <c r="ER5836" s="451"/>
      <c r="ES5836" s="451"/>
    </row>
    <row r="5837" spans="1:149" ht="15" hidden="1" customHeight="1">
      <c r="A5837" s="468">
        <v>45538</v>
      </c>
      <c r="B5837" s="208" t="s">
        <v>4816</v>
      </c>
      <c r="C5837" s="208" t="s">
        <v>27</v>
      </c>
      <c r="D5837" s="211">
        <v>-113616</v>
      </c>
      <c r="E5837" s="212">
        <v>45536</v>
      </c>
      <c r="F5837" s="201" t="s">
        <v>110</v>
      </c>
      <c r="G5837" s="208" t="s">
        <v>2444</v>
      </c>
      <c r="H5837" s="208"/>
      <c r="I5837" s="208"/>
      <c r="J5837" s="209"/>
      <c r="K5837" s="209"/>
      <c r="L5837" s="209"/>
      <c r="M5837" s="209"/>
      <c r="N5837" s="209"/>
      <c r="O5837" s="209"/>
      <c r="P5837" s="209"/>
      <c r="Q5837" s="209"/>
      <c r="R5837" s="209"/>
      <c r="S5837" s="209"/>
      <c r="T5837" s="209"/>
      <c r="U5837" s="451"/>
      <c r="V5837" s="451"/>
      <c r="W5837" s="451"/>
      <c r="X5837" s="451"/>
      <c r="Y5837" s="451"/>
      <c r="Z5837" s="451"/>
      <c r="AA5837" s="451"/>
      <c r="AB5837" s="451"/>
      <c r="AC5837" s="451"/>
      <c r="AD5837" s="451"/>
      <c r="AE5837" s="451"/>
      <c r="AF5837" s="451"/>
      <c r="AG5837" s="451"/>
      <c r="AH5837" s="451"/>
      <c r="AI5837" s="451"/>
      <c r="AJ5837" s="451"/>
      <c r="AK5837" s="451"/>
      <c r="AL5837" s="451"/>
      <c r="AM5837" s="451"/>
      <c r="AN5837" s="451"/>
      <c r="AO5837" s="451"/>
      <c r="AP5837" s="451"/>
      <c r="AQ5837" s="451"/>
      <c r="AR5837" s="451"/>
      <c r="AS5837" s="451"/>
      <c r="AT5837" s="451"/>
      <c r="AU5837" s="451"/>
      <c r="AV5837" s="451"/>
      <c r="AW5837" s="451"/>
      <c r="AX5837" s="451"/>
      <c r="AY5837" s="451"/>
      <c r="AZ5837" s="451"/>
      <c r="BA5837" s="451"/>
      <c r="BB5837" s="451"/>
      <c r="BC5837" s="451"/>
      <c r="BD5837" s="451"/>
      <c r="BE5837" s="451"/>
      <c r="BF5837" s="451"/>
      <c r="BG5837" s="451"/>
      <c r="BH5837" s="451"/>
      <c r="BI5837" s="451"/>
      <c r="BJ5837" s="451"/>
      <c r="BK5837" s="451"/>
      <c r="BL5837" s="451"/>
      <c r="BM5837" s="451"/>
      <c r="BN5837" s="451"/>
      <c r="BO5837" s="451"/>
      <c r="BP5837" s="451"/>
      <c r="BQ5837" s="451"/>
      <c r="BR5837" s="451"/>
      <c r="BS5837" s="451"/>
      <c r="BT5837" s="451"/>
      <c r="BU5837" s="451"/>
      <c r="BV5837" s="451"/>
      <c r="BW5837" s="451"/>
      <c r="BX5837" s="451"/>
      <c r="BY5837" s="451"/>
      <c r="BZ5837" s="451"/>
      <c r="CA5837" s="451"/>
      <c r="CB5837" s="451"/>
      <c r="CC5837" s="451"/>
      <c r="CD5837" s="451"/>
      <c r="CE5837" s="451"/>
      <c r="CF5837" s="451"/>
      <c r="CG5837" s="451"/>
      <c r="CH5837" s="451"/>
      <c r="CI5837" s="451"/>
      <c r="CJ5837" s="451"/>
      <c r="CK5837" s="451"/>
      <c r="CL5837" s="451"/>
      <c r="CM5837" s="451"/>
      <c r="CN5837" s="451"/>
      <c r="CO5837" s="451"/>
      <c r="CP5837" s="451"/>
      <c r="CQ5837" s="451"/>
      <c r="CR5837" s="451"/>
      <c r="CS5837" s="451"/>
      <c r="CT5837" s="451"/>
      <c r="CU5837" s="451"/>
      <c r="CV5837" s="451"/>
      <c r="CW5837" s="451"/>
      <c r="CX5837" s="451"/>
      <c r="CY5837" s="451"/>
      <c r="CZ5837" s="451"/>
      <c r="DA5837" s="451"/>
      <c r="DB5837" s="451"/>
      <c r="DC5837" s="451"/>
      <c r="DD5837" s="451"/>
      <c r="DE5837" s="451"/>
      <c r="DF5837" s="451"/>
      <c r="DG5837" s="451"/>
      <c r="DH5837" s="451"/>
      <c r="DI5837" s="451"/>
      <c r="DJ5837" s="451"/>
      <c r="DK5837" s="451"/>
      <c r="DL5837" s="451"/>
      <c r="DM5837" s="451"/>
      <c r="DN5837" s="451"/>
      <c r="DO5837" s="451"/>
      <c r="DP5837" s="451"/>
      <c r="DQ5837" s="451"/>
      <c r="DR5837" s="451"/>
      <c r="DS5837" s="451"/>
      <c r="DT5837" s="451"/>
      <c r="DU5837" s="451"/>
      <c r="DV5837" s="451"/>
      <c r="DW5837" s="451"/>
      <c r="DX5837" s="451"/>
      <c r="DY5837" s="451"/>
      <c r="DZ5837" s="451"/>
      <c r="EA5837" s="451"/>
      <c r="EB5837" s="451"/>
      <c r="EC5837" s="451"/>
      <c r="ED5837" s="451"/>
      <c r="EE5837" s="451"/>
      <c r="EF5837" s="451"/>
      <c r="EG5837" s="451"/>
      <c r="EH5837" s="451"/>
      <c r="EI5837" s="451"/>
      <c r="EJ5837" s="451"/>
      <c r="EK5837" s="451"/>
      <c r="EL5837" s="451"/>
      <c r="EM5837" s="451"/>
      <c r="EN5837" s="451"/>
      <c r="EO5837" s="451"/>
      <c r="EP5837" s="451"/>
      <c r="EQ5837" s="451"/>
      <c r="ER5837" s="451"/>
      <c r="ES5837" s="451"/>
    </row>
    <row r="5838" spans="1:149" ht="15" hidden="1" customHeight="1">
      <c r="A5838" s="468">
        <v>45538</v>
      </c>
      <c r="B5838" s="208" t="s">
        <v>4817</v>
      </c>
      <c r="C5838" s="208" t="s">
        <v>27</v>
      </c>
      <c r="D5838" s="211">
        <v>-415999</v>
      </c>
      <c r="E5838" s="212">
        <v>45536</v>
      </c>
      <c r="F5838" s="208" t="s">
        <v>130</v>
      </c>
      <c r="G5838" s="208" t="s">
        <v>130</v>
      </c>
      <c r="H5838" s="208" t="s">
        <v>323</v>
      </c>
      <c r="I5838" s="208"/>
      <c r="J5838" s="209"/>
      <c r="K5838" s="209"/>
      <c r="L5838" s="209"/>
      <c r="M5838" s="209"/>
      <c r="N5838" s="209"/>
      <c r="O5838" s="209"/>
      <c r="P5838" s="209"/>
      <c r="Q5838" s="209"/>
      <c r="R5838" s="209"/>
      <c r="S5838" s="209"/>
      <c r="T5838" s="209"/>
      <c r="U5838" s="451"/>
      <c r="V5838" s="451"/>
      <c r="W5838" s="451"/>
      <c r="X5838" s="451"/>
      <c r="Y5838" s="451"/>
      <c r="Z5838" s="451"/>
      <c r="AA5838" s="451"/>
      <c r="AB5838" s="451"/>
      <c r="AC5838" s="451"/>
      <c r="AD5838" s="451"/>
      <c r="AE5838" s="451"/>
      <c r="AF5838" s="451"/>
      <c r="AG5838" s="451"/>
      <c r="AH5838" s="451"/>
      <c r="AI5838" s="451"/>
      <c r="AJ5838" s="451"/>
      <c r="AK5838" s="451"/>
      <c r="AL5838" s="451"/>
      <c r="AM5838" s="451"/>
      <c r="AN5838" s="451"/>
      <c r="AO5838" s="451"/>
      <c r="AP5838" s="451"/>
      <c r="AQ5838" s="451"/>
      <c r="AR5838" s="451"/>
      <c r="AS5838" s="451"/>
      <c r="AT5838" s="451"/>
      <c r="AU5838" s="451"/>
      <c r="AV5838" s="451"/>
      <c r="AW5838" s="451"/>
      <c r="AX5838" s="451"/>
      <c r="AY5838" s="451"/>
      <c r="AZ5838" s="451"/>
      <c r="BA5838" s="451"/>
      <c r="BB5838" s="451"/>
      <c r="BC5838" s="451"/>
      <c r="BD5838" s="451"/>
      <c r="BE5838" s="451"/>
      <c r="BF5838" s="451"/>
      <c r="BG5838" s="451"/>
      <c r="BH5838" s="451"/>
      <c r="BI5838" s="451"/>
      <c r="BJ5838" s="451"/>
      <c r="BK5838" s="451"/>
      <c r="BL5838" s="451"/>
      <c r="BM5838" s="451"/>
      <c r="BN5838" s="451"/>
      <c r="BO5838" s="451"/>
      <c r="BP5838" s="451"/>
      <c r="BQ5838" s="451"/>
      <c r="BR5838" s="451"/>
      <c r="BS5838" s="451"/>
      <c r="BT5838" s="451"/>
      <c r="BU5838" s="451"/>
      <c r="BV5838" s="451"/>
      <c r="BW5838" s="451"/>
      <c r="BX5838" s="451"/>
      <c r="BY5838" s="451"/>
      <c r="BZ5838" s="451"/>
      <c r="CA5838" s="451"/>
      <c r="CB5838" s="451"/>
      <c r="CC5838" s="451"/>
      <c r="CD5838" s="451"/>
      <c r="CE5838" s="451"/>
      <c r="CF5838" s="451"/>
      <c r="CG5838" s="451"/>
      <c r="CH5838" s="451"/>
      <c r="CI5838" s="451"/>
      <c r="CJ5838" s="451"/>
      <c r="CK5838" s="451"/>
      <c r="CL5838" s="451"/>
      <c r="CM5838" s="451"/>
      <c r="CN5838" s="451"/>
      <c r="CO5838" s="451"/>
      <c r="CP5838" s="451"/>
      <c r="CQ5838" s="451"/>
      <c r="CR5838" s="451"/>
      <c r="CS5838" s="451"/>
      <c r="CT5838" s="451"/>
      <c r="CU5838" s="451"/>
      <c r="CV5838" s="451"/>
      <c r="CW5838" s="451"/>
      <c r="CX5838" s="451"/>
      <c r="CY5838" s="451"/>
      <c r="CZ5838" s="451"/>
      <c r="DA5838" s="451"/>
      <c r="DB5838" s="451"/>
      <c r="DC5838" s="451"/>
      <c r="DD5838" s="451"/>
      <c r="DE5838" s="451"/>
      <c r="DF5838" s="451"/>
      <c r="DG5838" s="451"/>
      <c r="DH5838" s="451"/>
      <c r="DI5838" s="451"/>
      <c r="DJ5838" s="451"/>
      <c r="DK5838" s="451"/>
      <c r="DL5838" s="451"/>
      <c r="DM5838" s="451"/>
      <c r="DN5838" s="451"/>
      <c r="DO5838" s="451"/>
      <c r="DP5838" s="451"/>
      <c r="DQ5838" s="451"/>
      <c r="DR5838" s="451"/>
      <c r="DS5838" s="451"/>
      <c r="DT5838" s="451"/>
      <c r="DU5838" s="451"/>
      <c r="DV5838" s="451"/>
      <c r="DW5838" s="451"/>
      <c r="DX5838" s="451"/>
      <c r="DY5838" s="451"/>
      <c r="DZ5838" s="451"/>
      <c r="EA5838" s="451"/>
      <c r="EB5838" s="451"/>
      <c r="EC5838" s="451"/>
      <c r="ED5838" s="451"/>
      <c r="EE5838" s="451"/>
      <c r="EF5838" s="451"/>
      <c r="EG5838" s="451"/>
      <c r="EH5838" s="451"/>
      <c r="EI5838" s="451"/>
      <c r="EJ5838" s="451"/>
      <c r="EK5838" s="451"/>
      <c r="EL5838" s="451"/>
      <c r="EM5838" s="451"/>
      <c r="EN5838" s="451"/>
      <c r="EO5838" s="451"/>
      <c r="EP5838" s="451"/>
      <c r="EQ5838" s="451"/>
      <c r="ER5838" s="451"/>
      <c r="ES5838" s="451"/>
    </row>
    <row r="5839" spans="1:149" ht="15" hidden="1" customHeight="1">
      <c r="A5839" s="468">
        <v>45538</v>
      </c>
      <c r="B5839" s="208" t="s">
        <v>4818</v>
      </c>
      <c r="C5839" s="208" t="s">
        <v>27</v>
      </c>
      <c r="D5839" s="211">
        <v>-610000</v>
      </c>
      <c r="E5839" s="212">
        <v>45536</v>
      </c>
      <c r="F5839" s="208" t="s">
        <v>109</v>
      </c>
      <c r="G5839" s="201" t="s">
        <v>583</v>
      </c>
      <c r="H5839" s="208"/>
      <c r="I5839" s="208"/>
      <c r="J5839" s="209"/>
      <c r="K5839" s="209"/>
      <c r="L5839" s="209"/>
      <c r="M5839" s="209"/>
      <c r="N5839" s="209"/>
      <c r="O5839" s="209"/>
      <c r="P5839" s="209"/>
      <c r="Q5839" s="209"/>
      <c r="R5839" s="209"/>
      <c r="S5839" s="209"/>
      <c r="T5839" s="209"/>
      <c r="U5839" s="451"/>
      <c r="V5839" s="451"/>
      <c r="W5839" s="451"/>
      <c r="X5839" s="451"/>
      <c r="Y5839" s="451"/>
      <c r="Z5839" s="451"/>
      <c r="AA5839" s="451"/>
      <c r="AB5839" s="451"/>
      <c r="AC5839" s="451"/>
      <c r="AD5839" s="451"/>
      <c r="AE5839" s="451"/>
      <c r="AF5839" s="451"/>
      <c r="AG5839" s="451"/>
      <c r="AH5839" s="451"/>
      <c r="AI5839" s="451"/>
      <c r="AJ5839" s="451"/>
      <c r="AK5839" s="451"/>
      <c r="AL5839" s="451"/>
      <c r="AM5839" s="451"/>
      <c r="AN5839" s="451"/>
      <c r="AO5839" s="451"/>
      <c r="AP5839" s="451"/>
      <c r="AQ5839" s="451"/>
      <c r="AR5839" s="451"/>
      <c r="AS5839" s="451"/>
      <c r="AT5839" s="451"/>
      <c r="AU5839" s="451"/>
      <c r="AV5839" s="451"/>
      <c r="AW5839" s="451"/>
      <c r="AX5839" s="451"/>
      <c r="AY5839" s="451"/>
      <c r="AZ5839" s="451"/>
      <c r="BA5839" s="451"/>
      <c r="BB5839" s="451"/>
      <c r="BC5839" s="451"/>
      <c r="BD5839" s="451"/>
      <c r="BE5839" s="451"/>
      <c r="BF5839" s="451"/>
      <c r="BG5839" s="451"/>
      <c r="BH5839" s="451"/>
      <c r="BI5839" s="451"/>
      <c r="BJ5839" s="451"/>
      <c r="BK5839" s="451"/>
      <c r="BL5839" s="451"/>
      <c r="BM5839" s="451"/>
      <c r="BN5839" s="451"/>
      <c r="BO5839" s="451"/>
      <c r="BP5839" s="451"/>
      <c r="BQ5839" s="451"/>
      <c r="BR5839" s="451"/>
      <c r="BS5839" s="451"/>
      <c r="BT5839" s="451"/>
      <c r="BU5839" s="451"/>
      <c r="BV5839" s="451"/>
      <c r="BW5839" s="451"/>
      <c r="BX5839" s="451"/>
      <c r="BY5839" s="451"/>
      <c r="BZ5839" s="451"/>
      <c r="CA5839" s="451"/>
      <c r="CB5839" s="451"/>
      <c r="CC5839" s="451"/>
      <c r="CD5839" s="451"/>
      <c r="CE5839" s="451"/>
      <c r="CF5839" s="451"/>
      <c r="CG5839" s="451"/>
      <c r="CH5839" s="451"/>
      <c r="CI5839" s="451"/>
      <c r="CJ5839" s="451"/>
      <c r="CK5839" s="451"/>
      <c r="CL5839" s="451"/>
      <c r="CM5839" s="451"/>
      <c r="CN5839" s="451"/>
      <c r="CO5839" s="451"/>
      <c r="CP5839" s="451"/>
      <c r="CQ5839" s="451"/>
      <c r="CR5839" s="451"/>
      <c r="CS5839" s="451"/>
      <c r="CT5839" s="451"/>
      <c r="CU5839" s="451"/>
      <c r="CV5839" s="451"/>
      <c r="CW5839" s="451"/>
      <c r="CX5839" s="451"/>
      <c r="CY5839" s="451"/>
      <c r="CZ5839" s="451"/>
      <c r="DA5839" s="451"/>
      <c r="DB5839" s="451"/>
      <c r="DC5839" s="451"/>
      <c r="DD5839" s="451"/>
      <c r="DE5839" s="451"/>
      <c r="DF5839" s="451"/>
      <c r="DG5839" s="451"/>
      <c r="DH5839" s="451"/>
      <c r="DI5839" s="451"/>
      <c r="DJ5839" s="451"/>
      <c r="DK5839" s="451"/>
      <c r="DL5839" s="451"/>
      <c r="DM5839" s="451"/>
      <c r="DN5839" s="451"/>
      <c r="DO5839" s="451"/>
      <c r="DP5839" s="451"/>
      <c r="DQ5839" s="451"/>
      <c r="DR5839" s="451"/>
      <c r="DS5839" s="451"/>
      <c r="DT5839" s="451"/>
      <c r="DU5839" s="451"/>
      <c r="DV5839" s="451"/>
      <c r="DW5839" s="451"/>
      <c r="DX5839" s="451"/>
      <c r="DY5839" s="451"/>
      <c r="DZ5839" s="451"/>
      <c r="EA5839" s="451"/>
      <c r="EB5839" s="451"/>
      <c r="EC5839" s="451"/>
      <c r="ED5839" s="451"/>
      <c r="EE5839" s="451"/>
      <c r="EF5839" s="451"/>
      <c r="EG5839" s="451"/>
      <c r="EH5839" s="451"/>
      <c r="EI5839" s="451"/>
      <c r="EJ5839" s="451"/>
      <c r="EK5839" s="451"/>
      <c r="EL5839" s="451"/>
      <c r="EM5839" s="451"/>
      <c r="EN5839" s="451"/>
      <c r="EO5839" s="451"/>
      <c r="EP5839" s="451"/>
      <c r="EQ5839" s="451"/>
      <c r="ER5839" s="451"/>
      <c r="ES5839" s="451"/>
    </row>
    <row r="5840" spans="1:149" ht="15" hidden="1" customHeight="1">
      <c r="A5840" s="468">
        <v>45538</v>
      </c>
      <c r="B5840" s="208" t="s">
        <v>4819</v>
      </c>
      <c r="C5840" s="208" t="s">
        <v>27</v>
      </c>
      <c r="D5840" s="211">
        <v>-1948415</v>
      </c>
      <c r="E5840" s="212">
        <v>45536</v>
      </c>
      <c r="F5840" s="208" t="s">
        <v>130</v>
      </c>
      <c r="G5840" s="208" t="s">
        <v>130</v>
      </c>
      <c r="H5840" s="208" t="s">
        <v>1175</v>
      </c>
      <c r="I5840" s="208"/>
      <c r="J5840" s="209"/>
      <c r="K5840" s="209"/>
      <c r="L5840" s="209"/>
      <c r="M5840" s="209"/>
      <c r="N5840" s="209"/>
      <c r="O5840" s="209"/>
      <c r="P5840" s="209"/>
      <c r="Q5840" s="209"/>
      <c r="R5840" s="209"/>
      <c r="S5840" s="209"/>
      <c r="T5840" s="209"/>
      <c r="U5840" s="451"/>
      <c r="V5840" s="451"/>
      <c r="W5840" s="451"/>
      <c r="X5840" s="451"/>
      <c r="Y5840" s="451"/>
      <c r="Z5840" s="451"/>
      <c r="AA5840" s="451"/>
      <c r="AB5840" s="451"/>
      <c r="AC5840" s="451"/>
      <c r="AD5840" s="451"/>
      <c r="AE5840" s="451"/>
      <c r="AF5840" s="451"/>
      <c r="AG5840" s="451"/>
      <c r="AH5840" s="451"/>
      <c r="AI5840" s="451"/>
      <c r="AJ5840" s="451"/>
      <c r="AK5840" s="451"/>
      <c r="AL5840" s="451"/>
      <c r="AM5840" s="451"/>
      <c r="AN5840" s="451"/>
      <c r="AO5840" s="451"/>
      <c r="AP5840" s="451"/>
      <c r="AQ5840" s="451"/>
      <c r="AR5840" s="451"/>
      <c r="AS5840" s="451"/>
      <c r="AT5840" s="451"/>
      <c r="AU5840" s="451"/>
      <c r="AV5840" s="451"/>
      <c r="AW5840" s="451"/>
      <c r="AX5840" s="451"/>
      <c r="AY5840" s="451"/>
      <c r="AZ5840" s="451"/>
      <c r="BA5840" s="451"/>
      <c r="BB5840" s="451"/>
      <c r="BC5840" s="451"/>
      <c r="BD5840" s="451"/>
      <c r="BE5840" s="451"/>
      <c r="BF5840" s="451"/>
      <c r="BG5840" s="451"/>
      <c r="BH5840" s="451"/>
      <c r="BI5840" s="451"/>
      <c r="BJ5840" s="451"/>
      <c r="BK5840" s="451"/>
      <c r="BL5840" s="451"/>
      <c r="BM5840" s="451"/>
      <c r="BN5840" s="451"/>
      <c r="BO5840" s="451"/>
      <c r="BP5840" s="451"/>
      <c r="BQ5840" s="451"/>
      <c r="BR5840" s="451"/>
      <c r="BS5840" s="451"/>
      <c r="BT5840" s="451"/>
      <c r="BU5840" s="451"/>
      <c r="BV5840" s="451"/>
      <c r="BW5840" s="451"/>
      <c r="BX5840" s="451"/>
      <c r="BY5840" s="451"/>
      <c r="BZ5840" s="451"/>
      <c r="CA5840" s="451"/>
      <c r="CB5840" s="451"/>
      <c r="CC5840" s="451"/>
      <c r="CD5840" s="451"/>
      <c r="CE5840" s="451"/>
      <c r="CF5840" s="451"/>
      <c r="CG5840" s="451"/>
      <c r="CH5840" s="451"/>
      <c r="CI5840" s="451"/>
      <c r="CJ5840" s="451"/>
      <c r="CK5840" s="451"/>
      <c r="CL5840" s="451"/>
      <c r="CM5840" s="451"/>
      <c r="CN5840" s="451"/>
      <c r="CO5840" s="451"/>
      <c r="CP5840" s="451"/>
      <c r="CQ5840" s="451"/>
      <c r="CR5840" s="451"/>
      <c r="CS5840" s="451"/>
      <c r="CT5840" s="451"/>
      <c r="CU5840" s="451"/>
      <c r="CV5840" s="451"/>
      <c r="CW5840" s="451"/>
      <c r="CX5840" s="451"/>
      <c r="CY5840" s="451"/>
      <c r="CZ5840" s="451"/>
      <c r="DA5840" s="451"/>
      <c r="DB5840" s="451"/>
      <c r="DC5840" s="451"/>
      <c r="DD5840" s="451"/>
      <c r="DE5840" s="451"/>
      <c r="DF5840" s="451"/>
      <c r="DG5840" s="451"/>
      <c r="DH5840" s="451"/>
      <c r="DI5840" s="451"/>
      <c r="DJ5840" s="451"/>
      <c r="DK5840" s="451"/>
      <c r="DL5840" s="451"/>
      <c r="DM5840" s="451"/>
      <c r="DN5840" s="451"/>
      <c r="DO5840" s="451"/>
      <c r="DP5840" s="451"/>
      <c r="DQ5840" s="451"/>
      <c r="DR5840" s="451"/>
      <c r="DS5840" s="451"/>
      <c r="DT5840" s="451"/>
      <c r="DU5840" s="451"/>
      <c r="DV5840" s="451"/>
      <c r="DW5840" s="451"/>
      <c r="DX5840" s="451"/>
      <c r="DY5840" s="451"/>
      <c r="DZ5840" s="451"/>
      <c r="EA5840" s="451"/>
      <c r="EB5840" s="451"/>
      <c r="EC5840" s="451"/>
      <c r="ED5840" s="451"/>
      <c r="EE5840" s="451"/>
      <c r="EF5840" s="451"/>
      <c r="EG5840" s="451"/>
      <c r="EH5840" s="451"/>
      <c r="EI5840" s="451"/>
      <c r="EJ5840" s="451"/>
      <c r="EK5840" s="451"/>
      <c r="EL5840" s="451"/>
      <c r="EM5840" s="451"/>
      <c r="EN5840" s="451"/>
      <c r="EO5840" s="451"/>
      <c r="EP5840" s="451"/>
      <c r="EQ5840" s="451"/>
      <c r="ER5840" s="451"/>
      <c r="ES5840" s="451"/>
    </row>
    <row r="5841" spans="1:149" ht="15" hidden="1" customHeight="1">
      <c r="A5841" s="468">
        <v>45538</v>
      </c>
      <c r="B5841" s="208" t="s">
        <v>4820</v>
      </c>
      <c r="C5841" s="208" t="s">
        <v>27</v>
      </c>
      <c r="D5841" s="211">
        <v>-436178</v>
      </c>
      <c r="E5841" s="212">
        <v>45536</v>
      </c>
      <c r="F5841" s="201" t="s">
        <v>110</v>
      </c>
      <c r="G5841" s="208" t="s">
        <v>2444</v>
      </c>
      <c r="H5841" s="208"/>
      <c r="I5841" s="208"/>
      <c r="J5841" s="209"/>
      <c r="K5841" s="209"/>
      <c r="L5841" s="209"/>
      <c r="M5841" s="209"/>
      <c r="N5841" s="209"/>
      <c r="O5841" s="209"/>
      <c r="P5841" s="209"/>
      <c r="Q5841" s="209"/>
      <c r="R5841" s="209"/>
      <c r="S5841" s="209"/>
      <c r="T5841" s="209"/>
      <c r="U5841" s="451"/>
      <c r="V5841" s="451"/>
      <c r="W5841" s="451"/>
      <c r="X5841" s="451"/>
      <c r="Y5841" s="451"/>
      <c r="Z5841" s="451"/>
      <c r="AA5841" s="451"/>
      <c r="AB5841" s="451"/>
      <c r="AC5841" s="451"/>
      <c r="AD5841" s="451"/>
      <c r="AE5841" s="451"/>
      <c r="AF5841" s="451"/>
      <c r="AG5841" s="451"/>
      <c r="AH5841" s="451"/>
      <c r="AI5841" s="451"/>
      <c r="AJ5841" s="451"/>
      <c r="AK5841" s="451"/>
      <c r="AL5841" s="451"/>
      <c r="AM5841" s="451"/>
      <c r="AN5841" s="451"/>
      <c r="AO5841" s="451"/>
      <c r="AP5841" s="451"/>
      <c r="AQ5841" s="451"/>
      <c r="AR5841" s="451"/>
      <c r="AS5841" s="451"/>
      <c r="AT5841" s="451"/>
      <c r="AU5841" s="451"/>
      <c r="AV5841" s="451"/>
      <c r="AW5841" s="451"/>
      <c r="AX5841" s="451"/>
      <c r="AY5841" s="451"/>
      <c r="AZ5841" s="451"/>
      <c r="BA5841" s="451"/>
      <c r="BB5841" s="451"/>
      <c r="BC5841" s="451"/>
      <c r="BD5841" s="451"/>
      <c r="BE5841" s="451"/>
      <c r="BF5841" s="451"/>
      <c r="BG5841" s="451"/>
      <c r="BH5841" s="451"/>
      <c r="BI5841" s="451"/>
      <c r="BJ5841" s="451"/>
      <c r="BK5841" s="451"/>
      <c r="BL5841" s="451"/>
      <c r="BM5841" s="451"/>
      <c r="BN5841" s="451"/>
      <c r="BO5841" s="451"/>
      <c r="BP5841" s="451"/>
      <c r="BQ5841" s="451"/>
      <c r="BR5841" s="451"/>
      <c r="BS5841" s="451"/>
      <c r="BT5841" s="451"/>
      <c r="BU5841" s="451"/>
      <c r="BV5841" s="451"/>
      <c r="BW5841" s="451"/>
      <c r="BX5841" s="451"/>
      <c r="BY5841" s="451"/>
      <c r="BZ5841" s="451"/>
      <c r="CA5841" s="451"/>
      <c r="CB5841" s="451"/>
      <c r="CC5841" s="451"/>
      <c r="CD5841" s="451"/>
      <c r="CE5841" s="451"/>
      <c r="CF5841" s="451"/>
      <c r="CG5841" s="451"/>
      <c r="CH5841" s="451"/>
      <c r="CI5841" s="451"/>
      <c r="CJ5841" s="451"/>
      <c r="CK5841" s="451"/>
      <c r="CL5841" s="451"/>
      <c r="CM5841" s="451"/>
      <c r="CN5841" s="451"/>
      <c r="CO5841" s="451"/>
      <c r="CP5841" s="451"/>
      <c r="CQ5841" s="451"/>
      <c r="CR5841" s="451"/>
      <c r="CS5841" s="451"/>
      <c r="CT5841" s="451"/>
      <c r="CU5841" s="451"/>
      <c r="CV5841" s="451"/>
      <c r="CW5841" s="451"/>
      <c r="CX5841" s="451"/>
      <c r="CY5841" s="451"/>
      <c r="CZ5841" s="451"/>
      <c r="DA5841" s="451"/>
      <c r="DB5841" s="451"/>
      <c r="DC5841" s="451"/>
      <c r="DD5841" s="451"/>
      <c r="DE5841" s="451"/>
      <c r="DF5841" s="451"/>
      <c r="DG5841" s="451"/>
      <c r="DH5841" s="451"/>
      <c r="DI5841" s="451"/>
      <c r="DJ5841" s="451"/>
      <c r="DK5841" s="451"/>
      <c r="DL5841" s="451"/>
      <c r="DM5841" s="451"/>
      <c r="DN5841" s="451"/>
      <c r="DO5841" s="451"/>
      <c r="DP5841" s="451"/>
      <c r="DQ5841" s="451"/>
      <c r="DR5841" s="451"/>
      <c r="DS5841" s="451"/>
      <c r="DT5841" s="451"/>
      <c r="DU5841" s="451"/>
      <c r="DV5841" s="451"/>
      <c r="DW5841" s="451"/>
      <c r="DX5841" s="451"/>
      <c r="DY5841" s="451"/>
      <c r="DZ5841" s="451"/>
      <c r="EA5841" s="451"/>
      <c r="EB5841" s="451"/>
      <c r="EC5841" s="451"/>
      <c r="ED5841" s="451"/>
      <c r="EE5841" s="451"/>
      <c r="EF5841" s="451"/>
      <c r="EG5841" s="451"/>
      <c r="EH5841" s="451"/>
      <c r="EI5841" s="451"/>
      <c r="EJ5841" s="451"/>
      <c r="EK5841" s="451"/>
      <c r="EL5841" s="451"/>
      <c r="EM5841" s="451"/>
      <c r="EN5841" s="451"/>
      <c r="EO5841" s="451"/>
      <c r="EP5841" s="451"/>
      <c r="EQ5841" s="451"/>
      <c r="ER5841" s="451"/>
      <c r="ES5841" s="451"/>
    </row>
    <row r="5842" spans="1:149" ht="15" hidden="1" customHeight="1">
      <c r="A5842" s="468">
        <v>45538</v>
      </c>
      <c r="B5842" s="208" t="s">
        <v>4821</v>
      </c>
      <c r="C5842" s="208" t="s">
        <v>27</v>
      </c>
      <c r="D5842" s="211">
        <v>-795966</v>
      </c>
      <c r="E5842" s="212">
        <v>45536</v>
      </c>
      <c r="F5842" s="208" t="s">
        <v>130</v>
      </c>
      <c r="G5842" s="208" t="s">
        <v>130</v>
      </c>
      <c r="H5842" s="208" t="s">
        <v>323</v>
      </c>
      <c r="I5842" s="208"/>
      <c r="J5842" s="209"/>
      <c r="K5842" s="209"/>
      <c r="L5842" s="209"/>
      <c r="M5842" s="209"/>
      <c r="N5842" s="209"/>
      <c r="O5842" s="209"/>
      <c r="P5842" s="209"/>
      <c r="Q5842" s="209"/>
      <c r="R5842" s="209"/>
      <c r="S5842" s="209"/>
      <c r="T5842" s="209"/>
      <c r="U5842" s="451"/>
      <c r="V5842" s="451"/>
      <c r="W5842" s="451"/>
      <c r="X5842" s="451"/>
      <c r="Y5842" s="451"/>
      <c r="Z5842" s="451"/>
      <c r="AA5842" s="451"/>
      <c r="AB5842" s="451"/>
      <c r="AC5842" s="451"/>
      <c r="AD5842" s="451"/>
      <c r="AE5842" s="451"/>
      <c r="AF5842" s="451"/>
      <c r="AG5842" s="451"/>
      <c r="AH5842" s="451"/>
      <c r="AI5842" s="451"/>
      <c r="AJ5842" s="451"/>
      <c r="AK5842" s="451"/>
      <c r="AL5842" s="451"/>
      <c r="AM5842" s="451"/>
      <c r="AN5842" s="451"/>
      <c r="AO5842" s="451"/>
      <c r="AP5842" s="451"/>
      <c r="AQ5842" s="451"/>
      <c r="AR5842" s="451"/>
      <c r="AS5842" s="451"/>
      <c r="AT5842" s="451"/>
      <c r="AU5842" s="451"/>
      <c r="AV5842" s="451"/>
      <c r="AW5842" s="451"/>
      <c r="AX5842" s="451"/>
      <c r="AY5842" s="451"/>
      <c r="AZ5842" s="451"/>
      <c r="BA5842" s="451"/>
      <c r="BB5842" s="451"/>
      <c r="BC5842" s="451"/>
      <c r="BD5842" s="451"/>
      <c r="BE5842" s="451"/>
      <c r="BF5842" s="451"/>
      <c r="BG5842" s="451"/>
      <c r="BH5842" s="451"/>
      <c r="BI5842" s="451"/>
      <c r="BJ5842" s="451"/>
      <c r="BK5842" s="451"/>
      <c r="BL5842" s="451"/>
      <c r="BM5842" s="451"/>
      <c r="BN5842" s="451"/>
      <c r="BO5842" s="451"/>
      <c r="BP5842" s="451"/>
      <c r="BQ5842" s="451"/>
      <c r="BR5842" s="451"/>
      <c r="BS5842" s="451"/>
      <c r="BT5842" s="451"/>
      <c r="BU5842" s="451"/>
      <c r="BV5842" s="451"/>
      <c r="BW5842" s="451"/>
      <c r="BX5842" s="451"/>
      <c r="BY5842" s="451"/>
      <c r="BZ5842" s="451"/>
      <c r="CA5842" s="451"/>
      <c r="CB5842" s="451"/>
      <c r="CC5842" s="451"/>
      <c r="CD5842" s="451"/>
      <c r="CE5842" s="451"/>
      <c r="CF5842" s="451"/>
      <c r="CG5842" s="451"/>
      <c r="CH5842" s="451"/>
      <c r="CI5842" s="451"/>
      <c r="CJ5842" s="451"/>
      <c r="CK5842" s="451"/>
      <c r="CL5842" s="451"/>
      <c r="CM5842" s="451"/>
      <c r="CN5842" s="451"/>
      <c r="CO5842" s="451"/>
      <c r="CP5842" s="451"/>
      <c r="CQ5842" s="451"/>
      <c r="CR5842" s="451"/>
      <c r="CS5842" s="451"/>
      <c r="CT5842" s="451"/>
      <c r="CU5842" s="451"/>
      <c r="CV5842" s="451"/>
      <c r="CW5842" s="451"/>
      <c r="CX5842" s="451"/>
      <c r="CY5842" s="451"/>
      <c r="CZ5842" s="451"/>
      <c r="DA5842" s="451"/>
      <c r="DB5842" s="451"/>
      <c r="DC5842" s="451"/>
      <c r="DD5842" s="451"/>
      <c r="DE5842" s="451"/>
      <c r="DF5842" s="451"/>
      <c r="DG5842" s="451"/>
      <c r="DH5842" s="451"/>
      <c r="DI5842" s="451"/>
      <c r="DJ5842" s="451"/>
      <c r="DK5842" s="451"/>
      <c r="DL5842" s="451"/>
      <c r="DM5842" s="451"/>
      <c r="DN5842" s="451"/>
      <c r="DO5842" s="451"/>
      <c r="DP5842" s="451"/>
      <c r="DQ5842" s="451"/>
      <c r="DR5842" s="451"/>
      <c r="DS5842" s="451"/>
      <c r="DT5842" s="451"/>
      <c r="DU5842" s="451"/>
      <c r="DV5842" s="451"/>
      <c r="DW5842" s="451"/>
      <c r="DX5842" s="451"/>
      <c r="DY5842" s="451"/>
      <c r="DZ5842" s="451"/>
      <c r="EA5842" s="451"/>
      <c r="EB5842" s="451"/>
      <c r="EC5842" s="451"/>
      <c r="ED5842" s="451"/>
      <c r="EE5842" s="451"/>
      <c r="EF5842" s="451"/>
      <c r="EG5842" s="451"/>
      <c r="EH5842" s="451"/>
      <c r="EI5842" s="451"/>
      <c r="EJ5842" s="451"/>
      <c r="EK5842" s="451"/>
      <c r="EL5842" s="451"/>
      <c r="EM5842" s="451"/>
      <c r="EN5842" s="451"/>
      <c r="EO5842" s="451"/>
      <c r="EP5842" s="451"/>
      <c r="EQ5842" s="451"/>
      <c r="ER5842" s="451"/>
      <c r="ES5842" s="451"/>
    </row>
    <row r="5843" spans="1:149" ht="15" hidden="1" customHeight="1">
      <c r="A5843" s="468">
        <v>45538</v>
      </c>
      <c r="B5843" s="208" t="s">
        <v>4822</v>
      </c>
      <c r="C5843" s="208" t="s">
        <v>27</v>
      </c>
      <c r="D5843" s="211">
        <v>-9100620</v>
      </c>
      <c r="E5843" s="212">
        <v>45536</v>
      </c>
      <c r="F5843" s="208" t="s">
        <v>109</v>
      </c>
      <c r="G5843" s="201" t="s">
        <v>581</v>
      </c>
      <c r="H5843" s="208"/>
      <c r="I5843" s="208"/>
      <c r="J5843" s="209"/>
      <c r="K5843" s="209"/>
      <c r="L5843" s="209"/>
      <c r="M5843" s="209"/>
      <c r="N5843" s="209"/>
      <c r="O5843" s="209"/>
      <c r="P5843" s="209"/>
      <c r="Q5843" s="209"/>
      <c r="R5843" s="209"/>
      <c r="S5843" s="209"/>
      <c r="T5843" s="209"/>
      <c r="U5843" s="451"/>
      <c r="V5843" s="451"/>
      <c r="W5843" s="451"/>
      <c r="X5843" s="451"/>
      <c r="Y5843" s="451"/>
      <c r="Z5843" s="451"/>
      <c r="AA5843" s="451"/>
      <c r="AB5843" s="451"/>
      <c r="AC5843" s="451"/>
      <c r="AD5843" s="451"/>
      <c r="AE5843" s="451"/>
      <c r="AF5843" s="451"/>
      <c r="AG5843" s="451"/>
      <c r="AH5843" s="451"/>
      <c r="AI5843" s="451"/>
      <c r="AJ5843" s="451"/>
      <c r="AK5843" s="451"/>
      <c r="AL5843" s="451"/>
      <c r="AM5843" s="451"/>
      <c r="AN5843" s="451"/>
      <c r="AO5843" s="451"/>
      <c r="AP5843" s="451"/>
      <c r="AQ5843" s="451"/>
      <c r="AR5843" s="451"/>
      <c r="AS5843" s="451"/>
      <c r="AT5843" s="451"/>
      <c r="AU5843" s="451"/>
      <c r="AV5843" s="451"/>
      <c r="AW5843" s="451"/>
      <c r="AX5843" s="451"/>
      <c r="AY5843" s="451"/>
      <c r="AZ5843" s="451"/>
      <c r="BA5843" s="451"/>
      <c r="BB5843" s="451"/>
      <c r="BC5843" s="451"/>
      <c r="BD5843" s="451"/>
      <c r="BE5843" s="451"/>
      <c r="BF5843" s="451"/>
      <c r="BG5843" s="451"/>
      <c r="BH5843" s="451"/>
      <c r="BI5843" s="451"/>
      <c r="BJ5843" s="451"/>
      <c r="BK5843" s="451"/>
      <c r="BL5843" s="451"/>
      <c r="BM5843" s="451"/>
      <c r="BN5843" s="451"/>
      <c r="BO5843" s="451"/>
      <c r="BP5843" s="451"/>
      <c r="BQ5843" s="451"/>
      <c r="BR5843" s="451"/>
      <c r="BS5843" s="451"/>
      <c r="BT5843" s="451"/>
      <c r="BU5843" s="451"/>
      <c r="BV5843" s="451"/>
      <c r="BW5843" s="451"/>
      <c r="BX5843" s="451"/>
      <c r="BY5843" s="451"/>
      <c r="BZ5843" s="451"/>
      <c r="CA5843" s="451"/>
      <c r="CB5843" s="451"/>
      <c r="CC5843" s="451"/>
      <c r="CD5843" s="451"/>
      <c r="CE5843" s="451"/>
      <c r="CF5843" s="451"/>
      <c r="CG5843" s="451"/>
      <c r="CH5843" s="451"/>
      <c r="CI5843" s="451"/>
      <c r="CJ5843" s="451"/>
      <c r="CK5843" s="451"/>
      <c r="CL5843" s="451"/>
      <c r="CM5843" s="451"/>
      <c r="CN5843" s="451"/>
      <c r="CO5843" s="451"/>
      <c r="CP5843" s="451"/>
      <c r="CQ5843" s="451"/>
      <c r="CR5843" s="451"/>
      <c r="CS5843" s="451"/>
      <c r="CT5843" s="451"/>
      <c r="CU5843" s="451"/>
      <c r="CV5843" s="451"/>
      <c r="CW5843" s="451"/>
      <c r="CX5843" s="451"/>
      <c r="CY5843" s="451"/>
      <c r="CZ5843" s="451"/>
      <c r="DA5843" s="451"/>
      <c r="DB5843" s="451"/>
      <c r="DC5843" s="451"/>
      <c r="DD5843" s="451"/>
      <c r="DE5843" s="451"/>
      <c r="DF5843" s="451"/>
      <c r="DG5843" s="451"/>
      <c r="DH5843" s="451"/>
      <c r="DI5843" s="451"/>
      <c r="DJ5843" s="451"/>
      <c r="DK5843" s="451"/>
      <c r="DL5843" s="451"/>
      <c r="DM5843" s="451"/>
      <c r="DN5843" s="451"/>
      <c r="DO5843" s="451"/>
      <c r="DP5843" s="451"/>
      <c r="DQ5843" s="451"/>
      <c r="DR5843" s="451"/>
      <c r="DS5843" s="451"/>
      <c r="DT5843" s="451"/>
      <c r="DU5843" s="451"/>
      <c r="DV5843" s="451"/>
      <c r="DW5843" s="451"/>
      <c r="DX5843" s="451"/>
      <c r="DY5843" s="451"/>
      <c r="DZ5843" s="451"/>
      <c r="EA5843" s="451"/>
      <c r="EB5843" s="451"/>
      <c r="EC5843" s="451"/>
      <c r="ED5843" s="451"/>
      <c r="EE5843" s="451"/>
      <c r="EF5843" s="451"/>
      <c r="EG5843" s="451"/>
      <c r="EH5843" s="451"/>
      <c r="EI5843" s="451"/>
      <c r="EJ5843" s="451"/>
      <c r="EK5843" s="451"/>
      <c r="EL5843" s="451"/>
      <c r="EM5843" s="451"/>
      <c r="EN5843" s="451"/>
      <c r="EO5843" s="451"/>
      <c r="EP5843" s="451"/>
      <c r="EQ5843" s="451"/>
      <c r="ER5843" s="451"/>
      <c r="ES5843" s="451"/>
    </row>
    <row r="5844" spans="1:149" ht="15" hidden="1" customHeight="1">
      <c r="A5844" s="468">
        <v>45538</v>
      </c>
      <c r="B5844" s="208" t="s">
        <v>4823</v>
      </c>
      <c r="C5844" s="208" t="s">
        <v>27</v>
      </c>
      <c r="D5844" s="211">
        <v>-1957787</v>
      </c>
      <c r="E5844" s="212">
        <v>45536</v>
      </c>
      <c r="F5844" s="208" t="s">
        <v>109</v>
      </c>
      <c r="G5844" s="201" t="s">
        <v>583</v>
      </c>
      <c r="H5844" s="208"/>
      <c r="I5844" s="208"/>
      <c r="J5844" s="209"/>
      <c r="K5844" s="209"/>
      <c r="L5844" s="209"/>
      <c r="M5844" s="209"/>
      <c r="N5844" s="209"/>
      <c r="O5844" s="209"/>
      <c r="P5844" s="209"/>
      <c r="Q5844" s="209"/>
      <c r="R5844" s="209"/>
      <c r="S5844" s="209"/>
      <c r="T5844" s="209"/>
      <c r="U5844" s="451"/>
      <c r="V5844" s="451"/>
      <c r="W5844" s="451"/>
      <c r="X5844" s="451"/>
      <c r="Y5844" s="451"/>
      <c r="Z5844" s="451"/>
      <c r="AA5844" s="451"/>
      <c r="AB5844" s="451"/>
      <c r="AC5844" s="451"/>
      <c r="AD5844" s="451"/>
      <c r="AE5844" s="451"/>
      <c r="AF5844" s="451"/>
      <c r="AG5844" s="451"/>
      <c r="AH5844" s="451"/>
      <c r="AI5844" s="451"/>
      <c r="AJ5844" s="451"/>
      <c r="AK5844" s="451"/>
      <c r="AL5844" s="451"/>
      <c r="AM5844" s="451"/>
      <c r="AN5844" s="451"/>
      <c r="AO5844" s="451"/>
      <c r="AP5844" s="451"/>
      <c r="AQ5844" s="451"/>
      <c r="AR5844" s="451"/>
      <c r="AS5844" s="451"/>
      <c r="AT5844" s="451"/>
      <c r="AU5844" s="451"/>
      <c r="AV5844" s="451"/>
      <c r="AW5844" s="451"/>
      <c r="AX5844" s="451"/>
      <c r="AY5844" s="451"/>
      <c r="AZ5844" s="451"/>
      <c r="BA5844" s="451"/>
      <c r="BB5844" s="451"/>
      <c r="BC5844" s="451"/>
      <c r="BD5844" s="451"/>
      <c r="BE5844" s="451"/>
      <c r="BF5844" s="451"/>
      <c r="BG5844" s="451"/>
      <c r="BH5844" s="451"/>
      <c r="BI5844" s="451"/>
      <c r="BJ5844" s="451"/>
      <c r="BK5844" s="451"/>
      <c r="BL5844" s="451"/>
      <c r="BM5844" s="451"/>
      <c r="BN5844" s="451"/>
      <c r="BO5844" s="451"/>
      <c r="BP5844" s="451"/>
      <c r="BQ5844" s="451"/>
      <c r="BR5844" s="451"/>
      <c r="BS5844" s="451"/>
      <c r="BT5844" s="451"/>
      <c r="BU5844" s="451"/>
      <c r="BV5844" s="451"/>
      <c r="BW5844" s="451"/>
      <c r="BX5844" s="451"/>
      <c r="BY5844" s="451"/>
      <c r="BZ5844" s="451"/>
      <c r="CA5844" s="451"/>
      <c r="CB5844" s="451"/>
      <c r="CC5844" s="451"/>
      <c r="CD5844" s="451"/>
      <c r="CE5844" s="451"/>
      <c r="CF5844" s="451"/>
      <c r="CG5844" s="451"/>
      <c r="CH5844" s="451"/>
      <c r="CI5844" s="451"/>
      <c r="CJ5844" s="451"/>
      <c r="CK5844" s="451"/>
      <c r="CL5844" s="451"/>
      <c r="CM5844" s="451"/>
      <c r="CN5844" s="451"/>
      <c r="CO5844" s="451"/>
      <c r="CP5844" s="451"/>
      <c r="CQ5844" s="451"/>
      <c r="CR5844" s="451"/>
      <c r="CS5844" s="451"/>
      <c r="CT5844" s="451"/>
      <c r="CU5844" s="451"/>
      <c r="CV5844" s="451"/>
      <c r="CW5844" s="451"/>
      <c r="CX5844" s="451"/>
      <c r="CY5844" s="451"/>
      <c r="CZ5844" s="451"/>
      <c r="DA5844" s="451"/>
      <c r="DB5844" s="451"/>
      <c r="DC5844" s="451"/>
      <c r="DD5844" s="451"/>
      <c r="DE5844" s="451"/>
      <c r="DF5844" s="451"/>
      <c r="DG5844" s="451"/>
      <c r="DH5844" s="451"/>
      <c r="DI5844" s="451"/>
      <c r="DJ5844" s="451"/>
      <c r="DK5844" s="451"/>
      <c r="DL5844" s="451"/>
      <c r="DM5844" s="451"/>
      <c r="DN5844" s="451"/>
      <c r="DO5844" s="451"/>
      <c r="DP5844" s="451"/>
      <c r="DQ5844" s="451"/>
      <c r="DR5844" s="451"/>
      <c r="DS5844" s="451"/>
      <c r="DT5844" s="451"/>
      <c r="DU5844" s="451"/>
      <c r="DV5844" s="451"/>
      <c r="DW5844" s="451"/>
      <c r="DX5844" s="451"/>
      <c r="DY5844" s="451"/>
      <c r="DZ5844" s="451"/>
      <c r="EA5844" s="451"/>
      <c r="EB5844" s="451"/>
      <c r="EC5844" s="451"/>
      <c r="ED5844" s="451"/>
      <c r="EE5844" s="451"/>
      <c r="EF5844" s="451"/>
      <c r="EG5844" s="451"/>
      <c r="EH5844" s="451"/>
      <c r="EI5844" s="451"/>
      <c r="EJ5844" s="451"/>
      <c r="EK5844" s="451"/>
      <c r="EL5844" s="451"/>
      <c r="EM5844" s="451"/>
      <c r="EN5844" s="451"/>
      <c r="EO5844" s="451"/>
      <c r="EP5844" s="451"/>
      <c r="EQ5844" s="451"/>
      <c r="ER5844" s="451"/>
      <c r="ES5844" s="451"/>
    </row>
    <row r="5845" spans="1:149" ht="15" hidden="1" customHeight="1">
      <c r="A5845" s="468">
        <v>45538</v>
      </c>
      <c r="B5845" s="208" t="s">
        <v>4824</v>
      </c>
      <c r="C5845" s="208" t="s">
        <v>27</v>
      </c>
      <c r="D5845" s="211">
        <v>-600000</v>
      </c>
      <c r="E5845" s="212">
        <v>45536</v>
      </c>
      <c r="F5845" s="208" t="s">
        <v>110</v>
      </c>
      <c r="G5845" s="208" t="s">
        <v>4399</v>
      </c>
      <c r="H5845" s="208" t="s">
        <v>147</v>
      </c>
      <c r="I5845" s="208"/>
      <c r="J5845" s="209"/>
      <c r="K5845" s="209"/>
      <c r="L5845" s="209"/>
      <c r="M5845" s="209"/>
      <c r="N5845" s="209"/>
      <c r="O5845" s="209"/>
      <c r="P5845" s="209"/>
      <c r="Q5845" s="209"/>
      <c r="R5845" s="209"/>
      <c r="S5845" s="209"/>
      <c r="T5845" s="209"/>
      <c r="U5845" s="451"/>
      <c r="V5845" s="451"/>
      <c r="W5845" s="451"/>
      <c r="X5845" s="451"/>
      <c r="Y5845" s="451"/>
      <c r="Z5845" s="451"/>
      <c r="AA5845" s="451"/>
      <c r="AB5845" s="451"/>
      <c r="AC5845" s="451"/>
      <c r="AD5845" s="451"/>
      <c r="AE5845" s="451"/>
      <c r="AF5845" s="451"/>
      <c r="AG5845" s="451"/>
      <c r="AH5845" s="451"/>
      <c r="AI5845" s="451"/>
      <c r="AJ5845" s="451"/>
      <c r="AK5845" s="451"/>
      <c r="AL5845" s="451"/>
      <c r="AM5845" s="451"/>
      <c r="AN5845" s="451"/>
      <c r="AO5845" s="451"/>
      <c r="AP5845" s="451"/>
      <c r="AQ5845" s="451"/>
      <c r="AR5845" s="451"/>
      <c r="AS5845" s="451"/>
      <c r="AT5845" s="451"/>
      <c r="AU5845" s="451"/>
      <c r="AV5845" s="451"/>
      <c r="AW5845" s="451"/>
      <c r="AX5845" s="451"/>
      <c r="AY5845" s="451"/>
      <c r="AZ5845" s="451"/>
      <c r="BA5845" s="451"/>
      <c r="BB5845" s="451"/>
      <c r="BC5845" s="451"/>
      <c r="BD5845" s="451"/>
      <c r="BE5845" s="451"/>
      <c r="BF5845" s="451"/>
      <c r="BG5845" s="451"/>
      <c r="BH5845" s="451"/>
      <c r="BI5845" s="451"/>
      <c r="BJ5845" s="451"/>
      <c r="BK5845" s="451"/>
      <c r="BL5845" s="451"/>
      <c r="BM5845" s="451"/>
      <c r="BN5845" s="451"/>
      <c r="BO5845" s="451"/>
      <c r="BP5845" s="451"/>
      <c r="BQ5845" s="451"/>
      <c r="BR5845" s="451"/>
      <c r="BS5845" s="451"/>
      <c r="BT5845" s="451"/>
      <c r="BU5845" s="451"/>
      <c r="BV5845" s="451"/>
      <c r="BW5845" s="451"/>
      <c r="BX5845" s="451"/>
      <c r="BY5845" s="451"/>
      <c r="BZ5845" s="451"/>
      <c r="CA5845" s="451"/>
      <c r="CB5845" s="451"/>
      <c r="CC5845" s="451"/>
      <c r="CD5845" s="451"/>
      <c r="CE5845" s="451"/>
      <c r="CF5845" s="451"/>
      <c r="CG5845" s="451"/>
      <c r="CH5845" s="451"/>
      <c r="CI5845" s="451"/>
      <c r="CJ5845" s="451"/>
      <c r="CK5845" s="451"/>
      <c r="CL5845" s="451"/>
      <c r="CM5845" s="451"/>
      <c r="CN5845" s="451"/>
      <c r="CO5845" s="451"/>
      <c r="CP5845" s="451"/>
      <c r="CQ5845" s="451"/>
      <c r="CR5845" s="451"/>
      <c r="CS5845" s="451"/>
      <c r="CT5845" s="451"/>
      <c r="CU5845" s="451"/>
      <c r="CV5845" s="451"/>
      <c r="CW5845" s="451"/>
      <c r="CX5845" s="451"/>
      <c r="CY5845" s="451"/>
      <c r="CZ5845" s="451"/>
      <c r="DA5845" s="451"/>
      <c r="DB5845" s="451"/>
      <c r="DC5845" s="451"/>
      <c r="DD5845" s="451"/>
      <c r="DE5845" s="451"/>
      <c r="DF5845" s="451"/>
      <c r="DG5845" s="451"/>
      <c r="DH5845" s="451"/>
      <c r="DI5845" s="451"/>
      <c r="DJ5845" s="451"/>
      <c r="DK5845" s="451"/>
      <c r="DL5845" s="451"/>
      <c r="DM5845" s="451"/>
      <c r="DN5845" s="451"/>
      <c r="DO5845" s="451"/>
      <c r="DP5845" s="451"/>
      <c r="DQ5845" s="451"/>
      <c r="DR5845" s="451"/>
      <c r="DS5845" s="451"/>
      <c r="DT5845" s="451"/>
      <c r="DU5845" s="451"/>
      <c r="DV5845" s="451"/>
      <c r="DW5845" s="451"/>
      <c r="DX5845" s="451"/>
      <c r="DY5845" s="451"/>
      <c r="DZ5845" s="451"/>
      <c r="EA5845" s="451"/>
      <c r="EB5845" s="451"/>
      <c r="EC5845" s="451"/>
      <c r="ED5845" s="451"/>
      <c r="EE5845" s="451"/>
      <c r="EF5845" s="451"/>
      <c r="EG5845" s="451"/>
      <c r="EH5845" s="451"/>
      <c r="EI5845" s="451"/>
      <c r="EJ5845" s="451"/>
      <c r="EK5845" s="451"/>
      <c r="EL5845" s="451"/>
      <c r="EM5845" s="451"/>
      <c r="EN5845" s="451"/>
      <c r="EO5845" s="451"/>
      <c r="EP5845" s="451"/>
      <c r="EQ5845" s="451"/>
      <c r="ER5845" s="451"/>
      <c r="ES5845" s="451"/>
    </row>
    <row r="5846" spans="1:149" ht="15" hidden="1" customHeight="1">
      <c r="A5846" s="468">
        <v>45538</v>
      </c>
      <c r="B5846" s="208" t="s">
        <v>4825</v>
      </c>
      <c r="C5846" s="208" t="s">
        <v>27</v>
      </c>
      <c r="D5846" s="211">
        <v>-114000</v>
      </c>
      <c r="E5846" s="212">
        <v>45536</v>
      </c>
      <c r="F5846" s="208" t="s">
        <v>130</v>
      </c>
      <c r="G5846" s="208" t="s">
        <v>130</v>
      </c>
      <c r="H5846" s="208" t="s">
        <v>323</v>
      </c>
      <c r="I5846" s="208"/>
      <c r="J5846" s="209"/>
      <c r="K5846" s="209"/>
      <c r="L5846" s="209"/>
      <c r="M5846" s="209"/>
      <c r="N5846" s="209"/>
      <c r="O5846" s="209"/>
      <c r="P5846" s="209"/>
      <c r="Q5846" s="209"/>
      <c r="R5846" s="209"/>
      <c r="S5846" s="209"/>
      <c r="T5846" s="209"/>
      <c r="U5846" s="451"/>
      <c r="V5846" s="451"/>
      <c r="W5846" s="451"/>
      <c r="X5846" s="451"/>
      <c r="Y5846" s="451"/>
      <c r="Z5846" s="451"/>
      <c r="AA5846" s="451"/>
      <c r="AB5846" s="451"/>
      <c r="AC5846" s="451"/>
      <c r="AD5846" s="451"/>
      <c r="AE5846" s="451"/>
      <c r="AF5846" s="451"/>
      <c r="AG5846" s="451"/>
      <c r="AH5846" s="451"/>
      <c r="AI5846" s="451"/>
      <c r="AJ5846" s="451"/>
      <c r="AK5846" s="451"/>
      <c r="AL5846" s="451"/>
      <c r="AM5846" s="451"/>
      <c r="AN5846" s="451"/>
      <c r="AO5846" s="451"/>
      <c r="AP5846" s="451"/>
      <c r="AQ5846" s="451"/>
      <c r="AR5846" s="451"/>
      <c r="AS5846" s="451"/>
      <c r="AT5846" s="451"/>
      <c r="AU5846" s="451"/>
      <c r="AV5846" s="451"/>
      <c r="AW5846" s="451"/>
      <c r="AX5846" s="451"/>
      <c r="AY5846" s="451"/>
      <c r="AZ5846" s="451"/>
      <c r="BA5846" s="451"/>
      <c r="BB5846" s="451"/>
      <c r="BC5846" s="451"/>
      <c r="BD5846" s="451"/>
      <c r="BE5846" s="451"/>
      <c r="BF5846" s="451"/>
      <c r="BG5846" s="451"/>
      <c r="BH5846" s="451"/>
      <c r="BI5846" s="451"/>
      <c r="BJ5846" s="451"/>
      <c r="BK5846" s="451"/>
      <c r="BL5846" s="451"/>
      <c r="BM5846" s="451"/>
      <c r="BN5846" s="451"/>
      <c r="BO5846" s="451"/>
      <c r="BP5846" s="451"/>
      <c r="BQ5846" s="451"/>
      <c r="BR5846" s="451"/>
      <c r="BS5846" s="451"/>
      <c r="BT5846" s="451"/>
      <c r="BU5846" s="451"/>
      <c r="BV5846" s="451"/>
      <c r="BW5846" s="451"/>
      <c r="BX5846" s="451"/>
      <c r="BY5846" s="451"/>
      <c r="BZ5846" s="451"/>
      <c r="CA5846" s="451"/>
      <c r="CB5846" s="451"/>
      <c r="CC5846" s="451"/>
      <c r="CD5846" s="451"/>
      <c r="CE5846" s="451"/>
      <c r="CF5846" s="451"/>
      <c r="CG5846" s="451"/>
      <c r="CH5846" s="451"/>
      <c r="CI5846" s="451"/>
      <c r="CJ5846" s="451"/>
      <c r="CK5846" s="451"/>
      <c r="CL5846" s="451"/>
      <c r="CM5846" s="451"/>
      <c r="CN5846" s="451"/>
      <c r="CO5846" s="451"/>
      <c r="CP5846" s="451"/>
      <c r="CQ5846" s="451"/>
      <c r="CR5846" s="451"/>
      <c r="CS5846" s="451"/>
      <c r="CT5846" s="451"/>
      <c r="CU5846" s="451"/>
      <c r="CV5846" s="451"/>
      <c r="CW5846" s="451"/>
      <c r="CX5846" s="451"/>
      <c r="CY5846" s="451"/>
      <c r="CZ5846" s="451"/>
      <c r="DA5846" s="451"/>
      <c r="DB5846" s="451"/>
      <c r="DC5846" s="451"/>
      <c r="DD5846" s="451"/>
      <c r="DE5846" s="451"/>
      <c r="DF5846" s="451"/>
      <c r="DG5846" s="451"/>
      <c r="DH5846" s="451"/>
      <c r="DI5846" s="451"/>
      <c r="DJ5846" s="451"/>
      <c r="DK5846" s="451"/>
      <c r="DL5846" s="451"/>
      <c r="DM5846" s="451"/>
      <c r="DN5846" s="451"/>
      <c r="DO5846" s="451"/>
      <c r="DP5846" s="451"/>
      <c r="DQ5846" s="451"/>
      <c r="DR5846" s="451"/>
      <c r="DS5846" s="451"/>
      <c r="DT5846" s="451"/>
      <c r="DU5846" s="451"/>
      <c r="DV5846" s="451"/>
      <c r="DW5846" s="451"/>
      <c r="DX5846" s="451"/>
      <c r="DY5846" s="451"/>
      <c r="DZ5846" s="451"/>
      <c r="EA5846" s="451"/>
      <c r="EB5846" s="451"/>
      <c r="EC5846" s="451"/>
      <c r="ED5846" s="451"/>
      <c r="EE5846" s="451"/>
      <c r="EF5846" s="451"/>
      <c r="EG5846" s="451"/>
      <c r="EH5846" s="451"/>
      <c r="EI5846" s="451"/>
      <c r="EJ5846" s="451"/>
      <c r="EK5846" s="451"/>
      <c r="EL5846" s="451"/>
      <c r="EM5846" s="451"/>
      <c r="EN5846" s="451"/>
      <c r="EO5846" s="451"/>
      <c r="EP5846" s="451"/>
      <c r="EQ5846" s="451"/>
      <c r="ER5846" s="451"/>
      <c r="ES5846" s="451"/>
    </row>
    <row r="5847" spans="1:149" s="451" customFormat="1" ht="15" hidden="1" customHeight="1">
      <c r="A5847" s="468">
        <v>45538</v>
      </c>
      <c r="B5847" s="208" t="s">
        <v>4826</v>
      </c>
      <c r="C5847" s="208" t="s">
        <v>27</v>
      </c>
      <c r="D5847" s="211">
        <v>-604944</v>
      </c>
      <c r="E5847" s="212">
        <v>45536</v>
      </c>
      <c r="F5847" s="208" t="s">
        <v>109</v>
      </c>
      <c r="G5847" s="201" t="s">
        <v>581</v>
      </c>
      <c r="H5847" s="208"/>
      <c r="I5847" s="208"/>
      <c r="J5847" s="209"/>
      <c r="K5847" s="209"/>
      <c r="L5847" s="209"/>
      <c r="M5847" s="209"/>
      <c r="N5847" s="209"/>
      <c r="O5847" s="209"/>
      <c r="P5847" s="209"/>
      <c r="Q5847" s="209"/>
      <c r="R5847" s="209"/>
      <c r="S5847" s="209"/>
      <c r="T5847" s="209"/>
    </row>
    <row r="5848" spans="1:149" s="451" customFormat="1" ht="15" hidden="1" customHeight="1">
      <c r="A5848" s="468">
        <v>45538</v>
      </c>
      <c r="B5848" s="208" t="s">
        <v>4826</v>
      </c>
      <c r="C5848" s="208" t="s">
        <v>27</v>
      </c>
      <c r="D5848" s="211">
        <v>-604945</v>
      </c>
      <c r="E5848" s="212">
        <v>45536</v>
      </c>
      <c r="F5848" s="655" t="s">
        <v>109</v>
      </c>
      <c r="G5848" s="201" t="s">
        <v>583</v>
      </c>
      <c r="H5848" s="208"/>
      <c r="I5848" s="208"/>
      <c r="J5848" s="209"/>
      <c r="K5848" s="209"/>
      <c r="L5848" s="209"/>
      <c r="M5848" s="209"/>
      <c r="N5848" s="209"/>
      <c r="O5848" s="209"/>
      <c r="P5848" s="209"/>
      <c r="Q5848" s="209"/>
      <c r="R5848" s="209"/>
      <c r="S5848" s="209"/>
      <c r="T5848" s="209"/>
    </row>
    <row r="5849" spans="1:149" s="451" customFormat="1" ht="15" hidden="1" customHeight="1">
      <c r="A5849" s="468">
        <v>45538</v>
      </c>
      <c r="B5849" s="208" t="s">
        <v>4827</v>
      </c>
      <c r="C5849" s="208" t="s">
        <v>27</v>
      </c>
      <c r="D5849" s="211">
        <v>-2758216</v>
      </c>
      <c r="E5849" s="212">
        <v>45536</v>
      </c>
      <c r="F5849" s="654" t="s">
        <v>110</v>
      </c>
      <c r="G5849" s="654" t="s">
        <v>2444</v>
      </c>
      <c r="H5849" s="208"/>
      <c r="I5849" s="208"/>
      <c r="J5849" s="209"/>
      <c r="K5849" s="209"/>
      <c r="L5849" s="209"/>
      <c r="M5849" s="209"/>
      <c r="N5849" s="209"/>
      <c r="O5849" s="209"/>
      <c r="P5849" s="209"/>
      <c r="Q5849" s="209"/>
      <c r="R5849" s="209"/>
      <c r="S5849" s="209"/>
      <c r="T5849" s="209"/>
    </row>
    <row r="5850" spans="1:149" s="451" customFormat="1" ht="15" hidden="1" customHeight="1">
      <c r="A5850" s="468">
        <v>45538</v>
      </c>
      <c r="B5850" s="208" t="s">
        <v>4827</v>
      </c>
      <c r="C5850" s="208" t="s">
        <v>27</v>
      </c>
      <c r="D5850" s="211">
        <v>-954682</v>
      </c>
      <c r="E5850" s="212">
        <v>45536</v>
      </c>
      <c r="F5850" s="654" t="s">
        <v>110</v>
      </c>
      <c r="G5850" s="201" t="s">
        <v>1489</v>
      </c>
      <c r="H5850" s="208" t="s">
        <v>2941</v>
      </c>
      <c r="I5850" s="208"/>
      <c r="J5850" s="209"/>
      <c r="K5850" s="209"/>
      <c r="L5850" s="209"/>
      <c r="M5850" s="209"/>
      <c r="N5850" s="209"/>
      <c r="O5850" s="209"/>
      <c r="P5850" s="209"/>
      <c r="Q5850" s="209"/>
      <c r="R5850" s="209"/>
      <c r="S5850" s="209"/>
      <c r="T5850" s="209"/>
    </row>
    <row r="5851" spans="1:149" s="454" customFormat="1" ht="15" hidden="1" customHeight="1">
      <c r="A5851" s="468">
        <v>45538</v>
      </c>
      <c r="B5851" s="208" t="s">
        <v>4827</v>
      </c>
      <c r="C5851" s="208" t="s">
        <v>27</v>
      </c>
      <c r="D5851" s="211">
        <v>-1394534</v>
      </c>
      <c r="E5851" s="212">
        <v>45536</v>
      </c>
      <c r="F5851" s="683" t="s">
        <v>109</v>
      </c>
      <c r="G5851" s="201" t="s">
        <v>581</v>
      </c>
      <c r="H5851" s="208"/>
      <c r="I5851" s="208"/>
      <c r="J5851" s="209"/>
      <c r="K5851" s="209"/>
      <c r="L5851" s="209"/>
      <c r="M5851" s="209"/>
      <c r="N5851" s="209"/>
      <c r="O5851" s="209"/>
      <c r="P5851" s="209"/>
      <c r="Q5851" s="209"/>
      <c r="R5851" s="209"/>
      <c r="S5851" s="209"/>
      <c r="T5851" s="209"/>
      <c r="U5851" s="451"/>
      <c r="V5851" s="451"/>
      <c r="W5851" s="451"/>
      <c r="X5851" s="451"/>
      <c r="Y5851" s="451"/>
      <c r="Z5851" s="451"/>
      <c r="AA5851" s="451"/>
      <c r="AB5851" s="451"/>
      <c r="AC5851" s="451"/>
      <c r="AD5851" s="451"/>
      <c r="AE5851" s="451"/>
      <c r="AF5851" s="451"/>
      <c r="AG5851" s="451"/>
      <c r="AH5851" s="451"/>
      <c r="AI5851" s="451"/>
      <c r="AJ5851" s="451"/>
      <c r="AK5851" s="451"/>
      <c r="AL5851" s="451"/>
      <c r="AM5851" s="451"/>
      <c r="AN5851" s="451"/>
      <c r="AO5851" s="451"/>
      <c r="AP5851" s="451"/>
      <c r="AQ5851" s="451"/>
      <c r="AR5851" s="451"/>
      <c r="AS5851" s="451"/>
      <c r="AT5851" s="451"/>
      <c r="AU5851" s="451"/>
      <c r="AV5851" s="451"/>
      <c r="AW5851" s="451"/>
      <c r="AX5851" s="451"/>
      <c r="AY5851" s="451"/>
      <c r="AZ5851" s="451"/>
      <c r="BA5851" s="451"/>
      <c r="BB5851" s="451"/>
      <c r="BC5851" s="451"/>
      <c r="BD5851" s="451"/>
      <c r="BE5851" s="451"/>
      <c r="BF5851" s="451"/>
      <c r="BG5851" s="451"/>
      <c r="BH5851" s="451"/>
      <c r="BI5851" s="451"/>
      <c r="BJ5851" s="451"/>
      <c r="BK5851" s="451"/>
      <c r="BL5851" s="451"/>
      <c r="BM5851" s="451"/>
      <c r="BN5851" s="451"/>
      <c r="BO5851" s="451"/>
      <c r="BP5851" s="451"/>
      <c r="BQ5851" s="451"/>
      <c r="BR5851" s="451"/>
      <c r="BS5851" s="451"/>
      <c r="BT5851" s="451"/>
      <c r="BU5851" s="451"/>
      <c r="BV5851" s="451"/>
      <c r="BW5851" s="451"/>
      <c r="BX5851" s="451"/>
      <c r="BY5851" s="451"/>
      <c r="BZ5851" s="451"/>
      <c r="CA5851" s="451"/>
      <c r="CB5851" s="451"/>
      <c r="CC5851" s="451"/>
      <c r="CD5851" s="451"/>
      <c r="CE5851" s="451"/>
      <c r="CF5851" s="451"/>
      <c r="CG5851" s="451"/>
      <c r="CH5851" s="451"/>
      <c r="CI5851" s="451"/>
      <c r="CJ5851" s="451"/>
      <c r="CK5851" s="451"/>
      <c r="CL5851" s="451"/>
      <c r="CM5851" s="451"/>
      <c r="CN5851" s="451"/>
      <c r="CO5851" s="451"/>
      <c r="CP5851" s="451"/>
      <c r="CQ5851" s="451"/>
      <c r="CR5851" s="451"/>
      <c r="CS5851" s="451"/>
      <c r="CT5851" s="451"/>
      <c r="CU5851" s="451"/>
      <c r="CV5851" s="451"/>
      <c r="CW5851" s="451"/>
      <c r="CX5851" s="451"/>
      <c r="CY5851" s="451"/>
      <c r="CZ5851" s="451"/>
      <c r="DA5851" s="451"/>
      <c r="DB5851" s="451"/>
      <c r="DC5851" s="451"/>
      <c r="DD5851" s="451"/>
      <c r="DE5851" s="451"/>
      <c r="DF5851" s="451"/>
      <c r="DG5851" s="451"/>
      <c r="DH5851" s="451"/>
      <c r="DI5851" s="451"/>
      <c r="DJ5851" s="451"/>
      <c r="DK5851" s="451"/>
      <c r="DL5851" s="451"/>
      <c r="DM5851" s="451"/>
      <c r="DN5851" s="451"/>
      <c r="DO5851" s="451"/>
      <c r="DP5851" s="451"/>
      <c r="DQ5851" s="451"/>
      <c r="DR5851" s="451"/>
      <c r="DS5851" s="451"/>
      <c r="DT5851" s="451"/>
      <c r="DU5851" s="451"/>
      <c r="DV5851" s="451"/>
      <c r="DW5851" s="451"/>
      <c r="DX5851" s="451"/>
      <c r="DY5851" s="451"/>
      <c r="DZ5851" s="451"/>
      <c r="EA5851" s="451"/>
      <c r="EB5851" s="451"/>
      <c r="EC5851" s="451"/>
      <c r="ED5851" s="451"/>
      <c r="EE5851" s="451"/>
      <c r="EF5851" s="451"/>
      <c r="EG5851" s="451"/>
      <c r="EH5851" s="451"/>
      <c r="EI5851" s="451"/>
      <c r="EJ5851" s="451"/>
      <c r="EK5851" s="451"/>
      <c r="EL5851" s="451"/>
      <c r="EM5851" s="451"/>
      <c r="EN5851" s="451"/>
      <c r="EO5851" s="451"/>
      <c r="EP5851" s="451"/>
      <c r="EQ5851" s="451"/>
      <c r="ER5851" s="451"/>
      <c r="ES5851" s="451"/>
    </row>
    <row r="5852" spans="1:149" ht="15" hidden="1" customHeight="1">
      <c r="A5852" s="468">
        <v>45538</v>
      </c>
      <c r="B5852" s="208" t="s">
        <v>4827</v>
      </c>
      <c r="C5852" s="208" t="s">
        <v>27</v>
      </c>
      <c r="D5852" s="211">
        <v>-1693109</v>
      </c>
      <c r="E5852" s="212">
        <v>45536</v>
      </c>
      <c r="F5852" s="654" t="s">
        <v>110</v>
      </c>
      <c r="G5852" s="654" t="s">
        <v>774</v>
      </c>
      <c r="H5852" s="208" t="s">
        <v>175</v>
      </c>
      <c r="I5852" s="208"/>
      <c r="J5852" s="209"/>
      <c r="K5852" s="209"/>
      <c r="L5852" s="209"/>
      <c r="M5852" s="209"/>
      <c r="N5852" s="209"/>
      <c r="O5852" s="209"/>
      <c r="P5852" s="209"/>
      <c r="Q5852" s="209"/>
      <c r="R5852" s="209"/>
      <c r="S5852" s="209"/>
      <c r="T5852" s="209"/>
      <c r="U5852" s="451"/>
      <c r="V5852" s="451"/>
      <c r="W5852" s="451"/>
      <c r="X5852" s="451"/>
      <c r="Y5852" s="451"/>
      <c r="Z5852" s="451"/>
      <c r="AA5852" s="451"/>
      <c r="AB5852" s="451"/>
      <c r="AC5852" s="451"/>
      <c r="AD5852" s="451"/>
      <c r="AE5852" s="451"/>
      <c r="AF5852" s="451"/>
      <c r="AG5852" s="451"/>
      <c r="AH5852" s="451"/>
      <c r="AI5852" s="451"/>
      <c r="AJ5852" s="451"/>
      <c r="AK5852" s="451"/>
      <c r="AL5852" s="451"/>
      <c r="AM5852" s="451"/>
      <c r="AN5852" s="451"/>
      <c r="AO5852" s="451"/>
      <c r="AP5852" s="451"/>
      <c r="AQ5852" s="451"/>
      <c r="AR5852" s="451"/>
      <c r="AS5852" s="451"/>
      <c r="AT5852" s="451"/>
      <c r="AU5852" s="451"/>
      <c r="AV5852" s="451"/>
      <c r="AW5852" s="451"/>
      <c r="AX5852" s="451"/>
      <c r="AY5852" s="451"/>
      <c r="AZ5852" s="451"/>
      <c r="BA5852" s="451"/>
      <c r="BB5852" s="451"/>
      <c r="BC5852" s="451"/>
      <c r="BD5852" s="451"/>
      <c r="BE5852" s="451"/>
      <c r="BF5852" s="451"/>
      <c r="BG5852" s="451"/>
      <c r="BH5852" s="451"/>
      <c r="BI5852" s="451"/>
      <c r="BJ5852" s="451"/>
      <c r="BK5852" s="451"/>
      <c r="BL5852" s="451"/>
      <c r="BM5852" s="451"/>
      <c r="BN5852" s="451"/>
      <c r="BO5852" s="451"/>
      <c r="BP5852" s="451"/>
      <c r="BQ5852" s="451"/>
      <c r="BR5852" s="451"/>
      <c r="BS5852" s="451"/>
      <c r="BT5852" s="451"/>
      <c r="BU5852" s="451"/>
      <c r="BV5852" s="451"/>
      <c r="BW5852" s="451"/>
      <c r="BX5852" s="451"/>
      <c r="BY5852" s="451"/>
      <c r="BZ5852" s="451"/>
      <c r="CA5852" s="451"/>
      <c r="CB5852" s="451"/>
      <c r="CC5852" s="451"/>
      <c r="CD5852" s="451"/>
      <c r="CE5852" s="451"/>
      <c r="CF5852" s="451"/>
      <c r="CG5852" s="451"/>
      <c r="CH5852" s="451"/>
      <c r="CI5852" s="451"/>
      <c r="CJ5852" s="451"/>
      <c r="CK5852" s="451"/>
      <c r="CL5852" s="451"/>
      <c r="CM5852" s="451"/>
      <c r="CN5852" s="451"/>
      <c r="CO5852" s="451"/>
      <c r="CP5852" s="451"/>
      <c r="CQ5852" s="451"/>
      <c r="CR5852" s="451"/>
      <c r="CS5852" s="451"/>
      <c r="CT5852" s="451"/>
      <c r="CU5852" s="451"/>
      <c r="CV5852" s="451"/>
      <c r="CW5852" s="451"/>
      <c r="CX5852" s="451"/>
      <c r="CY5852" s="451"/>
      <c r="CZ5852" s="451"/>
      <c r="DA5852" s="451"/>
      <c r="DB5852" s="451"/>
      <c r="DC5852" s="451"/>
      <c r="DD5852" s="451"/>
      <c r="DE5852" s="451"/>
      <c r="DF5852" s="451"/>
      <c r="DG5852" s="451"/>
      <c r="DH5852" s="451"/>
      <c r="DI5852" s="451"/>
      <c r="DJ5852" s="451"/>
      <c r="DK5852" s="451"/>
      <c r="DL5852" s="451"/>
      <c r="DM5852" s="451"/>
      <c r="DN5852" s="451"/>
      <c r="DO5852" s="451"/>
      <c r="DP5852" s="451"/>
      <c r="DQ5852" s="451"/>
      <c r="DR5852" s="451"/>
      <c r="DS5852" s="451"/>
      <c r="DT5852" s="451"/>
      <c r="DU5852" s="451"/>
      <c r="DV5852" s="451"/>
      <c r="DW5852" s="451"/>
      <c r="DX5852" s="451"/>
      <c r="DY5852" s="451"/>
      <c r="DZ5852" s="451"/>
      <c r="EA5852" s="451"/>
      <c r="EB5852" s="451"/>
      <c r="EC5852" s="451"/>
      <c r="ED5852" s="451"/>
      <c r="EE5852" s="451"/>
      <c r="EF5852" s="451"/>
      <c r="EG5852" s="451"/>
      <c r="EH5852" s="451"/>
      <c r="EI5852" s="451"/>
      <c r="EJ5852" s="451"/>
      <c r="EK5852" s="451"/>
      <c r="EL5852" s="451"/>
      <c r="EM5852" s="451"/>
      <c r="EN5852" s="451"/>
      <c r="EO5852" s="451"/>
      <c r="EP5852" s="451"/>
      <c r="EQ5852" s="451"/>
      <c r="ER5852" s="451"/>
      <c r="ES5852" s="451"/>
    </row>
    <row r="5853" spans="1:149" ht="15" hidden="1" customHeight="1">
      <c r="A5853" s="468">
        <v>45538</v>
      </c>
      <c r="B5853" s="208" t="s">
        <v>4827</v>
      </c>
      <c r="C5853" s="208" t="s">
        <v>27</v>
      </c>
      <c r="D5853" s="211">
        <v>-338686</v>
      </c>
      <c r="E5853" s="212">
        <v>45536</v>
      </c>
      <c r="F5853" s="654" t="s">
        <v>109</v>
      </c>
      <c r="G5853" s="654" t="s">
        <v>2585</v>
      </c>
      <c r="H5853" s="208" t="s">
        <v>175</v>
      </c>
      <c r="I5853" s="208"/>
      <c r="J5853" s="209"/>
      <c r="K5853" s="209"/>
      <c r="L5853" s="209"/>
      <c r="M5853" s="209"/>
      <c r="N5853" s="209"/>
      <c r="O5853" s="209"/>
      <c r="P5853" s="209"/>
      <c r="Q5853" s="209"/>
      <c r="R5853" s="209"/>
      <c r="S5853" s="209"/>
      <c r="T5853" s="209"/>
      <c r="U5853" s="451"/>
      <c r="V5853" s="451"/>
      <c r="W5853" s="451"/>
      <c r="X5853" s="451"/>
      <c r="Y5853" s="451"/>
      <c r="Z5853" s="451"/>
      <c r="AA5853" s="451"/>
      <c r="AB5853" s="451"/>
      <c r="AC5853" s="451"/>
      <c r="AD5853" s="451"/>
      <c r="AE5853" s="451"/>
      <c r="AF5853" s="451"/>
      <c r="AG5853" s="451"/>
      <c r="AH5853" s="451"/>
      <c r="AI5853" s="451"/>
      <c r="AJ5853" s="451"/>
      <c r="AK5853" s="451"/>
      <c r="AL5853" s="451"/>
      <c r="AM5853" s="451"/>
      <c r="AN5853" s="451"/>
      <c r="AO5853" s="451"/>
      <c r="AP5853" s="451"/>
      <c r="AQ5853" s="451"/>
      <c r="AR5853" s="451"/>
      <c r="AS5853" s="451"/>
      <c r="AT5853" s="451"/>
      <c r="AU5853" s="451"/>
      <c r="AV5853" s="451"/>
      <c r="AW5853" s="451"/>
      <c r="AX5853" s="451"/>
      <c r="AY5853" s="451"/>
      <c r="AZ5853" s="451"/>
      <c r="BA5853" s="451"/>
      <c r="BB5853" s="451"/>
      <c r="BC5853" s="451"/>
      <c r="BD5853" s="451"/>
      <c r="BE5853" s="451"/>
      <c r="BF5853" s="451"/>
      <c r="BG5853" s="451"/>
      <c r="BH5853" s="451"/>
      <c r="BI5853" s="451"/>
      <c r="BJ5853" s="451"/>
      <c r="BK5853" s="451"/>
      <c r="BL5853" s="451"/>
      <c r="BM5853" s="451"/>
      <c r="BN5853" s="451"/>
      <c r="BO5853" s="451"/>
      <c r="BP5853" s="451"/>
      <c r="BQ5853" s="451"/>
      <c r="BR5853" s="451"/>
      <c r="BS5853" s="451"/>
      <c r="BT5853" s="451"/>
      <c r="BU5853" s="451"/>
      <c r="BV5853" s="451"/>
      <c r="BW5853" s="451"/>
      <c r="BX5853" s="451"/>
      <c r="BY5853" s="451"/>
      <c r="BZ5853" s="451"/>
      <c r="CA5853" s="451"/>
      <c r="CB5853" s="451"/>
      <c r="CC5853" s="451"/>
      <c r="CD5853" s="451"/>
      <c r="CE5853" s="451"/>
      <c r="CF5853" s="451"/>
      <c r="CG5853" s="451"/>
      <c r="CH5853" s="451"/>
      <c r="CI5853" s="451"/>
      <c r="CJ5853" s="451"/>
      <c r="CK5853" s="451"/>
      <c r="CL5853" s="451"/>
      <c r="CM5853" s="451"/>
      <c r="CN5853" s="451"/>
      <c r="CO5853" s="451"/>
      <c r="CP5853" s="451"/>
      <c r="CQ5853" s="451"/>
      <c r="CR5853" s="451"/>
      <c r="CS5853" s="451"/>
      <c r="CT5853" s="451"/>
      <c r="CU5853" s="451"/>
      <c r="CV5853" s="451"/>
      <c r="CW5853" s="451"/>
      <c r="CX5853" s="451"/>
      <c r="CY5853" s="451"/>
      <c r="CZ5853" s="451"/>
      <c r="DA5853" s="451"/>
      <c r="DB5853" s="451"/>
      <c r="DC5853" s="451"/>
      <c r="DD5853" s="451"/>
      <c r="DE5853" s="451"/>
      <c r="DF5853" s="451"/>
      <c r="DG5853" s="451"/>
      <c r="DH5853" s="451"/>
      <c r="DI5853" s="451"/>
      <c r="DJ5853" s="451"/>
      <c r="DK5853" s="451"/>
      <c r="DL5853" s="451"/>
      <c r="DM5853" s="451"/>
      <c r="DN5853" s="451"/>
      <c r="DO5853" s="451"/>
      <c r="DP5853" s="451"/>
      <c r="DQ5853" s="451"/>
      <c r="DR5853" s="451"/>
      <c r="DS5853" s="451"/>
      <c r="DT5853" s="451"/>
      <c r="DU5853" s="451"/>
      <c r="DV5853" s="451"/>
      <c r="DW5853" s="451"/>
      <c r="DX5853" s="451"/>
      <c r="DY5853" s="451"/>
      <c r="DZ5853" s="451"/>
      <c r="EA5853" s="451"/>
      <c r="EB5853" s="451"/>
      <c r="EC5853" s="451"/>
      <c r="ED5853" s="451"/>
      <c r="EE5853" s="451"/>
      <c r="EF5853" s="451"/>
      <c r="EG5853" s="451"/>
      <c r="EH5853" s="451"/>
      <c r="EI5853" s="451"/>
      <c r="EJ5853" s="451"/>
      <c r="EK5853" s="451"/>
      <c r="EL5853" s="451"/>
      <c r="EM5853" s="451"/>
      <c r="EN5853" s="451"/>
      <c r="EO5853" s="451"/>
      <c r="EP5853" s="451"/>
      <c r="EQ5853" s="451"/>
      <c r="ER5853" s="451"/>
      <c r="ES5853" s="451"/>
    </row>
    <row r="5854" spans="1:149" ht="15" hidden="1" customHeight="1">
      <c r="A5854" s="468">
        <v>45538</v>
      </c>
      <c r="B5854" s="208" t="s">
        <v>4827</v>
      </c>
      <c r="C5854" s="208" t="s">
        <v>27</v>
      </c>
      <c r="D5854" s="211">
        <v>-323528</v>
      </c>
      <c r="E5854" s="212">
        <v>45536</v>
      </c>
      <c r="F5854" s="208" t="s">
        <v>110</v>
      </c>
      <c r="G5854" s="208" t="s">
        <v>4399</v>
      </c>
      <c r="H5854" s="208" t="s">
        <v>175</v>
      </c>
      <c r="I5854" s="208"/>
      <c r="J5854" s="209"/>
      <c r="K5854" s="209"/>
      <c r="L5854" s="209"/>
      <c r="M5854" s="209"/>
      <c r="N5854" s="209"/>
      <c r="O5854" s="209"/>
      <c r="P5854" s="209"/>
      <c r="Q5854" s="209"/>
      <c r="R5854" s="209"/>
      <c r="S5854" s="209"/>
      <c r="T5854" s="209"/>
      <c r="U5854" s="451"/>
      <c r="V5854" s="451"/>
      <c r="W5854" s="451"/>
      <c r="X5854" s="451"/>
      <c r="Y5854" s="451"/>
      <c r="Z5854" s="451"/>
      <c r="AA5854" s="451"/>
      <c r="AB5854" s="451"/>
      <c r="AC5854" s="451"/>
      <c r="AD5854" s="451"/>
      <c r="AE5854" s="451"/>
      <c r="AF5854" s="451"/>
      <c r="AG5854" s="451"/>
      <c r="AH5854" s="451"/>
      <c r="AI5854" s="451"/>
      <c r="AJ5854" s="451"/>
      <c r="AK5854" s="451"/>
      <c r="AL5854" s="451"/>
      <c r="AM5854" s="451"/>
      <c r="AN5854" s="451"/>
      <c r="AO5854" s="451"/>
      <c r="AP5854" s="451"/>
      <c r="AQ5854" s="451"/>
      <c r="AR5854" s="451"/>
      <c r="AS5854" s="451"/>
      <c r="AT5854" s="451"/>
      <c r="AU5854" s="451"/>
      <c r="AV5854" s="451"/>
      <c r="AW5854" s="451"/>
      <c r="AX5854" s="451"/>
      <c r="AY5854" s="451"/>
      <c r="AZ5854" s="451"/>
      <c r="BA5854" s="451"/>
      <c r="BB5854" s="451"/>
      <c r="BC5854" s="451"/>
      <c r="BD5854" s="451"/>
      <c r="BE5854" s="451"/>
      <c r="BF5854" s="451"/>
      <c r="BG5854" s="451"/>
      <c r="BH5854" s="451"/>
      <c r="BI5854" s="451"/>
      <c r="BJ5854" s="451"/>
      <c r="BK5854" s="451"/>
      <c r="BL5854" s="451"/>
      <c r="BM5854" s="451"/>
      <c r="BN5854" s="451"/>
      <c r="BO5854" s="451"/>
      <c r="BP5854" s="451"/>
      <c r="BQ5854" s="451"/>
      <c r="BR5854" s="451"/>
      <c r="BS5854" s="451"/>
      <c r="BT5854" s="451"/>
      <c r="BU5854" s="451"/>
      <c r="BV5854" s="451"/>
      <c r="BW5854" s="451"/>
      <c r="BX5854" s="451"/>
      <c r="BY5854" s="451"/>
      <c r="BZ5854" s="451"/>
      <c r="CA5854" s="451"/>
      <c r="CB5854" s="451"/>
      <c r="CC5854" s="451"/>
      <c r="CD5854" s="451"/>
      <c r="CE5854" s="451"/>
      <c r="CF5854" s="451"/>
      <c r="CG5854" s="451"/>
      <c r="CH5854" s="451"/>
      <c r="CI5854" s="451"/>
      <c r="CJ5854" s="451"/>
      <c r="CK5854" s="451"/>
      <c r="CL5854" s="451"/>
      <c r="CM5854" s="451"/>
      <c r="CN5854" s="451"/>
      <c r="CO5854" s="451"/>
      <c r="CP5854" s="451"/>
      <c r="CQ5854" s="451"/>
      <c r="CR5854" s="451"/>
      <c r="CS5854" s="451"/>
      <c r="CT5854" s="451"/>
      <c r="CU5854" s="451"/>
      <c r="CV5854" s="451"/>
      <c r="CW5854" s="451"/>
      <c r="CX5854" s="451"/>
      <c r="CY5854" s="451"/>
      <c r="CZ5854" s="451"/>
      <c r="DA5854" s="451"/>
      <c r="DB5854" s="451"/>
      <c r="DC5854" s="451"/>
      <c r="DD5854" s="451"/>
      <c r="DE5854" s="451"/>
      <c r="DF5854" s="451"/>
      <c r="DG5854" s="451"/>
      <c r="DH5854" s="451"/>
      <c r="DI5854" s="451"/>
      <c r="DJ5854" s="451"/>
      <c r="DK5854" s="451"/>
      <c r="DL5854" s="451"/>
      <c r="DM5854" s="451"/>
      <c r="DN5854" s="451"/>
      <c r="DO5854" s="451"/>
      <c r="DP5854" s="451"/>
      <c r="DQ5854" s="451"/>
      <c r="DR5854" s="451"/>
      <c r="DS5854" s="451"/>
      <c r="DT5854" s="451"/>
      <c r="DU5854" s="451"/>
      <c r="DV5854" s="451"/>
      <c r="DW5854" s="451"/>
      <c r="DX5854" s="451"/>
      <c r="DY5854" s="451"/>
      <c r="DZ5854" s="451"/>
      <c r="EA5854" s="451"/>
      <c r="EB5854" s="451"/>
      <c r="EC5854" s="451"/>
      <c r="ED5854" s="451"/>
      <c r="EE5854" s="451"/>
      <c r="EF5854" s="451"/>
      <c r="EG5854" s="451"/>
      <c r="EH5854" s="451"/>
      <c r="EI5854" s="451"/>
      <c r="EJ5854" s="451"/>
      <c r="EK5854" s="451"/>
      <c r="EL5854" s="451"/>
      <c r="EM5854" s="451"/>
      <c r="EN5854" s="451"/>
      <c r="EO5854" s="451"/>
      <c r="EP5854" s="451"/>
      <c r="EQ5854" s="451"/>
      <c r="ER5854" s="451"/>
      <c r="ES5854" s="451"/>
    </row>
    <row r="5855" spans="1:149" ht="15" hidden="1" customHeight="1">
      <c r="A5855" s="468">
        <v>45538</v>
      </c>
      <c r="B5855" s="208" t="s">
        <v>4827</v>
      </c>
      <c r="C5855" s="208" t="s">
        <v>27</v>
      </c>
      <c r="D5855" s="211">
        <v>-230436</v>
      </c>
      <c r="E5855" s="212">
        <v>45536</v>
      </c>
      <c r="F5855" s="654" t="s">
        <v>109</v>
      </c>
      <c r="G5855" s="208" t="s">
        <v>3529</v>
      </c>
      <c r="H5855" s="208" t="s">
        <v>175</v>
      </c>
      <c r="I5855" s="208"/>
      <c r="J5855" s="209"/>
      <c r="K5855" s="209"/>
      <c r="L5855" s="209"/>
      <c r="M5855" s="209"/>
      <c r="N5855" s="209"/>
      <c r="O5855" s="209"/>
      <c r="P5855" s="209"/>
      <c r="Q5855" s="209"/>
      <c r="R5855" s="209"/>
      <c r="S5855" s="209"/>
      <c r="T5855" s="209"/>
      <c r="U5855" s="451"/>
      <c r="V5855" s="451"/>
      <c r="W5855" s="451"/>
      <c r="X5855" s="451"/>
      <c r="Y5855" s="451"/>
      <c r="Z5855" s="451"/>
      <c r="AA5855" s="451"/>
      <c r="AB5855" s="451"/>
      <c r="AC5855" s="451"/>
      <c r="AD5855" s="451"/>
      <c r="AE5855" s="451"/>
      <c r="AF5855" s="451"/>
      <c r="AG5855" s="451"/>
      <c r="AH5855" s="451"/>
      <c r="AI5855" s="451"/>
      <c r="AJ5855" s="451"/>
      <c r="AK5855" s="451"/>
      <c r="AL5855" s="451"/>
      <c r="AM5855" s="451"/>
      <c r="AN5855" s="451"/>
      <c r="AO5855" s="451"/>
      <c r="AP5855" s="451"/>
      <c r="AQ5855" s="451"/>
      <c r="AR5855" s="451"/>
      <c r="AS5855" s="451"/>
      <c r="AT5855" s="451"/>
      <c r="AU5855" s="451"/>
      <c r="AV5855" s="451"/>
      <c r="AW5855" s="451"/>
      <c r="AX5855" s="451"/>
      <c r="AY5855" s="451"/>
      <c r="AZ5855" s="451"/>
      <c r="BA5855" s="451"/>
      <c r="BB5855" s="451"/>
      <c r="BC5855" s="451"/>
      <c r="BD5855" s="451"/>
      <c r="BE5855" s="451"/>
      <c r="BF5855" s="451"/>
      <c r="BG5855" s="451"/>
      <c r="BH5855" s="451"/>
      <c r="BI5855" s="451"/>
      <c r="BJ5855" s="451"/>
      <c r="BK5855" s="451"/>
      <c r="BL5855" s="451"/>
      <c r="BM5855" s="451"/>
      <c r="BN5855" s="451"/>
      <c r="BO5855" s="451"/>
      <c r="BP5855" s="451"/>
      <c r="BQ5855" s="451"/>
      <c r="BR5855" s="451"/>
      <c r="BS5855" s="451"/>
      <c r="BT5855" s="451"/>
      <c r="BU5855" s="451"/>
      <c r="BV5855" s="451"/>
      <c r="BW5855" s="451"/>
      <c r="BX5855" s="451"/>
      <c r="BY5855" s="451"/>
      <c r="BZ5855" s="451"/>
      <c r="CA5855" s="451"/>
      <c r="CB5855" s="451"/>
      <c r="CC5855" s="451"/>
      <c r="CD5855" s="451"/>
      <c r="CE5855" s="451"/>
      <c r="CF5855" s="451"/>
      <c r="CG5855" s="451"/>
      <c r="CH5855" s="451"/>
      <c r="CI5855" s="451"/>
      <c r="CJ5855" s="451"/>
      <c r="CK5855" s="451"/>
      <c r="CL5855" s="451"/>
      <c r="CM5855" s="451"/>
      <c r="CN5855" s="451"/>
      <c r="CO5855" s="451"/>
      <c r="CP5855" s="451"/>
      <c r="CQ5855" s="451"/>
      <c r="CR5855" s="451"/>
      <c r="CS5855" s="451"/>
      <c r="CT5855" s="451"/>
      <c r="CU5855" s="451"/>
      <c r="CV5855" s="451"/>
      <c r="CW5855" s="451"/>
      <c r="CX5855" s="451"/>
      <c r="CY5855" s="451"/>
      <c r="CZ5855" s="451"/>
      <c r="DA5855" s="451"/>
      <c r="DB5855" s="451"/>
      <c r="DC5855" s="451"/>
      <c r="DD5855" s="451"/>
      <c r="DE5855" s="451"/>
      <c r="DF5855" s="451"/>
      <c r="DG5855" s="451"/>
      <c r="DH5855" s="451"/>
      <c r="DI5855" s="451"/>
      <c r="DJ5855" s="451"/>
      <c r="DK5855" s="451"/>
      <c r="DL5855" s="451"/>
      <c r="DM5855" s="451"/>
      <c r="DN5855" s="451"/>
      <c r="DO5855" s="451"/>
      <c r="DP5855" s="451"/>
      <c r="DQ5855" s="451"/>
      <c r="DR5855" s="451"/>
      <c r="DS5855" s="451"/>
      <c r="DT5855" s="451"/>
      <c r="DU5855" s="451"/>
      <c r="DV5855" s="451"/>
      <c r="DW5855" s="451"/>
      <c r="DX5855" s="451"/>
      <c r="DY5855" s="451"/>
      <c r="DZ5855" s="451"/>
      <c r="EA5855" s="451"/>
      <c r="EB5855" s="451"/>
      <c r="EC5855" s="451"/>
      <c r="ED5855" s="451"/>
      <c r="EE5855" s="451"/>
      <c r="EF5855" s="451"/>
      <c r="EG5855" s="451"/>
      <c r="EH5855" s="451"/>
      <c r="EI5855" s="451"/>
      <c r="EJ5855" s="451"/>
      <c r="EK5855" s="451"/>
      <c r="EL5855" s="451"/>
      <c r="EM5855" s="451"/>
      <c r="EN5855" s="451"/>
      <c r="EO5855" s="451"/>
      <c r="EP5855" s="451"/>
      <c r="EQ5855" s="451"/>
      <c r="ER5855" s="451"/>
      <c r="ES5855" s="451"/>
    </row>
    <row r="5856" spans="1:149" ht="15" hidden="1" customHeight="1">
      <c r="A5856" s="468">
        <v>45538</v>
      </c>
      <c r="B5856" s="208" t="s">
        <v>4827</v>
      </c>
      <c r="C5856" s="208" t="s">
        <v>27</v>
      </c>
      <c r="D5856" s="211">
        <v>-11099</v>
      </c>
      <c r="E5856" s="212">
        <v>45536</v>
      </c>
      <c r="F5856" s="654" t="s">
        <v>109</v>
      </c>
      <c r="G5856" s="654" t="s">
        <v>4407</v>
      </c>
      <c r="H5856" s="208" t="s">
        <v>175</v>
      </c>
      <c r="I5856" s="208"/>
      <c r="J5856" s="209"/>
      <c r="K5856" s="209"/>
      <c r="L5856" s="209"/>
      <c r="M5856" s="209"/>
      <c r="N5856" s="209"/>
      <c r="O5856" s="209"/>
      <c r="P5856" s="209"/>
      <c r="Q5856" s="209"/>
      <c r="R5856" s="209"/>
      <c r="S5856" s="209"/>
      <c r="T5856" s="209"/>
      <c r="U5856" s="451"/>
      <c r="V5856" s="451"/>
      <c r="W5856" s="451"/>
      <c r="X5856" s="451"/>
      <c r="Y5856" s="451"/>
      <c r="Z5856" s="451"/>
      <c r="AA5856" s="451"/>
      <c r="AB5856" s="451"/>
      <c r="AC5856" s="451"/>
      <c r="AD5856" s="451"/>
      <c r="AE5856" s="451"/>
      <c r="AF5856" s="451"/>
      <c r="AG5856" s="451"/>
      <c r="AH5856" s="451"/>
      <c r="AI5856" s="451"/>
      <c r="AJ5856" s="451"/>
      <c r="AK5856" s="451"/>
      <c r="AL5856" s="451"/>
      <c r="AM5856" s="451"/>
      <c r="AN5856" s="451"/>
      <c r="AO5856" s="451"/>
      <c r="AP5856" s="451"/>
      <c r="AQ5856" s="451"/>
      <c r="AR5856" s="451"/>
      <c r="AS5856" s="451"/>
      <c r="AT5856" s="451"/>
      <c r="AU5856" s="451"/>
      <c r="AV5856" s="451"/>
      <c r="AW5856" s="451"/>
      <c r="AX5856" s="451"/>
      <c r="AY5856" s="451"/>
      <c r="AZ5856" s="451"/>
      <c r="BA5856" s="451"/>
      <c r="BB5856" s="451"/>
      <c r="BC5856" s="451"/>
      <c r="BD5856" s="451"/>
      <c r="BE5856" s="451"/>
      <c r="BF5856" s="451"/>
      <c r="BG5856" s="451"/>
      <c r="BH5856" s="451"/>
      <c r="BI5856" s="451"/>
      <c r="BJ5856" s="451"/>
      <c r="BK5856" s="451"/>
      <c r="BL5856" s="451"/>
      <c r="BM5856" s="451"/>
      <c r="BN5856" s="451"/>
      <c r="BO5856" s="451"/>
      <c r="BP5856" s="451"/>
      <c r="BQ5856" s="451"/>
      <c r="BR5856" s="451"/>
      <c r="BS5856" s="451"/>
      <c r="BT5856" s="451"/>
      <c r="BU5856" s="451"/>
      <c r="BV5856" s="451"/>
      <c r="BW5856" s="451"/>
      <c r="BX5856" s="451"/>
      <c r="BY5856" s="451"/>
      <c r="BZ5856" s="451"/>
      <c r="CA5856" s="451"/>
      <c r="CB5856" s="451"/>
      <c r="CC5856" s="451"/>
      <c r="CD5856" s="451"/>
      <c r="CE5856" s="451"/>
      <c r="CF5856" s="451"/>
      <c r="CG5856" s="451"/>
      <c r="CH5856" s="451"/>
      <c r="CI5856" s="451"/>
      <c r="CJ5856" s="451"/>
      <c r="CK5856" s="451"/>
      <c r="CL5856" s="451"/>
      <c r="CM5856" s="451"/>
      <c r="CN5856" s="451"/>
      <c r="CO5856" s="451"/>
      <c r="CP5856" s="451"/>
      <c r="CQ5856" s="451"/>
      <c r="CR5856" s="451"/>
      <c r="CS5856" s="451"/>
      <c r="CT5856" s="451"/>
      <c r="CU5856" s="451"/>
      <c r="CV5856" s="451"/>
      <c r="CW5856" s="451"/>
      <c r="CX5856" s="451"/>
      <c r="CY5856" s="451"/>
      <c r="CZ5856" s="451"/>
      <c r="DA5856" s="451"/>
      <c r="DB5856" s="451"/>
      <c r="DC5856" s="451"/>
      <c r="DD5856" s="451"/>
      <c r="DE5856" s="451"/>
      <c r="DF5856" s="451"/>
      <c r="DG5856" s="451"/>
      <c r="DH5856" s="451"/>
      <c r="DI5856" s="451"/>
      <c r="DJ5856" s="451"/>
      <c r="DK5856" s="451"/>
      <c r="DL5856" s="451"/>
      <c r="DM5856" s="451"/>
      <c r="DN5856" s="451"/>
      <c r="DO5856" s="451"/>
      <c r="DP5856" s="451"/>
      <c r="DQ5856" s="451"/>
      <c r="DR5856" s="451"/>
      <c r="DS5856" s="451"/>
      <c r="DT5856" s="451"/>
      <c r="DU5856" s="451"/>
      <c r="DV5856" s="451"/>
      <c r="DW5856" s="451"/>
      <c r="DX5856" s="451"/>
      <c r="DY5856" s="451"/>
      <c r="DZ5856" s="451"/>
      <c r="EA5856" s="451"/>
      <c r="EB5856" s="451"/>
      <c r="EC5856" s="451"/>
      <c r="ED5856" s="451"/>
      <c r="EE5856" s="451"/>
      <c r="EF5856" s="451"/>
      <c r="EG5856" s="451"/>
      <c r="EH5856" s="451"/>
      <c r="EI5856" s="451"/>
      <c r="EJ5856" s="451"/>
      <c r="EK5856" s="451"/>
      <c r="EL5856" s="451"/>
      <c r="EM5856" s="451"/>
      <c r="EN5856" s="451"/>
      <c r="EO5856" s="451"/>
      <c r="EP5856" s="451"/>
      <c r="EQ5856" s="451"/>
      <c r="ER5856" s="451"/>
      <c r="ES5856" s="451"/>
    </row>
    <row r="5857" spans="1:149" ht="15" hidden="1" customHeight="1">
      <c r="A5857" s="468">
        <v>45538</v>
      </c>
      <c r="B5857" s="208" t="s">
        <v>4828</v>
      </c>
      <c r="C5857" s="208" t="s">
        <v>27</v>
      </c>
      <c r="D5857" s="211">
        <v>-419962</v>
      </c>
      <c r="E5857" s="212">
        <v>45536</v>
      </c>
      <c r="F5857" s="654" t="s">
        <v>110</v>
      </c>
      <c r="G5857" s="654" t="s">
        <v>774</v>
      </c>
      <c r="H5857" s="208" t="s">
        <v>175</v>
      </c>
      <c r="I5857" s="208"/>
      <c r="J5857" s="209"/>
      <c r="K5857" s="209"/>
      <c r="L5857" s="209"/>
      <c r="M5857" s="209"/>
      <c r="N5857" s="209"/>
      <c r="O5857" s="209"/>
      <c r="P5857" s="209"/>
      <c r="Q5857" s="209"/>
      <c r="R5857" s="209"/>
      <c r="S5857" s="209"/>
      <c r="T5857" s="209"/>
      <c r="U5857" s="451"/>
      <c r="V5857" s="451"/>
      <c r="W5857" s="451"/>
      <c r="X5857" s="451"/>
      <c r="Y5857" s="451"/>
      <c r="Z5857" s="451"/>
      <c r="AA5857" s="451"/>
      <c r="AB5857" s="451"/>
      <c r="AC5857" s="451"/>
      <c r="AD5857" s="451"/>
      <c r="AE5857" s="451"/>
      <c r="AF5857" s="451"/>
      <c r="AG5857" s="451"/>
      <c r="AH5857" s="451"/>
      <c r="AI5857" s="451"/>
      <c r="AJ5857" s="451"/>
      <c r="AK5857" s="451"/>
      <c r="AL5857" s="451"/>
      <c r="AM5857" s="451"/>
      <c r="AN5857" s="451"/>
      <c r="AO5857" s="451"/>
      <c r="AP5857" s="451"/>
      <c r="AQ5857" s="451"/>
      <c r="AR5857" s="451"/>
      <c r="AS5857" s="451"/>
      <c r="AT5857" s="451"/>
      <c r="AU5857" s="451"/>
      <c r="AV5857" s="451"/>
      <c r="AW5857" s="451"/>
      <c r="AX5857" s="451"/>
      <c r="AY5857" s="451"/>
      <c r="AZ5857" s="451"/>
      <c r="BA5857" s="451"/>
      <c r="BB5857" s="451"/>
      <c r="BC5857" s="451"/>
      <c r="BD5857" s="451"/>
      <c r="BE5857" s="451"/>
      <c r="BF5857" s="451"/>
      <c r="BG5857" s="451"/>
      <c r="BH5857" s="451"/>
      <c r="BI5857" s="451"/>
      <c r="BJ5857" s="451"/>
      <c r="BK5857" s="451"/>
      <c r="BL5857" s="451"/>
      <c r="BM5857" s="451"/>
      <c r="BN5857" s="451"/>
      <c r="BO5857" s="451"/>
      <c r="BP5857" s="451"/>
      <c r="BQ5857" s="451"/>
      <c r="BR5857" s="451"/>
      <c r="BS5857" s="451"/>
      <c r="BT5857" s="451"/>
      <c r="BU5857" s="451"/>
      <c r="BV5857" s="451"/>
      <c r="BW5857" s="451"/>
      <c r="BX5857" s="451"/>
      <c r="BY5857" s="451"/>
      <c r="BZ5857" s="451"/>
      <c r="CA5857" s="451"/>
      <c r="CB5857" s="451"/>
      <c r="CC5857" s="451"/>
      <c r="CD5857" s="451"/>
      <c r="CE5857" s="451"/>
      <c r="CF5857" s="451"/>
      <c r="CG5857" s="451"/>
      <c r="CH5857" s="451"/>
      <c r="CI5857" s="451"/>
      <c r="CJ5857" s="451"/>
      <c r="CK5857" s="451"/>
      <c r="CL5857" s="451"/>
      <c r="CM5857" s="451"/>
      <c r="CN5857" s="451"/>
      <c r="CO5857" s="451"/>
      <c r="CP5857" s="451"/>
      <c r="CQ5857" s="451"/>
      <c r="CR5857" s="451"/>
      <c r="CS5857" s="451"/>
      <c r="CT5857" s="451"/>
      <c r="CU5857" s="451"/>
      <c r="CV5857" s="451"/>
      <c r="CW5857" s="451"/>
      <c r="CX5857" s="451"/>
      <c r="CY5857" s="451"/>
      <c r="CZ5857" s="451"/>
      <c r="DA5857" s="451"/>
      <c r="DB5857" s="451"/>
      <c r="DC5857" s="451"/>
      <c r="DD5857" s="451"/>
      <c r="DE5857" s="451"/>
      <c r="DF5857" s="451"/>
      <c r="DG5857" s="451"/>
      <c r="DH5857" s="451"/>
      <c r="DI5857" s="451"/>
      <c r="DJ5857" s="451"/>
      <c r="DK5857" s="451"/>
      <c r="DL5857" s="451"/>
      <c r="DM5857" s="451"/>
      <c r="DN5857" s="451"/>
      <c r="DO5857" s="451"/>
      <c r="DP5857" s="451"/>
      <c r="DQ5857" s="451"/>
      <c r="DR5857" s="451"/>
      <c r="DS5857" s="451"/>
      <c r="DT5857" s="451"/>
      <c r="DU5857" s="451"/>
      <c r="DV5857" s="451"/>
      <c r="DW5857" s="451"/>
      <c r="DX5857" s="451"/>
      <c r="DY5857" s="451"/>
      <c r="DZ5857" s="451"/>
      <c r="EA5857" s="451"/>
      <c r="EB5857" s="451"/>
      <c r="EC5857" s="451"/>
      <c r="ED5857" s="451"/>
      <c r="EE5857" s="451"/>
      <c r="EF5857" s="451"/>
      <c r="EG5857" s="451"/>
      <c r="EH5857" s="451"/>
      <c r="EI5857" s="451"/>
      <c r="EJ5857" s="451"/>
      <c r="EK5857" s="451"/>
      <c r="EL5857" s="451"/>
      <c r="EM5857" s="451"/>
      <c r="EN5857" s="451"/>
      <c r="EO5857" s="451"/>
      <c r="EP5857" s="451"/>
      <c r="EQ5857" s="451"/>
      <c r="ER5857" s="451"/>
      <c r="ES5857" s="451"/>
    </row>
    <row r="5858" spans="1:149" ht="15" hidden="1" customHeight="1">
      <c r="A5858" s="468">
        <v>45538</v>
      </c>
      <c r="B5858" s="208" t="s">
        <v>4828</v>
      </c>
      <c r="C5858" s="208" t="s">
        <v>27</v>
      </c>
      <c r="D5858" s="211">
        <v>-419962</v>
      </c>
      <c r="E5858" s="212">
        <v>45536</v>
      </c>
      <c r="F5858" s="654" t="s">
        <v>109</v>
      </c>
      <c r="G5858" s="654" t="s">
        <v>4407</v>
      </c>
      <c r="H5858" s="208" t="s">
        <v>175</v>
      </c>
      <c r="I5858" s="208"/>
      <c r="J5858" s="209"/>
      <c r="K5858" s="209"/>
      <c r="L5858" s="209"/>
      <c r="M5858" s="209"/>
      <c r="N5858" s="209"/>
      <c r="O5858" s="209"/>
      <c r="P5858" s="209"/>
      <c r="Q5858" s="209"/>
      <c r="R5858" s="209"/>
      <c r="S5858" s="209"/>
      <c r="T5858" s="209"/>
      <c r="U5858" s="451"/>
      <c r="V5858" s="451"/>
      <c r="W5858" s="451"/>
      <c r="X5858" s="451"/>
      <c r="Y5858" s="451"/>
      <c r="Z5858" s="451"/>
      <c r="AA5858" s="451"/>
      <c r="AB5858" s="451"/>
      <c r="AC5858" s="451"/>
      <c r="AD5858" s="451"/>
      <c r="AE5858" s="451"/>
      <c r="AF5858" s="451"/>
      <c r="AG5858" s="451"/>
      <c r="AH5858" s="451"/>
      <c r="AI5858" s="451"/>
      <c r="AJ5858" s="451"/>
      <c r="AK5858" s="451"/>
      <c r="AL5858" s="451"/>
      <c r="AM5858" s="451"/>
      <c r="AN5858" s="451"/>
      <c r="AO5858" s="451"/>
      <c r="AP5858" s="451"/>
      <c r="AQ5858" s="451"/>
      <c r="AR5858" s="451"/>
      <c r="AS5858" s="451"/>
      <c r="AT5858" s="451"/>
      <c r="AU5858" s="451"/>
      <c r="AV5858" s="451"/>
      <c r="AW5858" s="451"/>
      <c r="AX5858" s="451"/>
      <c r="AY5858" s="451"/>
      <c r="AZ5858" s="451"/>
      <c r="BA5858" s="451"/>
      <c r="BB5858" s="451"/>
      <c r="BC5858" s="451"/>
      <c r="BD5858" s="451"/>
      <c r="BE5858" s="451"/>
      <c r="BF5858" s="451"/>
      <c r="BG5858" s="451"/>
      <c r="BH5858" s="451"/>
      <c r="BI5858" s="451"/>
      <c r="BJ5858" s="451"/>
      <c r="BK5858" s="451"/>
      <c r="BL5858" s="451"/>
      <c r="BM5858" s="451"/>
      <c r="BN5858" s="451"/>
      <c r="BO5858" s="451"/>
      <c r="BP5858" s="451"/>
      <c r="BQ5858" s="451"/>
      <c r="BR5858" s="451"/>
      <c r="BS5858" s="451"/>
      <c r="BT5858" s="451"/>
      <c r="BU5858" s="451"/>
      <c r="BV5858" s="451"/>
      <c r="BW5858" s="451"/>
      <c r="BX5858" s="451"/>
      <c r="BY5858" s="451"/>
      <c r="BZ5858" s="451"/>
      <c r="CA5858" s="451"/>
      <c r="CB5858" s="451"/>
      <c r="CC5858" s="451"/>
      <c r="CD5858" s="451"/>
      <c r="CE5858" s="451"/>
      <c r="CF5858" s="451"/>
      <c r="CG5858" s="451"/>
      <c r="CH5858" s="451"/>
      <c r="CI5858" s="451"/>
      <c r="CJ5858" s="451"/>
      <c r="CK5858" s="451"/>
      <c r="CL5858" s="451"/>
      <c r="CM5858" s="451"/>
      <c r="CN5858" s="451"/>
      <c r="CO5858" s="451"/>
      <c r="CP5858" s="451"/>
      <c r="CQ5858" s="451"/>
      <c r="CR5858" s="451"/>
      <c r="CS5858" s="451"/>
      <c r="CT5858" s="451"/>
      <c r="CU5858" s="451"/>
      <c r="CV5858" s="451"/>
      <c r="CW5858" s="451"/>
      <c r="CX5858" s="451"/>
      <c r="CY5858" s="451"/>
      <c r="CZ5858" s="451"/>
      <c r="DA5858" s="451"/>
      <c r="DB5858" s="451"/>
      <c r="DC5858" s="451"/>
      <c r="DD5858" s="451"/>
      <c r="DE5858" s="451"/>
      <c r="DF5858" s="451"/>
      <c r="DG5858" s="451"/>
      <c r="DH5858" s="451"/>
      <c r="DI5858" s="451"/>
      <c r="DJ5858" s="451"/>
      <c r="DK5858" s="451"/>
      <c r="DL5858" s="451"/>
      <c r="DM5858" s="451"/>
      <c r="DN5858" s="451"/>
      <c r="DO5858" s="451"/>
      <c r="DP5858" s="451"/>
      <c r="DQ5858" s="451"/>
      <c r="DR5858" s="451"/>
      <c r="DS5858" s="451"/>
      <c r="DT5858" s="451"/>
      <c r="DU5858" s="451"/>
      <c r="DV5858" s="451"/>
      <c r="DW5858" s="451"/>
      <c r="DX5858" s="451"/>
      <c r="DY5858" s="451"/>
      <c r="DZ5858" s="451"/>
      <c r="EA5858" s="451"/>
      <c r="EB5858" s="451"/>
      <c r="EC5858" s="451"/>
      <c r="ED5858" s="451"/>
      <c r="EE5858" s="451"/>
      <c r="EF5858" s="451"/>
      <c r="EG5858" s="451"/>
      <c r="EH5858" s="451"/>
      <c r="EI5858" s="451"/>
      <c r="EJ5858" s="451"/>
      <c r="EK5858" s="451"/>
      <c r="EL5858" s="451"/>
      <c r="EM5858" s="451"/>
      <c r="EN5858" s="451"/>
      <c r="EO5858" s="451"/>
      <c r="EP5858" s="451"/>
      <c r="EQ5858" s="451"/>
      <c r="ER5858" s="451"/>
      <c r="ES5858" s="451"/>
    </row>
    <row r="5859" spans="1:149" ht="15" hidden="1" customHeight="1">
      <c r="A5859" s="468">
        <v>45538</v>
      </c>
      <c r="B5859" s="208" t="s">
        <v>4829</v>
      </c>
      <c r="C5859" s="208" t="s">
        <v>27</v>
      </c>
      <c r="D5859" s="211">
        <v>-234000</v>
      </c>
      <c r="E5859" s="212">
        <v>45536</v>
      </c>
      <c r="F5859" s="654" t="s">
        <v>109</v>
      </c>
      <c r="G5859" s="201" t="s">
        <v>581</v>
      </c>
      <c r="H5859" s="208"/>
      <c r="I5859" s="208"/>
      <c r="J5859" s="209"/>
      <c r="K5859" s="209"/>
      <c r="L5859" s="209"/>
      <c r="M5859" s="209"/>
      <c r="N5859" s="209"/>
      <c r="O5859" s="209"/>
      <c r="P5859" s="209"/>
      <c r="Q5859" s="209"/>
      <c r="R5859" s="209"/>
      <c r="S5859" s="209"/>
      <c r="T5859" s="209"/>
      <c r="U5859" s="451"/>
      <c r="V5859" s="451"/>
      <c r="W5859" s="451"/>
      <c r="X5859" s="451"/>
      <c r="Y5859" s="451"/>
      <c r="Z5859" s="451"/>
      <c r="AA5859" s="451"/>
      <c r="AB5859" s="451"/>
      <c r="AC5859" s="451"/>
      <c r="AD5859" s="451"/>
      <c r="AE5859" s="451"/>
      <c r="AF5859" s="451"/>
      <c r="AG5859" s="451"/>
      <c r="AH5859" s="451"/>
      <c r="AI5859" s="451"/>
      <c r="AJ5859" s="451"/>
      <c r="AK5859" s="451"/>
      <c r="AL5859" s="451"/>
      <c r="AM5859" s="451"/>
      <c r="AN5859" s="451"/>
      <c r="AO5859" s="451"/>
      <c r="AP5859" s="451"/>
      <c r="AQ5859" s="451"/>
      <c r="AR5859" s="451"/>
      <c r="AS5859" s="451"/>
      <c r="AT5859" s="451"/>
      <c r="AU5859" s="451"/>
      <c r="AV5859" s="451"/>
      <c r="AW5859" s="451"/>
      <c r="AX5859" s="451"/>
      <c r="AY5859" s="451"/>
      <c r="AZ5859" s="451"/>
      <c r="BA5859" s="451"/>
      <c r="BB5859" s="451"/>
      <c r="BC5859" s="451"/>
      <c r="BD5859" s="451"/>
      <c r="BE5859" s="451"/>
      <c r="BF5859" s="451"/>
      <c r="BG5859" s="451"/>
      <c r="BH5859" s="451"/>
      <c r="BI5859" s="451"/>
      <c r="BJ5859" s="451"/>
      <c r="BK5859" s="451"/>
      <c r="BL5859" s="451"/>
      <c r="BM5859" s="451"/>
      <c r="BN5859" s="451"/>
      <c r="BO5859" s="451"/>
      <c r="BP5859" s="451"/>
      <c r="BQ5859" s="451"/>
      <c r="BR5859" s="451"/>
      <c r="BS5859" s="451"/>
      <c r="BT5859" s="451"/>
      <c r="BU5859" s="451"/>
      <c r="BV5859" s="451"/>
      <c r="BW5859" s="451"/>
      <c r="BX5859" s="451"/>
      <c r="BY5859" s="451"/>
      <c r="BZ5859" s="451"/>
      <c r="CA5859" s="451"/>
      <c r="CB5859" s="451"/>
      <c r="CC5859" s="451"/>
      <c r="CD5859" s="451"/>
      <c r="CE5859" s="451"/>
      <c r="CF5859" s="451"/>
      <c r="CG5859" s="451"/>
      <c r="CH5859" s="451"/>
      <c r="CI5859" s="451"/>
      <c r="CJ5859" s="451"/>
      <c r="CK5859" s="451"/>
      <c r="CL5859" s="451"/>
      <c r="CM5859" s="451"/>
      <c r="CN5859" s="451"/>
      <c r="CO5859" s="451"/>
      <c r="CP5859" s="451"/>
      <c r="CQ5859" s="451"/>
      <c r="CR5859" s="451"/>
      <c r="CS5859" s="451"/>
      <c r="CT5859" s="451"/>
      <c r="CU5859" s="451"/>
      <c r="CV5859" s="451"/>
      <c r="CW5859" s="451"/>
      <c r="CX5859" s="451"/>
      <c r="CY5859" s="451"/>
      <c r="CZ5859" s="451"/>
      <c r="DA5859" s="451"/>
      <c r="DB5859" s="451"/>
      <c r="DC5859" s="451"/>
      <c r="DD5859" s="451"/>
      <c r="DE5859" s="451"/>
      <c r="DF5859" s="451"/>
      <c r="DG5859" s="451"/>
      <c r="DH5859" s="451"/>
      <c r="DI5859" s="451"/>
      <c r="DJ5859" s="451"/>
      <c r="DK5859" s="451"/>
      <c r="DL5859" s="451"/>
      <c r="DM5859" s="451"/>
      <c r="DN5859" s="451"/>
      <c r="DO5859" s="451"/>
      <c r="DP5859" s="451"/>
      <c r="DQ5859" s="451"/>
      <c r="DR5859" s="451"/>
      <c r="DS5859" s="451"/>
      <c r="DT5859" s="451"/>
      <c r="DU5859" s="451"/>
      <c r="DV5859" s="451"/>
      <c r="DW5859" s="451"/>
      <c r="DX5859" s="451"/>
      <c r="DY5859" s="451"/>
      <c r="DZ5859" s="451"/>
      <c r="EA5859" s="451"/>
      <c r="EB5859" s="451"/>
      <c r="EC5859" s="451"/>
      <c r="ED5859" s="451"/>
      <c r="EE5859" s="451"/>
      <c r="EF5859" s="451"/>
      <c r="EG5859" s="451"/>
      <c r="EH5859" s="451"/>
      <c r="EI5859" s="451"/>
      <c r="EJ5859" s="451"/>
      <c r="EK5859" s="451"/>
      <c r="EL5859" s="451"/>
      <c r="EM5859" s="451"/>
      <c r="EN5859" s="451"/>
      <c r="EO5859" s="451"/>
      <c r="EP5859" s="451"/>
      <c r="EQ5859" s="451"/>
      <c r="ER5859" s="451"/>
      <c r="ES5859" s="451"/>
    </row>
    <row r="5860" spans="1:149" ht="15" hidden="1" customHeight="1">
      <c r="A5860" s="468">
        <v>45538</v>
      </c>
      <c r="B5860" s="208" t="s">
        <v>4830</v>
      </c>
      <c r="C5860" s="208" t="s">
        <v>27</v>
      </c>
      <c r="D5860" s="211">
        <v>-700000</v>
      </c>
      <c r="E5860" s="212">
        <v>45536</v>
      </c>
      <c r="F5860" s="201" t="s">
        <v>110</v>
      </c>
      <c r="G5860" s="208" t="s">
        <v>2444</v>
      </c>
      <c r="H5860" s="208"/>
      <c r="I5860" s="208"/>
      <c r="J5860" s="209"/>
      <c r="K5860" s="209"/>
      <c r="L5860" s="209"/>
      <c r="M5860" s="209"/>
      <c r="N5860" s="209"/>
      <c r="O5860" s="209"/>
      <c r="P5860" s="209"/>
      <c r="Q5860" s="209"/>
      <c r="R5860" s="209"/>
      <c r="S5860" s="209"/>
      <c r="T5860" s="209"/>
      <c r="U5860" s="451"/>
      <c r="V5860" s="451"/>
      <c r="W5860" s="451"/>
      <c r="X5860" s="451"/>
      <c r="Y5860" s="451"/>
      <c r="Z5860" s="451"/>
      <c r="AA5860" s="451"/>
      <c r="AB5860" s="451"/>
      <c r="AC5860" s="451"/>
      <c r="AD5860" s="451"/>
      <c r="AE5860" s="451"/>
      <c r="AF5860" s="451"/>
      <c r="AG5860" s="451"/>
      <c r="AH5860" s="451"/>
      <c r="AI5860" s="451"/>
      <c r="AJ5860" s="451"/>
      <c r="AK5860" s="451"/>
      <c r="AL5860" s="451"/>
      <c r="AM5860" s="451"/>
      <c r="AN5860" s="451"/>
      <c r="AO5860" s="451"/>
      <c r="AP5860" s="451"/>
      <c r="AQ5860" s="451"/>
      <c r="AR5860" s="451"/>
      <c r="AS5860" s="451"/>
      <c r="AT5860" s="451"/>
      <c r="AU5860" s="451"/>
      <c r="AV5860" s="451"/>
      <c r="AW5860" s="451"/>
      <c r="AX5860" s="451"/>
      <c r="AY5860" s="451"/>
      <c r="AZ5860" s="451"/>
      <c r="BA5860" s="451"/>
      <c r="BB5860" s="451"/>
      <c r="BC5860" s="451"/>
      <c r="BD5860" s="451"/>
      <c r="BE5860" s="451"/>
      <c r="BF5860" s="451"/>
      <c r="BG5860" s="451"/>
      <c r="BH5860" s="451"/>
      <c r="BI5860" s="451"/>
      <c r="BJ5860" s="451"/>
      <c r="BK5860" s="451"/>
      <c r="BL5860" s="451"/>
      <c r="BM5860" s="451"/>
      <c r="BN5860" s="451"/>
      <c r="BO5860" s="451"/>
      <c r="BP5860" s="451"/>
      <c r="BQ5860" s="451"/>
      <c r="BR5860" s="451"/>
      <c r="BS5860" s="451"/>
      <c r="BT5860" s="451"/>
      <c r="BU5860" s="451"/>
      <c r="BV5860" s="451"/>
      <c r="BW5860" s="451"/>
      <c r="BX5860" s="451"/>
      <c r="BY5860" s="451"/>
      <c r="BZ5860" s="451"/>
      <c r="CA5860" s="451"/>
      <c r="CB5860" s="451"/>
      <c r="CC5860" s="451"/>
      <c r="CD5860" s="451"/>
      <c r="CE5860" s="451"/>
      <c r="CF5860" s="451"/>
      <c r="CG5860" s="451"/>
      <c r="CH5860" s="451"/>
      <c r="CI5860" s="451"/>
      <c r="CJ5860" s="451"/>
      <c r="CK5860" s="451"/>
      <c r="CL5860" s="451"/>
      <c r="CM5860" s="451"/>
      <c r="CN5860" s="451"/>
      <c r="CO5860" s="451"/>
      <c r="CP5860" s="451"/>
      <c r="CQ5860" s="451"/>
      <c r="CR5860" s="451"/>
      <c r="CS5860" s="451"/>
      <c r="CT5860" s="451"/>
      <c r="CU5860" s="451"/>
      <c r="CV5860" s="451"/>
      <c r="CW5860" s="451"/>
      <c r="CX5860" s="451"/>
      <c r="CY5860" s="451"/>
      <c r="CZ5860" s="451"/>
      <c r="DA5860" s="451"/>
      <c r="DB5860" s="451"/>
      <c r="DC5860" s="451"/>
      <c r="DD5860" s="451"/>
      <c r="DE5860" s="451"/>
      <c r="DF5860" s="451"/>
      <c r="DG5860" s="451"/>
      <c r="DH5860" s="451"/>
      <c r="DI5860" s="451"/>
      <c r="DJ5860" s="451"/>
      <c r="DK5860" s="451"/>
      <c r="DL5860" s="451"/>
      <c r="DM5860" s="451"/>
      <c r="DN5860" s="451"/>
      <c r="DO5860" s="451"/>
      <c r="DP5860" s="451"/>
      <c r="DQ5860" s="451"/>
      <c r="DR5860" s="451"/>
      <c r="DS5860" s="451"/>
      <c r="DT5860" s="451"/>
      <c r="DU5860" s="451"/>
      <c r="DV5860" s="451"/>
      <c r="DW5860" s="451"/>
      <c r="DX5860" s="451"/>
      <c r="DY5860" s="451"/>
      <c r="DZ5860" s="451"/>
      <c r="EA5860" s="451"/>
      <c r="EB5860" s="451"/>
      <c r="EC5860" s="451"/>
      <c r="ED5860" s="451"/>
      <c r="EE5860" s="451"/>
      <c r="EF5860" s="451"/>
      <c r="EG5860" s="451"/>
      <c r="EH5860" s="451"/>
      <c r="EI5860" s="451"/>
      <c r="EJ5860" s="451"/>
      <c r="EK5860" s="451"/>
      <c r="EL5860" s="451"/>
      <c r="EM5860" s="451"/>
      <c r="EN5860" s="451"/>
      <c r="EO5860" s="451"/>
      <c r="EP5860" s="451"/>
      <c r="EQ5860" s="451"/>
      <c r="ER5860" s="451"/>
      <c r="ES5860" s="451"/>
    </row>
    <row r="5861" spans="1:149" ht="15" hidden="1" customHeight="1">
      <c r="A5861" s="468">
        <v>45538</v>
      </c>
      <c r="B5861" s="208" t="s">
        <v>4831</v>
      </c>
      <c r="C5861" s="208" t="s">
        <v>27</v>
      </c>
      <c r="D5861" s="211">
        <v>-5980000</v>
      </c>
      <c r="E5861" s="212">
        <v>45536</v>
      </c>
      <c r="F5861" s="208" t="s">
        <v>109</v>
      </c>
      <c r="G5861" s="201" t="s">
        <v>581</v>
      </c>
      <c r="H5861" s="208"/>
      <c r="I5861" s="208"/>
      <c r="J5861" s="209"/>
      <c r="K5861" s="209"/>
      <c r="L5861" s="209"/>
      <c r="M5861" s="209"/>
      <c r="N5861" s="209"/>
      <c r="O5861" s="209"/>
      <c r="P5861" s="209"/>
      <c r="Q5861" s="209"/>
      <c r="R5861" s="209"/>
      <c r="S5861" s="209"/>
      <c r="T5861" s="209"/>
      <c r="U5861" s="451"/>
      <c r="V5861" s="451"/>
      <c r="W5861" s="451"/>
      <c r="X5861" s="451"/>
      <c r="Y5861" s="451"/>
      <c r="Z5861" s="451"/>
      <c r="AA5861" s="451"/>
      <c r="AB5861" s="451"/>
      <c r="AC5861" s="451"/>
      <c r="AD5861" s="451"/>
      <c r="AE5861" s="451"/>
      <c r="AF5861" s="451"/>
      <c r="AG5861" s="451"/>
      <c r="AH5861" s="451"/>
      <c r="AI5861" s="451"/>
      <c r="AJ5861" s="451"/>
      <c r="AK5861" s="451"/>
      <c r="AL5861" s="451"/>
      <c r="AM5861" s="451"/>
      <c r="AN5861" s="451"/>
      <c r="AO5861" s="451"/>
      <c r="AP5861" s="451"/>
      <c r="AQ5861" s="451"/>
      <c r="AR5861" s="451"/>
      <c r="AS5861" s="451"/>
      <c r="AT5861" s="451"/>
      <c r="AU5861" s="451"/>
      <c r="AV5861" s="451"/>
      <c r="AW5861" s="451"/>
      <c r="AX5861" s="451"/>
      <c r="AY5861" s="451"/>
      <c r="AZ5861" s="451"/>
      <c r="BA5861" s="451"/>
      <c r="BB5861" s="451"/>
      <c r="BC5861" s="451"/>
      <c r="BD5861" s="451"/>
      <c r="BE5861" s="451"/>
      <c r="BF5861" s="451"/>
      <c r="BG5861" s="451"/>
      <c r="BH5861" s="451"/>
      <c r="BI5861" s="451"/>
      <c r="BJ5861" s="451"/>
      <c r="BK5861" s="451"/>
      <c r="BL5861" s="451"/>
      <c r="BM5861" s="451"/>
      <c r="BN5861" s="451"/>
      <c r="BO5861" s="451"/>
      <c r="BP5861" s="451"/>
      <c r="BQ5861" s="451"/>
      <c r="BR5861" s="451"/>
      <c r="BS5861" s="451"/>
      <c r="BT5861" s="451"/>
      <c r="BU5861" s="451"/>
      <c r="BV5861" s="451"/>
      <c r="BW5861" s="451"/>
      <c r="BX5861" s="451"/>
      <c r="BY5861" s="451"/>
      <c r="BZ5861" s="451"/>
      <c r="CA5861" s="451"/>
      <c r="CB5861" s="451"/>
      <c r="CC5861" s="451"/>
      <c r="CD5861" s="451"/>
      <c r="CE5861" s="451"/>
      <c r="CF5861" s="451"/>
      <c r="CG5861" s="451"/>
      <c r="CH5861" s="451"/>
      <c r="CI5861" s="451"/>
      <c r="CJ5861" s="451"/>
      <c r="CK5861" s="451"/>
      <c r="CL5861" s="451"/>
      <c r="CM5861" s="451"/>
      <c r="CN5861" s="451"/>
      <c r="CO5861" s="451"/>
      <c r="CP5861" s="451"/>
      <c r="CQ5861" s="451"/>
      <c r="CR5861" s="451"/>
      <c r="CS5861" s="451"/>
      <c r="CT5861" s="451"/>
      <c r="CU5861" s="451"/>
      <c r="CV5861" s="451"/>
      <c r="CW5861" s="451"/>
      <c r="CX5861" s="451"/>
      <c r="CY5861" s="451"/>
      <c r="CZ5861" s="451"/>
      <c r="DA5861" s="451"/>
      <c r="DB5861" s="451"/>
      <c r="DC5861" s="451"/>
      <c r="DD5861" s="451"/>
      <c r="DE5861" s="451"/>
      <c r="DF5861" s="451"/>
      <c r="DG5861" s="451"/>
      <c r="DH5861" s="451"/>
      <c r="DI5861" s="451"/>
      <c r="DJ5861" s="451"/>
      <c r="DK5861" s="451"/>
      <c r="DL5861" s="451"/>
      <c r="DM5861" s="451"/>
      <c r="DN5861" s="451"/>
      <c r="DO5861" s="451"/>
      <c r="DP5861" s="451"/>
      <c r="DQ5861" s="451"/>
      <c r="DR5861" s="451"/>
      <c r="DS5861" s="451"/>
      <c r="DT5861" s="451"/>
      <c r="DU5861" s="451"/>
      <c r="DV5861" s="451"/>
      <c r="DW5861" s="451"/>
      <c r="DX5861" s="451"/>
      <c r="DY5861" s="451"/>
      <c r="DZ5861" s="451"/>
      <c r="EA5861" s="451"/>
      <c r="EB5861" s="451"/>
      <c r="EC5861" s="451"/>
      <c r="ED5861" s="451"/>
      <c r="EE5861" s="451"/>
      <c r="EF5861" s="451"/>
      <c r="EG5861" s="451"/>
      <c r="EH5861" s="451"/>
      <c r="EI5861" s="451"/>
      <c r="EJ5861" s="451"/>
      <c r="EK5861" s="451"/>
      <c r="EL5861" s="451"/>
      <c r="EM5861" s="451"/>
      <c r="EN5861" s="451"/>
      <c r="EO5861" s="451"/>
      <c r="EP5861" s="451"/>
      <c r="EQ5861" s="451"/>
      <c r="ER5861" s="451"/>
      <c r="ES5861" s="451"/>
    </row>
    <row r="5862" spans="1:149" ht="15" hidden="1" customHeight="1">
      <c r="A5862" s="468">
        <v>45538</v>
      </c>
      <c r="B5862" s="208" t="s">
        <v>4832</v>
      </c>
      <c r="C5862" s="208" t="s">
        <v>27</v>
      </c>
      <c r="D5862" s="211">
        <v>-1192800</v>
      </c>
      <c r="E5862" s="212">
        <v>45536</v>
      </c>
      <c r="F5862" s="208" t="s">
        <v>130</v>
      </c>
      <c r="G5862" s="208" t="s">
        <v>257</v>
      </c>
      <c r="H5862" s="208" t="s">
        <v>663</v>
      </c>
      <c r="I5862" s="208"/>
      <c r="J5862" s="209"/>
      <c r="K5862" s="209"/>
      <c r="L5862" s="209"/>
      <c r="M5862" s="209"/>
      <c r="N5862" s="209"/>
      <c r="O5862" s="209"/>
      <c r="P5862" s="209"/>
      <c r="Q5862" s="209"/>
      <c r="R5862" s="209"/>
      <c r="S5862" s="209"/>
      <c r="T5862" s="209"/>
      <c r="U5862" s="451"/>
      <c r="V5862" s="451"/>
      <c r="W5862" s="451"/>
      <c r="X5862" s="451"/>
      <c r="Y5862" s="451"/>
      <c r="Z5862" s="451"/>
      <c r="AA5862" s="451"/>
      <c r="AB5862" s="451"/>
      <c r="AC5862" s="451"/>
      <c r="AD5862" s="451"/>
      <c r="AE5862" s="451"/>
      <c r="AF5862" s="451"/>
      <c r="AG5862" s="451"/>
      <c r="AH5862" s="451"/>
      <c r="AI5862" s="451"/>
      <c r="AJ5862" s="451"/>
      <c r="AK5862" s="451"/>
      <c r="AL5862" s="451"/>
      <c r="AM5862" s="451"/>
      <c r="AN5862" s="451"/>
      <c r="AO5862" s="451"/>
      <c r="AP5862" s="451"/>
      <c r="AQ5862" s="451"/>
      <c r="AR5862" s="451"/>
      <c r="AS5862" s="451"/>
      <c r="AT5862" s="451"/>
      <c r="AU5862" s="451"/>
      <c r="AV5862" s="451"/>
      <c r="AW5862" s="451"/>
      <c r="AX5862" s="451"/>
      <c r="AY5862" s="451"/>
      <c r="AZ5862" s="451"/>
      <c r="BA5862" s="451"/>
      <c r="BB5862" s="451"/>
      <c r="BC5862" s="451"/>
      <c r="BD5862" s="451"/>
      <c r="BE5862" s="451"/>
      <c r="BF5862" s="451"/>
      <c r="BG5862" s="451"/>
      <c r="BH5862" s="451"/>
      <c r="BI5862" s="451"/>
      <c r="BJ5862" s="451"/>
      <c r="BK5862" s="451"/>
      <c r="BL5862" s="451"/>
      <c r="BM5862" s="451"/>
      <c r="BN5862" s="451"/>
      <c r="BO5862" s="451"/>
      <c r="BP5862" s="451"/>
      <c r="BQ5862" s="451"/>
      <c r="BR5862" s="451"/>
      <c r="BS5862" s="451"/>
      <c r="BT5862" s="451"/>
      <c r="BU5862" s="451"/>
      <c r="BV5862" s="451"/>
      <c r="BW5862" s="451"/>
      <c r="BX5862" s="451"/>
      <c r="BY5862" s="451"/>
      <c r="BZ5862" s="451"/>
      <c r="CA5862" s="451"/>
      <c r="CB5862" s="451"/>
      <c r="CC5862" s="451"/>
      <c r="CD5862" s="451"/>
      <c r="CE5862" s="451"/>
      <c r="CF5862" s="451"/>
      <c r="CG5862" s="451"/>
      <c r="CH5862" s="451"/>
      <c r="CI5862" s="451"/>
      <c r="CJ5862" s="451"/>
      <c r="CK5862" s="451"/>
      <c r="CL5862" s="451"/>
      <c r="CM5862" s="451"/>
      <c r="CN5862" s="451"/>
      <c r="CO5862" s="451"/>
      <c r="CP5862" s="451"/>
      <c r="CQ5862" s="451"/>
      <c r="CR5862" s="451"/>
      <c r="CS5862" s="451"/>
      <c r="CT5862" s="451"/>
      <c r="CU5862" s="451"/>
      <c r="CV5862" s="451"/>
      <c r="CW5862" s="451"/>
      <c r="CX5862" s="451"/>
      <c r="CY5862" s="451"/>
      <c r="CZ5862" s="451"/>
      <c r="DA5862" s="451"/>
      <c r="DB5862" s="451"/>
      <c r="DC5862" s="451"/>
      <c r="DD5862" s="451"/>
      <c r="DE5862" s="451"/>
      <c r="DF5862" s="451"/>
      <c r="DG5862" s="451"/>
      <c r="DH5862" s="451"/>
      <c r="DI5862" s="451"/>
      <c r="DJ5862" s="451"/>
      <c r="DK5862" s="451"/>
      <c r="DL5862" s="451"/>
      <c r="DM5862" s="451"/>
      <c r="DN5862" s="451"/>
      <c r="DO5862" s="451"/>
      <c r="DP5862" s="451"/>
      <c r="DQ5862" s="451"/>
      <c r="DR5862" s="451"/>
      <c r="DS5862" s="451"/>
      <c r="DT5862" s="451"/>
      <c r="DU5862" s="451"/>
      <c r="DV5862" s="451"/>
      <c r="DW5862" s="451"/>
      <c r="DX5862" s="451"/>
      <c r="DY5862" s="451"/>
      <c r="DZ5862" s="451"/>
      <c r="EA5862" s="451"/>
      <c r="EB5862" s="451"/>
      <c r="EC5862" s="451"/>
      <c r="ED5862" s="451"/>
      <c r="EE5862" s="451"/>
      <c r="EF5862" s="451"/>
      <c r="EG5862" s="451"/>
      <c r="EH5862" s="451"/>
      <c r="EI5862" s="451"/>
      <c r="EJ5862" s="451"/>
      <c r="EK5862" s="451"/>
      <c r="EL5862" s="451"/>
      <c r="EM5862" s="451"/>
      <c r="EN5862" s="451"/>
      <c r="EO5862" s="451"/>
      <c r="EP5862" s="451"/>
      <c r="EQ5862" s="451"/>
      <c r="ER5862" s="451"/>
      <c r="ES5862" s="451"/>
    </row>
    <row r="5863" spans="1:149" ht="15" hidden="1" customHeight="1">
      <c r="A5863" s="468">
        <v>45538</v>
      </c>
      <c r="B5863" s="208" t="s">
        <v>4833</v>
      </c>
      <c r="C5863" s="208" t="s">
        <v>27</v>
      </c>
      <c r="D5863" s="211">
        <v>10000000</v>
      </c>
      <c r="E5863" s="212">
        <v>45536</v>
      </c>
      <c r="F5863" s="883" t="s">
        <v>707</v>
      </c>
      <c r="G5863" s="201" t="s">
        <v>581</v>
      </c>
      <c r="H5863" s="208"/>
      <c r="I5863" s="208"/>
      <c r="J5863" s="209"/>
      <c r="K5863" s="209"/>
      <c r="L5863" s="209"/>
      <c r="M5863" s="209"/>
      <c r="N5863" s="209"/>
      <c r="O5863" s="209"/>
      <c r="P5863" s="209"/>
      <c r="Q5863" s="209"/>
      <c r="R5863" s="209"/>
      <c r="S5863" s="209"/>
      <c r="T5863" s="209"/>
    </row>
    <row r="5864" spans="1:149" ht="15" hidden="1" customHeight="1">
      <c r="A5864" s="468">
        <v>45538</v>
      </c>
      <c r="B5864" s="208" t="s">
        <v>4834</v>
      </c>
      <c r="C5864" s="208" t="s">
        <v>27</v>
      </c>
      <c r="D5864" s="211">
        <v>7229716</v>
      </c>
      <c r="E5864" s="212">
        <v>45536</v>
      </c>
      <c r="F5864" s="654" t="s">
        <v>109</v>
      </c>
      <c r="G5864" s="208" t="s">
        <v>170</v>
      </c>
      <c r="H5864" s="208" t="s">
        <v>461</v>
      </c>
      <c r="I5864" s="208"/>
      <c r="J5864" s="209"/>
      <c r="K5864" s="209"/>
      <c r="L5864" s="209"/>
      <c r="M5864" s="209"/>
      <c r="N5864" s="209"/>
      <c r="O5864" s="209"/>
      <c r="P5864" s="209"/>
      <c r="Q5864" s="209"/>
      <c r="R5864" s="209"/>
      <c r="S5864" s="209"/>
      <c r="T5864" s="209"/>
    </row>
    <row r="5865" spans="1:149" ht="15" hidden="1" customHeight="1">
      <c r="A5865" s="468">
        <v>45538</v>
      </c>
      <c r="B5865" s="208" t="s">
        <v>4835</v>
      </c>
      <c r="C5865" s="208" t="s">
        <v>27</v>
      </c>
      <c r="D5865" s="211">
        <v>30000000</v>
      </c>
      <c r="E5865" s="212">
        <v>45536</v>
      </c>
      <c r="F5865" s="654" t="s">
        <v>109</v>
      </c>
      <c r="G5865" s="201" t="s">
        <v>918</v>
      </c>
      <c r="H5865" s="208"/>
      <c r="I5865" s="208"/>
      <c r="J5865" s="209"/>
      <c r="K5865" s="209"/>
      <c r="L5865" s="209"/>
      <c r="M5865" s="209"/>
      <c r="N5865" s="209"/>
      <c r="O5865" s="209"/>
      <c r="P5865" s="209"/>
      <c r="Q5865" s="209"/>
      <c r="R5865" s="209"/>
      <c r="S5865" s="209"/>
      <c r="T5865" s="209"/>
    </row>
    <row r="5866" spans="1:149" s="209" customFormat="1" ht="15" hidden="1" customHeight="1">
      <c r="A5866" s="468">
        <v>45538</v>
      </c>
      <c r="B5866" s="208" t="s">
        <v>4836</v>
      </c>
      <c r="C5866" s="208" t="s">
        <v>3331</v>
      </c>
      <c r="D5866" s="211">
        <v>852380</v>
      </c>
      <c r="E5866" s="212">
        <v>45536</v>
      </c>
      <c r="F5866" s="654" t="s">
        <v>108</v>
      </c>
      <c r="G5866" s="208"/>
      <c r="H5866" s="208"/>
      <c r="I5866" s="208"/>
    </row>
    <row r="5867" spans="1:149" ht="15" hidden="1" customHeight="1">
      <c r="A5867" s="468">
        <v>45538</v>
      </c>
      <c r="B5867" s="81" t="s">
        <v>4837</v>
      </c>
      <c r="C5867" s="208" t="s">
        <v>643</v>
      </c>
      <c r="D5867" s="211">
        <v>-296400</v>
      </c>
      <c r="E5867" s="212">
        <v>45536</v>
      </c>
      <c r="F5867" s="208" t="s">
        <v>130</v>
      </c>
      <c r="G5867" s="208" t="s">
        <v>130</v>
      </c>
      <c r="H5867" s="208" t="s">
        <v>1245</v>
      </c>
      <c r="I5867" s="208"/>
      <c r="J5867" s="209"/>
      <c r="K5867" s="209"/>
      <c r="L5867" s="209"/>
      <c r="M5867" s="209"/>
      <c r="N5867" s="209"/>
      <c r="O5867" s="209"/>
      <c r="P5867" s="209"/>
      <c r="Q5867" s="209"/>
      <c r="R5867" s="209"/>
      <c r="S5867" s="209"/>
      <c r="T5867" s="209"/>
    </row>
    <row r="5868" spans="1:149" ht="15" hidden="1" customHeight="1">
      <c r="A5868" s="468">
        <v>45538</v>
      </c>
      <c r="B5868" s="81" t="s">
        <v>4128</v>
      </c>
      <c r="C5868" s="208" t="s">
        <v>643</v>
      </c>
      <c r="D5868" s="211">
        <v>-541777</v>
      </c>
      <c r="E5868" s="212">
        <v>45536</v>
      </c>
      <c r="F5868" s="208" t="s">
        <v>130</v>
      </c>
      <c r="G5868" s="208" t="s">
        <v>130</v>
      </c>
      <c r="H5868" s="208" t="s">
        <v>1245</v>
      </c>
      <c r="I5868" s="208"/>
      <c r="J5868" s="209"/>
      <c r="K5868" s="209"/>
      <c r="L5868" s="209"/>
      <c r="M5868" s="209"/>
      <c r="N5868" s="209"/>
      <c r="O5868" s="209"/>
      <c r="P5868" s="209"/>
      <c r="Q5868" s="209"/>
      <c r="R5868" s="209"/>
      <c r="S5868" s="209"/>
      <c r="T5868" s="209"/>
    </row>
    <row r="5869" spans="1:149" ht="15" hidden="1" customHeight="1">
      <c r="A5869" s="468">
        <v>45538</v>
      </c>
      <c r="B5869" s="81" t="s">
        <v>4837</v>
      </c>
      <c r="C5869" s="208" t="s">
        <v>643</v>
      </c>
      <c r="D5869" s="211">
        <v>-296400</v>
      </c>
      <c r="E5869" s="212">
        <v>45536</v>
      </c>
      <c r="F5869" s="208" t="s">
        <v>130</v>
      </c>
      <c r="G5869" s="208" t="s">
        <v>130</v>
      </c>
      <c r="H5869" s="208" t="s">
        <v>1245</v>
      </c>
      <c r="I5869" s="208"/>
      <c r="J5869" s="209"/>
      <c r="K5869" s="209"/>
      <c r="L5869" s="209"/>
      <c r="M5869" s="209"/>
      <c r="N5869" s="209"/>
      <c r="O5869" s="209"/>
      <c r="P5869" s="209"/>
      <c r="Q5869" s="209"/>
      <c r="R5869" s="209"/>
      <c r="S5869" s="209"/>
      <c r="T5869" s="209"/>
    </row>
    <row r="5870" spans="1:149" ht="15" hidden="1" customHeight="1">
      <c r="A5870" s="468">
        <v>45538</v>
      </c>
      <c r="B5870" s="208" t="s">
        <v>4838</v>
      </c>
      <c r="C5870" s="208" t="s">
        <v>269</v>
      </c>
      <c r="D5870" s="211">
        <v>-14000</v>
      </c>
      <c r="E5870" s="212">
        <v>45536</v>
      </c>
      <c r="F5870" s="208" t="s">
        <v>110</v>
      </c>
      <c r="G5870" s="201" t="s">
        <v>1489</v>
      </c>
      <c r="H5870" s="208" t="s">
        <v>147</v>
      </c>
      <c r="I5870" s="208" t="s">
        <v>173</v>
      </c>
      <c r="J5870" s="209"/>
      <c r="K5870" s="209"/>
      <c r="L5870" s="209"/>
      <c r="M5870" s="209"/>
      <c r="N5870" s="209"/>
      <c r="O5870" s="209"/>
      <c r="P5870" s="209"/>
      <c r="Q5870" s="209"/>
      <c r="R5870" s="209"/>
      <c r="S5870" s="209"/>
      <c r="T5870" s="209"/>
    </row>
    <row r="5871" spans="1:149" ht="15" hidden="1" customHeight="1">
      <c r="A5871" s="468">
        <v>45538</v>
      </c>
      <c r="B5871" s="208" t="s">
        <v>4839</v>
      </c>
      <c r="C5871" s="208" t="s">
        <v>269</v>
      </c>
      <c r="D5871" s="211">
        <v>-143000</v>
      </c>
      <c r="E5871" s="212">
        <v>45536</v>
      </c>
      <c r="F5871" s="208" t="s">
        <v>109</v>
      </c>
      <c r="G5871" s="201" t="s">
        <v>581</v>
      </c>
      <c r="H5871" s="208"/>
      <c r="I5871" s="208" t="s">
        <v>3364</v>
      </c>
      <c r="J5871" s="209"/>
      <c r="K5871" s="209"/>
      <c r="L5871" s="209"/>
      <c r="M5871" s="209"/>
      <c r="N5871" s="209"/>
      <c r="O5871" s="209"/>
      <c r="P5871" s="209"/>
      <c r="Q5871" s="209"/>
      <c r="R5871" s="209"/>
      <c r="S5871" s="209"/>
      <c r="T5871" s="209"/>
    </row>
    <row r="5872" spans="1:149" ht="15" hidden="1" customHeight="1">
      <c r="A5872" s="468">
        <v>45538</v>
      </c>
      <c r="B5872" s="208" t="s">
        <v>4840</v>
      </c>
      <c r="C5872" s="208" t="s">
        <v>269</v>
      </c>
      <c r="D5872" s="211">
        <v>-20000</v>
      </c>
      <c r="E5872" s="212">
        <v>45536</v>
      </c>
      <c r="F5872" s="208" t="s">
        <v>109</v>
      </c>
      <c r="G5872" s="201" t="s">
        <v>581</v>
      </c>
      <c r="H5872" s="208"/>
      <c r="I5872" s="208" t="s">
        <v>3364</v>
      </c>
      <c r="J5872" s="209"/>
      <c r="K5872" s="209"/>
      <c r="L5872" s="209"/>
      <c r="M5872" s="209"/>
      <c r="N5872" s="209"/>
      <c r="O5872" s="209"/>
      <c r="P5872" s="209"/>
      <c r="Q5872" s="209"/>
      <c r="R5872" s="209"/>
      <c r="S5872" s="209"/>
      <c r="T5872" s="209"/>
    </row>
    <row r="5873" spans="1:149" ht="15" hidden="1" customHeight="1">
      <c r="A5873" s="468">
        <v>45538</v>
      </c>
      <c r="B5873" s="208" t="s">
        <v>4841</v>
      </c>
      <c r="C5873" s="208" t="s">
        <v>146</v>
      </c>
      <c r="D5873" s="211">
        <v>-91405</v>
      </c>
      <c r="E5873" s="212">
        <v>45536</v>
      </c>
      <c r="F5873" s="208" t="s">
        <v>110</v>
      </c>
      <c r="G5873" s="208" t="s">
        <v>4399</v>
      </c>
      <c r="H5873" s="208" t="s">
        <v>147</v>
      </c>
      <c r="I5873" s="208" t="s">
        <v>3378</v>
      </c>
      <c r="J5873" s="209"/>
      <c r="K5873" s="209"/>
      <c r="L5873" s="209"/>
      <c r="M5873" s="209"/>
      <c r="N5873" s="209"/>
      <c r="O5873" s="209"/>
      <c r="P5873" s="209"/>
      <c r="Q5873" s="209"/>
      <c r="R5873" s="209"/>
      <c r="S5873" s="209"/>
      <c r="T5873" s="209"/>
    </row>
    <row r="5874" spans="1:149" ht="15" hidden="1" customHeight="1">
      <c r="A5874" s="468">
        <v>45538</v>
      </c>
      <c r="B5874" s="208" t="s">
        <v>4842</v>
      </c>
      <c r="C5874" s="208" t="s">
        <v>146</v>
      </c>
      <c r="D5874" s="526">
        <v>-24500</v>
      </c>
      <c r="E5874" s="212">
        <v>45536</v>
      </c>
      <c r="F5874" s="208" t="s">
        <v>110</v>
      </c>
      <c r="G5874" s="208" t="s">
        <v>4399</v>
      </c>
      <c r="H5874" s="208" t="s">
        <v>138</v>
      </c>
      <c r="I5874" s="208" t="s">
        <v>47</v>
      </c>
      <c r="J5874" s="209"/>
      <c r="K5874" s="209"/>
      <c r="L5874" s="209"/>
      <c r="M5874" s="209"/>
      <c r="N5874" s="209"/>
      <c r="O5874" s="209"/>
      <c r="P5874" s="209"/>
      <c r="Q5874" s="209"/>
      <c r="R5874" s="209"/>
      <c r="S5874" s="209"/>
      <c r="T5874" s="209"/>
    </row>
    <row r="5875" spans="1:149" ht="15" hidden="1" customHeight="1">
      <c r="A5875" s="468">
        <v>45538</v>
      </c>
      <c r="B5875" s="208" t="s">
        <v>4797</v>
      </c>
      <c r="C5875" s="208" t="s">
        <v>146</v>
      </c>
      <c r="D5875" s="526">
        <v>-26300</v>
      </c>
      <c r="E5875" s="212">
        <v>45536</v>
      </c>
      <c r="F5875" s="208" t="s">
        <v>110</v>
      </c>
      <c r="G5875" s="208" t="s">
        <v>4399</v>
      </c>
      <c r="H5875" s="208" t="s">
        <v>138</v>
      </c>
      <c r="I5875" s="208" t="s">
        <v>47</v>
      </c>
      <c r="J5875" s="209"/>
      <c r="K5875" s="209"/>
      <c r="L5875" s="209"/>
      <c r="M5875" s="209"/>
      <c r="N5875" s="209"/>
      <c r="O5875" s="209"/>
      <c r="P5875" s="209"/>
      <c r="Q5875" s="209"/>
      <c r="R5875" s="209"/>
      <c r="S5875" s="209"/>
      <c r="T5875" s="209"/>
    </row>
    <row r="5876" spans="1:149" ht="15" hidden="1" customHeight="1">
      <c r="A5876" s="468">
        <v>45539</v>
      </c>
      <c r="B5876" s="208" t="s">
        <v>4843</v>
      </c>
      <c r="C5876" s="208" t="s">
        <v>269</v>
      </c>
      <c r="D5876" s="211">
        <v>-650000</v>
      </c>
      <c r="E5876" s="212">
        <v>45536</v>
      </c>
      <c r="F5876" s="208" t="s">
        <v>110</v>
      </c>
      <c r="G5876" s="208" t="s">
        <v>2444</v>
      </c>
      <c r="H5876" s="208"/>
      <c r="I5876" s="208"/>
      <c r="J5876" s="209"/>
      <c r="K5876" s="209"/>
      <c r="L5876" s="209"/>
      <c r="M5876" s="209"/>
      <c r="N5876" s="209"/>
      <c r="O5876" s="209"/>
      <c r="P5876" s="209"/>
      <c r="Q5876" s="209"/>
      <c r="R5876" s="209"/>
      <c r="S5876" s="209"/>
      <c r="T5876" s="209"/>
    </row>
    <row r="5877" spans="1:149" ht="15" hidden="1" customHeight="1">
      <c r="A5877" s="468">
        <v>45539</v>
      </c>
      <c r="B5877" s="208" t="s">
        <v>4844</v>
      </c>
      <c r="C5877" s="208" t="s">
        <v>269</v>
      </c>
      <c r="D5877" s="211">
        <v>-12000</v>
      </c>
      <c r="E5877" s="212">
        <v>45536</v>
      </c>
      <c r="F5877" s="208" t="s">
        <v>109</v>
      </c>
      <c r="G5877" s="654" t="s">
        <v>2585</v>
      </c>
      <c r="H5877" s="208" t="s">
        <v>138</v>
      </c>
      <c r="I5877" s="208" t="s">
        <v>2052</v>
      </c>
      <c r="J5877" s="209"/>
      <c r="K5877" s="209"/>
      <c r="L5877" s="209"/>
      <c r="M5877" s="209"/>
      <c r="N5877" s="209"/>
      <c r="O5877" s="209"/>
      <c r="P5877" s="209"/>
      <c r="Q5877" s="209"/>
      <c r="R5877" s="209"/>
      <c r="S5877" s="209"/>
      <c r="T5877" s="209"/>
    </row>
    <row r="5878" spans="1:149" ht="15" hidden="1" customHeight="1">
      <c r="A5878" s="468">
        <v>45539</v>
      </c>
      <c r="B5878" s="208" t="s">
        <v>4845</v>
      </c>
      <c r="C5878" s="208" t="s">
        <v>269</v>
      </c>
      <c r="D5878" s="211">
        <v>-12000</v>
      </c>
      <c r="E5878" s="212">
        <v>45536</v>
      </c>
      <c r="F5878" s="208" t="s">
        <v>109</v>
      </c>
      <c r="G5878" s="654" t="s">
        <v>2585</v>
      </c>
      <c r="H5878" s="208" t="s">
        <v>138</v>
      </c>
      <c r="I5878" s="208" t="s">
        <v>2052</v>
      </c>
      <c r="J5878" s="209"/>
      <c r="K5878" s="209"/>
      <c r="L5878" s="209"/>
      <c r="M5878" s="209"/>
      <c r="N5878" s="209"/>
      <c r="O5878" s="209"/>
      <c r="P5878" s="209"/>
      <c r="Q5878" s="209"/>
      <c r="R5878" s="209"/>
      <c r="S5878" s="209"/>
      <c r="T5878" s="209"/>
    </row>
    <row r="5879" spans="1:149" ht="15" hidden="1" customHeight="1">
      <c r="A5879" s="468">
        <v>45539</v>
      </c>
      <c r="B5879" s="208" t="s">
        <v>4846</v>
      </c>
      <c r="C5879" s="208" t="s">
        <v>269</v>
      </c>
      <c r="D5879" s="211">
        <v>-15000</v>
      </c>
      <c r="E5879" s="212">
        <v>45536</v>
      </c>
      <c r="F5879" s="208" t="s">
        <v>109</v>
      </c>
      <c r="G5879" s="201" t="s">
        <v>581</v>
      </c>
      <c r="H5879" s="208"/>
      <c r="I5879" s="208" t="s">
        <v>173</v>
      </c>
      <c r="J5879" s="209"/>
      <c r="K5879" s="209"/>
      <c r="L5879" s="209"/>
      <c r="M5879" s="209"/>
      <c r="N5879" s="209"/>
      <c r="O5879" s="209"/>
      <c r="P5879" s="209"/>
      <c r="Q5879" s="209"/>
      <c r="R5879" s="209"/>
      <c r="S5879" s="209"/>
      <c r="T5879" s="209"/>
    </row>
    <row r="5880" spans="1:149" ht="15" hidden="1" customHeight="1">
      <c r="A5880" s="468">
        <v>45539</v>
      </c>
      <c r="B5880" s="208" t="s">
        <v>4847</v>
      </c>
      <c r="C5880" s="208" t="s">
        <v>269</v>
      </c>
      <c r="D5880" s="211">
        <v>-30000</v>
      </c>
      <c r="E5880" s="212">
        <v>45536</v>
      </c>
      <c r="F5880" s="208" t="s">
        <v>109</v>
      </c>
      <c r="G5880" s="201" t="s">
        <v>581</v>
      </c>
      <c r="H5880" s="208"/>
      <c r="I5880" s="208" t="s">
        <v>173</v>
      </c>
      <c r="J5880" s="209"/>
      <c r="K5880" s="209"/>
      <c r="L5880" s="209"/>
      <c r="M5880" s="209"/>
      <c r="N5880" s="209"/>
      <c r="O5880" s="209"/>
      <c r="P5880" s="209"/>
      <c r="Q5880" s="209"/>
      <c r="R5880" s="209"/>
      <c r="S5880" s="209"/>
      <c r="T5880" s="209"/>
    </row>
    <row r="5881" spans="1:149" ht="15" hidden="1" customHeight="1">
      <c r="A5881" s="468">
        <v>45539</v>
      </c>
      <c r="B5881" s="208" t="s">
        <v>4848</v>
      </c>
      <c r="C5881" s="208" t="s">
        <v>269</v>
      </c>
      <c r="D5881" s="211">
        <v>-14000</v>
      </c>
      <c r="E5881" s="212">
        <v>45536</v>
      </c>
      <c r="F5881" s="208" t="s">
        <v>109</v>
      </c>
      <c r="G5881" s="654" t="s">
        <v>2585</v>
      </c>
      <c r="H5881" s="208" t="s">
        <v>175</v>
      </c>
      <c r="I5881" s="208" t="s">
        <v>173</v>
      </c>
      <c r="J5881" s="209"/>
      <c r="K5881" s="209"/>
      <c r="L5881" s="209"/>
      <c r="M5881" s="209"/>
      <c r="N5881" s="209"/>
      <c r="O5881" s="209"/>
      <c r="P5881" s="209"/>
      <c r="Q5881" s="209"/>
      <c r="R5881" s="209"/>
      <c r="S5881" s="209"/>
      <c r="T5881" s="209"/>
    </row>
    <row r="5882" spans="1:149" ht="15" hidden="1" customHeight="1">
      <c r="A5882" s="468">
        <v>45539</v>
      </c>
      <c r="B5882" s="208" t="s">
        <v>4849</v>
      </c>
      <c r="C5882" s="208" t="s">
        <v>269</v>
      </c>
      <c r="D5882" s="211">
        <v>-58100</v>
      </c>
      <c r="E5882" s="212">
        <v>45536</v>
      </c>
      <c r="F5882" s="208" t="s">
        <v>109</v>
      </c>
      <c r="G5882" s="208" t="s">
        <v>3529</v>
      </c>
      <c r="H5882" s="208" t="s">
        <v>175</v>
      </c>
      <c r="I5882" s="208" t="s">
        <v>173</v>
      </c>
      <c r="J5882" s="209"/>
      <c r="K5882" s="209"/>
      <c r="L5882" s="209"/>
      <c r="M5882" s="209"/>
      <c r="N5882" s="209"/>
      <c r="O5882" s="209"/>
      <c r="P5882" s="209"/>
      <c r="Q5882" s="209"/>
      <c r="R5882" s="209"/>
      <c r="S5882" s="209"/>
      <c r="T5882" s="209"/>
    </row>
    <row r="5883" spans="1:149" ht="15" hidden="1" customHeight="1">
      <c r="A5883" s="468">
        <v>45539</v>
      </c>
      <c r="B5883" s="208" t="s">
        <v>4850</v>
      </c>
      <c r="C5883" s="208" t="s">
        <v>269</v>
      </c>
      <c r="D5883" s="211">
        <v>-43700</v>
      </c>
      <c r="E5883" s="212">
        <v>45536</v>
      </c>
      <c r="F5883" s="208" t="s">
        <v>109</v>
      </c>
      <c r="G5883" s="208" t="s">
        <v>3529</v>
      </c>
      <c r="H5883" s="208" t="s">
        <v>175</v>
      </c>
      <c r="I5883" s="208" t="s">
        <v>173</v>
      </c>
      <c r="J5883" s="209"/>
      <c r="K5883" s="209"/>
      <c r="L5883" s="209"/>
      <c r="M5883" s="209"/>
      <c r="N5883" s="209"/>
      <c r="O5883" s="209"/>
      <c r="P5883" s="209"/>
      <c r="Q5883" s="209"/>
      <c r="R5883" s="209"/>
      <c r="S5883" s="209"/>
      <c r="T5883" s="209"/>
    </row>
    <row r="5884" spans="1:149" ht="15" hidden="1" customHeight="1">
      <c r="A5884" s="468">
        <v>45539</v>
      </c>
      <c r="B5884" s="208" t="s">
        <v>4851</v>
      </c>
      <c r="C5884" s="208" t="s">
        <v>269</v>
      </c>
      <c r="D5884" s="211">
        <v>-109629</v>
      </c>
      <c r="E5884" s="212">
        <v>45536</v>
      </c>
      <c r="F5884" s="208" t="s">
        <v>109</v>
      </c>
      <c r="G5884" s="208" t="s">
        <v>3529</v>
      </c>
      <c r="H5884" s="208" t="s">
        <v>175</v>
      </c>
      <c r="I5884" s="208" t="s">
        <v>173</v>
      </c>
      <c r="J5884" s="209"/>
      <c r="K5884" s="209"/>
      <c r="L5884" s="209"/>
      <c r="M5884" s="209"/>
      <c r="N5884" s="209"/>
      <c r="O5884" s="209"/>
      <c r="P5884" s="209"/>
      <c r="Q5884" s="209"/>
      <c r="R5884" s="209"/>
      <c r="S5884" s="209"/>
      <c r="T5884" s="209"/>
    </row>
    <row r="5885" spans="1:149" ht="15" hidden="1" customHeight="1">
      <c r="A5885" s="468">
        <v>45539</v>
      </c>
      <c r="B5885" s="208" t="s">
        <v>4852</v>
      </c>
      <c r="C5885" s="208" t="s">
        <v>269</v>
      </c>
      <c r="D5885" s="211">
        <v>-3000</v>
      </c>
      <c r="E5885" s="212">
        <v>45536</v>
      </c>
      <c r="F5885" s="208" t="s">
        <v>109</v>
      </c>
      <c r="G5885" s="208" t="s">
        <v>3529</v>
      </c>
      <c r="H5885" s="208" t="s">
        <v>175</v>
      </c>
      <c r="I5885" s="208" t="s">
        <v>173</v>
      </c>
      <c r="J5885" s="209"/>
      <c r="K5885" s="209"/>
      <c r="L5885" s="209"/>
      <c r="M5885" s="209"/>
      <c r="N5885" s="209"/>
      <c r="O5885" s="209"/>
      <c r="P5885" s="209"/>
      <c r="Q5885" s="209"/>
      <c r="R5885" s="209"/>
      <c r="S5885" s="209"/>
      <c r="T5885" s="209"/>
    </row>
    <row r="5886" spans="1:149" ht="15" hidden="1" customHeight="1">
      <c r="A5886" s="468">
        <v>45539</v>
      </c>
      <c r="B5886" s="208" t="s">
        <v>4853</v>
      </c>
      <c r="C5886" s="681" t="s">
        <v>146</v>
      </c>
      <c r="D5886" s="211">
        <v>-48000</v>
      </c>
      <c r="E5886" s="212">
        <v>45536</v>
      </c>
      <c r="F5886" s="208" t="s">
        <v>109</v>
      </c>
      <c r="G5886" s="208" t="s">
        <v>3529</v>
      </c>
      <c r="H5886" s="208" t="s">
        <v>175</v>
      </c>
      <c r="I5886" s="208" t="s">
        <v>173</v>
      </c>
      <c r="J5886" s="209"/>
      <c r="K5886" s="209"/>
      <c r="L5886" s="209"/>
      <c r="M5886" s="209"/>
      <c r="N5886" s="209"/>
      <c r="O5886" s="209"/>
      <c r="P5886" s="209"/>
      <c r="Q5886" s="209"/>
      <c r="R5886" s="209"/>
      <c r="S5886" s="209"/>
      <c r="T5886" s="209"/>
    </row>
    <row r="5887" spans="1:149" ht="15" hidden="1" customHeight="1">
      <c r="A5887" s="468">
        <v>45539</v>
      </c>
      <c r="B5887" s="208" t="s">
        <v>4854</v>
      </c>
      <c r="C5887" s="208" t="s">
        <v>27</v>
      </c>
      <c r="D5887" s="211">
        <v>-404540</v>
      </c>
      <c r="E5887" s="212">
        <v>45536</v>
      </c>
      <c r="F5887" s="208" t="s">
        <v>110</v>
      </c>
      <c r="G5887" s="208" t="s">
        <v>4399</v>
      </c>
      <c r="H5887" s="208" t="s">
        <v>147</v>
      </c>
      <c r="I5887" s="208"/>
      <c r="J5887" s="209"/>
      <c r="K5887" s="209"/>
      <c r="L5887" s="209"/>
      <c r="M5887" s="209"/>
      <c r="N5887" s="209"/>
      <c r="O5887" s="209"/>
      <c r="P5887" s="209"/>
      <c r="Q5887" s="209"/>
      <c r="R5887" s="209"/>
      <c r="S5887" s="209"/>
      <c r="T5887" s="209"/>
      <c r="U5887" s="451"/>
      <c r="V5887" s="451"/>
      <c r="W5887" s="451"/>
      <c r="X5887" s="451"/>
      <c r="Y5887" s="451"/>
      <c r="Z5887" s="451"/>
      <c r="AA5887" s="451"/>
      <c r="AB5887" s="451"/>
      <c r="AC5887" s="451"/>
      <c r="AD5887" s="451"/>
      <c r="AE5887" s="451"/>
      <c r="AF5887" s="451"/>
      <c r="AG5887" s="451"/>
      <c r="AH5887" s="451"/>
      <c r="AI5887" s="451"/>
      <c r="AJ5887" s="451"/>
      <c r="AK5887" s="451"/>
      <c r="AL5887" s="451"/>
      <c r="AM5887" s="451"/>
      <c r="AN5887" s="451"/>
      <c r="AO5887" s="451"/>
      <c r="AP5887" s="451"/>
      <c r="AQ5887" s="451"/>
      <c r="AR5887" s="451"/>
      <c r="AS5887" s="451"/>
      <c r="AT5887" s="451"/>
      <c r="AU5887" s="451"/>
      <c r="AV5887" s="451"/>
      <c r="AW5887" s="451"/>
      <c r="AX5887" s="451"/>
      <c r="AY5887" s="451"/>
      <c r="AZ5887" s="451"/>
      <c r="BA5887" s="451"/>
      <c r="BB5887" s="451"/>
      <c r="BC5887" s="451"/>
      <c r="BD5887" s="451"/>
      <c r="BE5887" s="451"/>
      <c r="BF5887" s="451"/>
      <c r="BG5887" s="451"/>
      <c r="BH5887" s="451"/>
      <c r="BI5887" s="451"/>
      <c r="BJ5887" s="451"/>
      <c r="BK5887" s="451"/>
      <c r="BL5887" s="451"/>
      <c r="BM5887" s="451"/>
      <c r="BN5887" s="451"/>
      <c r="BO5887" s="451"/>
      <c r="BP5887" s="451"/>
      <c r="BQ5887" s="451"/>
      <c r="BR5887" s="451"/>
      <c r="BS5887" s="451"/>
      <c r="BT5887" s="451"/>
      <c r="BU5887" s="451"/>
      <c r="BV5887" s="451"/>
      <c r="BW5887" s="451"/>
      <c r="BX5887" s="451"/>
      <c r="BY5887" s="451"/>
      <c r="BZ5887" s="451"/>
      <c r="CA5887" s="451"/>
      <c r="CB5887" s="451"/>
      <c r="CC5887" s="451"/>
      <c r="CD5887" s="451"/>
      <c r="CE5887" s="451"/>
      <c r="CF5887" s="451"/>
      <c r="CG5887" s="451"/>
      <c r="CH5887" s="451"/>
      <c r="CI5887" s="451"/>
      <c r="CJ5887" s="451"/>
      <c r="CK5887" s="451"/>
      <c r="CL5887" s="451"/>
      <c r="CM5887" s="451"/>
      <c r="CN5887" s="451"/>
      <c r="CO5887" s="451"/>
      <c r="CP5887" s="451"/>
      <c r="CQ5887" s="451"/>
      <c r="CR5887" s="451"/>
      <c r="CS5887" s="451"/>
      <c r="CT5887" s="451"/>
      <c r="CU5887" s="451"/>
      <c r="CV5887" s="451"/>
      <c r="CW5887" s="451"/>
      <c r="CX5887" s="451"/>
      <c r="CY5887" s="451"/>
      <c r="CZ5887" s="451"/>
      <c r="DA5887" s="451"/>
      <c r="DB5887" s="451"/>
      <c r="DC5887" s="451"/>
      <c r="DD5887" s="451"/>
      <c r="DE5887" s="451"/>
      <c r="DF5887" s="451"/>
      <c r="DG5887" s="451"/>
      <c r="DH5887" s="451"/>
      <c r="DI5887" s="451"/>
      <c r="DJ5887" s="451"/>
      <c r="DK5887" s="451"/>
      <c r="DL5887" s="451"/>
      <c r="DM5887" s="451"/>
      <c r="DN5887" s="451"/>
      <c r="DO5887" s="451"/>
      <c r="DP5887" s="451"/>
      <c r="DQ5887" s="451"/>
      <c r="DR5887" s="451"/>
      <c r="DS5887" s="451"/>
      <c r="DT5887" s="451"/>
      <c r="DU5887" s="451"/>
      <c r="DV5887" s="451"/>
      <c r="DW5887" s="451"/>
      <c r="DX5887" s="451"/>
      <c r="DY5887" s="451"/>
      <c r="DZ5887" s="451"/>
      <c r="EA5887" s="451"/>
      <c r="EB5887" s="451"/>
      <c r="EC5887" s="451"/>
      <c r="ED5887" s="451"/>
      <c r="EE5887" s="451"/>
      <c r="EF5887" s="451"/>
      <c r="EG5887" s="451"/>
      <c r="EH5887" s="451"/>
      <c r="EI5887" s="451"/>
      <c r="EJ5887" s="451"/>
      <c r="EK5887" s="451"/>
      <c r="EL5887" s="451"/>
      <c r="EM5887" s="451"/>
      <c r="EN5887" s="451"/>
      <c r="EO5887" s="451"/>
      <c r="EP5887" s="451"/>
      <c r="EQ5887" s="451"/>
      <c r="ER5887" s="451"/>
      <c r="ES5887" s="451"/>
    </row>
    <row r="5888" spans="1:149" ht="15" hidden="1" customHeight="1">
      <c r="A5888" s="468">
        <v>45539</v>
      </c>
      <c r="B5888" s="208" t="s">
        <v>4855</v>
      </c>
      <c r="C5888" s="208" t="s">
        <v>27</v>
      </c>
      <c r="D5888" s="211">
        <v>-1771194</v>
      </c>
      <c r="E5888" s="212">
        <v>45536</v>
      </c>
      <c r="F5888" s="208" t="s">
        <v>109</v>
      </c>
      <c r="G5888" s="654" t="s">
        <v>2585</v>
      </c>
      <c r="H5888" s="208" t="s">
        <v>175</v>
      </c>
      <c r="I5888" s="208"/>
      <c r="J5888" s="209"/>
      <c r="K5888" s="209"/>
      <c r="L5888" s="209"/>
      <c r="M5888" s="209"/>
      <c r="N5888" s="209"/>
      <c r="O5888" s="209"/>
      <c r="P5888" s="209"/>
      <c r="Q5888" s="209"/>
      <c r="R5888" s="209"/>
      <c r="S5888" s="209"/>
      <c r="T5888" s="209"/>
      <c r="U5888" s="451"/>
      <c r="V5888" s="451"/>
      <c r="W5888" s="451"/>
      <c r="X5888" s="451"/>
      <c r="Y5888" s="451"/>
      <c r="Z5888" s="451"/>
      <c r="AA5888" s="451"/>
      <c r="AB5888" s="451"/>
      <c r="AC5888" s="451"/>
      <c r="AD5888" s="451"/>
      <c r="AE5888" s="451"/>
      <c r="AF5888" s="451"/>
      <c r="AG5888" s="451"/>
      <c r="AH5888" s="451"/>
      <c r="AI5888" s="451"/>
      <c r="AJ5888" s="451"/>
      <c r="AK5888" s="451"/>
      <c r="AL5888" s="451"/>
      <c r="AM5888" s="451"/>
      <c r="AN5888" s="451"/>
      <c r="AO5888" s="451"/>
      <c r="AP5888" s="451"/>
      <c r="AQ5888" s="451"/>
      <c r="AR5888" s="451"/>
      <c r="AS5888" s="451"/>
      <c r="AT5888" s="451"/>
      <c r="AU5888" s="451"/>
      <c r="AV5888" s="451"/>
      <c r="AW5888" s="451"/>
      <c r="AX5888" s="451"/>
      <c r="AY5888" s="451"/>
      <c r="AZ5888" s="451"/>
      <c r="BA5888" s="451"/>
      <c r="BB5888" s="451"/>
      <c r="BC5888" s="451"/>
      <c r="BD5888" s="451"/>
      <c r="BE5888" s="451"/>
      <c r="BF5888" s="451"/>
      <c r="BG5888" s="451"/>
      <c r="BH5888" s="451"/>
      <c r="BI5888" s="451"/>
      <c r="BJ5888" s="451"/>
      <c r="BK5888" s="451"/>
      <c r="BL5888" s="451"/>
      <c r="BM5888" s="451"/>
      <c r="BN5888" s="451"/>
      <c r="BO5888" s="451"/>
      <c r="BP5888" s="451"/>
      <c r="BQ5888" s="451"/>
      <c r="BR5888" s="451"/>
      <c r="BS5888" s="451"/>
      <c r="BT5888" s="451"/>
      <c r="BU5888" s="451"/>
      <c r="BV5888" s="451"/>
      <c r="BW5888" s="451"/>
      <c r="BX5888" s="451"/>
      <c r="BY5888" s="451"/>
      <c r="BZ5888" s="451"/>
      <c r="CA5888" s="451"/>
      <c r="CB5888" s="451"/>
      <c r="CC5888" s="451"/>
      <c r="CD5888" s="451"/>
      <c r="CE5888" s="451"/>
      <c r="CF5888" s="451"/>
      <c r="CG5888" s="451"/>
      <c r="CH5888" s="451"/>
      <c r="CI5888" s="451"/>
      <c r="CJ5888" s="451"/>
      <c r="CK5888" s="451"/>
      <c r="CL5888" s="451"/>
      <c r="CM5888" s="451"/>
      <c r="CN5888" s="451"/>
      <c r="CO5888" s="451"/>
      <c r="CP5888" s="451"/>
      <c r="CQ5888" s="451"/>
      <c r="CR5888" s="451"/>
      <c r="CS5888" s="451"/>
      <c r="CT5888" s="451"/>
      <c r="CU5888" s="451"/>
      <c r="CV5888" s="451"/>
      <c r="CW5888" s="451"/>
      <c r="CX5888" s="451"/>
      <c r="CY5888" s="451"/>
      <c r="CZ5888" s="451"/>
      <c r="DA5888" s="451"/>
      <c r="DB5888" s="451"/>
      <c r="DC5888" s="451"/>
      <c r="DD5888" s="451"/>
      <c r="DE5888" s="451"/>
      <c r="DF5888" s="451"/>
      <c r="DG5888" s="451"/>
      <c r="DH5888" s="451"/>
      <c r="DI5888" s="451"/>
      <c r="DJ5888" s="451"/>
      <c r="DK5888" s="451"/>
      <c r="DL5888" s="451"/>
      <c r="DM5888" s="451"/>
      <c r="DN5888" s="451"/>
      <c r="DO5888" s="451"/>
      <c r="DP5888" s="451"/>
      <c r="DQ5888" s="451"/>
      <c r="DR5888" s="451"/>
      <c r="DS5888" s="451"/>
      <c r="DT5888" s="451"/>
      <c r="DU5888" s="451"/>
      <c r="DV5888" s="451"/>
      <c r="DW5888" s="451"/>
      <c r="DX5888" s="451"/>
      <c r="DY5888" s="451"/>
      <c r="DZ5888" s="451"/>
      <c r="EA5888" s="451"/>
      <c r="EB5888" s="451"/>
      <c r="EC5888" s="451"/>
      <c r="ED5888" s="451"/>
      <c r="EE5888" s="451"/>
      <c r="EF5888" s="451"/>
      <c r="EG5888" s="451"/>
      <c r="EH5888" s="451"/>
      <c r="EI5888" s="451"/>
      <c r="EJ5888" s="451"/>
      <c r="EK5888" s="451"/>
      <c r="EL5888" s="451"/>
      <c r="EM5888" s="451"/>
      <c r="EN5888" s="451"/>
      <c r="EO5888" s="451"/>
      <c r="EP5888" s="451"/>
      <c r="EQ5888" s="451"/>
      <c r="ER5888" s="451"/>
      <c r="ES5888" s="451"/>
    </row>
    <row r="5889" spans="1:149" ht="15" hidden="1" customHeight="1">
      <c r="A5889" s="468">
        <v>45539</v>
      </c>
      <c r="B5889" s="208" t="s">
        <v>4856</v>
      </c>
      <c r="C5889" s="208" t="s">
        <v>27</v>
      </c>
      <c r="D5889" s="211">
        <v>-4008691</v>
      </c>
      <c r="E5889" s="212">
        <v>45536</v>
      </c>
      <c r="F5889" s="208" t="s">
        <v>109</v>
      </c>
      <c r="G5889" s="201" t="s">
        <v>1306</v>
      </c>
      <c r="H5889" s="208" t="s">
        <v>1166</v>
      </c>
      <c r="I5889" s="208"/>
      <c r="J5889" s="209"/>
      <c r="K5889" s="209"/>
      <c r="L5889" s="209"/>
      <c r="M5889" s="209"/>
      <c r="N5889" s="209"/>
      <c r="O5889" s="209"/>
      <c r="P5889" s="209"/>
      <c r="Q5889" s="209"/>
      <c r="R5889" s="209"/>
      <c r="S5889" s="209"/>
      <c r="T5889" s="209"/>
      <c r="U5889" s="451"/>
      <c r="V5889" s="451"/>
      <c r="W5889" s="451"/>
      <c r="X5889" s="451"/>
      <c r="Y5889" s="451"/>
      <c r="Z5889" s="451"/>
      <c r="AA5889" s="451"/>
      <c r="AB5889" s="451"/>
      <c r="AC5889" s="451"/>
      <c r="AD5889" s="451"/>
      <c r="AE5889" s="451"/>
      <c r="AF5889" s="451"/>
      <c r="AG5889" s="451"/>
      <c r="AH5889" s="451"/>
      <c r="AI5889" s="451"/>
      <c r="AJ5889" s="451"/>
      <c r="AK5889" s="451"/>
      <c r="AL5889" s="451"/>
      <c r="AM5889" s="451"/>
      <c r="AN5889" s="451"/>
      <c r="AO5889" s="451"/>
      <c r="AP5889" s="451"/>
      <c r="AQ5889" s="451"/>
      <c r="AR5889" s="451"/>
      <c r="AS5889" s="451"/>
      <c r="AT5889" s="451"/>
      <c r="AU5889" s="451"/>
      <c r="AV5889" s="451"/>
      <c r="AW5889" s="451"/>
      <c r="AX5889" s="451"/>
      <c r="AY5889" s="451"/>
      <c r="AZ5889" s="451"/>
      <c r="BA5889" s="451"/>
      <c r="BB5889" s="451"/>
      <c r="BC5889" s="451"/>
      <c r="BD5889" s="451"/>
      <c r="BE5889" s="451"/>
      <c r="BF5889" s="451"/>
      <c r="BG5889" s="451"/>
      <c r="BH5889" s="451"/>
      <c r="BI5889" s="451"/>
      <c r="BJ5889" s="451"/>
      <c r="BK5889" s="451"/>
      <c r="BL5889" s="451"/>
      <c r="BM5889" s="451"/>
      <c r="BN5889" s="451"/>
      <c r="BO5889" s="451"/>
      <c r="BP5889" s="451"/>
      <c r="BQ5889" s="451"/>
      <c r="BR5889" s="451"/>
      <c r="BS5889" s="451"/>
      <c r="BT5889" s="451"/>
      <c r="BU5889" s="451"/>
      <c r="BV5889" s="451"/>
      <c r="BW5889" s="451"/>
      <c r="BX5889" s="451"/>
      <c r="BY5889" s="451"/>
      <c r="BZ5889" s="451"/>
      <c r="CA5889" s="451"/>
      <c r="CB5889" s="451"/>
      <c r="CC5889" s="451"/>
      <c r="CD5889" s="451"/>
      <c r="CE5889" s="451"/>
      <c r="CF5889" s="451"/>
      <c r="CG5889" s="451"/>
      <c r="CH5889" s="451"/>
      <c r="CI5889" s="451"/>
      <c r="CJ5889" s="451"/>
      <c r="CK5889" s="451"/>
      <c r="CL5889" s="451"/>
      <c r="CM5889" s="451"/>
      <c r="CN5889" s="451"/>
      <c r="CO5889" s="451"/>
      <c r="CP5889" s="451"/>
      <c r="CQ5889" s="451"/>
      <c r="CR5889" s="451"/>
      <c r="CS5889" s="451"/>
      <c r="CT5889" s="451"/>
      <c r="CU5889" s="451"/>
      <c r="CV5889" s="451"/>
      <c r="CW5889" s="451"/>
      <c r="CX5889" s="451"/>
      <c r="CY5889" s="451"/>
      <c r="CZ5889" s="451"/>
      <c r="DA5889" s="451"/>
      <c r="DB5889" s="451"/>
      <c r="DC5889" s="451"/>
      <c r="DD5889" s="451"/>
      <c r="DE5889" s="451"/>
      <c r="DF5889" s="451"/>
      <c r="DG5889" s="451"/>
      <c r="DH5889" s="451"/>
      <c r="DI5889" s="451"/>
      <c r="DJ5889" s="451"/>
      <c r="DK5889" s="451"/>
      <c r="DL5889" s="451"/>
      <c r="DM5889" s="451"/>
      <c r="DN5889" s="451"/>
      <c r="DO5889" s="451"/>
      <c r="DP5889" s="451"/>
      <c r="DQ5889" s="451"/>
      <c r="DR5889" s="451"/>
      <c r="DS5889" s="451"/>
      <c r="DT5889" s="451"/>
      <c r="DU5889" s="451"/>
      <c r="DV5889" s="451"/>
      <c r="DW5889" s="451"/>
      <c r="DX5889" s="451"/>
      <c r="DY5889" s="451"/>
      <c r="DZ5889" s="451"/>
      <c r="EA5889" s="451"/>
      <c r="EB5889" s="451"/>
      <c r="EC5889" s="451"/>
      <c r="ED5889" s="451"/>
      <c r="EE5889" s="451"/>
      <c r="EF5889" s="451"/>
      <c r="EG5889" s="451"/>
      <c r="EH5889" s="451"/>
      <c r="EI5889" s="451"/>
      <c r="EJ5889" s="451"/>
      <c r="EK5889" s="451"/>
      <c r="EL5889" s="451"/>
      <c r="EM5889" s="451"/>
      <c r="EN5889" s="451"/>
      <c r="EO5889" s="451"/>
      <c r="EP5889" s="451"/>
      <c r="EQ5889" s="451"/>
      <c r="ER5889" s="451"/>
      <c r="ES5889" s="451"/>
    </row>
    <row r="5890" spans="1:149" ht="15" hidden="1" customHeight="1">
      <c r="A5890" s="468">
        <v>45539</v>
      </c>
      <c r="B5890" s="81" t="s">
        <v>4228</v>
      </c>
      <c r="C5890" s="208" t="s">
        <v>643</v>
      </c>
      <c r="D5890" s="211">
        <v>-84092.72</v>
      </c>
      <c r="E5890" s="212">
        <v>45536</v>
      </c>
      <c r="F5890" s="208" t="s">
        <v>130</v>
      </c>
      <c r="G5890" s="208" t="s">
        <v>130</v>
      </c>
      <c r="H5890" s="208" t="s">
        <v>1245</v>
      </c>
      <c r="I5890" s="208"/>
      <c r="J5890" s="209"/>
      <c r="K5890" s="209"/>
      <c r="L5890" s="209"/>
      <c r="M5890" s="209"/>
      <c r="N5890" s="209"/>
      <c r="O5890" s="209"/>
      <c r="P5890" s="209"/>
      <c r="Q5890" s="209"/>
      <c r="R5890" s="209"/>
      <c r="S5890" s="209"/>
      <c r="T5890" s="209"/>
    </row>
    <row r="5891" spans="1:149" ht="15" hidden="1" customHeight="1">
      <c r="A5891" s="468">
        <v>45539</v>
      </c>
      <c r="B5891" s="208" t="s">
        <v>4857</v>
      </c>
      <c r="C5891" s="208" t="s">
        <v>4783</v>
      </c>
      <c r="D5891" s="211">
        <v>580000000</v>
      </c>
      <c r="E5891" s="212">
        <v>45536</v>
      </c>
      <c r="F5891" s="883" t="s">
        <v>707</v>
      </c>
      <c r="G5891" s="201" t="s">
        <v>581</v>
      </c>
      <c r="H5891" s="208"/>
      <c r="I5891" s="208"/>
      <c r="J5891" s="209"/>
      <c r="K5891" s="209"/>
      <c r="L5891" s="209"/>
      <c r="M5891" s="209"/>
      <c r="N5891" s="209"/>
      <c r="O5891" s="209"/>
      <c r="P5891" s="209"/>
      <c r="Q5891" s="209"/>
      <c r="R5891" s="209"/>
      <c r="S5891" s="209"/>
      <c r="T5891" s="209"/>
      <c r="U5891" s="451"/>
      <c r="V5891" s="451"/>
      <c r="W5891" s="451"/>
      <c r="X5891" s="451"/>
      <c r="Y5891" s="451"/>
      <c r="Z5891" s="451"/>
      <c r="AA5891" s="451"/>
      <c r="AB5891" s="451"/>
      <c r="AC5891" s="451"/>
      <c r="AD5891" s="451"/>
      <c r="AE5891" s="451"/>
      <c r="AF5891" s="451"/>
      <c r="AG5891" s="451"/>
      <c r="AH5891" s="451"/>
      <c r="AI5891" s="451"/>
      <c r="AJ5891" s="451"/>
      <c r="AK5891" s="451"/>
      <c r="AL5891" s="451"/>
      <c r="AM5891" s="451"/>
      <c r="AN5891" s="451"/>
      <c r="AO5891" s="451"/>
      <c r="AP5891" s="451"/>
      <c r="AQ5891" s="451"/>
      <c r="AR5891" s="451"/>
      <c r="AS5891" s="451"/>
      <c r="AT5891" s="451"/>
      <c r="AU5891" s="451"/>
      <c r="AV5891" s="451"/>
      <c r="AW5891" s="451"/>
      <c r="AX5891" s="451"/>
      <c r="AY5891" s="451"/>
      <c r="AZ5891" s="451"/>
      <c r="BA5891" s="451"/>
      <c r="BB5891" s="451"/>
      <c r="BC5891" s="451"/>
      <c r="BD5891" s="451"/>
      <c r="BE5891" s="451"/>
      <c r="BF5891" s="451"/>
      <c r="BG5891" s="451"/>
      <c r="BH5891" s="451"/>
      <c r="BI5891" s="451"/>
      <c r="BJ5891" s="451"/>
      <c r="BK5891" s="451"/>
      <c r="BL5891" s="451"/>
      <c r="BM5891" s="451"/>
      <c r="BN5891" s="451"/>
      <c r="BO5891" s="451"/>
      <c r="BP5891" s="451"/>
      <c r="BQ5891" s="451"/>
      <c r="BR5891" s="451"/>
      <c r="BS5891" s="451"/>
      <c r="BT5891" s="451"/>
      <c r="BU5891" s="451"/>
      <c r="BV5891" s="451"/>
      <c r="BW5891" s="451"/>
      <c r="BX5891" s="451"/>
      <c r="BY5891" s="451"/>
      <c r="BZ5891" s="451"/>
      <c r="CA5891" s="451"/>
      <c r="CB5891" s="451"/>
      <c r="CC5891" s="451"/>
      <c r="CD5891" s="451"/>
      <c r="CE5891" s="451"/>
      <c r="CF5891" s="451"/>
      <c r="CG5891" s="451"/>
      <c r="CH5891" s="451"/>
      <c r="CI5891" s="451"/>
      <c r="CJ5891" s="451"/>
      <c r="CK5891" s="451"/>
      <c r="CL5891" s="451"/>
      <c r="CM5891" s="451"/>
      <c r="CN5891" s="451"/>
      <c r="CO5891" s="451"/>
      <c r="CP5891" s="451"/>
      <c r="CQ5891" s="451"/>
      <c r="CR5891" s="451"/>
      <c r="CS5891" s="451"/>
      <c r="CT5891" s="451"/>
      <c r="CU5891" s="451"/>
      <c r="CV5891" s="451"/>
      <c r="CW5891" s="451"/>
      <c r="CX5891" s="451"/>
      <c r="CY5891" s="451"/>
      <c r="CZ5891" s="451"/>
      <c r="DA5891" s="451"/>
      <c r="DB5891" s="451"/>
      <c r="DC5891" s="451"/>
      <c r="DD5891" s="451"/>
      <c r="DE5891" s="451"/>
      <c r="DF5891" s="451"/>
      <c r="DG5891" s="451"/>
      <c r="DH5891" s="451"/>
      <c r="DI5891" s="451"/>
      <c r="DJ5891" s="451"/>
      <c r="DK5891" s="451"/>
      <c r="DL5891" s="451"/>
      <c r="DM5891" s="451"/>
      <c r="DN5891" s="451"/>
      <c r="DO5891" s="451"/>
      <c r="DP5891" s="451"/>
      <c r="DQ5891" s="451"/>
      <c r="DR5891" s="451"/>
      <c r="DS5891" s="451"/>
      <c r="DT5891" s="451"/>
      <c r="DU5891" s="451"/>
      <c r="DV5891" s="451"/>
      <c r="DW5891" s="451"/>
      <c r="DX5891" s="451"/>
      <c r="DY5891" s="451"/>
      <c r="DZ5891" s="451"/>
      <c r="EA5891" s="451"/>
      <c r="EB5891" s="451"/>
      <c r="EC5891" s="451"/>
      <c r="ED5891" s="451"/>
      <c r="EE5891" s="451"/>
      <c r="EF5891" s="451"/>
      <c r="EG5891" s="451"/>
      <c r="EH5891" s="451"/>
      <c r="EI5891" s="451"/>
      <c r="EJ5891" s="451"/>
      <c r="EK5891" s="451"/>
      <c r="EL5891" s="451"/>
      <c r="EM5891" s="451"/>
      <c r="EN5891" s="451"/>
      <c r="EO5891" s="451"/>
      <c r="EP5891" s="451"/>
      <c r="EQ5891" s="451"/>
      <c r="ER5891" s="451"/>
      <c r="ES5891" s="451"/>
    </row>
    <row r="5892" spans="1:149" ht="15" hidden="1" customHeight="1">
      <c r="A5892" s="468">
        <v>45539</v>
      </c>
      <c r="B5892" s="208" t="s">
        <v>4858</v>
      </c>
      <c r="C5892" s="208" t="s">
        <v>4783</v>
      </c>
      <c r="D5892" s="211">
        <v>-217000000</v>
      </c>
      <c r="E5892" s="212">
        <v>45536</v>
      </c>
      <c r="F5892" s="82" t="s">
        <v>4859</v>
      </c>
      <c r="G5892" s="208" t="s">
        <v>4860</v>
      </c>
      <c r="H5892" s="208"/>
      <c r="I5892" s="208"/>
      <c r="J5892" s="209"/>
      <c r="K5892" s="209"/>
      <c r="L5892" s="209"/>
      <c r="M5892" s="209"/>
      <c r="N5892" s="209"/>
      <c r="O5892" s="209"/>
      <c r="P5892" s="209"/>
      <c r="Q5892" s="209"/>
      <c r="R5892" s="209"/>
      <c r="S5892" s="209"/>
      <c r="T5892" s="209"/>
      <c r="U5892" s="451"/>
      <c r="V5892" s="451"/>
      <c r="W5892" s="451"/>
      <c r="X5892" s="451"/>
      <c r="Y5892" s="451"/>
      <c r="Z5892" s="451"/>
      <c r="AA5892" s="451"/>
      <c r="AB5892" s="451"/>
      <c r="AC5892" s="451"/>
      <c r="AD5892" s="451"/>
      <c r="AE5892" s="451"/>
      <c r="AF5892" s="451"/>
      <c r="AG5892" s="451"/>
      <c r="AH5892" s="451"/>
      <c r="AI5892" s="451"/>
      <c r="AJ5892" s="451"/>
      <c r="AK5892" s="451"/>
      <c r="AL5892" s="451"/>
      <c r="AM5892" s="451"/>
      <c r="AN5892" s="451"/>
      <c r="AO5892" s="451"/>
      <c r="AP5892" s="451"/>
      <c r="AQ5892" s="451"/>
      <c r="AR5892" s="451"/>
      <c r="AS5892" s="451"/>
      <c r="AT5892" s="451"/>
      <c r="AU5892" s="451"/>
      <c r="AV5892" s="451"/>
      <c r="AW5892" s="451"/>
      <c r="AX5892" s="451"/>
      <c r="AY5892" s="451"/>
      <c r="AZ5892" s="451"/>
      <c r="BA5892" s="451"/>
      <c r="BB5892" s="451"/>
      <c r="BC5892" s="451"/>
      <c r="BD5892" s="451"/>
      <c r="BE5892" s="451"/>
      <c r="BF5892" s="451"/>
      <c r="BG5892" s="451"/>
      <c r="BH5892" s="451"/>
      <c r="BI5892" s="451"/>
      <c r="BJ5892" s="451"/>
      <c r="BK5892" s="451"/>
      <c r="BL5892" s="451"/>
      <c r="BM5892" s="451"/>
      <c r="BN5892" s="451"/>
      <c r="BO5892" s="451"/>
      <c r="BP5892" s="451"/>
      <c r="BQ5892" s="451"/>
      <c r="BR5892" s="451"/>
      <c r="BS5892" s="451"/>
      <c r="BT5892" s="451"/>
      <c r="BU5892" s="451"/>
      <c r="BV5892" s="451"/>
      <c r="BW5892" s="451"/>
      <c r="BX5892" s="451"/>
      <c r="BY5892" s="451"/>
      <c r="BZ5892" s="451"/>
      <c r="CA5892" s="451"/>
      <c r="CB5892" s="451"/>
      <c r="CC5892" s="451"/>
      <c r="CD5892" s="451"/>
      <c r="CE5892" s="451"/>
      <c r="CF5892" s="451"/>
      <c r="CG5892" s="451"/>
      <c r="CH5892" s="451"/>
      <c r="CI5892" s="451"/>
      <c r="CJ5892" s="451"/>
      <c r="CK5892" s="451"/>
      <c r="CL5892" s="451"/>
      <c r="CM5892" s="451"/>
      <c r="CN5892" s="451"/>
      <c r="CO5892" s="451"/>
      <c r="CP5892" s="451"/>
      <c r="CQ5892" s="451"/>
      <c r="CR5892" s="451"/>
      <c r="CS5892" s="451"/>
      <c r="CT5892" s="451"/>
      <c r="CU5892" s="451"/>
      <c r="CV5892" s="451"/>
      <c r="CW5892" s="451"/>
      <c r="CX5892" s="451"/>
      <c r="CY5892" s="451"/>
      <c r="CZ5892" s="451"/>
      <c r="DA5892" s="451"/>
      <c r="DB5892" s="451"/>
      <c r="DC5892" s="451"/>
      <c r="DD5892" s="451"/>
      <c r="DE5892" s="451"/>
      <c r="DF5892" s="451"/>
      <c r="DG5892" s="451"/>
      <c r="DH5892" s="451"/>
      <c r="DI5892" s="451"/>
      <c r="DJ5892" s="451"/>
      <c r="DK5892" s="451"/>
      <c r="DL5892" s="451"/>
      <c r="DM5892" s="451"/>
      <c r="DN5892" s="451"/>
      <c r="DO5892" s="451"/>
      <c r="DP5892" s="451"/>
      <c r="DQ5892" s="451"/>
      <c r="DR5892" s="451"/>
      <c r="DS5892" s="451"/>
      <c r="DT5892" s="451"/>
      <c r="DU5892" s="451"/>
      <c r="DV5892" s="451"/>
      <c r="DW5892" s="451"/>
      <c r="DX5892" s="451"/>
      <c r="DY5892" s="451"/>
      <c r="DZ5892" s="451"/>
      <c r="EA5892" s="451"/>
      <c r="EB5892" s="451"/>
      <c r="EC5892" s="451"/>
      <c r="ED5892" s="451"/>
      <c r="EE5892" s="451"/>
      <c r="EF5892" s="451"/>
      <c r="EG5892" s="451"/>
      <c r="EH5892" s="451"/>
      <c r="EI5892" s="451"/>
      <c r="EJ5892" s="451"/>
      <c r="EK5892" s="451"/>
      <c r="EL5892" s="451"/>
      <c r="EM5892" s="451"/>
      <c r="EN5892" s="451"/>
      <c r="EO5892" s="451"/>
      <c r="EP5892" s="451"/>
      <c r="EQ5892" s="451"/>
      <c r="ER5892" s="451"/>
      <c r="ES5892" s="451"/>
    </row>
    <row r="5893" spans="1:149" ht="15" hidden="1" customHeight="1">
      <c r="A5893" s="468">
        <v>45539</v>
      </c>
      <c r="B5893" s="208" t="s">
        <v>4861</v>
      </c>
      <c r="C5893" s="208" t="s">
        <v>269</v>
      </c>
      <c r="D5893" s="211">
        <v>-12000</v>
      </c>
      <c r="E5893" s="212">
        <v>45536</v>
      </c>
      <c r="F5893" s="208" t="s">
        <v>109</v>
      </c>
      <c r="G5893" s="201" t="s">
        <v>581</v>
      </c>
      <c r="H5893" s="208"/>
      <c r="I5893" s="208" t="s">
        <v>3364</v>
      </c>
      <c r="J5893" s="209"/>
      <c r="K5893" s="209"/>
      <c r="L5893" s="209"/>
      <c r="M5893" s="209"/>
      <c r="N5893" s="209"/>
      <c r="O5893" s="209"/>
      <c r="P5893" s="209"/>
      <c r="Q5893" s="209"/>
      <c r="R5893" s="209"/>
      <c r="S5893" s="209"/>
      <c r="T5893" s="209"/>
    </row>
    <row r="5894" spans="1:149" ht="15" hidden="1" customHeight="1">
      <c r="A5894" s="468">
        <v>45539</v>
      </c>
      <c r="B5894" s="208" t="s">
        <v>2709</v>
      </c>
      <c r="C5894" s="208" t="s">
        <v>269</v>
      </c>
      <c r="D5894" s="211">
        <v>-30000</v>
      </c>
      <c r="E5894" s="212">
        <v>45536</v>
      </c>
      <c r="F5894" s="208" t="s">
        <v>109</v>
      </c>
      <c r="G5894" s="201" t="s">
        <v>581</v>
      </c>
      <c r="H5894" s="208"/>
      <c r="I5894" s="208" t="s">
        <v>3364</v>
      </c>
      <c r="J5894" s="209"/>
      <c r="K5894" s="209"/>
      <c r="L5894" s="209"/>
      <c r="M5894" s="209"/>
      <c r="N5894" s="209"/>
      <c r="O5894" s="209"/>
      <c r="P5894" s="209"/>
      <c r="Q5894" s="209"/>
      <c r="R5894" s="209"/>
      <c r="S5894" s="209"/>
      <c r="T5894" s="209"/>
    </row>
    <row r="5895" spans="1:149" ht="15" hidden="1" customHeight="1">
      <c r="A5895" s="468">
        <v>45539</v>
      </c>
      <c r="B5895" s="208" t="s">
        <v>4862</v>
      </c>
      <c r="C5895" s="208" t="s">
        <v>269</v>
      </c>
      <c r="D5895" s="211">
        <v>-28550</v>
      </c>
      <c r="E5895" s="212">
        <v>45536</v>
      </c>
      <c r="F5895" s="208" t="s">
        <v>109</v>
      </c>
      <c r="G5895" s="201" t="s">
        <v>581</v>
      </c>
      <c r="H5895" s="208"/>
      <c r="I5895" s="208" t="s">
        <v>3364</v>
      </c>
      <c r="J5895" s="209"/>
      <c r="K5895" s="209"/>
      <c r="L5895" s="209"/>
      <c r="M5895" s="209"/>
      <c r="N5895" s="209"/>
      <c r="O5895" s="209"/>
      <c r="P5895" s="209"/>
      <c r="Q5895" s="209"/>
      <c r="R5895" s="209"/>
      <c r="S5895" s="209"/>
      <c r="T5895" s="209"/>
    </row>
    <row r="5896" spans="1:149" ht="15" hidden="1" customHeight="1">
      <c r="A5896" s="468">
        <v>45539</v>
      </c>
      <c r="B5896" s="208" t="s">
        <v>4863</v>
      </c>
      <c r="C5896" s="208" t="s">
        <v>269</v>
      </c>
      <c r="D5896" s="211">
        <v>-10000</v>
      </c>
      <c r="E5896" s="212">
        <v>45536</v>
      </c>
      <c r="F5896" s="208" t="s">
        <v>109</v>
      </c>
      <c r="G5896" s="201" t="s">
        <v>581</v>
      </c>
      <c r="H5896" s="208"/>
      <c r="I5896" s="208" t="s">
        <v>3364</v>
      </c>
      <c r="J5896" s="209"/>
      <c r="K5896" s="209"/>
      <c r="L5896" s="209"/>
      <c r="M5896" s="209"/>
      <c r="N5896" s="209"/>
      <c r="O5896" s="209"/>
      <c r="P5896" s="209"/>
      <c r="Q5896" s="209"/>
      <c r="R5896" s="209"/>
      <c r="S5896" s="209"/>
      <c r="T5896" s="209"/>
    </row>
    <row r="5897" spans="1:149" ht="15" hidden="1" customHeight="1">
      <c r="A5897" s="468">
        <v>45539</v>
      </c>
      <c r="B5897" s="208" t="s">
        <v>4864</v>
      </c>
      <c r="C5897" s="208" t="s">
        <v>269</v>
      </c>
      <c r="D5897" s="211">
        <v>-10000</v>
      </c>
      <c r="E5897" s="212">
        <v>45536</v>
      </c>
      <c r="F5897" s="208" t="s">
        <v>109</v>
      </c>
      <c r="G5897" s="654" t="s">
        <v>2585</v>
      </c>
      <c r="H5897" s="208" t="s">
        <v>138</v>
      </c>
      <c r="I5897" s="208" t="s">
        <v>4362</v>
      </c>
      <c r="J5897" s="209"/>
      <c r="K5897" s="209"/>
      <c r="L5897" s="209"/>
      <c r="M5897" s="209"/>
      <c r="N5897" s="209"/>
      <c r="O5897" s="209"/>
      <c r="P5897" s="209"/>
      <c r="Q5897" s="209"/>
      <c r="R5897" s="209"/>
      <c r="S5897" s="209"/>
      <c r="T5897" s="209"/>
    </row>
    <row r="5898" spans="1:149" ht="15" hidden="1" customHeight="1">
      <c r="A5898" s="468">
        <v>45539</v>
      </c>
      <c r="B5898" s="208" t="s">
        <v>4865</v>
      </c>
      <c r="C5898" s="208" t="s">
        <v>269</v>
      </c>
      <c r="D5898" s="211">
        <v>-10000</v>
      </c>
      <c r="E5898" s="212">
        <v>45536</v>
      </c>
      <c r="F5898" s="208" t="s">
        <v>109</v>
      </c>
      <c r="G5898" s="654" t="s">
        <v>2585</v>
      </c>
      <c r="H5898" s="208" t="s">
        <v>138</v>
      </c>
      <c r="I5898" s="208" t="s">
        <v>4362</v>
      </c>
      <c r="J5898" s="209"/>
      <c r="K5898" s="209"/>
      <c r="L5898" s="209"/>
      <c r="M5898" s="209"/>
      <c r="N5898" s="209"/>
      <c r="O5898" s="209"/>
      <c r="P5898" s="209"/>
      <c r="Q5898" s="209"/>
      <c r="R5898" s="209"/>
      <c r="S5898" s="209"/>
      <c r="T5898" s="209"/>
    </row>
    <row r="5899" spans="1:149" ht="15" hidden="1" customHeight="1">
      <c r="A5899" s="468">
        <v>45539</v>
      </c>
      <c r="B5899" s="208" t="s">
        <v>4866</v>
      </c>
      <c r="C5899" s="208" t="s">
        <v>146</v>
      </c>
      <c r="D5899" s="211">
        <v>-63600</v>
      </c>
      <c r="E5899" s="212">
        <v>45536</v>
      </c>
      <c r="F5899" s="208" t="s">
        <v>110</v>
      </c>
      <c r="G5899" s="208" t="s">
        <v>4399</v>
      </c>
      <c r="H5899" s="208" t="s">
        <v>147</v>
      </c>
      <c r="I5899" s="208" t="s">
        <v>3378</v>
      </c>
      <c r="J5899" s="209"/>
      <c r="K5899" s="209"/>
      <c r="L5899" s="209"/>
      <c r="M5899" s="209"/>
      <c r="N5899" s="209"/>
      <c r="O5899" s="209"/>
      <c r="P5899" s="209"/>
      <c r="Q5899" s="209"/>
      <c r="R5899" s="209"/>
      <c r="S5899" s="209"/>
      <c r="T5899" s="209"/>
    </row>
    <row r="5900" spans="1:149" ht="15" hidden="1" customHeight="1">
      <c r="A5900" s="468">
        <v>45539</v>
      </c>
      <c r="B5900" s="208" t="s">
        <v>4867</v>
      </c>
      <c r="C5900" s="208" t="s">
        <v>146</v>
      </c>
      <c r="D5900" s="526">
        <v>-56600</v>
      </c>
      <c r="E5900" s="212">
        <v>45536</v>
      </c>
      <c r="F5900" s="208" t="s">
        <v>110</v>
      </c>
      <c r="G5900" s="208" t="s">
        <v>4399</v>
      </c>
      <c r="H5900" s="208" t="s">
        <v>138</v>
      </c>
      <c r="I5900" s="208" t="s">
        <v>47</v>
      </c>
      <c r="J5900" s="209"/>
      <c r="K5900" s="209"/>
      <c r="L5900" s="209"/>
      <c r="M5900" s="209"/>
      <c r="N5900" s="209"/>
      <c r="O5900" s="209"/>
      <c r="P5900" s="209"/>
      <c r="Q5900" s="209"/>
      <c r="R5900" s="209"/>
      <c r="S5900" s="209"/>
      <c r="T5900" s="209"/>
    </row>
    <row r="5901" spans="1:149" ht="15" hidden="1" customHeight="1">
      <c r="A5901" s="468">
        <v>45539</v>
      </c>
      <c r="B5901" s="208" t="s">
        <v>4868</v>
      </c>
      <c r="C5901" s="208" t="s">
        <v>146</v>
      </c>
      <c r="D5901" s="526">
        <v>-39650</v>
      </c>
      <c r="E5901" s="212">
        <v>45536</v>
      </c>
      <c r="F5901" s="208" t="s">
        <v>110</v>
      </c>
      <c r="G5901" s="208" t="s">
        <v>4399</v>
      </c>
      <c r="H5901" s="208" t="s">
        <v>138</v>
      </c>
      <c r="I5901" s="208" t="s">
        <v>47</v>
      </c>
      <c r="J5901" s="209"/>
      <c r="K5901" s="209"/>
      <c r="L5901" s="209"/>
      <c r="M5901" s="209"/>
      <c r="N5901" s="209"/>
      <c r="O5901" s="209"/>
      <c r="P5901" s="209"/>
      <c r="Q5901" s="209"/>
      <c r="R5901" s="209"/>
      <c r="S5901" s="209"/>
      <c r="T5901" s="209"/>
    </row>
    <row r="5902" spans="1:149" s="451" customFormat="1" ht="15" hidden="1" customHeight="1">
      <c r="A5902" s="468">
        <v>45540</v>
      </c>
      <c r="B5902" s="208" t="s">
        <v>2663</v>
      </c>
      <c r="C5902" s="208" t="s">
        <v>269</v>
      </c>
      <c r="D5902" s="211">
        <v>-21000</v>
      </c>
      <c r="E5902" s="212">
        <v>45536</v>
      </c>
      <c r="F5902" s="208" t="s">
        <v>110</v>
      </c>
      <c r="G5902" s="208" t="s">
        <v>4399</v>
      </c>
      <c r="H5902" s="208" t="s">
        <v>138</v>
      </c>
      <c r="I5902" s="208"/>
      <c r="J5902" s="209"/>
      <c r="K5902" s="209"/>
      <c r="L5902" s="209"/>
      <c r="M5902" s="209"/>
      <c r="N5902" s="209"/>
      <c r="O5902" s="209"/>
      <c r="P5902" s="209"/>
      <c r="Q5902" s="209"/>
      <c r="R5902" s="209"/>
      <c r="S5902" s="209"/>
      <c r="T5902" s="209"/>
      <c r="U5902" s="165"/>
      <c r="V5902" s="165"/>
      <c r="W5902" s="165"/>
      <c r="X5902" s="165"/>
      <c r="Y5902" s="165"/>
      <c r="Z5902" s="165"/>
      <c r="AA5902" s="165"/>
      <c r="AB5902" s="165"/>
      <c r="AC5902" s="165"/>
      <c r="AD5902" s="165"/>
      <c r="AE5902" s="165"/>
      <c r="AF5902" s="165"/>
      <c r="AG5902" s="165"/>
      <c r="AH5902" s="165"/>
      <c r="AI5902" s="165"/>
      <c r="AJ5902" s="165"/>
      <c r="AK5902" s="165"/>
      <c r="AL5902" s="165"/>
      <c r="AM5902" s="165"/>
      <c r="AN5902" s="165"/>
      <c r="AO5902" s="165"/>
      <c r="AP5902" s="165"/>
      <c r="AQ5902" s="165"/>
      <c r="AR5902" s="165"/>
      <c r="AS5902" s="165"/>
      <c r="AT5902" s="165"/>
      <c r="AU5902" s="165"/>
      <c r="AV5902" s="165"/>
      <c r="AW5902" s="165"/>
      <c r="AX5902" s="165"/>
      <c r="AY5902" s="165"/>
      <c r="AZ5902" s="165"/>
      <c r="BA5902" s="165"/>
      <c r="BB5902" s="165"/>
      <c r="BC5902" s="165"/>
      <c r="BD5902" s="165"/>
      <c r="BE5902" s="165"/>
      <c r="BF5902" s="165"/>
      <c r="BG5902" s="165"/>
      <c r="BH5902" s="165"/>
      <c r="BI5902" s="165"/>
      <c r="BJ5902" s="165"/>
      <c r="BK5902" s="165"/>
      <c r="BL5902" s="165"/>
      <c r="BM5902" s="165"/>
      <c r="BN5902" s="165"/>
      <c r="BO5902" s="165"/>
      <c r="BP5902" s="165"/>
      <c r="BQ5902" s="165"/>
      <c r="BR5902" s="165"/>
      <c r="BS5902" s="165"/>
      <c r="BT5902" s="165"/>
      <c r="BU5902" s="165"/>
      <c r="BV5902" s="165"/>
      <c r="BW5902" s="165"/>
      <c r="BX5902" s="165"/>
      <c r="BY5902" s="165"/>
      <c r="BZ5902" s="165"/>
      <c r="CA5902" s="165"/>
      <c r="CB5902" s="165"/>
      <c r="CC5902" s="165"/>
      <c r="CD5902" s="165"/>
      <c r="CE5902" s="165"/>
      <c r="CF5902" s="165"/>
      <c r="CG5902" s="165"/>
      <c r="CH5902" s="165"/>
      <c r="CI5902" s="165"/>
      <c r="CJ5902" s="165"/>
      <c r="CK5902" s="165"/>
      <c r="CL5902" s="165"/>
      <c r="CM5902" s="165"/>
      <c r="CN5902" s="165"/>
      <c r="CO5902" s="165"/>
      <c r="CP5902" s="165"/>
      <c r="CQ5902" s="165"/>
      <c r="CR5902" s="165"/>
      <c r="CS5902" s="165"/>
      <c r="CT5902" s="165"/>
      <c r="CU5902" s="165"/>
      <c r="CV5902" s="165"/>
      <c r="CW5902" s="165"/>
      <c r="CX5902" s="165"/>
      <c r="CY5902" s="165"/>
      <c r="CZ5902" s="165"/>
      <c r="DA5902" s="165"/>
      <c r="DB5902" s="165"/>
      <c r="DC5902" s="165"/>
      <c r="DD5902" s="165"/>
      <c r="DE5902" s="165"/>
      <c r="DF5902" s="165"/>
      <c r="DG5902" s="165"/>
      <c r="DH5902" s="165"/>
      <c r="DI5902" s="165"/>
      <c r="DJ5902" s="165"/>
      <c r="DK5902" s="165"/>
      <c r="DL5902" s="165"/>
      <c r="DM5902" s="165"/>
      <c r="DN5902" s="165"/>
      <c r="DO5902" s="165"/>
      <c r="DP5902" s="165"/>
      <c r="DQ5902" s="165"/>
      <c r="DR5902" s="165"/>
      <c r="DS5902" s="165"/>
      <c r="DT5902" s="165"/>
      <c r="DU5902" s="165"/>
      <c r="DV5902" s="165"/>
      <c r="DW5902" s="165"/>
      <c r="DX5902" s="165"/>
      <c r="DY5902" s="165"/>
      <c r="DZ5902" s="165"/>
      <c r="EA5902" s="165"/>
      <c r="EB5902" s="165"/>
      <c r="EC5902" s="165"/>
      <c r="ED5902" s="165"/>
      <c r="EE5902" s="165"/>
      <c r="EF5902" s="165"/>
      <c r="EG5902" s="165"/>
      <c r="EH5902" s="165"/>
      <c r="EI5902" s="165"/>
      <c r="EJ5902" s="165"/>
      <c r="EK5902" s="165"/>
      <c r="EL5902" s="165"/>
      <c r="EM5902" s="165"/>
      <c r="EN5902" s="165"/>
      <c r="EO5902" s="165"/>
      <c r="EP5902" s="165"/>
      <c r="EQ5902" s="165"/>
      <c r="ER5902" s="165"/>
      <c r="ES5902" s="165"/>
    </row>
    <row r="5903" spans="1:149" s="451" customFormat="1" ht="15" hidden="1" customHeight="1">
      <c r="A5903" s="468">
        <v>45540</v>
      </c>
      <c r="B5903" s="208" t="s">
        <v>2663</v>
      </c>
      <c r="C5903" s="208" t="s">
        <v>269</v>
      </c>
      <c r="D5903" s="211">
        <v>-49000</v>
      </c>
      <c r="E5903" s="212">
        <v>45536</v>
      </c>
      <c r="F5903" s="208" t="s">
        <v>109</v>
      </c>
      <c r="G5903" s="208" t="s">
        <v>3529</v>
      </c>
      <c r="H5903" s="208" t="s">
        <v>138</v>
      </c>
      <c r="I5903" s="208"/>
      <c r="J5903" s="209"/>
      <c r="K5903" s="209"/>
      <c r="L5903" s="209"/>
      <c r="M5903" s="209"/>
      <c r="N5903" s="209"/>
      <c r="O5903" s="209"/>
      <c r="P5903" s="209"/>
      <c r="Q5903" s="209"/>
      <c r="R5903" s="209"/>
      <c r="S5903" s="209"/>
      <c r="T5903" s="209"/>
      <c r="U5903" s="165"/>
      <c r="V5903" s="165"/>
      <c r="W5903" s="165"/>
      <c r="X5903" s="165"/>
      <c r="Y5903" s="165"/>
      <c r="Z5903" s="165"/>
      <c r="AA5903" s="165"/>
      <c r="AB5903" s="165"/>
      <c r="AC5903" s="165"/>
      <c r="AD5903" s="165"/>
      <c r="AE5903" s="165"/>
      <c r="AF5903" s="165"/>
      <c r="AG5903" s="165"/>
      <c r="AH5903" s="165"/>
      <c r="AI5903" s="165"/>
      <c r="AJ5903" s="165"/>
      <c r="AK5903" s="165"/>
      <c r="AL5903" s="165"/>
      <c r="AM5903" s="165"/>
      <c r="AN5903" s="165"/>
      <c r="AO5903" s="165"/>
      <c r="AP5903" s="165"/>
      <c r="AQ5903" s="165"/>
      <c r="AR5903" s="165"/>
      <c r="AS5903" s="165"/>
      <c r="AT5903" s="165"/>
      <c r="AU5903" s="165"/>
      <c r="AV5903" s="165"/>
      <c r="AW5903" s="165"/>
      <c r="AX5903" s="165"/>
      <c r="AY5903" s="165"/>
      <c r="AZ5903" s="165"/>
      <c r="BA5903" s="165"/>
      <c r="BB5903" s="165"/>
      <c r="BC5903" s="165"/>
      <c r="BD5903" s="165"/>
      <c r="BE5903" s="165"/>
      <c r="BF5903" s="165"/>
      <c r="BG5903" s="165"/>
      <c r="BH5903" s="165"/>
      <c r="BI5903" s="165"/>
      <c r="BJ5903" s="165"/>
      <c r="BK5903" s="165"/>
      <c r="BL5903" s="165"/>
      <c r="BM5903" s="165"/>
      <c r="BN5903" s="165"/>
      <c r="BO5903" s="165"/>
      <c r="BP5903" s="165"/>
      <c r="BQ5903" s="165"/>
      <c r="BR5903" s="165"/>
      <c r="BS5903" s="165"/>
      <c r="BT5903" s="165"/>
      <c r="BU5903" s="165"/>
      <c r="BV5903" s="165"/>
      <c r="BW5903" s="165"/>
      <c r="BX5903" s="165"/>
      <c r="BY5903" s="165"/>
      <c r="BZ5903" s="165"/>
      <c r="CA5903" s="165"/>
      <c r="CB5903" s="165"/>
      <c r="CC5903" s="165"/>
      <c r="CD5903" s="165"/>
      <c r="CE5903" s="165"/>
      <c r="CF5903" s="165"/>
      <c r="CG5903" s="165"/>
      <c r="CH5903" s="165"/>
      <c r="CI5903" s="165"/>
      <c r="CJ5903" s="165"/>
      <c r="CK5903" s="165"/>
      <c r="CL5903" s="165"/>
      <c r="CM5903" s="165"/>
      <c r="CN5903" s="165"/>
      <c r="CO5903" s="165"/>
      <c r="CP5903" s="165"/>
      <c r="CQ5903" s="165"/>
      <c r="CR5903" s="165"/>
      <c r="CS5903" s="165"/>
      <c r="CT5903" s="165"/>
      <c r="CU5903" s="165"/>
      <c r="CV5903" s="165"/>
      <c r="CW5903" s="165"/>
      <c r="CX5903" s="165"/>
      <c r="CY5903" s="165"/>
      <c r="CZ5903" s="165"/>
      <c r="DA5903" s="165"/>
      <c r="DB5903" s="165"/>
      <c r="DC5903" s="165"/>
      <c r="DD5903" s="165"/>
      <c r="DE5903" s="165"/>
      <c r="DF5903" s="165"/>
      <c r="DG5903" s="165"/>
      <c r="DH5903" s="165"/>
      <c r="DI5903" s="165"/>
      <c r="DJ5903" s="165"/>
      <c r="DK5903" s="165"/>
      <c r="DL5903" s="165"/>
      <c r="DM5903" s="165"/>
      <c r="DN5903" s="165"/>
      <c r="DO5903" s="165"/>
      <c r="DP5903" s="165"/>
      <c r="DQ5903" s="165"/>
      <c r="DR5903" s="165"/>
      <c r="DS5903" s="165"/>
      <c r="DT5903" s="165"/>
      <c r="DU5903" s="165"/>
      <c r="DV5903" s="165"/>
      <c r="DW5903" s="165"/>
      <c r="DX5903" s="165"/>
      <c r="DY5903" s="165"/>
      <c r="DZ5903" s="165"/>
      <c r="EA5903" s="165"/>
      <c r="EB5903" s="165"/>
      <c r="EC5903" s="165"/>
      <c r="ED5903" s="165"/>
      <c r="EE5903" s="165"/>
      <c r="EF5903" s="165"/>
      <c r="EG5903" s="165"/>
      <c r="EH5903" s="165"/>
      <c r="EI5903" s="165"/>
      <c r="EJ5903" s="165"/>
      <c r="EK5903" s="165"/>
      <c r="EL5903" s="165"/>
      <c r="EM5903" s="165"/>
      <c r="EN5903" s="165"/>
      <c r="EO5903" s="165"/>
      <c r="EP5903" s="165"/>
      <c r="EQ5903" s="165"/>
      <c r="ER5903" s="165"/>
      <c r="ES5903" s="165"/>
    </row>
    <row r="5904" spans="1:149" s="451" customFormat="1" ht="15" hidden="1" customHeight="1">
      <c r="A5904" s="468">
        <v>45540</v>
      </c>
      <c r="B5904" s="208" t="s">
        <v>2663</v>
      </c>
      <c r="C5904" s="208" t="s">
        <v>269</v>
      </c>
      <c r="D5904" s="211">
        <v>-21000</v>
      </c>
      <c r="E5904" s="212">
        <v>45536</v>
      </c>
      <c r="F5904" s="208" t="s">
        <v>110</v>
      </c>
      <c r="G5904" s="201" t="s">
        <v>1489</v>
      </c>
      <c r="H5904" s="208" t="s">
        <v>138</v>
      </c>
      <c r="I5904" s="208"/>
      <c r="J5904" s="209"/>
      <c r="K5904" s="209"/>
      <c r="L5904" s="209"/>
      <c r="M5904" s="209"/>
      <c r="N5904" s="209"/>
      <c r="O5904" s="209"/>
      <c r="P5904" s="209"/>
      <c r="Q5904" s="209"/>
      <c r="R5904" s="209"/>
      <c r="S5904" s="209"/>
      <c r="T5904" s="209"/>
      <c r="U5904" s="165"/>
      <c r="V5904" s="165"/>
      <c r="W5904" s="165"/>
      <c r="X5904" s="165"/>
      <c r="Y5904" s="165"/>
      <c r="Z5904" s="165"/>
      <c r="AA5904" s="165"/>
      <c r="AB5904" s="165"/>
      <c r="AC5904" s="165"/>
      <c r="AD5904" s="165"/>
      <c r="AE5904" s="165"/>
      <c r="AF5904" s="165"/>
      <c r="AG5904" s="165"/>
      <c r="AH5904" s="165"/>
      <c r="AI5904" s="165"/>
      <c r="AJ5904" s="165"/>
      <c r="AK5904" s="165"/>
      <c r="AL5904" s="165"/>
      <c r="AM5904" s="165"/>
      <c r="AN5904" s="165"/>
      <c r="AO5904" s="165"/>
      <c r="AP5904" s="165"/>
      <c r="AQ5904" s="165"/>
      <c r="AR5904" s="165"/>
      <c r="AS5904" s="165"/>
      <c r="AT5904" s="165"/>
      <c r="AU5904" s="165"/>
      <c r="AV5904" s="165"/>
      <c r="AW5904" s="165"/>
      <c r="AX5904" s="165"/>
      <c r="AY5904" s="165"/>
      <c r="AZ5904" s="165"/>
      <c r="BA5904" s="165"/>
      <c r="BB5904" s="165"/>
      <c r="BC5904" s="165"/>
      <c r="BD5904" s="165"/>
      <c r="BE5904" s="165"/>
      <c r="BF5904" s="165"/>
      <c r="BG5904" s="165"/>
      <c r="BH5904" s="165"/>
      <c r="BI5904" s="165"/>
      <c r="BJ5904" s="165"/>
      <c r="BK5904" s="165"/>
      <c r="BL5904" s="165"/>
      <c r="BM5904" s="165"/>
      <c r="BN5904" s="165"/>
      <c r="BO5904" s="165"/>
      <c r="BP5904" s="165"/>
      <c r="BQ5904" s="165"/>
      <c r="BR5904" s="165"/>
      <c r="BS5904" s="165"/>
      <c r="BT5904" s="165"/>
      <c r="BU5904" s="165"/>
      <c r="BV5904" s="165"/>
      <c r="BW5904" s="165"/>
      <c r="BX5904" s="165"/>
      <c r="BY5904" s="165"/>
      <c r="BZ5904" s="165"/>
      <c r="CA5904" s="165"/>
      <c r="CB5904" s="165"/>
      <c r="CC5904" s="165"/>
      <c r="CD5904" s="165"/>
      <c r="CE5904" s="165"/>
      <c r="CF5904" s="165"/>
      <c r="CG5904" s="165"/>
      <c r="CH5904" s="165"/>
      <c r="CI5904" s="165"/>
      <c r="CJ5904" s="165"/>
      <c r="CK5904" s="165"/>
      <c r="CL5904" s="165"/>
      <c r="CM5904" s="165"/>
      <c r="CN5904" s="165"/>
      <c r="CO5904" s="165"/>
      <c r="CP5904" s="165"/>
      <c r="CQ5904" s="165"/>
      <c r="CR5904" s="165"/>
      <c r="CS5904" s="165"/>
      <c r="CT5904" s="165"/>
      <c r="CU5904" s="165"/>
      <c r="CV5904" s="165"/>
      <c r="CW5904" s="165"/>
      <c r="CX5904" s="165"/>
      <c r="CY5904" s="165"/>
      <c r="CZ5904" s="165"/>
      <c r="DA5904" s="165"/>
      <c r="DB5904" s="165"/>
      <c r="DC5904" s="165"/>
      <c r="DD5904" s="165"/>
      <c r="DE5904" s="165"/>
      <c r="DF5904" s="165"/>
      <c r="DG5904" s="165"/>
      <c r="DH5904" s="165"/>
      <c r="DI5904" s="165"/>
      <c r="DJ5904" s="165"/>
      <c r="DK5904" s="165"/>
      <c r="DL5904" s="165"/>
      <c r="DM5904" s="165"/>
      <c r="DN5904" s="165"/>
      <c r="DO5904" s="165"/>
      <c r="DP5904" s="165"/>
      <c r="DQ5904" s="165"/>
      <c r="DR5904" s="165"/>
      <c r="DS5904" s="165"/>
      <c r="DT5904" s="165"/>
      <c r="DU5904" s="165"/>
      <c r="DV5904" s="165"/>
      <c r="DW5904" s="165"/>
      <c r="DX5904" s="165"/>
      <c r="DY5904" s="165"/>
      <c r="DZ5904" s="165"/>
      <c r="EA5904" s="165"/>
      <c r="EB5904" s="165"/>
      <c r="EC5904" s="165"/>
      <c r="ED5904" s="165"/>
      <c r="EE5904" s="165"/>
      <c r="EF5904" s="165"/>
      <c r="EG5904" s="165"/>
      <c r="EH5904" s="165"/>
      <c r="EI5904" s="165"/>
      <c r="EJ5904" s="165"/>
      <c r="EK5904" s="165"/>
      <c r="EL5904" s="165"/>
      <c r="EM5904" s="165"/>
      <c r="EN5904" s="165"/>
      <c r="EO5904" s="165"/>
      <c r="EP5904" s="165"/>
      <c r="EQ5904" s="165"/>
      <c r="ER5904" s="165"/>
      <c r="ES5904" s="165"/>
    </row>
    <row r="5905" spans="1:149" ht="15" hidden="1" customHeight="1">
      <c r="A5905" s="468">
        <v>45540</v>
      </c>
      <c r="B5905" s="208" t="s">
        <v>2663</v>
      </c>
      <c r="C5905" s="208" t="s">
        <v>269</v>
      </c>
      <c r="D5905" s="211">
        <v>-43000</v>
      </c>
      <c r="E5905" s="212">
        <v>45536</v>
      </c>
      <c r="F5905" s="208" t="s">
        <v>109</v>
      </c>
      <c r="G5905" s="654" t="s">
        <v>2585</v>
      </c>
      <c r="H5905" s="208" t="s">
        <v>138</v>
      </c>
      <c r="I5905" s="208"/>
      <c r="J5905" s="209"/>
      <c r="K5905" s="209"/>
      <c r="L5905" s="209"/>
      <c r="M5905" s="209"/>
      <c r="N5905" s="209"/>
      <c r="O5905" s="209"/>
      <c r="P5905" s="209"/>
      <c r="Q5905" s="209"/>
      <c r="R5905" s="209"/>
      <c r="S5905" s="209"/>
      <c r="T5905" s="209"/>
    </row>
    <row r="5906" spans="1:149" s="451" customFormat="1" ht="15" hidden="1" customHeight="1">
      <c r="A5906" s="468">
        <v>45540</v>
      </c>
      <c r="B5906" s="208" t="s">
        <v>2663</v>
      </c>
      <c r="C5906" s="208" t="s">
        <v>269</v>
      </c>
      <c r="D5906" s="211">
        <v>-28000</v>
      </c>
      <c r="E5906" s="212">
        <v>45536</v>
      </c>
      <c r="F5906" s="208" t="s">
        <v>109</v>
      </c>
      <c r="G5906" s="201" t="s">
        <v>581</v>
      </c>
      <c r="H5906" s="208"/>
      <c r="I5906" s="208"/>
      <c r="J5906" s="209"/>
      <c r="K5906" s="209"/>
      <c r="L5906" s="209"/>
      <c r="M5906" s="209"/>
      <c r="N5906" s="209"/>
      <c r="O5906" s="209"/>
      <c r="P5906" s="209"/>
      <c r="Q5906" s="209"/>
      <c r="R5906" s="209"/>
      <c r="S5906" s="209"/>
      <c r="T5906" s="209"/>
      <c r="U5906" s="165"/>
      <c r="V5906" s="165"/>
      <c r="W5906" s="165"/>
      <c r="X5906" s="165"/>
      <c r="Y5906" s="165"/>
      <c r="Z5906" s="165"/>
      <c r="AA5906" s="165"/>
      <c r="AB5906" s="165"/>
      <c r="AC5906" s="165"/>
      <c r="AD5906" s="165"/>
      <c r="AE5906" s="165"/>
      <c r="AF5906" s="165"/>
      <c r="AG5906" s="165"/>
      <c r="AH5906" s="165"/>
      <c r="AI5906" s="165"/>
      <c r="AJ5906" s="165"/>
      <c r="AK5906" s="165"/>
      <c r="AL5906" s="165"/>
      <c r="AM5906" s="165"/>
      <c r="AN5906" s="165"/>
      <c r="AO5906" s="165"/>
      <c r="AP5906" s="165"/>
      <c r="AQ5906" s="165"/>
      <c r="AR5906" s="165"/>
      <c r="AS5906" s="165"/>
      <c r="AT5906" s="165"/>
      <c r="AU5906" s="165"/>
      <c r="AV5906" s="165"/>
      <c r="AW5906" s="165"/>
      <c r="AX5906" s="165"/>
      <c r="AY5906" s="165"/>
      <c r="AZ5906" s="165"/>
      <c r="BA5906" s="165"/>
      <c r="BB5906" s="165"/>
      <c r="BC5906" s="165"/>
      <c r="BD5906" s="165"/>
      <c r="BE5906" s="165"/>
      <c r="BF5906" s="165"/>
      <c r="BG5906" s="165"/>
      <c r="BH5906" s="165"/>
      <c r="BI5906" s="165"/>
      <c r="BJ5906" s="165"/>
      <c r="BK5906" s="165"/>
      <c r="BL5906" s="165"/>
      <c r="BM5906" s="165"/>
      <c r="BN5906" s="165"/>
      <c r="BO5906" s="165"/>
      <c r="BP5906" s="165"/>
      <c r="BQ5906" s="165"/>
      <c r="BR5906" s="165"/>
      <c r="BS5906" s="165"/>
      <c r="BT5906" s="165"/>
      <c r="BU5906" s="165"/>
      <c r="BV5906" s="165"/>
      <c r="BW5906" s="165"/>
      <c r="BX5906" s="165"/>
      <c r="BY5906" s="165"/>
      <c r="BZ5906" s="165"/>
      <c r="CA5906" s="165"/>
      <c r="CB5906" s="165"/>
      <c r="CC5906" s="165"/>
      <c r="CD5906" s="165"/>
      <c r="CE5906" s="165"/>
      <c r="CF5906" s="165"/>
      <c r="CG5906" s="165"/>
      <c r="CH5906" s="165"/>
      <c r="CI5906" s="165"/>
      <c r="CJ5906" s="165"/>
      <c r="CK5906" s="165"/>
      <c r="CL5906" s="165"/>
      <c r="CM5906" s="165"/>
      <c r="CN5906" s="165"/>
      <c r="CO5906" s="165"/>
      <c r="CP5906" s="165"/>
      <c r="CQ5906" s="165"/>
      <c r="CR5906" s="165"/>
      <c r="CS5906" s="165"/>
      <c r="CT5906" s="165"/>
      <c r="CU5906" s="165"/>
      <c r="CV5906" s="165"/>
      <c r="CW5906" s="165"/>
      <c r="CX5906" s="165"/>
      <c r="CY5906" s="165"/>
      <c r="CZ5906" s="165"/>
      <c r="DA5906" s="165"/>
      <c r="DB5906" s="165"/>
      <c r="DC5906" s="165"/>
      <c r="DD5906" s="165"/>
      <c r="DE5906" s="165"/>
      <c r="DF5906" s="165"/>
      <c r="DG5906" s="165"/>
      <c r="DH5906" s="165"/>
      <c r="DI5906" s="165"/>
      <c r="DJ5906" s="165"/>
      <c r="DK5906" s="165"/>
      <c r="DL5906" s="165"/>
      <c r="DM5906" s="165"/>
      <c r="DN5906" s="165"/>
      <c r="DO5906" s="165"/>
      <c r="DP5906" s="165"/>
      <c r="DQ5906" s="165"/>
      <c r="DR5906" s="165"/>
      <c r="DS5906" s="165"/>
      <c r="DT5906" s="165"/>
      <c r="DU5906" s="165"/>
      <c r="DV5906" s="165"/>
      <c r="DW5906" s="165"/>
      <c r="DX5906" s="165"/>
      <c r="DY5906" s="165"/>
      <c r="DZ5906" s="165"/>
      <c r="EA5906" s="165"/>
      <c r="EB5906" s="165"/>
      <c r="EC5906" s="165"/>
      <c r="ED5906" s="165"/>
      <c r="EE5906" s="165"/>
      <c r="EF5906" s="165"/>
      <c r="EG5906" s="165"/>
      <c r="EH5906" s="165"/>
      <c r="EI5906" s="165"/>
      <c r="EJ5906" s="165"/>
      <c r="EK5906" s="165"/>
      <c r="EL5906" s="165"/>
      <c r="EM5906" s="165"/>
      <c r="EN5906" s="165"/>
      <c r="EO5906" s="165"/>
      <c r="EP5906" s="165"/>
      <c r="EQ5906" s="165"/>
      <c r="ER5906" s="165"/>
      <c r="ES5906" s="165"/>
    </row>
    <row r="5907" spans="1:149" s="451" customFormat="1" ht="15" hidden="1" customHeight="1">
      <c r="A5907" s="468">
        <v>45540</v>
      </c>
      <c r="B5907" s="208" t="s">
        <v>2663</v>
      </c>
      <c r="C5907" s="208" t="s">
        <v>269</v>
      </c>
      <c r="D5907" s="211">
        <v>-14000</v>
      </c>
      <c r="E5907" s="212">
        <v>45536</v>
      </c>
      <c r="F5907" s="208" t="s">
        <v>130</v>
      </c>
      <c r="G5907" s="208" t="s">
        <v>130</v>
      </c>
      <c r="H5907" s="208" t="s">
        <v>138</v>
      </c>
      <c r="I5907" s="208"/>
      <c r="J5907" s="209"/>
      <c r="K5907" s="209"/>
      <c r="L5907" s="209"/>
      <c r="M5907" s="209"/>
      <c r="N5907" s="209"/>
      <c r="O5907" s="209"/>
      <c r="P5907" s="209"/>
      <c r="Q5907" s="209"/>
      <c r="R5907" s="209"/>
      <c r="S5907" s="209"/>
      <c r="T5907" s="209"/>
      <c r="U5907" s="165"/>
      <c r="V5907" s="165"/>
      <c r="W5907" s="165"/>
      <c r="X5907" s="165"/>
      <c r="Y5907" s="165"/>
      <c r="Z5907" s="165"/>
      <c r="AA5907" s="165"/>
      <c r="AB5907" s="165"/>
      <c r="AC5907" s="165"/>
      <c r="AD5907" s="165"/>
      <c r="AE5907" s="165"/>
      <c r="AF5907" s="165"/>
      <c r="AG5907" s="165"/>
      <c r="AH5907" s="165"/>
      <c r="AI5907" s="165"/>
      <c r="AJ5907" s="165"/>
      <c r="AK5907" s="165"/>
      <c r="AL5907" s="165"/>
      <c r="AM5907" s="165"/>
      <c r="AN5907" s="165"/>
      <c r="AO5907" s="165"/>
      <c r="AP5907" s="165"/>
      <c r="AQ5907" s="165"/>
      <c r="AR5907" s="165"/>
      <c r="AS5907" s="165"/>
      <c r="AT5907" s="165"/>
      <c r="AU5907" s="165"/>
      <c r="AV5907" s="165"/>
      <c r="AW5907" s="165"/>
      <c r="AX5907" s="165"/>
      <c r="AY5907" s="165"/>
      <c r="AZ5907" s="165"/>
      <c r="BA5907" s="165"/>
      <c r="BB5907" s="165"/>
      <c r="BC5907" s="165"/>
      <c r="BD5907" s="165"/>
      <c r="BE5907" s="165"/>
      <c r="BF5907" s="165"/>
      <c r="BG5907" s="165"/>
      <c r="BH5907" s="165"/>
      <c r="BI5907" s="165"/>
      <c r="BJ5907" s="165"/>
      <c r="BK5907" s="165"/>
      <c r="BL5907" s="165"/>
      <c r="BM5907" s="165"/>
      <c r="BN5907" s="165"/>
      <c r="BO5907" s="165"/>
      <c r="BP5907" s="165"/>
      <c r="BQ5907" s="165"/>
      <c r="BR5907" s="165"/>
      <c r="BS5907" s="165"/>
      <c r="BT5907" s="165"/>
      <c r="BU5907" s="165"/>
      <c r="BV5907" s="165"/>
      <c r="BW5907" s="165"/>
      <c r="BX5907" s="165"/>
      <c r="BY5907" s="165"/>
      <c r="BZ5907" s="165"/>
      <c r="CA5907" s="165"/>
      <c r="CB5907" s="165"/>
      <c r="CC5907" s="165"/>
      <c r="CD5907" s="165"/>
      <c r="CE5907" s="165"/>
      <c r="CF5907" s="165"/>
      <c r="CG5907" s="165"/>
      <c r="CH5907" s="165"/>
      <c r="CI5907" s="165"/>
      <c r="CJ5907" s="165"/>
      <c r="CK5907" s="165"/>
      <c r="CL5907" s="165"/>
      <c r="CM5907" s="165"/>
      <c r="CN5907" s="165"/>
      <c r="CO5907" s="165"/>
      <c r="CP5907" s="165"/>
      <c r="CQ5907" s="165"/>
      <c r="CR5907" s="165"/>
      <c r="CS5907" s="165"/>
      <c r="CT5907" s="165"/>
      <c r="CU5907" s="165"/>
      <c r="CV5907" s="165"/>
      <c r="CW5907" s="165"/>
      <c r="CX5907" s="165"/>
      <c r="CY5907" s="165"/>
      <c r="CZ5907" s="165"/>
      <c r="DA5907" s="165"/>
      <c r="DB5907" s="165"/>
      <c r="DC5907" s="165"/>
      <c r="DD5907" s="165"/>
      <c r="DE5907" s="165"/>
      <c r="DF5907" s="165"/>
      <c r="DG5907" s="165"/>
      <c r="DH5907" s="165"/>
      <c r="DI5907" s="165"/>
      <c r="DJ5907" s="165"/>
      <c r="DK5907" s="165"/>
      <c r="DL5907" s="165"/>
      <c r="DM5907" s="165"/>
      <c r="DN5907" s="165"/>
      <c r="DO5907" s="165"/>
      <c r="DP5907" s="165"/>
      <c r="DQ5907" s="165"/>
      <c r="DR5907" s="165"/>
      <c r="DS5907" s="165"/>
      <c r="DT5907" s="165"/>
      <c r="DU5907" s="165"/>
      <c r="DV5907" s="165"/>
      <c r="DW5907" s="165"/>
      <c r="DX5907" s="165"/>
      <c r="DY5907" s="165"/>
      <c r="DZ5907" s="165"/>
      <c r="EA5907" s="165"/>
      <c r="EB5907" s="165"/>
      <c r="EC5907" s="165"/>
      <c r="ED5907" s="165"/>
      <c r="EE5907" s="165"/>
      <c r="EF5907" s="165"/>
      <c r="EG5907" s="165"/>
      <c r="EH5907" s="165"/>
      <c r="EI5907" s="165"/>
      <c r="EJ5907" s="165"/>
      <c r="EK5907" s="165"/>
      <c r="EL5907" s="165"/>
      <c r="EM5907" s="165"/>
      <c r="EN5907" s="165"/>
      <c r="EO5907" s="165"/>
      <c r="EP5907" s="165"/>
      <c r="EQ5907" s="165"/>
      <c r="ER5907" s="165"/>
      <c r="ES5907" s="165"/>
    </row>
    <row r="5908" spans="1:149" s="451" customFormat="1" ht="15" hidden="1" customHeight="1">
      <c r="A5908" s="468">
        <v>45540</v>
      </c>
      <c r="B5908" s="208" t="s">
        <v>4869</v>
      </c>
      <c r="C5908" s="208" t="s">
        <v>27</v>
      </c>
      <c r="D5908" s="211">
        <v>-3588000</v>
      </c>
      <c r="E5908" s="212">
        <v>45536</v>
      </c>
      <c r="F5908" s="208" t="s">
        <v>130</v>
      </c>
      <c r="G5908" s="208" t="s">
        <v>130</v>
      </c>
      <c r="H5908" s="208" t="s">
        <v>163</v>
      </c>
      <c r="I5908" s="208"/>
      <c r="J5908" s="209"/>
      <c r="K5908" s="209"/>
      <c r="L5908" s="209"/>
      <c r="M5908" s="209"/>
      <c r="N5908" s="209"/>
      <c r="O5908" s="209"/>
      <c r="P5908" s="209"/>
      <c r="Q5908" s="209"/>
      <c r="R5908" s="209"/>
      <c r="S5908" s="209"/>
      <c r="T5908" s="209"/>
    </row>
    <row r="5909" spans="1:149" s="451" customFormat="1" ht="15" hidden="1" customHeight="1">
      <c r="A5909" s="468">
        <v>45540</v>
      </c>
      <c r="B5909" s="208" t="s">
        <v>4870</v>
      </c>
      <c r="C5909" s="208" t="s">
        <v>27</v>
      </c>
      <c r="D5909" s="211">
        <v>-2984520</v>
      </c>
      <c r="E5909" s="212">
        <v>45536</v>
      </c>
      <c r="F5909" s="208" t="s">
        <v>130</v>
      </c>
      <c r="G5909" s="208" t="s">
        <v>257</v>
      </c>
      <c r="H5909" s="208" t="s">
        <v>2724</v>
      </c>
      <c r="I5909" s="208"/>
      <c r="J5909" s="209"/>
      <c r="K5909" s="209"/>
      <c r="L5909" s="209"/>
      <c r="M5909" s="209"/>
      <c r="N5909" s="209"/>
      <c r="O5909" s="209"/>
      <c r="P5909" s="209"/>
      <c r="Q5909" s="209"/>
      <c r="R5909" s="209"/>
      <c r="S5909" s="209"/>
      <c r="T5909" s="209"/>
    </row>
    <row r="5910" spans="1:149" s="451" customFormat="1" ht="15" hidden="1" customHeight="1">
      <c r="A5910" s="468">
        <v>45540</v>
      </c>
      <c r="B5910" s="208" t="s">
        <v>4871</v>
      </c>
      <c r="C5910" s="208" t="s">
        <v>27</v>
      </c>
      <c r="D5910" s="211">
        <v>-419877</v>
      </c>
      <c r="E5910" s="212">
        <v>45536</v>
      </c>
      <c r="F5910" s="201" t="s">
        <v>110</v>
      </c>
      <c r="G5910" s="208" t="s">
        <v>3245</v>
      </c>
      <c r="H5910" s="208" t="s">
        <v>175</v>
      </c>
      <c r="I5910" s="208"/>
      <c r="J5910" s="209"/>
      <c r="K5910" s="209"/>
      <c r="L5910" s="209"/>
      <c r="M5910" s="209"/>
      <c r="N5910" s="209"/>
      <c r="O5910" s="209"/>
      <c r="P5910" s="209"/>
      <c r="Q5910" s="209"/>
      <c r="R5910" s="209"/>
      <c r="S5910" s="209"/>
      <c r="T5910" s="209"/>
    </row>
    <row r="5911" spans="1:149" s="451" customFormat="1" ht="15" hidden="1" customHeight="1">
      <c r="A5911" s="468">
        <v>45540</v>
      </c>
      <c r="B5911" s="208" t="s">
        <v>4872</v>
      </c>
      <c r="C5911" s="208" t="s">
        <v>27</v>
      </c>
      <c r="D5911" s="211">
        <v>-492785</v>
      </c>
      <c r="E5911" s="212">
        <v>45536</v>
      </c>
      <c r="F5911" s="208" t="s">
        <v>109</v>
      </c>
      <c r="G5911" s="208" t="s">
        <v>2809</v>
      </c>
      <c r="H5911" s="208" t="s">
        <v>4814</v>
      </c>
      <c r="I5911" s="208"/>
      <c r="J5911" s="209"/>
      <c r="K5911" s="209"/>
      <c r="L5911" s="209"/>
      <c r="M5911" s="209"/>
      <c r="N5911" s="209"/>
      <c r="O5911" s="209"/>
      <c r="P5911" s="209"/>
      <c r="Q5911" s="209"/>
      <c r="R5911" s="209"/>
      <c r="S5911" s="209"/>
      <c r="T5911" s="209"/>
    </row>
    <row r="5912" spans="1:149" s="451" customFormat="1" ht="15" hidden="1" customHeight="1">
      <c r="A5912" s="468">
        <v>45540</v>
      </c>
      <c r="B5912" s="208" t="s">
        <v>4873</v>
      </c>
      <c r="C5912" s="208" t="s">
        <v>27</v>
      </c>
      <c r="D5912" s="211">
        <v>-675400</v>
      </c>
      <c r="E5912" s="212">
        <v>45536</v>
      </c>
      <c r="F5912" s="208" t="s">
        <v>109</v>
      </c>
      <c r="G5912" s="201" t="s">
        <v>581</v>
      </c>
      <c r="H5912" s="208"/>
      <c r="I5912" s="208"/>
      <c r="J5912" s="209"/>
      <c r="K5912" s="209"/>
      <c r="L5912" s="209"/>
      <c r="M5912" s="209"/>
      <c r="N5912" s="209"/>
      <c r="O5912" s="209"/>
      <c r="P5912" s="209"/>
      <c r="Q5912" s="209"/>
      <c r="R5912" s="209"/>
      <c r="S5912" s="209"/>
      <c r="T5912" s="209"/>
    </row>
    <row r="5913" spans="1:149" s="451" customFormat="1" ht="15" hidden="1" customHeight="1">
      <c r="A5913" s="468">
        <v>45540</v>
      </c>
      <c r="B5913" s="208" t="s">
        <v>4874</v>
      </c>
      <c r="C5913" s="208" t="s">
        <v>27</v>
      </c>
      <c r="D5913" s="211">
        <v>-1749600</v>
      </c>
      <c r="E5913" s="212">
        <v>45536</v>
      </c>
      <c r="F5913" s="208" t="s">
        <v>110</v>
      </c>
      <c r="G5913" s="208" t="s">
        <v>4399</v>
      </c>
      <c r="H5913" s="208" t="s">
        <v>212</v>
      </c>
      <c r="I5913" s="208"/>
      <c r="J5913" s="209"/>
      <c r="K5913" s="209"/>
      <c r="L5913" s="209"/>
      <c r="M5913" s="209"/>
      <c r="N5913" s="209"/>
      <c r="O5913" s="209"/>
      <c r="P5913" s="209"/>
      <c r="Q5913" s="209"/>
      <c r="R5913" s="209"/>
      <c r="S5913" s="209"/>
      <c r="T5913" s="209"/>
    </row>
    <row r="5914" spans="1:149" s="451" customFormat="1" ht="17.25" hidden="1" customHeight="1">
      <c r="A5914" s="468">
        <v>45540</v>
      </c>
      <c r="B5914" s="208" t="s">
        <v>4875</v>
      </c>
      <c r="C5914" s="208" t="s">
        <v>27</v>
      </c>
      <c r="D5914" s="211">
        <v>-513000</v>
      </c>
      <c r="E5914" s="212">
        <v>45536</v>
      </c>
      <c r="F5914" s="208" t="s">
        <v>130</v>
      </c>
      <c r="G5914" s="208" t="s">
        <v>130</v>
      </c>
      <c r="H5914" s="208" t="s">
        <v>2176</v>
      </c>
      <c r="I5914" s="208"/>
      <c r="J5914" s="209"/>
      <c r="K5914" s="209"/>
      <c r="L5914" s="209"/>
      <c r="M5914" s="209"/>
      <c r="N5914" s="209"/>
      <c r="O5914" s="209"/>
      <c r="P5914" s="209"/>
      <c r="Q5914" s="209"/>
      <c r="R5914" s="209"/>
      <c r="S5914" s="209"/>
      <c r="T5914" s="209"/>
    </row>
    <row r="5915" spans="1:149" s="451" customFormat="1" ht="15" hidden="1" customHeight="1">
      <c r="A5915" s="468">
        <v>45540</v>
      </c>
      <c r="B5915" s="208" t="s">
        <v>4875</v>
      </c>
      <c r="C5915" s="208" t="s">
        <v>27</v>
      </c>
      <c r="D5915" s="211">
        <v>-513000</v>
      </c>
      <c r="E5915" s="212">
        <v>45536</v>
      </c>
      <c r="F5915" s="208" t="s">
        <v>130</v>
      </c>
      <c r="G5915" s="208" t="s">
        <v>130</v>
      </c>
      <c r="H5915" s="208" t="s">
        <v>2176</v>
      </c>
      <c r="I5915" s="208"/>
      <c r="J5915" s="209"/>
      <c r="K5915" s="209"/>
      <c r="L5915" s="209"/>
      <c r="M5915" s="209"/>
      <c r="N5915" s="209"/>
      <c r="O5915" s="209"/>
      <c r="P5915" s="209"/>
      <c r="Q5915" s="209"/>
      <c r="R5915" s="209"/>
      <c r="S5915" s="209"/>
      <c r="T5915" s="209"/>
    </row>
    <row r="5916" spans="1:149" s="451" customFormat="1" ht="15" hidden="1" customHeight="1">
      <c r="A5916" s="468">
        <v>45540</v>
      </c>
      <c r="B5916" s="208" t="s">
        <v>4876</v>
      </c>
      <c r="C5916" s="208" t="s">
        <v>27</v>
      </c>
      <c r="D5916" s="211">
        <v>-2808000</v>
      </c>
      <c r="E5916" s="212">
        <v>45536</v>
      </c>
      <c r="F5916" s="208" t="s">
        <v>109</v>
      </c>
      <c r="G5916" s="654" t="s">
        <v>2585</v>
      </c>
      <c r="H5916" s="208" t="s">
        <v>631</v>
      </c>
      <c r="I5916" s="208"/>
      <c r="J5916" s="209"/>
      <c r="K5916" s="209"/>
      <c r="L5916" s="209"/>
      <c r="M5916" s="209"/>
      <c r="N5916" s="209"/>
      <c r="O5916" s="209"/>
      <c r="P5916" s="209"/>
      <c r="Q5916" s="209"/>
      <c r="R5916" s="209"/>
      <c r="S5916" s="209"/>
      <c r="T5916" s="209"/>
    </row>
    <row r="5917" spans="1:149" s="451" customFormat="1" ht="15" hidden="1" customHeight="1">
      <c r="A5917" s="468">
        <v>45540</v>
      </c>
      <c r="B5917" s="208" t="s">
        <v>4877</v>
      </c>
      <c r="C5917" s="208" t="s">
        <v>27</v>
      </c>
      <c r="D5917" s="211">
        <v>-2260000</v>
      </c>
      <c r="E5917" s="212">
        <v>45536</v>
      </c>
      <c r="F5917" s="201" t="s">
        <v>110</v>
      </c>
      <c r="G5917" s="201" t="s">
        <v>1489</v>
      </c>
      <c r="H5917" s="208" t="s">
        <v>212</v>
      </c>
      <c r="I5917" s="208"/>
      <c r="J5917" s="209"/>
      <c r="K5917" s="209"/>
      <c r="L5917" s="209"/>
      <c r="M5917" s="209"/>
      <c r="N5917" s="209"/>
      <c r="O5917" s="209"/>
      <c r="P5917" s="209"/>
      <c r="Q5917" s="209"/>
      <c r="R5917" s="209"/>
      <c r="S5917" s="209"/>
      <c r="T5917" s="209"/>
    </row>
    <row r="5918" spans="1:149" s="451" customFormat="1" ht="15" hidden="1" customHeight="1">
      <c r="A5918" s="468">
        <v>45540</v>
      </c>
      <c r="B5918" s="208" t="s">
        <v>4878</v>
      </c>
      <c r="C5918" s="208" t="s">
        <v>27</v>
      </c>
      <c r="D5918" s="211">
        <v>-1144800</v>
      </c>
      <c r="E5918" s="212">
        <v>45536</v>
      </c>
      <c r="F5918" s="208" t="s">
        <v>130</v>
      </c>
      <c r="G5918" s="208" t="s">
        <v>257</v>
      </c>
      <c r="H5918" s="208" t="s">
        <v>663</v>
      </c>
      <c r="I5918" s="208"/>
      <c r="J5918" s="209"/>
      <c r="K5918" s="209"/>
      <c r="L5918" s="209"/>
      <c r="M5918" s="209"/>
      <c r="N5918" s="209"/>
      <c r="O5918" s="209"/>
      <c r="P5918" s="209"/>
      <c r="Q5918" s="209"/>
      <c r="R5918" s="209"/>
      <c r="S5918" s="209"/>
      <c r="T5918" s="209"/>
    </row>
    <row r="5919" spans="1:149" s="451" customFormat="1" ht="15" hidden="1" customHeight="1">
      <c r="A5919" s="468">
        <v>45540</v>
      </c>
      <c r="B5919" s="208" t="s">
        <v>4879</v>
      </c>
      <c r="C5919" s="208" t="s">
        <v>27</v>
      </c>
      <c r="D5919" s="211">
        <v>-6150000</v>
      </c>
      <c r="E5919" s="212">
        <v>45536</v>
      </c>
      <c r="F5919" s="208" t="s">
        <v>109</v>
      </c>
      <c r="G5919" s="601" t="s">
        <v>581</v>
      </c>
      <c r="H5919" s="208"/>
      <c r="I5919" s="208"/>
      <c r="J5919" s="209"/>
      <c r="K5919" s="209"/>
      <c r="L5919" s="209"/>
      <c r="M5919" s="209"/>
      <c r="N5919" s="209"/>
      <c r="O5919" s="209"/>
      <c r="P5919" s="209"/>
      <c r="Q5919" s="209"/>
      <c r="R5919" s="209"/>
      <c r="S5919" s="209"/>
      <c r="T5919" s="209"/>
    </row>
    <row r="5920" spans="1:149" s="451" customFormat="1" ht="15" hidden="1" customHeight="1">
      <c r="A5920" s="468">
        <v>45540</v>
      </c>
      <c r="B5920" s="208" t="s">
        <v>4880</v>
      </c>
      <c r="C5920" s="208" t="s">
        <v>27</v>
      </c>
      <c r="D5920" s="211">
        <v>-1240000</v>
      </c>
      <c r="E5920" s="212">
        <v>45536</v>
      </c>
      <c r="F5920" s="208" t="s">
        <v>109</v>
      </c>
      <c r="G5920" s="201" t="s">
        <v>581</v>
      </c>
      <c r="H5920" s="208"/>
      <c r="I5920" s="208"/>
      <c r="J5920" s="209"/>
      <c r="K5920" s="209"/>
      <c r="L5920" s="209"/>
      <c r="M5920" s="209"/>
      <c r="N5920" s="209"/>
      <c r="O5920" s="209"/>
      <c r="P5920" s="209"/>
      <c r="Q5920" s="209"/>
      <c r="R5920" s="209"/>
      <c r="S5920" s="209"/>
      <c r="T5920" s="209"/>
    </row>
    <row r="5921" spans="1:149" s="451" customFormat="1" ht="15" hidden="1" customHeight="1">
      <c r="A5921" s="468">
        <v>45540</v>
      </c>
      <c r="B5921" s="208" t="s">
        <v>4881</v>
      </c>
      <c r="C5921" s="208" t="s">
        <v>27</v>
      </c>
      <c r="D5921" s="211">
        <v>-16418</v>
      </c>
      <c r="E5921" s="212">
        <v>45536</v>
      </c>
      <c r="F5921" s="208" t="s">
        <v>130</v>
      </c>
      <c r="G5921" s="208" t="s">
        <v>130</v>
      </c>
      <c r="H5921" s="208" t="s">
        <v>1245</v>
      </c>
      <c r="I5921" s="208"/>
      <c r="J5921" s="209"/>
      <c r="K5921" s="209"/>
      <c r="L5921" s="209"/>
      <c r="M5921" s="209"/>
      <c r="N5921" s="209"/>
      <c r="O5921" s="209"/>
      <c r="P5921" s="209"/>
      <c r="Q5921" s="209"/>
      <c r="R5921" s="209"/>
      <c r="S5921" s="209"/>
      <c r="T5921" s="209"/>
    </row>
    <row r="5922" spans="1:149" s="451" customFormat="1" ht="15" hidden="1" customHeight="1">
      <c r="A5922" s="468">
        <v>45540</v>
      </c>
      <c r="B5922" s="208" t="s">
        <v>4882</v>
      </c>
      <c r="C5922" s="208" t="s">
        <v>269</v>
      </c>
      <c r="D5922" s="211">
        <v>-3000</v>
      </c>
      <c r="E5922" s="212">
        <v>45536</v>
      </c>
      <c r="F5922" s="208" t="s">
        <v>130</v>
      </c>
      <c r="G5922" s="208" t="s">
        <v>130</v>
      </c>
      <c r="H5922" s="208" t="s">
        <v>2444</v>
      </c>
      <c r="I5922" s="208" t="s">
        <v>173</v>
      </c>
      <c r="J5922" s="209"/>
      <c r="K5922" s="209"/>
      <c r="L5922" s="209"/>
      <c r="M5922" s="209"/>
      <c r="N5922" s="209"/>
      <c r="O5922" s="209"/>
      <c r="P5922" s="209"/>
      <c r="Q5922" s="209"/>
      <c r="R5922" s="209"/>
      <c r="S5922" s="209"/>
      <c r="T5922" s="209"/>
      <c r="U5922" s="165"/>
      <c r="V5922" s="165"/>
      <c r="W5922" s="165"/>
      <c r="X5922" s="165"/>
      <c r="Y5922" s="165"/>
      <c r="Z5922" s="165"/>
      <c r="AA5922" s="165"/>
      <c r="AB5922" s="165"/>
      <c r="AC5922" s="165"/>
      <c r="AD5922" s="165"/>
      <c r="AE5922" s="165"/>
      <c r="AF5922" s="165"/>
      <c r="AG5922" s="165"/>
      <c r="AH5922" s="165"/>
      <c r="AI5922" s="165"/>
      <c r="AJ5922" s="165"/>
      <c r="AK5922" s="165"/>
      <c r="AL5922" s="165"/>
      <c r="AM5922" s="165"/>
      <c r="AN5922" s="165"/>
      <c r="AO5922" s="165"/>
      <c r="AP5922" s="165"/>
      <c r="AQ5922" s="165"/>
      <c r="AR5922" s="165"/>
      <c r="AS5922" s="165"/>
      <c r="AT5922" s="165"/>
      <c r="AU5922" s="165"/>
      <c r="AV5922" s="165"/>
      <c r="AW5922" s="165"/>
      <c r="AX5922" s="165"/>
      <c r="AY5922" s="165"/>
      <c r="AZ5922" s="165"/>
      <c r="BA5922" s="165"/>
      <c r="BB5922" s="165"/>
      <c r="BC5922" s="165"/>
      <c r="BD5922" s="165"/>
      <c r="BE5922" s="165"/>
      <c r="BF5922" s="165"/>
      <c r="BG5922" s="165"/>
      <c r="BH5922" s="165"/>
      <c r="BI5922" s="165"/>
      <c r="BJ5922" s="165"/>
      <c r="BK5922" s="165"/>
      <c r="BL5922" s="165"/>
      <c r="BM5922" s="165"/>
      <c r="BN5922" s="165"/>
      <c r="BO5922" s="165"/>
      <c r="BP5922" s="165"/>
      <c r="BQ5922" s="165"/>
      <c r="BR5922" s="165"/>
      <c r="BS5922" s="165"/>
      <c r="BT5922" s="165"/>
      <c r="BU5922" s="165"/>
      <c r="BV5922" s="165"/>
      <c r="BW5922" s="165"/>
      <c r="BX5922" s="165"/>
      <c r="BY5922" s="165"/>
      <c r="BZ5922" s="165"/>
      <c r="CA5922" s="165"/>
      <c r="CB5922" s="165"/>
      <c r="CC5922" s="165"/>
      <c r="CD5922" s="165"/>
      <c r="CE5922" s="165"/>
      <c r="CF5922" s="165"/>
      <c r="CG5922" s="165"/>
      <c r="CH5922" s="165"/>
      <c r="CI5922" s="165"/>
      <c r="CJ5922" s="165"/>
      <c r="CK5922" s="165"/>
      <c r="CL5922" s="165"/>
      <c r="CM5922" s="165"/>
      <c r="CN5922" s="165"/>
      <c r="CO5922" s="165"/>
      <c r="CP5922" s="165"/>
      <c r="CQ5922" s="165"/>
      <c r="CR5922" s="165"/>
      <c r="CS5922" s="165"/>
      <c r="CT5922" s="165"/>
      <c r="CU5922" s="165"/>
      <c r="CV5922" s="165"/>
      <c r="CW5922" s="165"/>
      <c r="CX5922" s="165"/>
      <c r="CY5922" s="165"/>
      <c r="CZ5922" s="165"/>
      <c r="DA5922" s="165"/>
      <c r="DB5922" s="165"/>
      <c r="DC5922" s="165"/>
      <c r="DD5922" s="165"/>
      <c r="DE5922" s="165"/>
      <c r="DF5922" s="165"/>
      <c r="DG5922" s="165"/>
      <c r="DH5922" s="165"/>
      <c r="DI5922" s="165"/>
      <c r="DJ5922" s="165"/>
      <c r="DK5922" s="165"/>
      <c r="DL5922" s="165"/>
      <c r="DM5922" s="165"/>
      <c r="DN5922" s="165"/>
      <c r="DO5922" s="165"/>
      <c r="DP5922" s="165"/>
      <c r="DQ5922" s="165"/>
      <c r="DR5922" s="165"/>
      <c r="DS5922" s="165"/>
      <c r="DT5922" s="165"/>
      <c r="DU5922" s="165"/>
      <c r="DV5922" s="165"/>
      <c r="DW5922" s="165"/>
      <c r="DX5922" s="165"/>
      <c r="DY5922" s="165"/>
      <c r="DZ5922" s="165"/>
      <c r="EA5922" s="165"/>
      <c r="EB5922" s="165"/>
      <c r="EC5922" s="165"/>
      <c r="ED5922" s="165"/>
      <c r="EE5922" s="165"/>
      <c r="EF5922" s="165"/>
      <c r="EG5922" s="165"/>
      <c r="EH5922" s="165"/>
      <c r="EI5922" s="165"/>
      <c r="EJ5922" s="165"/>
      <c r="EK5922" s="165"/>
      <c r="EL5922" s="165"/>
      <c r="EM5922" s="165"/>
      <c r="EN5922" s="165"/>
      <c r="EO5922" s="165"/>
      <c r="EP5922" s="165"/>
      <c r="EQ5922" s="165"/>
      <c r="ER5922" s="165"/>
      <c r="ES5922" s="165"/>
    </row>
    <row r="5923" spans="1:149" s="451" customFormat="1" ht="15" hidden="1" customHeight="1">
      <c r="A5923" s="468">
        <v>45540</v>
      </c>
      <c r="B5923" s="208" t="s">
        <v>4883</v>
      </c>
      <c r="C5923" s="208" t="s">
        <v>269</v>
      </c>
      <c r="D5923" s="211">
        <v>-3674</v>
      </c>
      <c r="E5923" s="212">
        <v>45536</v>
      </c>
      <c r="F5923" s="208" t="s">
        <v>109</v>
      </c>
      <c r="G5923" s="654" t="s">
        <v>2585</v>
      </c>
      <c r="H5923" s="208" t="s">
        <v>175</v>
      </c>
      <c r="I5923" s="208" t="s">
        <v>173</v>
      </c>
      <c r="J5923" s="209"/>
      <c r="K5923" s="209"/>
      <c r="L5923" s="209"/>
      <c r="M5923" s="209"/>
      <c r="N5923" s="209"/>
      <c r="O5923" s="209"/>
      <c r="P5923" s="209"/>
      <c r="Q5923" s="209"/>
      <c r="R5923" s="209"/>
      <c r="S5923" s="209"/>
      <c r="T5923" s="209"/>
      <c r="U5923" s="165"/>
      <c r="V5923" s="165"/>
      <c r="W5923" s="165"/>
      <c r="X5923" s="165"/>
      <c r="Y5923" s="165"/>
      <c r="Z5923" s="165"/>
      <c r="AA5923" s="165"/>
      <c r="AB5923" s="165"/>
      <c r="AC5923" s="165"/>
      <c r="AD5923" s="165"/>
      <c r="AE5923" s="165"/>
      <c r="AF5923" s="165"/>
      <c r="AG5923" s="165"/>
      <c r="AH5923" s="165"/>
      <c r="AI5923" s="165"/>
      <c r="AJ5923" s="165"/>
      <c r="AK5923" s="165"/>
      <c r="AL5923" s="165"/>
      <c r="AM5923" s="165"/>
      <c r="AN5923" s="165"/>
      <c r="AO5923" s="165"/>
      <c r="AP5923" s="165"/>
      <c r="AQ5923" s="165"/>
      <c r="AR5923" s="165"/>
      <c r="AS5923" s="165"/>
      <c r="AT5923" s="165"/>
      <c r="AU5923" s="165"/>
      <c r="AV5923" s="165"/>
      <c r="AW5923" s="165"/>
      <c r="AX5923" s="165"/>
      <c r="AY5923" s="165"/>
      <c r="AZ5923" s="165"/>
      <c r="BA5923" s="165"/>
      <c r="BB5923" s="165"/>
      <c r="BC5923" s="165"/>
      <c r="BD5923" s="165"/>
      <c r="BE5923" s="165"/>
      <c r="BF5923" s="165"/>
      <c r="BG5923" s="165"/>
      <c r="BH5923" s="165"/>
      <c r="BI5923" s="165"/>
      <c r="BJ5923" s="165"/>
      <c r="BK5923" s="165"/>
      <c r="BL5923" s="165"/>
      <c r="BM5923" s="165"/>
      <c r="BN5923" s="165"/>
      <c r="BO5923" s="165"/>
      <c r="BP5923" s="165"/>
      <c r="BQ5923" s="165"/>
      <c r="BR5923" s="165"/>
      <c r="BS5923" s="165"/>
      <c r="BT5923" s="165"/>
      <c r="BU5923" s="165"/>
      <c r="BV5923" s="165"/>
      <c r="BW5923" s="165"/>
      <c r="BX5923" s="165"/>
      <c r="BY5923" s="165"/>
      <c r="BZ5923" s="165"/>
      <c r="CA5923" s="165"/>
      <c r="CB5923" s="165"/>
      <c r="CC5923" s="165"/>
      <c r="CD5923" s="165"/>
      <c r="CE5923" s="165"/>
      <c r="CF5923" s="165"/>
      <c r="CG5923" s="165"/>
      <c r="CH5923" s="165"/>
      <c r="CI5923" s="165"/>
      <c r="CJ5923" s="165"/>
      <c r="CK5923" s="165"/>
      <c r="CL5923" s="165"/>
      <c r="CM5923" s="165"/>
      <c r="CN5923" s="165"/>
      <c r="CO5923" s="165"/>
      <c r="CP5923" s="165"/>
      <c r="CQ5923" s="165"/>
      <c r="CR5923" s="165"/>
      <c r="CS5923" s="165"/>
      <c r="CT5923" s="165"/>
      <c r="CU5923" s="165"/>
      <c r="CV5923" s="165"/>
      <c r="CW5923" s="165"/>
      <c r="CX5923" s="165"/>
      <c r="CY5923" s="165"/>
      <c r="CZ5923" s="165"/>
      <c r="DA5923" s="165"/>
      <c r="DB5923" s="165"/>
      <c r="DC5923" s="165"/>
      <c r="DD5923" s="165"/>
      <c r="DE5923" s="165"/>
      <c r="DF5923" s="165"/>
      <c r="DG5923" s="165"/>
      <c r="DH5923" s="165"/>
      <c r="DI5923" s="165"/>
      <c r="DJ5923" s="165"/>
      <c r="DK5923" s="165"/>
      <c r="DL5923" s="165"/>
      <c r="DM5923" s="165"/>
      <c r="DN5923" s="165"/>
      <c r="DO5923" s="165"/>
      <c r="DP5923" s="165"/>
      <c r="DQ5923" s="165"/>
      <c r="DR5923" s="165"/>
      <c r="DS5923" s="165"/>
      <c r="DT5923" s="165"/>
      <c r="DU5923" s="165"/>
      <c r="DV5923" s="165"/>
      <c r="DW5923" s="165"/>
      <c r="DX5923" s="165"/>
      <c r="DY5923" s="165"/>
      <c r="DZ5923" s="165"/>
      <c r="EA5923" s="165"/>
      <c r="EB5923" s="165"/>
      <c r="EC5923" s="165"/>
      <c r="ED5923" s="165"/>
      <c r="EE5923" s="165"/>
      <c r="EF5923" s="165"/>
      <c r="EG5923" s="165"/>
      <c r="EH5923" s="165"/>
      <c r="EI5923" s="165"/>
      <c r="EJ5923" s="165"/>
      <c r="EK5923" s="165"/>
      <c r="EL5923" s="165"/>
      <c r="EM5923" s="165"/>
      <c r="EN5923" s="165"/>
      <c r="EO5923" s="165"/>
      <c r="EP5923" s="165"/>
      <c r="EQ5923" s="165"/>
      <c r="ER5923" s="165"/>
      <c r="ES5923" s="165"/>
    </row>
    <row r="5924" spans="1:149" s="451" customFormat="1" ht="15" hidden="1" customHeight="1">
      <c r="A5924" s="468">
        <v>45540</v>
      </c>
      <c r="B5924" s="208" t="s">
        <v>4884</v>
      </c>
      <c r="C5924" s="208" t="s">
        <v>269</v>
      </c>
      <c r="D5924" s="211">
        <v>-10500</v>
      </c>
      <c r="E5924" s="212">
        <v>45536</v>
      </c>
      <c r="F5924" s="208" t="s">
        <v>109</v>
      </c>
      <c r="G5924" s="208" t="s">
        <v>3529</v>
      </c>
      <c r="H5924" s="208" t="s">
        <v>175</v>
      </c>
      <c r="I5924" s="208" t="s">
        <v>173</v>
      </c>
      <c r="J5924" s="209"/>
      <c r="K5924" s="209"/>
      <c r="L5924" s="209"/>
      <c r="M5924" s="209"/>
      <c r="N5924" s="209"/>
      <c r="O5924" s="209"/>
      <c r="P5924" s="209"/>
      <c r="Q5924" s="209"/>
      <c r="R5924" s="209"/>
      <c r="S5924" s="209"/>
      <c r="T5924" s="209"/>
      <c r="U5924" s="165"/>
      <c r="V5924" s="165"/>
      <c r="W5924" s="165"/>
      <c r="X5924" s="165"/>
      <c r="Y5924" s="165"/>
      <c r="Z5924" s="165"/>
      <c r="AA5924" s="165"/>
      <c r="AB5924" s="165"/>
      <c r="AC5924" s="165"/>
      <c r="AD5924" s="165"/>
      <c r="AE5924" s="165"/>
      <c r="AF5924" s="165"/>
      <c r="AG5924" s="165"/>
      <c r="AH5924" s="165"/>
      <c r="AI5924" s="165"/>
      <c r="AJ5924" s="165"/>
      <c r="AK5924" s="165"/>
      <c r="AL5924" s="165"/>
      <c r="AM5924" s="165"/>
      <c r="AN5924" s="165"/>
      <c r="AO5924" s="165"/>
      <c r="AP5924" s="165"/>
      <c r="AQ5924" s="165"/>
      <c r="AR5924" s="165"/>
      <c r="AS5924" s="165"/>
      <c r="AT5924" s="165"/>
      <c r="AU5924" s="165"/>
      <c r="AV5924" s="165"/>
      <c r="AW5924" s="165"/>
      <c r="AX5924" s="165"/>
      <c r="AY5924" s="165"/>
      <c r="AZ5924" s="165"/>
      <c r="BA5924" s="165"/>
      <c r="BB5924" s="165"/>
      <c r="BC5924" s="165"/>
      <c r="BD5924" s="165"/>
      <c r="BE5924" s="165"/>
      <c r="BF5924" s="165"/>
      <c r="BG5924" s="165"/>
      <c r="BH5924" s="165"/>
      <c r="BI5924" s="165"/>
      <c r="BJ5924" s="165"/>
      <c r="BK5924" s="165"/>
      <c r="BL5924" s="165"/>
      <c r="BM5924" s="165"/>
      <c r="BN5924" s="165"/>
      <c r="BO5924" s="165"/>
      <c r="BP5924" s="165"/>
      <c r="BQ5924" s="165"/>
      <c r="BR5924" s="165"/>
      <c r="BS5924" s="165"/>
      <c r="BT5924" s="165"/>
      <c r="BU5924" s="165"/>
      <c r="BV5924" s="165"/>
      <c r="BW5924" s="165"/>
      <c r="BX5924" s="165"/>
      <c r="BY5924" s="165"/>
      <c r="BZ5924" s="165"/>
      <c r="CA5924" s="165"/>
      <c r="CB5924" s="165"/>
      <c r="CC5924" s="165"/>
      <c r="CD5924" s="165"/>
      <c r="CE5924" s="165"/>
      <c r="CF5924" s="165"/>
      <c r="CG5924" s="165"/>
      <c r="CH5924" s="165"/>
      <c r="CI5924" s="165"/>
      <c r="CJ5924" s="165"/>
      <c r="CK5924" s="165"/>
      <c r="CL5924" s="165"/>
      <c r="CM5924" s="165"/>
      <c r="CN5924" s="165"/>
      <c r="CO5924" s="165"/>
      <c r="CP5924" s="165"/>
      <c r="CQ5924" s="165"/>
      <c r="CR5924" s="165"/>
      <c r="CS5924" s="165"/>
      <c r="CT5924" s="165"/>
      <c r="CU5924" s="165"/>
      <c r="CV5924" s="165"/>
      <c r="CW5924" s="165"/>
      <c r="CX5924" s="165"/>
      <c r="CY5924" s="165"/>
      <c r="CZ5924" s="165"/>
      <c r="DA5924" s="165"/>
      <c r="DB5924" s="165"/>
      <c r="DC5924" s="165"/>
      <c r="DD5924" s="165"/>
      <c r="DE5924" s="165"/>
      <c r="DF5924" s="165"/>
      <c r="DG5924" s="165"/>
      <c r="DH5924" s="165"/>
      <c r="DI5924" s="165"/>
      <c r="DJ5924" s="165"/>
      <c r="DK5924" s="165"/>
      <c r="DL5924" s="165"/>
      <c r="DM5924" s="165"/>
      <c r="DN5924" s="165"/>
      <c r="DO5924" s="165"/>
      <c r="DP5924" s="165"/>
      <c r="DQ5924" s="165"/>
      <c r="DR5924" s="165"/>
      <c r="DS5924" s="165"/>
      <c r="DT5924" s="165"/>
      <c r="DU5924" s="165"/>
      <c r="DV5924" s="165"/>
      <c r="DW5924" s="165"/>
      <c r="DX5924" s="165"/>
      <c r="DY5924" s="165"/>
      <c r="DZ5924" s="165"/>
      <c r="EA5924" s="165"/>
      <c r="EB5924" s="165"/>
      <c r="EC5924" s="165"/>
      <c r="ED5924" s="165"/>
      <c r="EE5924" s="165"/>
      <c r="EF5924" s="165"/>
      <c r="EG5924" s="165"/>
      <c r="EH5924" s="165"/>
      <c r="EI5924" s="165"/>
      <c r="EJ5924" s="165"/>
      <c r="EK5924" s="165"/>
      <c r="EL5924" s="165"/>
      <c r="EM5924" s="165"/>
      <c r="EN5924" s="165"/>
      <c r="EO5924" s="165"/>
      <c r="EP5924" s="165"/>
      <c r="EQ5924" s="165"/>
      <c r="ER5924" s="165"/>
      <c r="ES5924" s="165"/>
    </row>
    <row r="5925" spans="1:149" s="451" customFormat="1" ht="15" hidden="1" customHeight="1">
      <c r="A5925" s="468">
        <v>45540</v>
      </c>
      <c r="B5925" s="208" t="s">
        <v>4885</v>
      </c>
      <c r="C5925" s="208" t="s">
        <v>269</v>
      </c>
      <c r="D5925" s="211">
        <v>-72000</v>
      </c>
      <c r="E5925" s="212">
        <v>45536</v>
      </c>
      <c r="F5925" s="208" t="s">
        <v>109</v>
      </c>
      <c r="G5925" s="201" t="s">
        <v>581</v>
      </c>
      <c r="H5925" s="208"/>
      <c r="I5925" s="208" t="s">
        <v>3364</v>
      </c>
      <c r="J5925" s="209"/>
      <c r="K5925" s="209"/>
      <c r="L5925" s="209"/>
      <c r="M5925" s="209"/>
      <c r="N5925" s="209"/>
      <c r="O5925" s="209"/>
      <c r="P5925" s="209"/>
      <c r="Q5925" s="209"/>
      <c r="R5925" s="209"/>
      <c r="S5925" s="209"/>
      <c r="T5925" s="209"/>
      <c r="U5925" s="165"/>
      <c r="V5925" s="165"/>
      <c r="W5925" s="165"/>
      <c r="X5925" s="165"/>
      <c r="Y5925" s="165"/>
      <c r="Z5925" s="165"/>
      <c r="AA5925" s="165"/>
      <c r="AB5925" s="165"/>
      <c r="AC5925" s="165"/>
      <c r="AD5925" s="165"/>
      <c r="AE5925" s="165"/>
      <c r="AF5925" s="165"/>
      <c r="AG5925" s="165"/>
      <c r="AH5925" s="165"/>
      <c r="AI5925" s="165"/>
      <c r="AJ5925" s="165"/>
      <c r="AK5925" s="165"/>
      <c r="AL5925" s="165"/>
      <c r="AM5925" s="165"/>
      <c r="AN5925" s="165"/>
      <c r="AO5925" s="165"/>
      <c r="AP5925" s="165"/>
      <c r="AQ5925" s="165"/>
      <c r="AR5925" s="165"/>
      <c r="AS5925" s="165"/>
      <c r="AT5925" s="165"/>
      <c r="AU5925" s="165"/>
      <c r="AV5925" s="165"/>
      <c r="AW5925" s="165"/>
      <c r="AX5925" s="165"/>
      <c r="AY5925" s="165"/>
      <c r="AZ5925" s="165"/>
      <c r="BA5925" s="165"/>
      <c r="BB5925" s="165"/>
      <c r="BC5925" s="165"/>
      <c r="BD5925" s="165"/>
      <c r="BE5925" s="165"/>
      <c r="BF5925" s="165"/>
      <c r="BG5925" s="165"/>
      <c r="BH5925" s="165"/>
      <c r="BI5925" s="165"/>
      <c r="BJ5925" s="165"/>
      <c r="BK5925" s="165"/>
      <c r="BL5925" s="165"/>
      <c r="BM5925" s="165"/>
      <c r="BN5925" s="165"/>
      <c r="BO5925" s="165"/>
      <c r="BP5925" s="165"/>
      <c r="BQ5925" s="165"/>
      <c r="BR5925" s="165"/>
      <c r="BS5925" s="165"/>
      <c r="BT5925" s="165"/>
      <c r="BU5925" s="165"/>
      <c r="BV5925" s="165"/>
      <c r="BW5925" s="165"/>
      <c r="BX5925" s="165"/>
      <c r="BY5925" s="165"/>
      <c r="BZ5925" s="165"/>
      <c r="CA5925" s="165"/>
      <c r="CB5925" s="165"/>
      <c r="CC5925" s="165"/>
      <c r="CD5925" s="165"/>
      <c r="CE5925" s="165"/>
      <c r="CF5925" s="165"/>
      <c r="CG5925" s="165"/>
      <c r="CH5925" s="165"/>
      <c r="CI5925" s="165"/>
      <c r="CJ5925" s="165"/>
      <c r="CK5925" s="165"/>
      <c r="CL5925" s="165"/>
      <c r="CM5925" s="165"/>
      <c r="CN5925" s="165"/>
      <c r="CO5925" s="165"/>
      <c r="CP5925" s="165"/>
      <c r="CQ5925" s="165"/>
      <c r="CR5925" s="165"/>
      <c r="CS5925" s="165"/>
      <c r="CT5925" s="165"/>
      <c r="CU5925" s="165"/>
      <c r="CV5925" s="165"/>
      <c r="CW5925" s="165"/>
      <c r="CX5925" s="165"/>
      <c r="CY5925" s="165"/>
      <c r="CZ5925" s="165"/>
      <c r="DA5925" s="165"/>
      <c r="DB5925" s="165"/>
      <c r="DC5925" s="165"/>
      <c r="DD5925" s="165"/>
      <c r="DE5925" s="165"/>
      <c r="DF5925" s="165"/>
      <c r="DG5925" s="165"/>
      <c r="DH5925" s="165"/>
      <c r="DI5925" s="165"/>
      <c r="DJ5925" s="165"/>
      <c r="DK5925" s="165"/>
      <c r="DL5925" s="165"/>
      <c r="DM5925" s="165"/>
      <c r="DN5925" s="165"/>
      <c r="DO5925" s="165"/>
      <c r="DP5925" s="165"/>
      <c r="DQ5925" s="165"/>
      <c r="DR5925" s="165"/>
      <c r="DS5925" s="165"/>
      <c r="DT5925" s="165"/>
      <c r="DU5925" s="165"/>
      <c r="DV5925" s="165"/>
      <c r="DW5925" s="165"/>
      <c r="DX5925" s="165"/>
      <c r="DY5925" s="165"/>
      <c r="DZ5925" s="165"/>
      <c r="EA5925" s="165"/>
      <c r="EB5925" s="165"/>
      <c r="EC5925" s="165"/>
      <c r="ED5925" s="165"/>
      <c r="EE5925" s="165"/>
      <c r="EF5925" s="165"/>
      <c r="EG5925" s="165"/>
      <c r="EH5925" s="165"/>
      <c r="EI5925" s="165"/>
      <c r="EJ5925" s="165"/>
      <c r="EK5925" s="165"/>
      <c r="EL5925" s="165"/>
      <c r="EM5925" s="165"/>
      <c r="EN5925" s="165"/>
      <c r="EO5925" s="165"/>
      <c r="EP5925" s="165"/>
      <c r="EQ5925" s="165"/>
      <c r="ER5925" s="165"/>
      <c r="ES5925" s="165"/>
    </row>
    <row r="5926" spans="1:149" s="451" customFormat="1" ht="15" hidden="1" customHeight="1">
      <c r="A5926" s="468">
        <v>45540</v>
      </c>
      <c r="B5926" s="208" t="s">
        <v>4886</v>
      </c>
      <c r="C5926" s="208" t="s">
        <v>269</v>
      </c>
      <c r="D5926" s="211">
        <v>-52000</v>
      </c>
      <c r="E5926" s="212">
        <v>45536</v>
      </c>
      <c r="F5926" s="208" t="s">
        <v>109</v>
      </c>
      <c r="G5926" s="201" t="s">
        <v>581</v>
      </c>
      <c r="H5926" s="208"/>
      <c r="I5926" s="208" t="s">
        <v>3364</v>
      </c>
      <c r="J5926" s="209"/>
      <c r="K5926" s="209"/>
      <c r="L5926" s="209"/>
      <c r="M5926" s="209"/>
      <c r="N5926" s="209"/>
      <c r="O5926" s="209"/>
      <c r="P5926" s="209"/>
      <c r="Q5926" s="209"/>
      <c r="R5926" s="209"/>
      <c r="S5926" s="209"/>
      <c r="T5926" s="209"/>
      <c r="U5926" s="165"/>
      <c r="V5926" s="165"/>
      <c r="W5926" s="165"/>
      <c r="X5926" s="165"/>
      <c r="Y5926" s="165"/>
      <c r="Z5926" s="165"/>
      <c r="AA5926" s="165"/>
      <c r="AB5926" s="165"/>
      <c r="AC5926" s="165"/>
      <c r="AD5926" s="165"/>
      <c r="AE5926" s="165"/>
      <c r="AF5926" s="165"/>
      <c r="AG5926" s="165"/>
      <c r="AH5926" s="165"/>
      <c r="AI5926" s="165"/>
      <c r="AJ5926" s="165"/>
      <c r="AK5926" s="165"/>
      <c r="AL5926" s="165"/>
      <c r="AM5926" s="165"/>
      <c r="AN5926" s="165"/>
      <c r="AO5926" s="165"/>
      <c r="AP5926" s="165"/>
      <c r="AQ5926" s="165"/>
      <c r="AR5926" s="165"/>
      <c r="AS5926" s="165"/>
      <c r="AT5926" s="165"/>
      <c r="AU5926" s="165"/>
      <c r="AV5926" s="165"/>
      <c r="AW5926" s="165"/>
      <c r="AX5926" s="165"/>
      <c r="AY5926" s="165"/>
      <c r="AZ5926" s="165"/>
      <c r="BA5926" s="165"/>
      <c r="BB5926" s="165"/>
      <c r="BC5926" s="165"/>
      <c r="BD5926" s="165"/>
      <c r="BE5926" s="165"/>
      <c r="BF5926" s="165"/>
      <c r="BG5926" s="165"/>
      <c r="BH5926" s="165"/>
      <c r="BI5926" s="165"/>
      <c r="BJ5926" s="165"/>
      <c r="BK5926" s="165"/>
      <c r="BL5926" s="165"/>
      <c r="BM5926" s="165"/>
      <c r="BN5926" s="165"/>
      <c r="BO5926" s="165"/>
      <c r="BP5926" s="165"/>
      <c r="BQ5926" s="165"/>
      <c r="BR5926" s="165"/>
      <c r="BS5926" s="165"/>
      <c r="BT5926" s="165"/>
      <c r="BU5926" s="165"/>
      <c r="BV5926" s="165"/>
      <c r="BW5926" s="165"/>
      <c r="BX5926" s="165"/>
      <c r="BY5926" s="165"/>
      <c r="BZ5926" s="165"/>
      <c r="CA5926" s="165"/>
      <c r="CB5926" s="165"/>
      <c r="CC5926" s="165"/>
      <c r="CD5926" s="165"/>
      <c r="CE5926" s="165"/>
      <c r="CF5926" s="165"/>
      <c r="CG5926" s="165"/>
      <c r="CH5926" s="165"/>
      <c r="CI5926" s="165"/>
      <c r="CJ5926" s="165"/>
      <c r="CK5926" s="165"/>
      <c r="CL5926" s="165"/>
      <c r="CM5926" s="165"/>
      <c r="CN5926" s="165"/>
      <c r="CO5926" s="165"/>
      <c r="CP5926" s="165"/>
      <c r="CQ5926" s="165"/>
      <c r="CR5926" s="165"/>
      <c r="CS5926" s="165"/>
      <c r="CT5926" s="165"/>
      <c r="CU5926" s="165"/>
      <c r="CV5926" s="165"/>
      <c r="CW5926" s="165"/>
      <c r="CX5926" s="165"/>
      <c r="CY5926" s="165"/>
      <c r="CZ5926" s="165"/>
      <c r="DA5926" s="165"/>
      <c r="DB5926" s="165"/>
      <c r="DC5926" s="165"/>
      <c r="DD5926" s="165"/>
      <c r="DE5926" s="165"/>
      <c r="DF5926" s="165"/>
      <c r="DG5926" s="165"/>
      <c r="DH5926" s="165"/>
      <c r="DI5926" s="165"/>
      <c r="DJ5926" s="165"/>
      <c r="DK5926" s="165"/>
      <c r="DL5926" s="165"/>
      <c r="DM5926" s="165"/>
      <c r="DN5926" s="165"/>
      <c r="DO5926" s="165"/>
      <c r="DP5926" s="165"/>
      <c r="DQ5926" s="165"/>
      <c r="DR5926" s="165"/>
      <c r="DS5926" s="165"/>
      <c r="DT5926" s="165"/>
      <c r="DU5926" s="165"/>
      <c r="DV5926" s="165"/>
      <c r="DW5926" s="165"/>
      <c r="DX5926" s="165"/>
      <c r="DY5926" s="165"/>
      <c r="DZ5926" s="165"/>
      <c r="EA5926" s="165"/>
      <c r="EB5926" s="165"/>
      <c r="EC5926" s="165"/>
      <c r="ED5926" s="165"/>
      <c r="EE5926" s="165"/>
      <c r="EF5926" s="165"/>
      <c r="EG5926" s="165"/>
      <c r="EH5926" s="165"/>
      <c r="EI5926" s="165"/>
      <c r="EJ5926" s="165"/>
      <c r="EK5926" s="165"/>
      <c r="EL5926" s="165"/>
      <c r="EM5926" s="165"/>
      <c r="EN5926" s="165"/>
      <c r="EO5926" s="165"/>
      <c r="EP5926" s="165"/>
      <c r="EQ5926" s="165"/>
      <c r="ER5926" s="165"/>
      <c r="ES5926" s="165"/>
    </row>
    <row r="5927" spans="1:149" s="451" customFormat="1" ht="15" hidden="1" customHeight="1">
      <c r="A5927" s="468">
        <v>45540</v>
      </c>
      <c r="B5927" s="208" t="s">
        <v>4864</v>
      </c>
      <c r="C5927" s="208" t="s">
        <v>269</v>
      </c>
      <c r="D5927" s="211">
        <v>-10000</v>
      </c>
      <c r="E5927" s="212">
        <v>45536</v>
      </c>
      <c r="F5927" s="208" t="s">
        <v>109</v>
      </c>
      <c r="G5927" s="654" t="s">
        <v>2585</v>
      </c>
      <c r="H5927" s="208" t="s">
        <v>138</v>
      </c>
      <c r="I5927" s="208" t="s">
        <v>4362</v>
      </c>
      <c r="J5927" s="209"/>
      <c r="K5927" s="209"/>
      <c r="L5927" s="209"/>
      <c r="M5927" s="209"/>
      <c r="N5927" s="209"/>
      <c r="O5927" s="209"/>
      <c r="P5927" s="209"/>
      <c r="Q5927" s="209"/>
      <c r="R5927" s="209"/>
      <c r="S5927" s="209"/>
      <c r="T5927" s="209"/>
      <c r="U5927" s="165"/>
      <c r="V5927" s="165"/>
      <c r="W5927" s="165"/>
      <c r="X5927" s="165"/>
      <c r="Y5927" s="165"/>
      <c r="Z5927" s="165"/>
      <c r="AA5927" s="165"/>
      <c r="AB5927" s="165"/>
      <c r="AC5927" s="165"/>
      <c r="AD5927" s="165"/>
      <c r="AE5927" s="165"/>
      <c r="AF5927" s="165"/>
      <c r="AG5927" s="165"/>
      <c r="AH5927" s="165"/>
      <c r="AI5927" s="165"/>
      <c r="AJ5927" s="165"/>
      <c r="AK5927" s="165"/>
      <c r="AL5927" s="165"/>
      <c r="AM5927" s="165"/>
      <c r="AN5927" s="165"/>
      <c r="AO5927" s="165"/>
      <c r="AP5927" s="165"/>
      <c r="AQ5927" s="165"/>
      <c r="AR5927" s="165"/>
      <c r="AS5927" s="165"/>
      <c r="AT5927" s="165"/>
      <c r="AU5927" s="165"/>
      <c r="AV5927" s="165"/>
      <c r="AW5927" s="165"/>
      <c r="AX5927" s="165"/>
      <c r="AY5927" s="165"/>
      <c r="AZ5927" s="165"/>
      <c r="BA5927" s="165"/>
      <c r="BB5927" s="165"/>
      <c r="BC5927" s="165"/>
      <c r="BD5927" s="165"/>
      <c r="BE5927" s="165"/>
      <c r="BF5927" s="165"/>
      <c r="BG5927" s="165"/>
      <c r="BH5927" s="165"/>
      <c r="BI5927" s="165"/>
      <c r="BJ5927" s="165"/>
      <c r="BK5927" s="165"/>
      <c r="BL5927" s="165"/>
      <c r="BM5927" s="165"/>
      <c r="BN5927" s="165"/>
      <c r="BO5927" s="165"/>
      <c r="BP5927" s="165"/>
      <c r="BQ5927" s="165"/>
      <c r="BR5927" s="165"/>
      <c r="BS5927" s="165"/>
      <c r="BT5927" s="165"/>
      <c r="BU5927" s="165"/>
      <c r="BV5927" s="165"/>
      <c r="BW5927" s="165"/>
      <c r="BX5927" s="165"/>
      <c r="BY5927" s="165"/>
      <c r="BZ5927" s="165"/>
      <c r="CA5927" s="165"/>
      <c r="CB5927" s="165"/>
      <c r="CC5927" s="165"/>
      <c r="CD5927" s="165"/>
      <c r="CE5927" s="165"/>
      <c r="CF5927" s="165"/>
      <c r="CG5927" s="165"/>
      <c r="CH5927" s="165"/>
      <c r="CI5927" s="165"/>
      <c r="CJ5927" s="165"/>
      <c r="CK5927" s="165"/>
      <c r="CL5927" s="165"/>
      <c r="CM5927" s="165"/>
      <c r="CN5927" s="165"/>
      <c r="CO5927" s="165"/>
      <c r="CP5927" s="165"/>
      <c r="CQ5927" s="165"/>
      <c r="CR5927" s="165"/>
      <c r="CS5927" s="165"/>
      <c r="CT5927" s="165"/>
      <c r="CU5927" s="165"/>
      <c r="CV5927" s="165"/>
      <c r="CW5927" s="165"/>
      <c r="CX5927" s="165"/>
      <c r="CY5927" s="165"/>
      <c r="CZ5927" s="165"/>
      <c r="DA5927" s="165"/>
      <c r="DB5927" s="165"/>
      <c r="DC5927" s="165"/>
      <c r="DD5927" s="165"/>
      <c r="DE5927" s="165"/>
      <c r="DF5927" s="165"/>
      <c r="DG5927" s="165"/>
      <c r="DH5927" s="165"/>
      <c r="DI5927" s="165"/>
      <c r="DJ5927" s="165"/>
      <c r="DK5927" s="165"/>
      <c r="DL5927" s="165"/>
      <c r="DM5927" s="165"/>
      <c r="DN5927" s="165"/>
      <c r="DO5927" s="165"/>
      <c r="DP5927" s="165"/>
      <c r="DQ5927" s="165"/>
      <c r="DR5927" s="165"/>
      <c r="DS5927" s="165"/>
      <c r="DT5927" s="165"/>
      <c r="DU5927" s="165"/>
      <c r="DV5927" s="165"/>
      <c r="DW5927" s="165"/>
      <c r="DX5927" s="165"/>
      <c r="DY5927" s="165"/>
      <c r="DZ5927" s="165"/>
      <c r="EA5927" s="165"/>
      <c r="EB5927" s="165"/>
      <c r="EC5927" s="165"/>
      <c r="ED5927" s="165"/>
      <c r="EE5927" s="165"/>
      <c r="EF5927" s="165"/>
      <c r="EG5927" s="165"/>
      <c r="EH5927" s="165"/>
      <c r="EI5927" s="165"/>
      <c r="EJ5927" s="165"/>
      <c r="EK5927" s="165"/>
      <c r="EL5927" s="165"/>
      <c r="EM5927" s="165"/>
      <c r="EN5927" s="165"/>
      <c r="EO5927" s="165"/>
      <c r="EP5927" s="165"/>
      <c r="EQ5927" s="165"/>
      <c r="ER5927" s="165"/>
      <c r="ES5927" s="165"/>
    </row>
    <row r="5928" spans="1:149" s="451" customFormat="1" ht="15" hidden="1" customHeight="1">
      <c r="A5928" s="468">
        <v>45540</v>
      </c>
      <c r="B5928" s="208" t="s">
        <v>4865</v>
      </c>
      <c r="C5928" s="208" t="s">
        <v>269</v>
      </c>
      <c r="D5928" s="211">
        <v>-10000</v>
      </c>
      <c r="E5928" s="212">
        <v>45536</v>
      </c>
      <c r="F5928" s="208" t="s">
        <v>109</v>
      </c>
      <c r="G5928" s="654" t="s">
        <v>2585</v>
      </c>
      <c r="H5928" s="208" t="s">
        <v>138</v>
      </c>
      <c r="I5928" s="208" t="s">
        <v>4362</v>
      </c>
      <c r="J5928" s="209"/>
      <c r="K5928" s="209"/>
      <c r="L5928" s="209"/>
      <c r="M5928" s="209"/>
      <c r="N5928" s="209"/>
      <c r="O5928" s="209"/>
      <c r="P5928" s="209"/>
      <c r="Q5928" s="209"/>
      <c r="R5928" s="209"/>
      <c r="S5928" s="209"/>
      <c r="T5928" s="209"/>
      <c r="U5928" s="165"/>
      <c r="V5928" s="165"/>
      <c r="W5928" s="165"/>
      <c r="X5928" s="165"/>
      <c r="Y5928" s="165"/>
      <c r="Z5928" s="165"/>
      <c r="AA5928" s="165"/>
      <c r="AB5928" s="165"/>
      <c r="AC5928" s="165"/>
      <c r="AD5928" s="165"/>
      <c r="AE5928" s="165"/>
      <c r="AF5928" s="165"/>
      <c r="AG5928" s="165"/>
      <c r="AH5928" s="165"/>
      <c r="AI5928" s="165"/>
      <c r="AJ5928" s="165"/>
      <c r="AK5928" s="165"/>
      <c r="AL5928" s="165"/>
      <c r="AM5928" s="165"/>
      <c r="AN5928" s="165"/>
      <c r="AO5928" s="165"/>
      <c r="AP5928" s="165"/>
      <c r="AQ5928" s="165"/>
      <c r="AR5928" s="165"/>
      <c r="AS5928" s="165"/>
      <c r="AT5928" s="165"/>
      <c r="AU5928" s="165"/>
      <c r="AV5928" s="165"/>
      <c r="AW5928" s="165"/>
      <c r="AX5928" s="165"/>
      <c r="AY5928" s="165"/>
      <c r="AZ5928" s="165"/>
      <c r="BA5928" s="165"/>
      <c r="BB5928" s="165"/>
      <c r="BC5928" s="165"/>
      <c r="BD5928" s="165"/>
      <c r="BE5928" s="165"/>
      <c r="BF5928" s="165"/>
      <c r="BG5928" s="165"/>
      <c r="BH5928" s="165"/>
      <c r="BI5928" s="165"/>
      <c r="BJ5928" s="165"/>
      <c r="BK5928" s="165"/>
      <c r="BL5928" s="165"/>
      <c r="BM5928" s="165"/>
      <c r="BN5928" s="165"/>
      <c r="BO5928" s="165"/>
      <c r="BP5928" s="165"/>
      <c r="BQ5928" s="165"/>
      <c r="BR5928" s="165"/>
      <c r="BS5928" s="165"/>
      <c r="BT5928" s="165"/>
      <c r="BU5928" s="165"/>
      <c r="BV5928" s="165"/>
      <c r="BW5928" s="165"/>
      <c r="BX5928" s="165"/>
      <c r="BY5928" s="165"/>
      <c r="BZ5928" s="165"/>
      <c r="CA5928" s="165"/>
      <c r="CB5928" s="165"/>
      <c r="CC5928" s="165"/>
      <c r="CD5928" s="165"/>
      <c r="CE5928" s="165"/>
      <c r="CF5928" s="165"/>
      <c r="CG5928" s="165"/>
      <c r="CH5928" s="165"/>
      <c r="CI5928" s="165"/>
      <c r="CJ5928" s="165"/>
      <c r="CK5928" s="165"/>
      <c r="CL5928" s="165"/>
      <c r="CM5928" s="165"/>
      <c r="CN5928" s="165"/>
      <c r="CO5928" s="165"/>
      <c r="CP5928" s="165"/>
      <c r="CQ5928" s="165"/>
      <c r="CR5928" s="165"/>
      <c r="CS5928" s="165"/>
      <c r="CT5928" s="165"/>
      <c r="CU5928" s="165"/>
      <c r="CV5928" s="165"/>
      <c r="CW5928" s="165"/>
      <c r="CX5928" s="165"/>
      <c r="CY5928" s="165"/>
      <c r="CZ5928" s="165"/>
      <c r="DA5928" s="165"/>
      <c r="DB5928" s="165"/>
      <c r="DC5928" s="165"/>
      <c r="DD5928" s="165"/>
      <c r="DE5928" s="165"/>
      <c r="DF5928" s="165"/>
      <c r="DG5928" s="165"/>
      <c r="DH5928" s="165"/>
      <c r="DI5928" s="165"/>
      <c r="DJ5928" s="165"/>
      <c r="DK5928" s="165"/>
      <c r="DL5928" s="165"/>
      <c r="DM5928" s="165"/>
      <c r="DN5928" s="165"/>
      <c r="DO5928" s="165"/>
      <c r="DP5928" s="165"/>
      <c r="DQ5928" s="165"/>
      <c r="DR5928" s="165"/>
      <c r="DS5928" s="165"/>
      <c r="DT5928" s="165"/>
      <c r="DU5928" s="165"/>
      <c r="DV5928" s="165"/>
      <c r="DW5928" s="165"/>
      <c r="DX5928" s="165"/>
      <c r="DY5928" s="165"/>
      <c r="DZ5928" s="165"/>
      <c r="EA5928" s="165"/>
      <c r="EB5928" s="165"/>
      <c r="EC5928" s="165"/>
      <c r="ED5928" s="165"/>
      <c r="EE5928" s="165"/>
      <c r="EF5928" s="165"/>
      <c r="EG5928" s="165"/>
      <c r="EH5928" s="165"/>
      <c r="EI5928" s="165"/>
      <c r="EJ5928" s="165"/>
      <c r="EK5928" s="165"/>
      <c r="EL5928" s="165"/>
      <c r="EM5928" s="165"/>
      <c r="EN5928" s="165"/>
      <c r="EO5928" s="165"/>
      <c r="EP5928" s="165"/>
      <c r="EQ5928" s="165"/>
      <c r="ER5928" s="165"/>
      <c r="ES5928" s="165"/>
    </row>
    <row r="5929" spans="1:149" s="451" customFormat="1" ht="15" hidden="1" customHeight="1">
      <c r="A5929" s="468">
        <v>45540</v>
      </c>
      <c r="B5929" s="208" t="s">
        <v>4887</v>
      </c>
      <c r="C5929" s="208" t="s">
        <v>146</v>
      </c>
      <c r="D5929" s="211">
        <v>-58000</v>
      </c>
      <c r="E5929" s="212">
        <v>45536</v>
      </c>
      <c r="F5929" s="208" t="s">
        <v>110</v>
      </c>
      <c r="G5929" s="208" t="s">
        <v>4399</v>
      </c>
      <c r="H5929" s="208" t="s">
        <v>147</v>
      </c>
      <c r="I5929" s="208" t="s">
        <v>3378</v>
      </c>
      <c r="J5929" s="209"/>
      <c r="K5929" s="209"/>
      <c r="L5929" s="209"/>
      <c r="M5929" s="209"/>
      <c r="N5929" s="209"/>
      <c r="O5929" s="209"/>
      <c r="P5929" s="209"/>
      <c r="Q5929" s="209"/>
      <c r="R5929" s="209"/>
      <c r="S5929" s="209"/>
      <c r="T5929" s="209"/>
      <c r="U5929" s="165"/>
      <c r="V5929" s="165"/>
      <c r="W5929" s="165"/>
      <c r="X5929" s="165"/>
      <c r="Y5929" s="165"/>
      <c r="Z5929" s="165"/>
      <c r="AA5929" s="165"/>
      <c r="AB5929" s="165"/>
      <c r="AC5929" s="165"/>
      <c r="AD5929" s="165"/>
      <c r="AE5929" s="165"/>
      <c r="AF5929" s="165"/>
      <c r="AG5929" s="165"/>
      <c r="AH5929" s="165"/>
      <c r="AI5929" s="165"/>
      <c r="AJ5929" s="165"/>
      <c r="AK5929" s="165"/>
      <c r="AL5929" s="165"/>
      <c r="AM5929" s="165"/>
      <c r="AN5929" s="165"/>
      <c r="AO5929" s="165"/>
      <c r="AP5929" s="165"/>
      <c r="AQ5929" s="165"/>
      <c r="AR5929" s="165"/>
      <c r="AS5929" s="165"/>
      <c r="AT5929" s="165"/>
      <c r="AU5929" s="165"/>
      <c r="AV5929" s="165"/>
      <c r="AW5929" s="165"/>
      <c r="AX5929" s="165"/>
      <c r="AY5929" s="165"/>
      <c r="AZ5929" s="165"/>
      <c r="BA5929" s="165"/>
      <c r="BB5929" s="165"/>
      <c r="BC5929" s="165"/>
      <c r="BD5929" s="165"/>
      <c r="BE5929" s="165"/>
      <c r="BF5929" s="165"/>
      <c r="BG5929" s="165"/>
      <c r="BH5929" s="165"/>
      <c r="BI5929" s="165"/>
      <c r="BJ5929" s="165"/>
      <c r="BK5929" s="165"/>
      <c r="BL5929" s="165"/>
      <c r="BM5929" s="165"/>
      <c r="BN5929" s="165"/>
      <c r="BO5929" s="165"/>
      <c r="BP5929" s="165"/>
      <c r="BQ5929" s="165"/>
      <c r="BR5929" s="165"/>
      <c r="BS5929" s="165"/>
      <c r="BT5929" s="165"/>
      <c r="BU5929" s="165"/>
      <c r="BV5929" s="165"/>
      <c r="BW5929" s="165"/>
      <c r="BX5929" s="165"/>
      <c r="BY5929" s="165"/>
      <c r="BZ5929" s="165"/>
      <c r="CA5929" s="165"/>
      <c r="CB5929" s="165"/>
      <c r="CC5929" s="165"/>
      <c r="CD5929" s="165"/>
      <c r="CE5929" s="165"/>
      <c r="CF5929" s="165"/>
      <c r="CG5929" s="165"/>
      <c r="CH5929" s="165"/>
      <c r="CI5929" s="165"/>
      <c r="CJ5929" s="165"/>
      <c r="CK5929" s="165"/>
      <c r="CL5929" s="165"/>
      <c r="CM5929" s="165"/>
      <c r="CN5929" s="165"/>
      <c r="CO5929" s="165"/>
      <c r="CP5929" s="165"/>
      <c r="CQ5929" s="165"/>
      <c r="CR5929" s="165"/>
      <c r="CS5929" s="165"/>
      <c r="CT5929" s="165"/>
      <c r="CU5929" s="165"/>
      <c r="CV5929" s="165"/>
      <c r="CW5929" s="165"/>
      <c r="CX5929" s="165"/>
      <c r="CY5929" s="165"/>
      <c r="CZ5929" s="165"/>
      <c r="DA5929" s="165"/>
      <c r="DB5929" s="165"/>
      <c r="DC5929" s="165"/>
      <c r="DD5929" s="165"/>
      <c r="DE5929" s="165"/>
      <c r="DF5929" s="165"/>
      <c r="DG5929" s="165"/>
      <c r="DH5929" s="165"/>
      <c r="DI5929" s="165"/>
      <c r="DJ5929" s="165"/>
      <c r="DK5929" s="165"/>
      <c r="DL5929" s="165"/>
      <c r="DM5929" s="165"/>
      <c r="DN5929" s="165"/>
      <c r="DO5929" s="165"/>
      <c r="DP5929" s="165"/>
      <c r="DQ5929" s="165"/>
      <c r="DR5929" s="165"/>
      <c r="DS5929" s="165"/>
      <c r="DT5929" s="165"/>
      <c r="DU5929" s="165"/>
      <c r="DV5929" s="165"/>
      <c r="DW5929" s="165"/>
      <c r="DX5929" s="165"/>
      <c r="DY5929" s="165"/>
      <c r="DZ5929" s="165"/>
      <c r="EA5929" s="165"/>
      <c r="EB5929" s="165"/>
      <c r="EC5929" s="165"/>
      <c r="ED5929" s="165"/>
      <c r="EE5929" s="165"/>
      <c r="EF5929" s="165"/>
      <c r="EG5929" s="165"/>
      <c r="EH5929" s="165"/>
      <c r="EI5929" s="165"/>
      <c r="EJ5929" s="165"/>
      <c r="EK5929" s="165"/>
      <c r="EL5929" s="165"/>
      <c r="EM5929" s="165"/>
      <c r="EN5929" s="165"/>
      <c r="EO5929" s="165"/>
      <c r="EP5929" s="165"/>
      <c r="EQ5929" s="165"/>
      <c r="ER5929" s="165"/>
      <c r="ES5929" s="165"/>
    </row>
    <row r="5930" spans="1:149" ht="15" hidden="1" customHeight="1">
      <c r="A5930" s="468">
        <v>45540</v>
      </c>
      <c r="B5930" s="208" t="s">
        <v>4888</v>
      </c>
      <c r="C5930" s="208" t="s">
        <v>146</v>
      </c>
      <c r="D5930" s="211">
        <v>-20000</v>
      </c>
      <c r="E5930" s="212">
        <v>45536</v>
      </c>
      <c r="F5930" s="208" t="s">
        <v>110</v>
      </c>
      <c r="G5930" s="208" t="s">
        <v>4399</v>
      </c>
      <c r="H5930" s="208" t="s">
        <v>147</v>
      </c>
      <c r="I5930" s="208" t="s">
        <v>3378</v>
      </c>
      <c r="J5930" s="209"/>
      <c r="K5930" s="209"/>
      <c r="L5930" s="209"/>
      <c r="M5930" s="209"/>
      <c r="N5930" s="209"/>
      <c r="O5930" s="209"/>
      <c r="P5930" s="209"/>
      <c r="Q5930" s="209"/>
      <c r="R5930" s="209"/>
      <c r="S5930" s="209"/>
      <c r="T5930" s="209"/>
    </row>
    <row r="5931" spans="1:149" s="451" customFormat="1" ht="15" hidden="1" customHeight="1">
      <c r="A5931" s="468">
        <v>45540</v>
      </c>
      <c r="B5931" s="208" t="s">
        <v>4786</v>
      </c>
      <c r="C5931" s="208" t="s">
        <v>146</v>
      </c>
      <c r="D5931" s="211">
        <v>-10490</v>
      </c>
      <c r="E5931" s="212">
        <v>45536</v>
      </c>
      <c r="F5931" s="208" t="s">
        <v>110</v>
      </c>
      <c r="G5931" s="208" t="s">
        <v>4399</v>
      </c>
      <c r="H5931" s="208" t="s">
        <v>147</v>
      </c>
      <c r="I5931" s="208" t="s">
        <v>3378</v>
      </c>
      <c r="J5931" s="209"/>
      <c r="K5931" s="209"/>
      <c r="L5931" s="209"/>
      <c r="M5931" s="209"/>
      <c r="N5931" s="209"/>
      <c r="O5931" s="209"/>
      <c r="P5931" s="209"/>
      <c r="Q5931" s="209"/>
      <c r="R5931" s="209"/>
      <c r="S5931" s="209"/>
      <c r="T5931" s="209"/>
      <c r="U5931" s="165"/>
      <c r="V5931" s="165"/>
      <c r="W5931" s="165"/>
      <c r="X5931" s="165"/>
      <c r="Y5931" s="165"/>
      <c r="Z5931" s="165"/>
      <c r="AA5931" s="165"/>
      <c r="AB5931" s="165"/>
      <c r="AC5931" s="165"/>
      <c r="AD5931" s="165"/>
      <c r="AE5931" s="165"/>
      <c r="AF5931" s="165"/>
      <c r="AG5931" s="165"/>
      <c r="AH5931" s="165"/>
      <c r="AI5931" s="165"/>
      <c r="AJ5931" s="165"/>
      <c r="AK5931" s="165"/>
      <c r="AL5931" s="165"/>
      <c r="AM5931" s="165"/>
      <c r="AN5931" s="165"/>
      <c r="AO5931" s="165"/>
      <c r="AP5931" s="165"/>
      <c r="AQ5931" s="165"/>
      <c r="AR5931" s="165"/>
      <c r="AS5931" s="165"/>
      <c r="AT5931" s="165"/>
      <c r="AU5931" s="165"/>
      <c r="AV5931" s="165"/>
      <c r="AW5931" s="165"/>
      <c r="AX5931" s="165"/>
      <c r="AY5931" s="165"/>
      <c r="AZ5931" s="165"/>
      <c r="BA5931" s="165"/>
      <c r="BB5931" s="165"/>
      <c r="BC5931" s="165"/>
      <c r="BD5931" s="165"/>
      <c r="BE5931" s="165"/>
      <c r="BF5931" s="165"/>
      <c r="BG5931" s="165"/>
      <c r="BH5931" s="165"/>
      <c r="BI5931" s="165"/>
      <c r="BJ5931" s="165"/>
      <c r="BK5931" s="165"/>
      <c r="BL5931" s="165"/>
      <c r="BM5931" s="165"/>
      <c r="BN5931" s="165"/>
      <c r="BO5931" s="165"/>
      <c r="BP5931" s="165"/>
      <c r="BQ5931" s="165"/>
      <c r="BR5931" s="165"/>
      <c r="BS5931" s="165"/>
      <c r="BT5931" s="165"/>
      <c r="BU5931" s="165"/>
      <c r="BV5931" s="165"/>
      <c r="BW5931" s="165"/>
      <c r="BX5931" s="165"/>
      <c r="BY5931" s="165"/>
      <c r="BZ5931" s="165"/>
      <c r="CA5931" s="165"/>
      <c r="CB5931" s="165"/>
      <c r="CC5931" s="165"/>
      <c r="CD5931" s="165"/>
      <c r="CE5931" s="165"/>
      <c r="CF5931" s="165"/>
      <c r="CG5931" s="165"/>
      <c r="CH5931" s="165"/>
      <c r="CI5931" s="165"/>
      <c r="CJ5931" s="165"/>
      <c r="CK5931" s="165"/>
      <c r="CL5931" s="165"/>
      <c r="CM5931" s="165"/>
      <c r="CN5931" s="165"/>
      <c r="CO5931" s="165"/>
      <c r="CP5931" s="165"/>
      <c r="CQ5931" s="165"/>
      <c r="CR5931" s="165"/>
      <c r="CS5931" s="165"/>
      <c r="CT5931" s="165"/>
      <c r="CU5931" s="165"/>
      <c r="CV5931" s="165"/>
      <c r="CW5931" s="165"/>
      <c r="CX5931" s="165"/>
      <c r="CY5931" s="165"/>
      <c r="CZ5931" s="165"/>
      <c r="DA5931" s="165"/>
      <c r="DB5931" s="165"/>
      <c r="DC5931" s="165"/>
      <c r="DD5931" s="165"/>
      <c r="DE5931" s="165"/>
      <c r="DF5931" s="165"/>
      <c r="DG5931" s="165"/>
      <c r="DH5931" s="165"/>
      <c r="DI5931" s="165"/>
      <c r="DJ5931" s="165"/>
      <c r="DK5931" s="165"/>
      <c r="DL5931" s="165"/>
      <c r="DM5931" s="165"/>
      <c r="DN5931" s="165"/>
      <c r="DO5931" s="165"/>
      <c r="DP5931" s="165"/>
      <c r="DQ5931" s="165"/>
      <c r="DR5931" s="165"/>
      <c r="DS5931" s="165"/>
      <c r="DT5931" s="165"/>
      <c r="DU5931" s="165"/>
      <c r="DV5931" s="165"/>
      <c r="DW5931" s="165"/>
      <c r="DX5931" s="165"/>
      <c r="DY5931" s="165"/>
      <c r="DZ5931" s="165"/>
      <c r="EA5931" s="165"/>
      <c r="EB5931" s="165"/>
      <c r="EC5931" s="165"/>
      <c r="ED5931" s="165"/>
      <c r="EE5931" s="165"/>
      <c r="EF5931" s="165"/>
      <c r="EG5931" s="165"/>
      <c r="EH5931" s="165"/>
      <c r="EI5931" s="165"/>
      <c r="EJ5931" s="165"/>
      <c r="EK5931" s="165"/>
      <c r="EL5931" s="165"/>
      <c r="EM5931" s="165"/>
      <c r="EN5931" s="165"/>
      <c r="EO5931" s="165"/>
      <c r="EP5931" s="165"/>
      <c r="EQ5931" s="165"/>
      <c r="ER5931" s="165"/>
      <c r="ES5931" s="165"/>
    </row>
    <row r="5932" spans="1:149" s="451" customFormat="1" ht="15" hidden="1" customHeight="1">
      <c r="A5932" s="468">
        <v>45540</v>
      </c>
      <c r="B5932" s="208" t="s">
        <v>4889</v>
      </c>
      <c r="C5932" s="208" t="s">
        <v>146</v>
      </c>
      <c r="D5932" s="526">
        <v>-35000</v>
      </c>
      <c r="E5932" s="212">
        <v>45536</v>
      </c>
      <c r="F5932" s="208" t="s">
        <v>110</v>
      </c>
      <c r="G5932" s="208" t="s">
        <v>4399</v>
      </c>
      <c r="H5932" s="208" t="s">
        <v>138</v>
      </c>
      <c r="I5932" s="208" t="s">
        <v>47</v>
      </c>
      <c r="J5932" s="209"/>
      <c r="K5932" s="209"/>
      <c r="L5932" s="209"/>
      <c r="M5932" s="209"/>
      <c r="N5932" s="209"/>
      <c r="O5932" s="209"/>
      <c r="P5932" s="209"/>
      <c r="Q5932" s="209"/>
      <c r="R5932" s="209"/>
      <c r="S5932" s="209"/>
      <c r="T5932" s="209"/>
      <c r="U5932" s="165"/>
      <c r="V5932" s="165"/>
      <c r="W5932" s="165"/>
      <c r="X5932" s="165"/>
      <c r="Y5932" s="165"/>
      <c r="Z5932" s="165"/>
      <c r="AA5932" s="165"/>
      <c r="AB5932" s="165"/>
      <c r="AC5932" s="165"/>
      <c r="AD5932" s="165"/>
      <c r="AE5932" s="165"/>
      <c r="AF5932" s="165"/>
      <c r="AG5932" s="165"/>
      <c r="AH5932" s="165"/>
      <c r="AI5932" s="165"/>
      <c r="AJ5932" s="165"/>
      <c r="AK5932" s="165"/>
      <c r="AL5932" s="165"/>
      <c r="AM5932" s="165"/>
      <c r="AN5932" s="165"/>
      <c r="AO5932" s="165"/>
      <c r="AP5932" s="165"/>
      <c r="AQ5932" s="165"/>
      <c r="AR5932" s="165"/>
      <c r="AS5932" s="165"/>
      <c r="AT5932" s="165"/>
      <c r="AU5932" s="165"/>
      <c r="AV5932" s="165"/>
      <c r="AW5932" s="165"/>
      <c r="AX5932" s="165"/>
      <c r="AY5932" s="165"/>
      <c r="AZ5932" s="165"/>
      <c r="BA5932" s="165"/>
      <c r="BB5932" s="165"/>
      <c r="BC5932" s="165"/>
      <c r="BD5932" s="165"/>
      <c r="BE5932" s="165"/>
      <c r="BF5932" s="165"/>
      <c r="BG5932" s="165"/>
      <c r="BH5932" s="165"/>
      <c r="BI5932" s="165"/>
      <c r="BJ5932" s="165"/>
      <c r="BK5932" s="165"/>
      <c r="BL5932" s="165"/>
      <c r="BM5932" s="165"/>
      <c r="BN5932" s="165"/>
      <c r="BO5932" s="165"/>
      <c r="BP5932" s="165"/>
      <c r="BQ5932" s="165"/>
      <c r="BR5932" s="165"/>
      <c r="BS5932" s="165"/>
      <c r="BT5932" s="165"/>
      <c r="BU5932" s="165"/>
      <c r="BV5932" s="165"/>
      <c r="BW5932" s="165"/>
      <c r="BX5932" s="165"/>
      <c r="BY5932" s="165"/>
      <c r="BZ5932" s="165"/>
      <c r="CA5932" s="165"/>
      <c r="CB5932" s="165"/>
      <c r="CC5932" s="165"/>
      <c r="CD5932" s="165"/>
      <c r="CE5932" s="165"/>
      <c r="CF5932" s="165"/>
      <c r="CG5932" s="165"/>
      <c r="CH5932" s="165"/>
      <c r="CI5932" s="165"/>
      <c r="CJ5932" s="165"/>
      <c r="CK5932" s="165"/>
      <c r="CL5932" s="165"/>
      <c r="CM5932" s="165"/>
      <c r="CN5932" s="165"/>
      <c r="CO5932" s="165"/>
      <c r="CP5932" s="165"/>
      <c r="CQ5932" s="165"/>
      <c r="CR5932" s="165"/>
      <c r="CS5932" s="165"/>
      <c r="CT5932" s="165"/>
      <c r="CU5932" s="165"/>
      <c r="CV5932" s="165"/>
      <c r="CW5932" s="165"/>
      <c r="CX5932" s="165"/>
      <c r="CY5932" s="165"/>
      <c r="CZ5932" s="165"/>
      <c r="DA5932" s="165"/>
      <c r="DB5932" s="165"/>
      <c r="DC5932" s="165"/>
      <c r="DD5932" s="165"/>
      <c r="DE5932" s="165"/>
      <c r="DF5932" s="165"/>
      <c r="DG5932" s="165"/>
      <c r="DH5932" s="165"/>
      <c r="DI5932" s="165"/>
      <c r="DJ5932" s="165"/>
      <c r="DK5932" s="165"/>
      <c r="DL5932" s="165"/>
      <c r="DM5932" s="165"/>
      <c r="DN5932" s="165"/>
      <c r="DO5932" s="165"/>
      <c r="DP5932" s="165"/>
      <c r="DQ5932" s="165"/>
      <c r="DR5932" s="165"/>
      <c r="DS5932" s="165"/>
      <c r="DT5932" s="165"/>
      <c r="DU5932" s="165"/>
      <c r="DV5932" s="165"/>
      <c r="DW5932" s="165"/>
      <c r="DX5932" s="165"/>
      <c r="DY5932" s="165"/>
      <c r="DZ5932" s="165"/>
      <c r="EA5932" s="165"/>
      <c r="EB5932" s="165"/>
      <c r="EC5932" s="165"/>
      <c r="ED5932" s="165"/>
      <c r="EE5932" s="165"/>
      <c r="EF5932" s="165"/>
      <c r="EG5932" s="165"/>
      <c r="EH5932" s="165"/>
      <c r="EI5932" s="165"/>
      <c r="EJ5932" s="165"/>
      <c r="EK5932" s="165"/>
      <c r="EL5932" s="165"/>
      <c r="EM5932" s="165"/>
      <c r="EN5932" s="165"/>
      <c r="EO5932" s="165"/>
      <c r="EP5932" s="165"/>
      <c r="EQ5932" s="165"/>
      <c r="ER5932" s="165"/>
      <c r="ES5932" s="165"/>
    </row>
    <row r="5933" spans="1:149" s="451" customFormat="1" ht="15" hidden="1" customHeight="1">
      <c r="A5933" s="468">
        <v>45540</v>
      </c>
      <c r="B5933" s="208" t="s">
        <v>4890</v>
      </c>
      <c r="C5933" s="208" t="s">
        <v>146</v>
      </c>
      <c r="D5933" s="526">
        <v>-20000</v>
      </c>
      <c r="E5933" s="212">
        <v>45536</v>
      </c>
      <c r="F5933" s="208" t="s">
        <v>110</v>
      </c>
      <c r="G5933" s="208" t="s">
        <v>4399</v>
      </c>
      <c r="H5933" s="208" t="s">
        <v>138</v>
      </c>
      <c r="I5933" s="208" t="s">
        <v>47</v>
      </c>
      <c r="J5933" s="209"/>
      <c r="K5933" s="209"/>
      <c r="L5933" s="209"/>
      <c r="M5933" s="209"/>
      <c r="N5933" s="209"/>
      <c r="O5933" s="209"/>
      <c r="P5933" s="209"/>
      <c r="Q5933" s="209"/>
      <c r="R5933" s="209"/>
      <c r="S5933" s="209"/>
      <c r="T5933" s="209"/>
      <c r="U5933" s="165"/>
      <c r="V5933" s="165"/>
      <c r="W5933" s="165"/>
      <c r="X5933" s="165"/>
      <c r="Y5933" s="165"/>
      <c r="Z5933" s="165"/>
      <c r="AA5933" s="165"/>
      <c r="AB5933" s="165"/>
      <c r="AC5933" s="165"/>
      <c r="AD5933" s="165"/>
      <c r="AE5933" s="165"/>
      <c r="AF5933" s="165"/>
      <c r="AG5933" s="165"/>
      <c r="AH5933" s="165"/>
      <c r="AI5933" s="165"/>
      <c r="AJ5933" s="165"/>
      <c r="AK5933" s="165"/>
      <c r="AL5933" s="165"/>
      <c r="AM5933" s="165"/>
      <c r="AN5933" s="165"/>
      <c r="AO5933" s="165"/>
      <c r="AP5933" s="165"/>
      <c r="AQ5933" s="165"/>
      <c r="AR5933" s="165"/>
      <c r="AS5933" s="165"/>
      <c r="AT5933" s="165"/>
      <c r="AU5933" s="165"/>
      <c r="AV5933" s="165"/>
      <c r="AW5933" s="165"/>
      <c r="AX5933" s="165"/>
      <c r="AY5933" s="165"/>
      <c r="AZ5933" s="165"/>
      <c r="BA5933" s="165"/>
      <c r="BB5933" s="165"/>
      <c r="BC5933" s="165"/>
      <c r="BD5933" s="165"/>
      <c r="BE5933" s="165"/>
      <c r="BF5933" s="165"/>
      <c r="BG5933" s="165"/>
      <c r="BH5933" s="165"/>
      <c r="BI5933" s="165"/>
      <c r="BJ5933" s="165"/>
      <c r="BK5933" s="165"/>
      <c r="BL5933" s="165"/>
      <c r="BM5933" s="165"/>
      <c r="BN5933" s="165"/>
      <c r="BO5933" s="165"/>
      <c r="BP5933" s="165"/>
      <c r="BQ5933" s="165"/>
      <c r="BR5933" s="165"/>
      <c r="BS5933" s="165"/>
      <c r="BT5933" s="165"/>
      <c r="BU5933" s="165"/>
      <c r="BV5933" s="165"/>
      <c r="BW5933" s="165"/>
      <c r="BX5933" s="165"/>
      <c r="BY5933" s="165"/>
      <c r="BZ5933" s="165"/>
      <c r="CA5933" s="165"/>
      <c r="CB5933" s="165"/>
      <c r="CC5933" s="165"/>
      <c r="CD5933" s="165"/>
      <c r="CE5933" s="165"/>
      <c r="CF5933" s="165"/>
      <c r="CG5933" s="165"/>
      <c r="CH5933" s="165"/>
      <c r="CI5933" s="165"/>
      <c r="CJ5933" s="165"/>
      <c r="CK5933" s="165"/>
      <c r="CL5933" s="165"/>
      <c r="CM5933" s="165"/>
      <c r="CN5933" s="165"/>
      <c r="CO5933" s="165"/>
      <c r="CP5933" s="165"/>
      <c r="CQ5933" s="165"/>
      <c r="CR5933" s="165"/>
      <c r="CS5933" s="165"/>
      <c r="CT5933" s="165"/>
      <c r="CU5933" s="165"/>
      <c r="CV5933" s="165"/>
      <c r="CW5933" s="165"/>
      <c r="CX5933" s="165"/>
      <c r="CY5933" s="165"/>
      <c r="CZ5933" s="165"/>
      <c r="DA5933" s="165"/>
      <c r="DB5933" s="165"/>
      <c r="DC5933" s="165"/>
      <c r="DD5933" s="165"/>
      <c r="DE5933" s="165"/>
      <c r="DF5933" s="165"/>
      <c r="DG5933" s="165"/>
      <c r="DH5933" s="165"/>
      <c r="DI5933" s="165"/>
      <c r="DJ5933" s="165"/>
      <c r="DK5933" s="165"/>
      <c r="DL5933" s="165"/>
      <c r="DM5933" s="165"/>
      <c r="DN5933" s="165"/>
      <c r="DO5933" s="165"/>
      <c r="DP5933" s="165"/>
      <c r="DQ5933" s="165"/>
      <c r="DR5933" s="165"/>
      <c r="DS5933" s="165"/>
      <c r="DT5933" s="165"/>
      <c r="DU5933" s="165"/>
      <c r="DV5933" s="165"/>
      <c r="DW5933" s="165"/>
      <c r="DX5933" s="165"/>
      <c r="DY5933" s="165"/>
      <c r="DZ5933" s="165"/>
      <c r="EA5933" s="165"/>
      <c r="EB5933" s="165"/>
      <c r="EC5933" s="165"/>
      <c r="ED5933" s="165"/>
      <c r="EE5933" s="165"/>
      <c r="EF5933" s="165"/>
      <c r="EG5933" s="165"/>
      <c r="EH5933" s="165"/>
      <c r="EI5933" s="165"/>
      <c r="EJ5933" s="165"/>
      <c r="EK5933" s="165"/>
      <c r="EL5933" s="165"/>
      <c r="EM5933" s="165"/>
      <c r="EN5933" s="165"/>
      <c r="EO5933" s="165"/>
      <c r="EP5933" s="165"/>
      <c r="EQ5933" s="165"/>
      <c r="ER5933" s="165"/>
      <c r="ES5933" s="165"/>
    </row>
    <row r="5934" spans="1:149" s="451" customFormat="1" ht="15" hidden="1" customHeight="1">
      <c r="A5934" s="468">
        <v>45540</v>
      </c>
      <c r="B5934" s="208" t="s">
        <v>4891</v>
      </c>
      <c r="C5934" s="208" t="s">
        <v>146</v>
      </c>
      <c r="D5934" s="526">
        <v>-20000</v>
      </c>
      <c r="E5934" s="212">
        <v>45536</v>
      </c>
      <c r="F5934" s="208" t="s">
        <v>110</v>
      </c>
      <c r="G5934" s="208" t="s">
        <v>4399</v>
      </c>
      <c r="H5934" s="208" t="s">
        <v>138</v>
      </c>
      <c r="I5934" s="208" t="s">
        <v>47</v>
      </c>
      <c r="J5934" s="209"/>
      <c r="K5934" s="209"/>
      <c r="L5934" s="209"/>
      <c r="M5934" s="209"/>
      <c r="N5934" s="209"/>
      <c r="O5934" s="209"/>
      <c r="P5934" s="209"/>
      <c r="Q5934" s="209"/>
      <c r="R5934" s="209"/>
      <c r="S5934" s="209"/>
      <c r="T5934" s="209"/>
      <c r="U5934" s="165"/>
      <c r="V5934" s="165"/>
      <c r="W5934" s="165"/>
      <c r="X5934" s="165"/>
      <c r="Y5934" s="165"/>
      <c r="Z5934" s="165"/>
      <c r="AA5934" s="165"/>
      <c r="AB5934" s="165"/>
      <c r="AC5934" s="165"/>
      <c r="AD5934" s="165"/>
      <c r="AE5934" s="165"/>
      <c r="AF5934" s="165"/>
      <c r="AG5934" s="165"/>
      <c r="AH5934" s="165"/>
      <c r="AI5934" s="165"/>
      <c r="AJ5934" s="165"/>
      <c r="AK5934" s="165"/>
      <c r="AL5934" s="165"/>
      <c r="AM5934" s="165"/>
      <c r="AN5934" s="165"/>
      <c r="AO5934" s="165"/>
      <c r="AP5934" s="165"/>
      <c r="AQ5934" s="165"/>
      <c r="AR5934" s="165"/>
      <c r="AS5934" s="165"/>
      <c r="AT5934" s="165"/>
      <c r="AU5934" s="165"/>
      <c r="AV5934" s="165"/>
      <c r="AW5934" s="165"/>
      <c r="AX5934" s="165"/>
      <c r="AY5934" s="165"/>
      <c r="AZ5934" s="165"/>
      <c r="BA5934" s="165"/>
      <c r="BB5934" s="165"/>
      <c r="BC5934" s="165"/>
      <c r="BD5934" s="165"/>
      <c r="BE5934" s="165"/>
      <c r="BF5934" s="165"/>
      <c r="BG5934" s="165"/>
      <c r="BH5934" s="165"/>
      <c r="BI5934" s="165"/>
      <c r="BJ5934" s="165"/>
      <c r="BK5934" s="165"/>
      <c r="BL5934" s="165"/>
      <c r="BM5934" s="165"/>
      <c r="BN5934" s="165"/>
      <c r="BO5934" s="165"/>
      <c r="BP5934" s="165"/>
      <c r="BQ5934" s="165"/>
      <c r="BR5934" s="165"/>
      <c r="BS5934" s="165"/>
      <c r="BT5934" s="165"/>
      <c r="BU5934" s="165"/>
      <c r="BV5934" s="165"/>
      <c r="BW5934" s="165"/>
      <c r="BX5934" s="165"/>
      <c r="BY5934" s="165"/>
      <c r="BZ5934" s="165"/>
      <c r="CA5934" s="165"/>
      <c r="CB5934" s="165"/>
      <c r="CC5934" s="165"/>
      <c r="CD5934" s="165"/>
      <c r="CE5934" s="165"/>
      <c r="CF5934" s="165"/>
      <c r="CG5934" s="165"/>
      <c r="CH5934" s="165"/>
      <c r="CI5934" s="165"/>
      <c r="CJ5934" s="165"/>
      <c r="CK5934" s="165"/>
      <c r="CL5934" s="165"/>
      <c r="CM5934" s="165"/>
      <c r="CN5934" s="165"/>
      <c r="CO5934" s="165"/>
      <c r="CP5934" s="165"/>
      <c r="CQ5934" s="165"/>
      <c r="CR5934" s="165"/>
      <c r="CS5934" s="165"/>
      <c r="CT5934" s="165"/>
      <c r="CU5934" s="165"/>
      <c r="CV5934" s="165"/>
      <c r="CW5934" s="165"/>
      <c r="CX5934" s="165"/>
      <c r="CY5934" s="165"/>
      <c r="CZ5934" s="165"/>
      <c r="DA5934" s="165"/>
      <c r="DB5934" s="165"/>
      <c r="DC5934" s="165"/>
      <c r="DD5934" s="165"/>
      <c r="DE5934" s="165"/>
      <c r="DF5934" s="165"/>
      <c r="DG5934" s="165"/>
      <c r="DH5934" s="165"/>
      <c r="DI5934" s="165"/>
      <c r="DJ5934" s="165"/>
      <c r="DK5934" s="165"/>
      <c r="DL5934" s="165"/>
      <c r="DM5934" s="165"/>
      <c r="DN5934" s="165"/>
      <c r="DO5934" s="165"/>
      <c r="DP5934" s="165"/>
      <c r="DQ5934" s="165"/>
      <c r="DR5934" s="165"/>
      <c r="DS5934" s="165"/>
      <c r="DT5934" s="165"/>
      <c r="DU5934" s="165"/>
      <c r="DV5934" s="165"/>
      <c r="DW5934" s="165"/>
      <c r="DX5934" s="165"/>
      <c r="DY5934" s="165"/>
      <c r="DZ5934" s="165"/>
      <c r="EA5934" s="165"/>
      <c r="EB5934" s="165"/>
      <c r="EC5934" s="165"/>
      <c r="ED5934" s="165"/>
      <c r="EE5934" s="165"/>
      <c r="EF5934" s="165"/>
      <c r="EG5934" s="165"/>
      <c r="EH5934" s="165"/>
      <c r="EI5934" s="165"/>
      <c r="EJ5934" s="165"/>
      <c r="EK5934" s="165"/>
      <c r="EL5934" s="165"/>
      <c r="EM5934" s="165"/>
      <c r="EN5934" s="165"/>
      <c r="EO5934" s="165"/>
      <c r="EP5934" s="165"/>
      <c r="EQ5934" s="165"/>
      <c r="ER5934" s="165"/>
      <c r="ES5934" s="165"/>
    </row>
    <row r="5935" spans="1:149" s="451" customFormat="1" ht="15" hidden="1" customHeight="1">
      <c r="A5935" s="468">
        <v>45541</v>
      </c>
      <c r="B5935" s="208" t="s">
        <v>3846</v>
      </c>
      <c r="C5935" s="208" t="s">
        <v>269</v>
      </c>
      <c r="D5935" s="211">
        <v>-82000</v>
      </c>
      <c r="E5935" s="212">
        <v>45536</v>
      </c>
      <c r="F5935" s="208" t="s">
        <v>109</v>
      </c>
      <c r="G5935" s="208" t="s">
        <v>3529</v>
      </c>
      <c r="H5935" s="208" t="s">
        <v>138</v>
      </c>
      <c r="I5935" s="208"/>
      <c r="J5935" s="209"/>
      <c r="K5935" s="209"/>
      <c r="L5935" s="209"/>
      <c r="M5935" s="209"/>
      <c r="N5935" s="209"/>
      <c r="O5935" s="209"/>
      <c r="P5935" s="209"/>
      <c r="Q5935" s="209"/>
      <c r="R5935" s="209"/>
      <c r="S5935" s="209"/>
      <c r="T5935" s="209"/>
      <c r="U5935" s="165"/>
      <c r="V5935" s="165"/>
      <c r="W5935" s="165"/>
      <c r="X5935" s="165"/>
      <c r="Y5935" s="165"/>
      <c r="Z5935" s="165"/>
      <c r="AA5935" s="165"/>
      <c r="AB5935" s="165"/>
      <c r="AC5935" s="165"/>
      <c r="AD5935" s="165"/>
      <c r="AE5935" s="165"/>
      <c r="AF5935" s="165"/>
      <c r="AG5935" s="165"/>
      <c r="AH5935" s="165"/>
      <c r="AI5935" s="165"/>
      <c r="AJ5935" s="165"/>
      <c r="AK5935" s="165"/>
      <c r="AL5935" s="165"/>
      <c r="AM5935" s="165"/>
      <c r="AN5935" s="165"/>
      <c r="AO5935" s="165"/>
      <c r="AP5935" s="165"/>
      <c r="AQ5935" s="165"/>
      <c r="AR5935" s="165"/>
      <c r="AS5935" s="165"/>
      <c r="AT5935" s="165"/>
      <c r="AU5935" s="165"/>
      <c r="AV5935" s="165"/>
      <c r="AW5935" s="165"/>
      <c r="AX5935" s="165"/>
      <c r="AY5935" s="165"/>
      <c r="AZ5935" s="165"/>
      <c r="BA5935" s="165"/>
      <c r="BB5935" s="165"/>
      <c r="BC5935" s="165"/>
      <c r="BD5935" s="165"/>
      <c r="BE5935" s="165"/>
      <c r="BF5935" s="165"/>
      <c r="BG5935" s="165"/>
      <c r="BH5935" s="165"/>
      <c r="BI5935" s="165"/>
      <c r="BJ5935" s="165"/>
      <c r="BK5935" s="165"/>
      <c r="BL5935" s="165"/>
      <c r="BM5935" s="165"/>
      <c r="BN5935" s="165"/>
      <c r="BO5935" s="165"/>
      <c r="BP5935" s="165"/>
      <c r="BQ5935" s="165"/>
      <c r="BR5935" s="165"/>
      <c r="BS5935" s="165"/>
      <c r="BT5935" s="165"/>
      <c r="BU5935" s="165"/>
      <c r="BV5935" s="165"/>
      <c r="BW5935" s="165"/>
      <c r="BX5935" s="165"/>
      <c r="BY5935" s="165"/>
      <c r="BZ5935" s="165"/>
      <c r="CA5935" s="165"/>
      <c r="CB5935" s="165"/>
      <c r="CC5935" s="165"/>
      <c r="CD5935" s="165"/>
      <c r="CE5935" s="165"/>
      <c r="CF5935" s="165"/>
      <c r="CG5935" s="165"/>
      <c r="CH5935" s="165"/>
      <c r="CI5935" s="165"/>
      <c r="CJ5935" s="165"/>
      <c r="CK5935" s="165"/>
      <c r="CL5935" s="165"/>
      <c r="CM5935" s="165"/>
      <c r="CN5935" s="165"/>
      <c r="CO5935" s="165"/>
      <c r="CP5935" s="165"/>
      <c r="CQ5935" s="165"/>
      <c r="CR5935" s="165"/>
      <c r="CS5935" s="165"/>
      <c r="CT5935" s="165"/>
      <c r="CU5935" s="165"/>
      <c r="CV5935" s="165"/>
      <c r="CW5935" s="165"/>
      <c r="CX5935" s="165"/>
      <c r="CY5935" s="165"/>
      <c r="CZ5935" s="165"/>
      <c r="DA5935" s="165"/>
      <c r="DB5935" s="165"/>
      <c r="DC5935" s="165"/>
      <c r="DD5935" s="165"/>
      <c r="DE5935" s="165"/>
      <c r="DF5935" s="165"/>
      <c r="DG5935" s="165"/>
      <c r="DH5935" s="165"/>
      <c r="DI5935" s="165"/>
      <c r="DJ5935" s="165"/>
      <c r="DK5935" s="165"/>
      <c r="DL5935" s="165"/>
      <c r="DM5935" s="165"/>
      <c r="DN5935" s="165"/>
      <c r="DO5935" s="165"/>
      <c r="DP5935" s="165"/>
      <c r="DQ5935" s="165"/>
      <c r="DR5935" s="165"/>
      <c r="DS5935" s="165"/>
      <c r="DT5935" s="165"/>
      <c r="DU5935" s="165"/>
      <c r="DV5935" s="165"/>
      <c r="DW5935" s="165"/>
      <c r="DX5935" s="165"/>
      <c r="DY5935" s="165"/>
      <c r="DZ5935" s="165"/>
      <c r="EA5935" s="165"/>
      <c r="EB5935" s="165"/>
      <c r="EC5935" s="165"/>
      <c r="ED5935" s="165"/>
      <c r="EE5935" s="165"/>
      <c r="EF5935" s="165"/>
      <c r="EG5935" s="165"/>
      <c r="EH5935" s="165"/>
      <c r="EI5935" s="165"/>
      <c r="EJ5935" s="165"/>
      <c r="EK5935" s="165"/>
      <c r="EL5935" s="165"/>
      <c r="EM5935" s="165"/>
      <c r="EN5935" s="165"/>
      <c r="EO5935" s="165"/>
      <c r="EP5935" s="165"/>
      <c r="EQ5935" s="165"/>
      <c r="ER5935" s="165"/>
      <c r="ES5935" s="165"/>
    </row>
    <row r="5936" spans="1:149" s="451" customFormat="1" ht="15" hidden="1" customHeight="1">
      <c r="A5936" s="468">
        <v>45541</v>
      </c>
      <c r="B5936" s="208" t="s">
        <v>3846</v>
      </c>
      <c r="C5936" s="208" t="s">
        <v>269</v>
      </c>
      <c r="D5936" s="211">
        <v>-90464</v>
      </c>
      <c r="E5936" s="212">
        <v>45536</v>
      </c>
      <c r="F5936" s="208" t="s">
        <v>110</v>
      </c>
      <c r="G5936" s="201" t="s">
        <v>1489</v>
      </c>
      <c r="H5936" s="208" t="s">
        <v>138</v>
      </c>
      <c r="I5936" s="208"/>
      <c r="J5936" s="209"/>
      <c r="K5936" s="209"/>
      <c r="L5936" s="209"/>
      <c r="M5936" s="209"/>
      <c r="N5936" s="209"/>
      <c r="O5936" s="209"/>
      <c r="P5936" s="209"/>
      <c r="Q5936" s="209"/>
      <c r="R5936" s="209"/>
      <c r="S5936" s="209"/>
      <c r="T5936" s="209"/>
      <c r="U5936" s="165"/>
      <c r="V5936" s="165"/>
      <c r="W5936" s="165"/>
      <c r="X5936" s="165"/>
      <c r="Y5936" s="165"/>
      <c r="Z5936" s="165"/>
      <c r="AA5936" s="165"/>
      <c r="AB5936" s="165"/>
      <c r="AC5936" s="165"/>
      <c r="AD5936" s="165"/>
      <c r="AE5936" s="165"/>
      <c r="AF5936" s="165"/>
      <c r="AG5936" s="165"/>
      <c r="AH5936" s="165"/>
      <c r="AI5936" s="165"/>
      <c r="AJ5936" s="165"/>
      <c r="AK5936" s="165"/>
      <c r="AL5936" s="165"/>
      <c r="AM5936" s="165"/>
      <c r="AN5936" s="165"/>
      <c r="AO5936" s="165"/>
      <c r="AP5936" s="165"/>
      <c r="AQ5936" s="165"/>
      <c r="AR5936" s="165"/>
      <c r="AS5936" s="165"/>
      <c r="AT5936" s="165"/>
      <c r="AU5936" s="165"/>
      <c r="AV5936" s="165"/>
      <c r="AW5936" s="165"/>
      <c r="AX5936" s="165"/>
      <c r="AY5936" s="165"/>
      <c r="AZ5936" s="165"/>
      <c r="BA5936" s="165"/>
      <c r="BB5936" s="165"/>
      <c r="BC5936" s="165"/>
      <c r="BD5936" s="165"/>
      <c r="BE5936" s="165"/>
      <c r="BF5936" s="165"/>
      <c r="BG5936" s="165"/>
      <c r="BH5936" s="165"/>
      <c r="BI5936" s="165"/>
      <c r="BJ5936" s="165"/>
      <c r="BK5936" s="165"/>
      <c r="BL5936" s="165"/>
      <c r="BM5936" s="165"/>
      <c r="BN5936" s="165"/>
      <c r="BO5936" s="165"/>
      <c r="BP5936" s="165"/>
      <c r="BQ5936" s="165"/>
      <c r="BR5936" s="165"/>
      <c r="BS5936" s="165"/>
      <c r="BT5936" s="165"/>
      <c r="BU5936" s="165"/>
      <c r="BV5936" s="165"/>
      <c r="BW5936" s="165"/>
      <c r="BX5936" s="165"/>
      <c r="BY5936" s="165"/>
      <c r="BZ5936" s="165"/>
      <c r="CA5936" s="165"/>
      <c r="CB5936" s="165"/>
      <c r="CC5936" s="165"/>
      <c r="CD5936" s="165"/>
      <c r="CE5936" s="165"/>
      <c r="CF5936" s="165"/>
      <c r="CG5936" s="165"/>
      <c r="CH5936" s="165"/>
      <c r="CI5936" s="165"/>
      <c r="CJ5936" s="165"/>
      <c r="CK5936" s="165"/>
      <c r="CL5936" s="165"/>
      <c r="CM5936" s="165"/>
      <c r="CN5936" s="165"/>
      <c r="CO5936" s="165"/>
      <c r="CP5936" s="165"/>
      <c r="CQ5936" s="165"/>
      <c r="CR5936" s="165"/>
      <c r="CS5936" s="165"/>
      <c r="CT5936" s="165"/>
      <c r="CU5936" s="165"/>
      <c r="CV5936" s="165"/>
      <c r="CW5936" s="165"/>
      <c r="CX5936" s="165"/>
      <c r="CY5936" s="165"/>
      <c r="CZ5936" s="165"/>
      <c r="DA5936" s="165"/>
      <c r="DB5936" s="165"/>
      <c r="DC5936" s="165"/>
      <c r="DD5936" s="165"/>
      <c r="DE5936" s="165"/>
      <c r="DF5936" s="165"/>
      <c r="DG5936" s="165"/>
      <c r="DH5936" s="165"/>
      <c r="DI5936" s="165"/>
      <c r="DJ5936" s="165"/>
      <c r="DK5936" s="165"/>
      <c r="DL5936" s="165"/>
      <c r="DM5936" s="165"/>
      <c r="DN5936" s="165"/>
      <c r="DO5936" s="165"/>
      <c r="DP5936" s="165"/>
      <c r="DQ5936" s="165"/>
      <c r="DR5936" s="165"/>
      <c r="DS5936" s="165"/>
      <c r="DT5936" s="165"/>
      <c r="DU5936" s="165"/>
      <c r="DV5936" s="165"/>
      <c r="DW5936" s="165"/>
      <c r="DX5936" s="165"/>
      <c r="DY5936" s="165"/>
      <c r="DZ5936" s="165"/>
      <c r="EA5936" s="165"/>
      <c r="EB5936" s="165"/>
      <c r="EC5936" s="165"/>
      <c r="ED5936" s="165"/>
      <c r="EE5936" s="165"/>
      <c r="EF5936" s="165"/>
      <c r="EG5936" s="165"/>
      <c r="EH5936" s="165"/>
      <c r="EI5936" s="165"/>
      <c r="EJ5936" s="165"/>
      <c r="EK5936" s="165"/>
      <c r="EL5936" s="165"/>
      <c r="EM5936" s="165"/>
      <c r="EN5936" s="165"/>
      <c r="EO5936" s="165"/>
      <c r="EP5936" s="165"/>
      <c r="EQ5936" s="165"/>
      <c r="ER5936" s="165"/>
      <c r="ES5936" s="165"/>
    </row>
    <row r="5937" spans="1:149" s="451" customFormat="1" ht="15" hidden="1" customHeight="1">
      <c r="A5937" s="468">
        <v>45541</v>
      </c>
      <c r="B5937" s="208" t="s">
        <v>3846</v>
      </c>
      <c r="C5937" s="208" t="s">
        <v>269</v>
      </c>
      <c r="D5937" s="211">
        <v>-75000</v>
      </c>
      <c r="E5937" s="212">
        <v>45536</v>
      </c>
      <c r="F5937" s="208" t="s">
        <v>130</v>
      </c>
      <c r="G5937" s="208" t="s">
        <v>130</v>
      </c>
      <c r="H5937" s="208" t="s">
        <v>138</v>
      </c>
      <c r="I5937" s="208"/>
      <c r="J5937" s="209"/>
      <c r="K5937" s="209"/>
      <c r="L5937" s="209"/>
      <c r="M5937" s="209"/>
      <c r="N5937" s="209"/>
      <c r="O5937" s="209"/>
      <c r="P5937" s="209"/>
      <c r="Q5937" s="209"/>
      <c r="R5937" s="209"/>
      <c r="S5937" s="209"/>
      <c r="T5937" s="209"/>
      <c r="U5937" s="165"/>
      <c r="V5937" s="165"/>
      <c r="W5937" s="165"/>
      <c r="X5937" s="165"/>
      <c r="Y5937" s="165"/>
      <c r="Z5937" s="165"/>
      <c r="AA5937" s="165"/>
      <c r="AB5937" s="165"/>
      <c r="AC5937" s="165"/>
      <c r="AD5937" s="165"/>
      <c r="AE5937" s="165"/>
      <c r="AF5937" s="165"/>
      <c r="AG5937" s="165"/>
      <c r="AH5937" s="165"/>
      <c r="AI5937" s="165"/>
      <c r="AJ5937" s="165"/>
      <c r="AK5937" s="165"/>
      <c r="AL5937" s="165"/>
      <c r="AM5937" s="165"/>
      <c r="AN5937" s="165"/>
      <c r="AO5937" s="165"/>
      <c r="AP5937" s="165"/>
      <c r="AQ5937" s="165"/>
      <c r="AR5937" s="165"/>
      <c r="AS5937" s="165"/>
      <c r="AT5937" s="165"/>
      <c r="AU5937" s="165"/>
      <c r="AV5937" s="165"/>
      <c r="AW5937" s="165"/>
      <c r="AX5937" s="165"/>
      <c r="AY5937" s="165"/>
      <c r="AZ5937" s="165"/>
      <c r="BA5937" s="165"/>
      <c r="BB5937" s="165"/>
      <c r="BC5937" s="165"/>
      <c r="BD5937" s="165"/>
      <c r="BE5937" s="165"/>
      <c r="BF5937" s="165"/>
      <c r="BG5937" s="165"/>
      <c r="BH5937" s="165"/>
      <c r="BI5937" s="165"/>
      <c r="BJ5937" s="165"/>
      <c r="BK5937" s="165"/>
      <c r="BL5937" s="165"/>
      <c r="BM5937" s="165"/>
      <c r="BN5937" s="165"/>
      <c r="BO5937" s="165"/>
      <c r="BP5937" s="165"/>
      <c r="BQ5937" s="165"/>
      <c r="BR5937" s="165"/>
      <c r="BS5937" s="165"/>
      <c r="BT5937" s="165"/>
      <c r="BU5937" s="165"/>
      <c r="BV5937" s="165"/>
      <c r="BW5937" s="165"/>
      <c r="BX5937" s="165"/>
      <c r="BY5937" s="165"/>
      <c r="BZ5937" s="165"/>
      <c r="CA5937" s="165"/>
      <c r="CB5937" s="165"/>
      <c r="CC5937" s="165"/>
      <c r="CD5937" s="165"/>
      <c r="CE5937" s="165"/>
      <c r="CF5937" s="165"/>
      <c r="CG5937" s="165"/>
      <c r="CH5937" s="165"/>
      <c r="CI5937" s="165"/>
      <c r="CJ5937" s="165"/>
      <c r="CK5937" s="165"/>
      <c r="CL5937" s="165"/>
      <c r="CM5937" s="165"/>
      <c r="CN5937" s="165"/>
      <c r="CO5937" s="165"/>
      <c r="CP5937" s="165"/>
      <c r="CQ5937" s="165"/>
      <c r="CR5937" s="165"/>
      <c r="CS5937" s="165"/>
      <c r="CT5937" s="165"/>
      <c r="CU5937" s="165"/>
      <c r="CV5937" s="165"/>
      <c r="CW5937" s="165"/>
      <c r="CX5937" s="165"/>
      <c r="CY5937" s="165"/>
      <c r="CZ5937" s="165"/>
      <c r="DA5937" s="165"/>
      <c r="DB5937" s="165"/>
      <c r="DC5937" s="165"/>
      <c r="DD5937" s="165"/>
      <c r="DE5937" s="165"/>
      <c r="DF5937" s="165"/>
      <c r="DG5937" s="165"/>
      <c r="DH5937" s="165"/>
      <c r="DI5937" s="165"/>
      <c r="DJ5937" s="165"/>
      <c r="DK5937" s="165"/>
      <c r="DL5937" s="165"/>
      <c r="DM5937" s="165"/>
      <c r="DN5937" s="165"/>
      <c r="DO5937" s="165"/>
      <c r="DP5937" s="165"/>
      <c r="DQ5937" s="165"/>
      <c r="DR5937" s="165"/>
      <c r="DS5937" s="165"/>
      <c r="DT5937" s="165"/>
      <c r="DU5937" s="165"/>
      <c r="DV5937" s="165"/>
      <c r="DW5937" s="165"/>
      <c r="DX5937" s="165"/>
      <c r="DY5937" s="165"/>
      <c r="DZ5937" s="165"/>
      <c r="EA5937" s="165"/>
      <c r="EB5937" s="165"/>
      <c r="EC5937" s="165"/>
      <c r="ED5937" s="165"/>
      <c r="EE5937" s="165"/>
      <c r="EF5937" s="165"/>
      <c r="EG5937" s="165"/>
      <c r="EH5937" s="165"/>
      <c r="EI5937" s="165"/>
      <c r="EJ5937" s="165"/>
      <c r="EK5937" s="165"/>
      <c r="EL5937" s="165"/>
      <c r="EM5937" s="165"/>
      <c r="EN5937" s="165"/>
      <c r="EO5937" s="165"/>
      <c r="EP5937" s="165"/>
      <c r="EQ5937" s="165"/>
      <c r="ER5937" s="165"/>
      <c r="ES5937" s="165"/>
    </row>
    <row r="5938" spans="1:149" s="451" customFormat="1" ht="15" hidden="1" customHeight="1">
      <c r="A5938" s="468">
        <v>45541</v>
      </c>
      <c r="B5938" s="208" t="s">
        <v>3846</v>
      </c>
      <c r="C5938" s="208" t="s">
        <v>269</v>
      </c>
      <c r="D5938" s="211">
        <v>-22000</v>
      </c>
      <c r="E5938" s="212">
        <v>45536</v>
      </c>
      <c r="F5938" s="208" t="s">
        <v>110</v>
      </c>
      <c r="G5938" s="208" t="s">
        <v>4249</v>
      </c>
      <c r="H5938" s="208" t="s">
        <v>138</v>
      </c>
      <c r="I5938" s="208"/>
      <c r="J5938" s="209"/>
      <c r="K5938" s="209"/>
      <c r="L5938" s="209"/>
      <c r="M5938" s="209"/>
      <c r="N5938" s="209"/>
      <c r="O5938" s="209"/>
      <c r="P5938" s="209"/>
      <c r="Q5938" s="209"/>
      <c r="R5938" s="209"/>
      <c r="S5938" s="209"/>
      <c r="T5938" s="209"/>
      <c r="U5938" s="165"/>
      <c r="V5938" s="165"/>
      <c r="W5938" s="165"/>
      <c r="X5938" s="165"/>
      <c r="Y5938" s="165"/>
      <c r="Z5938" s="165"/>
      <c r="AA5938" s="165"/>
      <c r="AB5938" s="165"/>
      <c r="AC5938" s="165"/>
      <c r="AD5938" s="165"/>
      <c r="AE5938" s="165"/>
      <c r="AF5938" s="165"/>
      <c r="AG5938" s="165"/>
      <c r="AH5938" s="165"/>
      <c r="AI5938" s="165"/>
      <c r="AJ5938" s="165"/>
      <c r="AK5938" s="165"/>
      <c r="AL5938" s="165"/>
      <c r="AM5938" s="165"/>
      <c r="AN5938" s="165"/>
      <c r="AO5938" s="165"/>
      <c r="AP5938" s="165"/>
      <c r="AQ5938" s="165"/>
      <c r="AR5938" s="165"/>
      <c r="AS5938" s="165"/>
      <c r="AT5938" s="165"/>
      <c r="AU5938" s="165"/>
      <c r="AV5938" s="165"/>
      <c r="AW5938" s="165"/>
      <c r="AX5938" s="165"/>
      <c r="AY5938" s="165"/>
      <c r="AZ5938" s="165"/>
      <c r="BA5938" s="165"/>
      <c r="BB5938" s="165"/>
      <c r="BC5938" s="165"/>
      <c r="BD5938" s="165"/>
      <c r="BE5938" s="165"/>
      <c r="BF5938" s="165"/>
      <c r="BG5938" s="165"/>
      <c r="BH5938" s="165"/>
      <c r="BI5938" s="165"/>
      <c r="BJ5938" s="165"/>
      <c r="BK5938" s="165"/>
      <c r="BL5938" s="165"/>
      <c r="BM5938" s="165"/>
      <c r="BN5938" s="165"/>
      <c r="BO5938" s="165"/>
      <c r="BP5938" s="165"/>
      <c r="BQ5938" s="165"/>
      <c r="BR5938" s="165"/>
      <c r="BS5938" s="165"/>
      <c r="BT5938" s="165"/>
      <c r="BU5938" s="165"/>
      <c r="BV5938" s="165"/>
      <c r="BW5938" s="165"/>
      <c r="BX5938" s="165"/>
      <c r="BY5938" s="165"/>
      <c r="BZ5938" s="165"/>
      <c r="CA5938" s="165"/>
      <c r="CB5938" s="165"/>
      <c r="CC5938" s="165"/>
      <c r="CD5938" s="165"/>
      <c r="CE5938" s="165"/>
      <c r="CF5938" s="165"/>
      <c r="CG5938" s="165"/>
      <c r="CH5938" s="165"/>
      <c r="CI5938" s="165"/>
      <c r="CJ5938" s="165"/>
      <c r="CK5938" s="165"/>
      <c r="CL5938" s="165"/>
      <c r="CM5938" s="165"/>
      <c r="CN5938" s="165"/>
      <c r="CO5938" s="165"/>
      <c r="CP5938" s="165"/>
      <c r="CQ5938" s="165"/>
      <c r="CR5938" s="165"/>
      <c r="CS5938" s="165"/>
      <c r="CT5938" s="165"/>
      <c r="CU5938" s="165"/>
      <c r="CV5938" s="165"/>
      <c r="CW5938" s="165"/>
      <c r="CX5938" s="165"/>
      <c r="CY5938" s="165"/>
      <c r="CZ5938" s="165"/>
      <c r="DA5938" s="165"/>
      <c r="DB5938" s="165"/>
      <c r="DC5938" s="165"/>
      <c r="DD5938" s="165"/>
      <c r="DE5938" s="165"/>
      <c r="DF5938" s="165"/>
      <c r="DG5938" s="165"/>
      <c r="DH5938" s="165"/>
      <c r="DI5938" s="165"/>
      <c r="DJ5938" s="165"/>
      <c r="DK5938" s="165"/>
      <c r="DL5938" s="165"/>
      <c r="DM5938" s="165"/>
      <c r="DN5938" s="165"/>
      <c r="DO5938" s="165"/>
      <c r="DP5938" s="165"/>
      <c r="DQ5938" s="165"/>
      <c r="DR5938" s="165"/>
      <c r="DS5938" s="165"/>
      <c r="DT5938" s="165"/>
      <c r="DU5938" s="165"/>
      <c r="DV5938" s="165"/>
      <c r="DW5938" s="165"/>
      <c r="DX5938" s="165"/>
      <c r="DY5938" s="165"/>
      <c r="DZ5938" s="165"/>
      <c r="EA5938" s="165"/>
      <c r="EB5938" s="165"/>
      <c r="EC5938" s="165"/>
      <c r="ED5938" s="165"/>
      <c r="EE5938" s="165"/>
      <c r="EF5938" s="165"/>
      <c r="EG5938" s="165"/>
      <c r="EH5938" s="165"/>
      <c r="EI5938" s="165"/>
      <c r="EJ5938" s="165"/>
      <c r="EK5938" s="165"/>
      <c r="EL5938" s="165"/>
      <c r="EM5938" s="165"/>
      <c r="EN5938" s="165"/>
      <c r="EO5938" s="165"/>
      <c r="EP5938" s="165"/>
      <c r="EQ5938" s="165"/>
      <c r="ER5938" s="165"/>
      <c r="ES5938" s="165"/>
    </row>
    <row r="5939" spans="1:149" s="451" customFormat="1" ht="15" hidden="1" customHeight="1">
      <c r="A5939" s="468">
        <v>45541</v>
      </c>
      <c r="B5939" s="208" t="s">
        <v>3846</v>
      </c>
      <c r="C5939" s="208" t="s">
        <v>269</v>
      </c>
      <c r="D5939" s="211">
        <v>-30000</v>
      </c>
      <c r="E5939" s="212">
        <v>45536</v>
      </c>
      <c r="F5939" s="208" t="s">
        <v>109</v>
      </c>
      <c r="G5939" s="201" t="s">
        <v>581</v>
      </c>
      <c r="H5939" s="208"/>
      <c r="I5939" s="208"/>
      <c r="J5939" s="209"/>
      <c r="K5939" s="209"/>
      <c r="L5939" s="209"/>
      <c r="M5939" s="209"/>
      <c r="N5939" s="209"/>
      <c r="O5939" s="209"/>
      <c r="P5939" s="209"/>
      <c r="Q5939" s="209"/>
      <c r="R5939" s="209"/>
      <c r="S5939" s="209"/>
      <c r="T5939" s="209"/>
      <c r="U5939" s="165"/>
      <c r="V5939" s="165"/>
      <c r="W5939" s="165"/>
      <c r="X5939" s="165"/>
      <c r="Y5939" s="165"/>
      <c r="Z5939" s="165"/>
      <c r="AA5939" s="165"/>
      <c r="AB5939" s="165"/>
      <c r="AC5939" s="165"/>
      <c r="AD5939" s="165"/>
      <c r="AE5939" s="165"/>
      <c r="AF5939" s="165"/>
      <c r="AG5939" s="165"/>
      <c r="AH5939" s="165"/>
      <c r="AI5939" s="165"/>
      <c r="AJ5939" s="165"/>
      <c r="AK5939" s="165"/>
      <c r="AL5939" s="165"/>
      <c r="AM5939" s="165"/>
      <c r="AN5939" s="165"/>
      <c r="AO5939" s="165"/>
      <c r="AP5939" s="165"/>
      <c r="AQ5939" s="165"/>
      <c r="AR5939" s="165"/>
      <c r="AS5939" s="165"/>
      <c r="AT5939" s="165"/>
      <c r="AU5939" s="165"/>
      <c r="AV5939" s="165"/>
      <c r="AW5939" s="165"/>
      <c r="AX5939" s="165"/>
      <c r="AY5939" s="165"/>
      <c r="AZ5939" s="165"/>
      <c r="BA5939" s="165"/>
      <c r="BB5939" s="165"/>
      <c r="BC5939" s="165"/>
      <c r="BD5939" s="165"/>
      <c r="BE5939" s="165"/>
      <c r="BF5939" s="165"/>
      <c r="BG5939" s="165"/>
      <c r="BH5939" s="165"/>
      <c r="BI5939" s="165"/>
      <c r="BJ5939" s="165"/>
      <c r="BK5939" s="165"/>
      <c r="BL5939" s="165"/>
      <c r="BM5939" s="165"/>
      <c r="BN5939" s="165"/>
      <c r="BO5939" s="165"/>
      <c r="BP5939" s="165"/>
      <c r="BQ5939" s="165"/>
      <c r="BR5939" s="165"/>
      <c r="BS5939" s="165"/>
      <c r="BT5939" s="165"/>
      <c r="BU5939" s="165"/>
      <c r="BV5939" s="165"/>
      <c r="BW5939" s="165"/>
      <c r="BX5939" s="165"/>
      <c r="BY5939" s="165"/>
      <c r="BZ5939" s="165"/>
      <c r="CA5939" s="165"/>
      <c r="CB5939" s="165"/>
      <c r="CC5939" s="165"/>
      <c r="CD5939" s="165"/>
      <c r="CE5939" s="165"/>
      <c r="CF5939" s="165"/>
      <c r="CG5939" s="165"/>
      <c r="CH5939" s="165"/>
      <c r="CI5939" s="165"/>
      <c r="CJ5939" s="165"/>
      <c r="CK5939" s="165"/>
      <c r="CL5939" s="165"/>
      <c r="CM5939" s="165"/>
      <c r="CN5939" s="165"/>
      <c r="CO5939" s="165"/>
      <c r="CP5939" s="165"/>
      <c r="CQ5939" s="165"/>
      <c r="CR5939" s="165"/>
      <c r="CS5939" s="165"/>
      <c r="CT5939" s="165"/>
      <c r="CU5939" s="165"/>
      <c r="CV5939" s="165"/>
      <c r="CW5939" s="165"/>
      <c r="CX5939" s="165"/>
      <c r="CY5939" s="165"/>
      <c r="CZ5939" s="165"/>
      <c r="DA5939" s="165"/>
      <c r="DB5939" s="165"/>
      <c r="DC5939" s="165"/>
      <c r="DD5939" s="165"/>
      <c r="DE5939" s="165"/>
      <c r="DF5939" s="165"/>
      <c r="DG5939" s="165"/>
      <c r="DH5939" s="165"/>
      <c r="DI5939" s="165"/>
      <c r="DJ5939" s="165"/>
      <c r="DK5939" s="165"/>
      <c r="DL5939" s="165"/>
      <c r="DM5939" s="165"/>
      <c r="DN5939" s="165"/>
      <c r="DO5939" s="165"/>
      <c r="DP5939" s="165"/>
      <c r="DQ5939" s="165"/>
      <c r="DR5939" s="165"/>
      <c r="DS5939" s="165"/>
      <c r="DT5939" s="165"/>
      <c r="DU5939" s="165"/>
      <c r="DV5939" s="165"/>
      <c r="DW5939" s="165"/>
      <c r="DX5939" s="165"/>
      <c r="DY5939" s="165"/>
      <c r="DZ5939" s="165"/>
      <c r="EA5939" s="165"/>
      <c r="EB5939" s="165"/>
      <c r="EC5939" s="165"/>
      <c r="ED5939" s="165"/>
      <c r="EE5939" s="165"/>
      <c r="EF5939" s="165"/>
      <c r="EG5939" s="165"/>
      <c r="EH5939" s="165"/>
      <c r="EI5939" s="165"/>
      <c r="EJ5939" s="165"/>
      <c r="EK5939" s="165"/>
      <c r="EL5939" s="165"/>
      <c r="EM5939" s="165"/>
      <c r="EN5939" s="165"/>
      <c r="EO5939" s="165"/>
      <c r="EP5939" s="165"/>
      <c r="EQ5939" s="165"/>
      <c r="ER5939" s="165"/>
      <c r="ES5939" s="165"/>
    </row>
    <row r="5940" spans="1:149" s="451" customFormat="1" ht="15" hidden="1" customHeight="1">
      <c r="A5940" s="468">
        <v>45541</v>
      </c>
      <c r="B5940" s="208" t="s">
        <v>3846</v>
      </c>
      <c r="C5940" s="208" t="s">
        <v>269</v>
      </c>
      <c r="D5940" s="211">
        <v>-41000</v>
      </c>
      <c r="E5940" s="212">
        <v>45536</v>
      </c>
      <c r="F5940" s="208" t="s">
        <v>109</v>
      </c>
      <c r="G5940" s="654" t="s">
        <v>2585</v>
      </c>
      <c r="H5940" s="208" t="s">
        <v>138</v>
      </c>
      <c r="I5940" s="208"/>
      <c r="J5940" s="209"/>
      <c r="K5940" s="209"/>
      <c r="L5940" s="209"/>
      <c r="M5940" s="209"/>
      <c r="N5940" s="209"/>
      <c r="O5940" s="209"/>
      <c r="P5940" s="209"/>
      <c r="Q5940" s="209"/>
      <c r="R5940" s="209"/>
      <c r="S5940" s="209"/>
      <c r="T5940" s="209"/>
      <c r="U5940" s="165"/>
      <c r="V5940" s="165"/>
      <c r="W5940" s="165"/>
      <c r="X5940" s="165"/>
      <c r="Y5940" s="165"/>
      <c r="Z5940" s="165"/>
      <c r="AA5940" s="165"/>
      <c r="AB5940" s="165"/>
      <c r="AC5940" s="165"/>
      <c r="AD5940" s="165"/>
      <c r="AE5940" s="165"/>
      <c r="AF5940" s="165"/>
      <c r="AG5940" s="165"/>
      <c r="AH5940" s="165"/>
      <c r="AI5940" s="165"/>
      <c r="AJ5940" s="165"/>
      <c r="AK5940" s="165"/>
      <c r="AL5940" s="165"/>
      <c r="AM5940" s="165"/>
      <c r="AN5940" s="165"/>
      <c r="AO5940" s="165"/>
      <c r="AP5940" s="165"/>
      <c r="AQ5940" s="165"/>
      <c r="AR5940" s="165"/>
      <c r="AS5940" s="165"/>
      <c r="AT5940" s="165"/>
      <c r="AU5940" s="165"/>
      <c r="AV5940" s="165"/>
      <c r="AW5940" s="165"/>
      <c r="AX5940" s="165"/>
      <c r="AY5940" s="165"/>
      <c r="AZ5940" s="165"/>
      <c r="BA5940" s="165"/>
      <c r="BB5940" s="165"/>
      <c r="BC5940" s="165"/>
      <c r="BD5940" s="165"/>
      <c r="BE5940" s="165"/>
      <c r="BF5940" s="165"/>
      <c r="BG5940" s="165"/>
      <c r="BH5940" s="165"/>
      <c r="BI5940" s="165"/>
      <c r="BJ5940" s="165"/>
      <c r="BK5940" s="165"/>
      <c r="BL5940" s="165"/>
      <c r="BM5940" s="165"/>
      <c r="BN5940" s="165"/>
      <c r="BO5940" s="165"/>
      <c r="BP5940" s="165"/>
      <c r="BQ5940" s="165"/>
      <c r="BR5940" s="165"/>
      <c r="BS5940" s="165"/>
      <c r="BT5940" s="165"/>
      <c r="BU5940" s="165"/>
      <c r="BV5940" s="165"/>
      <c r="BW5940" s="165"/>
      <c r="BX5940" s="165"/>
      <c r="BY5940" s="165"/>
      <c r="BZ5940" s="165"/>
      <c r="CA5940" s="165"/>
      <c r="CB5940" s="165"/>
      <c r="CC5940" s="165"/>
      <c r="CD5940" s="165"/>
      <c r="CE5940" s="165"/>
      <c r="CF5940" s="165"/>
      <c r="CG5940" s="165"/>
      <c r="CH5940" s="165"/>
      <c r="CI5940" s="165"/>
      <c r="CJ5940" s="165"/>
      <c r="CK5940" s="165"/>
      <c r="CL5940" s="165"/>
      <c r="CM5940" s="165"/>
      <c r="CN5940" s="165"/>
      <c r="CO5940" s="165"/>
      <c r="CP5940" s="165"/>
      <c r="CQ5940" s="165"/>
      <c r="CR5940" s="165"/>
      <c r="CS5940" s="165"/>
      <c r="CT5940" s="165"/>
      <c r="CU5940" s="165"/>
      <c r="CV5940" s="165"/>
      <c r="CW5940" s="165"/>
      <c r="CX5940" s="165"/>
      <c r="CY5940" s="165"/>
      <c r="CZ5940" s="165"/>
      <c r="DA5940" s="165"/>
      <c r="DB5940" s="165"/>
      <c r="DC5940" s="165"/>
      <c r="DD5940" s="165"/>
      <c r="DE5940" s="165"/>
      <c r="DF5940" s="165"/>
      <c r="DG5940" s="165"/>
      <c r="DH5940" s="165"/>
      <c r="DI5940" s="165"/>
      <c r="DJ5940" s="165"/>
      <c r="DK5940" s="165"/>
      <c r="DL5940" s="165"/>
      <c r="DM5940" s="165"/>
      <c r="DN5940" s="165"/>
      <c r="DO5940" s="165"/>
      <c r="DP5940" s="165"/>
      <c r="DQ5940" s="165"/>
      <c r="DR5940" s="165"/>
      <c r="DS5940" s="165"/>
      <c r="DT5940" s="165"/>
      <c r="DU5940" s="165"/>
      <c r="DV5940" s="165"/>
      <c r="DW5940" s="165"/>
      <c r="DX5940" s="165"/>
      <c r="DY5940" s="165"/>
      <c r="DZ5940" s="165"/>
      <c r="EA5940" s="165"/>
      <c r="EB5940" s="165"/>
      <c r="EC5940" s="165"/>
      <c r="ED5940" s="165"/>
      <c r="EE5940" s="165"/>
      <c r="EF5940" s="165"/>
      <c r="EG5940" s="165"/>
      <c r="EH5940" s="165"/>
      <c r="EI5940" s="165"/>
      <c r="EJ5940" s="165"/>
      <c r="EK5940" s="165"/>
      <c r="EL5940" s="165"/>
      <c r="EM5940" s="165"/>
      <c r="EN5940" s="165"/>
      <c r="EO5940" s="165"/>
      <c r="EP5940" s="165"/>
      <c r="EQ5940" s="165"/>
      <c r="ER5940" s="165"/>
      <c r="ES5940" s="165"/>
    </row>
    <row r="5941" spans="1:149" s="451" customFormat="1" ht="15" hidden="1" customHeight="1">
      <c r="A5941" s="468">
        <v>45541</v>
      </c>
      <c r="B5941" s="208" t="s">
        <v>3716</v>
      </c>
      <c r="C5941" s="208" t="s">
        <v>4314</v>
      </c>
      <c r="D5941" s="211">
        <v>-3460</v>
      </c>
      <c r="E5941" s="212">
        <v>45536</v>
      </c>
      <c r="F5941" s="208" t="s">
        <v>110</v>
      </c>
      <c r="G5941" s="201" t="s">
        <v>1489</v>
      </c>
      <c r="H5941" s="208" t="s">
        <v>138</v>
      </c>
      <c r="I5941" s="208"/>
      <c r="J5941" s="209"/>
      <c r="K5941" s="209"/>
      <c r="L5941" s="209"/>
      <c r="M5941" s="209"/>
      <c r="N5941" s="209"/>
      <c r="O5941" s="209"/>
      <c r="P5941" s="209"/>
      <c r="Q5941" s="209"/>
      <c r="R5941" s="209"/>
      <c r="S5941" s="209"/>
      <c r="T5941" s="209"/>
      <c r="U5941" s="165"/>
      <c r="V5941" s="165"/>
      <c r="W5941" s="165"/>
      <c r="X5941" s="165"/>
      <c r="Y5941" s="165"/>
      <c r="Z5941" s="165"/>
      <c r="AA5941" s="165"/>
      <c r="AB5941" s="165"/>
      <c r="AC5941" s="165"/>
      <c r="AD5941" s="165"/>
      <c r="AE5941" s="165"/>
      <c r="AF5941" s="165"/>
      <c r="AG5941" s="165"/>
      <c r="AH5941" s="165"/>
      <c r="AI5941" s="165"/>
      <c r="AJ5941" s="165"/>
      <c r="AK5941" s="165"/>
      <c r="AL5941" s="165"/>
      <c r="AM5941" s="165"/>
      <c r="AN5941" s="165"/>
      <c r="AO5941" s="165"/>
      <c r="AP5941" s="165"/>
      <c r="AQ5941" s="165"/>
      <c r="AR5941" s="165"/>
      <c r="AS5941" s="165"/>
      <c r="AT5941" s="165"/>
      <c r="AU5941" s="165"/>
      <c r="AV5941" s="165"/>
      <c r="AW5941" s="165"/>
      <c r="AX5941" s="165"/>
      <c r="AY5941" s="165"/>
      <c r="AZ5941" s="165"/>
      <c r="BA5941" s="165"/>
      <c r="BB5941" s="165"/>
      <c r="BC5941" s="165"/>
      <c r="BD5941" s="165"/>
      <c r="BE5941" s="165"/>
      <c r="BF5941" s="165"/>
      <c r="BG5941" s="165"/>
      <c r="BH5941" s="165"/>
      <c r="BI5941" s="165"/>
      <c r="BJ5941" s="165"/>
      <c r="BK5941" s="165"/>
      <c r="BL5941" s="165"/>
      <c r="BM5941" s="165"/>
      <c r="BN5941" s="165"/>
      <c r="BO5941" s="165"/>
      <c r="BP5941" s="165"/>
      <c r="BQ5941" s="165"/>
      <c r="BR5941" s="165"/>
      <c r="BS5941" s="165"/>
      <c r="BT5941" s="165"/>
      <c r="BU5941" s="165"/>
      <c r="BV5941" s="165"/>
      <c r="BW5941" s="165"/>
      <c r="BX5941" s="165"/>
      <c r="BY5941" s="165"/>
      <c r="BZ5941" s="165"/>
      <c r="CA5941" s="165"/>
      <c r="CB5941" s="165"/>
      <c r="CC5941" s="165"/>
      <c r="CD5941" s="165"/>
      <c r="CE5941" s="165"/>
      <c r="CF5941" s="165"/>
      <c r="CG5941" s="165"/>
      <c r="CH5941" s="165"/>
      <c r="CI5941" s="165"/>
      <c r="CJ5941" s="165"/>
      <c r="CK5941" s="165"/>
      <c r="CL5941" s="165"/>
      <c r="CM5941" s="165"/>
      <c r="CN5941" s="165"/>
      <c r="CO5941" s="165"/>
      <c r="CP5941" s="165"/>
      <c r="CQ5941" s="165"/>
      <c r="CR5941" s="165"/>
      <c r="CS5941" s="165"/>
      <c r="CT5941" s="165"/>
      <c r="CU5941" s="165"/>
      <c r="CV5941" s="165"/>
      <c r="CW5941" s="165"/>
      <c r="CX5941" s="165"/>
      <c r="CY5941" s="165"/>
      <c r="CZ5941" s="165"/>
      <c r="DA5941" s="165"/>
      <c r="DB5941" s="165"/>
      <c r="DC5941" s="165"/>
      <c r="DD5941" s="165"/>
      <c r="DE5941" s="165"/>
      <c r="DF5941" s="165"/>
      <c r="DG5941" s="165"/>
      <c r="DH5941" s="165"/>
      <c r="DI5941" s="165"/>
      <c r="DJ5941" s="165"/>
      <c r="DK5941" s="165"/>
      <c r="DL5941" s="165"/>
      <c r="DM5941" s="165"/>
      <c r="DN5941" s="165"/>
      <c r="DO5941" s="165"/>
      <c r="DP5941" s="165"/>
      <c r="DQ5941" s="165"/>
      <c r="DR5941" s="165"/>
      <c r="DS5941" s="165"/>
      <c r="DT5941" s="165"/>
      <c r="DU5941" s="165"/>
      <c r="DV5941" s="165"/>
      <c r="DW5941" s="165"/>
      <c r="DX5941" s="165"/>
      <c r="DY5941" s="165"/>
      <c r="DZ5941" s="165"/>
      <c r="EA5941" s="165"/>
      <c r="EB5941" s="165"/>
      <c r="EC5941" s="165"/>
      <c r="ED5941" s="165"/>
      <c r="EE5941" s="165"/>
      <c r="EF5941" s="165"/>
      <c r="EG5941" s="165"/>
      <c r="EH5941" s="165"/>
      <c r="EI5941" s="165"/>
      <c r="EJ5941" s="165"/>
      <c r="EK5941" s="165"/>
      <c r="EL5941" s="165"/>
      <c r="EM5941" s="165"/>
      <c r="EN5941" s="165"/>
      <c r="EO5941" s="165"/>
      <c r="EP5941" s="165"/>
      <c r="EQ5941" s="165"/>
      <c r="ER5941" s="165"/>
      <c r="ES5941" s="165"/>
    </row>
    <row r="5942" spans="1:149" s="451" customFormat="1" ht="15" hidden="1" customHeight="1">
      <c r="A5942" s="468">
        <v>45541</v>
      </c>
      <c r="B5942" s="208" t="s">
        <v>3717</v>
      </c>
      <c r="C5942" s="208" t="s">
        <v>4314</v>
      </c>
      <c r="D5942" s="211">
        <v>-2076</v>
      </c>
      <c r="E5942" s="212">
        <v>45536</v>
      </c>
      <c r="F5942" s="208" t="s">
        <v>110</v>
      </c>
      <c r="G5942" s="201" t="s">
        <v>1489</v>
      </c>
      <c r="H5942" s="208" t="s">
        <v>138</v>
      </c>
      <c r="I5942" s="208"/>
      <c r="J5942" s="209"/>
      <c r="K5942" s="209"/>
      <c r="L5942" s="209"/>
      <c r="M5942" s="209"/>
      <c r="N5942" s="209"/>
      <c r="O5942" s="209"/>
      <c r="P5942" s="209"/>
      <c r="Q5942" s="209"/>
      <c r="R5942" s="209"/>
      <c r="S5942" s="209"/>
      <c r="T5942" s="209"/>
      <c r="U5942" s="165"/>
      <c r="V5942" s="165"/>
      <c r="W5942" s="165"/>
      <c r="X5942" s="165"/>
      <c r="Y5942" s="165"/>
      <c r="Z5942" s="165"/>
      <c r="AA5942" s="165"/>
      <c r="AB5942" s="165"/>
      <c r="AC5942" s="165"/>
      <c r="AD5942" s="165"/>
      <c r="AE5942" s="165"/>
      <c r="AF5942" s="165"/>
      <c r="AG5942" s="165"/>
      <c r="AH5942" s="165"/>
      <c r="AI5942" s="165"/>
      <c r="AJ5942" s="165"/>
      <c r="AK5942" s="165"/>
      <c r="AL5942" s="165"/>
      <c r="AM5942" s="165"/>
      <c r="AN5942" s="165"/>
      <c r="AO5942" s="165"/>
      <c r="AP5942" s="165"/>
      <c r="AQ5942" s="165"/>
      <c r="AR5942" s="165"/>
      <c r="AS5942" s="165"/>
      <c r="AT5942" s="165"/>
      <c r="AU5942" s="165"/>
      <c r="AV5942" s="165"/>
      <c r="AW5942" s="165"/>
      <c r="AX5942" s="165"/>
      <c r="AY5942" s="165"/>
      <c r="AZ5942" s="165"/>
      <c r="BA5942" s="165"/>
      <c r="BB5942" s="165"/>
      <c r="BC5942" s="165"/>
      <c r="BD5942" s="165"/>
      <c r="BE5942" s="165"/>
      <c r="BF5942" s="165"/>
      <c r="BG5942" s="165"/>
      <c r="BH5942" s="165"/>
      <c r="BI5942" s="165"/>
      <c r="BJ5942" s="165"/>
      <c r="BK5942" s="165"/>
      <c r="BL5942" s="165"/>
      <c r="BM5942" s="165"/>
      <c r="BN5942" s="165"/>
      <c r="BO5942" s="165"/>
      <c r="BP5942" s="165"/>
      <c r="BQ5942" s="165"/>
      <c r="BR5942" s="165"/>
      <c r="BS5942" s="165"/>
      <c r="BT5942" s="165"/>
      <c r="BU5942" s="165"/>
      <c r="BV5942" s="165"/>
      <c r="BW5942" s="165"/>
      <c r="BX5942" s="165"/>
      <c r="BY5942" s="165"/>
      <c r="BZ5942" s="165"/>
      <c r="CA5942" s="165"/>
      <c r="CB5942" s="165"/>
      <c r="CC5942" s="165"/>
      <c r="CD5942" s="165"/>
      <c r="CE5942" s="165"/>
      <c r="CF5942" s="165"/>
      <c r="CG5942" s="165"/>
      <c r="CH5942" s="165"/>
      <c r="CI5942" s="165"/>
      <c r="CJ5942" s="165"/>
      <c r="CK5942" s="165"/>
      <c r="CL5942" s="165"/>
      <c r="CM5942" s="165"/>
      <c r="CN5942" s="165"/>
      <c r="CO5942" s="165"/>
      <c r="CP5942" s="165"/>
      <c r="CQ5942" s="165"/>
      <c r="CR5942" s="165"/>
      <c r="CS5942" s="165"/>
      <c r="CT5942" s="165"/>
      <c r="CU5942" s="165"/>
      <c r="CV5942" s="165"/>
      <c r="CW5942" s="165"/>
      <c r="CX5942" s="165"/>
      <c r="CY5942" s="165"/>
      <c r="CZ5942" s="165"/>
      <c r="DA5942" s="165"/>
      <c r="DB5942" s="165"/>
      <c r="DC5942" s="165"/>
      <c r="DD5942" s="165"/>
      <c r="DE5942" s="165"/>
      <c r="DF5942" s="165"/>
      <c r="DG5942" s="165"/>
      <c r="DH5942" s="165"/>
      <c r="DI5942" s="165"/>
      <c r="DJ5942" s="165"/>
      <c r="DK5942" s="165"/>
      <c r="DL5942" s="165"/>
      <c r="DM5942" s="165"/>
      <c r="DN5942" s="165"/>
      <c r="DO5942" s="165"/>
      <c r="DP5942" s="165"/>
      <c r="DQ5942" s="165"/>
      <c r="DR5942" s="165"/>
      <c r="DS5942" s="165"/>
      <c r="DT5942" s="165"/>
      <c r="DU5942" s="165"/>
      <c r="DV5942" s="165"/>
      <c r="DW5942" s="165"/>
      <c r="DX5942" s="165"/>
      <c r="DY5942" s="165"/>
      <c r="DZ5942" s="165"/>
      <c r="EA5942" s="165"/>
      <c r="EB5942" s="165"/>
      <c r="EC5942" s="165"/>
      <c r="ED5942" s="165"/>
      <c r="EE5942" s="165"/>
      <c r="EF5942" s="165"/>
      <c r="EG5942" s="165"/>
      <c r="EH5942" s="165"/>
      <c r="EI5942" s="165"/>
      <c r="EJ5942" s="165"/>
      <c r="EK5942" s="165"/>
      <c r="EL5942" s="165"/>
      <c r="EM5942" s="165"/>
      <c r="EN5942" s="165"/>
      <c r="EO5942" s="165"/>
      <c r="EP5942" s="165"/>
      <c r="EQ5942" s="165"/>
      <c r="ER5942" s="165"/>
      <c r="ES5942" s="165"/>
    </row>
    <row r="5943" spans="1:149" s="451" customFormat="1" ht="15" hidden="1" customHeight="1">
      <c r="A5943" s="468">
        <v>45541</v>
      </c>
      <c r="B5943" s="208" t="s">
        <v>4892</v>
      </c>
      <c r="C5943" s="208" t="s">
        <v>27</v>
      </c>
      <c r="D5943" s="211">
        <v>-401000</v>
      </c>
      <c r="E5943" s="212">
        <v>45536</v>
      </c>
      <c r="F5943" s="208" t="s">
        <v>130</v>
      </c>
      <c r="G5943" s="208" t="s">
        <v>130</v>
      </c>
      <c r="H5943" s="208" t="s">
        <v>2444</v>
      </c>
      <c r="I5943" s="208"/>
      <c r="J5943" s="209"/>
      <c r="K5943" s="209"/>
      <c r="L5943" s="209"/>
      <c r="M5943" s="209"/>
      <c r="N5943" s="209"/>
      <c r="O5943" s="209"/>
      <c r="P5943" s="209"/>
      <c r="Q5943" s="209"/>
      <c r="R5943" s="209"/>
      <c r="S5943" s="209"/>
      <c r="T5943" s="209"/>
    </row>
    <row r="5944" spans="1:149" s="451" customFormat="1" ht="15" hidden="1" customHeight="1">
      <c r="A5944" s="468">
        <v>45541</v>
      </c>
      <c r="B5944" s="208" t="s">
        <v>4893</v>
      </c>
      <c r="C5944" s="208" t="s">
        <v>27</v>
      </c>
      <c r="D5944" s="211">
        <v>-8360847.7199999997</v>
      </c>
      <c r="E5944" s="212">
        <v>45536</v>
      </c>
      <c r="F5944" s="654" t="s">
        <v>109</v>
      </c>
      <c r="G5944" s="601" t="s">
        <v>581</v>
      </c>
      <c r="H5944" s="208"/>
      <c r="I5944" s="208"/>
      <c r="J5944" s="209"/>
      <c r="K5944" s="209"/>
      <c r="L5944" s="209"/>
      <c r="M5944" s="209"/>
      <c r="N5944" s="209"/>
      <c r="O5944" s="209"/>
      <c r="P5944" s="209"/>
      <c r="Q5944" s="209"/>
      <c r="R5944" s="209"/>
      <c r="S5944" s="209"/>
      <c r="T5944" s="209"/>
    </row>
    <row r="5945" spans="1:149" s="451" customFormat="1" ht="15" hidden="1" customHeight="1">
      <c r="A5945" s="468">
        <v>45541</v>
      </c>
      <c r="B5945" s="208" t="s">
        <v>4894</v>
      </c>
      <c r="C5945" s="208" t="s">
        <v>4783</v>
      </c>
      <c r="D5945" s="211">
        <v>770000000</v>
      </c>
      <c r="E5945" s="212">
        <v>45536</v>
      </c>
      <c r="F5945" s="208" t="s">
        <v>707</v>
      </c>
      <c r="G5945" s="208" t="s">
        <v>10</v>
      </c>
      <c r="H5945" s="208" t="s">
        <v>461</v>
      </c>
      <c r="I5945" s="208"/>
      <c r="J5945" s="209"/>
      <c r="K5945" s="209"/>
      <c r="L5945" s="209"/>
      <c r="M5945" s="209"/>
      <c r="N5945" s="209"/>
      <c r="O5945" s="209"/>
      <c r="P5945" s="209"/>
      <c r="Q5945" s="209"/>
      <c r="R5945" s="209"/>
      <c r="S5945" s="209"/>
      <c r="T5945" s="209"/>
    </row>
    <row r="5946" spans="1:149" s="451" customFormat="1" ht="15" hidden="1" customHeight="1">
      <c r="A5946" s="468">
        <v>45541</v>
      </c>
      <c r="B5946" s="208" t="s">
        <v>4895</v>
      </c>
      <c r="C5946" s="208" t="s">
        <v>269</v>
      </c>
      <c r="D5946" s="211">
        <v>-42888</v>
      </c>
      <c r="E5946" s="212">
        <v>45536</v>
      </c>
      <c r="F5946" s="208" t="s">
        <v>109</v>
      </c>
      <c r="G5946" s="208" t="s">
        <v>3529</v>
      </c>
      <c r="H5946" s="208" t="s">
        <v>175</v>
      </c>
      <c r="I5946" s="208" t="s">
        <v>173</v>
      </c>
      <c r="J5946" s="209"/>
      <c r="K5946" s="209"/>
      <c r="L5946" s="209"/>
      <c r="M5946" s="209"/>
      <c r="N5946" s="209"/>
      <c r="O5946" s="209"/>
      <c r="P5946" s="209"/>
      <c r="Q5946" s="209"/>
      <c r="R5946" s="209"/>
      <c r="S5946" s="209"/>
      <c r="T5946" s="209"/>
      <c r="U5946" s="165"/>
      <c r="V5946" s="165"/>
      <c r="W5946" s="165"/>
      <c r="X5946" s="165"/>
      <c r="Y5946" s="165"/>
      <c r="Z5946" s="165"/>
      <c r="AA5946" s="165"/>
      <c r="AB5946" s="165"/>
      <c r="AC5946" s="165"/>
      <c r="AD5946" s="165"/>
      <c r="AE5946" s="165"/>
      <c r="AF5946" s="165"/>
      <c r="AG5946" s="165"/>
      <c r="AH5946" s="165"/>
      <c r="AI5946" s="165"/>
      <c r="AJ5946" s="165"/>
      <c r="AK5946" s="165"/>
      <c r="AL5946" s="165"/>
      <c r="AM5946" s="165"/>
      <c r="AN5946" s="165"/>
      <c r="AO5946" s="165"/>
      <c r="AP5946" s="165"/>
      <c r="AQ5946" s="165"/>
      <c r="AR5946" s="165"/>
      <c r="AS5946" s="165"/>
      <c r="AT5946" s="165"/>
      <c r="AU5946" s="165"/>
      <c r="AV5946" s="165"/>
      <c r="AW5946" s="165"/>
      <c r="AX5946" s="165"/>
      <c r="AY5946" s="165"/>
      <c r="AZ5946" s="165"/>
      <c r="BA5946" s="165"/>
      <c r="BB5946" s="165"/>
      <c r="BC5946" s="165"/>
      <c r="BD5946" s="165"/>
      <c r="BE5946" s="165"/>
      <c r="BF5946" s="165"/>
      <c r="BG5946" s="165"/>
      <c r="BH5946" s="165"/>
      <c r="BI5946" s="165"/>
      <c r="BJ5946" s="165"/>
      <c r="BK5946" s="165"/>
      <c r="BL5946" s="165"/>
      <c r="BM5946" s="165"/>
      <c r="BN5946" s="165"/>
      <c r="BO5946" s="165"/>
      <c r="BP5946" s="165"/>
      <c r="BQ5946" s="165"/>
      <c r="BR5946" s="165"/>
      <c r="BS5946" s="165"/>
      <c r="BT5946" s="165"/>
      <c r="BU5946" s="165"/>
      <c r="BV5946" s="165"/>
      <c r="BW5946" s="165"/>
      <c r="BX5946" s="165"/>
      <c r="BY5946" s="165"/>
      <c r="BZ5946" s="165"/>
      <c r="CA5946" s="165"/>
      <c r="CB5946" s="165"/>
      <c r="CC5946" s="165"/>
      <c r="CD5946" s="165"/>
      <c r="CE5946" s="165"/>
      <c r="CF5946" s="165"/>
      <c r="CG5946" s="165"/>
      <c r="CH5946" s="165"/>
      <c r="CI5946" s="165"/>
      <c r="CJ5946" s="165"/>
      <c r="CK5946" s="165"/>
      <c r="CL5946" s="165"/>
      <c r="CM5946" s="165"/>
      <c r="CN5946" s="165"/>
      <c r="CO5946" s="165"/>
      <c r="CP5946" s="165"/>
      <c r="CQ5946" s="165"/>
      <c r="CR5946" s="165"/>
      <c r="CS5946" s="165"/>
      <c r="CT5946" s="165"/>
      <c r="CU5946" s="165"/>
      <c r="CV5946" s="165"/>
      <c r="CW5946" s="165"/>
      <c r="CX5946" s="165"/>
      <c r="CY5946" s="165"/>
      <c r="CZ5946" s="165"/>
      <c r="DA5946" s="165"/>
      <c r="DB5946" s="165"/>
      <c r="DC5946" s="165"/>
      <c r="DD5946" s="165"/>
      <c r="DE5946" s="165"/>
      <c r="DF5946" s="165"/>
      <c r="DG5946" s="165"/>
      <c r="DH5946" s="165"/>
      <c r="DI5946" s="165"/>
      <c r="DJ5946" s="165"/>
      <c r="DK5946" s="165"/>
      <c r="DL5946" s="165"/>
      <c r="DM5946" s="165"/>
      <c r="DN5946" s="165"/>
      <c r="DO5946" s="165"/>
      <c r="DP5946" s="165"/>
      <c r="DQ5946" s="165"/>
      <c r="DR5946" s="165"/>
      <c r="DS5946" s="165"/>
      <c r="DT5946" s="165"/>
      <c r="DU5946" s="165"/>
      <c r="DV5946" s="165"/>
      <c r="DW5946" s="165"/>
      <c r="DX5946" s="165"/>
      <c r="DY5946" s="165"/>
      <c r="DZ5946" s="165"/>
      <c r="EA5946" s="165"/>
      <c r="EB5946" s="165"/>
      <c r="EC5946" s="165"/>
      <c r="ED5946" s="165"/>
      <c r="EE5946" s="165"/>
      <c r="EF5946" s="165"/>
      <c r="EG5946" s="165"/>
      <c r="EH5946" s="165"/>
      <c r="EI5946" s="165"/>
      <c r="EJ5946" s="165"/>
      <c r="EK5946" s="165"/>
      <c r="EL5946" s="165"/>
      <c r="EM5946" s="165"/>
      <c r="EN5946" s="165"/>
      <c r="EO5946" s="165"/>
      <c r="EP5946" s="165"/>
      <c r="EQ5946" s="165"/>
      <c r="ER5946" s="165"/>
      <c r="ES5946" s="165"/>
    </row>
    <row r="5947" spans="1:149" s="451" customFormat="1" ht="15" hidden="1" customHeight="1">
      <c r="A5947" s="468">
        <v>45541</v>
      </c>
      <c r="B5947" s="208" t="s">
        <v>4896</v>
      </c>
      <c r="C5947" s="208" t="s">
        <v>269</v>
      </c>
      <c r="D5947" s="211">
        <v>-79200</v>
      </c>
      <c r="E5947" s="212">
        <v>45536</v>
      </c>
      <c r="F5947" s="208" t="s">
        <v>109</v>
      </c>
      <c r="G5947" s="208" t="s">
        <v>3529</v>
      </c>
      <c r="H5947" s="208" t="s">
        <v>175</v>
      </c>
      <c r="I5947" s="208" t="s">
        <v>173</v>
      </c>
      <c r="J5947" s="209"/>
      <c r="K5947" s="209"/>
      <c r="L5947" s="209"/>
      <c r="M5947" s="209"/>
      <c r="N5947" s="209"/>
      <c r="O5947" s="209"/>
      <c r="P5947" s="209"/>
      <c r="Q5947" s="209"/>
      <c r="R5947" s="209"/>
      <c r="S5947" s="209"/>
      <c r="T5947" s="209"/>
      <c r="U5947" s="165"/>
      <c r="V5947" s="165"/>
      <c r="W5947" s="165"/>
      <c r="X5947" s="165"/>
      <c r="Y5947" s="165"/>
      <c r="Z5947" s="165"/>
      <c r="AA5947" s="165"/>
      <c r="AB5947" s="165"/>
      <c r="AC5947" s="165"/>
      <c r="AD5947" s="165"/>
      <c r="AE5947" s="165"/>
      <c r="AF5947" s="165"/>
      <c r="AG5947" s="165"/>
      <c r="AH5947" s="165"/>
      <c r="AI5947" s="165"/>
      <c r="AJ5947" s="165"/>
      <c r="AK5947" s="165"/>
      <c r="AL5947" s="165"/>
      <c r="AM5947" s="165"/>
      <c r="AN5947" s="165"/>
      <c r="AO5947" s="165"/>
      <c r="AP5947" s="165"/>
      <c r="AQ5947" s="165"/>
      <c r="AR5947" s="165"/>
      <c r="AS5947" s="165"/>
      <c r="AT5947" s="165"/>
      <c r="AU5947" s="165"/>
      <c r="AV5947" s="165"/>
      <c r="AW5947" s="165"/>
      <c r="AX5947" s="165"/>
      <c r="AY5947" s="165"/>
      <c r="AZ5947" s="165"/>
      <c r="BA5947" s="165"/>
      <c r="BB5947" s="165"/>
      <c r="BC5947" s="165"/>
      <c r="BD5947" s="165"/>
      <c r="BE5947" s="165"/>
      <c r="BF5947" s="165"/>
      <c r="BG5947" s="165"/>
      <c r="BH5947" s="165"/>
      <c r="BI5947" s="165"/>
      <c r="BJ5947" s="165"/>
      <c r="BK5947" s="165"/>
      <c r="BL5947" s="165"/>
      <c r="BM5947" s="165"/>
      <c r="BN5947" s="165"/>
      <c r="BO5947" s="165"/>
      <c r="BP5947" s="165"/>
      <c r="BQ5947" s="165"/>
      <c r="BR5947" s="165"/>
      <c r="BS5947" s="165"/>
      <c r="BT5947" s="165"/>
      <c r="BU5947" s="165"/>
      <c r="BV5947" s="165"/>
      <c r="BW5947" s="165"/>
      <c r="BX5947" s="165"/>
      <c r="BY5947" s="165"/>
      <c r="BZ5947" s="165"/>
      <c r="CA5947" s="165"/>
      <c r="CB5947" s="165"/>
      <c r="CC5947" s="165"/>
      <c r="CD5947" s="165"/>
      <c r="CE5947" s="165"/>
      <c r="CF5947" s="165"/>
      <c r="CG5947" s="165"/>
      <c r="CH5947" s="165"/>
      <c r="CI5947" s="165"/>
      <c r="CJ5947" s="165"/>
      <c r="CK5947" s="165"/>
      <c r="CL5947" s="165"/>
      <c r="CM5947" s="165"/>
      <c r="CN5947" s="165"/>
      <c r="CO5947" s="165"/>
      <c r="CP5947" s="165"/>
      <c r="CQ5947" s="165"/>
      <c r="CR5947" s="165"/>
      <c r="CS5947" s="165"/>
      <c r="CT5947" s="165"/>
      <c r="CU5947" s="165"/>
      <c r="CV5947" s="165"/>
      <c r="CW5947" s="165"/>
      <c r="CX5947" s="165"/>
      <c r="CY5947" s="165"/>
      <c r="CZ5947" s="165"/>
      <c r="DA5947" s="165"/>
      <c r="DB5947" s="165"/>
      <c r="DC5947" s="165"/>
      <c r="DD5947" s="165"/>
      <c r="DE5947" s="165"/>
      <c r="DF5947" s="165"/>
      <c r="DG5947" s="165"/>
      <c r="DH5947" s="165"/>
      <c r="DI5947" s="165"/>
      <c r="DJ5947" s="165"/>
      <c r="DK5947" s="165"/>
      <c r="DL5947" s="165"/>
      <c r="DM5947" s="165"/>
      <c r="DN5947" s="165"/>
      <c r="DO5947" s="165"/>
      <c r="DP5947" s="165"/>
      <c r="DQ5947" s="165"/>
      <c r="DR5947" s="165"/>
      <c r="DS5947" s="165"/>
      <c r="DT5947" s="165"/>
      <c r="DU5947" s="165"/>
      <c r="DV5947" s="165"/>
      <c r="DW5947" s="165"/>
      <c r="DX5947" s="165"/>
      <c r="DY5947" s="165"/>
      <c r="DZ5947" s="165"/>
      <c r="EA5947" s="165"/>
      <c r="EB5947" s="165"/>
      <c r="EC5947" s="165"/>
      <c r="ED5947" s="165"/>
      <c r="EE5947" s="165"/>
      <c r="EF5947" s="165"/>
      <c r="EG5947" s="165"/>
      <c r="EH5947" s="165"/>
      <c r="EI5947" s="165"/>
      <c r="EJ5947" s="165"/>
      <c r="EK5947" s="165"/>
      <c r="EL5947" s="165"/>
      <c r="EM5947" s="165"/>
      <c r="EN5947" s="165"/>
      <c r="EO5947" s="165"/>
      <c r="EP5947" s="165"/>
      <c r="EQ5947" s="165"/>
      <c r="ER5947" s="165"/>
      <c r="ES5947" s="165"/>
    </row>
    <row r="5948" spans="1:149" s="451" customFormat="1" ht="15" hidden="1" customHeight="1">
      <c r="A5948" s="468">
        <v>45541</v>
      </c>
      <c r="B5948" s="208" t="s">
        <v>4897</v>
      </c>
      <c r="C5948" s="208" t="s">
        <v>269</v>
      </c>
      <c r="D5948" s="211">
        <v>-136500</v>
      </c>
      <c r="E5948" s="212">
        <v>45536</v>
      </c>
      <c r="F5948" s="208" t="s">
        <v>109</v>
      </c>
      <c r="G5948" s="208" t="s">
        <v>3529</v>
      </c>
      <c r="H5948" s="208" t="s">
        <v>175</v>
      </c>
      <c r="I5948" s="208" t="s">
        <v>173</v>
      </c>
      <c r="J5948" s="209"/>
      <c r="K5948" s="209"/>
      <c r="L5948" s="209"/>
      <c r="M5948" s="209"/>
      <c r="N5948" s="209"/>
      <c r="O5948" s="209"/>
      <c r="P5948" s="209"/>
      <c r="Q5948" s="209"/>
      <c r="R5948" s="209"/>
      <c r="S5948" s="209"/>
      <c r="T5948" s="209"/>
      <c r="U5948" s="165"/>
      <c r="V5948" s="165"/>
      <c r="W5948" s="165"/>
      <c r="X5948" s="165"/>
      <c r="Y5948" s="165"/>
      <c r="Z5948" s="165"/>
      <c r="AA5948" s="165"/>
      <c r="AB5948" s="165"/>
      <c r="AC5948" s="165"/>
      <c r="AD5948" s="165"/>
      <c r="AE5948" s="165"/>
      <c r="AF5948" s="165"/>
      <c r="AG5948" s="165"/>
      <c r="AH5948" s="165"/>
      <c r="AI5948" s="165"/>
      <c r="AJ5948" s="165"/>
      <c r="AK5948" s="165"/>
      <c r="AL5948" s="165"/>
      <c r="AM5948" s="165"/>
      <c r="AN5948" s="165"/>
      <c r="AO5948" s="165"/>
      <c r="AP5948" s="165"/>
      <c r="AQ5948" s="165"/>
      <c r="AR5948" s="165"/>
      <c r="AS5948" s="165"/>
      <c r="AT5948" s="165"/>
      <c r="AU5948" s="165"/>
      <c r="AV5948" s="165"/>
      <c r="AW5948" s="165"/>
      <c r="AX5948" s="165"/>
      <c r="AY5948" s="165"/>
      <c r="AZ5948" s="165"/>
      <c r="BA5948" s="165"/>
      <c r="BB5948" s="165"/>
      <c r="BC5948" s="165"/>
      <c r="BD5948" s="165"/>
      <c r="BE5948" s="165"/>
      <c r="BF5948" s="165"/>
      <c r="BG5948" s="165"/>
      <c r="BH5948" s="165"/>
      <c r="BI5948" s="165"/>
      <c r="BJ5948" s="165"/>
      <c r="BK5948" s="165"/>
      <c r="BL5948" s="165"/>
      <c r="BM5948" s="165"/>
      <c r="BN5948" s="165"/>
      <c r="BO5948" s="165"/>
      <c r="BP5948" s="165"/>
      <c r="BQ5948" s="165"/>
      <c r="BR5948" s="165"/>
      <c r="BS5948" s="165"/>
      <c r="BT5948" s="165"/>
      <c r="BU5948" s="165"/>
      <c r="BV5948" s="165"/>
      <c r="BW5948" s="165"/>
      <c r="BX5948" s="165"/>
      <c r="BY5948" s="165"/>
      <c r="BZ5948" s="165"/>
      <c r="CA5948" s="165"/>
      <c r="CB5948" s="165"/>
      <c r="CC5948" s="165"/>
      <c r="CD5948" s="165"/>
      <c r="CE5948" s="165"/>
      <c r="CF5948" s="165"/>
      <c r="CG5948" s="165"/>
      <c r="CH5948" s="165"/>
      <c r="CI5948" s="165"/>
      <c r="CJ5948" s="165"/>
      <c r="CK5948" s="165"/>
      <c r="CL5948" s="165"/>
      <c r="CM5948" s="165"/>
      <c r="CN5948" s="165"/>
      <c r="CO5948" s="165"/>
      <c r="CP5948" s="165"/>
      <c r="CQ5948" s="165"/>
      <c r="CR5948" s="165"/>
      <c r="CS5948" s="165"/>
      <c r="CT5948" s="165"/>
      <c r="CU5948" s="165"/>
      <c r="CV5948" s="165"/>
      <c r="CW5948" s="165"/>
      <c r="CX5948" s="165"/>
      <c r="CY5948" s="165"/>
      <c r="CZ5948" s="165"/>
      <c r="DA5948" s="165"/>
      <c r="DB5948" s="165"/>
      <c r="DC5948" s="165"/>
      <c r="DD5948" s="165"/>
      <c r="DE5948" s="165"/>
      <c r="DF5948" s="165"/>
      <c r="DG5948" s="165"/>
      <c r="DH5948" s="165"/>
      <c r="DI5948" s="165"/>
      <c r="DJ5948" s="165"/>
      <c r="DK5948" s="165"/>
      <c r="DL5948" s="165"/>
      <c r="DM5948" s="165"/>
      <c r="DN5948" s="165"/>
      <c r="DO5948" s="165"/>
      <c r="DP5948" s="165"/>
      <c r="DQ5948" s="165"/>
      <c r="DR5948" s="165"/>
      <c r="DS5948" s="165"/>
      <c r="DT5948" s="165"/>
      <c r="DU5948" s="165"/>
      <c r="DV5948" s="165"/>
      <c r="DW5948" s="165"/>
      <c r="DX5948" s="165"/>
      <c r="DY5948" s="165"/>
      <c r="DZ5948" s="165"/>
      <c r="EA5948" s="165"/>
      <c r="EB5948" s="165"/>
      <c r="EC5948" s="165"/>
      <c r="ED5948" s="165"/>
      <c r="EE5948" s="165"/>
      <c r="EF5948" s="165"/>
      <c r="EG5948" s="165"/>
      <c r="EH5948" s="165"/>
      <c r="EI5948" s="165"/>
      <c r="EJ5948" s="165"/>
      <c r="EK5948" s="165"/>
      <c r="EL5948" s="165"/>
      <c r="EM5948" s="165"/>
      <c r="EN5948" s="165"/>
      <c r="EO5948" s="165"/>
      <c r="EP5948" s="165"/>
      <c r="EQ5948" s="165"/>
      <c r="ER5948" s="165"/>
      <c r="ES5948" s="165"/>
    </row>
    <row r="5949" spans="1:149" s="451" customFormat="1" ht="15" hidden="1" customHeight="1">
      <c r="A5949" s="468">
        <v>45541</v>
      </c>
      <c r="B5949" s="208" t="s">
        <v>4548</v>
      </c>
      <c r="C5949" s="208" t="s">
        <v>269</v>
      </c>
      <c r="D5949" s="211">
        <v>-14000</v>
      </c>
      <c r="E5949" s="212">
        <v>45536</v>
      </c>
      <c r="F5949" s="208" t="s">
        <v>130</v>
      </c>
      <c r="G5949" s="208" t="s">
        <v>130</v>
      </c>
      <c r="H5949" s="208" t="s">
        <v>2444</v>
      </c>
      <c r="I5949" s="208" t="s">
        <v>173</v>
      </c>
      <c r="J5949" s="209"/>
      <c r="K5949" s="209"/>
      <c r="L5949" s="209"/>
      <c r="M5949" s="209"/>
      <c r="N5949" s="209"/>
      <c r="O5949" s="209"/>
      <c r="P5949" s="209"/>
      <c r="Q5949" s="209"/>
      <c r="R5949" s="209"/>
      <c r="S5949" s="209"/>
      <c r="T5949" s="209"/>
      <c r="U5949" s="165"/>
      <c r="V5949" s="165"/>
      <c r="W5949" s="165"/>
      <c r="X5949" s="165"/>
      <c r="Y5949" s="165"/>
      <c r="Z5949" s="165"/>
      <c r="AA5949" s="165"/>
      <c r="AB5949" s="165"/>
      <c r="AC5949" s="165"/>
      <c r="AD5949" s="165"/>
      <c r="AE5949" s="165"/>
      <c r="AF5949" s="165"/>
      <c r="AG5949" s="165"/>
      <c r="AH5949" s="165"/>
      <c r="AI5949" s="165"/>
      <c r="AJ5949" s="165"/>
      <c r="AK5949" s="165"/>
      <c r="AL5949" s="165"/>
      <c r="AM5949" s="165"/>
      <c r="AN5949" s="165"/>
      <c r="AO5949" s="165"/>
      <c r="AP5949" s="165"/>
      <c r="AQ5949" s="165"/>
      <c r="AR5949" s="165"/>
      <c r="AS5949" s="165"/>
      <c r="AT5949" s="165"/>
      <c r="AU5949" s="165"/>
      <c r="AV5949" s="165"/>
      <c r="AW5949" s="165"/>
      <c r="AX5949" s="165"/>
      <c r="AY5949" s="165"/>
      <c r="AZ5949" s="165"/>
      <c r="BA5949" s="165"/>
      <c r="BB5949" s="165"/>
      <c r="BC5949" s="165"/>
      <c r="BD5949" s="165"/>
      <c r="BE5949" s="165"/>
      <c r="BF5949" s="165"/>
      <c r="BG5949" s="165"/>
      <c r="BH5949" s="165"/>
      <c r="BI5949" s="165"/>
      <c r="BJ5949" s="165"/>
      <c r="BK5949" s="165"/>
      <c r="BL5949" s="165"/>
      <c r="BM5949" s="165"/>
      <c r="BN5949" s="165"/>
      <c r="BO5949" s="165"/>
      <c r="BP5949" s="165"/>
      <c r="BQ5949" s="165"/>
      <c r="BR5949" s="165"/>
      <c r="BS5949" s="165"/>
      <c r="BT5949" s="165"/>
      <c r="BU5949" s="165"/>
      <c r="BV5949" s="165"/>
      <c r="BW5949" s="165"/>
      <c r="BX5949" s="165"/>
      <c r="BY5949" s="165"/>
      <c r="BZ5949" s="165"/>
      <c r="CA5949" s="165"/>
      <c r="CB5949" s="165"/>
      <c r="CC5949" s="165"/>
      <c r="CD5949" s="165"/>
      <c r="CE5949" s="165"/>
      <c r="CF5949" s="165"/>
      <c r="CG5949" s="165"/>
      <c r="CH5949" s="165"/>
      <c r="CI5949" s="165"/>
      <c r="CJ5949" s="165"/>
      <c r="CK5949" s="165"/>
      <c r="CL5949" s="165"/>
      <c r="CM5949" s="165"/>
      <c r="CN5949" s="165"/>
      <c r="CO5949" s="165"/>
      <c r="CP5949" s="165"/>
      <c r="CQ5949" s="165"/>
      <c r="CR5949" s="165"/>
      <c r="CS5949" s="165"/>
      <c r="CT5949" s="165"/>
      <c r="CU5949" s="165"/>
      <c r="CV5949" s="165"/>
      <c r="CW5949" s="165"/>
      <c r="CX5949" s="165"/>
      <c r="CY5949" s="165"/>
      <c r="CZ5949" s="165"/>
      <c r="DA5949" s="165"/>
      <c r="DB5949" s="165"/>
      <c r="DC5949" s="165"/>
      <c r="DD5949" s="165"/>
      <c r="DE5949" s="165"/>
      <c r="DF5949" s="165"/>
      <c r="DG5949" s="165"/>
      <c r="DH5949" s="165"/>
      <c r="DI5949" s="165"/>
      <c r="DJ5949" s="165"/>
      <c r="DK5949" s="165"/>
      <c r="DL5949" s="165"/>
      <c r="DM5949" s="165"/>
      <c r="DN5949" s="165"/>
      <c r="DO5949" s="165"/>
      <c r="DP5949" s="165"/>
      <c r="DQ5949" s="165"/>
      <c r="DR5949" s="165"/>
      <c r="DS5949" s="165"/>
      <c r="DT5949" s="165"/>
      <c r="DU5949" s="165"/>
      <c r="DV5949" s="165"/>
      <c r="DW5949" s="165"/>
      <c r="DX5949" s="165"/>
      <c r="DY5949" s="165"/>
      <c r="DZ5949" s="165"/>
      <c r="EA5949" s="165"/>
      <c r="EB5949" s="165"/>
      <c r="EC5949" s="165"/>
      <c r="ED5949" s="165"/>
      <c r="EE5949" s="165"/>
      <c r="EF5949" s="165"/>
      <c r="EG5949" s="165"/>
      <c r="EH5949" s="165"/>
      <c r="EI5949" s="165"/>
      <c r="EJ5949" s="165"/>
      <c r="EK5949" s="165"/>
      <c r="EL5949" s="165"/>
      <c r="EM5949" s="165"/>
      <c r="EN5949" s="165"/>
      <c r="EO5949" s="165"/>
      <c r="EP5949" s="165"/>
      <c r="EQ5949" s="165"/>
      <c r="ER5949" s="165"/>
      <c r="ES5949" s="165"/>
    </row>
    <row r="5950" spans="1:149" ht="15" hidden="1" customHeight="1">
      <c r="A5950" s="468">
        <v>45541</v>
      </c>
      <c r="B5950" s="208" t="s">
        <v>4898</v>
      </c>
      <c r="C5950" s="208" t="s">
        <v>269</v>
      </c>
      <c r="D5950" s="211">
        <v>-42000</v>
      </c>
      <c r="E5950" s="212">
        <v>45536</v>
      </c>
      <c r="F5950" s="208" t="s">
        <v>109</v>
      </c>
      <c r="G5950" s="208" t="s">
        <v>3529</v>
      </c>
      <c r="H5950" s="208" t="s">
        <v>175</v>
      </c>
      <c r="I5950" s="208" t="s">
        <v>173</v>
      </c>
      <c r="J5950" s="209"/>
      <c r="K5950" s="209"/>
      <c r="L5950" s="209"/>
      <c r="M5950" s="209"/>
      <c r="N5950" s="209"/>
      <c r="O5950" s="209"/>
      <c r="P5950" s="209"/>
      <c r="Q5950" s="209"/>
      <c r="R5950" s="209"/>
      <c r="S5950" s="209"/>
      <c r="T5950" s="209"/>
    </row>
    <row r="5951" spans="1:149" ht="15" hidden="1" customHeight="1">
      <c r="A5951" s="468">
        <v>45541</v>
      </c>
      <c r="B5951" s="208" t="s">
        <v>4883</v>
      </c>
      <c r="C5951" s="208" t="s">
        <v>269</v>
      </c>
      <c r="D5951" s="211">
        <v>-15466</v>
      </c>
      <c r="E5951" s="212">
        <v>45536</v>
      </c>
      <c r="F5951" s="208" t="s">
        <v>109</v>
      </c>
      <c r="G5951" s="208" t="s">
        <v>3529</v>
      </c>
      <c r="H5951" s="208" t="s">
        <v>175</v>
      </c>
      <c r="I5951" s="208" t="s">
        <v>173</v>
      </c>
      <c r="J5951" s="209"/>
      <c r="K5951" s="209"/>
      <c r="L5951" s="209"/>
      <c r="M5951" s="209"/>
      <c r="N5951" s="209"/>
      <c r="O5951" s="209"/>
      <c r="P5951" s="209"/>
      <c r="Q5951" s="209"/>
      <c r="R5951" s="209"/>
      <c r="S5951" s="209"/>
      <c r="T5951" s="209"/>
    </row>
    <row r="5952" spans="1:149" ht="15" hidden="1" customHeight="1">
      <c r="A5952" s="468">
        <v>45541</v>
      </c>
      <c r="B5952" s="208" t="s">
        <v>4899</v>
      </c>
      <c r="C5952" s="208" t="s">
        <v>269</v>
      </c>
      <c r="D5952" s="211">
        <v>-130000</v>
      </c>
      <c r="E5952" s="212">
        <v>45536</v>
      </c>
      <c r="F5952" s="208" t="s">
        <v>109</v>
      </c>
      <c r="G5952" s="208" t="s">
        <v>3529</v>
      </c>
      <c r="H5952" s="208" t="s">
        <v>175</v>
      </c>
      <c r="I5952" s="208" t="s">
        <v>173</v>
      </c>
      <c r="J5952" s="209"/>
      <c r="K5952" s="209"/>
      <c r="L5952" s="209"/>
      <c r="M5952" s="209"/>
      <c r="N5952" s="209"/>
      <c r="O5952" s="209"/>
      <c r="P5952" s="209"/>
      <c r="Q5952" s="209"/>
      <c r="R5952" s="209"/>
      <c r="S5952" s="209"/>
      <c r="T5952" s="209"/>
    </row>
    <row r="5953" spans="1:149" s="451" customFormat="1" ht="15" hidden="1" customHeight="1">
      <c r="A5953" s="468">
        <v>45541</v>
      </c>
      <c r="B5953" s="208" t="s">
        <v>4900</v>
      </c>
      <c r="C5953" s="208" t="s">
        <v>27</v>
      </c>
      <c r="D5953" s="211">
        <v>-375425</v>
      </c>
      <c r="E5953" s="212">
        <v>45536</v>
      </c>
      <c r="F5953" s="208" t="s">
        <v>109</v>
      </c>
      <c r="G5953" s="208" t="s">
        <v>2809</v>
      </c>
      <c r="H5953" s="208" t="s">
        <v>4814</v>
      </c>
      <c r="I5953" s="208"/>
      <c r="J5953" s="209"/>
      <c r="K5953" s="209"/>
      <c r="L5953" s="209"/>
      <c r="M5953" s="209"/>
      <c r="N5953" s="209"/>
      <c r="O5953" s="209"/>
      <c r="P5953" s="209"/>
      <c r="Q5953" s="209"/>
      <c r="R5953" s="209"/>
      <c r="S5953" s="209"/>
      <c r="T5953" s="209"/>
    </row>
    <row r="5954" spans="1:149" s="451" customFormat="1" ht="15" hidden="1" customHeight="1">
      <c r="A5954" s="468">
        <v>45541</v>
      </c>
      <c r="B5954" s="208" t="s">
        <v>4901</v>
      </c>
      <c r="C5954" s="208" t="s">
        <v>27</v>
      </c>
      <c r="D5954" s="211">
        <v>-70000000</v>
      </c>
      <c r="E5954" s="212">
        <v>45536</v>
      </c>
      <c r="F5954" s="208" t="s">
        <v>110</v>
      </c>
      <c r="G5954" s="208" t="s">
        <v>4294</v>
      </c>
      <c r="H5954" s="208" t="s">
        <v>4814</v>
      </c>
      <c r="I5954" s="208"/>
      <c r="J5954" s="209"/>
      <c r="K5954" s="209"/>
      <c r="L5954" s="209"/>
      <c r="M5954" s="209"/>
      <c r="N5954" s="209"/>
      <c r="O5954" s="209"/>
      <c r="P5954" s="209"/>
      <c r="Q5954" s="209"/>
      <c r="R5954" s="209"/>
      <c r="S5954" s="209"/>
      <c r="T5954" s="209"/>
    </row>
    <row r="5955" spans="1:149" s="451" customFormat="1" ht="15" hidden="1" customHeight="1">
      <c r="A5955" s="468">
        <v>45541</v>
      </c>
      <c r="B5955" s="208" t="s">
        <v>4902</v>
      </c>
      <c r="C5955" s="208" t="s">
        <v>27</v>
      </c>
      <c r="D5955" s="211">
        <v>-213138</v>
      </c>
      <c r="E5955" s="212">
        <v>45536</v>
      </c>
      <c r="F5955" s="208" t="s">
        <v>109</v>
      </c>
      <c r="G5955" s="208" t="s">
        <v>2809</v>
      </c>
      <c r="H5955" s="208" t="s">
        <v>4814</v>
      </c>
      <c r="I5955" s="208"/>
      <c r="J5955" s="209"/>
      <c r="K5955" s="209"/>
      <c r="L5955" s="209"/>
      <c r="M5955" s="209"/>
      <c r="N5955" s="209"/>
      <c r="O5955" s="209"/>
      <c r="P5955" s="209"/>
      <c r="Q5955" s="209"/>
      <c r="R5955" s="209"/>
      <c r="S5955" s="209"/>
      <c r="T5955" s="209"/>
    </row>
    <row r="5956" spans="1:149" s="451" customFormat="1" ht="15" hidden="1" customHeight="1">
      <c r="A5956" s="468">
        <v>45541</v>
      </c>
      <c r="B5956" s="208" t="s">
        <v>4902</v>
      </c>
      <c r="C5956" s="208" t="s">
        <v>3331</v>
      </c>
      <c r="D5956" s="211">
        <v>-149140</v>
      </c>
      <c r="E5956" s="212">
        <v>45536</v>
      </c>
      <c r="F5956" s="208" t="s">
        <v>109</v>
      </c>
      <c r="G5956" s="208" t="s">
        <v>2809</v>
      </c>
      <c r="H5956" s="208" t="s">
        <v>4814</v>
      </c>
      <c r="I5956" s="208"/>
      <c r="J5956" s="209"/>
      <c r="K5956" s="209"/>
      <c r="L5956" s="209"/>
      <c r="M5956" s="209"/>
      <c r="N5956" s="209"/>
      <c r="O5956" s="209"/>
      <c r="P5956" s="209"/>
      <c r="Q5956" s="209"/>
      <c r="R5956" s="209"/>
      <c r="S5956" s="209"/>
      <c r="T5956" s="209"/>
      <c r="U5956" s="165"/>
      <c r="V5956" s="165"/>
      <c r="W5956" s="165"/>
      <c r="X5956" s="165"/>
      <c r="Y5956" s="165"/>
      <c r="Z5956" s="165"/>
      <c r="AA5956" s="165"/>
      <c r="AB5956" s="165"/>
      <c r="AC5956" s="165"/>
      <c r="AD5956" s="165"/>
      <c r="AE5956" s="165"/>
      <c r="AF5956" s="165"/>
      <c r="AG5956" s="165"/>
      <c r="AH5956" s="165"/>
      <c r="AI5956" s="165"/>
      <c r="AJ5956" s="165"/>
      <c r="AK5956" s="165"/>
      <c r="AL5956" s="165"/>
      <c r="AM5956" s="165"/>
      <c r="AN5956" s="165"/>
      <c r="AO5956" s="165"/>
      <c r="AP5956" s="165"/>
      <c r="AQ5956" s="165"/>
      <c r="AR5956" s="165"/>
      <c r="AS5956" s="165"/>
      <c r="AT5956" s="165"/>
      <c r="AU5956" s="165"/>
      <c r="AV5956" s="165"/>
      <c r="AW5956" s="165"/>
      <c r="AX5956" s="165"/>
      <c r="AY5956" s="165"/>
      <c r="AZ5956" s="165"/>
      <c r="BA5956" s="165"/>
      <c r="BB5956" s="165"/>
      <c r="BC5956" s="165"/>
      <c r="BD5956" s="165"/>
      <c r="BE5956" s="165"/>
      <c r="BF5956" s="165"/>
      <c r="BG5956" s="165"/>
      <c r="BH5956" s="165"/>
      <c r="BI5956" s="165"/>
      <c r="BJ5956" s="165"/>
      <c r="BK5956" s="165"/>
      <c r="BL5956" s="165"/>
      <c r="BM5956" s="165"/>
      <c r="BN5956" s="165"/>
      <c r="BO5956" s="165"/>
      <c r="BP5956" s="165"/>
      <c r="BQ5956" s="165"/>
      <c r="BR5956" s="165"/>
      <c r="BS5956" s="165"/>
      <c r="BT5956" s="165"/>
      <c r="BU5956" s="165"/>
      <c r="BV5956" s="165"/>
      <c r="BW5956" s="165"/>
      <c r="BX5956" s="165"/>
      <c r="BY5956" s="165"/>
      <c r="BZ5956" s="165"/>
      <c r="CA5956" s="165"/>
      <c r="CB5956" s="165"/>
      <c r="CC5956" s="165"/>
      <c r="CD5956" s="165"/>
      <c r="CE5956" s="165"/>
      <c r="CF5956" s="165"/>
      <c r="CG5956" s="165"/>
      <c r="CH5956" s="165"/>
      <c r="CI5956" s="165"/>
      <c r="CJ5956" s="165"/>
      <c r="CK5956" s="165"/>
      <c r="CL5956" s="165"/>
      <c r="CM5956" s="165"/>
      <c r="CN5956" s="165"/>
      <c r="CO5956" s="165"/>
      <c r="CP5956" s="165"/>
      <c r="CQ5956" s="165"/>
      <c r="CR5956" s="165"/>
      <c r="CS5956" s="165"/>
      <c r="CT5956" s="165"/>
      <c r="CU5956" s="165"/>
      <c r="CV5956" s="165"/>
      <c r="CW5956" s="165"/>
      <c r="CX5956" s="165"/>
      <c r="CY5956" s="165"/>
      <c r="CZ5956" s="165"/>
      <c r="DA5956" s="165"/>
      <c r="DB5956" s="165"/>
      <c r="DC5956" s="165"/>
      <c r="DD5956" s="165"/>
      <c r="DE5956" s="165"/>
      <c r="DF5956" s="165"/>
      <c r="DG5956" s="165"/>
      <c r="DH5956" s="165"/>
      <c r="DI5956" s="165"/>
      <c r="DJ5956" s="165"/>
      <c r="DK5956" s="165"/>
      <c r="DL5956" s="165"/>
      <c r="DM5956" s="165"/>
      <c r="DN5956" s="165"/>
      <c r="DO5956" s="165"/>
      <c r="DP5956" s="165"/>
      <c r="DQ5956" s="165"/>
      <c r="DR5956" s="165"/>
      <c r="DS5956" s="165"/>
      <c r="DT5956" s="165"/>
      <c r="DU5956" s="165"/>
      <c r="DV5956" s="165"/>
      <c r="DW5956" s="165"/>
      <c r="DX5956" s="165"/>
      <c r="DY5956" s="165"/>
      <c r="DZ5956" s="165"/>
      <c r="EA5956" s="165"/>
      <c r="EB5956" s="165"/>
      <c r="EC5956" s="165"/>
      <c r="ED5956" s="165"/>
      <c r="EE5956" s="165"/>
      <c r="EF5956" s="165"/>
      <c r="EG5956" s="165"/>
      <c r="EH5956" s="165"/>
      <c r="EI5956" s="165"/>
      <c r="EJ5956" s="165"/>
      <c r="EK5956" s="165"/>
      <c r="EL5956" s="165"/>
      <c r="EM5956" s="165"/>
      <c r="EN5956" s="165"/>
      <c r="EO5956" s="165"/>
      <c r="EP5956" s="165"/>
      <c r="EQ5956" s="165"/>
      <c r="ER5956" s="165"/>
      <c r="ES5956" s="165"/>
    </row>
    <row r="5957" spans="1:149" s="451" customFormat="1" ht="15" hidden="1" customHeight="1">
      <c r="A5957" s="468">
        <v>45541</v>
      </c>
      <c r="B5957" s="208" t="s">
        <v>4903</v>
      </c>
      <c r="C5957" s="208" t="s">
        <v>269</v>
      </c>
      <c r="D5957" s="211">
        <v>-160000</v>
      </c>
      <c r="E5957" s="212">
        <v>45536</v>
      </c>
      <c r="F5957" s="208" t="s">
        <v>109</v>
      </c>
      <c r="G5957" s="201" t="s">
        <v>581</v>
      </c>
      <c r="H5957" s="208"/>
      <c r="I5957" s="208" t="s">
        <v>3364</v>
      </c>
      <c r="J5957" s="209"/>
      <c r="K5957" s="209"/>
      <c r="L5957" s="209"/>
      <c r="M5957" s="209"/>
      <c r="N5957" s="209"/>
      <c r="O5957" s="209"/>
      <c r="P5957" s="209"/>
      <c r="Q5957" s="209"/>
      <c r="R5957" s="209"/>
      <c r="S5957" s="209"/>
      <c r="T5957" s="209"/>
      <c r="U5957" s="165"/>
      <c r="V5957" s="165"/>
      <c r="W5957" s="165"/>
      <c r="X5957" s="165"/>
      <c r="Y5957" s="165"/>
      <c r="Z5957" s="165"/>
      <c r="AA5957" s="165"/>
      <c r="AB5957" s="165"/>
      <c r="AC5957" s="165"/>
      <c r="AD5957" s="165"/>
      <c r="AE5957" s="165"/>
      <c r="AF5957" s="165"/>
      <c r="AG5957" s="165"/>
      <c r="AH5957" s="165"/>
      <c r="AI5957" s="165"/>
      <c r="AJ5957" s="165"/>
      <c r="AK5957" s="165"/>
      <c r="AL5957" s="165"/>
      <c r="AM5957" s="165"/>
      <c r="AN5957" s="165"/>
      <c r="AO5957" s="165"/>
      <c r="AP5957" s="165"/>
      <c r="AQ5957" s="165"/>
      <c r="AR5957" s="165"/>
      <c r="AS5957" s="165"/>
      <c r="AT5957" s="165"/>
      <c r="AU5957" s="165"/>
      <c r="AV5957" s="165"/>
      <c r="AW5957" s="165"/>
      <c r="AX5957" s="165"/>
      <c r="AY5957" s="165"/>
      <c r="AZ5957" s="165"/>
      <c r="BA5957" s="165"/>
      <c r="BB5957" s="165"/>
      <c r="BC5957" s="165"/>
      <c r="BD5957" s="165"/>
      <c r="BE5957" s="165"/>
      <c r="BF5957" s="165"/>
      <c r="BG5957" s="165"/>
      <c r="BH5957" s="165"/>
      <c r="BI5957" s="165"/>
      <c r="BJ5957" s="165"/>
      <c r="BK5957" s="165"/>
      <c r="BL5957" s="165"/>
      <c r="BM5957" s="165"/>
      <c r="BN5957" s="165"/>
      <c r="BO5957" s="165"/>
      <c r="BP5957" s="165"/>
      <c r="BQ5957" s="165"/>
      <c r="BR5957" s="165"/>
      <c r="BS5957" s="165"/>
      <c r="BT5957" s="165"/>
      <c r="BU5957" s="165"/>
      <c r="BV5957" s="165"/>
      <c r="BW5957" s="165"/>
      <c r="BX5957" s="165"/>
      <c r="BY5957" s="165"/>
      <c r="BZ5957" s="165"/>
      <c r="CA5957" s="165"/>
      <c r="CB5957" s="165"/>
      <c r="CC5957" s="165"/>
      <c r="CD5957" s="165"/>
      <c r="CE5957" s="165"/>
      <c r="CF5957" s="165"/>
      <c r="CG5957" s="165"/>
      <c r="CH5957" s="165"/>
      <c r="CI5957" s="165"/>
      <c r="CJ5957" s="165"/>
      <c r="CK5957" s="165"/>
      <c r="CL5957" s="165"/>
      <c r="CM5957" s="165"/>
      <c r="CN5957" s="165"/>
      <c r="CO5957" s="165"/>
      <c r="CP5957" s="165"/>
      <c r="CQ5957" s="165"/>
      <c r="CR5957" s="165"/>
      <c r="CS5957" s="165"/>
      <c r="CT5957" s="165"/>
      <c r="CU5957" s="165"/>
      <c r="CV5957" s="165"/>
      <c r="CW5957" s="165"/>
      <c r="CX5957" s="165"/>
      <c r="CY5957" s="165"/>
      <c r="CZ5957" s="165"/>
      <c r="DA5957" s="165"/>
      <c r="DB5957" s="165"/>
      <c r="DC5957" s="165"/>
      <c r="DD5957" s="165"/>
      <c r="DE5957" s="165"/>
      <c r="DF5957" s="165"/>
      <c r="DG5957" s="165"/>
      <c r="DH5957" s="165"/>
      <c r="DI5957" s="165"/>
      <c r="DJ5957" s="165"/>
      <c r="DK5957" s="165"/>
      <c r="DL5957" s="165"/>
      <c r="DM5957" s="165"/>
      <c r="DN5957" s="165"/>
      <c r="DO5957" s="165"/>
      <c r="DP5957" s="165"/>
      <c r="DQ5957" s="165"/>
      <c r="DR5957" s="165"/>
      <c r="DS5957" s="165"/>
      <c r="DT5957" s="165"/>
      <c r="DU5957" s="165"/>
      <c r="DV5957" s="165"/>
      <c r="DW5957" s="165"/>
      <c r="DX5957" s="165"/>
      <c r="DY5957" s="165"/>
      <c r="DZ5957" s="165"/>
      <c r="EA5957" s="165"/>
      <c r="EB5957" s="165"/>
      <c r="EC5957" s="165"/>
      <c r="ED5957" s="165"/>
      <c r="EE5957" s="165"/>
      <c r="EF5957" s="165"/>
      <c r="EG5957" s="165"/>
      <c r="EH5957" s="165"/>
      <c r="EI5957" s="165"/>
      <c r="EJ5957" s="165"/>
      <c r="EK5957" s="165"/>
      <c r="EL5957" s="165"/>
      <c r="EM5957" s="165"/>
      <c r="EN5957" s="165"/>
      <c r="EO5957" s="165"/>
      <c r="EP5957" s="165"/>
      <c r="EQ5957" s="165"/>
      <c r="ER5957" s="165"/>
      <c r="ES5957" s="165"/>
    </row>
    <row r="5958" spans="1:149" s="451" customFormat="1" ht="15" hidden="1" customHeight="1">
      <c r="A5958" s="468">
        <v>45541</v>
      </c>
      <c r="B5958" s="208" t="s">
        <v>4904</v>
      </c>
      <c r="C5958" s="208" t="s">
        <v>269</v>
      </c>
      <c r="D5958" s="211">
        <v>-15000</v>
      </c>
      <c r="E5958" s="212">
        <v>45536</v>
      </c>
      <c r="F5958" s="208" t="s">
        <v>109</v>
      </c>
      <c r="G5958" s="201" t="s">
        <v>581</v>
      </c>
      <c r="H5958" s="208"/>
      <c r="I5958" s="208" t="s">
        <v>3364</v>
      </c>
      <c r="J5958" s="209"/>
      <c r="K5958" s="209"/>
      <c r="L5958" s="209"/>
      <c r="M5958" s="209"/>
      <c r="N5958" s="209"/>
      <c r="O5958" s="209"/>
      <c r="P5958" s="209"/>
      <c r="Q5958" s="209"/>
      <c r="R5958" s="209"/>
      <c r="S5958" s="209"/>
      <c r="T5958" s="209"/>
      <c r="U5958" s="165"/>
      <c r="V5958" s="165"/>
      <c r="W5958" s="165"/>
      <c r="X5958" s="165"/>
      <c r="Y5958" s="165"/>
      <c r="Z5958" s="165"/>
      <c r="AA5958" s="165"/>
      <c r="AB5958" s="165"/>
      <c r="AC5958" s="165"/>
      <c r="AD5958" s="165"/>
      <c r="AE5958" s="165"/>
      <c r="AF5958" s="165"/>
      <c r="AG5958" s="165"/>
      <c r="AH5958" s="165"/>
      <c r="AI5958" s="165"/>
      <c r="AJ5958" s="165"/>
      <c r="AK5958" s="165"/>
      <c r="AL5958" s="165"/>
      <c r="AM5958" s="165"/>
      <c r="AN5958" s="165"/>
      <c r="AO5958" s="165"/>
      <c r="AP5958" s="165"/>
      <c r="AQ5958" s="165"/>
      <c r="AR5958" s="165"/>
      <c r="AS5958" s="165"/>
      <c r="AT5958" s="165"/>
      <c r="AU5958" s="165"/>
      <c r="AV5958" s="165"/>
      <c r="AW5958" s="165"/>
      <c r="AX5958" s="165"/>
      <c r="AY5958" s="165"/>
      <c r="AZ5958" s="165"/>
      <c r="BA5958" s="165"/>
      <c r="BB5958" s="165"/>
      <c r="BC5958" s="165"/>
      <c r="BD5958" s="165"/>
      <c r="BE5958" s="165"/>
      <c r="BF5958" s="165"/>
      <c r="BG5958" s="165"/>
      <c r="BH5958" s="165"/>
      <c r="BI5958" s="165"/>
      <c r="BJ5958" s="165"/>
      <c r="BK5958" s="165"/>
      <c r="BL5958" s="165"/>
      <c r="BM5958" s="165"/>
      <c r="BN5958" s="165"/>
      <c r="BO5958" s="165"/>
      <c r="BP5958" s="165"/>
      <c r="BQ5958" s="165"/>
      <c r="BR5958" s="165"/>
      <c r="BS5958" s="165"/>
      <c r="BT5958" s="165"/>
      <c r="BU5958" s="165"/>
      <c r="BV5958" s="165"/>
      <c r="BW5958" s="165"/>
      <c r="BX5958" s="165"/>
      <c r="BY5958" s="165"/>
      <c r="BZ5958" s="165"/>
      <c r="CA5958" s="165"/>
      <c r="CB5958" s="165"/>
      <c r="CC5958" s="165"/>
      <c r="CD5958" s="165"/>
      <c r="CE5958" s="165"/>
      <c r="CF5958" s="165"/>
      <c r="CG5958" s="165"/>
      <c r="CH5958" s="165"/>
      <c r="CI5958" s="165"/>
      <c r="CJ5958" s="165"/>
      <c r="CK5958" s="165"/>
      <c r="CL5958" s="165"/>
      <c r="CM5958" s="165"/>
      <c r="CN5958" s="165"/>
      <c r="CO5958" s="165"/>
      <c r="CP5958" s="165"/>
      <c r="CQ5958" s="165"/>
      <c r="CR5958" s="165"/>
      <c r="CS5958" s="165"/>
      <c r="CT5958" s="165"/>
      <c r="CU5958" s="165"/>
      <c r="CV5958" s="165"/>
      <c r="CW5958" s="165"/>
      <c r="CX5958" s="165"/>
      <c r="CY5958" s="165"/>
      <c r="CZ5958" s="165"/>
      <c r="DA5958" s="165"/>
      <c r="DB5958" s="165"/>
      <c r="DC5958" s="165"/>
      <c r="DD5958" s="165"/>
      <c r="DE5958" s="165"/>
      <c r="DF5958" s="165"/>
      <c r="DG5958" s="165"/>
      <c r="DH5958" s="165"/>
      <c r="DI5958" s="165"/>
      <c r="DJ5958" s="165"/>
      <c r="DK5958" s="165"/>
      <c r="DL5958" s="165"/>
      <c r="DM5958" s="165"/>
      <c r="DN5958" s="165"/>
      <c r="DO5958" s="165"/>
      <c r="DP5958" s="165"/>
      <c r="DQ5958" s="165"/>
      <c r="DR5958" s="165"/>
      <c r="DS5958" s="165"/>
      <c r="DT5958" s="165"/>
      <c r="DU5958" s="165"/>
      <c r="DV5958" s="165"/>
      <c r="DW5958" s="165"/>
      <c r="DX5958" s="165"/>
      <c r="DY5958" s="165"/>
      <c r="DZ5958" s="165"/>
      <c r="EA5958" s="165"/>
      <c r="EB5958" s="165"/>
      <c r="EC5958" s="165"/>
      <c r="ED5958" s="165"/>
      <c r="EE5958" s="165"/>
      <c r="EF5958" s="165"/>
      <c r="EG5958" s="165"/>
      <c r="EH5958" s="165"/>
      <c r="EI5958" s="165"/>
      <c r="EJ5958" s="165"/>
      <c r="EK5958" s="165"/>
      <c r="EL5958" s="165"/>
      <c r="EM5958" s="165"/>
      <c r="EN5958" s="165"/>
      <c r="EO5958" s="165"/>
      <c r="EP5958" s="165"/>
      <c r="EQ5958" s="165"/>
      <c r="ER5958" s="165"/>
      <c r="ES5958" s="165"/>
    </row>
    <row r="5959" spans="1:149" s="451" customFormat="1" ht="15" hidden="1" customHeight="1">
      <c r="A5959" s="468">
        <v>45541</v>
      </c>
      <c r="B5959" s="208" t="s">
        <v>4905</v>
      </c>
      <c r="C5959" s="208" t="s">
        <v>269</v>
      </c>
      <c r="D5959" s="211">
        <v>-17000</v>
      </c>
      <c r="E5959" s="212">
        <v>45536</v>
      </c>
      <c r="F5959" s="208" t="s">
        <v>109</v>
      </c>
      <c r="G5959" s="201" t="s">
        <v>581</v>
      </c>
      <c r="H5959" s="208"/>
      <c r="I5959" s="208" t="s">
        <v>3364</v>
      </c>
      <c r="J5959" s="209"/>
      <c r="K5959" s="209"/>
      <c r="L5959" s="209"/>
      <c r="M5959" s="209"/>
      <c r="N5959" s="209"/>
      <c r="O5959" s="209"/>
      <c r="P5959" s="209"/>
      <c r="Q5959" s="209"/>
      <c r="R5959" s="209"/>
      <c r="S5959" s="209"/>
      <c r="T5959" s="209"/>
      <c r="U5959" s="165"/>
      <c r="V5959" s="165"/>
      <c r="W5959" s="165"/>
      <c r="X5959" s="165"/>
      <c r="Y5959" s="165"/>
      <c r="Z5959" s="165"/>
      <c r="AA5959" s="165"/>
      <c r="AB5959" s="165"/>
      <c r="AC5959" s="165"/>
      <c r="AD5959" s="165"/>
      <c r="AE5959" s="165"/>
      <c r="AF5959" s="165"/>
      <c r="AG5959" s="165"/>
      <c r="AH5959" s="165"/>
      <c r="AI5959" s="165"/>
      <c r="AJ5959" s="165"/>
      <c r="AK5959" s="165"/>
      <c r="AL5959" s="165"/>
      <c r="AM5959" s="165"/>
      <c r="AN5959" s="165"/>
      <c r="AO5959" s="165"/>
      <c r="AP5959" s="165"/>
      <c r="AQ5959" s="165"/>
      <c r="AR5959" s="165"/>
      <c r="AS5959" s="165"/>
      <c r="AT5959" s="165"/>
      <c r="AU5959" s="165"/>
      <c r="AV5959" s="165"/>
      <c r="AW5959" s="165"/>
      <c r="AX5959" s="165"/>
      <c r="AY5959" s="165"/>
      <c r="AZ5959" s="165"/>
      <c r="BA5959" s="165"/>
      <c r="BB5959" s="165"/>
      <c r="BC5959" s="165"/>
      <c r="BD5959" s="165"/>
      <c r="BE5959" s="165"/>
      <c r="BF5959" s="165"/>
      <c r="BG5959" s="165"/>
      <c r="BH5959" s="165"/>
      <c r="BI5959" s="165"/>
      <c r="BJ5959" s="165"/>
      <c r="BK5959" s="165"/>
      <c r="BL5959" s="165"/>
      <c r="BM5959" s="165"/>
      <c r="BN5959" s="165"/>
      <c r="BO5959" s="165"/>
      <c r="BP5959" s="165"/>
      <c r="BQ5959" s="165"/>
      <c r="BR5959" s="165"/>
      <c r="BS5959" s="165"/>
      <c r="BT5959" s="165"/>
      <c r="BU5959" s="165"/>
      <c r="BV5959" s="165"/>
      <c r="BW5959" s="165"/>
      <c r="BX5959" s="165"/>
      <c r="BY5959" s="165"/>
      <c r="BZ5959" s="165"/>
      <c r="CA5959" s="165"/>
      <c r="CB5959" s="165"/>
      <c r="CC5959" s="165"/>
      <c r="CD5959" s="165"/>
      <c r="CE5959" s="165"/>
      <c r="CF5959" s="165"/>
      <c r="CG5959" s="165"/>
      <c r="CH5959" s="165"/>
      <c r="CI5959" s="165"/>
      <c r="CJ5959" s="165"/>
      <c r="CK5959" s="165"/>
      <c r="CL5959" s="165"/>
      <c r="CM5959" s="165"/>
      <c r="CN5959" s="165"/>
      <c r="CO5959" s="165"/>
      <c r="CP5959" s="165"/>
      <c r="CQ5959" s="165"/>
      <c r="CR5959" s="165"/>
      <c r="CS5959" s="165"/>
      <c r="CT5959" s="165"/>
      <c r="CU5959" s="165"/>
      <c r="CV5959" s="165"/>
      <c r="CW5959" s="165"/>
      <c r="CX5959" s="165"/>
      <c r="CY5959" s="165"/>
      <c r="CZ5959" s="165"/>
      <c r="DA5959" s="165"/>
      <c r="DB5959" s="165"/>
      <c r="DC5959" s="165"/>
      <c r="DD5959" s="165"/>
      <c r="DE5959" s="165"/>
      <c r="DF5959" s="165"/>
      <c r="DG5959" s="165"/>
      <c r="DH5959" s="165"/>
      <c r="DI5959" s="165"/>
      <c r="DJ5959" s="165"/>
      <c r="DK5959" s="165"/>
      <c r="DL5959" s="165"/>
      <c r="DM5959" s="165"/>
      <c r="DN5959" s="165"/>
      <c r="DO5959" s="165"/>
      <c r="DP5959" s="165"/>
      <c r="DQ5959" s="165"/>
      <c r="DR5959" s="165"/>
      <c r="DS5959" s="165"/>
      <c r="DT5959" s="165"/>
      <c r="DU5959" s="165"/>
      <c r="DV5959" s="165"/>
      <c r="DW5959" s="165"/>
      <c r="DX5959" s="165"/>
      <c r="DY5959" s="165"/>
      <c r="DZ5959" s="165"/>
      <c r="EA5959" s="165"/>
      <c r="EB5959" s="165"/>
      <c r="EC5959" s="165"/>
      <c r="ED5959" s="165"/>
      <c r="EE5959" s="165"/>
      <c r="EF5959" s="165"/>
      <c r="EG5959" s="165"/>
      <c r="EH5959" s="165"/>
      <c r="EI5959" s="165"/>
      <c r="EJ5959" s="165"/>
      <c r="EK5959" s="165"/>
      <c r="EL5959" s="165"/>
      <c r="EM5959" s="165"/>
      <c r="EN5959" s="165"/>
      <c r="EO5959" s="165"/>
      <c r="EP5959" s="165"/>
      <c r="EQ5959" s="165"/>
      <c r="ER5959" s="165"/>
      <c r="ES5959" s="165"/>
    </row>
    <row r="5960" spans="1:149" s="451" customFormat="1" ht="15" hidden="1" customHeight="1">
      <c r="A5960" s="468">
        <v>45541</v>
      </c>
      <c r="B5960" s="208" t="s">
        <v>4574</v>
      </c>
      <c r="C5960" s="208" t="s">
        <v>269</v>
      </c>
      <c r="D5960" s="211">
        <v>-40000</v>
      </c>
      <c r="E5960" s="212">
        <v>45536</v>
      </c>
      <c r="F5960" s="208" t="s">
        <v>109</v>
      </c>
      <c r="G5960" s="201" t="s">
        <v>581</v>
      </c>
      <c r="H5960" s="208"/>
      <c r="I5960" s="208" t="s">
        <v>3364</v>
      </c>
      <c r="J5960" s="209"/>
      <c r="K5960" s="209"/>
      <c r="L5960" s="209"/>
      <c r="M5960" s="209"/>
      <c r="N5960" s="209"/>
      <c r="O5960" s="209"/>
      <c r="P5960" s="209"/>
      <c r="Q5960" s="209"/>
      <c r="R5960" s="209"/>
      <c r="S5960" s="209"/>
      <c r="T5960" s="209"/>
      <c r="U5960" s="165"/>
      <c r="V5960" s="165"/>
      <c r="W5960" s="165"/>
      <c r="X5960" s="165"/>
      <c r="Y5960" s="165"/>
      <c r="Z5960" s="165"/>
      <c r="AA5960" s="165"/>
      <c r="AB5960" s="165"/>
      <c r="AC5960" s="165"/>
      <c r="AD5960" s="165"/>
      <c r="AE5960" s="165"/>
      <c r="AF5960" s="165"/>
      <c r="AG5960" s="165"/>
      <c r="AH5960" s="165"/>
      <c r="AI5960" s="165"/>
      <c r="AJ5960" s="165"/>
      <c r="AK5960" s="165"/>
      <c r="AL5960" s="165"/>
      <c r="AM5960" s="165"/>
      <c r="AN5960" s="165"/>
      <c r="AO5960" s="165"/>
      <c r="AP5960" s="165"/>
      <c r="AQ5960" s="165"/>
      <c r="AR5960" s="165"/>
      <c r="AS5960" s="165"/>
      <c r="AT5960" s="165"/>
      <c r="AU5960" s="165"/>
      <c r="AV5960" s="165"/>
      <c r="AW5960" s="165"/>
      <c r="AX5960" s="165"/>
      <c r="AY5960" s="165"/>
      <c r="AZ5960" s="165"/>
      <c r="BA5960" s="165"/>
      <c r="BB5960" s="165"/>
      <c r="BC5960" s="165"/>
      <c r="BD5960" s="165"/>
      <c r="BE5960" s="165"/>
      <c r="BF5960" s="165"/>
      <c r="BG5960" s="165"/>
      <c r="BH5960" s="165"/>
      <c r="BI5960" s="165"/>
      <c r="BJ5960" s="165"/>
      <c r="BK5960" s="165"/>
      <c r="BL5960" s="165"/>
      <c r="BM5960" s="165"/>
      <c r="BN5960" s="165"/>
      <c r="BO5960" s="165"/>
      <c r="BP5960" s="165"/>
      <c r="BQ5960" s="165"/>
      <c r="BR5960" s="165"/>
      <c r="BS5960" s="165"/>
      <c r="BT5960" s="165"/>
      <c r="BU5960" s="165"/>
      <c r="BV5960" s="165"/>
      <c r="BW5960" s="165"/>
      <c r="BX5960" s="165"/>
      <c r="BY5960" s="165"/>
      <c r="BZ5960" s="165"/>
      <c r="CA5960" s="165"/>
      <c r="CB5960" s="165"/>
      <c r="CC5960" s="165"/>
      <c r="CD5960" s="165"/>
      <c r="CE5960" s="165"/>
      <c r="CF5960" s="165"/>
      <c r="CG5960" s="165"/>
      <c r="CH5960" s="165"/>
      <c r="CI5960" s="165"/>
      <c r="CJ5960" s="165"/>
      <c r="CK5960" s="165"/>
      <c r="CL5960" s="165"/>
      <c r="CM5960" s="165"/>
      <c r="CN5960" s="165"/>
      <c r="CO5960" s="165"/>
      <c r="CP5960" s="165"/>
      <c r="CQ5960" s="165"/>
      <c r="CR5960" s="165"/>
      <c r="CS5960" s="165"/>
      <c r="CT5960" s="165"/>
      <c r="CU5960" s="165"/>
      <c r="CV5960" s="165"/>
      <c r="CW5960" s="165"/>
      <c r="CX5960" s="165"/>
      <c r="CY5960" s="165"/>
      <c r="CZ5960" s="165"/>
      <c r="DA5960" s="165"/>
      <c r="DB5960" s="165"/>
      <c r="DC5960" s="165"/>
      <c r="DD5960" s="165"/>
      <c r="DE5960" s="165"/>
      <c r="DF5960" s="165"/>
      <c r="DG5960" s="165"/>
      <c r="DH5960" s="165"/>
      <c r="DI5960" s="165"/>
      <c r="DJ5960" s="165"/>
      <c r="DK5960" s="165"/>
      <c r="DL5960" s="165"/>
      <c r="DM5960" s="165"/>
      <c r="DN5960" s="165"/>
      <c r="DO5960" s="165"/>
      <c r="DP5960" s="165"/>
      <c r="DQ5960" s="165"/>
      <c r="DR5960" s="165"/>
      <c r="DS5960" s="165"/>
      <c r="DT5960" s="165"/>
      <c r="DU5960" s="165"/>
      <c r="DV5960" s="165"/>
      <c r="DW5960" s="165"/>
      <c r="DX5960" s="165"/>
      <c r="DY5960" s="165"/>
      <c r="DZ5960" s="165"/>
      <c r="EA5960" s="165"/>
      <c r="EB5960" s="165"/>
      <c r="EC5960" s="165"/>
      <c r="ED5960" s="165"/>
      <c r="EE5960" s="165"/>
      <c r="EF5960" s="165"/>
      <c r="EG5960" s="165"/>
      <c r="EH5960" s="165"/>
      <c r="EI5960" s="165"/>
      <c r="EJ5960" s="165"/>
      <c r="EK5960" s="165"/>
      <c r="EL5960" s="165"/>
      <c r="EM5960" s="165"/>
      <c r="EN5960" s="165"/>
      <c r="EO5960" s="165"/>
      <c r="EP5960" s="165"/>
      <c r="EQ5960" s="165"/>
      <c r="ER5960" s="165"/>
      <c r="ES5960" s="165"/>
    </row>
    <row r="5961" spans="1:149" s="451" customFormat="1" ht="15" hidden="1" customHeight="1">
      <c r="A5961" s="468">
        <v>45541</v>
      </c>
      <c r="B5961" s="208" t="s">
        <v>4584</v>
      </c>
      <c r="C5961" s="208" t="s">
        <v>269</v>
      </c>
      <c r="D5961" s="211">
        <v>-40000</v>
      </c>
      <c r="E5961" s="212">
        <v>45536</v>
      </c>
      <c r="F5961" s="208" t="s">
        <v>109</v>
      </c>
      <c r="G5961" s="201" t="s">
        <v>581</v>
      </c>
      <c r="H5961" s="208"/>
      <c r="I5961" s="208" t="s">
        <v>3364</v>
      </c>
      <c r="J5961" s="209"/>
      <c r="K5961" s="209"/>
      <c r="L5961" s="209"/>
      <c r="M5961" s="209"/>
      <c r="N5961" s="209"/>
      <c r="O5961" s="209"/>
      <c r="P5961" s="209"/>
      <c r="Q5961" s="209"/>
      <c r="R5961" s="209"/>
      <c r="S5961" s="209"/>
      <c r="T5961" s="209"/>
      <c r="U5961" s="165"/>
      <c r="V5961" s="165"/>
      <c r="W5961" s="165"/>
      <c r="X5961" s="165"/>
      <c r="Y5961" s="165"/>
      <c r="Z5961" s="165"/>
      <c r="AA5961" s="165"/>
      <c r="AB5961" s="165"/>
      <c r="AC5961" s="165"/>
      <c r="AD5961" s="165"/>
      <c r="AE5961" s="165"/>
      <c r="AF5961" s="165"/>
      <c r="AG5961" s="165"/>
      <c r="AH5961" s="165"/>
      <c r="AI5961" s="165"/>
      <c r="AJ5961" s="165"/>
      <c r="AK5961" s="165"/>
      <c r="AL5961" s="165"/>
      <c r="AM5961" s="165"/>
      <c r="AN5961" s="165"/>
      <c r="AO5961" s="165"/>
      <c r="AP5961" s="165"/>
      <c r="AQ5961" s="165"/>
      <c r="AR5961" s="165"/>
      <c r="AS5961" s="165"/>
      <c r="AT5961" s="165"/>
      <c r="AU5961" s="165"/>
      <c r="AV5961" s="165"/>
      <c r="AW5961" s="165"/>
      <c r="AX5961" s="165"/>
      <c r="AY5961" s="165"/>
      <c r="AZ5961" s="165"/>
      <c r="BA5961" s="165"/>
      <c r="BB5961" s="165"/>
      <c r="BC5961" s="165"/>
      <c r="BD5961" s="165"/>
      <c r="BE5961" s="165"/>
      <c r="BF5961" s="165"/>
      <c r="BG5961" s="165"/>
      <c r="BH5961" s="165"/>
      <c r="BI5961" s="165"/>
      <c r="BJ5961" s="165"/>
      <c r="BK5961" s="165"/>
      <c r="BL5961" s="165"/>
      <c r="BM5961" s="165"/>
      <c r="BN5961" s="165"/>
      <c r="BO5961" s="165"/>
      <c r="BP5961" s="165"/>
      <c r="BQ5961" s="165"/>
      <c r="BR5961" s="165"/>
      <c r="BS5961" s="165"/>
      <c r="BT5961" s="165"/>
      <c r="BU5961" s="165"/>
      <c r="BV5961" s="165"/>
      <c r="BW5961" s="165"/>
      <c r="BX5961" s="165"/>
      <c r="BY5961" s="165"/>
      <c r="BZ5961" s="165"/>
      <c r="CA5961" s="165"/>
      <c r="CB5961" s="165"/>
      <c r="CC5961" s="165"/>
      <c r="CD5961" s="165"/>
      <c r="CE5961" s="165"/>
      <c r="CF5961" s="165"/>
      <c r="CG5961" s="165"/>
      <c r="CH5961" s="165"/>
      <c r="CI5961" s="165"/>
      <c r="CJ5961" s="165"/>
      <c r="CK5961" s="165"/>
      <c r="CL5961" s="165"/>
      <c r="CM5961" s="165"/>
      <c r="CN5961" s="165"/>
      <c r="CO5961" s="165"/>
      <c r="CP5961" s="165"/>
      <c r="CQ5961" s="165"/>
      <c r="CR5961" s="165"/>
      <c r="CS5961" s="165"/>
      <c r="CT5961" s="165"/>
      <c r="CU5961" s="165"/>
      <c r="CV5961" s="165"/>
      <c r="CW5961" s="165"/>
      <c r="CX5961" s="165"/>
      <c r="CY5961" s="165"/>
      <c r="CZ5961" s="165"/>
      <c r="DA5961" s="165"/>
      <c r="DB5961" s="165"/>
      <c r="DC5961" s="165"/>
      <c r="DD5961" s="165"/>
      <c r="DE5961" s="165"/>
      <c r="DF5961" s="165"/>
      <c r="DG5961" s="165"/>
      <c r="DH5961" s="165"/>
      <c r="DI5961" s="165"/>
      <c r="DJ5961" s="165"/>
      <c r="DK5961" s="165"/>
      <c r="DL5961" s="165"/>
      <c r="DM5961" s="165"/>
      <c r="DN5961" s="165"/>
      <c r="DO5961" s="165"/>
      <c r="DP5961" s="165"/>
      <c r="DQ5961" s="165"/>
      <c r="DR5961" s="165"/>
      <c r="DS5961" s="165"/>
      <c r="DT5961" s="165"/>
      <c r="DU5961" s="165"/>
      <c r="DV5961" s="165"/>
      <c r="DW5961" s="165"/>
      <c r="DX5961" s="165"/>
      <c r="DY5961" s="165"/>
      <c r="DZ5961" s="165"/>
      <c r="EA5961" s="165"/>
      <c r="EB5961" s="165"/>
      <c r="EC5961" s="165"/>
      <c r="ED5961" s="165"/>
      <c r="EE5961" s="165"/>
      <c r="EF5961" s="165"/>
      <c r="EG5961" s="165"/>
      <c r="EH5961" s="165"/>
      <c r="EI5961" s="165"/>
      <c r="EJ5961" s="165"/>
      <c r="EK5961" s="165"/>
      <c r="EL5961" s="165"/>
      <c r="EM5961" s="165"/>
      <c r="EN5961" s="165"/>
      <c r="EO5961" s="165"/>
      <c r="EP5961" s="165"/>
      <c r="EQ5961" s="165"/>
      <c r="ER5961" s="165"/>
      <c r="ES5961" s="165"/>
    </row>
    <row r="5962" spans="1:149" s="451" customFormat="1" ht="15" hidden="1" customHeight="1">
      <c r="A5962" s="468">
        <v>45541</v>
      </c>
      <c r="B5962" s="208" t="s">
        <v>4887</v>
      </c>
      <c r="C5962" s="208" t="s">
        <v>146</v>
      </c>
      <c r="D5962" s="211">
        <v>-53000</v>
      </c>
      <c r="E5962" s="212">
        <v>45536</v>
      </c>
      <c r="F5962" s="208" t="s">
        <v>110</v>
      </c>
      <c r="G5962" s="208" t="s">
        <v>4399</v>
      </c>
      <c r="H5962" s="208" t="s">
        <v>147</v>
      </c>
      <c r="I5962" s="208" t="s">
        <v>3378</v>
      </c>
      <c r="J5962" s="209"/>
      <c r="K5962" s="209"/>
      <c r="L5962" s="209"/>
      <c r="M5962" s="209"/>
      <c r="N5962" s="209"/>
      <c r="O5962" s="209"/>
      <c r="P5962" s="209"/>
      <c r="Q5962" s="209"/>
      <c r="R5962" s="209"/>
      <c r="S5962" s="209"/>
      <c r="T5962" s="209"/>
      <c r="U5962" s="165"/>
      <c r="V5962" s="165"/>
      <c r="W5962" s="165"/>
      <c r="X5962" s="165"/>
      <c r="Y5962" s="165"/>
      <c r="Z5962" s="165"/>
      <c r="AA5962" s="165"/>
      <c r="AB5962" s="165"/>
      <c r="AC5962" s="165"/>
      <c r="AD5962" s="165"/>
      <c r="AE5962" s="165"/>
      <c r="AF5962" s="165"/>
      <c r="AG5962" s="165"/>
      <c r="AH5962" s="165"/>
      <c r="AI5962" s="165"/>
      <c r="AJ5962" s="165"/>
      <c r="AK5962" s="165"/>
      <c r="AL5962" s="165"/>
      <c r="AM5962" s="165"/>
      <c r="AN5962" s="165"/>
      <c r="AO5962" s="165"/>
      <c r="AP5962" s="165"/>
      <c r="AQ5962" s="165"/>
      <c r="AR5962" s="165"/>
      <c r="AS5962" s="165"/>
      <c r="AT5962" s="165"/>
      <c r="AU5962" s="165"/>
      <c r="AV5962" s="165"/>
      <c r="AW5962" s="165"/>
      <c r="AX5962" s="165"/>
      <c r="AY5962" s="165"/>
      <c r="AZ5962" s="165"/>
      <c r="BA5962" s="165"/>
      <c r="BB5962" s="165"/>
      <c r="BC5962" s="165"/>
      <c r="BD5962" s="165"/>
      <c r="BE5962" s="165"/>
      <c r="BF5962" s="165"/>
      <c r="BG5962" s="165"/>
      <c r="BH5962" s="165"/>
      <c r="BI5962" s="165"/>
      <c r="BJ5962" s="165"/>
      <c r="BK5962" s="165"/>
      <c r="BL5962" s="165"/>
      <c r="BM5962" s="165"/>
      <c r="BN5962" s="165"/>
      <c r="BO5962" s="165"/>
      <c r="BP5962" s="165"/>
      <c r="BQ5962" s="165"/>
      <c r="BR5962" s="165"/>
      <c r="BS5962" s="165"/>
      <c r="BT5962" s="165"/>
      <c r="BU5962" s="165"/>
      <c r="BV5962" s="165"/>
      <c r="BW5962" s="165"/>
      <c r="BX5962" s="165"/>
      <c r="BY5962" s="165"/>
      <c r="BZ5962" s="165"/>
      <c r="CA5962" s="165"/>
      <c r="CB5962" s="165"/>
      <c r="CC5962" s="165"/>
      <c r="CD5962" s="165"/>
      <c r="CE5962" s="165"/>
      <c r="CF5962" s="165"/>
      <c r="CG5962" s="165"/>
      <c r="CH5962" s="165"/>
      <c r="CI5962" s="165"/>
      <c r="CJ5962" s="165"/>
      <c r="CK5962" s="165"/>
      <c r="CL5962" s="165"/>
      <c r="CM5962" s="165"/>
      <c r="CN5962" s="165"/>
      <c r="CO5962" s="165"/>
      <c r="CP5962" s="165"/>
      <c r="CQ5962" s="165"/>
      <c r="CR5962" s="165"/>
      <c r="CS5962" s="165"/>
      <c r="CT5962" s="165"/>
      <c r="CU5962" s="165"/>
      <c r="CV5962" s="165"/>
      <c r="CW5962" s="165"/>
      <c r="CX5962" s="165"/>
      <c r="CY5962" s="165"/>
      <c r="CZ5962" s="165"/>
      <c r="DA5962" s="165"/>
      <c r="DB5962" s="165"/>
      <c r="DC5962" s="165"/>
      <c r="DD5962" s="165"/>
      <c r="DE5962" s="165"/>
      <c r="DF5962" s="165"/>
      <c r="DG5962" s="165"/>
      <c r="DH5962" s="165"/>
      <c r="DI5962" s="165"/>
      <c r="DJ5962" s="165"/>
      <c r="DK5962" s="165"/>
      <c r="DL5962" s="165"/>
      <c r="DM5962" s="165"/>
      <c r="DN5962" s="165"/>
      <c r="DO5962" s="165"/>
      <c r="DP5962" s="165"/>
      <c r="DQ5962" s="165"/>
      <c r="DR5962" s="165"/>
      <c r="DS5962" s="165"/>
      <c r="DT5962" s="165"/>
      <c r="DU5962" s="165"/>
      <c r="DV5962" s="165"/>
      <c r="DW5962" s="165"/>
      <c r="DX5962" s="165"/>
      <c r="DY5962" s="165"/>
      <c r="DZ5962" s="165"/>
      <c r="EA5962" s="165"/>
      <c r="EB5962" s="165"/>
      <c r="EC5962" s="165"/>
      <c r="ED5962" s="165"/>
      <c r="EE5962" s="165"/>
      <c r="EF5962" s="165"/>
      <c r="EG5962" s="165"/>
      <c r="EH5962" s="165"/>
      <c r="EI5962" s="165"/>
      <c r="EJ5962" s="165"/>
      <c r="EK5962" s="165"/>
      <c r="EL5962" s="165"/>
      <c r="EM5962" s="165"/>
      <c r="EN5962" s="165"/>
      <c r="EO5962" s="165"/>
      <c r="EP5962" s="165"/>
      <c r="EQ5962" s="165"/>
      <c r="ER5962" s="165"/>
      <c r="ES5962" s="165"/>
    </row>
    <row r="5963" spans="1:149" s="451" customFormat="1" ht="15" hidden="1" customHeight="1">
      <c r="A5963" s="468">
        <v>45542</v>
      </c>
      <c r="B5963" s="208" t="s">
        <v>4906</v>
      </c>
      <c r="C5963" s="208" t="s">
        <v>269</v>
      </c>
      <c r="D5963" s="211">
        <v>-12000</v>
      </c>
      <c r="E5963" s="212">
        <v>45536</v>
      </c>
      <c r="F5963" s="208" t="s">
        <v>109</v>
      </c>
      <c r="G5963" s="201" t="s">
        <v>581</v>
      </c>
      <c r="H5963" s="208"/>
      <c r="I5963" s="208" t="s">
        <v>3364</v>
      </c>
      <c r="J5963" s="209"/>
      <c r="K5963" s="209"/>
      <c r="L5963" s="209"/>
      <c r="M5963" s="209"/>
      <c r="N5963" s="209"/>
      <c r="O5963" s="209"/>
      <c r="P5963" s="209"/>
      <c r="Q5963" s="209"/>
      <c r="R5963" s="209"/>
      <c r="S5963" s="209"/>
      <c r="T5963" s="209"/>
      <c r="U5963" s="165"/>
      <c r="V5963" s="165"/>
      <c r="W5963" s="165"/>
      <c r="X5963" s="165"/>
      <c r="Y5963" s="165"/>
      <c r="Z5963" s="165"/>
      <c r="AA5963" s="165"/>
      <c r="AB5963" s="165"/>
      <c r="AC5963" s="165"/>
      <c r="AD5963" s="165"/>
      <c r="AE5963" s="165"/>
      <c r="AF5963" s="165"/>
      <c r="AG5963" s="165"/>
      <c r="AH5963" s="165"/>
      <c r="AI5963" s="165"/>
      <c r="AJ5963" s="165"/>
      <c r="AK5963" s="165"/>
      <c r="AL5963" s="165"/>
      <c r="AM5963" s="165"/>
      <c r="AN5963" s="165"/>
      <c r="AO5963" s="165"/>
      <c r="AP5963" s="165"/>
      <c r="AQ5963" s="165"/>
      <c r="AR5963" s="165"/>
      <c r="AS5963" s="165"/>
      <c r="AT5963" s="165"/>
      <c r="AU5963" s="165"/>
      <c r="AV5963" s="165"/>
      <c r="AW5963" s="165"/>
      <c r="AX5963" s="165"/>
      <c r="AY5963" s="165"/>
      <c r="AZ5963" s="165"/>
      <c r="BA5963" s="165"/>
      <c r="BB5963" s="165"/>
      <c r="BC5963" s="165"/>
      <c r="BD5963" s="165"/>
      <c r="BE5963" s="165"/>
      <c r="BF5963" s="165"/>
      <c r="BG5963" s="165"/>
      <c r="BH5963" s="165"/>
      <c r="BI5963" s="165"/>
      <c r="BJ5963" s="165"/>
      <c r="BK5963" s="165"/>
      <c r="BL5963" s="165"/>
      <c r="BM5963" s="165"/>
      <c r="BN5963" s="165"/>
      <c r="BO5963" s="165"/>
      <c r="BP5963" s="165"/>
      <c r="BQ5963" s="165"/>
      <c r="BR5963" s="165"/>
      <c r="BS5963" s="165"/>
      <c r="BT5963" s="165"/>
      <c r="BU5963" s="165"/>
      <c r="BV5963" s="165"/>
      <c r="BW5963" s="165"/>
      <c r="BX5963" s="165"/>
      <c r="BY5963" s="165"/>
      <c r="BZ5963" s="165"/>
      <c r="CA5963" s="165"/>
      <c r="CB5963" s="165"/>
      <c r="CC5963" s="165"/>
      <c r="CD5963" s="165"/>
      <c r="CE5963" s="165"/>
      <c r="CF5963" s="165"/>
      <c r="CG5963" s="165"/>
      <c r="CH5963" s="165"/>
      <c r="CI5963" s="165"/>
      <c r="CJ5963" s="165"/>
      <c r="CK5963" s="165"/>
      <c r="CL5963" s="165"/>
      <c r="CM5963" s="165"/>
      <c r="CN5963" s="165"/>
      <c r="CO5963" s="165"/>
      <c r="CP5963" s="165"/>
      <c r="CQ5963" s="165"/>
      <c r="CR5963" s="165"/>
      <c r="CS5963" s="165"/>
      <c r="CT5963" s="165"/>
      <c r="CU5963" s="165"/>
      <c r="CV5963" s="165"/>
      <c r="CW5963" s="165"/>
      <c r="CX5963" s="165"/>
      <c r="CY5963" s="165"/>
      <c r="CZ5963" s="165"/>
      <c r="DA5963" s="165"/>
      <c r="DB5963" s="165"/>
      <c r="DC5963" s="165"/>
      <c r="DD5963" s="165"/>
      <c r="DE5963" s="165"/>
      <c r="DF5963" s="165"/>
      <c r="DG5963" s="165"/>
      <c r="DH5963" s="165"/>
      <c r="DI5963" s="165"/>
      <c r="DJ5963" s="165"/>
      <c r="DK5963" s="165"/>
      <c r="DL5963" s="165"/>
      <c r="DM5963" s="165"/>
      <c r="DN5963" s="165"/>
      <c r="DO5963" s="165"/>
      <c r="DP5963" s="165"/>
      <c r="DQ5963" s="165"/>
      <c r="DR5963" s="165"/>
      <c r="DS5963" s="165"/>
      <c r="DT5963" s="165"/>
      <c r="DU5963" s="165"/>
      <c r="DV5963" s="165"/>
      <c r="DW5963" s="165"/>
      <c r="DX5963" s="165"/>
      <c r="DY5963" s="165"/>
      <c r="DZ5963" s="165"/>
      <c r="EA5963" s="165"/>
      <c r="EB5963" s="165"/>
      <c r="EC5963" s="165"/>
      <c r="ED5963" s="165"/>
      <c r="EE5963" s="165"/>
      <c r="EF5963" s="165"/>
      <c r="EG5963" s="165"/>
      <c r="EH5963" s="165"/>
      <c r="EI5963" s="165"/>
      <c r="EJ5963" s="165"/>
      <c r="EK5963" s="165"/>
      <c r="EL5963" s="165"/>
      <c r="EM5963" s="165"/>
      <c r="EN5963" s="165"/>
      <c r="EO5963" s="165"/>
      <c r="EP5963" s="165"/>
      <c r="EQ5963" s="165"/>
      <c r="ER5963" s="165"/>
      <c r="ES5963" s="165"/>
    </row>
    <row r="5964" spans="1:149" s="451" customFormat="1" ht="15" hidden="1" customHeight="1">
      <c r="A5964" s="468">
        <v>45542</v>
      </c>
      <c r="B5964" s="208" t="s">
        <v>4907</v>
      </c>
      <c r="C5964" s="208" t="s">
        <v>269</v>
      </c>
      <c r="D5964" s="211">
        <v>-80000</v>
      </c>
      <c r="E5964" s="212">
        <v>45536</v>
      </c>
      <c r="F5964" s="208" t="s">
        <v>109</v>
      </c>
      <c r="G5964" s="201" t="s">
        <v>581</v>
      </c>
      <c r="H5964" s="208"/>
      <c r="I5964" s="208" t="s">
        <v>3364</v>
      </c>
      <c r="J5964" s="209"/>
      <c r="K5964" s="209"/>
      <c r="L5964" s="209"/>
      <c r="M5964" s="209"/>
      <c r="N5964" s="209"/>
      <c r="O5964" s="209"/>
      <c r="P5964" s="209"/>
      <c r="Q5964" s="209"/>
      <c r="R5964" s="209"/>
      <c r="S5964" s="209"/>
      <c r="T5964" s="209"/>
      <c r="U5964" s="165"/>
      <c r="V5964" s="165"/>
      <c r="W5964" s="165"/>
      <c r="X5964" s="165"/>
      <c r="Y5964" s="165"/>
      <c r="Z5964" s="165"/>
      <c r="AA5964" s="165"/>
      <c r="AB5964" s="165"/>
      <c r="AC5964" s="165"/>
      <c r="AD5964" s="165"/>
      <c r="AE5964" s="165"/>
      <c r="AF5964" s="165"/>
      <c r="AG5964" s="165"/>
      <c r="AH5964" s="165"/>
      <c r="AI5964" s="165"/>
      <c r="AJ5964" s="165"/>
      <c r="AK5964" s="165"/>
      <c r="AL5964" s="165"/>
      <c r="AM5964" s="165"/>
      <c r="AN5964" s="165"/>
      <c r="AO5964" s="165"/>
      <c r="AP5964" s="165"/>
      <c r="AQ5964" s="165"/>
      <c r="AR5964" s="165"/>
      <c r="AS5964" s="165"/>
      <c r="AT5964" s="165"/>
      <c r="AU5964" s="165"/>
      <c r="AV5964" s="165"/>
      <c r="AW5964" s="165"/>
      <c r="AX5964" s="165"/>
      <c r="AY5964" s="165"/>
      <c r="AZ5964" s="165"/>
      <c r="BA5964" s="165"/>
      <c r="BB5964" s="165"/>
      <c r="BC5964" s="165"/>
      <c r="BD5964" s="165"/>
      <c r="BE5964" s="165"/>
      <c r="BF5964" s="165"/>
      <c r="BG5964" s="165"/>
      <c r="BH5964" s="165"/>
      <c r="BI5964" s="165"/>
      <c r="BJ5964" s="165"/>
      <c r="BK5964" s="165"/>
      <c r="BL5964" s="165"/>
      <c r="BM5964" s="165"/>
      <c r="BN5964" s="165"/>
      <c r="BO5964" s="165"/>
      <c r="BP5964" s="165"/>
      <c r="BQ5964" s="165"/>
      <c r="BR5964" s="165"/>
      <c r="BS5964" s="165"/>
      <c r="BT5964" s="165"/>
      <c r="BU5964" s="165"/>
      <c r="BV5964" s="165"/>
      <c r="BW5964" s="165"/>
      <c r="BX5964" s="165"/>
      <c r="BY5964" s="165"/>
      <c r="BZ5964" s="165"/>
      <c r="CA5964" s="165"/>
      <c r="CB5964" s="165"/>
      <c r="CC5964" s="165"/>
      <c r="CD5964" s="165"/>
      <c r="CE5964" s="165"/>
      <c r="CF5964" s="165"/>
      <c r="CG5964" s="165"/>
      <c r="CH5964" s="165"/>
      <c r="CI5964" s="165"/>
      <c r="CJ5964" s="165"/>
      <c r="CK5964" s="165"/>
      <c r="CL5964" s="165"/>
      <c r="CM5964" s="165"/>
      <c r="CN5964" s="165"/>
      <c r="CO5964" s="165"/>
      <c r="CP5964" s="165"/>
      <c r="CQ5964" s="165"/>
      <c r="CR5964" s="165"/>
      <c r="CS5964" s="165"/>
      <c r="CT5964" s="165"/>
      <c r="CU5964" s="165"/>
      <c r="CV5964" s="165"/>
      <c r="CW5964" s="165"/>
      <c r="CX5964" s="165"/>
      <c r="CY5964" s="165"/>
      <c r="CZ5964" s="165"/>
      <c r="DA5964" s="165"/>
      <c r="DB5964" s="165"/>
      <c r="DC5964" s="165"/>
      <c r="DD5964" s="165"/>
      <c r="DE5964" s="165"/>
      <c r="DF5964" s="165"/>
      <c r="DG5964" s="165"/>
      <c r="DH5964" s="165"/>
      <c r="DI5964" s="165"/>
      <c r="DJ5964" s="165"/>
      <c r="DK5964" s="165"/>
      <c r="DL5964" s="165"/>
      <c r="DM5964" s="165"/>
      <c r="DN5964" s="165"/>
      <c r="DO5964" s="165"/>
      <c r="DP5964" s="165"/>
      <c r="DQ5964" s="165"/>
      <c r="DR5964" s="165"/>
      <c r="DS5964" s="165"/>
      <c r="DT5964" s="165"/>
      <c r="DU5964" s="165"/>
      <c r="DV5964" s="165"/>
      <c r="DW5964" s="165"/>
      <c r="DX5964" s="165"/>
      <c r="DY5964" s="165"/>
      <c r="DZ5964" s="165"/>
      <c r="EA5964" s="165"/>
      <c r="EB5964" s="165"/>
      <c r="EC5964" s="165"/>
      <c r="ED5964" s="165"/>
      <c r="EE5964" s="165"/>
      <c r="EF5964" s="165"/>
      <c r="EG5964" s="165"/>
      <c r="EH5964" s="165"/>
      <c r="EI5964" s="165"/>
      <c r="EJ5964" s="165"/>
      <c r="EK5964" s="165"/>
      <c r="EL5964" s="165"/>
      <c r="EM5964" s="165"/>
      <c r="EN5964" s="165"/>
      <c r="EO5964" s="165"/>
      <c r="EP5964" s="165"/>
      <c r="EQ5964" s="165"/>
      <c r="ER5964" s="165"/>
      <c r="ES5964" s="165"/>
    </row>
    <row r="5965" spans="1:149" s="451" customFormat="1" ht="15" hidden="1" customHeight="1">
      <c r="A5965" s="468">
        <v>45542</v>
      </c>
      <c r="B5965" s="208" t="s">
        <v>4908</v>
      </c>
      <c r="C5965" s="208" t="s">
        <v>269</v>
      </c>
      <c r="D5965" s="718">
        <v>-13500</v>
      </c>
      <c r="E5965" s="212">
        <v>45536</v>
      </c>
      <c r="F5965" s="208" t="s">
        <v>109</v>
      </c>
      <c r="G5965" s="201" t="s">
        <v>581</v>
      </c>
      <c r="H5965" s="208"/>
      <c r="I5965" s="208" t="s">
        <v>3364</v>
      </c>
      <c r="J5965" s="209"/>
      <c r="K5965" s="209"/>
      <c r="L5965" s="209"/>
      <c r="M5965" s="209"/>
      <c r="N5965" s="209"/>
      <c r="O5965" s="209"/>
      <c r="P5965" s="209"/>
      <c r="Q5965" s="209"/>
      <c r="R5965" s="209"/>
      <c r="S5965" s="209"/>
      <c r="T5965" s="209"/>
      <c r="U5965" s="165"/>
      <c r="V5965" s="165"/>
      <c r="W5965" s="165"/>
      <c r="X5965" s="165"/>
      <c r="Y5965" s="165"/>
      <c r="Z5965" s="165"/>
      <c r="AA5965" s="165"/>
      <c r="AB5965" s="165"/>
      <c r="AC5965" s="165"/>
      <c r="AD5965" s="165"/>
      <c r="AE5965" s="165"/>
      <c r="AF5965" s="165"/>
      <c r="AG5965" s="165"/>
      <c r="AH5965" s="165"/>
      <c r="AI5965" s="165"/>
      <c r="AJ5965" s="165"/>
      <c r="AK5965" s="165"/>
      <c r="AL5965" s="165"/>
      <c r="AM5965" s="165"/>
      <c r="AN5965" s="165"/>
      <c r="AO5965" s="165"/>
      <c r="AP5965" s="165"/>
      <c r="AQ5965" s="165"/>
      <c r="AR5965" s="165"/>
      <c r="AS5965" s="165"/>
      <c r="AT5965" s="165"/>
      <c r="AU5965" s="165"/>
      <c r="AV5965" s="165"/>
      <c r="AW5965" s="165"/>
      <c r="AX5965" s="165"/>
      <c r="AY5965" s="165"/>
      <c r="AZ5965" s="165"/>
      <c r="BA5965" s="165"/>
      <c r="BB5965" s="165"/>
      <c r="BC5965" s="165"/>
      <c r="BD5965" s="165"/>
      <c r="BE5965" s="165"/>
      <c r="BF5965" s="165"/>
      <c r="BG5965" s="165"/>
      <c r="BH5965" s="165"/>
      <c r="BI5965" s="165"/>
      <c r="BJ5965" s="165"/>
      <c r="BK5965" s="165"/>
      <c r="BL5965" s="165"/>
      <c r="BM5965" s="165"/>
      <c r="BN5965" s="165"/>
      <c r="BO5965" s="165"/>
      <c r="BP5965" s="165"/>
      <c r="BQ5965" s="165"/>
      <c r="BR5965" s="165"/>
      <c r="BS5965" s="165"/>
      <c r="BT5965" s="165"/>
      <c r="BU5965" s="165"/>
      <c r="BV5965" s="165"/>
      <c r="BW5965" s="165"/>
      <c r="BX5965" s="165"/>
      <c r="BY5965" s="165"/>
      <c r="BZ5965" s="165"/>
      <c r="CA5965" s="165"/>
      <c r="CB5965" s="165"/>
      <c r="CC5965" s="165"/>
      <c r="CD5965" s="165"/>
      <c r="CE5965" s="165"/>
      <c r="CF5965" s="165"/>
      <c r="CG5965" s="165"/>
      <c r="CH5965" s="165"/>
      <c r="CI5965" s="165"/>
      <c r="CJ5965" s="165"/>
      <c r="CK5965" s="165"/>
      <c r="CL5965" s="165"/>
      <c r="CM5965" s="165"/>
      <c r="CN5965" s="165"/>
      <c r="CO5965" s="165"/>
      <c r="CP5965" s="165"/>
      <c r="CQ5965" s="165"/>
      <c r="CR5965" s="165"/>
      <c r="CS5965" s="165"/>
      <c r="CT5965" s="165"/>
      <c r="CU5965" s="165"/>
      <c r="CV5965" s="165"/>
      <c r="CW5965" s="165"/>
      <c r="CX5965" s="165"/>
      <c r="CY5965" s="165"/>
      <c r="CZ5965" s="165"/>
      <c r="DA5965" s="165"/>
      <c r="DB5965" s="165"/>
      <c r="DC5965" s="165"/>
      <c r="DD5965" s="165"/>
      <c r="DE5965" s="165"/>
      <c r="DF5965" s="165"/>
      <c r="DG5965" s="165"/>
      <c r="DH5965" s="165"/>
      <c r="DI5965" s="165"/>
      <c r="DJ5965" s="165"/>
      <c r="DK5965" s="165"/>
      <c r="DL5965" s="165"/>
      <c r="DM5965" s="165"/>
      <c r="DN5965" s="165"/>
      <c r="DO5965" s="165"/>
      <c r="DP5965" s="165"/>
      <c r="DQ5965" s="165"/>
      <c r="DR5965" s="165"/>
      <c r="DS5965" s="165"/>
      <c r="DT5965" s="165"/>
      <c r="DU5965" s="165"/>
      <c r="DV5965" s="165"/>
      <c r="DW5965" s="165"/>
      <c r="DX5965" s="165"/>
      <c r="DY5965" s="165"/>
      <c r="DZ5965" s="165"/>
      <c r="EA5965" s="165"/>
      <c r="EB5965" s="165"/>
      <c r="EC5965" s="165"/>
      <c r="ED5965" s="165"/>
      <c r="EE5965" s="165"/>
      <c r="EF5965" s="165"/>
      <c r="EG5965" s="165"/>
      <c r="EH5965" s="165"/>
      <c r="EI5965" s="165"/>
      <c r="EJ5965" s="165"/>
      <c r="EK5965" s="165"/>
      <c r="EL5965" s="165"/>
      <c r="EM5965" s="165"/>
      <c r="EN5965" s="165"/>
      <c r="EO5965" s="165"/>
      <c r="EP5965" s="165"/>
      <c r="EQ5965" s="165"/>
      <c r="ER5965" s="165"/>
      <c r="ES5965" s="165"/>
    </row>
    <row r="5966" spans="1:149" s="451" customFormat="1" ht="15" hidden="1" customHeight="1">
      <c r="A5966" s="468">
        <v>45542</v>
      </c>
      <c r="B5966" s="208" t="s">
        <v>4909</v>
      </c>
      <c r="C5966" s="208" t="s">
        <v>146</v>
      </c>
      <c r="D5966" s="211">
        <v>-42000</v>
      </c>
      <c r="E5966" s="212">
        <v>45536</v>
      </c>
      <c r="F5966" s="208" t="s">
        <v>110</v>
      </c>
      <c r="G5966" s="208" t="s">
        <v>4399</v>
      </c>
      <c r="H5966" s="208" t="s">
        <v>147</v>
      </c>
      <c r="I5966" s="208" t="s">
        <v>3378</v>
      </c>
      <c r="J5966" s="209"/>
      <c r="K5966" s="209"/>
      <c r="L5966" s="209"/>
      <c r="M5966" s="209"/>
      <c r="N5966" s="209"/>
      <c r="O5966" s="209"/>
      <c r="P5966" s="209"/>
      <c r="Q5966" s="209"/>
      <c r="R5966" s="209"/>
      <c r="S5966" s="209"/>
      <c r="T5966" s="209"/>
      <c r="U5966" s="165"/>
      <c r="V5966" s="165"/>
      <c r="W5966" s="165"/>
      <c r="X5966" s="165"/>
      <c r="Y5966" s="165"/>
      <c r="Z5966" s="165"/>
      <c r="AA5966" s="165"/>
      <c r="AB5966" s="165"/>
      <c r="AC5966" s="165"/>
      <c r="AD5966" s="165"/>
      <c r="AE5966" s="165"/>
      <c r="AF5966" s="165"/>
      <c r="AG5966" s="165"/>
      <c r="AH5966" s="165"/>
      <c r="AI5966" s="165"/>
      <c r="AJ5966" s="165"/>
      <c r="AK5966" s="165"/>
      <c r="AL5966" s="165"/>
      <c r="AM5966" s="165"/>
      <c r="AN5966" s="165"/>
      <c r="AO5966" s="165"/>
      <c r="AP5966" s="165"/>
      <c r="AQ5966" s="165"/>
      <c r="AR5966" s="165"/>
      <c r="AS5966" s="165"/>
      <c r="AT5966" s="165"/>
      <c r="AU5966" s="165"/>
      <c r="AV5966" s="165"/>
      <c r="AW5966" s="165"/>
      <c r="AX5966" s="165"/>
      <c r="AY5966" s="165"/>
      <c r="AZ5966" s="165"/>
      <c r="BA5966" s="165"/>
      <c r="BB5966" s="165"/>
      <c r="BC5966" s="165"/>
      <c r="BD5966" s="165"/>
      <c r="BE5966" s="165"/>
      <c r="BF5966" s="165"/>
      <c r="BG5966" s="165"/>
      <c r="BH5966" s="165"/>
      <c r="BI5966" s="165"/>
      <c r="BJ5966" s="165"/>
      <c r="BK5966" s="165"/>
      <c r="BL5966" s="165"/>
      <c r="BM5966" s="165"/>
      <c r="BN5966" s="165"/>
      <c r="BO5966" s="165"/>
      <c r="BP5966" s="165"/>
      <c r="BQ5966" s="165"/>
      <c r="BR5966" s="165"/>
      <c r="BS5966" s="165"/>
      <c r="BT5966" s="165"/>
      <c r="BU5966" s="165"/>
      <c r="BV5966" s="165"/>
      <c r="BW5966" s="165"/>
      <c r="BX5966" s="165"/>
      <c r="BY5966" s="165"/>
      <c r="BZ5966" s="165"/>
      <c r="CA5966" s="165"/>
      <c r="CB5966" s="165"/>
      <c r="CC5966" s="165"/>
      <c r="CD5966" s="165"/>
      <c r="CE5966" s="165"/>
      <c r="CF5966" s="165"/>
      <c r="CG5966" s="165"/>
      <c r="CH5966" s="165"/>
      <c r="CI5966" s="165"/>
      <c r="CJ5966" s="165"/>
      <c r="CK5966" s="165"/>
      <c r="CL5966" s="165"/>
      <c r="CM5966" s="165"/>
      <c r="CN5966" s="165"/>
      <c r="CO5966" s="165"/>
      <c r="CP5966" s="165"/>
      <c r="CQ5966" s="165"/>
      <c r="CR5966" s="165"/>
      <c r="CS5966" s="165"/>
      <c r="CT5966" s="165"/>
      <c r="CU5966" s="165"/>
      <c r="CV5966" s="165"/>
      <c r="CW5966" s="165"/>
      <c r="CX5966" s="165"/>
      <c r="CY5966" s="165"/>
      <c r="CZ5966" s="165"/>
      <c r="DA5966" s="165"/>
      <c r="DB5966" s="165"/>
      <c r="DC5966" s="165"/>
      <c r="DD5966" s="165"/>
      <c r="DE5966" s="165"/>
      <c r="DF5966" s="165"/>
      <c r="DG5966" s="165"/>
      <c r="DH5966" s="165"/>
      <c r="DI5966" s="165"/>
      <c r="DJ5966" s="165"/>
      <c r="DK5966" s="165"/>
      <c r="DL5966" s="165"/>
      <c r="DM5966" s="165"/>
      <c r="DN5966" s="165"/>
      <c r="DO5966" s="165"/>
      <c r="DP5966" s="165"/>
      <c r="DQ5966" s="165"/>
      <c r="DR5966" s="165"/>
      <c r="DS5966" s="165"/>
      <c r="DT5966" s="165"/>
      <c r="DU5966" s="165"/>
      <c r="DV5966" s="165"/>
      <c r="DW5966" s="165"/>
      <c r="DX5966" s="165"/>
      <c r="DY5966" s="165"/>
      <c r="DZ5966" s="165"/>
      <c r="EA5966" s="165"/>
      <c r="EB5966" s="165"/>
      <c r="EC5966" s="165"/>
      <c r="ED5966" s="165"/>
      <c r="EE5966" s="165"/>
      <c r="EF5966" s="165"/>
      <c r="EG5966" s="165"/>
      <c r="EH5966" s="165"/>
      <c r="EI5966" s="165"/>
      <c r="EJ5966" s="165"/>
      <c r="EK5966" s="165"/>
      <c r="EL5966" s="165"/>
      <c r="EM5966" s="165"/>
      <c r="EN5966" s="165"/>
      <c r="EO5966" s="165"/>
      <c r="EP5966" s="165"/>
      <c r="EQ5966" s="165"/>
      <c r="ER5966" s="165"/>
      <c r="ES5966" s="165"/>
    </row>
    <row r="5967" spans="1:149" s="451" customFormat="1" ht="15" hidden="1" customHeight="1">
      <c r="A5967" s="468">
        <v>45542</v>
      </c>
      <c r="B5967" s="208" t="s">
        <v>4910</v>
      </c>
      <c r="C5967" s="208" t="s">
        <v>146</v>
      </c>
      <c r="D5967" s="211">
        <v>-43500</v>
      </c>
      <c r="E5967" s="212">
        <v>45536</v>
      </c>
      <c r="F5967" s="208" t="s">
        <v>110</v>
      </c>
      <c r="G5967" s="208" t="s">
        <v>4399</v>
      </c>
      <c r="H5967" s="208" t="s">
        <v>147</v>
      </c>
      <c r="I5967" s="208" t="s">
        <v>3378</v>
      </c>
      <c r="J5967" s="209"/>
      <c r="K5967" s="209"/>
      <c r="L5967" s="209"/>
      <c r="M5967" s="209"/>
      <c r="N5967" s="209"/>
      <c r="O5967" s="209"/>
      <c r="P5967" s="209"/>
      <c r="Q5967" s="209"/>
      <c r="R5967" s="209"/>
      <c r="S5967" s="209"/>
      <c r="T5967" s="209"/>
      <c r="U5967" s="165"/>
      <c r="V5967" s="165"/>
      <c r="W5967" s="165"/>
      <c r="X5967" s="165"/>
      <c r="Y5967" s="165"/>
      <c r="Z5967" s="165"/>
      <c r="AA5967" s="165"/>
      <c r="AB5967" s="165"/>
      <c r="AC5967" s="165"/>
      <c r="AD5967" s="165"/>
      <c r="AE5967" s="165"/>
      <c r="AF5967" s="165"/>
      <c r="AG5967" s="165"/>
      <c r="AH5967" s="165"/>
      <c r="AI5967" s="165"/>
      <c r="AJ5967" s="165"/>
      <c r="AK5967" s="165"/>
      <c r="AL5967" s="165"/>
      <c r="AM5967" s="165"/>
      <c r="AN5967" s="165"/>
      <c r="AO5967" s="165"/>
      <c r="AP5967" s="165"/>
      <c r="AQ5967" s="165"/>
      <c r="AR5967" s="165"/>
      <c r="AS5967" s="165"/>
      <c r="AT5967" s="165"/>
      <c r="AU5967" s="165"/>
      <c r="AV5967" s="165"/>
      <c r="AW5967" s="165"/>
      <c r="AX5967" s="165"/>
      <c r="AY5967" s="165"/>
      <c r="AZ5967" s="165"/>
      <c r="BA5967" s="165"/>
      <c r="BB5967" s="165"/>
      <c r="BC5967" s="165"/>
      <c r="BD5967" s="165"/>
      <c r="BE5967" s="165"/>
      <c r="BF5967" s="165"/>
      <c r="BG5967" s="165"/>
      <c r="BH5967" s="165"/>
      <c r="BI5967" s="165"/>
      <c r="BJ5967" s="165"/>
      <c r="BK5967" s="165"/>
      <c r="BL5967" s="165"/>
      <c r="BM5967" s="165"/>
      <c r="BN5967" s="165"/>
      <c r="BO5967" s="165"/>
      <c r="BP5967" s="165"/>
      <c r="BQ5967" s="165"/>
      <c r="BR5967" s="165"/>
      <c r="BS5967" s="165"/>
      <c r="BT5967" s="165"/>
      <c r="BU5967" s="165"/>
      <c r="BV5967" s="165"/>
      <c r="BW5967" s="165"/>
      <c r="BX5967" s="165"/>
      <c r="BY5967" s="165"/>
      <c r="BZ5967" s="165"/>
      <c r="CA5967" s="165"/>
      <c r="CB5967" s="165"/>
      <c r="CC5967" s="165"/>
      <c r="CD5967" s="165"/>
      <c r="CE5967" s="165"/>
      <c r="CF5967" s="165"/>
      <c r="CG5967" s="165"/>
      <c r="CH5967" s="165"/>
      <c r="CI5967" s="165"/>
      <c r="CJ5967" s="165"/>
      <c r="CK5967" s="165"/>
      <c r="CL5967" s="165"/>
      <c r="CM5967" s="165"/>
      <c r="CN5967" s="165"/>
      <c r="CO5967" s="165"/>
      <c r="CP5967" s="165"/>
      <c r="CQ5967" s="165"/>
      <c r="CR5967" s="165"/>
      <c r="CS5967" s="165"/>
      <c r="CT5967" s="165"/>
      <c r="CU5967" s="165"/>
      <c r="CV5967" s="165"/>
      <c r="CW5967" s="165"/>
      <c r="CX5967" s="165"/>
      <c r="CY5967" s="165"/>
      <c r="CZ5967" s="165"/>
      <c r="DA5967" s="165"/>
      <c r="DB5967" s="165"/>
      <c r="DC5967" s="165"/>
      <c r="DD5967" s="165"/>
      <c r="DE5967" s="165"/>
      <c r="DF5967" s="165"/>
      <c r="DG5967" s="165"/>
      <c r="DH5967" s="165"/>
      <c r="DI5967" s="165"/>
      <c r="DJ5967" s="165"/>
      <c r="DK5967" s="165"/>
      <c r="DL5967" s="165"/>
      <c r="DM5967" s="165"/>
      <c r="DN5967" s="165"/>
      <c r="DO5967" s="165"/>
      <c r="DP5967" s="165"/>
      <c r="DQ5967" s="165"/>
      <c r="DR5967" s="165"/>
      <c r="DS5967" s="165"/>
      <c r="DT5967" s="165"/>
      <c r="DU5967" s="165"/>
      <c r="DV5967" s="165"/>
      <c r="DW5967" s="165"/>
      <c r="DX5967" s="165"/>
      <c r="DY5967" s="165"/>
      <c r="DZ5967" s="165"/>
      <c r="EA5967" s="165"/>
      <c r="EB5967" s="165"/>
      <c r="EC5967" s="165"/>
      <c r="ED5967" s="165"/>
      <c r="EE5967" s="165"/>
      <c r="EF5967" s="165"/>
      <c r="EG5967" s="165"/>
      <c r="EH5967" s="165"/>
      <c r="EI5967" s="165"/>
      <c r="EJ5967" s="165"/>
      <c r="EK5967" s="165"/>
      <c r="EL5967" s="165"/>
      <c r="EM5967" s="165"/>
      <c r="EN5967" s="165"/>
      <c r="EO5967" s="165"/>
      <c r="EP5967" s="165"/>
      <c r="EQ5967" s="165"/>
      <c r="ER5967" s="165"/>
      <c r="ES5967" s="165"/>
    </row>
    <row r="5968" spans="1:149" s="451" customFormat="1" ht="15" hidden="1" customHeight="1">
      <c r="A5968" s="468">
        <v>45543</v>
      </c>
      <c r="B5968" s="81" t="s">
        <v>3949</v>
      </c>
      <c r="C5968" s="208" t="s">
        <v>643</v>
      </c>
      <c r="D5968" s="211">
        <v>-149300</v>
      </c>
      <c r="E5968" s="212">
        <v>45536</v>
      </c>
      <c r="F5968" s="208" t="s">
        <v>130</v>
      </c>
      <c r="G5968" s="208" t="s">
        <v>130</v>
      </c>
      <c r="H5968" s="208" t="s">
        <v>1245</v>
      </c>
      <c r="I5968" s="208"/>
      <c r="J5968" s="209"/>
      <c r="K5968" s="209"/>
      <c r="L5968" s="209"/>
      <c r="M5968" s="209"/>
      <c r="N5968" s="209"/>
      <c r="O5968" s="209"/>
      <c r="P5968" s="209"/>
      <c r="Q5968" s="209"/>
      <c r="R5968" s="209"/>
      <c r="S5968" s="209"/>
      <c r="T5968" s="209"/>
      <c r="U5968" s="165"/>
      <c r="V5968" s="165"/>
      <c r="W5968" s="165"/>
      <c r="X5968" s="165"/>
      <c r="Y5968" s="165"/>
      <c r="Z5968" s="165"/>
      <c r="AA5968" s="165"/>
      <c r="AB5968" s="165"/>
      <c r="AC5968" s="165"/>
      <c r="AD5968" s="165"/>
      <c r="AE5968" s="165"/>
      <c r="AF5968" s="165"/>
      <c r="AG5968" s="165"/>
      <c r="AH5968" s="165"/>
      <c r="AI5968" s="165"/>
      <c r="AJ5968" s="165"/>
      <c r="AK5968" s="165"/>
      <c r="AL5968" s="165"/>
      <c r="AM5968" s="165"/>
      <c r="AN5968" s="165"/>
      <c r="AO5968" s="165"/>
      <c r="AP5968" s="165"/>
      <c r="AQ5968" s="165"/>
      <c r="AR5968" s="165"/>
      <c r="AS5968" s="165"/>
      <c r="AT5968" s="165"/>
      <c r="AU5968" s="165"/>
      <c r="AV5968" s="165"/>
      <c r="AW5968" s="165"/>
      <c r="AX5968" s="165"/>
      <c r="AY5968" s="165"/>
      <c r="AZ5968" s="165"/>
      <c r="BA5968" s="165"/>
      <c r="BB5968" s="165"/>
      <c r="BC5968" s="165"/>
      <c r="BD5968" s="165"/>
      <c r="BE5968" s="165"/>
      <c r="BF5968" s="165"/>
      <c r="BG5968" s="165"/>
      <c r="BH5968" s="165"/>
      <c r="BI5968" s="165"/>
      <c r="BJ5968" s="165"/>
      <c r="BK5968" s="165"/>
      <c r="BL5968" s="165"/>
      <c r="BM5968" s="165"/>
      <c r="BN5968" s="165"/>
      <c r="BO5968" s="165"/>
      <c r="BP5968" s="165"/>
      <c r="BQ5968" s="165"/>
      <c r="BR5968" s="165"/>
      <c r="BS5968" s="165"/>
      <c r="BT5968" s="165"/>
      <c r="BU5968" s="165"/>
      <c r="BV5968" s="165"/>
      <c r="BW5968" s="165"/>
      <c r="BX5968" s="165"/>
      <c r="BY5968" s="165"/>
      <c r="BZ5968" s="165"/>
      <c r="CA5968" s="165"/>
      <c r="CB5968" s="165"/>
      <c r="CC5968" s="165"/>
      <c r="CD5968" s="165"/>
      <c r="CE5968" s="165"/>
      <c r="CF5968" s="165"/>
      <c r="CG5968" s="165"/>
      <c r="CH5968" s="165"/>
      <c r="CI5968" s="165"/>
      <c r="CJ5968" s="165"/>
      <c r="CK5968" s="165"/>
      <c r="CL5968" s="165"/>
      <c r="CM5968" s="165"/>
      <c r="CN5968" s="165"/>
      <c r="CO5968" s="165"/>
      <c r="CP5968" s="165"/>
      <c r="CQ5968" s="165"/>
      <c r="CR5968" s="165"/>
      <c r="CS5968" s="165"/>
      <c r="CT5968" s="165"/>
      <c r="CU5968" s="165"/>
      <c r="CV5968" s="165"/>
      <c r="CW5968" s="165"/>
      <c r="CX5968" s="165"/>
      <c r="CY5968" s="165"/>
      <c r="CZ5968" s="165"/>
      <c r="DA5968" s="165"/>
      <c r="DB5968" s="165"/>
      <c r="DC5968" s="165"/>
      <c r="DD5968" s="165"/>
      <c r="DE5968" s="165"/>
      <c r="DF5968" s="165"/>
      <c r="DG5968" s="165"/>
      <c r="DH5968" s="165"/>
      <c r="DI5968" s="165"/>
      <c r="DJ5968" s="165"/>
      <c r="DK5968" s="165"/>
      <c r="DL5968" s="165"/>
      <c r="DM5968" s="165"/>
      <c r="DN5968" s="165"/>
      <c r="DO5968" s="165"/>
      <c r="DP5968" s="165"/>
      <c r="DQ5968" s="165"/>
      <c r="DR5968" s="165"/>
      <c r="DS5968" s="165"/>
      <c r="DT5968" s="165"/>
      <c r="DU5968" s="165"/>
      <c r="DV5968" s="165"/>
      <c r="DW5968" s="165"/>
      <c r="DX5968" s="165"/>
      <c r="DY5968" s="165"/>
      <c r="DZ5968" s="165"/>
      <c r="EA5968" s="165"/>
      <c r="EB5968" s="165"/>
      <c r="EC5968" s="165"/>
      <c r="ED5968" s="165"/>
      <c r="EE5968" s="165"/>
      <c r="EF5968" s="165"/>
      <c r="EG5968" s="165"/>
      <c r="EH5968" s="165"/>
      <c r="EI5968" s="165"/>
      <c r="EJ5968" s="165"/>
      <c r="EK5968" s="165"/>
      <c r="EL5968" s="165"/>
      <c r="EM5968" s="165"/>
      <c r="EN5968" s="165"/>
      <c r="EO5968" s="165"/>
      <c r="EP5968" s="165"/>
      <c r="EQ5968" s="165"/>
      <c r="ER5968" s="165"/>
      <c r="ES5968" s="165"/>
    </row>
    <row r="5969" spans="1:149" s="451" customFormat="1" ht="15" hidden="1" customHeight="1">
      <c r="A5969" s="468">
        <v>45543</v>
      </c>
      <c r="B5969" s="208" t="s">
        <v>4561</v>
      </c>
      <c r="C5969" s="208" t="s">
        <v>269</v>
      </c>
      <c r="D5969" s="211">
        <v>-70000</v>
      </c>
      <c r="E5969" s="212">
        <v>45536</v>
      </c>
      <c r="F5969" s="208" t="s">
        <v>109</v>
      </c>
      <c r="G5969" s="201" t="s">
        <v>581</v>
      </c>
      <c r="H5969" s="208"/>
      <c r="I5969" s="208" t="s">
        <v>3364</v>
      </c>
      <c r="J5969" s="209"/>
      <c r="K5969" s="209"/>
      <c r="L5969" s="209"/>
      <c r="M5969" s="209"/>
      <c r="N5969" s="209"/>
      <c r="O5969" s="209"/>
      <c r="P5969" s="209"/>
      <c r="Q5969" s="209"/>
      <c r="R5969" s="209"/>
      <c r="S5969" s="209"/>
      <c r="T5969" s="209"/>
      <c r="U5969" s="165"/>
      <c r="V5969" s="165"/>
      <c r="W5969" s="165"/>
      <c r="X5969" s="165"/>
      <c r="Y5969" s="165"/>
      <c r="Z5969" s="165"/>
      <c r="AA5969" s="165"/>
      <c r="AB5969" s="165"/>
      <c r="AC5969" s="165"/>
      <c r="AD5969" s="165"/>
      <c r="AE5969" s="165"/>
      <c r="AF5969" s="165"/>
      <c r="AG5969" s="165"/>
      <c r="AH5969" s="165"/>
      <c r="AI5969" s="165"/>
      <c r="AJ5969" s="165"/>
      <c r="AK5969" s="165"/>
      <c r="AL5969" s="165"/>
      <c r="AM5969" s="165"/>
      <c r="AN5969" s="165"/>
      <c r="AO5969" s="165"/>
      <c r="AP5969" s="165"/>
      <c r="AQ5969" s="165"/>
      <c r="AR5969" s="165"/>
      <c r="AS5969" s="165"/>
      <c r="AT5969" s="165"/>
      <c r="AU5969" s="165"/>
      <c r="AV5969" s="165"/>
      <c r="AW5969" s="165"/>
      <c r="AX5969" s="165"/>
      <c r="AY5969" s="165"/>
      <c r="AZ5969" s="165"/>
      <c r="BA5969" s="165"/>
      <c r="BB5969" s="165"/>
      <c r="BC5969" s="165"/>
      <c r="BD5969" s="165"/>
      <c r="BE5969" s="165"/>
      <c r="BF5969" s="165"/>
      <c r="BG5969" s="165"/>
      <c r="BH5969" s="165"/>
      <c r="BI5969" s="165"/>
      <c r="BJ5969" s="165"/>
      <c r="BK5969" s="165"/>
      <c r="BL5969" s="165"/>
      <c r="BM5969" s="165"/>
      <c r="BN5969" s="165"/>
      <c r="BO5969" s="165"/>
      <c r="BP5969" s="165"/>
      <c r="BQ5969" s="165"/>
      <c r="BR5969" s="165"/>
      <c r="BS5969" s="165"/>
      <c r="BT5969" s="165"/>
      <c r="BU5969" s="165"/>
      <c r="BV5969" s="165"/>
      <c r="BW5969" s="165"/>
      <c r="BX5969" s="165"/>
      <c r="BY5969" s="165"/>
      <c r="BZ5969" s="165"/>
      <c r="CA5969" s="165"/>
      <c r="CB5969" s="165"/>
      <c r="CC5969" s="165"/>
      <c r="CD5969" s="165"/>
      <c r="CE5969" s="165"/>
      <c r="CF5969" s="165"/>
      <c r="CG5969" s="165"/>
      <c r="CH5969" s="165"/>
      <c r="CI5969" s="165"/>
      <c r="CJ5969" s="165"/>
      <c r="CK5969" s="165"/>
      <c r="CL5969" s="165"/>
      <c r="CM5969" s="165"/>
      <c r="CN5969" s="165"/>
      <c r="CO5969" s="165"/>
      <c r="CP5969" s="165"/>
      <c r="CQ5969" s="165"/>
      <c r="CR5969" s="165"/>
      <c r="CS5969" s="165"/>
      <c r="CT5969" s="165"/>
      <c r="CU5969" s="165"/>
      <c r="CV5969" s="165"/>
      <c r="CW5969" s="165"/>
      <c r="CX5969" s="165"/>
      <c r="CY5969" s="165"/>
      <c r="CZ5969" s="165"/>
      <c r="DA5969" s="165"/>
      <c r="DB5969" s="165"/>
      <c r="DC5969" s="165"/>
      <c r="DD5969" s="165"/>
      <c r="DE5969" s="165"/>
      <c r="DF5969" s="165"/>
      <c r="DG5969" s="165"/>
      <c r="DH5969" s="165"/>
      <c r="DI5969" s="165"/>
      <c r="DJ5969" s="165"/>
      <c r="DK5969" s="165"/>
      <c r="DL5969" s="165"/>
      <c r="DM5969" s="165"/>
      <c r="DN5969" s="165"/>
      <c r="DO5969" s="165"/>
      <c r="DP5969" s="165"/>
      <c r="DQ5969" s="165"/>
      <c r="DR5969" s="165"/>
      <c r="DS5969" s="165"/>
      <c r="DT5969" s="165"/>
      <c r="DU5969" s="165"/>
      <c r="DV5969" s="165"/>
      <c r="DW5969" s="165"/>
      <c r="DX5969" s="165"/>
      <c r="DY5969" s="165"/>
      <c r="DZ5969" s="165"/>
      <c r="EA5969" s="165"/>
      <c r="EB5969" s="165"/>
      <c r="EC5969" s="165"/>
      <c r="ED5969" s="165"/>
      <c r="EE5969" s="165"/>
      <c r="EF5969" s="165"/>
      <c r="EG5969" s="165"/>
      <c r="EH5969" s="165"/>
      <c r="EI5969" s="165"/>
      <c r="EJ5969" s="165"/>
      <c r="EK5969" s="165"/>
      <c r="EL5969" s="165"/>
      <c r="EM5969" s="165"/>
      <c r="EN5969" s="165"/>
      <c r="EO5969" s="165"/>
      <c r="EP5969" s="165"/>
      <c r="EQ5969" s="165"/>
      <c r="ER5969" s="165"/>
      <c r="ES5969" s="165"/>
    </row>
    <row r="5970" spans="1:149" s="451" customFormat="1" ht="15" hidden="1" customHeight="1">
      <c r="A5970" s="468">
        <v>45543</v>
      </c>
      <c r="B5970" s="208" t="s">
        <v>4562</v>
      </c>
      <c r="C5970" s="208" t="s">
        <v>269</v>
      </c>
      <c r="D5970" s="211">
        <v>-120000</v>
      </c>
      <c r="E5970" s="212">
        <v>45536</v>
      </c>
      <c r="F5970" s="208" t="s">
        <v>109</v>
      </c>
      <c r="G5970" s="201" t="s">
        <v>581</v>
      </c>
      <c r="H5970" s="208"/>
      <c r="I5970" s="208" t="s">
        <v>3364</v>
      </c>
      <c r="J5970" s="209"/>
      <c r="K5970" s="209"/>
      <c r="L5970" s="209"/>
      <c r="M5970" s="209"/>
      <c r="N5970" s="209"/>
      <c r="O5970" s="209"/>
      <c r="P5970" s="209"/>
      <c r="Q5970" s="209"/>
      <c r="R5970" s="209"/>
      <c r="S5970" s="209"/>
      <c r="T5970" s="209"/>
      <c r="U5970" s="165"/>
      <c r="V5970" s="165"/>
      <c r="W5970" s="165"/>
      <c r="X5970" s="165"/>
      <c r="Y5970" s="165"/>
      <c r="Z5970" s="165"/>
      <c r="AA5970" s="165"/>
      <c r="AB5970" s="165"/>
      <c r="AC5970" s="165"/>
      <c r="AD5970" s="165"/>
      <c r="AE5970" s="165"/>
      <c r="AF5970" s="165"/>
      <c r="AG5970" s="165"/>
      <c r="AH5970" s="165"/>
      <c r="AI5970" s="165"/>
      <c r="AJ5970" s="165"/>
      <c r="AK5970" s="165"/>
      <c r="AL5970" s="165"/>
      <c r="AM5970" s="165"/>
      <c r="AN5970" s="165"/>
      <c r="AO5970" s="165"/>
      <c r="AP5970" s="165"/>
      <c r="AQ5970" s="165"/>
      <c r="AR5970" s="165"/>
      <c r="AS5970" s="165"/>
      <c r="AT5970" s="165"/>
      <c r="AU5970" s="165"/>
      <c r="AV5970" s="165"/>
      <c r="AW5970" s="165"/>
      <c r="AX5970" s="165"/>
      <c r="AY5970" s="165"/>
      <c r="AZ5970" s="165"/>
      <c r="BA5970" s="165"/>
      <c r="BB5970" s="165"/>
      <c r="BC5970" s="165"/>
      <c r="BD5970" s="165"/>
      <c r="BE5970" s="165"/>
      <c r="BF5970" s="165"/>
      <c r="BG5970" s="165"/>
      <c r="BH5970" s="165"/>
      <c r="BI5970" s="165"/>
      <c r="BJ5970" s="165"/>
      <c r="BK5970" s="165"/>
      <c r="BL5970" s="165"/>
      <c r="BM5970" s="165"/>
      <c r="BN5970" s="165"/>
      <c r="BO5970" s="165"/>
      <c r="BP5970" s="165"/>
      <c r="BQ5970" s="165"/>
      <c r="BR5970" s="165"/>
      <c r="BS5970" s="165"/>
      <c r="BT5970" s="165"/>
      <c r="BU5970" s="165"/>
      <c r="BV5970" s="165"/>
      <c r="BW5970" s="165"/>
      <c r="BX5970" s="165"/>
      <c r="BY5970" s="165"/>
      <c r="BZ5970" s="165"/>
      <c r="CA5970" s="165"/>
      <c r="CB5970" s="165"/>
      <c r="CC5970" s="165"/>
      <c r="CD5970" s="165"/>
      <c r="CE5970" s="165"/>
      <c r="CF5970" s="165"/>
      <c r="CG5970" s="165"/>
      <c r="CH5970" s="165"/>
      <c r="CI5970" s="165"/>
      <c r="CJ5970" s="165"/>
      <c r="CK5970" s="165"/>
      <c r="CL5970" s="165"/>
      <c r="CM5970" s="165"/>
      <c r="CN5970" s="165"/>
      <c r="CO5970" s="165"/>
      <c r="CP5970" s="165"/>
      <c r="CQ5970" s="165"/>
      <c r="CR5970" s="165"/>
      <c r="CS5970" s="165"/>
      <c r="CT5970" s="165"/>
      <c r="CU5970" s="165"/>
      <c r="CV5970" s="165"/>
      <c r="CW5970" s="165"/>
      <c r="CX5970" s="165"/>
      <c r="CY5970" s="165"/>
      <c r="CZ5970" s="165"/>
      <c r="DA5970" s="165"/>
      <c r="DB5970" s="165"/>
      <c r="DC5970" s="165"/>
      <c r="DD5970" s="165"/>
      <c r="DE5970" s="165"/>
      <c r="DF5970" s="165"/>
      <c r="DG5970" s="165"/>
      <c r="DH5970" s="165"/>
      <c r="DI5970" s="165"/>
      <c r="DJ5970" s="165"/>
      <c r="DK5970" s="165"/>
      <c r="DL5970" s="165"/>
      <c r="DM5970" s="165"/>
      <c r="DN5970" s="165"/>
      <c r="DO5970" s="165"/>
      <c r="DP5970" s="165"/>
      <c r="DQ5970" s="165"/>
      <c r="DR5970" s="165"/>
      <c r="DS5970" s="165"/>
      <c r="DT5970" s="165"/>
      <c r="DU5970" s="165"/>
      <c r="DV5970" s="165"/>
      <c r="DW5970" s="165"/>
      <c r="DX5970" s="165"/>
      <c r="DY5970" s="165"/>
      <c r="DZ5970" s="165"/>
      <c r="EA5970" s="165"/>
      <c r="EB5970" s="165"/>
      <c r="EC5970" s="165"/>
      <c r="ED5970" s="165"/>
      <c r="EE5970" s="165"/>
      <c r="EF5970" s="165"/>
      <c r="EG5970" s="165"/>
      <c r="EH5970" s="165"/>
      <c r="EI5970" s="165"/>
      <c r="EJ5970" s="165"/>
      <c r="EK5970" s="165"/>
      <c r="EL5970" s="165"/>
      <c r="EM5970" s="165"/>
      <c r="EN5970" s="165"/>
      <c r="EO5970" s="165"/>
      <c r="EP5970" s="165"/>
      <c r="EQ5970" s="165"/>
      <c r="ER5970" s="165"/>
      <c r="ES5970" s="165"/>
    </row>
    <row r="5971" spans="1:149" s="451" customFormat="1" ht="15" hidden="1" customHeight="1">
      <c r="A5971" s="468">
        <v>45543</v>
      </c>
      <c r="B5971" s="208" t="s">
        <v>4911</v>
      </c>
      <c r="C5971" s="208" t="s">
        <v>269</v>
      </c>
      <c r="D5971" s="211">
        <v>-32000</v>
      </c>
      <c r="E5971" s="212">
        <v>45536</v>
      </c>
      <c r="F5971" s="208" t="s">
        <v>109</v>
      </c>
      <c r="G5971" s="201" t="s">
        <v>581</v>
      </c>
      <c r="H5971" s="208"/>
      <c r="I5971" s="208" t="s">
        <v>3364</v>
      </c>
      <c r="J5971" s="209"/>
      <c r="K5971" s="209"/>
      <c r="L5971" s="209"/>
      <c r="M5971" s="209"/>
      <c r="N5971" s="209"/>
      <c r="O5971" s="209"/>
      <c r="P5971" s="209"/>
      <c r="Q5971" s="209"/>
      <c r="R5971" s="209"/>
      <c r="S5971" s="209"/>
      <c r="T5971" s="209"/>
      <c r="U5971" s="165"/>
      <c r="V5971" s="165"/>
      <c r="W5971" s="165"/>
      <c r="X5971" s="165"/>
      <c r="Y5971" s="165"/>
      <c r="Z5971" s="165"/>
      <c r="AA5971" s="165"/>
      <c r="AB5971" s="165"/>
      <c r="AC5971" s="165"/>
      <c r="AD5971" s="165"/>
      <c r="AE5971" s="165"/>
      <c r="AF5971" s="165"/>
      <c r="AG5971" s="165"/>
      <c r="AH5971" s="165"/>
      <c r="AI5971" s="165"/>
      <c r="AJ5971" s="165"/>
      <c r="AK5971" s="165"/>
      <c r="AL5971" s="165"/>
      <c r="AM5971" s="165"/>
      <c r="AN5971" s="165"/>
      <c r="AO5971" s="165"/>
      <c r="AP5971" s="165"/>
      <c r="AQ5971" s="165"/>
      <c r="AR5971" s="165"/>
      <c r="AS5971" s="165"/>
      <c r="AT5971" s="165"/>
      <c r="AU5971" s="165"/>
      <c r="AV5971" s="165"/>
      <c r="AW5971" s="165"/>
      <c r="AX5971" s="165"/>
      <c r="AY5971" s="165"/>
      <c r="AZ5971" s="165"/>
      <c r="BA5971" s="165"/>
      <c r="BB5971" s="165"/>
      <c r="BC5971" s="165"/>
      <c r="BD5971" s="165"/>
      <c r="BE5971" s="165"/>
      <c r="BF5971" s="165"/>
      <c r="BG5971" s="165"/>
      <c r="BH5971" s="165"/>
      <c r="BI5971" s="165"/>
      <c r="BJ5971" s="165"/>
      <c r="BK5971" s="165"/>
      <c r="BL5971" s="165"/>
      <c r="BM5971" s="165"/>
      <c r="BN5971" s="165"/>
      <c r="BO5971" s="165"/>
      <c r="BP5971" s="165"/>
      <c r="BQ5971" s="165"/>
      <c r="BR5971" s="165"/>
      <c r="BS5971" s="165"/>
      <c r="BT5971" s="165"/>
      <c r="BU5971" s="165"/>
      <c r="BV5971" s="165"/>
      <c r="BW5971" s="165"/>
      <c r="BX5971" s="165"/>
      <c r="BY5971" s="165"/>
      <c r="BZ5971" s="165"/>
      <c r="CA5971" s="165"/>
      <c r="CB5971" s="165"/>
      <c r="CC5971" s="165"/>
      <c r="CD5971" s="165"/>
      <c r="CE5971" s="165"/>
      <c r="CF5971" s="165"/>
      <c r="CG5971" s="165"/>
      <c r="CH5971" s="165"/>
      <c r="CI5971" s="165"/>
      <c r="CJ5971" s="165"/>
      <c r="CK5971" s="165"/>
      <c r="CL5971" s="165"/>
      <c r="CM5971" s="165"/>
      <c r="CN5971" s="165"/>
      <c r="CO5971" s="165"/>
      <c r="CP5971" s="165"/>
      <c r="CQ5971" s="165"/>
      <c r="CR5971" s="165"/>
      <c r="CS5971" s="165"/>
      <c r="CT5971" s="165"/>
      <c r="CU5971" s="165"/>
      <c r="CV5971" s="165"/>
      <c r="CW5971" s="165"/>
      <c r="CX5971" s="165"/>
      <c r="CY5971" s="165"/>
      <c r="CZ5971" s="165"/>
      <c r="DA5971" s="165"/>
      <c r="DB5971" s="165"/>
      <c r="DC5971" s="165"/>
      <c r="DD5971" s="165"/>
      <c r="DE5971" s="165"/>
      <c r="DF5971" s="165"/>
      <c r="DG5971" s="165"/>
      <c r="DH5971" s="165"/>
      <c r="DI5971" s="165"/>
      <c r="DJ5971" s="165"/>
      <c r="DK5971" s="165"/>
      <c r="DL5971" s="165"/>
      <c r="DM5971" s="165"/>
      <c r="DN5971" s="165"/>
      <c r="DO5971" s="165"/>
      <c r="DP5971" s="165"/>
      <c r="DQ5971" s="165"/>
      <c r="DR5971" s="165"/>
      <c r="DS5971" s="165"/>
      <c r="DT5971" s="165"/>
      <c r="DU5971" s="165"/>
      <c r="DV5971" s="165"/>
      <c r="DW5971" s="165"/>
      <c r="DX5971" s="165"/>
      <c r="DY5971" s="165"/>
      <c r="DZ5971" s="165"/>
      <c r="EA5971" s="165"/>
      <c r="EB5971" s="165"/>
      <c r="EC5971" s="165"/>
      <c r="ED5971" s="165"/>
      <c r="EE5971" s="165"/>
      <c r="EF5971" s="165"/>
      <c r="EG5971" s="165"/>
      <c r="EH5971" s="165"/>
      <c r="EI5971" s="165"/>
      <c r="EJ5971" s="165"/>
      <c r="EK5971" s="165"/>
      <c r="EL5971" s="165"/>
      <c r="EM5971" s="165"/>
      <c r="EN5971" s="165"/>
      <c r="EO5971" s="165"/>
      <c r="EP5971" s="165"/>
      <c r="EQ5971" s="165"/>
      <c r="ER5971" s="165"/>
      <c r="ES5971" s="165"/>
    </row>
    <row r="5972" spans="1:149" s="451" customFormat="1" ht="15" hidden="1" customHeight="1">
      <c r="A5972" s="468">
        <v>45543</v>
      </c>
      <c r="B5972" s="208" t="s">
        <v>4909</v>
      </c>
      <c r="C5972" s="208" t="s">
        <v>146</v>
      </c>
      <c r="D5972" s="211">
        <v>-47800</v>
      </c>
      <c r="E5972" s="212">
        <v>45536</v>
      </c>
      <c r="F5972" s="208" t="s">
        <v>110</v>
      </c>
      <c r="G5972" s="208" t="s">
        <v>4399</v>
      </c>
      <c r="H5972" s="208" t="s">
        <v>147</v>
      </c>
      <c r="I5972" s="208" t="s">
        <v>3378</v>
      </c>
      <c r="J5972" s="209"/>
      <c r="K5972" s="209"/>
      <c r="L5972" s="209"/>
      <c r="M5972" s="209"/>
      <c r="N5972" s="209"/>
      <c r="O5972" s="209"/>
      <c r="P5972" s="209"/>
      <c r="Q5972" s="209"/>
      <c r="R5972" s="209"/>
      <c r="S5972" s="209"/>
      <c r="T5972" s="209"/>
      <c r="U5972" s="165"/>
      <c r="V5972" s="165"/>
      <c r="W5972" s="165"/>
      <c r="X5972" s="165"/>
      <c r="Y5972" s="165"/>
      <c r="Z5972" s="165"/>
      <c r="AA5972" s="165"/>
      <c r="AB5972" s="165"/>
      <c r="AC5972" s="165"/>
      <c r="AD5972" s="165"/>
      <c r="AE5972" s="165"/>
      <c r="AF5972" s="165"/>
      <c r="AG5972" s="165"/>
      <c r="AH5972" s="165"/>
      <c r="AI5972" s="165"/>
      <c r="AJ5972" s="165"/>
      <c r="AK5972" s="165"/>
      <c r="AL5972" s="165"/>
      <c r="AM5972" s="165"/>
      <c r="AN5972" s="165"/>
      <c r="AO5972" s="165"/>
      <c r="AP5972" s="165"/>
      <c r="AQ5972" s="165"/>
      <c r="AR5972" s="165"/>
      <c r="AS5972" s="165"/>
      <c r="AT5972" s="165"/>
      <c r="AU5972" s="165"/>
      <c r="AV5972" s="165"/>
      <c r="AW5972" s="165"/>
      <c r="AX5972" s="165"/>
      <c r="AY5972" s="165"/>
      <c r="AZ5972" s="165"/>
      <c r="BA5972" s="165"/>
      <c r="BB5972" s="165"/>
      <c r="BC5972" s="165"/>
      <c r="BD5972" s="165"/>
      <c r="BE5972" s="165"/>
      <c r="BF5972" s="165"/>
      <c r="BG5972" s="165"/>
      <c r="BH5972" s="165"/>
      <c r="BI5972" s="165"/>
      <c r="BJ5972" s="165"/>
      <c r="BK5972" s="165"/>
      <c r="BL5972" s="165"/>
      <c r="BM5972" s="165"/>
      <c r="BN5972" s="165"/>
      <c r="BO5972" s="165"/>
      <c r="BP5972" s="165"/>
      <c r="BQ5972" s="165"/>
      <c r="BR5972" s="165"/>
      <c r="BS5972" s="165"/>
      <c r="BT5972" s="165"/>
      <c r="BU5972" s="165"/>
      <c r="BV5972" s="165"/>
      <c r="BW5972" s="165"/>
      <c r="BX5972" s="165"/>
      <c r="BY5972" s="165"/>
      <c r="BZ5972" s="165"/>
      <c r="CA5972" s="165"/>
      <c r="CB5972" s="165"/>
      <c r="CC5972" s="165"/>
      <c r="CD5972" s="165"/>
      <c r="CE5972" s="165"/>
      <c r="CF5972" s="165"/>
      <c r="CG5972" s="165"/>
      <c r="CH5972" s="165"/>
      <c r="CI5972" s="165"/>
      <c r="CJ5972" s="165"/>
      <c r="CK5972" s="165"/>
      <c r="CL5972" s="165"/>
      <c r="CM5972" s="165"/>
      <c r="CN5972" s="165"/>
      <c r="CO5972" s="165"/>
      <c r="CP5972" s="165"/>
      <c r="CQ5972" s="165"/>
      <c r="CR5972" s="165"/>
      <c r="CS5972" s="165"/>
      <c r="CT5972" s="165"/>
      <c r="CU5972" s="165"/>
      <c r="CV5972" s="165"/>
      <c r="CW5972" s="165"/>
      <c r="CX5972" s="165"/>
      <c r="CY5972" s="165"/>
      <c r="CZ5972" s="165"/>
      <c r="DA5972" s="165"/>
      <c r="DB5972" s="165"/>
      <c r="DC5972" s="165"/>
      <c r="DD5972" s="165"/>
      <c r="DE5972" s="165"/>
      <c r="DF5972" s="165"/>
      <c r="DG5972" s="165"/>
      <c r="DH5972" s="165"/>
      <c r="DI5972" s="165"/>
      <c r="DJ5972" s="165"/>
      <c r="DK5972" s="165"/>
      <c r="DL5972" s="165"/>
      <c r="DM5972" s="165"/>
      <c r="DN5972" s="165"/>
      <c r="DO5972" s="165"/>
      <c r="DP5972" s="165"/>
      <c r="DQ5972" s="165"/>
      <c r="DR5972" s="165"/>
      <c r="DS5972" s="165"/>
      <c r="DT5972" s="165"/>
      <c r="DU5972" s="165"/>
      <c r="DV5972" s="165"/>
      <c r="DW5972" s="165"/>
      <c r="DX5972" s="165"/>
      <c r="DY5972" s="165"/>
      <c r="DZ5972" s="165"/>
      <c r="EA5972" s="165"/>
      <c r="EB5972" s="165"/>
      <c r="EC5972" s="165"/>
      <c r="ED5972" s="165"/>
      <c r="EE5972" s="165"/>
      <c r="EF5972" s="165"/>
      <c r="EG5972" s="165"/>
      <c r="EH5972" s="165"/>
      <c r="EI5972" s="165"/>
      <c r="EJ5972" s="165"/>
      <c r="EK5972" s="165"/>
      <c r="EL5972" s="165"/>
      <c r="EM5972" s="165"/>
      <c r="EN5972" s="165"/>
      <c r="EO5972" s="165"/>
      <c r="EP5972" s="165"/>
      <c r="EQ5972" s="165"/>
      <c r="ER5972" s="165"/>
      <c r="ES5972" s="165"/>
    </row>
    <row r="5973" spans="1:149" s="451" customFormat="1" ht="15" hidden="1" customHeight="1">
      <c r="A5973" s="468">
        <v>45543</v>
      </c>
      <c r="B5973" s="208" t="s">
        <v>4912</v>
      </c>
      <c r="C5973" s="208" t="s">
        <v>146</v>
      </c>
      <c r="D5973" s="211">
        <v>-57000</v>
      </c>
      <c r="E5973" s="212">
        <v>45536</v>
      </c>
      <c r="F5973" s="208" t="s">
        <v>110</v>
      </c>
      <c r="G5973" s="208" t="s">
        <v>4399</v>
      </c>
      <c r="H5973" s="208" t="s">
        <v>147</v>
      </c>
      <c r="I5973" s="208" t="s">
        <v>3378</v>
      </c>
      <c r="J5973" s="209"/>
      <c r="K5973" s="209"/>
      <c r="L5973" s="209"/>
      <c r="M5973" s="209"/>
      <c r="N5973" s="209"/>
      <c r="O5973" s="209"/>
      <c r="P5973" s="209"/>
      <c r="Q5973" s="209"/>
      <c r="R5973" s="209"/>
      <c r="S5973" s="209"/>
      <c r="T5973" s="209"/>
      <c r="U5973" s="165"/>
      <c r="V5973" s="165"/>
      <c r="W5973" s="165"/>
      <c r="X5973" s="165"/>
      <c r="Y5973" s="165"/>
      <c r="Z5973" s="165"/>
      <c r="AA5973" s="165"/>
      <c r="AB5973" s="165"/>
      <c r="AC5973" s="165"/>
      <c r="AD5973" s="165"/>
      <c r="AE5973" s="165"/>
      <c r="AF5973" s="165"/>
      <c r="AG5973" s="165"/>
      <c r="AH5973" s="165"/>
      <c r="AI5973" s="165"/>
      <c r="AJ5973" s="165"/>
      <c r="AK5973" s="165"/>
      <c r="AL5973" s="165"/>
      <c r="AM5973" s="165"/>
      <c r="AN5973" s="165"/>
      <c r="AO5973" s="165"/>
      <c r="AP5973" s="165"/>
      <c r="AQ5973" s="165"/>
      <c r="AR5973" s="165"/>
      <c r="AS5973" s="165"/>
      <c r="AT5973" s="165"/>
      <c r="AU5973" s="165"/>
      <c r="AV5973" s="165"/>
      <c r="AW5973" s="165"/>
      <c r="AX5973" s="165"/>
      <c r="AY5973" s="165"/>
      <c r="AZ5973" s="165"/>
      <c r="BA5973" s="165"/>
      <c r="BB5973" s="165"/>
      <c r="BC5973" s="165"/>
      <c r="BD5973" s="165"/>
      <c r="BE5973" s="165"/>
      <c r="BF5973" s="165"/>
      <c r="BG5973" s="165"/>
      <c r="BH5973" s="165"/>
      <c r="BI5973" s="165"/>
      <c r="BJ5973" s="165"/>
      <c r="BK5973" s="165"/>
      <c r="BL5973" s="165"/>
      <c r="BM5973" s="165"/>
      <c r="BN5973" s="165"/>
      <c r="BO5973" s="165"/>
      <c r="BP5973" s="165"/>
      <c r="BQ5973" s="165"/>
      <c r="BR5973" s="165"/>
      <c r="BS5973" s="165"/>
      <c r="BT5973" s="165"/>
      <c r="BU5973" s="165"/>
      <c r="BV5973" s="165"/>
      <c r="BW5973" s="165"/>
      <c r="BX5973" s="165"/>
      <c r="BY5973" s="165"/>
      <c r="BZ5973" s="165"/>
      <c r="CA5973" s="165"/>
      <c r="CB5973" s="165"/>
      <c r="CC5973" s="165"/>
      <c r="CD5973" s="165"/>
      <c r="CE5973" s="165"/>
      <c r="CF5973" s="165"/>
      <c r="CG5973" s="165"/>
      <c r="CH5973" s="165"/>
      <c r="CI5973" s="165"/>
      <c r="CJ5973" s="165"/>
      <c r="CK5973" s="165"/>
      <c r="CL5973" s="165"/>
      <c r="CM5973" s="165"/>
      <c r="CN5973" s="165"/>
      <c r="CO5973" s="165"/>
      <c r="CP5973" s="165"/>
      <c r="CQ5973" s="165"/>
      <c r="CR5973" s="165"/>
      <c r="CS5973" s="165"/>
      <c r="CT5973" s="165"/>
      <c r="CU5973" s="165"/>
      <c r="CV5973" s="165"/>
      <c r="CW5973" s="165"/>
      <c r="CX5973" s="165"/>
      <c r="CY5973" s="165"/>
      <c r="CZ5973" s="165"/>
      <c r="DA5973" s="165"/>
      <c r="DB5973" s="165"/>
      <c r="DC5973" s="165"/>
      <c r="DD5973" s="165"/>
      <c r="DE5973" s="165"/>
      <c r="DF5973" s="165"/>
      <c r="DG5973" s="165"/>
      <c r="DH5973" s="165"/>
      <c r="DI5973" s="165"/>
      <c r="DJ5973" s="165"/>
      <c r="DK5973" s="165"/>
      <c r="DL5973" s="165"/>
      <c r="DM5973" s="165"/>
      <c r="DN5973" s="165"/>
      <c r="DO5973" s="165"/>
      <c r="DP5973" s="165"/>
      <c r="DQ5973" s="165"/>
      <c r="DR5973" s="165"/>
      <c r="DS5973" s="165"/>
      <c r="DT5973" s="165"/>
      <c r="DU5973" s="165"/>
      <c r="DV5973" s="165"/>
      <c r="DW5973" s="165"/>
      <c r="DX5973" s="165"/>
      <c r="DY5973" s="165"/>
      <c r="DZ5973" s="165"/>
      <c r="EA5973" s="165"/>
      <c r="EB5973" s="165"/>
      <c r="EC5973" s="165"/>
      <c r="ED5973" s="165"/>
      <c r="EE5973" s="165"/>
      <c r="EF5973" s="165"/>
      <c r="EG5973" s="165"/>
      <c r="EH5973" s="165"/>
      <c r="EI5973" s="165"/>
      <c r="EJ5973" s="165"/>
      <c r="EK5973" s="165"/>
      <c r="EL5973" s="165"/>
      <c r="EM5973" s="165"/>
      <c r="EN5973" s="165"/>
      <c r="EO5973" s="165"/>
      <c r="EP5973" s="165"/>
      <c r="EQ5973" s="165"/>
      <c r="ER5973" s="165"/>
      <c r="ES5973" s="165"/>
    </row>
    <row r="5974" spans="1:149" s="451" customFormat="1" ht="15" hidden="1" customHeight="1">
      <c r="A5974" s="468">
        <v>45543</v>
      </c>
      <c r="B5974" s="208" t="s">
        <v>4786</v>
      </c>
      <c r="C5974" s="208" t="s">
        <v>146</v>
      </c>
      <c r="D5974" s="211">
        <v>-256000</v>
      </c>
      <c r="E5974" s="212">
        <v>45536</v>
      </c>
      <c r="F5974" s="208" t="s">
        <v>110</v>
      </c>
      <c r="G5974" s="208" t="s">
        <v>4399</v>
      </c>
      <c r="H5974" s="208" t="s">
        <v>147</v>
      </c>
      <c r="I5974" s="208" t="s">
        <v>3378</v>
      </c>
      <c r="J5974" s="209"/>
      <c r="K5974" s="209"/>
      <c r="L5974" s="209"/>
      <c r="M5974" s="209"/>
      <c r="N5974" s="209"/>
      <c r="O5974" s="209"/>
      <c r="P5974" s="209"/>
      <c r="Q5974" s="209"/>
      <c r="R5974" s="209"/>
      <c r="S5974" s="209"/>
      <c r="T5974" s="209"/>
      <c r="U5974" s="165"/>
      <c r="V5974" s="165"/>
      <c r="W5974" s="165"/>
      <c r="X5974" s="165"/>
      <c r="Y5974" s="165"/>
      <c r="Z5974" s="165"/>
      <c r="AA5974" s="165"/>
      <c r="AB5974" s="165"/>
      <c r="AC5974" s="165"/>
      <c r="AD5974" s="165"/>
      <c r="AE5974" s="165"/>
      <c r="AF5974" s="165"/>
      <c r="AG5974" s="165"/>
      <c r="AH5974" s="165"/>
      <c r="AI5974" s="165"/>
      <c r="AJ5974" s="165"/>
      <c r="AK5974" s="165"/>
      <c r="AL5974" s="165"/>
      <c r="AM5974" s="165"/>
      <c r="AN5974" s="165"/>
      <c r="AO5974" s="165"/>
      <c r="AP5974" s="165"/>
      <c r="AQ5974" s="165"/>
      <c r="AR5974" s="165"/>
      <c r="AS5974" s="165"/>
      <c r="AT5974" s="165"/>
      <c r="AU5974" s="165"/>
      <c r="AV5974" s="165"/>
      <c r="AW5974" s="165"/>
      <c r="AX5974" s="165"/>
      <c r="AY5974" s="165"/>
      <c r="AZ5974" s="165"/>
      <c r="BA5974" s="165"/>
      <c r="BB5974" s="165"/>
      <c r="BC5974" s="165"/>
      <c r="BD5974" s="165"/>
      <c r="BE5974" s="165"/>
      <c r="BF5974" s="165"/>
      <c r="BG5974" s="165"/>
      <c r="BH5974" s="165"/>
      <c r="BI5974" s="165"/>
      <c r="BJ5974" s="165"/>
      <c r="BK5974" s="165"/>
      <c r="BL5974" s="165"/>
      <c r="BM5974" s="165"/>
      <c r="BN5974" s="165"/>
      <c r="BO5974" s="165"/>
      <c r="BP5974" s="165"/>
      <c r="BQ5974" s="165"/>
      <c r="BR5974" s="165"/>
      <c r="BS5974" s="165"/>
      <c r="BT5974" s="165"/>
      <c r="BU5974" s="165"/>
      <c r="BV5974" s="165"/>
      <c r="BW5974" s="165"/>
      <c r="BX5974" s="165"/>
      <c r="BY5974" s="165"/>
      <c r="BZ5974" s="165"/>
      <c r="CA5974" s="165"/>
      <c r="CB5974" s="165"/>
      <c r="CC5974" s="165"/>
      <c r="CD5974" s="165"/>
      <c r="CE5974" s="165"/>
      <c r="CF5974" s="165"/>
      <c r="CG5974" s="165"/>
      <c r="CH5974" s="165"/>
      <c r="CI5974" s="165"/>
      <c r="CJ5974" s="165"/>
      <c r="CK5974" s="165"/>
      <c r="CL5974" s="165"/>
      <c r="CM5974" s="165"/>
      <c r="CN5974" s="165"/>
      <c r="CO5974" s="165"/>
      <c r="CP5974" s="165"/>
      <c r="CQ5974" s="165"/>
      <c r="CR5974" s="165"/>
      <c r="CS5974" s="165"/>
      <c r="CT5974" s="165"/>
      <c r="CU5974" s="165"/>
      <c r="CV5974" s="165"/>
      <c r="CW5974" s="165"/>
      <c r="CX5974" s="165"/>
      <c r="CY5974" s="165"/>
      <c r="CZ5974" s="165"/>
      <c r="DA5974" s="165"/>
      <c r="DB5974" s="165"/>
      <c r="DC5974" s="165"/>
      <c r="DD5974" s="165"/>
      <c r="DE5974" s="165"/>
      <c r="DF5974" s="165"/>
      <c r="DG5974" s="165"/>
      <c r="DH5974" s="165"/>
      <c r="DI5974" s="165"/>
      <c r="DJ5974" s="165"/>
      <c r="DK5974" s="165"/>
      <c r="DL5974" s="165"/>
      <c r="DM5974" s="165"/>
      <c r="DN5974" s="165"/>
      <c r="DO5974" s="165"/>
      <c r="DP5974" s="165"/>
      <c r="DQ5974" s="165"/>
      <c r="DR5974" s="165"/>
      <c r="DS5974" s="165"/>
      <c r="DT5974" s="165"/>
      <c r="DU5974" s="165"/>
      <c r="DV5974" s="165"/>
      <c r="DW5974" s="165"/>
      <c r="DX5974" s="165"/>
      <c r="DY5974" s="165"/>
      <c r="DZ5974" s="165"/>
      <c r="EA5974" s="165"/>
      <c r="EB5974" s="165"/>
      <c r="EC5974" s="165"/>
      <c r="ED5974" s="165"/>
      <c r="EE5974" s="165"/>
      <c r="EF5974" s="165"/>
      <c r="EG5974" s="165"/>
      <c r="EH5974" s="165"/>
      <c r="EI5974" s="165"/>
      <c r="EJ5974" s="165"/>
      <c r="EK5974" s="165"/>
      <c r="EL5974" s="165"/>
      <c r="EM5974" s="165"/>
      <c r="EN5974" s="165"/>
      <c r="EO5974" s="165"/>
      <c r="EP5974" s="165"/>
      <c r="EQ5974" s="165"/>
      <c r="ER5974" s="165"/>
      <c r="ES5974" s="165"/>
    </row>
    <row r="5975" spans="1:149" s="451" customFormat="1" ht="15" hidden="1" customHeight="1">
      <c r="A5975" s="468">
        <v>45544</v>
      </c>
      <c r="B5975" s="208" t="s">
        <v>4913</v>
      </c>
      <c r="C5975" s="208" t="s">
        <v>146</v>
      </c>
      <c r="D5975" s="211">
        <v>-9000</v>
      </c>
      <c r="E5975" s="212">
        <v>45536</v>
      </c>
      <c r="F5975" s="208" t="s">
        <v>110</v>
      </c>
      <c r="G5975" s="208" t="s">
        <v>4399</v>
      </c>
      <c r="H5975" s="208" t="s">
        <v>138</v>
      </c>
      <c r="I5975" s="208" t="s">
        <v>3378</v>
      </c>
      <c r="J5975" s="209"/>
      <c r="K5975" s="209"/>
      <c r="L5975" s="209"/>
      <c r="M5975" s="209"/>
      <c r="N5975" s="209"/>
      <c r="O5975" s="209"/>
      <c r="P5975" s="209"/>
      <c r="Q5975" s="209"/>
      <c r="R5975" s="209"/>
      <c r="S5975" s="209"/>
      <c r="T5975" s="209"/>
      <c r="U5975" s="165"/>
      <c r="V5975" s="165"/>
      <c r="W5975" s="165"/>
      <c r="X5975" s="165"/>
      <c r="Y5975" s="165"/>
      <c r="Z5975" s="165"/>
      <c r="AA5975" s="165"/>
      <c r="AB5975" s="165"/>
      <c r="AC5975" s="165"/>
      <c r="AD5975" s="165"/>
      <c r="AE5975" s="165"/>
      <c r="AF5975" s="165"/>
      <c r="AG5975" s="165"/>
      <c r="AH5975" s="165"/>
      <c r="AI5975" s="165"/>
      <c r="AJ5975" s="165"/>
      <c r="AK5975" s="165"/>
      <c r="AL5975" s="165"/>
      <c r="AM5975" s="165"/>
      <c r="AN5975" s="165"/>
      <c r="AO5975" s="165"/>
      <c r="AP5975" s="165"/>
      <c r="AQ5975" s="165"/>
      <c r="AR5975" s="165"/>
      <c r="AS5975" s="165"/>
      <c r="AT5975" s="165"/>
      <c r="AU5975" s="165"/>
      <c r="AV5975" s="165"/>
      <c r="AW5975" s="165"/>
      <c r="AX5975" s="165"/>
      <c r="AY5975" s="165"/>
      <c r="AZ5975" s="165"/>
      <c r="BA5975" s="165"/>
      <c r="BB5975" s="165"/>
      <c r="BC5975" s="165"/>
      <c r="BD5975" s="165"/>
      <c r="BE5975" s="165"/>
      <c r="BF5975" s="165"/>
      <c r="BG5975" s="165"/>
      <c r="BH5975" s="165"/>
      <c r="BI5975" s="165"/>
      <c r="BJ5975" s="165"/>
      <c r="BK5975" s="165"/>
      <c r="BL5975" s="165"/>
      <c r="BM5975" s="165"/>
      <c r="BN5975" s="165"/>
      <c r="BO5975" s="165"/>
      <c r="BP5975" s="165"/>
      <c r="BQ5975" s="165"/>
      <c r="BR5975" s="165"/>
      <c r="BS5975" s="165"/>
      <c r="BT5975" s="165"/>
      <c r="BU5975" s="165"/>
      <c r="BV5975" s="165"/>
      <c r="BW5975" s="165"/>
      <c r="BX5975" s="165"/>
      <c r="BY5975" s="165"/>
      <c r="BZ5975" s="165"/>
      <c r="CA5975" s="165"/>
      <c r="CB5975" s="165"/>
      <c r="CC5975" s="165"/>
      <c r="CD5975" s="165"/>
      <c r="CE5975" s="165"/>
      <c r="CF5975" s="165"/>
      <c r="CG5975" s="165"/>
      <c r="CH5975" s="165"/>
      <c r="CI5975" s="165"/>
      <c r="CJ5975" s="165"/>
      <c r="CK5975" s="165"/>
      <c r="CL5975" s="165"/>
      <c r="CM5975" s="165"/>
      <c r="CN5975" s="165"/>
      <c r="CO5975" s="165"/>
      <c r="CP5975" s="165"/>
      <c r="CQ5975" s="165"/>
      <c r="CR5975" s="165"/>
      <c r="CS5975" s="165"/>
      <c r="CT5975" s="165"/>
      <c r="CU5975" s="165"/>
      <c r="CV5975" s="165"/>
      <c r="CW5975" s="165"/>
      <c r="CX5975" s="165"/>
      <c r="CY5975" s="165"/>
      <c r="CZ5975" s="165"/>
      <c r="DA5975" s="165"/>
      <c r="DB5975" s="165"/>
      <c r="DC5975" s="165"/>
      <c r="DD5975" s="165"/>
      <c r="DE5975" s="165"/>
      <c r="DF5975" s="165"/>
      <c r="DG5975" s="165"/>
      <c r="DH5975" s="165"/>
      <c r="DI5975" s="165"/>
      <c r="DJ5975" s="165"/>
      <c r="DK5975" s="165"/>
      <c r="DL5975" s="165"/>
      <c r="DM5975" s="165"/>
      <c r="DN5975" s="165"/>
      <c r="DO5975" s="165"/>
      <c r="DP5975" s="165"/>
      <c r="DQ5975" s="165"/>
      <c r="DR5975" s="165"/>
      <c r="DS5975" s="165"/>
      <c r="DT5975" s="165"/>
      <c r="DU5975" s="165"/>
      <c r="DV5975" s="165"/>
      <c r="DW5975" s="165"/>
      <c r="DX5975" s="165"/>
      <c r="DY5975" s="165"/>
      <c r="DZ5975" s="165"/>
      <c r="EA5975" s="165"/>
      <c r="EB5975" s="165"/>
      <c r="EC5975" s="165"/>
      <c r="ED5975" s="165"/>
      <c r="EE5975" s="165"/>
      <c r="EF5975" s="165"/>
      <c r="EG5975" s="165"/>
      <c r="EH5975" s="165"/>
      <c r="EI5975" s="165"/>
      <c r="EJ5975" s="165"/>
      <c r="EK5975" s="165"/>
      <c r="EL5975" s="165"/>
      <c r="EM5975" s="165"/>
      <c r="EN5975" s="165"/>
      <c r="EO5975" s="165"/>
      <c r="EP5975" s="165"/>
      <c r="EQ5975" s="165"/>
      <c r="ER5975" s="165"/>
      <c r="ES5975" s="165"/>
    </row>
    <row r="5976" spans="1:149" s="451" customFormat="1" ht="15" hidden="1" customHeight="1">
      <c r="A5976" s="468">
        <v>45544</v>
      </c>
      <c r="B5976" s="208" t="s">
        <v>4914</v>
      </c>
      <c r="C5976" s="208" t="s">
        <v>146</v>
      </c>
      <c r="D5976" s="211">
        <v>-11400</v>
      </c>
      <c r="E5976" s="212">
        <v>45536</v>
      </c>
      <c r="F5976" s="208" t="s">
        <v>110</v>
      </c>
      <c r="G5976" s="208" t="s">
        <v>4399</v>
      </c>
      <c r="H5976" s="208" t="s">
        <v>138</v>
      </c>
      <c r="I5976" s="208" t="s">
        <v>3378</v>
      </c>
      <c r="J5976" s="209"/>
      <c r="K5976" s="209"/>
      <c r="L5976" s="209"/>
      <c r="M5976" s="209"/>
      <c r="N5976" s="209"/>
      <c r="O5976" s="209"/>
      <c r="P5976" s="209"/>
      <c r="Q5976" s="209"/>
      <c r="R5976" s="209"/>
      <c r="S5976" s="209"/>
      <c r="T5976" s="209"/>
      <c r="U5976" s="165"/>
      <c r="V5976" s="165"/>
      <c r="W5976" s="165"/>
      <c r="X5976" s="165"/>
      <c r="Y5976" s="165"/>
      <c r="Z5976" s="165"/>
      <c r="AA5976" s="165"/>
      <c r="AB5976" s="165"/>
      <c r="AC5976" s="165"/>
      <c r="AD5976" s="165"/>
      <c r="AE5976" s="165"/>
      <c r="AF5976" s="165"/>
      <c r="AG5976" s="165"/>
      <c r="AH5976" s="165"/>
      <c r="AI5976" s="165"/>
      <c r="AJ5976" s="165"/>
      <c r="AK5976" s="165"/>
      <c r="AL5976" s="165"/>
      <c r="AM5976" s="165"/>
      <c r="AN5976" s="165"/>
      <c r="AO5976" s="165"/>
      <c r="AP5976" s="165"/>
      <c r="AQ5976" s="165"/>
      <c r="AR5976" s="165"/>
      <c r="AS5976" s="165"/>
      <c r="AT5976" s="165"/>
      <c r="AU5976" s="165"/>
      <c r="AV5976" s="165"/>
      <c r="AW5976" s="165"/>
      <c r="AX5976" s="165"/>
      <c r="AY5976" s="165"/>
      <c r="AZ5976" s="165"/>
      <c r="BA5976" s="165"/>
      <c r="BB5976" s="165"/>
      <c r="BC5976" s="165"/>
      <c r="BD5976" s="165"/>
      <c r="BE5976" s="165"/>
      <c r="BF5976" s="165"/>
      <c r="BG5976" s="165"/>
      <c r="BH5976" s="165"/>
      <c r="BI5976" s="165"/>
      <c r="BJ5976" s="165"/>
      <c r="BK5976" s="165"/>
      <c r="BL5976" s="165"/>
      <c r="BM5976" s="165"/>
      <c r="BN5976" s="165"/>
      <c r="BO5976" s="165"/>
      <c r="BP5976" s="165"/>
      <c r="BQ5976" s="165"/>
      <c r="BR5976" s="165"/>
      <c r="BS5976" s="165"/>
      <c r="BT5976" s="165"/>
      <c r="BU5976" s="165"/>
      <c r="BV5976" s="165"/>
      <c r="BW5976" s="165"/>
      <c r="BX5976" s="165"/>
      <c r="BY5976" s="165"/>
      <c r="BZ5976" s="165"/>
      <c r="CA5976" s="165"/>
      <c r="CB5976" s="165"/>
      <c r="CC5976" s="165"/>
      <c r="CD5976" s="165"/>
      <c r="CE5976" s="165"/>
      <c r="CF5976" s="165"/>
      <c r="CG5976" s="165"/>
      <c r="CH5976" s="165"/>
      <c r="CI5976" s="165"/>
      <c r="CJ5976" s="165"/>
      <c r="CK5976" s="165"/>
      <c r="CL5976" s="165"/>
      <c r="CM5976" s="165"/>
      <c r="CN5976" s="165"/>
      <c r="CO5976" s="165"/>
      <c r="CP5976" s="165"/>
      <c r="CQ5976" s="165"/>
      <c r="CR5976" s="165"/>
      <c r="CS5976" s="165"/>
      <c r="CT5976" s="165"/>
      <c r="CU5976" s="165"/>
      <c r="CV5976" s="165"/>
      <c r="CW5976" s="165"/>
      <c r="CX5976" s="165"/>
      <c r="CY5976" s="165"/>
      <c r="CZ5976" s="165"/>
      <c r="DA5976" s="165"/>
      <c r="DB5976" s="165"/>
      <c r="DC5976" s="165"/>
      <c r="DD5976" s="165"/>
      <c r="DE5976" s="165"/>
      <c r="DF5976" s="165"/>
      <c r="DG5976" s="165"/>
      <c r="DH5976" s="165"/>
      <c r="DI5976" s="165"/>
      <c r="DJ5976" s="165"/>
      <c r="DK5976" s="165"/>
      <c r="DL5976" s="165"/>
      <c r="DM5976" s="165"/>
      <c r="DN5976" s="165"/>
      <c r="DO5976" s="165"/>
      <c r="DP5976" s="165"/>
      <c r="DQ5976" s="165"/>
      <c r="DR5976" s="165"/>
      <c r="DS5976" s="165"/>
      <c r="DT5976" s="165"/>
      <c r="DU5976" s="165"/>
      <c r="DV5976" s="165"/>
      <c r="DW5976" s="165"/>
      <c r="DX5976" s="165"/>
      <c r="DY5976" s="165"/>
      <c r="DZ5976" s="165"/>
      <c r="EA5976" s="165"/>
      <c r="EB5976" s="165"/>
      <c r="EC5976" s="165"/>
      <c r="ED5976" s="165"/>
      <c r="EE5976" s="165"/>
      <c r="EF5976" s="165"/>
      <c r="EG5976" s="165"/>
      <c r="EH5976" s="165"/>
      <c r="EI5976" s="165"/>
      <c r="EJ5976" s="165"/>
      <c r="EK5976" s="165"/>
      <c r="EL5976" s="165"/>
      <c r="EM5976" s="165"/>
      <c r="EN5976" s="165"/>
      <c r="EO5976" s="165"/>
      <c r="EP5976" s="165"/>
      <c r="EQ5976" s="165"/>
      <c r="ER5976" s="165"/>
      <c r="ES5976" s="165"/>
    </row>
    <row r="5977" spans="1:149" s="451" customFormat="1" ht="15" hidden="1" customHeight="1">
      <c r="A5977" s="468">
        <v>45544</v>
      </c>
      <c r="B5977" s="208" t="s">
        <v>4915</v>
      </c>
      <c r="C5977" s="208" t="s">
        <v>146</v>
      </c>
      <c r="D5977" s="211">
        <v>-20000</v>
      </c>
      <c r="E5977" s="212">
        <v>45536</v>
      </c>
      <c r="F5977" s="208" t="s">
        <v>110</v>
      </c>
      <c r="G5977" s="208" t="s">
        <v>4399</v>
      </c>
      <c r="H5977" s="208" t="s">
        <v>138</v>
      </c>
      <c r="I5977" s="208" t="s">
        <v>3378</v>
      </c>
      <c r="J5977" s="209"/>
      <c r="K5977" s="209"/>
      <c r="L5977" s="209"/>
      <c r="M5977" s="209"/>
      <c r="N5977" s="209"/>
      <c r="O5977" s="209"/>
      <c r="P5977" s="209"/>
      <c r="Q5977" s="209"/>
      <c r="R5977" s="209"/>
      <c r="S5977" s="209"/>
      <c r="T5977" s="209"/>
      <c r="U5977" s="165"/>
      <c r="V5977" s="165"/>
      <c r="W5977" s="165"/>
      <c r="X5977" s="165"/>
      <c r="Y5977" s="165"/>
      <c r="Z5977" s="165"/>
      <c r="AA5977" s="165"/>
      <c r="AB5977" s="165"/>
      <c r="AC5977" s="165"/>
      <c r="AD5977" s="165"/>
      <c r="AE5977" s="165"/>
      <c r="AF5977" s="165"/>
      <c r="AG5977" s="165"/>
      <c r="AH5977" s="165"/>
      <c r="AI5977" s="165"/>
      <c r="AJ5977" s="165"/>
      <c r="AK5977" s="165"/>
      <c r="AL5977" s="165"/>
      <c r="AM5977" s="165"/>
      <c r="AN5977" s="165"/>
      <c r="AO5977" s="165"/>
      <c r="AP5977" s="165"/>
      <c r="AQ5977" s="165"/>
      <c r="AR5977" s="165"/>
      <c r="AS5977" s="165"/>
      <c r="AT5977" s="165"/>
      <c r="AU5977" s="165"/>
      <c r="AV5977" s="165"/>
      <c r="AW5977" s="165"/>
      <c r="AX5977" s="165"/>
      <c r="AY5977" s="165"/>
      <c r="AZ5977" s="165"/>
      <c r="BA5977" s="165"/>
      <c r="BB5977" s="165"/>
      <c r="BC5977" s="165"/>
      <c r="BD5977" s="165"/>
      <c r="BE5977" s="165"/>
      <c r="BF5977" s="165"/>
      <c r="BG5977" s="165"/>
      <c r="BH5977" s="165"/>
      <c r="BI5977" s="165"/>
      <c r="BJ5977" s="165"/>
      <c r="BK5977" s="165"/>
      <c r="BL5977" s="165"/>
      <c r="BM5977" s="165"/>
      <c r="BN5977" s="165"/>
      <c r="BO5977" s="165"/>
      <c r="BP5977" s="165"/>
      <c r="BQ5977" s="165"/>
      <c r="BR5977" s="165"/>
      <c r="BS5977" s="165"/>
      <c r="BT5977" s="165"/>
      <c r="BU5977" s="165"/>
      <c r="BV5977" s="165"/>
      <c r="BW5977" s="165"/>
      <c r="BX5977" s="165"/>
      <c r="BY5977" s="165"/>
      <c r="BZ5977" s="165"/>
      <c r="CA5977" s="165"/>
      <c r="CB5977" s="165"/>
      <c r="CC5977" s="165"/>
      <c r="CD5977" s="165"/>
      <c r="CE5977" s="165"/>
      <c r="CF5977" s="165"/>
      <c r="CG5977" s="165"/>
      <c r="CH5977" s="165"/>
      <c r="CI5977" s="165"/>
      <c r="CJ5977" s="165"/>
      <c r="CK5977" s="165"/>
      <c r="CL5977" s="165"/>
      <c r="CM5977" s="165"/>
      <c r="CN5977" s="165"/>
      <c r="CO5977" s="165"/>
      <c r="CP5977" s="165"/>
      <c r="CQ5977" s="165"/>
      <c r="CR5977" s="165"/>
      <c r="CS5977" s="165"/>
      <c r="CT5977" s="165"/>
      <c r="CU5977" s="165"/>
      <c r="CV5977" s="165"/>
      <c r="CW5977" s="165"/>
      <c r="CX5977" s="165"/>
      <c r="CY5977" s="165"/>
      <c r="CZ5977" s="165"/>
      <c r="DA5977" s="165"/>
      <c r="DB5977" s="165"/>
      <c r="DC5977" s="165"/>
      <c r="DD5977" s="165"/>
      <c r="DE5977" s="165"/>
      <c r="DF5977" s="165"/>
      <c r="DG5977" s="165"/>
      <c r="DH5977" s="165"/>
      <c r="DI5977" s="165"/>
      <c r="DJ5977" s="165"/>
      <c r="DK5977" s="165"/>
      <c r="DL5977" s="165"/>
      <c r="DM5977" s="165"/>
      <c r="DN5977" s="165"/>
      <c r="DO5977" s="165"/>
      <c r="DP5977" s="165"/>
      <c r="DQ5977" s="165"/>
      <c r="DR5977" s="165"/>
      <c r="DS5977" s="165"/>
      <c r="DT5977" s="165"/>
      <c r="DU5977" s="165"/>
      <c r="DV5977" s="165"/>
      <c r="DW5977" s="165"/>
      <c r="DX5977" s="165"/>
      <c r="DY5977" s="165"/>
      <c r="DZ5977" s="165"/>
      <c r="EA5977" s="165"/>
      <c r="EB5977" s="165"/>
      <c r="EC5977" s="165"/>
      <c r="ED5977" s="165"/>
      <c r="EE5977" s="165"/>
      <c r="EF5977" s="165"/>
      <c r="EG5977" s="165"/>
      <c r="EH5977" s="165"/>
      <c r="EI5977" s="165"/>
      <c r="EJ5977" s="165"/>
      <c r="EK5977" s="165"/>
      <c r="EL5977" s="165"/>
      <c r="EM5977" s="165"/>
      <c r="EN5977" s="165"/>
      <c r="EO5977" s="165"/>
      <c r="EP5977" s="165"/>
      <c r="EQ5977" s="165"/>
      <c r="ER5977" s="165"/>
      <c r="ES5977" s="165"/>
    </row>
    <row r="5978" spans="1:149" s="451" customFormat="1" ht="15" hidden="1" customHeight="1">
      <c r="A5978" s="468">
        <v>45544</v>
      </c>
      <c r="B5978" s="208" t="s">
        <v>4916</v>
      </c>
      <c r="C5978" s="208" t="s">
        <v>146</v>
      </c>
      <c r="D5978" s="211">
        <v>-17100</v>
      </c>
      <c r="E5978" s="212">
        <v>45536</v>
      </c>
      <c r="F5978" s="208" t="s">
        <v>110</v>
      </c>
      <c r="G5978" s="208" t="s">
        <v>4399</v>
      </c>
      <c r="H5978" s="208" t="s">
        <v>138</v>
      </c>
      <c r="I5978" s="208" t="s">
        <v>3378</v>
      </c>
      <c r="J5978" s="209"/>
      <c r="K5978" s="209"/>
      <c r="L5978" s="209"/>
      <c r="M5978" s="209"/>
      <c r="N5978" s="209"/>
      <c r="O5978" s="209"/>
      <c r="P5978" s="209"/>
      <c r="Q5978" s="209"/>
      <c r="R5978" s="209"/>
      <c r="S5978" s="209"/>
      <c r="T5978" s="209"/>
      <c r="U5978" s="165"/>
      <c r="V5978" s="165"/>
      <c r="W5978" s="165"/>
      <c r="X5978" s="165"/>
      <c r="Y5978" s="165"/>
      <c r="Z5978" s="165"/>
      <c r="AA5978" s="165"/>
      <c r="AB5978" s="165"/>
      <c r="AC5978" s="165"/>
      <c r="AD5978" s="165"/>
      <c r="AE5978" s="165"/>
      <c r="AF5978" s="165"/>
      <c r="AG5978" s="165"/>
      <c r="AH5978" s="165"/>
      <c r="AI5978" s="165"/>
      <c r="AJ5978" s="165"/>
      <c r="AK5978" s="165"/>
      <c r="AL5978" s="165"/>
      <c r="AM5978" s="165"/>
      <c r="AN5978" s="165"/>
      <c r="AO5978" s="165"/>
      <c r="AP5978" s="165"/>
      <c r="AQ5978" s="165"/>
      <c r="AR5978" s="165"/>
      <c r="AS5978" s="165"/>
      <c r="AT5978" s="165"/>
      <c r="AU5978" s="165"/>
      <c r="AV5978" s="165"/>
      <c r="AW5978" s="165"/>
      <c r="AX5978" s="165"/>
      <c r="AY5978" s="165"/>
      <c r="AZ5978" s="165"/>
      <c r="BA5978" s="165"/>
      <c r="BB5978" s="165"/>
      <c r="BC5978" s="165"/>
      <c r="BD5978" s="165"/>
      <c r="BE5978" s="165"/>
      <c r="BF5978" s="165"/>
      <c r="BG5978" s="165"/>
      <c r="BH5978" s="165"/>
      <c r="BI5978" s="165"/>
      <c r="BJ5978" s="165"/>
      <c r="BK5978" s="165"/>
      <c r="BL5978" s="165"/>
      <c r="BM5978" s="165"/>
      <c r="BN5978" s="165"/>
      <c r="BO5978" s="165"/>
      <c r="BP5978" s="165"/>
      <c r="BQ5978" s="165"/>
      <c r="BR5978" s="165"/>
      <c r="BS5978" s="165"/>
      <c r="BT5978" s="165"/>
      <c r="BU5978" s="165"/>
      <c r="BV5978" s="165"/>
      <c r="BW5978" s="165"/>
      <c r="BX5978" s="165"/>
      <c r="BY5978" s="165"/>
      <c r="BZ5978" s="165"/>
      <c r="CA5978" s="165"/>
      <c r="CB5978" s="165"/>
      <c r="CC5978" s="165"/>
      <c r="CD5978" s="165"/>
      <c r="CE5978" s="165"/>
      <c r="CF5978" s="165"/>
      <c r="CG5978" s="165"/>
      <c r="CH5978" s="165"/>
      <c r="CI5978" s="165"/>
      <c r="CJ5978" s="165"/>
      <c r="CK5978" s="165"/>
      <c r="CL5978" s="165"/>
      <c r="CM5978" s="165"/>
      <c r="CN5978" s="165"/>
      <c r="CO5978" s="165"/>
      <c r="CP5978" s="165"/>
      <c r="CQ5978" s="165"/>
      <c r="CR5978" s="165"/>
      <c r="CS5978" s="165"/>
      <c r="CT5978" s="165"/>
      <c r="CU5978" s="165"/>
      <c r="CV5978" s="165"/>
      <c r="CW5978" s="165"/>
      <c r="CX5978" s="165"/>
      <c r="CY5978" s="165"/>
      <c r="CZ5978" s="165"/>
      <c r="DA5978" s="165"/>
      <c r="DB5978" s="165"/>
      <c r="DC5978" s="165"/>
      <c r="DD5978" s="165"/>
      <c r="DE5978" s="165"/>
      <c r="DF5978" s="165"/>
      <c r="DG5978" s="165"/>
      <c r="DH5978" s="165"/>
      <c r="DI5978" s="165"/>
      <c r="DJ5978" s="165"/>
      <c r="DK5978" s="165"/>
      <c r="DL5978" s="165"/>
      <c r="DM5978" s="165"/>
      <c r="DN5978" s="165"/>
      <c r="DO5978" s="165"/>
      <c r="DP5978" s="165"/>
      <c r="DQ5978" s="165"/>
      <c r="DR5978" s="165"/>
      <c r="DS5978" s="165"/>
      <c r="DT5978" s="165"/>
      <c r="DU5978" s="165"/>
      <c r="DV5978" s="165"/>
      <c r="DW5978" s="165"/>
      <c r="DX5978" s="165"/>
      <c r="DY5978" s="165"/>
      <c r="DZ5978" s="165"/>
      <c r="EA5978" s="165"/>
      <c r="EB5978" s="165"/>
      <c r="EC5978" s="165"/>
      <c r="ED5978" s="165"/>
      <c r="EE5978" s="165"/>
      <c r="EF5978" s="165"/>
      <c r="EG5978" s="165"/>
      <c r="EH5978" s="165"/>
      <c r="EI5978" s="165"/>
      <c r="EJ5978" s="165"/>
      <c r="EK5978" s="165"/>
      <c r="EL5978" s="165"/>
      <c r="EM5978" s="165"/>
      <c r="EN5978" s="165"/>
      <c r="EO5978" s="165"/>
      <c r="EP5978" s="165"/>
      <c r="EQ5978" s="165"/>
      <c r="ER5978" s="165"/>
      <c r="ES5978" s="165"/>
    </row>
    <row r="5979" spans="1:149" s="451" customFormat="1" ht="15" hidden="1" customHeight="1">
      <c r="A5979" s="468">
        <v>45544</v>
      </c>
      <c r="B5979" s="208" t="s">
        <v>4915</v>
      </c>
      <c r="C5979" s="208" t="s">
        <v>146</v>
      </c>
      <c r="D5979" s="211">
        <v>-17200</v>
      </c>
      <c r="E5979" s="212">
        <v>45536</v>
      </c>
      <c r="F5979" s="208" t="s">
        <v>110</v>
      </c>
      <c r="G5979" s="208" t="s">
        <v>4399</v>
      </c>
      <c r="H5979" s="208" t="s">
        <v>138</v>
      </c>
      <c r="I5979" s="208" t="s">
        <v>3378</v>
      </c>
      <c r="J5979" s="209"/>
      <c r="K5979" s="209"/>
      <c r="L5979" s="209"/>
      <c r="M5979" s="209"/>
      <c r="N5979" s="209"/>
      <c r="O5979" s="209"/>
      <c r="P5979" s="209"/>
      <c r="Q5979" s="209"/>
      <c r="R5979" s="209"/>
      <c r="S5979" s="209"/>
      <c r="T5979" s="209"/>
      <c r="U5979" s="165"/>
      <c r="V5979" s="165"/>
      <c r="W5979" s="165"/>
      <c r="X5979" s="165"/>
      <c r="Y5979" s="165"/>
      <c r="Z5979" s="165"/>
      <c r="AA5979" s="165"/>
      <c r="AB5979" s="165"/>
      <c r="AC5979" s="165"/>
      <c r="AD5979" s="165"/>
      <c r="AE5979" s="165"/>
      <c r="AF5979" s="165"/>
      <c r="AG5979" s="165"/>
      <c r="AH5979" s="165"/>
      <c r="AI5979" s="165"/>
      <c r="AJ5979" s="165"/>
      <c r="AK5979" s="165"/>
      <c r="AL5979" s="165"/>
      <c r="AM5979" s="165"/>
      <c r="AN5979" s="165"/>
      <c r="AO5979" s="165"/>
      <c r="AP5979" s="165"/>
      <c r="AQ5979" s="165"/>
      <c r="AR5979" s="165"/>
      <c r="AS5979" s="165"/>
      <c r="AT5979" s="165"/>
      <c r="AU5979" s="165"/>
      <c r="AV5979" s="165"/>
      <c r="AW5979" s="165"/>
      <c r="AX5979" s="165"/>
      <c r="AY5979" s="165"/>
      <c r="AZ5979" s="165"/>
      <c r="BA5979" s="165"/>
      <c r="BB5979" s="165"/>
      <c r="BC5979" s="165"/>
      <c r="BD5979" s="165"/>
      <c r="BE5979" s="165"/>
      <c r="BF5979" s="165"/>
      <c r="BG5979" s="165"/>
      <c r="BH5979" s="165"/>
      <c r="BI5979" s="165"/>
      <c r="BJ5979" s="165"/>
      <c r="BK5979" s="165"/>
      <c r="BL5979" s="165"/>
      <c r="BM5979" s="165"/>
      <c r="BN5979" s="165"/>
      <c r="BO5979" s="165"/>
      <c r="BP5979" s="165"/>
      <c r="BQ5979" s="165"/>
      <c r="BR5979" s="165"/>
      <c r="BS5979" s="165"/>
      <c r="BT5979" s="165"/>
      <c r="BU5979" s="165"/>
      <c r="BV5979" s="165"/>
      <c r="BW5979" s="165"/>
      <c r="BX5979" s="165"/>
      <c r="BY5979" s="165"/>
      <c r="BZ5979" s="165"/>
      <c r="CA5979" s="165"/>
      <c r="CB5979" s="165"/>
      <c r="CC5979" s="165"/>
      <c r="CD5979" s="165"/>
      <c r="CE5979" s="165"/>
      <c r="CF5979" s="165"/>
      <c r="CG5979" s="165"/>
      <c r="CH5979" s="165"/>
      <c r="CI5979" s="165"/>
      <c r="CJ5979" s="165"/>
      <c r="CK5979" s="165"/>
      <c r="CL5979" s="165"/>
      <c r="CM5979" s="165"/>
      <c r="CN5979" s="165"/>
      <c r="CO5979" s="165"/>
      <c r="CP5979" s="165"/>
      <c r="CQ5979" s="165"/>
      <c r="CR5979" s="165"/>
      <c r="CS5979" s="165"/>
      <c r="CT5979" s="165"/>
      <c r="CU5979" s="165"/>
      <c r="CV5979" s="165"/>
      <c r="CW5979" s="165"/>
      <c r="CX5979" s="165"/>
      <c r="CY5979" s="165"/>
      <c r="CZ5979" s="165"/>
      <c r="DA5979" s="165"/>
      <c r="DB5979" s="165"/>
      <c r="DC5979" s="165"/>
      <c r="DD5979" s="165"/>
      <c r="DE5979" s="165"/>
      <c r="DF5979" s="165"/>
      <c r="DG5979" s="165"/>
      <c r="DH5979" s="165"/>
      <c r="DI5979" s="165"/>
      <c r="DJ5979" s="165"/>
      <c r="DK5979" s="165"/>
      <c r="DL5979" s="165"/>
      <c r="DM5979" s="165"/>
      <c r="DN5979" s="165"/>
      <c r="DO5979" s="165"/>
      <c r="DP5979" s="165"/>
      <c r="DQ5979" s="165"/>
      <c r="DR5979" s="165"/>
      <c r="DS5979" s="165"/>
      <c r="DT5979" s="165"/>
      <c r="DU5979" s="165"/>
      <c r="DV5979" s="165"/>
      <c r="DW5979" s="165"/>
      <c r="DX5979" s="165"/>
      <c r="DY5979" s="165"/>
      <c r="DZ5979" s="165"/>
      <c r="EA5979" s="165"/>
      <c r="EB5979" s="165"/>
      <c r="EC5979" s="165"/>
      <c r="ED5979" s="165"/>
      <c r="EE5979" s="165"/>
      <c r="EF5979" s="165"/>
      <c r="EG5979" s="165"/>
      <c r="EH5979" s="165"/>
      <c r="EI5979" s="165"/>
      <c r="EJ5979" s="165"/>
      <c r="EK5979" s="165"/>
      <c r="EL5979" s="165"/>
      <c r="EM5979" s="165"/>
      <c r="EN5979" s="165"/>
      <c r="EO5979" s="165"/>
      <c r="EP5979" s="165"/>
      <c r="EQ5979" s="165"/>
      <c r="ER5979" s="165"/>
      <c r="ES5979" s="165"/>
    </row>
    <row r="5980" spans="1:149" s="451" customFormat="1" ht="15" hidden="1" customHeight="1">
      <c r="A5980" s="468">
        <v>45544</v>
      </c>
      <c r="B5980" s="208" t="s">
        <v>4917</v>
      </c>
      <c r="C5980" s="208" t="s">
        <v>269</v>
      </c>
      <c r="D5980" s="211">
        <v>-240000</v>
      </c>
      <c r="E5980" s="212">
        <v>45536</v>
      </c>
      <c r="F5980" s="208" t="s">
        <v>130</v>
      </c>
      <c r="G5980" s="208" t="s">
        <v>130</v>
      </c>
      <c r="H5980" s="208" t="s">
        <v>4918</v>
      </c>
      <c r="I5980" s="208"/>
      <c r="J5980" s="209"/>
      <c r="K5980" s="209"/>
      <c r="L5980" s="209"/>
      <c r="M5980" s="209"/>
      <c r="N5980" s="209"/>
      <c r="O5980" s="209"/>
      <c r="P5980" s="209"/>
      <c r="Q5980" s="209"/>
      <c r="R5980" s="209"/>
      <c r="S5980" s="209"/>
      <c r="T5980" s="209"/>
      <c r="U5980" s="165"/>
      <c r="V5980" s="165"/>
      <c r="W5980" s="165"/>
      <c r="X5980" s="165"/>
      <c r="Y5980" s="165"/>
      <c r="Z5980" s="165"/>
      <c r="AA5980" s="165"/>
      <c r="AB5980" s="165"/>
      <c r="AC5980" s="165"/>
      <c r="AD5980" s="165"/>
      <c r="AE5980" s="165"/>
      <c r="AF5980" s="165"/>
      <c r="AG5980" s="165"/>
      <c r="AH5980" s="165"/>
      <c r="AI5980" s="165"/>
      <c r="AJ5980" s="165"/>
      <c r="AK5980" s="165"/>
      <c r="AL5980" s="165"/>
      <c r="AM5980" s="165"/>
      <c r="AN5980" s="165"/>
      <c r="AO5980" s="165"/>
      <c r="AP5980" s="165"/>
      <c r="AQ5980" s="165"/>
      <c r="AR5980" s="165"/>
      <c r="AS5980" s="165"/>
      <c r="AT5980" s="165"/>
      <c r="AU5980" s="165"/>
      <c r="AV5980" s="165"/>
      <c r="AW5980" s="165"/>
      <c r="AX5980" s="165"/>
      <c r="AY5980" s="165"/>
      <c r="AZ5980" s="165"/>
      <c r="BA5980" s="165"/>
      <c r="BB5980" s="165"/>
      <c r="BC5980" s="165"/>
      <c r="BD5980" s="165"/>
      <c r="BE5980" s="165"/>
      <c r="BF5980" s="165"/>
      <c r="BG5980" s="165"/>
      <c r="BH5980" s="165"/>
      <c r="BI5980" s="165"/>
      <c r="BJ5980" s="165"/>
      <c r="BK5980" s="165"/>
      <c r="BL5980" s="165"/>
      <c r="BM5980" s="165"/>
      <c r="BN5980" s="165"/>
      <c r="BO5980" s="165"/>
      <c r="BP5980" s="165"/>
      <c r="BQ5980" s="165"/>
      <c r="BR5980" s="165"/>
      <c r="BS5980" s="165"/>
      <c r="BT5980" s="165"/>
      <c r="BU5980" s="165"/>
      <c r="BV5980" s="165"/>
      <c r="BW5980" s="165"/>
      <c r="BX5980" s="165"/>
      <c r="BY5980" s="165"/>
      <c r="BZ5980" s="165"/>
      <c r="CA5980" s="165"/>
      <c r="CB5980" s="165"/>
      <c r="CC5980" s="165"/>
      <c r="CD5980" s="165"/>
      <c r="CE5980" s="165"/>
      <c r="CF5980" s="165"/>
      <c r="CG5980" s="165"/>
      <c r="CH5980" s="165"/>
      <c r="CI5980" s="165"/>
      <c r="CJ5980" s="165"/>
      <c r="CK5980" s="165"/>
      <c r="CL5980" s="165"/>
      <c r="CM5980" s="165"/>
      <c r="CN5980" s="165"/>
      <c r="CO5980" s="165"/>
      <c r="CP5980" s="165"/>
      <c r="CQ5980" s="165"/>
      <c r="CR5980" s="165"/>
      <c r="CS5980" s="165"/>
      <c r="CT5980" s="165"/>
      <c r="CU5980" s="165"/>
      <c r="CV5980" s="165"/>
      <c r="CW5980" s="165"/>
      <c r="CX5980" s="165"/>
      <c r="CY5980" s="165"/>
      <c r="CZ5980" s="165"/>
      <c r="DA5980" s="165"/>
      <c r="DB5980" s="165"/>
      <c r="DC5980" s="165"/>
      <c r="DD5980" s="165"/>
      <c r="DE5980" s="165"/>
      <c r="DF5980" s="165"/>
      <c r="DG5980" s="165"/>
      <c r="DH5980" s="165"/>
      <c r="DI5980" s="165"/>
      <c r="DJ5980" s="165"/>
      <c r="DK5980" s="165"/>
      <c r="DL5980" s="165"/>
      <c r="DM5980" s="165"/>
      <c r="DN5980" s="165"/>
      <c r="DO5980" s="165"/>
      <c r="DP5980" s="165"/>
      <c r="DQ5980" s="165"/>
      <c r="DR5980" s="165"/>
      <c r="DS5980" s="165"/>
      <c r="DT5980" s="165"/>
      <c r="DU5980" s="165"/>
      <c r="DV5980" s="165"/>
      <c r="DW5980" s="165"/>
      <c r="DX5980" s="165"/>
      <c r="DY5980" s="165"/>
      <c r="DZ5980" s="165"/>
      <c r="EA5980" s="165"/>
      <c r="EB5980" s="165"/>
      <c r="EC5980" s="165"/>
      <c r="ED5980" s="165"/>
      <c r="EE5980" s="165"/>
      <c r="EF5980" s="165"/>
      <c r="EG5980" s="165"/>
      <c r="EH5980" s="165"/>
      <c r="EI5980" s="165"/>
      <c r="EJ5980" s="165"/>
      <c r="EK5980" s="165"/>
      <c r="EL5980" s="165"/>
      <c r="EM5980" s="165"/>
      <c r="EN5980" s="165"/>
      <c r="EO5980" s="165"/>
      <c r="EP5980" s="165"/>
      <c r="EQ5980" s="165"/>
      <c r="ER5980" s="165"/>
      <c r="ES5980" s="165"/>
    </row>
    <row r="5981" spans="1:149" s="451" customFormat="1" ht="15" hidden="1" customHeight="1">
      <c r="A5981" s="468">
        <v>45544</v>
      </c>
      <c r="B5981" s="208" t="s">
        <v>4919</v>
      </c>
      <c r="C5981" s="208" t="s">
        <v>269</v>
      </c>
      <c r="D5981" s="211">
        <v>-10800</v>
      </c>
      <c r="E5981" s="212">
        <v>45536</v>
      </c>
      <c r="F5981" s="208" t="s">
        <v>110</v>
      </c>
      <c r="G5981" s="208" t="s">
        <v>4294</v>
      </c>
      <c r="H5981" s="208" t="s">
        <v>175</v>
      </c>
      <c r="I5981" s="208" t="s">
        <v>173</v>
      </c>
      <c r="J5981" s="209"/>
      <c r="K5981" s="209"/>
      <c r="L5981" s="209"/>
      <c r="M5981" s="209"/>
      <c r="N5981" s="209"/>
      <c r="O5981" s="209"/>
      <c r="P5981" s="209"/>
      <c r="Q5981" s="209"/>
      <c r="R5981" s="209"/>
      <c r="S5981" s="209"/>
      <c r="T5981" s="209"/>
      <c r="U5981" s="165"/>
      <c r="V5981" s="165"/>
      <c r="W5981" s="165"/>
      <c r="X5981" s="165"/>
      <c r="Y5981" s="165"/>
      <c r="Z5981" s="165"/>
      <c r="AA5981" s="165"/>
      <c r="AB5981" s="165"/>
      <c r="AC5981" s="165"/>
      <c r="AD5981" s="165"/>
      <c r="AE5981" s="165"/>
      <c r="AF5981" s="165"/>
      <c r="AG5981" s="165"/>
      <c r="AH5981" s="165"/>
      <c r="AI5981" s="165"/>
      <c r="AJ5981" s="165"/>
      <c r="AK5981" s="165"/>
      <c r="AL5981" s="165"/>
      <c r="AM5981" s="165"/>
      <c r="AN5981" s="165"/>
      <c r="AO5981" s="165"/>
      <c r="AP5981" s="165"/>
      <c r="AQ5981" s="165"/>
      <c r="AR5981" s="165"/>
      <c r="AS5981" s="165"/>
      <c r="AT5981" s="165"/>
      <c r="AU5981" s="165"/>
      <c r="AV5981" s="165"/>
      <c r="AW5981" s="165"/>
      <c r="AX5981" s="165"/>
      <c r="AY5981" s="165"/>
      <c r="AZ5981" s="165"/>
      <c r="BA5981" s="165"/>
      <c r="BB5981" s="165"/>
      <c r="BC5981" s="165"/>
      <c r="BD5981" s="165"/>
      <c r="BE5981" s="165"/>
      <c r="BF5981" s="165"/>
      <c r="BG5981" s="165"/>
      <c r="BH5981" s="165"/>
      <c r="BI5981" s="165"/>
      <c r="BJ5981" s="165"/>
      <c r="BK5981" s="165"/>
      <c r="BL5981" s="165"/>
      <c r="BM5981" s="165"/>
      <c r="BN5981" s="165"/>
      <c r="BO5981" s="165"/>
      <c r="BP5981" s="165"/>
      <c r="BQ5981" s="165"/>
      <c r="BR5981" s="165"/>
      <c r="BS5981" s="165"/>
      <c r="BT5981" s="165"/>
      <c r="BU5981" s="165"/>
      <c r="BV5981" s="165"/>
      <c r="BW5981" s="165"/>
      <c r="BX5981" s="165"/>
      <c r="BY5981" s="165"/>
      <c r="BZ5981" s="165"/>
      <c r="CA5981" s="165"/>
      <c r="CB5981" s="165"/>
      <c r="CC5981" s="165"/>
      <c r="CD5981" s="165"/>
      <c r="CE5981" s="165"/>
      <c r="CF5981" s="165"/>
      <c r="CG5981" s="165"/>
      <c r="CH5981" s="165"/>
      <c r="CI5981" s="165"/>
      <c r="CJ5981" s="165"/>
      <c r="CK5981" s="165"/>
      <c r="CL5981" s="165"/>
      <c r="CM5981" s="165"/>
      <c r="CN5981" s="165"/>
      <c r="CO5981" s="165"/>
      <c r="CP5981" s="165"/>
      <c r="CQ5981" s="165"/>
      <c r="CR5981" s="165"/>
      <c r="CS5981" s="165"/>
      <c r="CT5981" s="165"/>
      <c r="CU5981" s="165"/>
      <c r="CV5981" s="165"/>
      <c r="CW5981" s="165"/>
      <c r="CX5981" s="165"/>
      <c r="CY5981" s="165"/>
      <c r="CZ5981" s="165"/>
      <c r="DA5981" s="165"/>
      <c r="DB5981" s="165"/>
      <c r="DC5981" s="165"/>
      <c r="DD5981" s="165"/>
      <c r="DE5981" s="165"/>
      <c r="DF5981" s="165"/>
      <c r="DG5981" s="165"/>
      <c r="DH5981" s="165"/>
      <c r="DI5981" s="165"/>
      <c r="DJ5981" s="165"/>
      <c r="DK5981" s="165"/>
      <c r="DL5981" s="165"/>
      <c r="DM5981" s="165"/>
      <c r="DN5981" s="165"/>
      <c r="DO5981" s="165"/>
      <c r="DP5981" s="165"/>
      <c r="DQ5981" s="165"/>
      <c r="DR5981" s="165"/>
      <c r="DS5981" s="165"/>
      <c r="DT5981" s="165"/>
      <c r="DU5981" s="165"/>
      <c r="DV5981" s="165"/>
      <c r="DW5981" s="165"/>
      <c r="DX5981" s="165"/>
      <c r="DY5981" s="165"/>
      <c r="DZ5981" s="165"/>
      <c r="EA5981" s="165"/>
      <c r="EB5981" s="165"/>
      <c r="EC5981" s="165"/>
      <c r="ED5981" s="165"/>
      <c r="EE5981" s="165"/>
      <c r="EF5981" s="165"/>
      <c r="EG5981" s="165"/>
      <c r="EH5981" s="165"/>
      <c r="EI5981" s="165"/>
      <c r="EJ5981" s="165"/>
      <c r="EK5981" s="165"/>
      <c r="EL5981" s="165"/>
      <c r="EM5981" s="165"/>
      <c r="EN5981" s="165"/>
      <c r="EO5981" s="165"/>
      <c r="EP5981" s="165"/>
      <c r="EQ5981" s="165"/>
      <c r="ER5981" s="165"/>
      <c r="ES5981" s="165"/>
    </row>
    <row r="5982" spans="1:149" s="451" customFormat="1" ht="15" hidden="1" customHeight="1">
      <c r="A5982" s="468">
        <v>45544</v>
      </c>
      <c r="B5982" s="208" t="s">
        <v>4920</v>
      </c>
      <c r="C5982" s="208" t="s">
        <v>269</v>
      </c>
      <c r="D5982" s="211">
        <v>-25000</v>
      </c>
      <c r="E5982" s="212">
        <v>45536</v>
      </c>
      <c r="F5982" s="208" t="s">
        <v>130</v>
      </c>
      <c r="G5982" s="208" t="s">
        <v>130</v>
      </c>
      <c r="H5982" s="208" t="s">
        <v>2444</v>
      </c>
      <c r="I5982" s="208" t="s">
        <v>173</v>
      </c>
      <c r="J5982" s="209"/>
      <c r="K5982" s="209"/>
      <c r="L5982" s="209"/>
      <c r="M5982" s="209"/>
      <c r="N5982" s="209"/>
      <c r="O5982" s="209"/>
      <c r="P5982" s="209"/>
      <c r="Q5982" s="209"/>
      <c r="R5982" s="209"/>
      <c r="S5982" s="209"/>
      <c r="T5982" s="209"/>
      <c r="U5982" s="165"/>
      <c r="V5982" s="165"/>
      <c r="W5982" s="165"/>
      <c r="X5982" s="165"/>
      <c r="Y5982" s="165"/>
      <c r="Z5982" s="165"/>
      <c r="AA5982" s="165"/>
      <c r="AB5982" s="165"/>
      <c r="AC5982" s="165"/>
      <c r="AD5982" s="165"/>
      <c r="AE5982" s="165"/>
      <c r="AF5982" s="165"/>
      <c r="AG5982" s="165"/>
      <c r="AH5982" s="165"/>
      <c r="AI5982" s="165"/>
      <c r="AJ5982" s="165"/>
      <c r="AK5982" s="165"/>
      <c r="AL5982" s="165"/>
      <c r="AM5982" s="165"/>
      <c r="AN5982" s="165"/>
      <c r="AO5982" s="165"/>
      <c r="AP5982" s="165"/>
      <c r="AQ5982" s="165"/>
      <c r="AR5982" s="165"/>
      <c r="AS5982" s="165"/>
      <c r="AT5982" s="165"/>
      <c r="AU5982" s="165"/>
      <c r="AV5982" s="165"/>
      <c r="AW5982" s="165"/>
      <c r="AX5982" s="165"/>
      <c r="AY5982" s="165"/>
      <c r="AZ5982" s="165"/>
      <c r="BA5982" s="165"/>
      <c r="BB5982" s="165"/>
      <c r="BC5982" s="165"/>
      <c r="BD5982" s="165"/>
      <c r="BE5982" s="165"/>
      <c r="BF5982" s="165"/>
      <c r="BG5982" s="165"/>
      <c r="BH5982" s="165"/>
      <c r="BI5982" s="165"/>
      <c r="BJ5982" s="165"/>
      <c r="BK5982" s="165"/>
      <c r="BL5982" s="165"/>
      <c r="BM5982" s="165"/>
      <c r="BN5982" s="165"/>
      <c r="BO5982" s="165"/>
      <c r="BP5982" s="165"/>
      <c r="BQ5982" s="165"/>
      <c r="BR5982" s="165"/>
      <c r="BS5982" s="165"/>
      <c r="BT5982" s="165"/>
      <c r="BU5982" s="165"/>
      <c r="BV5982" s="165"/>
      <c r="BW5982" s="165"/>
      <c r="BX5982" s="165"/>
      <c r="BY5982" s="165"/>
      <c r="BZ5982" s="165"/>
      <c r="CA5982" s="165"/>
      <c r="CB5982" s="165"/>
      <c r="CC5982" s="165"/>
      <c r="CD5982" s="165"/>
      <c r="CE5982" s="165"/>
      <c r="CF5982" s="165"/>
      <c r="CG5982" s="165"/>
      <c r="CH5982" s="165"/>
      <c r="CI5982" s="165"/>
      <c r="CJ5982" s="165"/>
      <c r="CK5982" s="165"/>
      <c r="CL5982" s="165"/>
      <c r="CM5982" s="165"/>
      <c r="CN5982" s="165"/>
      <c r="CO5982" s="165"/>
      <c r="CP5982" s="165"/>
      <c r="CQ5982" s="165"/>
      <c r="CR5982" s="165"/>
      <c r="CS5982" s="165"/>
      <c r="CT5982" s="165"/>
      <c r="CU5982" s="165"/>
      <c r="CV5982" s="165"/>
      <c r="CW5982" s="165"/>
      <c r="CX5982" s="165"/>
      <c r="CY5982" s="165"/>
      <c r="CZ5982" s="165"/>
      <c r="DA5982" s="165"/>
      <c r="DB5982" s="165"/>
      <c r="DC5982" s="165"/>
      <c r="DD5982" s="165"/>
      <c r="DE5982" s="165"/>
      <c r="DF5982" s="165"/>
      <c r="DG5982" s="165"/>
      <c r="DH5982" s="165"/>
      <c r="DI5982" s="165"/>
      <c r="DJ5982" s="165"/>
      <c r="DK5982" s="165"/>
      <c r="DL5982" s="165"/>
      <c r="DM5982" s="165"/>
      <c r="DN5982" s="165"/>
      <c r="DO5982" s="165"/>
      <c r="DP5982" s="165"/>
      <c r="DQ5982" s="165"/>
      <c r="DR5982" s="165"/>
      <c r="DS5982" s="165"/>
      <c r="DT5982" s="165"/>
      <c r="DU5982" s="165"/>
      <c r="DV5982" s="165"/>
      <c r="DW5982" s="165"/>
      <c r="DX5982" s="165"/>
      <c r="DY5982" s="165"/>
      <c r="DZ5982" s="165"/>
      <c r="EA5982" s="165"/>
      <c r="EB5982" s="165"/>
      <c r="EC5982" s="165"/>
      <c r="ED5982" s="165"/>
      <c r="EE5982" s="165"/>
      <c r="EF5982" s="165"/>
      <c r="EG5982" s="165"/>
      <c r="EH5982" s="165"/>
      <c r="EI5982" s="165"/>
      <c r="EJ5982" s="165"/>
      <c r="EK5982" s="165"/>
      <c r="EL5982" s="165"/>
      <c r="EM5982" s="165"/>
      <c r="EN5982" s="165"/>
      <c r="EO5982" s="165"/>
      <c r="EP5982" s="165"/>
      <c r="EQ5982" s="165"/>
      <c r="ER5982" s="165"/>
      <c r="ES5982" s="165"/>
    </row>
    <row r="5983" spans="1:149" s="451" customFormat="1" ht="15" hidden="1" customHeight="1">
      <c r="A5983" s="468">
        <v>45544</v>
      </c>
      <c r="B5983" s="208" t="s">
        <v>4921</v>
      </c>
      <c r="C5983" s="208" t="s">
        <v>269</v>
      </c>
      <c r="D5983" s="211">
        <v>-12000</v>
      </c>
      <c r="E5983" s="212">
        <v>45536</v>
      </c>
      <c r="F5983" s="208" t="s">
        <v>109</v>
      </c>
      <c r="G5983" s="208" t="s">
        <v>3529</v>
      </c>
      <c r="H5983" s="208" t="s">
        <v>175</v>
      </c>
      <c r="I5983" s="208" t="s">
        <v>173</v>
      </c>
      <c r="J5983" s="209"/>
      <c r="K5983" s="209"/>
      <c r="L5983" s="209"/>
      <c r="M5983" s="209"/>
      <c r="N5983" s="209"/>
      <c r="O5983" s="209"/>
      <c r="P5983" s="209"/>
      <c r="Q5983" s="209"/>
      <c r="R5983" s="209"/>
      <c r="S5983" s="209"/>
      <c r="T5983" s="209"/>
      <c r="U5983" s="165"/>
      <c r="V5983" s="165"/>
      <c r="W5983" s="165"/>
      <c r="X5983" s="165"/>
      <c r="Y5983" s="165"/>
      <c r="Z5983" s="165"/>
      <c r="AA5983" s="165"/>
      <c r="AB5983" s="165"/>
      <c r="AC5983" s="165"/>
      <c r="AD5983" s="165"/>
      <c r="AE5983" s="165"/>
      <c r="AF5983" s="165"/>
      <c r="AG5983" s="165"/>
      <c r="AH5983" s="165"/>
      <c r="AI5983" s="165"/>
      <c r="AJ5983" s="165"/>
      <c r="AK5983" s="165"/>
      <c r="AL5983" s="165"/>
      <c r="AM5983" s="165"/>
      <c r="AN5983" s="165"/>
      <c r="AO5983" s="165"/>
      <c r="AP5983" s="165"/>
      <c r="AQ5983" s="165"/>
      <c r="AR5983" s="165"/>
      <c r="AS5983" s="165"/>
      <c r="AT5983" s="165"/>
      <c r="AU5983" s="165"/>
      <c r="AV5983" s="165"/>
      <c r="AW5983" s="165"/>
      <c r="AX5983" s="165"/>
      <c r="AY5983" s="165"/>
      <c r="AZ5983" s="165"/>
      <c r="BA5983" s="165"/>
      <c r="BB5983" s="165"/>
      <c r="BC5983" s="165"/>
      <c r="BD5983" s="165"/>
      <c r="BE5983" s="165"/>
      <c r="BF5983" s="165"/>
      <c r="BG5983" s="165"/>
      <c r="BH5983" s="165"/>
      <c r="BI5983" s="165"/>
      <c r="BJ5983" s="165"/>
      <c r="BK5983" s="165"/>
      <c r="BL5983" s="165"/>
      <c r="BM5983" s="165"/>
      <c r="BN5983" s="165"/>
      <c r="BO5983" s="165"/>
      <c r="BP5983" s="165"/>
      <c r="BQ5983" s="165"/>
      <c r="BR5983" s="165"/>
      <c r="BS5983" s="165"/>
      <c r="BT5983" s="165"/>
      <c r="BU5983" s="165"/>
      <c r="BV5983" s="165"/>
      <c r="BW5983" s="165"/>
      <c r="BX5983" s="165"/>
      <c r="BY5983" s="165"/>
      <c r="BZ5983" s="165"/>
      <c r="CA5983" s="165"/>
      <c r="CB5983" s="165"/>
      <c r="CC5983" s="165"/>
      <c r="CD5983" s="165"/>
      <c r="CE5983" s="165"/>
      <c r="CF5983" s="165"/>
      <c r="CG5983" s="165"/>
      <c r="CH5983" s="165"/>
      <c r="CI5983" s="165"/>
      <c r="CJ5983" s="165"/>
      <c r="CK5983" s="165"/>
      <c r="CL5983" s="165"/>
      <c r="CM5983" s="165"/>
      <c r="CN5983" s="165"/>
      <c r="CO5983" s="165"/>
      <c r="CP5983" s="165"/>
      <c r="CQ5983" s="165"/>
      <c r="CR5983" s="165"/>
      <c r="CS5983" s="165"/>
      <c r="CT5983" s="165"/>
      <c r="CU5983" s="165"/>
      <c r="CV5983" s="165"/>
      <c r="CW5983" s="165"/>
      <c r="CX5983" s="165"/>
      <c r="CY5983" s="165"/>
      <c r="CZ5983" s="165"/>
      <c r="DA5983" s="165"/>
      <c r="DB5983" s="165"/>
      <c r="DC5983" s="165"/>
      <c r="DD5983" s="165"/>
      <c r="DE5983" s="165"/>
      <c r="DF5983" s="165"/>
      <c r="DG5983" s="165"/>
      <c r="DH5983" s="165"/>
      <c r="DI5983" s="165"/>
      <c r="DJ5983" s="165"/>
      <c r="DK5983" s="165"/>
      <c r="DL5983" s="165"/>
      <c r="DM5983" s="165"/>
      <c r="DN5983" s="165"/>
      <c r="DO5983" s="165"/>
      <c r="DP5983" s="165"/>
      <c r="DQ5983" s="165"/>
      <c r="DR5983" s="165"/>
      <c r="DS5983" s="165"/>
      <c r="DT5983" s="165"/>
      <c r="DU5983" s="165"/>
      <c r="DV5983" s="165"/>
      <c r="DW5983" s="165"/>
      <c r="DX5983" s="165"/>
      <c r="DY5983" s="165"/>
      <c r="DZ5983" s="165"/>
      <c r="EA5983" s="165"/>
      <c r="EB5983" s="165"/>
      <c r="EC5983" s="165"/>
      <c r="ED5983" s="165"/>
      <c r="EE5983" s="165"/>
      <c r="EF5983" s="165"/>
      <c r="EG5983" s="165"/>
      <c r="EH5983" s="165"/>
      <c r="EI5983" s="165"/>
      <c r="EJ5983" s="165"/>
      <c r="EK5983" s="165"/>
      <c r="EL5983" s="165"/>
      <c r="EM5983" s="165"/>
      <c r="EN5983" s="165"/>
      <c r="EO5983" s="165"/>
      <c r="EP5983" s="165"/>
      <c r="EQ5983" s="165"/>
      <c r="ER5983" s="165"/>
      <c r="ES5983" s="165"/>
    </row>
    <row r="5984" spans="1:149" s="451" customFormat="1" ht="15" hidden="1" customHeight="1">
      <c r="A5984" s="468">
        <v>45544</v>
      </c>
      <c r="B5984" s="208" t="s">
        <v>4548</v>
      </c>
      <c r="C5984" s="208" t="s">
        <v>269</v>
      </c>
      <c r="D5984" s="211">
        <v>-14000</v>
      </c>
      <c r="E5984" s="212">
        <v>45536</v>
      </c>
      <c r="F5984" s="208" t="s">
        <v>110</v>
      </c>
      <c r="G5984" s="201" t="s">
        <v>1489</v>
      </c>
      <c r="H5984" s="208" t="s">
        <v>147</v>
      </c>
      <c r="I5984" s="208" t="s">
        <v>173</v>
      </c>
      <c r="J5984" s="209"/>
      <c r="K5984" s="209"/>
      <c r="L5984" s="209"/>
      <c r="M5984" s="209"/>
      <c r="N5984" s="209"/>
      <c r="O5984" s="209"/>
      <c r="P5984" s="209"/>
      <c r="Q5984" s="209"/>
      <c r="R5984" s="209"/>
      <c r="S5984" s="209"/>
      <c r="T5984" s="209"/>
      <c r="U5984" s="165"/>
      <c r="V5984" s="165"/>
      <c r="W5984" s="165"/>
      <c r="X5984" s="165"/>
      <c r="Y5984" s="165"/>
      <c r="Z5984" s="165"/>
      <c r="AA5984" s="165"/>
      <c r="AB5984" s="165"/>
      <c r="AC5984" s="165"/>
      <c r="AD5984" s="165"/>
      <c r="AE5984" s="165"/>
      <c r="AF5984" s="165"/>
      <c r="AG5984" s="165"/>
      <c r="AH5984" s="165"/>
      <c r="AI5984" s="165"/>
      <c r="AJ5984" s="165"/>
      <c r="AK5984" s="165"/>
      <c r="AL5984" s="165"/>
      <c r="AM5984" s="165"/>
      <c r="AN5984" s="165"/>
      <c r="AO5984" s="165"/>
      <c r="AP5984" s="165"/>
      <c r="AQ5984" s="165"/>
      <c r="AR5984" s="165"/>
      <c r="AS5984" s="165"/>
      <c r="AT5984" s="165"/>
      <c r="AU5984" s="165"/>
      <c r="AV5984" s="165"/>
      <c r="AW5984" s="165"/>
      <c r="AX5984" s="165"/>
      <c r="AY5984" s="165"/>
      <c r="AZ5984" s="165"/>
      <c r="BA5984" s="165"/>
      <c r="BB5984" s="165"/>
      <c r="BC5984" s="165"/>
      <c r="BD5984" s="165"/>
      <c r="BE5984" s="165"/>
      <c r="BF5984" s="165"/>
      <c r="BG5984" s="165"/>
      <c r="BH5984" s="165"/>
      <c r="BI5984" s="165"/>
      <c r="BJ5984" s="165"/>
      <c r="BK5984" s="165"/>
      <c r="BL5984" s="165"/>
      <c r="BM5984" s="165"/>
      <c r="BN5984" s="165"/>
      <c r="BO5984" s="165"/>
      <c r="BP5984" s="165"/>
      <c r="BQ5984" s="165"/>
      <c r="BR5984" s="165"/>
      <c r="BS5984" s="165"/>
      <c r="BT5984" s="165"/>
      <c r="BU5984" s="165"/>
      <c r="BV5984" s="165"/>
      <c r="BW5984" s="165"/>
      <c r="BX5984" s="165"/>
      <c r="BY5984" s="165"/>
      <c r="BZ5984" s="165"/>
      <c r="CA5984" s="165"/>
      <c r="CB5984" s="165"/>
      <c r="CC5984" s="165"/>
      <c r="CD5984" s="165"/>
      <c r="CE5984" s="165"/>
      <c r="CF5984" s="165"/>
      <c r="CG5984" s="165"/>
      <c r="CH5984" s="165"/>
      <c r="CI5984" s="165"/>
      <c r="CJ5984" s="165"/>
      <c r="CK5984" s="165"/>
      <c r="CL5984" s="165"/>
      <c r="CM5984" s="165"/>
      <c r="CN5984" s="165"/>
      <c r="CO5984" s="165"/>
      <c r="CP5984" s="165"/>
      <c r="CQ5984" s="165"/>
      <c r="CR5984" s="165"/>
      <c r="CS5984" s="165"/>
      <c r="CT5984" s="165"/>
      <c r="CU5984" s="165"/>
      <c r="CV5984" s="165"/>
      <c r="CW5984" s="165"/>
      <c r="CX5984" s="165"/>
      <c r="CY5984" s="165"/>
      <c r="CZ5984" s="165"/>
      <c r="DA5984" s="165"/>
      <c r="DB5984" s="165"/>
      <c r="DC5984" s="165"/>
      <c r="DD5984" s="165"/>
      <c r="DE5984" s="165"/>
      <c r="DF5984" s="165"/>
      <c r="DG5984" s="165"/>
      <c r="DH5984" s="165"/>
      <c r="DI5984" s="165"/>
      <c r="DJ5984" s="165"/>
      <c r="DK5984" s="165"/>
      <c r="DL5984" s="165"/>
      <c r="DM5984" s="165"/>
      <c r="DN5984" s="165"/>
      <c r="DO5984" s="165"/>
      <c r="DP5984" s="165"/>
      <c r="DQ5984" s="165"/>
      <c r="DR5984" s="165"/>
      <c r="DS5984" s="165"/>
      <c r="DT5984" s="165"/>
      <c r="DU5984" s="165"/>
      <c r="DV5984" s="165"/>
      <c r="DW5984" s="165"/>
      <c r="DX5984" s="165"/>
      <c r="DY5984" s="165"/>
      <c r="DZ5984" s="165"/>
      <c r="EA5984" s="165"/>
      <c r="EB5984" s="165"/>
      <c r="EC5984" s="165"/>
      <c r="ED5984" s="165"/>
      <c r="EE5984" s="165"/>
      <c r="EF5984" s="165"/>
      <c r="EG5984" s="165"/>
      <c r="EH5984" s="165"/>
      <c r="EI5984" s="165"/>
      <c r="EJ5984" s="165"/>
      <c r="EK5984" s="165"/>
      <c r="EL5984" s="165"/>
      <c r="EM5984" s="165"/>
      <c r="EN5984" s="165"/>
      <c r="EO5984" s="165"/>
      <c r="EP5984" s="165"/>
      <c r="EQ5984" s="165"/>
      <c r="ER5984" s="165"/>
      <c r="ES5984" s="165"/>
    </row>
    <row r="5985" spans="1:149" s="451" customFormat="1" ht="15" hidden="1" customHeight="1">
      <c r="A5985" s="468">
        <v>45544</v>
      </c>
      <c r="B5985" s="208" t="s">
        <v>4922</v>
      </c>
      <c r="C5985" s="208" t="s">
        <v>269</v>
      </c>
      <c r="D5985" s="211">
        <v>-7400</v>
      </c>
      <c r="E5985" s="212">
        <v>45536</v>
      </c>
      <c r="F5985" s="208" t="s">
        <v>109</v>
      </c>
      <c r="G5985" s="208" t="s">
        <v>3529</v>
      </c>
      <c r="H5985" s="208" t="s">
        <v>175</v>
      </c>
      <c r="I5985" s="208" t="s">
        <v>173</v>
      </c>
      <c r="J5985" s="209"/>
      <c r="K5985" s="209"/>
      <c r="L5985" s="209"/>
      <c r="M5985" s="209"/>
      <c r="N5985" s="209"/>
      <c r="O5985" s="209"/>
      <c r="P5985" s="209"/>
      <c r="Q5985" s="209"/>
      <c r="R5985" s="209"/>
      <c r="S5985" s="209"/>
      <c r="T5985" s="209"/>
      <c r="U5985" s="165"/>
      <c r="V5985" s="165"/>
      <c r="W5985" s="165"/>
      <c r="X5985" s="165"/>
      <c r="Y5985" s="165"/>
      <c r="Z5985" s="165"/>
      <c r="AA5985" s="165"/>
      <c r="AB5985" s="165"/>
      <c r="AC5985" s="165"/>
      <c r="AD5985" s="165"/>
      <c r="AE5985" s="165"/>
      <c r="AF5985" s="165"/>
      <c r="AG5985" s="165"/>
      <c r="AH5985" s="165"/>
      <c r="AI5985" s="165"/>
      <c r="AJ5985" s="165"/>
      <c r="AK5985" s="165"/>
      <c r="AL5985" s="165"/>
      <c r="AM5985" s="165"/>
      <c r="AN5985" s="165"/>
      <c r="AO5985" s="165"/>
      <c r="AP5985" s="165"/>
      <c r="AQ5985" s="165"/>
      <c r="AR5985" s="165"/>
      <c r="AS5985" s="165"/>
      <c r="AT5985" s="165"/>
      <c r="AU5985" s="165"/>
      <c r="AV5985" s="165"/>
      <c r="AW5985" s="165"/>
      <c r="AX5985" s="165"/>
      <c r="AY5985" s="165"/>
      <c r="AZ5985" s="165"/>
      <c r="BA5985" s="165"/>
      <c r="BB5985" s="165"/>
      <c r="BC5985" s="165"/>
      <c r="BD5985" s="165"/>
      <c r="BE5985" s="165"/>
      <c r="BF5985" s="165"/>
      <c r="BG5985" s="165"/>
      <c r="BH5985" s="165"/>
      <c r="BI5985" s="165"/>
      <c r="BJ5985" s="165"/>
      <c r="BK5985" s="165"/>
      <c r="BL5985" s="165"/>
      <c r="BM5985" s="165"/>
      <c r="BN5985" s="165"/>
      <c r="BO5985" s="165"/>
      <c r="BP5985" s="165"/>
      <c r="BQ5985" s="165"/>
      <c r="BR5985" s="165"/>
      <c r="BS5985" s="165"/>
      <c r="BT5985" s="165"/>
      <c r="BU5985" s="165"/>
      <c r="BV5985" s="165"/>
      <c r="BW5985" s="165"/>
      <c r="BX5985" s="165"/>
      <c r="BY5985" s="165"/>
      <c r="BZ5985" s="165"/>
      <c r="CA5985" s="165"/>
      <c r="CB5985" s="165"/>
      <c r="CC5985" s="165"/>
      <c r="CD5985" s="165"/>
      <c r="CE5985" s="165"/>
      <c r="CF5985" s="165"/>
      <c r="CG5985" s="165"/>
      <c r="CH5985" s="165"/>
      <c r="CI5985" s="165"/>
      <c r="CJ5985" s="165"/>
      <c r="CK5985" s="165"/>
      <c r="CL5985" s="165"/>
      <c r="CM5985" s="165"/>
      <c r="CN5985" s="165"/>
      <c r="CO5985" s="165"/>
      <c r="CP5985" s="165"/>
      <c r="CQ5985" s="165"/>
      <c r="CR5985" s="165"/>
      <c r="CS5985" s="165"/>
      <c r="CT5985" s="165"/>
      <c r="CU5985" s="165"/>
      <c r="CV5985" s="165"/>
      <c r="CW5985" s="165"/>
      <c r="CX5985" s="165"/>
      <c r="CY5985" s="165"/>
      <c r="CZ5985" s="165"/>
      <c r="DA5985" s="165"/>
      <c r="DB5985" s="165"/>
      <c r="DC5985" s="165"/>
      <c r="DD5985" s="165"/>
      <c r="DE5985" s="165"/>
      <c r="DF5985" s="165"/>
      <c r="DG5985" s="165"/>
      <c r="DH5985" s="165"/>
      <c r="DI5985" s="165"/>
      <c r="DJ5985" s="165"/>
      <c r="DK5985" s="165"/>
      <c r="DL5985" s="165"/>
      <c r="DM5985" s="165"/>
      <c r="DN5985" s="165"/>
      <c r="DO5985" s="165"/>
      <c r="DP5985" s="165"/>
      <c r="DQ5985" s="165"/>
      <c r="DR5985" s="165"/>
      <c r="DS5985" s="165"/>
      <c r="DT5985" s="165"/>
      <c r="DU5985" s="165"/>
      <c r="DV5985" s="165"/>
      <c r="DW5985" s="165"/>
      <c r="DX5985" s="165"/>
      <c r="DY5985" s="165"/>
      <c r="DZ5985" s="165"/>
      <c r="EA5985" s="165"/>
      <c r="EB5985" s="165"/>
      <c r="EC5985" s="165"/>
      <c r="ED5985" s="165"/>
      <c r="EE5985" s="165"/>
      <c r="EF5985" s="165"/>
      <c r="EG5985" s="165"/>
      <c r="EH5985" s="165"/>
      <c r="EI5985" s="165"/>
      <c r="EJ5985" s="165"/>
      <c r="EK5985" s="165"/>
      <c r="EL5985" s="165"/>
      <c r="EM5985" s="165"/>
      <c r="EN5985" s="165"/>
      <c r="EO5985" s="165"/>
      <c r="EP5985" s="165"/>
      <c r="EQ5985" s="165"/>
      <c r="ER5985" s="165"/>
      <c r="ES5985" s="165"/>
    </row>
    <row r="5986" spans="1:149" s="451" customFormat="1" ht="15" hidden="1" customHeight="1">
      <c r="A5986" s="468">
        <v>45544</v>
      </c>
      <c r="B5986" s="208" t="s">
        <v>4923</v>
      </c>
      <c r="C5986" s="208" t="s">
        <v>269</v>
      </c>
      <c r="D5986" s="211">
        <v>-189381</v>
      </c>
      <c r="E5986" s="212">
        <v>45536</v>
      </c>
      <c r="F5986" s="208" t="s">
        <v>109</v>
      </c>
      <c r="G5986" s="208" t="s">
        <v>3529</v>
      </c>
      <c r="H5986" s="208" t="s">
        <v>175</v>
      </c>
      <c r="I5986" s="208" t="s">
        <v>173</v>
      </c>
      <c r="J5986" s="209"/>
      <c r="K5986" s="209"/>
      <c r="L5986" s="209"/>
      <c r="M5986" s="209"/>
      <c r="N5986" s="209"/>
      <c r="O5986" s="209"/>
      <c r="P5986" s="209"/>
      <c r="Q5986" s="209"/>
      <c r="R5986" s="209"/>
      <c r="S5986" s="209"/>
      <c r="T5986" s="209"/>
      <c r="U5986" s="165"/>
      <c r="V5986" s="165"/>
      <c r="W5986" s="165"/>
      <c r="X5986" s="165"/>
      <c r="Y5986" s="165"/>
      <c r="Z5986" s="165"/>
      <c r="AA5986" s="165"/>
      <c r="AB5986" s="165"/>
      <c r="AC5986" s="165"/>
      <c r="AD5986" s="165"/>
      <c r="AE5986" s="165"/>
      <c r="AF5986" s="165"/>
      <c r="AG5986" s="165"/>
      <c r="AH5986" s="165"/>
      <c r="AI5986" s="165"/>
      <c r="AJ5986" s="165"/>
      <c r="AK5986" s="165"/>
      <c r="AL5986" s="165"/>
      <c r="AM5986" s="165"/>
      <c r="AN5986" s="165"/>
      <c r="AO5986" s="165"/>
      <c r="AP5986" s="165"/>
      <c r="AQ5986" s="165"/>
      <c r="AR5986" s="165"/>
      <c r="AS5986" s="165"/>
      <c r="AT5986" s="165"/>
      <c r="AU5986" s="165"/>
      <c r="AV5986" s="165"/>
      <c r="AW5986" s="165"/>
      <c r="AX5986" s="165"/>
      <c r="AY5986" s="165"/>
      <c r="AZ5986" s="165"/>
      <c r="BA5986" s="165"/>
      <c r="BB5986" s="165"/>
      <c r="BC5986" s="165"/>
      <c r="BD5986" s="165"/>
      <c r="BE5986" s="165"/>
      <c r="BF5986" s="165"/>
      <c r="BG5986" s="165"/>
      <c r="BH5986" s="165"/>
      <c r="BI5986" s="165"/>
      <c r="BJ5986" s="165"/>
      <c r="BK5986" s="165"/>
      <c r="BL5986" s="165"/>
      <c r="BM5986" s="165"/>
      <c r="BN5986" s="165"/>
      <c r="BO5986" s="165"/>
      <c r="BP5986" s="165"/>
      <c r="BQ5986" s="165"/>
      <c r="BR5986" s="165"/>
      <c r="BS5986" s="165"/>
      <c r="BT5986" s="165"/>
      <c r="BU5986" s="165"/>
      <c r="BV5986" s="165"/>
      <c r="BW5986" s="165"/>
      <c r="BX5986" s="165"/>
      <c r="BY5986" s="165"/>
      <c r="BZ5986" s="165"/>
      <c r="CA5986" s="165"/>
      <c r="CB5986" s="165"/>
      <c r="CC5986" s="165"/>
      <c r="CD5986" s="165"/>
      <c r="CE5986" s="165"/>
      <c r="CF5986" s="165"/>
      <c r="CG5986" s="165"/>
      <c r="CH5986" s="165"/>
      <c r="CI5986" s="165"/>
      <c r="CJ5986" s="165"/>
      <c r="CK5986" s="165"/>
      <c r="CL5986" s="165"/>
      <c r="CM5986" s="165"/>
      <c r="CN5986" s="165"/>
      <c r="CO5986" s="165"/>
      <c r="CP5986" s="165"/>
      <c r="CQ5986" s="165"/>
      <c r="CR5986" s="165"/>
      <c r="CS5986" s="165"/>
      <c r="CT5986" s="165"/>
      <c r="CU5986" s="165"/>
      <c r="CV5986" s="165"/>
      <c r="CW5986" s="165"/>
      <c r="CX5986" s="165"/>
      <c r="CY5986" s="165"/>
      <c r="CZ5986" s="165"/>
      <c r="DA5986" s="165"/>
      <c r="DB5986" s="165"/>
      <c r="DC5986" s="165"/>
      <c r="DD5986" s="165"/>
      <c r="DE5986" s="165"/>
      <c r="DF5986" s="165"/>
      <c r="DG5986" s="165"/>
      <c r="DH5986" s="165"/>
      <c r="DI5986" s="165"/>
      <c r="DJ5986" s="165"/>
      <c r="DK5986" s="165"/>
      <c r="DL5986" s="165"/>
      <c r="DM5986" s="165"/>
      <c r="DN5986" s="165"/>
      <c r="DO5986" s="165"/>
      <c r="DP5986" s="165"/>
      <c r="DQ5986" s="165"/>
      <c r="DR5986" s="165"/>
      <c r="DS5986" s="165"/>
      <c r="DT5986" s="165"/>
      <c r="DU5986" s="165"/>
      <c r="DV5986" s="165"/>
      <c r="DW5986" s="165"/>
      <c r="DX5986" s="165"/>
      <c r="DY5986" s="165"/>
      <c r="DZ5986" s="165"/>
      <c r="EA5986" s="165"/>
      <c r="EB5986" s="165"/>
      <c r="EC5986" s="165"/>
      <c r="ED5986" s="165"/>
      <c r="EE5986" s="165"/>
      <c r="EF5986" s="165"/>
      <c r="EG5986" s="165"/>
      <c r="EH5986" s="165"/>
      <c r="EI5986" s="165"/>
      <c r="EJ5986" s="165"/>
      <c r="EK5986" s="165"/>
      <c r="EL5986" s="165"/>
      <c r="EM5986" s="165"/>
      <c r="EN5986" s="165"/>
      <c r="EO5986" s="165"/>
      <c r="EP5986" s="165"/>
      <c r="EQ5986" s="165"/>
      <c r="ER5986" s="165"/>
      <c r="ES5986" s="165"/>
    </row>
    <row r="5987" spans="1:149" s="451" customFormat="1" ht="15" hidden="1" customHeight="1">
      <c r="A5987" s="468">
        <v>45544</v>
      </c>
      <c r="B5987" s="208" t="s">
        <v>4924</v>
      </c>
      <c r="C5987" s="208" t="s">
        <v>4783</v>
      </c>
      <c r="D5987" s="211">
        <v>90000000</v>
      </c>
      <c r="E5987" s="212">
        <v>45536</v>
      </c>
      <c r="F5987" s="208" t="s">
        <v>109</v>
      </c>
      <c r="G5987" s="208" t="s">
        <v>10</v>
      </c>
      <c r="H5987" s="208" t="s">
        <v>461</v>
      </c>
      <c r="I5987" s="208"/>
      <c r="J5987" s="209"/>
      <c r="K5987" s="209"/>
      <c r="L5987" s="209"/>
      <c r="M5987" s="209"/>
      <c r="N5987" s="209"/>
      <c r="O5987" s="209"/>
      <c r="P5987" s="209"/>
      <c r="Q5987" s="209"/>
      <c r="R5987" s="209"/>
      <c r="S5987" s="209"/>
      <c r="T5987" s="209"/>
    </row>
    <row r="5988" spans="1:149" s="451" customFormat="1" ht="15" hidden="1" customHeight="1">
      <c r="A5988" s="468">
        <v>45544</v>
      </c>
      <c r="B5988" s="81" t="s">
        <v>3017</v>
      </c>
      <c r="C5988" s="208" t="s">
        <v>643</v>
      </c>
      <c r="D5988" s="211">
        <v>-95520</v>
      </c>
      <c r="E5988" s="212">
        <v>45536</v>
      </c>
      <c r="F5988" s="208" t="s">
        <v>130</v>
      </c>
      <c r="G5988" s="208" t="s">
        <v>130</v>
      </c>
      <c r="H5988" s="208" t="s">
        <v>1245</v>
      </c>
      <c r="I5988" s="208"/>
      <c r="J5988" s="209"/>
      <c r="K5988" s="209"/>
      <c r="L5988" s="209"/>
      <c r="M5988" s="209"/>
      <c r="N5988" s="209"/>
      <c r="O5988" s="209"/>
      <c r="P5988" s="209"/>
      <c r="Q5988" s="209"/>
      <c r="R5988" s="209"/>
      <c r="S5988" s="209"/>
      <c r="T5988" s="209"/>
      <c r="U5988" s="165"/>
      <c r="V5988" s="165"/>
      <c r="W5988" s="165"/>
      <c r="X5988" s="165"/>
      <c r="Y5988" s="165"/>
      <c r="Z5988" s="165"/>
      <c r="AA5988" s="165"/>
      <c r="AB5988" s="165"/>
      <c r="AC5988" s="165"/>
      <c r="AD5988" s="165"/>
      <c r="AE5988" s="165"/>
      <c r="AF5988" s="165"/>
      <c r="AG5988" s="165"/>
      <c r="AH5988" s="165"/>
      <c r="AI5988" s="165"/>
      <c r="AJ5988" s="165"/>
      <c r="AK5988" s="165"/>
      <c r="AL5988" s="165"/>
      <c r="AM5988" s="165"/>
      <c r="AN5988" s="165"/>
      <c r="AO5988" s="165"/>
      <c r="AP5988" s="165"/>
      <c r="AQ5988" s="165"/>
      <c r="AR5988" s="165"/>
      <c r="AS5988" s="165"/>
      <c r="AT5988" s="165"/>
      <c r="AU5988" s="165"/>
      <c r="AV5988" s="165"/>
      <c r="AW5988" s="165"/>
      <c r="AX5988" s="165"/>
      <c r="AY5988" s="165"/>
      <c r="AZ5988" s="165"/>
      <c r="BA5988" s="165"/>
      <c r="BB5988" s="165"/>
      <c r="BC5988" s="165"/>
      <c r="BD5988" s="165"/>
      <c r="BE5988" s="165"/>
      <c r="BF5988" s="165"/>
      <c r="BG5988" s="165"/>
      <c r="BH5988" s="165"/>
      <c r="BI5988" s="165"/>
      <c r="BJ5988" s="165"/>
      <c r="BK5988" s="165"/>
      <c r="BL5988" s="165"/>
      <c r="BM5988" s="165"/>
      <c r="BN5988" s="165"/>
      <c r="BO5988" s="165"/>
      <c r="BP5988" s="165"/>
      <c r="BQ5988" s="165"/>
      <c r="BR5988" s="165"/>
      <c r="BS5988" s="165"/>
      <c r="BT5988" s="165"/>
      <c r="BU5988" s="165"/>
      <c r="BV5988" s="165"/>
      <c r="BW5988" s="165"/>
      <c r="BX5988" s="165"/>
      <c r="BY5988" s="165"/>
      <c r="BZ5988" s="165"/>
      <c r="CA5988" s="165"/>
      <c r="CB5988" s="165"/>
      <c r="CC5988" s="165"/>
      <c r="CD5988" s="165"/>
      <c r="CE5988" s="165"/>
      <c r="CF5988" s="165"/>
      <c r="CG5988" s="165"/>
      <c r="CH5988" s="165"/>
      <c r="CI5988" s="165"/>
      <c r="CJ5988" s="165"/>
      <c r="CK5988" s="165"/>
      <c r="CL5988" s="165"/>
      <c r="CM5988" s="165"/>
      <c r="CN5988" s="165"/>
      <c r="CO5988" s="165"/>
      <c r="CP5988" s="165"/>
      <c r="CQ5988" s="165"/>
      <c r="CR5988" s="165"/>
      <c r="CS5988" s="165"/>
      <c r="CT5988" s="165"/>
      <c r="CU5988" s="165"/>
      <c r="CV5988" s="165"/>
      <c r="CW5988" s="165"/>
      <c r="CX5988" s="165"/>
      <c r="CY5988" s="165"/>
      <c r="CZ5988" s="165"/>
      <c r="DA5988" s="165"/>
      <c r="DB5988" s="165"/>
      <c r="DC5988" s="165"/>
      <c r="DD5988" s="165"/>
      <c r="DE5988" s="165"/>
      <c r="DF5988" s="165"/>
      <c r="DG5988" s="165"/>
      <c r="DH5988" s="165"/>
      <c r="DI5988" s="165"/>
      <c r="DJ5988" s="165"/>
      <c r="DK5988" s="165"/>
      <c r="DL5988" s="165"/>
      <c r="DM5988" s="165"/>
      <c r="DN5988" s="165"/>
      <c r="DO5988" s="165"/>
      <c r="DP5988" s="165"/>
      <c r="DQ5988" s="165"/>
      <c r="DR5988" s="165"/>
      <c r="DS5988" s="165"/>
      <c r="DT5988" s="165"/>
      <c r="DU5988" s="165"/>
      <c r="DV5988" s="165"/>
      <c r="DW5988" s="165"/>
      <c r="DX5988" s="165"/>
      <c r="DY5988" s="165"/>
      <c r="DZ5988" s="165"/>
      <c r="EA5988" s="165"/>
      <c r="EB5988" s="165"/>
      <c r="EC5988" s="165"/>
      <c r="ED5988" s="165"/>
      <c r="EE5988" s="165"/>
      <c r="EF5988" s="165"/>
      <c r="EG5988" s="165"/>
      <c r="EH5988" s="165"/>
      <c r="EI5988" s="165"/>
      <c r="EJ5988" s="165"/>
      <c r="EK5988" s="165"/>
      <c r="EL5988" s="165"/>
      <c r="EM5988" s="165"/>
      <c r="EN5988" s="165"/>
      <c r="EO5988" s="165"/>
      <c r="EP5988" s="165"/>
      <c r="EQ5988" s="165"/>
      <c r="ER5988" s="165"/>
      <c r="ES5988" s="165"/>
    </row>
    <row r="5989" spans="1:149" s="451" customFormat="1" ht="15" hidden="1" customHeight="1">
      <c r="A5989" s="468">
        <v>45544</v>
      </c>
      <c r="B5989" s="208" t="s">
        <v>4925</v>
      </c>
      <c r="C5989" s="208" t="s">
        <v>269</v>
      </c>
      <c r="D5989" s="718">
        <v>-13500</v>
      </c>
      <c r="E5989" s="212">
        <v>45536</v>
      </c>
      <c r="F5989" s="208" t="s">
        <v>109</v>
      </c>
      <c r="G5989" s="201" t="s">
        <v>581</v>
      </c>
      <c r="H5989" s="208"/>
      <c r="I5989" s="208" t="s">
        <v>3364</v>
      </c>
      <c r="J5989" s="209"/>
      <c r="K5989" s="209"/>
      <c r="L5989" s="209"/>
      <c r="M5989" s="209"/>
      <c r="N5989" s="209"/>
      <c r="O5989" s="209"/>
      <c r="P5989" s="209"/>
      <c r="Q5989" s="209"/>
      <c r="R5989" s="209"/>
      <c r="S5989" s="209"/>
      <c r="T5989" s="209"/>
      <c r="U5989" s="165"/>
      <c r="V5989" s="165"/>
      <c r="W5989" s="165"/>
      <c r="X5989" s="165"/>
      <c r="Y5989" s="165"/>
      <c r="Z5989" s="165"/>
      <c r="AA5989" s="165"/>
      <c r="AB5989" s="165"/>
      <c r="AC5989" s="165"/>
      <c r="AD5989" s="165"/>
      <c r="AE5989" s="165"/>
      <c r="AF5989" s="165"/>
      <c r="AG5989" s="165"/>
      <c r="AH5989" s="165"/>
      <c r="AI5989" s="165"/>
      <c r="AJ5989" s="165"/>
      <c r="AK5989" s="165"/>
      <c r="AL5989" s="165"/>
      <c r="AM5989" s="165"/>
      <c r="AN5989" s="165"/>
      <c r="AO5989" s="165"/>
      <c r="AP5989" s="165"/>
      <c r="AQ5989" s="165"/>
      <c r="AR5989" s="165"/>
      <c r="AS5989" s="165"/>
      <c r="AT5989" s="165"/>
      <c r="AU5989" s="165"/>
      <c r="AV5989" s="165"/>
      <c r="AW5989" s="165"/>
      <c r="AX5989" s="165"/>
      <c r="AY5989" s="165"/>
      <c r="AZ5989" s="165"/>
      <c r="BA5989" s="165"/>
      <c r="BB5989" s="165"/>
      <c r="BC5989" s="165"/>
      <c r="BD5989" s="165"/>
      <c r="BE5989" s="165"/>
      <c r="BF5989" s="165"/>
      <c r="BG5989" s="165"/>
      <c r="BH5989" s="165"/>
      <c r="BI5989" s="165"/>
      <c r="BJ5989" s="165"/>
      <c r="BK5989" s="165"/>
      <c r="BL5989" s="165"/>
      <c r="BM5989" s="165"/>
      <c r="BN5989" s="165"/>
      <c r="BO5989" s="165"/>
      <c r="BP5989" s="165"/>
      <c r="BQ5989" s="165"/>
      <c r="BR5989" s="165"/>
      <c r="BS5989" s="165"/>
      <c r="BT5989" s="165"/>
      <c r="BU5989" s="165"/>
      <c r="BV5989" s="165"/>
      <c r="BW5989" s="165"/>
      <c r="BX5989" s="165"/>
      <c r="BY5989" s="165"/>
      <c r="BZ5989" s="165"/>
      <c r="CA5989" s="165"/>
      <c r="CB5989" s="165"/>
      <c r="CC5989" s="165"/>
      <c r="CD5989" s="165"/>
      <c r="CE5989" s="165"/>
      <c r="CF5989" s="165"/>
      <c r="CG5989" s="165"/>
      <c r="CH5989" s="165"/>
      <c r="CI5989" s="165"/>
      <c r="CJ5989" s="165"/>
      <c r="CK5989" s="165"/>
      <c r="CL5989" s="165"/>
      <c r="CM5989" s="165"/>
      <c r="CN5989" s="165"/>
      <c r="CO5989" s="165"/>
      <c r="CP5989" s="165"/>
      <c r="CQ5989" s="165"/>
      <c r="CR5989" s="165"/>
      <c r="CS5989" s="165"/>
      <c r="CT5989" s="165"/>
      <c r="CU5989" s="165"/>
      <c r="CV5989" s="165"/>
      <c r="CW5989" s="165"/>
      <c r="CX5989" s="165"/>
      <c r="CY5989" s="165"/>
      <c r="CZ5989" s="165"/>
      <c r="DA5989" s="165"/>
      <c r="DB5989" s="165"/>
      <c r="DC5989" s="165"/>
      <c r="DD5989" s="165"/>
      <c r="DE5989" s="165"/>
      <c r="DF5989" s="165"/>
      <c r="DG5989" s="165"/>
      <c r="DH5989" s="165"/>
      <c r="DI5989" s="165"/>
      <c r="DJ5989" s="165"/>
      <c r="DK5989" s="165"/>
      <c r="DL5989" s="165"/>
      <c r="DM5989" s="165"/>
      <c r="DN5989" s="165"/>
      <c r="DO5989" s="165"/>
      <c r="DP5989" s="165"/>
      <c r="DQ5989" s="165"/>
      <c r="DR5989" s="165"/>
      <c r="DS5989" s="165"/>
      <c r="DT5989" s="165"/>
      <c r="DU5989" s="165"/>
      <c r="DV5989" s="165"/>
      <c r="DW5989" s="165"/>
      <c r="DX5989" s="165"/>
      <c r="DY5989" s="165"/>
      <c r="DZ5989" s="165"/>
      <c r="EA5989" s="165"/>
      <c r="EB5989" s="165"/>
      <c r="EC5989" s="165"/>
      <c r="ED5989" s="165"/>
      <c r="EE5989" s="165"/>
      <c r="EF5989" s="165"/>
      <c r="EG5989" s="165"/>
      <c r="EH5989" s="165"/>
      <c r="EI5989" s="165"/>
      <c r="EJ5989" s="165"/>
      <c r="EK5989" s="165"/>
      <c r="EL5989" s="165"/>
      <c r="EM5989" s="165"/>
      <c r="EN5989" s="165"/>
      <c r="EO5989" s="165"/>
      <c r="EP5989" s="165"/>
      <c r="EQ5989" s="165"/>
      <c r="ER5989" s="165"/>
      <c r="ES5989" s="165"/>
    </row>
    <row r="5990" spans="1:149" s="451" customFormat="1" ht="15" hidden="1" customHeight="1">
      <c r="A5990" s="468">
        <v>45544</v>
      </c>
      <c r="B5990" s="208" t="s">
        <v>4926</v>
      </c>
      <c r="C5990" s="208" t="s">
        <v>269</v>
      </c>
      <c r="D5990" s="718">
        <v>-13500</v>
      </c>
      <c r="E5990" s="212">
        <v>45536</v>
      </c>
      <c r="F5990" s="208" t="s">
        <v>109</v>
      </c>
      <c r="G5990" s="201" t="s">
        <v>581</v>
      </c>
      <c r="H5990" s="208"/>
      <c r="I5990" s="208" t="s">
        <v>3364</v>
      </c>
      <c r="J5990" s="209"/>
      <c r="K5990" s="209"/>
      <c r="L5990" s="209"/>
      <c r="M5990" s="209"/>
      <c r="N5990" s="209"/>
      <c r="O5990" s="209"/>
      <c r="P5990" s="209"/>
      <c r="Q5990" s="209"/>
      <c r="R5990" s="209"/>
      <c r="S5990" s="209"/>
      <c r="T5990" s="209"/>
      <c r="U5990" s="165"/>
      <c r="V5990" s="165"/>
      <c r="W5990" s="165"/>
      <c r="X5990" s="165"/>
      <c r="Y5990" s="165"/>
      <c r="Z5990" s="165"/>
      <c r="AA5990" s="165"/>
      <c r="AB5990" s="165"/>
      <c r="AC5990" s="165"/>
      <c r="AD5990" s="165"/>
      <c r="AE5990" s="165"/>
      <c r="AF5990" s="165"/>
      <c r="AG5990" s="165"/>
      <c r="AH5990" s="165"/>
      <c r="AI5990" s="165"/>
      <c r="AJ5990" s="165"/>
      <c r="AK5990" s="165"/>
      <c r="AL5990" s="165"/>
      <c r="AM5990" s="165"/>
      <c r="AN5990" s="165"/>
      <c r="AO5990" s="165"/>
      <c r="AP5990" s="165"/>
      <c r="AQ5990" s="165"/>
      <c r="AR5990" s="165"/>
      <c r="AS5990" s="165"/>
      <c r="AT5990" s="165"/>
      <c r="AU5990" s="165"/>
      <c r="AV5990" s="165"/>
      <c r="AW5990" s="165"/>
      <c r="AX5990" s="165"/>
      <c r="AY5990" s="165"/>
      <c r="AZ5990" s="165"/>
      <c r="BA5990" s="165"/>
      <c r="BB5990" s="165"/>
      <c r="BC5990" s="165"/>
      <c r="BD5990" s="165"/>
      <c r="BE5990" s="165"/>
      <c r="BF5990" s="165"/>
      <c r="BG5990" s="165"/>
      <c r="BH5990" s="165"/>
      <c r="BI5990" s="165"/>
      <c r="BJ5990" s="165"/>
      <c r="BK5990" s="165"/>
      <c r="BL5990" s="165"/>
      <c r="BM5990" s="165"/>
      <c r="BN5990" s="165"/>
      <c r="BO5990" s="165"/>
      <c r="BP5990" s="165"/>
      <c r="BQ5990" s="165"/>
      <c r="BR5990" s="165"/>
      <c r="BS5990" s="165"/>
      <c r="BT5990" s="165"/>
      <c r="BU5990" s="165"/>
      <c r="BV5990" s="165"/>
      <c r="BW5990" s="165"/>
      <c r="BX5990" s="165"/>
      <c r="BY5990" s="165"/>
      <c r="BZ5990" s="165"/>
      <c r="CA5990" s="165"/>
      <c r="CB5990" s="165"/>
      <c r="CC5990" s="165"/>
      <c r="CD5990" s="165"/>
      <c r="CE5990" s="165"/>
      <c r="CF5990" s="165"/>
      <c r="CG5990" s="165"/>
      <c r="CH5990" s="165"/>
      <c r="CI5990" s="165"/>
      <c r="CJ5990" s="165"/>
      <c r="CK5990" s="165"/>
      <c r="CL5990" s="165"/>
      <c r="CM5990" s="165"/>
      <c r="CN5990" s="165"/>
      <c r="CO5990" s="165"/>
      <c r="CP5990" s="165"/>
      <c r="CQ5990" s="165"/>
      <c r="CR5990" s="165"/>
      <c r="CS5990" s="165"/>
      <c r="CT5990" s="165"/>
      <c r="CU5990" s="165"/>
      <c r="CV5990" s="165"/>
      <c r="CW5990" s="165"/>
      <c r="CX5990" s="165"/>
      <c r="CY5990" s="165"/>
      <c r="CZ5990" s="165"/>
      <c r="DA5990" s="165"/>
      <c r="DB5990" s="165"/>
      <c r="DC5990" s="165"/>
      <c r="DD5990" s="165"/>
      <c r="DE5990" s="165"/>
      <c r="DF5990" s="165"/>
      <c r="DG5990" s="165"/>
      <c r="DH5990" s="165"/>
      <c r="DI5990" s="165"/>
      <c r="DJ5990" s="165"/>
      <c r="DK5990" s="165"/>
      <c r="DL5990" s="165"/>
      <c r="DM5990" s="165"/>
      <c r="DN5990" s="165"/>
      <c r="DO5990" s="165"/>
      <c r="DP5990" s="165"/>
      <c r="DQ5990" s="165"/>
      <c r="DR5990" s="165"/>
      <c r="DS5990" s="165"/>
      <c r="DT5990" s="165"/>
      <c r="DU5990" s="165"/>
      <c r="DV5990" s="165"/>
      <c r="DW5990" s="165"/>
      <c r="DX5990" s="165"/>
      <c r="DY5990" s="165"/>
      <c r="DZ5990" s="165"/>
      <c r="EA5990" s="165"/>
      <c r="EB5990" s="165"/>
      <c r="EC5990" s="165"/>
      <c r="ED5990" s="165"/>
      <c r="EE5990" s="165"/>
      <c r="EF5990" s="165"/>
      <c r="EG5990" s="165"/>
      <c r="EH5990" s="165"/>
      <c r="EI5990" s="165"/>
      <c r="EJ5990" s="165"/>
      <c r="EK5990" s="165"/>
      <c r="EL5990" s="165"/>
      <c r="EM5990" s="165"/>
      <c r="EN5990" s="165"/>
      <c r="EO5990" s="165"/>
      <c r="EP5990" s="165"/>
      <c r="EQ5990" s="165"/>
      <c r="ER5990" s="165"/>
      <c r="ES5990" s="165"/>
    </row>
    <row r="5991" spans="1:149" s="451" customFormat="1" ht="15" hidden="1" customHeight="1">
      <c r="A5991" s="468">
        <v>45544</v>
      </c>
      <c r="B5991" s="208" t="s">
        <v>4927</v>
      </c>
      <c r="C5991" s="208" t="s">
        <v>269</v>
      </c>
      <c r="D5991" s="718">
        <v>-13500</v>
      </c>
      <c r="E5991" s="212">
        <v>45536</v>
      </c>
      <c r="F5991" s="208" t="s">
        <v>109</v>
      </c>
      <c r="G5991" s="201" t="s">
        <v>581</v>
      </c>
      <c r="H5991" s="208"/>
      <c r="I5991" s="208" t="s">
        <v>3364</v>
      </c>
      <c r="J5991" s="209"/>
      <c r="K5991" s="209"/>
      <c r="L5991" s="209"/>
      <c r="M5991" s="209"/>
      <c r="N5991" s="209"/>
      <c r="O5991" s="209"/>
      <c r="P5991" s="209"/>
      <c r="Q5991" s="209"/>
      <c r="R5991" s="209"/>
      <c r="S5991" s="209"/>
      <c r="T5991" s="209"/>
      <c r="U5991" s="165"/>
      <c r="V5991" s="165"/>
      <c r="W5991" s="165"/>
      <c r="X5991" s="165"/>
      <c r="Y5991" s="165"/>
      <c r="Z5991" s="165"/>
      <c r="AA5991" s="165"/>
      <c r="AB5991" s="165"/>
      <c r="AC5991" s="165"/>
      <c r="AD5991" s="165"/>
      <c r="AE5991" s="165"/>
      <c r="AF5991" s="165"/>
      <c r="AG5991" s="165"/>
      <c r="AH5991" s="165"/>
      <c r="AI5991" s="165"/>
      <c r="AJ5991" s="165"/>
      <c r="AK5991" s="165"/>
      <c r="AL5991" s="165"/>
      <c r="AM5991" s="165"/>
      <c r="AN5991" s="165"/>
      <c r="AO5991" s="165"/>
      <c r="AP5991" s="165"/>
      <c r="AQ5991" s="165"/>
      <c r="AR5991" s="165"/>
      <c r="AS5991" s="165"/>
      <c r="AT5991" s="165"/>
      <c r="AU5991" s="165"/>
      <c r="AV5991" s="165"/>
      <c r="AW5991" s="165"/>
      <c r="AX5991" s="165"/>
      <c r="AY5991" s="165"/>
      <c r="AZ5991" s="165"/>
      <c r="BA5991" s="165"/>
      <c r="BB5991" s="165"/>
      <c r="BC5991" s="165"/>
      <c r="BD5991" s="165"/>
      <c r="BE5991" s="165"/>
      <c r="BF5991" s="165"/>
      <c r="BG5991" s="165"/>
      <c r="BH5991" s="165"/>
      <c r="BI5991" s="165"/>
      <c r="BJ5991" s="165"/>
      <c r="BK5991" s="165"/>
      <c r="BL5991" s="165"/>
      <c r="BM5991" s="165"/>
      <c r="BN5991" s="165"/>
      <c r="BO5991" s="165"/>
      <c r="BP5991" s="165"/>
      <c r="BQ5991" s="165"/>
      <c r="BR5991" s="165"/>
      <c r="BS5991" s="165"/>
      <c r="BT5991" s="165"/>
      <c r="BU5991" s="165"/>
      <c r="BV5991" s="165"/>
      <c r="BW5991" s="165"/>
      <c r="BX5991" s="165"/>
      <c r="BY5991" s="165"/>
      <c r="BZ5991" s="165"/>
      <c r="CA5991" s="165"/>
      <c r="CB5991" s="165"/>
      <c r="CC5991" s="165"/>
      <c r="CD5991" s="165"/>
      <c r="CE5991" s="165"/>
      <c r="CF5991" s="165"/>
      <c r="CG5991" s="165"/>
      <c r="CH5991" s="165"/>
      <c r="CI5991" s="165"/>
      <c r="CJ5991" s="165"/>
      <c r="CK5991" s="165"/>
      <c r="CL5991" s="165"/>
      <c r="CM5991" s="165"/>
      <c r="CN5991" s="165"/>
      <c r="CO5991" s="165"/>
      <c r="CP5991" s="165"/>
      <c r="CQ5991" s="165"/>
      <c r="CR5991" s="165"/>
      <c r="CS5991" s="165"/>
      <c r="CT5991" s="165"/>
      <c r="CU5991" s="165"/>
      <c r="CV5991" s="165"/>
      <c r="CW5991" s="165"/>
      <c r="CX5991" s="165"/>
      <c r="CY5991" s="165"/>
      <c r="CZ5991" s="165"/>
      <c r="DA5991" s="165"/>
      <c r="DB5991" s="165"/>
      <c r="DC5991" s="165"/>
      <c r="DD5991" s="165"/>
      <c r="DE5991" s="165"/>
      <c r="DF5991" s="165"/>
      <c r="DG5991" s="165"/>
      <c r="DH5991" s="165"/>
      <c r="DI5991" s="165"/>
      <c r="DJ5991" s="165"/>
      <c r="DK5991" s="165"/>
      <c r="DL5991" s="165"/>
      <c r="DM5991" s="165"/>
      <c r="DN5991" s="165"/>
      <c r="DO5991" s="165"/>
      <c r="DP5991" s="165"/>
      <c r="DQ5991" s="165"/>
      <c r="DR5991" s="165"/>
      <c r="DS5991" s="165"/>
      <c r="DT5991" s="165"/>
      <c r="DU5991" s="165"/>
      <c r="DV5991" s="165"/>
      <c r="DW5991" s="165"/>
      <c r="DX5991" s="165"/>
      <c r="DY5991" s="165"/>
      <c r="DZ5991" s="165"/>
      <c r="EA5991" s="165"/>
      <c r="EB5991" s="165"/>
      <c r="EC5991" s="165"/>
      <c r="ED5991" s="165"/>
      <c r="EE5991" s="165"/>
      <c r="EF5991" s="165"/>
      <c r="EG5991" s="165"/>
      <c r="EH5991" s="165"/>
      <c r="EI5991" s="165"/>
      <c r="EJ5991" s="165"/>
      <c r="EK5991" s="165"/>
      <c r="EL5991" s="165"/>
      <c r="EM5991" s="165"/>
      <c r="EN5991" s="165"/>
      <c r="EO5991" s="165"/>
      <c r="EP5991" s="165"/>
      <c r="EQ5991" s="165"/>
      <c r="ER5991" s="165"/>
      <c r="ES5991" s="165"/>
    </row>
    <row r="5992" spans="1:149" s="451" customFormat="1" ht="15" hidden="1" customHeight="1">
      <c r="A5992" s="468">
        <v>45544</v>
      </c>
      <c r="B5992" s="208" t="s">
        <v>4887</v>
      </c>
      <c r="C5992" s="208" t="s">
        <v>146</v>
      </c>
      <c r="D5992" s="211">
        <v>-50000</v>
      </c>
      <c r="E5992" s="212">
        <v>45536</v>
      </c>
      <c r="F5992" s="208" t="s">
        <v>110</v>
      </c>
      <c r="G5992" s="208" t="s">
        <v>4399</v>
      </c>
      <c r="H5992" s="208" t="s">
        <v>147</v>
      </c>
      <c r="I5992" s="208" t="s">
        <v>3378</v>
      </c>
      <c r="J5992" s="209"/>
      <c r="K5992" s="209"/>
      <c r="L5992" s="209"/>
      <c r="M5992" s="209"/>
      <c r="N5992" s="209"/>
      <c r="O5992" s="209"/>
      <c r="P5992" s="209"/>
      <c r="Q5992" s="209"/>
      <c r="R5992" s="209"/>
      <c r="S5992" s="209"/>
      <c r="T5992" s="209"/>
      <c r="U5992" s="165"/>
      <c r="V5992" s="165"/>
      <c r="W5992" s="165"/>
      <c r="X5992" s="165"/>
      <c r="Y5992" s="165"/>
      <c r="Z5992" s="165"/>
      <c r="AA5992" s="165"/>
      <c r="AB5992" s="165"/>
      <c r="AC5992" s="165"/>
      <c r="AD5992" s="165"/>
      <c r="AE5992" s="165"/>
      <c r="AF5992" s="165"/>
      <c r="AG5992" s="165"/>
      <c r="AH5992" s="165"/>
      <c r="AI5992" s="165"/>
      <c r="AJ5992" s="165"/>
      <c r="AK5992" s="165"/>
      <c r="AL5992" s="165"/>
      <c r="AM5992" s="165"/>
      <c r="AN5992" s="165"/>
      <c r="AO5992" s="165"/>
      <c r="AP5992" s="165"/>
      <c r="AQ5992" s="165"/>
      <c r="AR5992" s="165"/>
      <c r="AS5992" s="165"/>
      <c r="AT5992" s="165"/>
      <c r="AU5992" s="165"/>
      <c r="AV5992" s="165"/>
      <c r="AW5992" s="165"/>
      <c r="AX5992" s="165"/>
      <c r="AY5992" s="165"/>
      <c r="AZ5992" s="165"/>
      <c r="BA5992" s="165"/>
      <c r="BB5992" s="165"/>
      <c r="BC5992" s="165"/>
      <c r="BD5992" s="165"/>
      <c r="BE5992" s="165"/>
      <c r="BF5992" s="165"/>
      <c r="BG5992" s="165"/>
      <c r="BH5992" s="165"/>
      <c r="BI5992" s="165"/>
      <c r="BJ5992" s="165"/>
      <c r="BK5992" s="165"/>
      <c r="BL5992" s="165"/>
      <c r="BM5992" s="165"/>
      <c r="BN5992" s="165"/>
      <c r="BO5992" s="165"/>
      <c r="BP5992" s="165"/>
      <c r="BQ5992" s="165"/>
      <c r="BR5992" s="165"/>
      <c r="BS5992" s="165"/>
      <c r="BT5992" s="165"/>
      <c r="BU5992" s="165"/>
      <c r="BV5992" s="165"/>
      <c r="BW5992" s="165"/>
      <c r="BX5992" s="165"/>
      <c r="BY5992" s="165"/>
      <c r="BZ5992" s="165"/>
      <c r="CA5992" s="165"/>
      <c r="CB5992" s="165"/>
      <c r="CC5992" s="165"/>
      <c r="CD5992" s="165"/>
      <c r="CE5992" s="165"/>
      <c r="CF5992" s="165"/>
      <c r="CG5992" s="165"/>
      <c r="CH5992" s="165"/>
      <c r="CI5992" s="165"/>
      <c r="CJ5992" s="165"/>
      <c r="CK5992" s="165"/>
      <c r="CL5992" s="165"/>
      <c r="CM5992" s="165"/>
      <c r="CN5992" s="165"/>
      <c r="CO5992" s="165"/>
      <c r="CP5992" s="165"/>
      <c r="CQ5992" s="165"/>
      <c r="CR5992" s="165"/>
      <c r="CS5992" s="165"/>
      <c r="CT5992" s="165"/>
      <c r="CU5992" s="165"/>
      <c r="CV5992" s="165"/>
      <c r="CW5992" s="165"/>
      <c r="CX5992" s="165"/>
      <c r="CY5992" s="165"/>
      <c r="CZ5992" s="165"/>
      <c r="DA5992" s="165"/>
      <c r="DB5992" s="165"/>
      <c r="DC5992" s="165"/>
      <c r="DD5992" s="165"/>
      <c r="DE5992" s="165"/>
      <c r="DF5992" s="165"/>
      <c r="DG5992" s="165"/>
      <c r="DH5992" s="165"/>
      <c r="DI5992" s="165"/>
      <c r="DJ5992" s="165"/>
      <c r="DK5992" s="165"/>
      <c r="DL5992" s="165"/>
      <c r="DM5992" s="165"/>
      <c r="DN5992" s="165"/>
      <c r="DO5992" s="165"/>
      <c r="DP5992" s="165"/>
      <c r="DQ5992" s="165"/>
      <c r="DR5992" s="165"/>
      <c r="DS5992" s="165"/>
      <c r="DT5992" s="165"/>
      <c r="DU5992" s="165"/>
      <c r="DV5992" s="165"/>
      <c r="DW5992" s="165"/>
      <c r="DX5992" s="165"/>
      <c r="DY5992" s="165"/>
      <c r="DZ5992" s="165"/>
      <c r="EA5992" s="165"/>
      <c r="EB5992" s="165"/>
      <c r="EC5992" s="165"/>
      <c r="ED5992" s="165"/>
      <c r="EE5992" s="165"/>
      <c r="EF5992" s="165"/>
      <c r="EG5992" s="165"/>
      <c r="EH5992" s="165"/>
      <c r="EI5992" s="165"/>
      <c r="EJ5992" s="165"/>
      <c r="EK5992" s="165"/>
      <c r="EL5992" s="165"/>
      <c r="EM5992" s="165"/>
      <c r="EN5992" s="165"/>
      <c r="EO5992" s="165"/>
      <c r="EP5992" s="165"/>
      <c r="EQ5992" s="165"/>
      <c r="ER5992" s="165"/>
      <c r="ES5992" s="165"/>
    </row>
    <row r="5993" spans="1:149" s="451" customFormat="1" ht="15" hidden="1" customHeight="1">
      <c r="A5993" s="468">
        <v>45545</v>
      </c>
      <c r="B5993" s="208" t="s">
        <v>4928</v>
      </c>
      <c r="C5993" s="208" t="s">
        <v>269</v>
      </c>
      <c r="D5993" s="211">
        <v>-3400</v>
      </c>
      <c r="E5993" s="212">
        <v>45536</v>
      </c>
      <c r="F5993" s="208" t="s">
        <v>130</v>
      </c>
      <c r="G5993" s="208" t="s">
        <v>257</v>
      </c>
      <c r="H5993" s="208" t="s">
        <v>138</v>
      </c>
      <c r="I5993" s="208"/>
      <c r="J5993" s="209"/>
      <c r="K5993" s="209"/>
      <c r="L5993" s="209"/>
      <c r="M5993" s="209"/>
      <c r="N5993" s="209"/>
      <c r="O5993" s="209"/>
      <c r="P5993" s="209"/>
      <c r="Q5993" s="209"/>
      <c r="R5993" s="209"/>
      <c r="S5993" s="209"/>
      <c r="T5993" s="209"/>
      <c r="U5993" s="454"/>
      <c r="V5993" s="454"/>
      <c r="W5993" s="454"/>
      <c r="X5993" s="454"/>
      <c r="Y5993" s="454"/>
      <c r="Z5993" s="454"/>
      <c r="AA5993" s="454"/>
      <c r="AB5993" s="454"/>
      <c r="AC5993" s="454"/>
      <c r="AD5993" s="454"/>
      <c r="AE5993" s="454"/>
      <c r="AF5993" s="454"/>
      <c r="AG5993" s="454"/>
      <c r="AH5993" s="454"/>
      <c r="AI5993" s="454"/>
      <c r="AJ5993" s="454"/>
      <c r="AK5993" s="454"/>
      <c r="AL5993" s="454"/>
      <c r="AM5993" s="454"/>
      <c r="AN5993" s="454"/>
      <c r="AO5993" s="454"/>
      <c r="AP5993" s="454"/>
      <c r="AQ5993" s="454"/>
      <c r="AR5993" s="454"/>
      <c r="AS5993" s="454"/>
      <c r="AT5993" s="454"/>
      <c r="AU5993" s="454"/>
      <c r="AV5993" s="454"/>
      <c r="AW5993" s="454"/>
      <c r="AX5993" s="454"/>
      <c r="AY5993" s="454"/>
      <c r="AZ5993" s="454"/>
      <c r="BA5993" s="454"/>
      <c r="BB5993" s="454"/>
      <c r="BC5993" s="454"/>
      <c r="BD5993" s="454"/>
      <c r="BE5993" s="454"/>
      <c r="BF5993" s="454"/>
      <c r="BG5993" s="454"/>
      <c r="BH5993" s="454"/>
      <c r="BI5993" s="454"/>
      <c r="BJ5993" s="454"/>
      <c r="BK5993" s="454"/>
      <c r="BL5993" s="454"/>
      <c r="BM5993" s="454"/>
      <c r="BN5993" s="454"/>
      <c r="BO5993" s="454"/>
      <c r="BP5993" s="454"/>
      <c r="BQ5993" s="454"/>
      <c r="BR5993" s="454"/>
      <c r="BS5993" s="454"/>
      <c r="BT5993" s="454"/>
      <c r="BU5993" s="454"/>
      <c r="BV5993" s="454"/>
      <c r="BW5993" s="454"/>
      <c r="BX5993" s="454"/>
      <c r="BY5993" s="454"/>
      <c r="BZ5993" s="454"/>
      <c r="CA5993" s="454"/>
      <c r="CB5993" s="454"/>
      <c r="CC5993" s="454"/>
      <c r="CD5993" s="454"/>
      <c r="CE5993" s="454"/>
      <c r="CF5993" s="454"/>
      <c r="CG5993" s="454"/>
      <c r="CH5993" s="454"/>
      <c r="CI5993" s="454"/>
      <c r="CJ5993" s="454"/>
      <c r="CK5993" s="454"/>
      <c r="CL5993" s="454"/>
      <c r="CM5993" s="454"/>
      <c r="CN5993" s="454"/>
      <c r="CO5993" s="454"/>
      <c r="CP5993" s="454"/>
      <c r="CQ5993" s="454"/>
      <c r="CR5993" s="454"/>
      <c r="CS5993" s="454"/>
      <c r="CT5993" s="454"/>
      <c r="CU5993" s="454"/>
      <c r="CV5993" s="454"/>
      <c r="CW5993" s="454"/>
      <c r="CX5993" s="454"/>
      <c r="CY5993" s="454"/>
      <c r="CZ5993" s="454"/>
      <c r="DA5993" s="454"/>
      <c r="DB5993" s="454"/>
      <c r="DC5993" s="454"/>
      <c r="DD5993" s="454"/>
      <c r="DE5993" s="454"/>
      <c r="DF5993" s="454"/>
      <c r="DG5993" s="454"/>
      <c r="DH5993" s="454"/>
      <c r="DI5993" s="454"/>
      <c r="DJ5993" s="454"/>
      <c r="DK5993" s="454"/>
      <c r="DL5993" s="454"/>
      <c r="DM5993" s="454"/>
      <c r="DN5993" s="454"/>
      <c r="DO5993" s="454"/>
      <c r="DP5993" s="454"/>
      <c r="DQ5993" s="454"/>
      <c r="DR5993" s="454"/>
      <c r="DS5993" s="454"/>
      <c r="DT5993" s="454"/>
      <c r="DU5993" s="454"/>
      <c r="DV5993" s="454"/>
      <c r="DW5993" s="454"/>
      <c r="DX5993" s="454"/>
      <c r="DY5993" s="454"/>
      <c r="DZ5993" s="454"/>
      <c r="EA5993" s="454"/>
      <c r="EB5993" s="454"/>
      <c r="EC5993" s="454"/>
      <c r="ED5993" s="454"/>
      <c r="EE5993" s="454"/>
      <c r="EF5993" s="454"/>
      <c r="EG5993" s="454"/>
      <c r="EH5993" s="454"/>
      <c r="EI5993" s="454"/>
      <c r="EJ5993" s="454"/>
      <c r="EK5993" s="454"/>
      <c r="EL5993" s="454"/>
      <c r="EM5993" s="454"/>
      <c r="EN5993" s="454"/>
      <c r="EO5993" s="454"/>
      <c r="EP5993" s="454"/>
      <c r="EQ5993" s="454"/>
      <c r="ER5993" s="454"/>
      <c r="ES5993" s="454"/>
    </row>
    <row r="5994" spans="1:149" s="451" customFormat="1" ht="15" hidden="1" customHeight="1">
      <c r="A5994" s="468">
        <v>45545</v>
      </c>
      <c r="B5994" s="208" t="s">
        <v>4929</v>
      </c>
      <c r="C5994" s="208" t="s">
        <v>269</v>
      </c>
      <c r="D5994" s="211">
        <v>-186600</v>
      </c>
      <c r="E5994" s="212">
        <v>45536</v>
      </c>
      <c r="F5994" s="208" t="s">
        <v>130</v>
      </c>
      <c r="G5994" s="208" t="s">
        <v>130</v>
      </c>
      <c r="H5994" s="208" t="s">
        <v>2444</v>
      </c>
      <c r="I5994" s="208"/>
      <c r="J5994" s="209"/>
      <c r="K5994" s="209"/>
      <c r="L5994" s="209"/>
      <c r="M5994" s="209"/>
      <c r="N5994" s="209"/>
      <c r="O5994" s="209"/>
      <c r="P5994" s="209"/>
      <c r="Q5994" s="209"/>
      <c r="R5994" s="209"/>
      <c r="S5994" s="209"/>
      <c r="T5994" s="209"/>
      <c r="U5994" s="165"/>
      <c r="V5994" s="165"/>
      <c r="W5994" s="165"/>
      <c r="X5994" s="165"/>
      <c r="Y5994" s="165"/>
      <c r="Z5994" s="165"/>
      <c r="AA5994" s="165"/>
      <c r="AB5994" s="165"/>
      <c r="AC5994" s="165"/>
      <c r="AD5994" s="165"/>
      <c r="AE5994" s="165"/>
      <c r="AF5994" s="165"/>
      <c r="AG5994" s="165"/>
      <c r="AH5994" s="165"/>
      <c r="AI5994" s="165"/>
      <c r="AJ5994" s="165"/>
      <c r="AK5994" s="165"/>
      <c r="AL5994" s="165"/>
      <c r="AM5994" s="165"/>
      <c r="AN5994" s="165"/>
      <c r="AO5994" s="165"/>
      <c r="AP5994" s="165"/>
      <c r="AQ5994" s="165"/>
      <c r="AR5994" s="165"/>
      <c r="AS5994" s="165"/>
      <c r="AT5994" s="165"/>
      <c r="AU5994" s="165"/>
      <c r="AV5994" s="165"/>
      <c r="AW5994" s="165"/>
      <c r="AX5994" s="165"/>
      <c r="AY5994" s="165"/>
      <c r="AZ5994" s="165"/>
      <c r="BA5994" s="165"/>
      <c r="BB5994" s="165"/>
      <c r="BC5994" s="165"/>
      <c r="BD5994" s="165"/>
      <c r="BE5994" s="165"/>
      <c r="BF5994" s="165"/>
      <c r="BG5994" s="165"/>
      <c r="BH5994" s="165"/>
      <c r="BI5994" s="165"/>
      <c r="BJ5994" s="165"/>
      <c r="BK5994" s="165"/>
      <c r="BL5994" s="165"/>
      <c r="BM5994" s="165"/>
      <c r="BN5994" s="165"/>
      <c r="BO5994" s="165"/>
      <c r="BP5994" s="165"/>
      <c r="BQ5994" s="165"/>
      <c r="BR5994" s="165"/>
      <c r="BS5994" s="165"/>
      <c r="BT5994" s="165"/>
      <c r="BU5994" s="165"/>
      <c r="BV5994" s="165"/>
      <c r="BW5994" s="165"/>
      <c r="BX5994" s="165"/>
      <c r="BY5994" s="165"/>
      <c r="BZ5994" s="165"/>
      <c r="CA5994" s="165"/>
      <c r="CB5994" s="165"/>
      <c r="CC5994" s="165"/>
      <c r="CD5994" s="165"/>
      <c r="CE5994" s="165"/>
      <c r="CF5994" s="165"/>
      <c r="CG5994" s="165"/>
      <c r="CH5994" s="165"/>
      <c r="CI5994" s="165"/>
      <c r="CJ5994" s="165"/>
      <c r="CK5994" s="165"/>
      <c r="CL5994" s="165"/>
      <c r="CM5994" s="165"/>
      <c r="CN5994" s="165"/>
      <c r="CO5994" s="165"/>
      <c r="CP5994" s="165"/>
      <c r="CQ5994" s="165"/>
      <c r="CR5994" s="165"/>
      <c r="CS5994" s="165"/>
      <c r="CT5994" s="165"/>
      <c r="CU5994" s="165"/>
      <c r="CV5994" s="165"/>
      <c r="CW5994" s="165"/>
      <c r="CX5994" s="165"/>
      <c r="CY5994" s="165"/>
      <c r="CZ5994" s="165"/>
      <c r="DA5994" s="165"/>
      <c r="DB5994" s="165"/>
      <c r="DC5994" s="165"/>
      <c r="DD5994" s="165"/>
      <c r="DE5994" s="165"/>
      <c r="DF5994" s="165"/>
      <c r="DG5994" s="165"/>
      <c r="DH5994" s="165"/>
      <c r="DI5994" s="165"/>
      <c r="DJ5994" s="165"/>
      <c r="DK5994" s="165"/>
      <c r="DL5994" s="165"/>
      <c r="DM5994" s="165"/>
      <c r="DN5994" s="165"/>
      <c r="DO5994" s="165"/>
      <c r="DP5994" s="165"/>
      <c r="DQ5994" s="165"/>
      <c r="DR5994" s="165"/>
      <c r="DS5994" s="165"/>
      <c r="DT5994" s="165"/>
      <c r="DU5994" s="165"/>
      <c r="DV5994" s="165"/>
      <c r="DW5994" s="165"/>
      <c r="DX5994" s="165"/>
      <c r="DY5994" s="165"/>
      <c r="DZ5994" s="165"/>
      <c r="EA5994" s="165"/>
      <c r="EB5994" s="165"/>
      <c r="EC5994" s="165"/>
      <c r="ED5994" s="165"/>
      <c r="EE5994" s="165"/>
      <c r="EF5994" s="165"/>
      <c r="EG5994" s="165"/>
      <c r="EH5994" s="165"/>
      <c r="EI5994" s="165"/>
      <c r="EJ5994" s="165"/>
      <c r="EK5994" s="165"/>
      <c r="EL5994" s="165"/>
      <c r="EM5994" s="165"/>
      <c r="EN5994" s="165"/>
      <c r="EO5994" s="165"/>
      <c r="EP5994" s="165"/>
      <c r="EQ5994" s="165"/>
      <c r="ER5994" s="165"/>
      <c r="ES5994" s="165"/>
    </row>
    <row r="5995" spans="1:149" s="451" customFormat="1" ht="15" hidden="1" customHeight="1">
      <c r="A5995" s="468">
        <v>45545</v>
      </c>
      <c r="B5995" s="208" t="s">
        <v>4930</v>
      </c>
      <c r="C5995" s="208" t="s">
        <v>269</v>
      </c>
      <c r="D5995" s="211">
        <v>-32000</v>
      </c>
      <c r="E5995" s="212">
        <v>45536</v>
      </c>
      <c r="F5995" s="208" t="s">
        <v>130</v>
      </c>
      <c r="G5995" s="208" t="s">
        <v>130</v>
      </c>
      <c r="H5995" s="208" t="s">
        <v>2444</v>
      </c>
      <c r="I5995" s="208" t="s">
        <v>173</v>
      </c>
      <c r="J5995" s="209"/>
      <c r="K5995" s="209"/>
      <c r="L5995" s="209"/>
      <c r="M5995" s="209"/>
      <c r="N5995" s="209"/>
      <c r="O5995" s="209"/>
      <c r="P5995" s="209"/>
      <c r="Q5995" s="209"/>
      <c r="R5995" s="209"/>
      <c r="S5995" s="209"/>
      <c r="T5995" s="209"/>
      <c r="U5995" s="165"/>
      <c r="V5995" s="165"/>
      <c r="W5995" s="165"/>
      <c r="X5995" s="165"/>
      <c r="Y5995" s="165"/>
      <c r="Z5995" s="165"/>
      <c r="AA5995" s="165"/>
      <c r="AB5995" s="165"/>
      <c r="AC5995" s="165"/>
      <c r="AD5995" s="165"/>
      <c r="AE5995" s="165"/>
      <c r="AF5995" s="165"/>
      <c r="AG5995" s="165"/>
      <c r="AH5995" s="165"/>
      <c r="AI5995" s="165"/>
      <c r="AJ5995" s="165"/>
      <c r="AK5995" s="165"/>
      <c r="AL5995" s="165"/>
      <c r="AM5995" s="165"/>
      <c r="AN5995" s="165"/>
      <c r="AO5995" s="165"/>
      <c r="AP5995" s="165"/>
      <c r="AQ5995" s="165"/>
      <c r="AR5995" s="165"/>
      <c r="AS5995" s="165"/>
      <c r="AT5995" s="165"/>
      <c r="AU5995" s="165"/>
      <c r="AV5995" s="165"/>
      <c r="AW5995" s="165"/>
      <c r="AX5995" s="165"/>
      <c r="AY5995" s="165"/>
      <c r="AZ5995" s="165"/>
      <c r="BA5995" s="165"/>
      <c r="BB5995" s="165"/>
      <c r="BC5995" s="165"/>
      <c r="BD5995" s="165"/>
      <c r="BE5995" s="165"/>
      <c r="BF5995" s="165"/>
      <c r="BG5995" s="165"/>
      <c r="BH5995" s="165"/>
      <c r="BI5995" s="165"/>
      <c r="BJ5995" s="165"/>
      <c r="BK5995" s="165"/>
      <c r="BL5995" s="165"/>
      <c r="BM5995" s="165"/>
      <c r="BN5995" s="165"/>
      <c r="BO5995" s="165"/>
      <c r="BP5995" s="165"/>
      <c r="BQ5995" s="165"/>
      <c r="BR5995" s="165"/>
      <c r="BS5995" s="165"/>
      <c r="BT5995" s="165"/>
      <c r="BU5995" s="165"/>
      <c r="BV5995" s="165"/>
      <c r="BW5995" s="165"/>
      <c r="BX5995" s="165"/>
      <c r="BY5995" s="165"/>
      <c r="BZ5995" s="165"/>
      <c r="CA5995" s="165"/>
      <c r="CB5995" s="165"/>
      <c r="CC5995" s="165"/>
      <c r="CD5995" s="165"/>
      <c r="CE5995" s="165"/>
      <c r="CF5995" s="165"/>
      <c r="CG5995" s="165"/>
      <c r="CH5995" s="165"/>
      <c r="CI5995" s="165"/>
      <c r="CJ5995" s="165"/>
      <c r="CK5995" s="165"/>
      <c r="CL5995" s="165"/>
      <c r="CM5995" s="165"/>
      <c r="CN5995" s="165"/>
      <c r="CO5995" s="165"/>
      <c r="CP5995" s="165"/>
      <c r="CQ5995" s="165"/>
      <c r="CR5995" s="165"/>
      <c r="CS5995" s="165"/>
      <c r="CT5995" s="165"/>
      <c r="CU5995" s="165"/>
      <c r="CV5995" s="165"/>
      <c r="CW5995" s="165"/>
      <c r="CX5995" s="165"/>
      <c r="CY5995" s="165"/>
      <c r="CZ5995" s="165"/>
      <c r="DA5995" s="165"/>
      <c r="DB5995" s="165"/>
      <c r="DC5995" s="165"/>
      <c r="DD5995" s="165"/>
      <c r="DE5995" s="165"/>
      <c r="DF5995" s="165"/>
      <c r="DG5995" s="165"/>
      <c r="DH5995" s="165"/>
      <c r="DI5995" s="165"/>
      <c r="DJ5995" s="165"/>
      <c r="DK5995" s="165"/>
      <c r="DL5995" s="165"/>
      <c r="DM5995" s="165"/>
      <c r="DN5995" s="165"/>
      <c r="DO5995" s="165"/>
      <c r="DP5995" s="165"/>
      <c r="DQ5995" s="165"/>
      <c r="DR5995" s="165"/>
      <c r="DS5995" s="165"/>
      <c r="DT5995" s="165"/>
      <c r="DU5995" s="165"/>
      <c r="DV5995" s="165"/>
      <c r="DW5995" s="165"/>
      <c r="DX5995" s="165"/>
      <c r="DY5995" s="165"/>
      <c r="DZ5995" s="165"/>
      <c r="EA5995" s="165"/>
      <c r="EB5995" s="165"/>
      <c r="EC5995" s="165"/>
      <c r="ED5995" s="165"/>
      <c r="EE5995" s="165"/>
      <c r="EF5995" s="165"/>
      <c r="EG5995" s="165"/>
      <c r="EH5995" s="165"/>
      <c r="EI5995" s="165"/>
      <c r="EJ5995" s="165"/>
      <c r="EK5995" s="165"/>
      <c r="EL5995" s="165"/>
      <c r="EM5995" s="165"/>
      <c r="EN5995" s="165"/>
      <c r="EO5995" s="165"/>
      <c r="EP5995" s="165"/>
      <c r="EQ5995" s="165"/>
      <c r="ER5995" s="165"/>
      <c r="ES5995" s="165"/>
    </row>
    <row r="5996" spans="1:149" s="451" customFormat="1" ht="15" hidden="1" customHeight="1">
      <c r="A5996" s="468">
        <v>45545</v>
      </c>
      <c r="B5996" s="208" t="s">
        <v>4931</v>
      </c>
      <c r="C5996" s="208" t="s">
        <v>269</v>
      </c>
      <c r="D5996" s="211">
        <v>-75200</v>
      </c>
      <c r="E5996" s="212">
        <v>45536</v>
      </c>
      <c r="F5996" s="208" t="s">
        <v>130</v>
      </c>
      <c r="G5996" s="208" t="s">
        <v>130</v>
      </c>
      <c r="H5996" s="208" t="s">
        <v>2444</v>
      </c>
      <c r="I5996" s="208" t="s">
        <v>173</v>
      </c>
      <c r="J5996" s="209"/>
      <c r="K5996" s="209"/>
      <c r="L5996" s="209"/>
      <c r="M5996" s="209"/>
      <c r="N5996" s="209"/>
      <c r="O5996" s="209"/>
      <c r="P5996" s="209"/>
      <c r="Q5996" s="209"/>
      <c r="R5996" s="209"/>
      <c r="S5996" s="209"/>
      <c r="T5996" s="209"/>
      <c r="U5996" s="165"/>
      <c r="V5996" s="165"/>
      <c r="W5996" s="165"/>
      <c r="X5996" s="165"/>
      <c r="Y5996" s="165"/>
      <c r="Z5996" s="165"/>
      <c r="AA5996" s="165"/>
      <c r="AB5996" s="165"/>
      <c r="AC5996" s="165"/>
      <c r="AD5996" s="165"/>
      <c r="AE5996" s="165"/>
      <c r="AF5996" s="165"/>
      <c r="AG5996" s="165"/>
      <c r="AH5996" s="165"/>
      <c r="AI5996" s="165"/>
      <c r="AJ5996" s="165"/>
      <c r="AK5996" s="165"/>
      <c r="AL5996" s="165"/>
      <c r="AM5996" s="165"/>
      <c r="AN5996" s="165"/>
      <c r="AO5996" s="165"/>
      <c r="AP5996" s="165"/>
      <c r="AQ5996" s="165"/>
      <c r="AR5996" s="165"/>
      <c r="AS5996" s="165"/>
      <c r="AT5996" s="165"/>
      <c r="AU5996" s="165"/>
      <c r="AV5996" s="165"/>
      <c r="AW5996" s="165"/>
      <c r="AX5996" s="165"/>
      <c r="AY5996" s="165"/>
      <c r="AZ5996" s="165"/>
      <c r="BA5996" s="165"/>
      <c r="BB5996" s="165"/>
      <c r="BC5996" s="165"/>
      <c r="BD5996" s="165"/>
      <c r="BE5996" s="165"/>
      <c r="BF5996" s="165"/>
      <c r="BG5996" s="165"/>
      <c r="BH5996" s="165"/>
      <c r="BI5996" s="165"/>
      <c r="BJ5996" s="165"/>
      <c r="BK5996" s="165"/>
      <c r="BL5996" s="165"/>
      <c r="BM5996" s="165"/>
      <c r="BN5996" s="165"/>
      <c r="BO5996" s="165"/>
      <c r="BP5996" s="165"/>
      <c r="BQ5996" s="165"/>
      <c r="BR5996" s="165"/>
      <c r="BS5996" s="165"/>
      <c r="BT5996" s="165"/>
      <c r="BU5996" s="165"/>
      <c r="BV5996" s="165"/>
      <c r="BW5996" s="165"/>
      <c r="BX5996" s="165"/>
      <c r="BY5996" s="165"/>
      <c r="BZ5996" s="165"/>
      <c r="CA5996" s="165"/>
      <c r="CB5996" s="165"/>
      <c r="CC5996" s="165"/>
      <c r="CD5996" s="165"/>
      <c r="CE5996" s="165"/>
      <c r="CF5996" s="165"/>
      <c r="CG5996" s="165"/>
      <c r="CH5996" s="165"/>
      <c r="CI5996" s="165"/>
      <c r="CJ5996" s="165"/>
      <c r="CK5996" s="165"/>
      <c r="CL5996" s="165"/>
      <c r="CM5996" s="165"/>
      <c r="CN5996" s="165"/>
      <c r="CO5996" s="165"/>
      <c r="CP5996" s="165"/>
      <c r="CQ5996" s="165"/>
      <c r="CR5996" s="165"/>
      <c r="CS5996" s="165"/>
      <c r="CT5996" s="165"/>
      <c r="CU5996" s="165"/>
      <c r="CV5996" s="165"/>
      <c r="CW5996" s="165"/>
      <c r="CX5996" s="165"/>
      <c r="CY5996" s="165"/>
      <c r="CZ5996" s="165"/>
      <c r="DA5996" s="165"/>
      <c r="DB5996" s="165"/>
      <c r="DC5996" s="165"/>
      <c r="DD5996" s="165"/>
      <c r="DE5996" s="165"/>
      <c r="DF5996" s="165"/>
      <c r="DG5996" s="165"/>
      <c r="DH5996" s="165"/>
      <c r="DI5996" s="165"/>
      <c r="DJ5996" s="165"/>
      <c r="DK5996" s="165"/>
      <c r="DL5996" s="165"/>
      <c r="DM5996" s="165"/>
      <c r="DN5996" s="165"/>
      <c r="DO5996" s="165"/>
      <c r="DP5996" s="165"/>
      <c r="DQ5996" s="165"/>
      <c r="DR5996" s="165"/>
      <c r="DS5996" s="165"/>
      <c r="DT5996" s="165"/>
      <c r="DU5996" s="165"/>
      <c r="DV5996" s="165"/>
      <c r="DW5996" s="165"/>
      <c r="DX5996" s="165"/>
      <c r="DY5996" s="165"/>
      <c r="DZ5996" s="165"/>
      <c r="EA5996" s="165"/>
      <c r="EB5996" s="165"/>
      <c r="EC5996" s="165"/>
      <c r="ED5996" s="165"/>
      <c r="EE5996" s="165"/>
      <c r="EF5996" s="165"/>
      <c r="EG5996" s="165"/>
      <c r="EH5996" s="165"/>
      <c r="EI5996" s="165"/>
      <c r="EJ5996" s="165"/>
      <c r="EK5996" s="165"/>
      <c r="EL5996" s="165"/>
      <c r="EM5996" s="165"/>
      <c r="EN5996" s="165"/>
      <c r="EO5996" s="165"/>
      <c r="EP5996" s="165"/>
      <c r="EQ5996" s="165"/>
      <c r="ER5996" s="165"/>
      <c r="ES5996" s="165"/>
    </row>
    <row r="5997" spans="1:149" s="451" customFormat="1" ht="15" hidden="1" customHeight="1">
      <c r="A5997" s="468">
        <v>45545</v>
      </c>
      <c r="B5997" s="208" t="s">
        <v>4932</v>
      </c>
      <c r="C5997" s="208" t="s">
        <v>269</v>
      </c>
      <c r="D5997" s="211">
        <v>-4500</v>
      </c>
      <c r="E5997" s="212">
        <v>45536</v>
      </c>
      <c r="F5997" s="208" t="s">
        <v>109</v>
      </c>
      <c r="G5997" s="208" t="s">
        <v>3529</v>
      </c>
      <c r="H5997" s="208" t="s">
        <v>175</v>
      </c>
      <c r="I5997" s="208" t="s">
        <v>173</v>
      </c>
      <c r="J5997" s="209"/>
      <c r="K5997" s="209"/>
      <c r="L5997" s="209"/>
      <c r="M5997" s="209"/>
      <c r="N5997" s="209"/>
      <c r="O5997" s="209"/>
      <c r="P5997" s="209"/>
      <c r="Q5997" s="209"/>
      <c r="R5997" s="209"/>
      <c r="S5997" s="209"/>
      <c r="T5997" s="209"/>
      <c r="U5997" s="165"/>
      <c r="V5997" s="165"/>
      <c r="W5997" s="165"/>
      <c r="X5997" s="165"/>
      <c r="Y5997" s="165"/>
      <c r="Z5997" s="165"/>
      <c r="AA5997" s="165"/>
      <c r="AB5997" s="165"/>
      <c r="AC5997" s="165"/>
      <c r="AD5997" s="165"/>
      <c r="AE5997" s="165"/>
      <c r="AF5997" s="165"/>
      <c r="AG5997" s="165"/>
      <c r="AH5997" s="165"/>
      <c r="AI5997" s="165"/>
      <c r="AJ5997" s="165"/>
      <c r="AK5997" s="165"/>
      <c r="AL5997" s="165"/>
      <c r="AM5997" s="165"/>
      <c r="AN5997" s="165"/>
      <c r="AO5997" s="165"/>
      <c r="AP5997" s="165"/>
      <c r="AQ5997" s="165"/>
      <c r="AR5997" s="165"/>
      <c r="AS5997" s="165"/>
      <c r="AT5997" s="165"/>
      <c r="AU5997" s="165"/>
      <c r="AV5997" s="165"/>
      <c r="AW5997" s="165"/>
      <c r="AX5997" s="165"/>
      <c r="AY5997" s="165"/>
      <c r="AZ5997" s="165"/>
      <c r="BA5997" s="165"/>
      <c r="BB5997" s="165"/>
      <c r="BC5997" s="165"/>
      <c r="BD5997" s="165"/>
      <c r="BE5997" s="165"/>
      <c r="BF5997" s="165"/>
      <c r="BG5997" s="165"/>
      <c r="BH5997" s="165"/>
      <c r="BI5997" s="165"/>
      <c r="BJ5997" s="165"/>
      <c r="BK5997" s="165"/>
      <c r="BL5997" s="165"/>
      <c r="BM5997" s="165"/>
      <c r="BN5997" s="165"/>
      <c r="BO5997" s="165"/>
      <c r="BP5997" s="165"/>
      <c r="BQ5997" s="165"/>
      <c r="BR5997" s="165"/>
      <c r="BS5997" s="165"/>
      <c r="BT5997" s="165"/>
      <c r="BU5997" s="165"/>
      <c r="BV5997" s="165"/>
      <c r="BW5997" s="165"/>
      <c r="BX5997" s="165"/>
      <c r="BY5997" s="165"/>
      <c r="BZ5997" s="165"/>
      <c r="CA5997" s="165"/>
      <c r="CB5997" s="165"/>
      <c r="CC5997" s="165"/>
      <c r="CD5997" s="165"/>
      <c r="CE5997" s="165"/>
      <c r="CF5997" s="165"/>
      <c r="CG5997" s="165"/>
      <c r="CH5997" s="165"/>
      <c r="CI5997" s="165"/>
      <c r="CJ5997" s="165"/>
      <c r="CK5997" s="165"/>
      <c r="CL5997" s="165"/>
      <c r="CM5997" s="165"/>
      <c r="CN5997" s="165"/>
      <c r="CO5997" s="165"/>
      <c r="CP5997" s="165"/>
      <c r="CQ5997" s="165"/>
      <c r="CR5997" s="165"/>
      <c r="CS5997" s="165"/>
      <c r="CT5997" s="165"/>
      <c r="CU5997" s="165"/>
      <c r="CV5997" s="165"/>
      <c r="CW5997" s="165"/>
      <c r="CX5997" s="165"/>
      <c r="CY5997" s="165"/>
      <c r="CZ5997" s="165"/>
      <c r="DA5997" s="165"/>
      <c r="DB5997" s="165"/>
      <c r="DC5997" s="165"/>
      <c r="DD5997" s="165"/>
      <c r="DE5997" s="165"/>
      <c r="DF5997" s="165"/>
      <c r="DG5997" s="165"/>
      <c r="DH5997" s="165"/>
      <c r="DI5997" s="165"/>
      <c r="DJ5997" s="165"/>
      <c r="DK5997" s="165"/>
      <c r="DL5997" s="165"/>
      <c r="DM5997" s="165"/>
      <c r="DN5997" s="165"/>
      <c r="DO5997" s="165"/>
      <c r="DP5997" s="165"/>
      <c r="DQ5997" s="165"/>
      <c r="DR5997" s="165"/>
      <c r="DS5997" s="165"/>
      <c r="DT5997" s="165"/>
      <c r="DU5997" s="165"/>
      <c r="DV5997" s="165"/>
      <c r="DW5997" s="165"/>
      <c r="DX5997" s="165"/>
      <c r="DY5997" s="165"/>
      <c r="DZ5997" s="165"/>
      <c r="EA5997" s="165"/>
      <c r="EB5997" s="165"/>
      <c r="EC5997" s="165"/>
      <c r="ED5997" s="165"/>
      <c r="EE5997" s="165"/>
      <c r="EF5997" s="165"/>
      <c r="EG5997" s="165"/>
      <c r="EH5997" s="165"/>
      <c r="EI5997" s="165"/>
      <c r="EJ5997" s="165"/>
      <c r="EK5997" s="165"/>
      <c r="EL5997" s="165"/>
      <c r="EM5997" s="165"/>
      <c r="EN5997" s="165"/>
      <c r="EO5997" s="165"/>
      <c r="EP5997" s="165"/>
      <c r="EQ5997" s="165"/>
      <c r="ER5997" s="165"/>
      <c r="ES5997" s="165"/>
    </row>
    <row r="5998" spans="1:149" s="451" customFormat="1" ht="15" hidden="1" customHeight="1">
      <c r="A5998" s="468">
        <v>45545</v>
      </c>
      <c r="B5998" s="208" t="s">
        <v>4933</v>
      </c>
      <c r="C5998" s="208" t="s">
        <v>27</v>
      </c>
      <c r="D5998" s="718">
        <v>-50000000</v>
      </c>
      <c r="E5998" s="212">
        <v>45536</v>
      </c>
      <c r="F5998" s="208" t="s">
        <v>109</v>
      </c>
      <c r="G5998" s="201" t="s">
        <v>583</v>
      </c>
      <c r="H5998" s="208"/>
      <c r="I5998" s="208"/>
      <c r="J5998" s="209"/>
      <c r="K5998" s="209"/>
      <c r="L5998" s="209"/>
      <c r="M5998" s="209"/>
      <c r="N5998" s="209"/>
      <c r="O5998" s="209"/>
      <c r="P5998" s="209"/>
      <c r="Q5998" s="209"/>
      <c r="R5998" s="209"/>
      <c r="S5998" s="209"/>
      <c r="T5998" s="209"/>
    </row>
    <row r="5999" spans="1:149" s="451" customFormat="1" ht="15" hidden="1" customHeight="1">
      <c r="A5999" s="468">
        <v>45545</v>
      </c>
      <c r="B5999" s="208" t="s">
        <v>4392</v>
      </c>
      <c r="C5999" s="208" t="s">
        <v>27</v>
      </c>
      <c r="D5999" s="211">
        <v>-998172</v>
      </c>
      <c r="E5999" s="212">
        <v>45536</v>
      </c>
      <c r="F5999" s="208" t="s">
        <v>110</v>
      </c>
      <c r="G5999" s="208" t="s">
        <v>4294</v>
      </c>
      <c r="H5999" s="208" t="s">
        <v>1463</v>
      </c>
      <c r="I5999" s="208"/>
      <c r="J5999" s="209"/>
      <c r="K5999" s="209"/>
      <c r="L5999" s="209"/>
      <c r="M5999" s="209"/>
      <c r="N5999" s="209"/>
      <c r="O5999" s="209"/>
      <c r="P5999" s="209"/>
      <c r="Q5999" s="209"/>
      <c r="R5999" s="209"/>
      <c r="S5999" s="209"/>
      <c r="T5999" s="209"/>
    </row>
    <row r="6000" spans="1:149" s="451" customFormat="1" ht="15" hidden="1" customHeight="1">
      <c r="A6000" s="468">
        <v>45545</v>
      </c>
      <c r="B6000" s="208" t="s">
        <v>4392</v>
      </c>
      <c r="C6000" s="208" t="s">
        <v>27</v>
      </c>
      <c r="D6000" s="211">
        <v>-606900</v>
      </c>
      <c r="E6000" s="212">
        <v>45536</v>
      </c>
      <c r="F6000" s="208" t="s">
        <v>110</v>
      </c>
      <c r="G6000" s="208" t="s">
        <v>4249</v>
      </c>
      <c r="H6000" s="208" t="s">
        <v>1463</v>
      </c>
      <c r="I6000" s="208"/>
      <c r="J6000" s="209"/>
      <c r="K6000" s="209"/>
      <c r="L6000" s="209"/>
      <c r="M6000" s="209"/>
      <c r="N6000" s="209"/>
      <c r="O6000" s="209"/>
      <c r="P6000" s="209"/>
      <c r="Q6000" s="209"/>
      <c r="R6000" s="209"/>
      <c r="S6000" s="209"/>
      <c r="T6000" s="209"/>
    </row>
    <row r="6001" spans="1:149" s="451" customFormat="1" ht="15" hidden="1" customHeight="1">
      <c r="A6001" s="468">
        <v>45545</v>
      </c>
      <c r="B6001" s="208" t="s">
        <v>4392</v>
      </c>
      <c r="C6001" s="208" t="s">
        <v>27</v>
      </c>
      <c r="D6001" s="211">
        <v>-606900</v>
      </c>
      <c r="E6001" s="212">
        <v>45536</v>
      </c>
      <c r="F6001" s="208" t="s">
        <v>110</v>
      </c>
      <c r="G6001" s="208" t="s">
        <v>4399</v>
      </c>
      <c r="H6001" s="208" t="s">
        <v>1463</v>
      </c>
      <c r="I6001" s="208"/>
      <c r="J6001" s="209"/>
      <c r="K6001" s="209"/>
      <c r="L6001" s="209"/>
      <c r="M6001" s="209"/>
      <c r="N6001" s="209"/>
      <c r="O6001" s="209"/>
      <c r="P6001" s="209"/>
      <c r="Q6001" s="209"/>
      <c r="R6001" s="209"/>
      <c r="S6001" s="209"/>
      <c r="T6001" s="209"/>
    </row>
    <row r="6002" spans="1:149" s="451" customFormat="1" ht="15" hidden="1" customHeight="1">
      <c r="A6002" s="468">
        <v>45545</v>
      </c>
      <c r="B6002" s="81" t="s">
        <v>4934</v>
      </c>
      <c r="C6002" s="208" t="s">
        <v>643</v>
      </c>
      <c r="D6002" s="211">
        <v>-181742.48</v>
      </c>
      <c r="E6002" s="212">
        <v>45536</v>
      </c>
      <c r="F6002" s="208" t="s">
        <v>130</v>
      </c>
      <c r="G6002" s="208" t="s">
        <v>130</v>
      </c>
      <c r="H6002" s="208" t="s">
        <v>1245</v>
      </c>
      <c r="I6002" s="208"/>
      <c r="J6002" s="209"/>
      <c r="K6002" s="209"/>
      <c r="L6002" s="209"/>
      <c r="M6002" s="209"/>
      <c r="N6002" s="209"/>
      <c r="O6002" s="209"/>
      <c r="P6002" s="209"/>
      <c r="Q6002" s="209"/>
      <c r="R6002" s="209"/>
      <c r="S6002" s="209"/>
      <c r="T6002" s="209"/>
      <c r="U6002" s="165"/>
      <c r="V6002" s="165"/>
      <c r="W6002" s="165"/>
      <c r="X6002" s="165"/>
      <c r="Y6002" s="165"/>
      <c r="Z6002" s="165"/>
      <c r="AA6002" s="165"/>
      <c r="AB6002" s="165"/>
      <c r="AC6002" s="165"/>
      <c r="AD6002" s="165"/>
      <c r="AE6002" s="165"/>
      <c r="AF6002" s="165"/>
      <c r="AG6002" s="165"/>
      <c r="AH6002" s="165"/>
      <c r="AI6002" s="165"/>
      <c r="AJ6002" s="165"/>
      <c r="AK6002" s="165"/>
      <c r="AL6002" s="165"/>
      <c r="AM6002" s="165"/>
      <c r="AN6002" s="165"/>
      <c r="AO6002" s="165"/>
      <c r="AP6002" s="165"/>
      <c r="AQ6002" s="165"/>
      <c r="AR6002" s="165"/>
      <c r="AS6002" s="165"/>
      <c r="AT6002" s="165"/>
      <c r="AU6002" s="165"/>
      <c r="AV6002" s="165"/>
      <c r="AW6002" s="165"/>
      <c r="AX6002" s="165"/>
      <c r="AY6002" s="165"/>
      <c r="AZ6002" s="165"/>
      <c r="BA6002" s="165"/>
      <c r="BB6002" s="165"/>
      <c r="BC6002" s="165"/>
      <c r="BD6002" s="165"/>
      <c r="BE6002" s="165"/>
      <c r="BF6002" s="165"/>
      <c r="BG6002" s="165"/>
      <c r="BH6002" s="165"/>
      <c r="BI6002" s="165"/>
      <c r="BJ6002" s="165"/>
      <c r="BK6002" s="165"/>
      <c r="BL6002" s="165"/>
      <c r="BM6002" s="165"/>
      <c r="BN6002" s="165"/>
      <c r="BO6002" s="165"/>
      <c r="BP6002" s="165"/>
      <c r="BQ6002" s="165"/>
      <c r="BR6002" s="165"/>
      <c r="BS6002" s="165"/>
      <c r="BT6002" s="165"/>
      <c r="BU6002" s="165"/>
      <c r="BV6002" s="165"/>
      <c r="BW6002" s="165"/>
      <c r="BX6002" s="165"/>
      <c r="BY6002" s="165"/>
      <c r="BZ6002" s="165"/>
      <c r="CA6002" s="165"/>
      <c r="CB6002" s="165"/>
      <c r="CC6002" s="165"/>
      <c r="CD6002" s="165"/>
      <c r="CE6002" s="165"/>
      <c r="CF6002" s="165"/>
      <c r="CG6002" s="165"/>
      <c r="CH6002" s="165"/>
      <c r="CI6002" s="165"/>
      <c r="CJ6002" s="165"/>
      <c r="CK6002" s="165"/>
      <c r="CL6002" s="165"/>
      <c r="CM6002" s="165"/>
      <c r="CN6002" s="165"/>
      <c r="CO6002" s="165"/>
      <c r="CP6002" s="165"/>
      <c r="CQ6002" s="165"/>
      <c r="CR6002" s="165"/>
      <c r="CS6002" s="165"/>
      <c r="CT6002" s="165"/>
      <c r="CU6002" s="165"/>
      <c r="CV6002" s="165"/>
      <c r="CW6002" s="165"/>
      <c r="CX6002" s="165"/>
      <c r="CY6002" s="165"/>
      <c r="CZ6002" s="165"/>
      <c r="DA6002" s="165"/>
      <c r="DB6002" s="165"/>
      <c r="DC6002" s="165"/>
      <c r="DD6002" s="165"/>
      <c r="DE6002" s="165"/>
      <c r="DF6002" s="165"/>
      <c r="DG6002" s="165"/>
      <c r="DH6002" s="165"/>
      <c r="DI6002" s="165"/>
      <c r="DJ6002" s="165"/>
      <c r="DK6002" s="165"/>
      <c r="DL6002" s="165"/>
      <c r="DM6002" s="165"/>
      <c r="DN6002" s="165"/>
      <c r="DO6002" s="165"/>
      <c r="DP6002" s="165"/>
      <c r="DQ6002" s="165"/>
      <c r="DR6002" s="165"/>
      <c r="DS6002" s="165"/>
      <c r="DT6002" s="165"/>
      <c r="DU6002" s="165"/>
      <c r="DV6002" s="165"/>
      <c r="DW6002" s="165"/>
      <c r="DX6002" s="165"/>
      <c r="DY6002" s="165"/>
      <c r="DZ6002" s="165"/>
      <c r="EA6002" s="165"/>
      <c r="EB6002" s="165"/>
      <c r="EC6002" s="165"/>
      <c r="ED6002" s="165"/>
      <c r="EE6002" s="165"/>
      <c r="EF6002" s="165"/>
      <c r="EG6002" s="165"/>
      <c r="EH6002" s="165"/>
      <c r="EI6002" s="165"/>
      <c r="EJ6002" s="165"/>
      <c r="EK6002" s="165"/>
      <c r="EL6002" s="165"/>
      <c r="EM6002" s="165"/>
      <c r="EN6002" s="165"/>
      <c r="EO6002" s="165"/>
      <c r="EP6002" s="165"/>
      <c r="EQ6002" s="165"/>
      <c r="ER6002" s="165"/>
      <c r="ES6002" s="165"/>
    </row>
    <row r="6003" spans="1:149" s="451" customFormat="1" ht="15" hidden="1" customHeight="1">
      <c r="A6003" s="468">
        <v>45545</v>
      </c>
      <c r="B6003" s="208" t="s">
        <v>4935</v>
      </c>
      <c r="C6003" s="208" t="s">
        <v>269</v>
      </c>
      <c r="D6003" s="211">
        <v>-20000</v>
      </c>
      <c r="E6003" s="212">
        <v>45536</v>
      </c>
      <c r="F6003" s="208" t="s">
        <v>109</v>
      </c>
      <c r="G6003" s="201" t="s">
        <v>581</v>
      </c>
      <c r="H6003" s="208"/>
      <c r="I6003" s="208" t="s">
        <v>3364</v>
      </c>
      <c r="J6003" s="209"/>
      <c r="K6003" s="209"/>
      <c r="L6003" s="209"/>
      <c r="M6003" s="209"/>
      <c r="N6003" s="209"/>
      <c r="O6003" s="209"/>
      <c r="P6003" s="209"/>
      <c r="Q6003" s="209"/>
      <c r="R6003" s="209"/>
      <c r="S6003" s="209"/>
      <c r="T6003" s="209"/>
      <c r="U6003" s="165"/>
      <c r="V6003" s="165"/>
      <c r="W6003" s="165"/>
      <c r="X6003" s="165"/>
      <c r="Y6003" s="165"/>
      <c r="Z6003" s="165"/>
      <c r="AA6003" s="165"/>
      <c r="AB6003" s="165"/>
      <c r="AC6003" s="165"/>
      <c r="AD6003" s="165"/>
      <c r="AE6003" s="165"/>
      <c r="AF6003" s="165"/>
      <c r="AG6003" s="165"/>
      <c r="AH6003" s="165"/>
      <c r="AI6003" s="165"/>
      <c r="AJ6003" s="165"/>
      <c r="AK6003" s="165"/>
      <c r="AL6003" s="165"/>
      <c r="AM6003" s="165"/>
      <c r="AN6003" s="165"/>
      <c r="AO6003" s="165"/>
      <c r="AP6003" s="165"/>
      <c r="AQ6003" s="165"/>
      <c r="AR6003" s="165"/>
      <c r="AS6003" s="165"/>
      <c r="AT6003" s="165"/>
      <c r="AU6003" s="165"/>
      <c r="AV6003" s="165"/>
      <c r="AW6003" s="165"/>
      <c r="AX6003" s="165"/>
      <c r="AY6003" s="165"/>
      <c r="AZ6003" s="165"/>
      <c r="BA6003" s="165"/>
      <c r="BB6003" s="165"/>
      <c r="BC6003" s="165"/>
      <c r="BD6003" s="165"/>
      <c r="BE6003" s="165"/>
      <c r="BF6003" s="165"/>
      <c r="BG6003" s="165"/>
      <c r="BH6003" s="165"/>
      <c r="BI6003" s="165"/>
      <c r="BJ6003" s="165"/>
      <c r="BK6003" s="165"/>
      <c r="BL6003" s="165"/>
      <c r="BM6003" s="165"/>
      <c r="BN6003" s="165"/>
      <c r="BO6003" s="165"/>
      <c r="BP6003" s="165"/>
      <c r="BQ6003" s="165"/>
      <c r="BR6003" s="165"/>
      <c r="BS6003" s="165"/>
      <c r="BT6003" s="165"/>
      <c r="BU6003" s="165"/>
      <c r="BV6003" s="165"/>
      <c r="BW6003" s="165"/>
      <c r="BX6003" s="165"/>
      <c r="BY6003" s="165"/>
      <c r="BZ6003" s="165"/>
      <c r="CA6003" s="165"/>
      <c r="CB6003" s="165"/>
      <c r="CC6003" s="165"/>
      <c r="CD6003" s="165"/>
      <c r="CE6003" s="165"/>
      <c r="CF6003" s="165"/>
      <c r="CG6003" s="165"/>
      <c r="CH6003" s="165"/>
      <c r="CI6003" s="165"/>
      <c r="CJ6003" s="165"/>
      <c r="CK6003" s="165"/>
      <c r="CL6003" s="165"/>
      <c r="CM6003" s="165"/>
      <c r="CN6003" s="165"/>
      <c r="CO6003" s="165"/>
      <c r="CP6003" s="165"/>
      <c r="CQ6003" s="165"/>
      <c r="CR6003" s="165"/>
      <c r="CS6003" s="165"/>
      <c r="CT6003" s="165"/>
      <c r="CU6003" s="165"/>
      <c r="CV6003" s="165"/>
      <c r="CW6003" s="165"/>
      <c r="CX6003" s="165"/>
      <c r="CY6003" s="165"/>
      <c r="CZ6003" s="165"/>
      <c r="DA6003" s="165"/>
      <c r="DB6003" s="165"/>
      <c r="DC6003" s="165"/>
      <c r="DD6003" s="165"/>
      <c r="DE6003" s="165"/>
      <c r="DF6003" s="165"/>
      <c r="DG6003" s="165"/>
      <c r="DH6003" s="165"/>
      <c r="DI6003" s="165"/>
      <c r="DJ6003" s="165"/>
      <c r="DK6003" s="165"/>
      <c r="DL6003" s="165"/>
      <c r="DM6003" s="165"/>
      <c r="DN6003" s="165"/>
      <c r="DO6003" s="165"/>
      <c r="DP6003" s="165"/>
      <c r="DQ6003" s="165"/>
      <c r="DR6003" s="165"/>
      <c r="DS6003" s="165"/>
      <c r="DT6003" s="165"/>
      <c r="DU6003" s="165"/>
      <c r="DV6003" s="165"/>
      <c r="DW6003" s="165"/>
      <c r="DX6003" s="165"/>
      <c r="DY6003" s="165"/>
      <c r="DZ6003" s="165"/>
      <c r="EA6003" s="165"/>
      <c r="EB6003" s="165"/>
      <c r="EC6003" s="165"/>
      <c r="ED6003" s="165"/>
      <c r="EE6003" s="165"/>
      <c r="EF6003" s="165"/>
      <c r="EG6003" s="165"/>
      <c r="EH6003" s="165"/>
      <c r="EI6003" s="165"/>
      <c r="EJ6003" s="165"/>
      <c r="EK6003" s="165"/>
      <c r="EL6003" s="165"/>
      <c r="EM6003" s="165"/>
      <c r="EN6003" s="165"/>
      <c r="EO6003" s="165"/>
      <c r="EP6003" s="165"/>
      <c r="EQ6003" s="165"/>
      <c r="ER6003" s="165"/>
      <c r="ES6003" s="165"/>
    </row>
    <row r="6004" spans="1:149" s="451" customFormat="1" ht="15" hidden="1" customHeight="1">
      <c r="A6004" s="468">
        <v>45545</v>
      </c>
      <c r="B6004" s="208" t="s">
        <v>4936</v>
      </c>
      <c r="C6004" s="208" t="s">
        <v>269</v>
      </c>
      <c r="D6004" s="211">
        <v>-73000</v>
      </c>
      <c r="E6004" s="212">
        <v>45536</v>
      </c>
      <c r="F6004" s="208" t="s">
        <v>109</v>
      </c>
      <c r="G6004" s="201" t="s">
        <v>581</v>
      </c>
      <c r="H6004" s="208"/>
      <c r="I6004" s="208" t="s">
        <v>3364</v>
      </c>
      <c r="J6004" s="209"/>
      <c r="K6004" s="209"/>
      <c r="L6004" s="209"/>
      <c r="M6004" s="209"/>
      <c r="N6004" s="209"/>
      <c r="O6004" s="209"/>
      <c r="P6004" s="209"/>
      <c r="Q6004" s="209"/>
      <c r="R6004" s="209"/>
      <c r="S6004" s="209"/>
      <c r="T6004" s="209"/>
      <c r="U6004" s="165"/>
      <c r="V6004" s="165"/>
      <c r="W6004" s="165"/>
      <c r="X6004" s="165"/>
      <c r="Y6004" s="165"/>
      <c r="Z6004" s="165"/>
      <c r="AA6004" s="165"/>
      <c r="AB6004" s="165"/>
      <c r="AC6004" s="165"/>
      <c r="AD6004" s="165"/>
      <c r="AE6004" s="165"/>
      <c r="AF6004" s="165"/>
      <c r="AG6004" s="165"/>
      <c r="AH6004" s="165"/>
      <c r="AI6004" s="165"/>
      <c r="AJ6004" s="165"/>
      <c r="AK6004" s="165"/>
      <c r="AL6004" s="165"/>
      <c r="AM6004" s="165"/>
      <c r="AN6004" s="165"/>
      <c r="AO6004" s="165"/>
      <c r="AP6004" s="165"/>
      <c r="AQ6004" s="165"/>
      <c r="AR6004" s="165"/>
      <c r="AS6004" s="165"/>
      <c r="AT6004" s="165"/>
      <c r="AU6004" s="165"/>
      <c r="AV6004" s="165"/>
      <c r="AW6004" s="165"/>
      <c r="AX6004" s="165"/>
      <c r="AY6004" s="165"/>
      <c r="AZ6004" s="165"/>
      <c r="BA6004" s="165"/>
      <c r="BB6004" s="165"/>
      <c r="BC6004" s="165"/>
      <c r="BD6004" s="165"/>
      <c r="BE6004" s="165"/>
      <c r="BF6004" s="165"/>
      <c r="BG6004" s="165"/>
      <c r="BH6004" s="165"/>
      <c r="BI6004" s="165"/>
      <c r="BJ6004" s="165"/>
      <c r="BK6004" s="165"/>
      <c r="BL6004" s="165"/>
      <c r="BM6004" s="165"/>
      <c r="BN6004" s="165"/>
      <c r="BO6004" s="165"/>
      <c r="BP6004" s="165"/>
      <c r="BQ6004" s="165"/>
      <c r="BR6004" s="165"/>
      <c r="BS6004" s="165"/>
      <c r="BT6004" s="165"/>
      <c r="BU6004" s="165"/>
      <c r="BV6004" s="165"/>
      <c r="BW6004" s="165"/>
      <c r="BX6004" s="165"/>
      <c r="BY6004" s="165"/>
      <c r="BZ6004" s="165"/>
      <c r="CA6004" s="165"/>
      <c r="CB6004" s="165"/>
      <c r="CC6004" s="165"/>
      <c r="CD6004" s="165"/>
      <c r="CE6004" s="165"/>
      <c r="CF6004" s="165"/>
      <c r="CG6004" s="165"/>
      <c r="CH6004" s="165"/>
      <c r="CI6004" s="165"/>
      <c r="CJ6004" s="165"/>
      <c r="CK6004" s="165"/>
      <c r="CL6004" s="165"/>
      <c r="CM6004" s="165"/>
      <c r="CN6004" s="165"/>
      <c r="CO6004" s="165"/>
      <c r="CP6004" s="165"/>
      <c r="CQ6004" s="165"/>
      <c r="CR6004" s="165"/>
      <c r="CS6004" s="165"/>
      <c r="CT6004" s="165"/>
      <c r="CU6004" s="165"/>
      <c r="CV6004" s="165"/>
      <c r="CW6004" s="165"/>
      <c r="CX6004" s="165"/>
      <c r="CY6004" s="165"/>
      <c r="CZ6004" s="165"/>
      <c r="DA6004" s="165"/>
      <c r="DB6004" s="165"/>
      <c r="DC6004" s="165"/>
      <c r="DD6004" s="165"/>
      <c r="DE6004" s="165"/>
      <c r="DF6004" s="165"/>
      <c r="DG6004" s="165"/>
      <c r="DH6004" s="165"/>
      <c r="DI6004" s="165"/>
      <c r="DJ6004" s="165"/>
      <c r="DK6004" s="165"/>
      <c r="DL6004" s="165"/>
      <c r="DM6004" s="165"/>
      <c r="DN6004" s="165"/>
      <c r="DO6004" s="165"/>
      <c r="DP6004" s="165"/>
      <c r="DQ6004" s="165"/>
      <c r="DR6004" s="165"/>
      <c r="DS6004" s="165"/>
      <c r="DT6004" s="165"/>
      <c r="DU6004" s="165"/>
      <c r="DV6004" s="165"/>
      <c r="DW6004" s="165"/>
      <c r="DX6004" s="165"/>
      <c r="DY6004" s="165"/>
      <c r="DZ6004" s="165"/>
      <c r="EA6004" s="165"/>
      <c r="EB6004" s="165"/>
      <c r="EC6004" s="165"/>
      <c r="ED6004" s="165"/>
      <c r="EE6004" s="165"/>
      <c r="EF6004" s="165"/>
      <c r="EG6004" s="165"/>
      <c r="EH6004" s="165"/>
      <c r="EI6004" s="165"/>
      <c r="EJ6004" s="165"/>
      <c r="EK6004" s="165"/>
      <c r="EL6004" s="165"/>
      <c r="EM6004" s="165"/>
      <c r="EN6004" s="165"/>
      <c r="EO6004" s="165"/>
      <c r="EP6004" s="165"/>
      <c r="EQ6004" s="165"/>
      <c r="ER6004" s="165"/>
      <c r="ES6004" s="165"/>
    </row>
    <row r="6005" spans="1:149" s="451" customFormat="1" ht="15" hidden="1" customHeight="1">
      <c r="A6005" s="468">
        <v>45545</v>
      </c>
      <c r="B6005" s="208" t="s">
        <v>2127</v>
      </c>
      <c r="C6005" s="208" t="s">
        <v>269</v>
      </c>
      <c r="D6005" s="211">
        <v>-10000</v>
      </c>
      <c r="E6005" s="212">
        <v>45536</v>
      </c>
      <c r="F6005" s="208" t="s">
        <v>109</v>
      </c>
      <c r="G6005" s="201" t="s">
        <v>581</v>
      </c>
      <c r="H6005" s="208"/>
      <c r="I6005" s="208" t="s">
        <v>3364</v>
      </c>
      <c r="J6005" s="209"/>
      <c r="K6005" s="209"/>
      <c r="L6005" s="209"/>
      <c r="M6005" s="209"/>
      <c r="N6005" s="209"/>
      <c r="O6005" s="209"/>
      <c r="P6005" s="209"/>
      <c r="Q6005" s="209"/>
      <c r="R6005" s="209"/>
      <c r="S6005" s="209"/>
      <c r="T6005" s="209"/>
      <c r="U6005" s="165"/>
      <c r="V6005" s="165"/>
      <c r="W6005" s="165"/>
      <c r="X6005" s="165"/>
      <c r="Y6005" s="165"/>
      <c r="Z6005" s="165"/>
      <c r="AA6005" s="165"/>
      <c r="AB6005" s="165"/>
      <c r="AC6005" s="165"/>
      <c r="AD6005" s="165"/>
      <c r="AE6005" s="165"/>
      <c r="AF6005" s="165"/>
      <c r="AG6005" s="165"/>
      <c r="AH6005" s="165"/>
      <c r="AI6005" s="165"/>
      <c r="AJ6005" s="165"/>
      <c r="AK6005" s="165"/>
      <c r="AL6005" s="165"/>
      <c r="AM6005" s="165"/>
      <c r="AN6005" s="165"/>
      <c r="AO6005" s="165"/>
      <c r="AP6005" s="165"/>
      <c r="AQ6005" s="165"/>
      <c r="AR6005" s="165"/>
      <c r="AS6005" s="165"/>
      <c r="AT6005" s="165"/>
      <c r="AU6005" s="165"/>
      <c r="AV6005" s="165"/>
      <c r="AW6005" s="165"/>
      <c r="AX6005" s="165"/>
      <c r="AY6005" s="165"/>
      <c r="AZ6005" s="165"/>
      <c r="BA6005" s="165"/>
      <c r="BB6005" s="165"/>
      <c r="BC6005" s="165"/>
      <c r="BD6005" s="165"/>
      <c r="BE6005" s="165"/>
      <c r="BF6005" s="165"/>
      <c r="BG6005" s="165"/>
      <c r="BH6005" s="165"/>
      <c r="BI6005" s="165"/>
      <c r="BJ6005" s="165"/>
      <c r="BK6005" s="165"/>
      <c r="BL6005" s="165"/>
      <c r="BM6005" s="165"/>
      <c r="BN6005" s="165"/>
      <c r="BO6005" s="165"/>
      <c r="BP6005" s="165"/>
      <c r="BQ6005" s="165"/>
      <c r="BR6005" s="165"/>
      <c r="BS6005" s="165"/>
      <c r="BT6005" s="165"/>
      <c r="BU6005" s="165"/>
      <c r="BV6005" s="165"/>
      <c r="BW6005" s="165"/>
      <c r="BX6005" s="165"/>
      <c r="BY6005" s="165"/>
      <c r="BZ6005" s="165"/>
      <c r="CA6005" s="165"/>
      <c r="CB6005" s="165"/>
      <c r="CC6005" s="165"/>
      <c r="CD6005" s="165"/>
      <c r="CE6005" s="165"/>
      <c r="CF6005" s="165"/>
      <c r="CG6005" s="165"/>
      <c r="CH6005" s="165"/>
      <c r="CI6005" s="165"/>
      <c r="CJ6005" s="165"/>
      <c r="CK6005" s="165"/>
      <c r="CL6005" s="165"/>
      <c r="CM6005" s="165"/>
      <c r="CN6005" s="165"/>
      <c r="CO6005" s="165"/>
      <c r="CP6005" s="165"/>
      <c r="CQ6005" s="165"/>
      <c r="CR6005" s="165"/>
      <c r="CS6005" s="165"/>
      <c r="CT6005" s="165"/>
      <c r="CU6005" s="165"/>
      <c r="CV6005" s="165"/>
      <c r="CW6005" s="165"/>
      <c r="CX6005" s="165"/>
      <c r="CY6005" s="165"/>
      <c r="CZ6005" s="165"/>
      <c r="DA6005" s="165"/>
      <c r="DB6005" s="165"/>
      <c r="DC6005" s="165"/>
      <c r="DD6005" s="165"/>
      <c r="DE6005" s="165"/>
      <c r="DF6005" s="165"/>
      <c r="DG6005" s="165"/>
      <c r="DH6005" s="165"/>
      <c r="DI6005" s="165"/>
      <c r="DJ6005" s="165"/>
      <c r="DK6005" s="165"/>
      <c r="DL6005" s="165"/>
      <c r="DM6005" s="165"/>
      <c r="DN6005" s="165"/>
      <c r="DO6005" s="165"/>
      <c r="DP6005" s="165"/>
      <c r="DQ6005" s="165"/>
      <c r="DR6005" s="165"/>
      <c r="DS6005" s="165"/>
      <c r="DT6005" s="165"/>
      <c r="DU6005" s="165"/>
      <c r="DV6005" s="165"/>
      <c r="DW6005" s="165"/>
      <c r="DX6005" s="165"/>
      <c r="DY6005" s="165"/>
      <c r="DZ6005" s="165"/>
      <c r="EA6005" s="165"/>
      <c r="EB6005" s="165"/>
      <c r="EC6005" s="165"/>
      <c r="ED6005" s="165"/>
      <c r="EE6005" s="165"/>
      <c r="EF6005" s="165"/>
      <c r="EG6005" s="165"/>
      <c r="EH6005" s="165"/>
      <c r="EI6005" s="165"/>
      <c r="EJ6005" s="165"/>
      <c r="EK6005" s="165"/>
      <c r="EL6005" s="165"/>
      <c r="EM6005" s="165"/>
      <c r="EN6005" s="165"/>
      <c r="EO6005" s="165"/>
      <c r="EP6005" s="165"/>
      <c r="EQ6005" s="165"/>
      <c r="ER6005" s="165"/>
      <c r="ES6005" s="165"/>
    </row>
    <row r="6006" spans="1:149" s="451" customFormat="1" ht="15" hidden="1" customHeight="1">
      <c r="A6006" s="468">
        <v>45545</v>
      </c>
      <c r="B6006" s="208" t="s">
        <v>4937</v>
      </c>
      <c r="C6006" s="208" t="s">
        <v>269</v>
      </c>
      <c r="D6006" s="211">
        <v>-40000</v>
      </c>
      <c r="E6006" s="212">
        <v>45536</v>
      </c>
      <c r="F6006" s="208" t="s">
        <v>109</v>
      </c>
      <c r="G6006" s="201" t="s">
        <v>581</v>
      </c>
      <c r="H6006" s="208"/>
      <c r="I6006" s="208" t="s">
        <v>3364</v>
      </c>
      <c r="J6006" s="209"/>
      <c r="K6006" s="209"/>
      <c r="L6006" s="209"/>
      <c r="M6006" s="209"/>
      <c r="N6006" s="209"/>
      <c r="O6006" s="209"/>
      <c r="P6006" s="209"/>
      <c r="Q6006" s="209"/>
      <c r="R6006" s="209"/>
      <c r="S6006" s="209"/>
      <c r="T6006" s="209"/>
      <c r="U6006" s="165"/>
      <c r="V6006" s="165"/>
      <c r="W6006" s="165"/>
      <c r="X6006" s="165"/>
      <c r="Y6006" s="165"/>
      <c r="Z6006" s="165"/>
      <c r="AA6006" s="165"/>
      <c r="AB6006" s="165"/>
      <c r="AC6006" s="165"/>
      <c r="AD6006" s="165"/>
      <c r="AE6006" s="165"/>
      <c r="AF6006" s="165"/>
      <c r="AG6006" s="165"/>
      <c r="AH6006" s="165"/>
      <c r="AI6006" s="165"/>
      <c r="AJ6006" s="165"/>
      <c r="AK6006" s="165"/>
      <c r="AL6006" s="165"/>
      <c r="AM6006" s="165"/>
      <c r="AN6006" s="165"/>
      <c r="AO6006" s="165"/>
      <c r="AP6006" s="165"/>
      <c r="AQ6006" s="165"/>
      <c r="AR6006" s="165"/>
      <c r="AS6006" s="165"/>
      <c r="AT6006" s="165"/>
      <c r="AU6006" s="165"/>
      <c r="AV6006" s="165"/>
      <c r="AW6006" s="165"/>
      <c r="AX6006" s="165"/>
      <c r="AY6006" s="165"/>
      <c r="AZ6006" s="165"/>
      <c r="BA6006" s="165"/>
      <c r="BB6006" s="165"/>
      <c r="BC6006" s="165"/>
      <c r="BD6006" s="165"/>
      <c r="BE6006" s="165"/>
      <c r="BF6006" s="165"/>
      <c r="BG6006" s="165"/>
      <c r="BH6006" s="165"/>
      <c r="BI6006" s="165"/>
      <c r="BJ6006" s="165"/>
      <c r="BK6006" s="165"/>
      <c r="BL6006" s="165"/>
      <c r="BM6006" s="165"/>
      <c r="BN6006" s="165"/>
      <c r="BO6006" s="165"/>
      <c r="BP6006" s="165"/>
      <c r="BQ6006" s="165"/>
      <c r="BR6006" s="165"/>
      <c r="BS6006" s="165"/>
      <c r="BT6006" s="165"/>
      <c r="BU6006" s="165"/>
      <c r="BV6006" s="165"/>
      <c r="BW6006" s="165"/>
      <c r="BX6006" s="165"/>
      <c r="BY6006" s="165"/>
      <c r="BZ6006" s="165"/>
      <c r="CA6006" s="165"/>
      <c r="CB6006" s="165"/>
      <c r="CC6006" s="165"/>
      <c r="CD6006" s="165"/>
      <c r="CE6006" s="165"/>
      <c r="CF6006" s="165"/>
      <c r="CG6006" s="165"/>
      <c r="CH6006" s="165"/>
      <c r="CI6006" s="165"/>
      <c r="CJ6006" s="165"/>
      <c r="CK6006" s="165"/>
      <c r="CL6006" s="165"/>
      <c r="CM6006" s="165"/>
      <c r="CN6006" s="165"/>
      <c r="CO6006" s="165"/>
      <c r="CP6006" s="165"/>
      <c r="CQ6006" s="165"/>
      <c r="CR6006" s="165"/>
      <c r="CS6006" s="165"/>
      <c r="CT6006" s="165"/>
      <c r="CU6006" s="165"/>
      <c r="CV6006" s="165"/>
      <c r="CW6006" s="165"/>
      <c r="CX6006" s="165"/>
      <c r="CY6006" s="165"/>
      <c r="CZ6006" s="165"/>
      <c r="DA6006" s="165"/>
      <c r="DB6006" s="165"/>
      <c r="DC6006" s="165"/>
      <c r="DD6006" s="165"/>
      <c r="DE6006" s="165"/>
      <c r="DF6006" s="165"/>
      <c r="DG6006" s="165"/>
      <c r="DH6006" s="165"/>
      <c r="DI6006" s="165"/>
      <c r="DJ6006" s="165"/>
      <c r="DK6006" s="165"/>
      <c r="DL6006" s="165"/>
      <c r="DM6006" s="165"/>
      <c r="DN6006" s="165"/>
      <c r="DO6006" s="165"/>
      <c r="DP6006" s="165"/>
      <c r="DQ6006" s="165"/>
      <c r="DR6006" s="165"/>
      <c r="DS6006" s="165"/>
      <c r="DT6006" s="165"/>
      <c r="DU6006" s="165"/>
      <c r="DV6006" s="165"/>
      <c r="DW6006" s="165"/>
      <c r="DX6006" s="165"/>
      <c r="DY6006" s="165"/>
      <c r="DZ6006" s="165"/>
      <c r="EA6006" s="165"/>
      <c r="EB6006" s="165"/>
      <c r="EC6006" s="165"/>
      <c r="ED6006" s="165"/>
      <c r="EE6006" s="165"/>
      <c r="EF6006" s="165"/>
      <c r="EG6006" s="165"/>
      <c r="EH6006" s="165"/>
      <c r="EI6006" s="165"/>
      <c r="EJ6006" s="165"/>
      <c r="EK6006" s="165"/>
      <c r="EL6006" s="165"/>
      <c r="EM6006" s="165"/>
      <c r="EN6006" s="165"/>
      <c r="EO6006" s="165"/>
      <c r="EP6006" s="165"/>
      <c r="EQ6006" s="165"/>
      <c r="ER6006" s="165"/>
      <c r="ES6006" s="165"/>
    </row>
    <row r="6007" spans="1:149" s="451" customFormat="1" ht="15" hidden="1" customHeight="1">
      <c r="A6007" s="468">
        <v>45545</v>
      </c>
      <c r="B6007" s="208" t="s">
        <v>4938</v>
      </c>
      <c r="C6007" s="208" t="s">
        <v>269</v>
      </c>
      <c r="D6007" s="211">
        <v>-5000</v>
      </c>
      <c r="E6007" s="212">
        <v>45536</v>
      </c>
      <c r="F6007" s="208" t="s">
        <v>109</v>
      </c>
      <c r="G6007" s="201" t="s">
        <v>581</v>
      </c>
      <c r="H6007" s="208"/>
      <c r="I6007" s="208" t="s">
        <v>3364</v>
      </c>
      <c r="J6007" s="209"/>
      <c r="K6007" s="209"/>
      <c r="L6007" s="209"/>
      <c r="M6007" s="209"/>
      <c r="N6007" s="209"/>
      <c r="O6007" s="209"/>
      <c r="P6007" s="209"/>
      <c r="Q6007" s="209"/>
      <c r="R6007" s="209"/>
      <c r="S6007" s="209"/>
      <c r="T6007" s="209"/>
      <c r="U6007" s="165"/>
      <c r="V6007" s="165"/>
      <c r="W6007" s="165"/>
      <c r="X6007" s="165"/>
      <c r="Y6007" s="165"/>
      <c r="Z6007" s="165"/>
      <c r="AA6007" s="165"/>
      <c r="AB6007" s="165"/>
      <c r="AC6007" s="165"/>
      <c r="AD6007" s="165"/>
      <c r="AE6007" s="165"/>
      <c r="AF6007" s="165"/>
      <c r="AG6007" s="165"/>
      <c r="AH6007" s="165"/>
      <c r="AI6007" s="165"/>
      <c r="AJ6007" s="165"/>
      <c r="AK6007" s="165"/>
      <c r="AL6007" s="165"/>
      <c r="AM6007" s="165"/>
      <c r="AN6007" s="165"/>
      <c r="AO6007" s="165"/>
      <c r="AP6007" s="165"/>
      <c r="AQ6007" s="165"/>
      <c r="AR6007" s="165"/>
      <c r="AS6007" s="165"/>
      <c r="AT6007" s="165"/>
      <c r="AU6007" s="165"/>
      <c r="AV6007" s="165"/>
      <c r="AW6007" s="165"/>
      <c r="AX6007" s="165"/>
      <c r="AY6007" s="165"/>
      <c r="AZ6007" s="165"/>
      <c r="BA6007" s="165"/>
      <c r="BB6007" s="165"/>
      <c r="BC6007" s="165"/>
      <c r="BD6007" s="165"/>
      <c r="BE6007" s="165"/>
      <c r="BF6007" s="165"/>
      <c r="BG6007" s="165"/>
      <c r="BH6007" s="165"/>
      <c r="BI6007" s="165"/>
      <c r="BJ6007" s="165"/>
      <c r="BK6007" s="165"/>
      <c r="BL6007" s="165"/>
      <c r="BM6007" s="165"/>
      <c r="BN6007" s="165"/>
      <c r="BO6007" s="165"/>
      <c r="BP6007" s="165"/>
      <c r="BQ6007" s="165"/>
      <c r="BR6007" s="165"/>
      <c r="BS6007" s="165"/>
      <c r="BT6007" s="165"/>
      <c r="BU6007" s="165"/>
      <c r="BV6007" s="165"/>
      <c r="BW6007" s="165"/>
      <c r="BX6007" s="165"/>
      <c r="BY6007" s="165"/>
      <c r="BZ6007" s="165"/>
      <c r="CA6007" s="165"/>
      <c r="CB6007" s="165"/>
      <c r="CC6007" s="165"/>
      <c r="CD6007" s="165"/>
      <c r="CE6007" s="165"/>
      <c r="CF6007" s="165"/>
      <c r="CG6007" s="165"/>
      <c r="CH6007" s="165"/>
      <c r="CI6007" s="165"/>
      <c r="CJ6007" s="165"/>
      <c r="CK6007" s="165"/>
      <c r="CL6007" s="165"/>
      <c r="CM6007" s="165"/>
      <c r="CN6007" s="165"/>
      <c r="CO6007" s="165"/>
      <c r="CP6007" s="165"/>
      <c r="CQ6007" s="165"/>
      <c r="CR6007" s="165"/>
      <c r="CS6007" s="165"/>
      <c r="CT6007" s="165"/>
      <c r="CU6007" s="165"/>
      <c r="CV6007" s="165"/>
      <c r="CW6007" s="165"/>
      <c r="CX6007" s="165"/>
      <c r="CY6007" s="165"/>
      <c r="CZ6007" s="165"/>
      <c r="DA6007" s="165"/>
      <c r="DB6007" s="165"/>
      <c r="DC6007" s="165"/>
      <c r="DD6007" s="165"/>
      <c r="DE6007" s="165"/>
      <c r="DF6007" s="165"/>
      <c r="DG6007" s="165"/>
      <c r="DH6007" s="165"/>
      <c r="DI6007" s="165"/>
      <c r="DJ6007" s="165"/>
      <c r="DK6007" s="165"/>
      <c r="DL6007" s="165"/>
      <c r="DM6007" s="165"/>
      <c r="DN6007" s="165"/>
      <c r="DO6007" s="165"/>
      <c r="DP6007" s="165"/>
      <c r="DQ6007" s="165"/>
      <c r="DR6007" s="165"/>
      <c r="DS6007" s="165"/>
      <c r="DT6007" s="165"/>
      <c r="DU6007" s="165"/>
      <c r="DV6007" s="165"/>
      <c r="DW6007" s="165"/>
      <c r="DX6007" s="165"/>
      <c r="DY6007" s="165"/>
      <c r="DZ6007" s="165"/>
      <c r="EA6007" s="165"/>
      <c r="EB6007" s="165"/>
      <c r="EC6007" s="165"/>
      <c r="ED6007" s="165"/>
      <c r="EE6007" s="165"/>
      <c r="EF6007" s="165"/>
      <c r="EG6007" s="165"/>
      <c r="EH6007" s="165"/>
      <c r="EI6007" s="165"/>
      <c r="EJ6007" s="165"/>
      <c r="EK6007" s="165"/>
      <c r="EL6007" s="165"/>
      <c r="EM6007" s="165"/>
      <c r="EN6007" s="165"/>
      <c r="EO6007" s="165"/>
      <c r="EP6007" s="165"/>
      <c r="EQ6007" s="165"/>
      <c r="ER6007" s="165"/>
      <c r="ES6007" s="165"/>
    </row>
    <row r="6008" spans="1:149" s="451" customFormat="1" ht="15" hidden="1" customHeight="1">
      <c r="A6008" s="468">
        <v>45545</v>
      </c>
      <c r="B6008" s="208" t="s">
        <v>4939</v>
      </c>
      <c r="C6008" s="208" t="s">
        <v>269</v>
      </c>
      <c r="D6008" s="211">
        <v>-23750</v>
      </c>
      <c r="E6008" s="212">
        <v>45536</v>
      </c>
      <c r="F6008" s="208" t="s">
        <v>109</v>
      </c>
      <c r="G6008" s="201" t="s">
        <v>581</v>
      </c>
      <c r="H6008" s="208"/>
      <c r="I6008" s="208" t="s">
        <v>3364</v>
      </c>
      <c r="J6008" s="209"/>
      <c r="K6008" s="209"/>
      <c r="L6008" s="209"/>
      <c r="M6008" s="209"/>
      <c r="N6008" s="209"/>
      <c r="O6008" s="209"/>
      <c r="P6008" s="209"/>
      <c r="Q6008" s="209"/>
      <c r="R6008" s="209"/>
      <c r="S6008" s="209"/>
      <c r="T6008" s="209"/>
      <c r="U6008" s="165"/>
      <c r="V6008" s="165"/>
      <c r="W6008" s="165"/>
      <c r="X6008" s="165"/>
      <c r="Y6008" s="165"/>
      <c r="Z6008" s="165"/>
      <c r="AA6008" s="165"/>
      <c r="AB6008" s="165"/>
      <c r="AC6008" s="165"/>
      <c r="AD6008" s="165"/>
      <c r="AE6008" s="165"/>
      <c r="AF6008" s="165"/>
      <c r="AG6008" s="165"/>
      <c r="AH6008" s="165"/>
      <c r="AI6008" s="165"/>
      <c r="AJ6008" s="165"/>
      <c r="AK6008" s="165"/>
      <c r="AL6008" s="165"/>
      <c r="AM6008" s="165"/>
      <c r="AN6008" s="165"/>
      <c r="AO6008" s="165"/>
      <c r="AP6008" s="165"/>
      <c r="AQ6008" s="165"/>
      <c r="AR6008" s="165"/>
      <c r="AS6008" s="165"/>
      <c r="AT6008" s="165"/>
      <c r="AU6008" s="165"/>
      <c r="AV6008" s="165"/>
      <c r="AW6008" s="165"/>
      <c r="AX6008" s="165"/>
      <c r="AY6008" s="165"/>
      <c r="AZ6008" s="165"/>
      <c r="BA6008" s="165"/>
      <c r="BB6008" s="165"/>
      <c r="BC6008" s="165"/>
      <c r="BD6008" s="165"/>
      <c r="BE6008" s="165"/>
      <c r="BF6008" s="165"/>
      <c r="BG6008" s="165"/>
      <c r="BH6008" s="165"/>
      <c r="BI6008" s="165"/>
      <c r="BJ6008" s="165"/>
      <c r="BK6008" s="165"/>
      <c r="BL6008" s="165"/>
      <c r="BM6008" s="165"/>
      <c r="BN6008" s="165"/>
      <c r="BO6008" s="165"/>
      <c r="BP6008" s="165"/>
      <c r="BQ6008" s="165"/>
      <c r="BR6008" s="165"/>
      <c r="BS6008" s="165"/>
      <c r="BT6008" s="165"/>
      <c r="BU6008" s="165"/>
      <c r="BV6008" s="165"/>
      <c r="BW6008" s="165"/>
      <c r="BX6008" s="165"/>
      <c r="BY6008" s="165"/>
      <c r="BZ6008" s="165"/>
      <c r="CA6008" s="165"/>
      <c r="CB6008" s="165"/>
      <c r="CC6008" s="165"/>
      <c r="CD6008" s="165"/>
      <c r="CE6008" s="165"/>
      <c r="CF6008" s="165"/>
      <c r="CG6008" s="165"/>
      <c r="CH6008" s="165"/>
      <c r="CI6008" s="165"/>
      <c r="CJ6008" s="165"/>
      <c r="CK6008" s="165"/>
      <c r="CL6008" s="165"/>
      <c r="CM6008" s="165"/>
      <c r="CN6008" s="165"/>
      <c r="CO6008" s="165"/>
      <c r="CP6008" s="165"/>
      <c r="CQ6008" s="165"/>
      <c r="CR6008" s="165"/>
      <c r="CS6008" s="165"/>
      <c r="CT6008" s="165"/>
      <c r="CU6008" s="165"/>
      <c r="CV6008" s="165"/>
      <c r="CW6008" s="165"/>
      <c r="CX6008" s="165"/>
      <c r="CY6008" s="165"/>
      <c r="CZ6008" s="165"/>
      <c r="DA6008" s="165"/>
      <c r="DB6008" s="165"/>
      <c r="DC6008" s="165"/>
      <c r="DD6008" s="165"/>
      <c r="DE6008" s="165"/>
      <c r="DF6008" s="165"/>
      <c r="DG6008" s="165"/>
      <c r="DH6008" s="165"/>
      <c r="DI6008" s="165"/>
      <c r="DJ6008" s="165"/>
      <c r="DK6008" s="165"/>
      <c r="DL6008" s="165"/>
      <c r="DM6008" s="165"/>
      <c r="DN6008" s="165"/>
      <c r="DO6008" s="165"/>
      <c r="DP6008" s="165"/>
      <c r="DQ6008" s="165"/>
      <c r="DR6008" s="165"/>
      <c r="DS6008" s="165"/>
      <c r="DT6008" s="165"/>
      <c r="DU6008" s="165"/>
      <c r="DV6008" s="165"/>
      <c r="DW6008" s="165"/>
      <c r="DX6008" s="165"/>
      <c r="DY6008" s="165"/>
      <c r="DZ6008" s="165"/>
      <c r="EA6008" s="165"/>
      <c r="EB6008" s="165"/>
      <c r="EC6008" s="165"/>
      <c r="ED6008" s="165"/>
      <c r="EE6008" s="165"/>
      <c r="EF6008" s="165"/>
      <c r="EG6008" s="165"/>
      <c r="EH6008" s="165"/>
      <c r="EI6008" s="165"/>
      <c r="EJ6008" s="165"/>
      <c r="EK6008" s="165"/>
      <c r="EL6008" s="165"/>
      <c r="EM6008" s="165"/>
      <c r="EN6008" s="165"/>
      <c r="EO6008" s="165"/>
      <c r="EP6008" s="165"/>
      <c r="EQ6008" s="165"/>
      <c r="ER6008" s="165"/>
      <c r="ES6008" s="165"/>
    </row>
    <row r="6009" spans="1:149" s="451" customFormat="1" ht="15" hidden="1" customHeight="1">
      <c r="A6009" s="468">
        <v>45545</v>
      </c>
      <c r="B6009" s="208" t="s">
        <v>4940</v>
      </c>
      <c r="C6009" s="208" t="s">
        <v>269</v>
      </c>
      <c r="D6009" s="211">
        <v>-30000</v>
      </c>
      <c r="E6009" s="212">
        <v>45536</v>
      </c>
      <c r="F6009" s="208" t="s">
        <v>109</v>
      </c>
      <c r="G6009" s="201" t="s">
        <v>581</v>
      </c>
      <c r="H6009" s="208"/>
      <c r="I6009" s="208" t="s">
        <v>3364</v>
      </c>
      <c r="J6009" s="209"/>
      <c r="K6009" s="209"/>
      <c r="L6009" s="209"/>
      <c r="M6009" s="209"/>
      <c r="N6009" s="209"/>
      <c r="O6009" s="209"/>
      <c r="P6009" s="209"/>
      <c r="Q6009" s="209"/>
      <c r="R6009" s="209"/>
      <c r="S6009" s="209"/>
      <c r="T6009" s="209"/>
      <c r="U6009" s="165"/>
      <c r="V6009" s="165"/>
      <c r="W6009" s="165"/>
      <c r="X6009" s="165"/>
      <c r="Y6009" s="165"/>
      <c r="Z6009" s="165"/>
      <c r="AA6009" s="165"/>
      <c r="AB6009" s="165"/>
      <c r="AC6009" s="165"/>
      <c r="AD6009" s="165"/>
      <c r="AE6009" s="165"/>
      <c r="AF6009" s="165"/>
      <c r="AG6009" s="165"/>
      <c r="AH6009" s="165"/>
      <c r="AI6009" s="165"/>
      <c r="AJ6009" s="165"/>
      <c r="AK6009" s="165"/>
      <c r="AL6009" s="165"/>
      <c r="AM6009" s="165"/>
      <c r="AN6009" s="165"/>
      <c r="AO6009" s="165"/>
      <c r="AP6009" s="165"/>
      <c r="AQ6009" s="165"/>
      <c r="AR6009" s="165"/>
      <c r="AS6009" s="165"/>
      <c r="AT6009" s="165"/>
      <c r="AU6009" s="165"/>
      <c r="AV6009" s="165"/>
      <c r="AW6009" s="165"/>
      <c r="AX6009" s="165"/>
      <c r="AY6009" s="165"/>
      <c r="AZ6009" s="165"/>
      <c r="BA6009" s="165"/>
      <c r="BB6009" s="165"/>
      <c r="BC6009" s="165"/>
      <c r="BD6009" s="165"/>
      <c r="BE6009" s="165"/>
      <c r="BF6009" s="165"/>
      <c r="BG6009" s="165"/>
      <c r="BH6009" s="165"/>
      <c r="BI6009" s="165"/>
      <c r="BJ6009" s="165"/>
      <c r="BK6009" s="165"/>
      <c r="BL6009" s="165"/>
      <c r="BM6009" s="165"/>
      <c r="BN6009" s="165"/>
      <c r="BO6009" s="165"/>
      <c r="BP6009" s="165"/>
      <c r="BQ6009" s="165"/>
      <c r="BR6009" s="165"/>
      <c r="BS6009" s="165"/>
      <c r="BT6009" s="165"/>
      <c r="BU6009" s="165"/>
      <c r="BV6009" s="165"/>
      <c r="BW6009" s="165"/>
      <c r="BX6009" s="165"/>
      <c r="BY6009" s="165"/>
      <c r="BZ6009" s="165"/>
      <c r="CA6009" s="165"/>
      <c r="CB6009" s="165"/>
      <c r="CC6009" s="165"/>
      <c r="CD6009" s="165"/>
      <c r="CE6009" s="165"/>
      <c r="CF6009" s="165"/>
      <c r="CG6009" s="165"/>
      <c r="CH6009" s="165"/>
      <c r="CI6009" s="165"/>
      <c r="CJ6009" s="165"/>
      <c r="CK6009" s="165"/>
      <c r="CL6009" s="165"/>
      <c r="CM6009" s="165"/>
      <c r="CN6009" s="165"/>
      <c r="CO6009" s="165"/>
      <c r="CP6009" s="165"/>
      <c r="CQ6009" s="165"/>
      <c r="CR6009" s="165"/>
      <c r="CS6009" s="165"/>
      <c r="CT6009" s="165"/>
      <c r="CU6009" s="165"/>
      <c r="CV6009" s="165"/>
      <c r="CW6009" s="165"/>
      <c r="CX6009" s="165"/>
      <c r="CY6009" s="165"/>
      <c r="CZ6009" s="165"/>
      <c r="DA6009" s="165"/>
      <c r="DB6009" s="165"/>
      <c r="DC6009" s="165"/>
      <c r="DD6009" s="165"/>
      <c r="DE6009" s="165"/>
      <c r="DF6009" s="165"/>
      <c r="DG6009" s="165"/>
      <c r="DH6009" s="165"/>
      <c r="DI6009" s="165"/>
      <c r="DJ6009" s="165"/>
      <c r="DK6009" s="165"/>
      <c r="DL6009" s="165"/>
      <c r="DM6009" s="165"/>
      <c r="DN6009" s="165"/>
      <c r="DO6009" s="165"/>
      <c r="DP6009" s="165"/>
      <c r="DQ6009" s="165"/>
      <c r="DR6009" s="165"/>
      <c r="DS6009" s="165"/>
      <c r="DT6009" s="165"/>
      <c r="DU6009" s="165"/>
      <c r="DV6009" s="165"/>
      <c r="DW6009" s="165"/>
      <c r="DX6009" s="165"/>
      <c r="DY6009" s="165"/>
      <c r="DZ6009" s="165"/>
      <c r="EA6009" s="165"/>
      <c r="EB6009" s="165"/>
      <c r="EC6009" s="165"/>
      <c r="ED6009" s="165"/>
      <c r="EE6009" s="165"/>
      <c r="EF6009" s="165"/>
      <c r="EG6009" s="165"/>
      <c r="EH6009" s="165"/>
      <c r="EI6009" s="165"/>
      <c r="EJ6009" s="165"/>
      <c r="EK6009" s="165"/>
      <c r="EL6009" s="165"/>
      <c r="EM6009" s="165"/>
      <c r="EN6009" s="165"/>
      <c r="EO6009" s="165"/>
      <c r="EP6009" s="165"/>
      <c r="EQ6009" s="165"/>
      <c r="ER6009" s="165"/>
      <c r="ES6009" s="165"/>
    </row>
    <row r="6010" spans="1:149" s="451" customFormat="1" ht="15" hidden="1" customHeight="1">
      <c r="A6010" s="468">
        <v>45545</v>
      </c>
      <c r="B6010" s="208" t="s">
        <v>4866</v>
      </c>
      <c r="C6010" s="208" t="s">
        <v>146</v>
      </c>
      <c r="D6010" s="211">
        <v>-63604</v>
      </c>
      <c r="E6010" s="212">
        <v>45536</v>
      </c>
      <c r="F6010" s="208" t="s">
        <v>110</v>
      </c>
      <c r="G6010" s="208" t="s">
        <v>4399</v>
      </c>
      <c r="H6010" s="208" t="s">
        <v>147</v>
      </c>
      <c r="I6010" s="208" t="s">
        <v>3378</v>
      </c>
      <c r="J6010" s="209"/>
      <c r="K6010" s="209"/>
      <c r="L6010" s="209"/>
      <c r="M6010" s="209"/>
      <c r="N6010" s="209"/>
      <c r="O6010" s="209"/>
      <c r="P6010" s="209"/>
      <c r="Q6010" s="209"/>
      <c r="R6010" s="209"/>
      <c r="S6010" s="209"/>
      <c r="T6010" s="209"/>
      <c r="U6010" s="165"/>
      <c r="V6010" s="165"/>
      <c r="W6010" s="165"/>
      <c r="X6010" s="165"/>
      <c r="Y6010" s="165"/>
      <c r="Z6010" s="165"/>
      <c r="AA6010" s="165"/>
      <c r="AB6010" s="165"/>
      <c r="AC6010" s="165"/>
      <c r="AD6010" s="165"/>
      <c r="AE6010" s="165"/>
      <c r="AF6010" s="165"/>
      <c r="AG6010" s="165"/>
      <c r="AH6010" s="165"/>
      <c r="AI6010" s="165"/>
      <c r="AJ6010" s="165"/>
      <c r="AK6010" s="165"/>
      <c r="AL6010" s="165"/>
      <c r="AM6010" s="165"/>
      <c r="AN6010" s="165"/>
      <c r="AO6010" s="165"/>
      <c r="AP6010" s="165"/>
      <c r="AQ6010" s="165"/>
      <c r="AR6010" s="165"/>
      <c r="AS6010" s="165"/>
      <c r="AT6010" s="165"/>
      <c r="AU6010" s="165"/>
      <c r="AV6010" s="165"/>
      <c r="AW6010" s="165"/>
      <c r="AX6010" s="165"/>
      <c r="AY6010" s="165"/>
      <c r="AZ6010" s="165"/>
      <c r="BA6010" s="165"/>
      <c r="BB6010" s="165"/>
      <c r="BC6010" s="165"/>
      <c r="BD6010" s="165"/>
      <c r="BE6010" s="165"/>
      <c r="BF6010" s="165"/>
      <c r="BG6010" s="165"/>
      <c r="BH6010" s="165"/>
      <c r="BI6010" s="165"/>
      <c r="BJ6010" s="165"/>
      <c r="BK6010" s="165"/>
      <c r="BL6010" s="165"/>
      <c r="BM6010" s="165"/>
      <c r="BN6010" s="165"/>
      <c r="BO6010" s="165"/>
      <c r="BP6010" s="165"/>
      <c r="BQ6010" s="165"/>
      <c r="BR6010" s="165"/>
      <c r="BS6010" s="165"/>
      <c r="BT6010" s="165"/>
      <c r="BU6010" s="165"/>
      <c r="BV6010" s="165"/>
      <c r="BW6010" s="165"/>
      <c r="BX6010" s="165"/>
      <c r="BY6010" s="165"/>
      <c r="BZ6010" s="165"/>
      <c r="CA6010" s="165"/>
      <c r="CB6010" s="165"/>
      <c r="CC6010" s="165"/>
      <c r="CD6010" s="165"/>
      <c r="CE6010" s="165"/>
      <c r="CF6010" s="165"/>
      <c r="CG6010" s="165"/>
      <c r="CH6010" s="165"/>
      <c r="CI6010" s="165"/>
      <c r="CJ6010" s="165"/>
      <c r="CK6010" s="165"/>
      <c r="CL6010" s="165"/>
      <c r="CM6010" s="165"/>
      <c r="CN6010" s="165"/>
      <c r="CO6010" s="165"/>
      <c r="CP6010" s="165"/>
      <c r="CQ6010" s="165"/>
      <c r="CR6010" s="165"/>
      <c r="CS6010" s="165"/>
      <c r="CT6010" s="165"/>
      <c r="CU6010" s="165"/>
      <c r="CV6010" s="165"/>
      <c r="CW6010" s="165"/>
      <c r="CX6010" s="165"/>
      <c r="CY6010" s="165"/>
      <c r="CZ6010" s="165"/>
      <c r="DA6010" s="165"/>
      <c r="DB6010" s="165"/>
      <c r="DC6010" s="165"/>
      <c r="DD6010" s="165"/>
      <c r="DE6010" s="165"/>
      <c r="DF6010" s="165"/>
      <c r="DG6010" s="165"/>
      <c r="DH6010" s="165"/>
      <c r="DI6010" s="165"/>
      <c r="DJ6010" s="165"/>
      <c r="DK6010" s="165"/>
      <c r="DL6010" s="165"/>
      <c r="DM6010" s="165"/>
      <c r="DN6010" s="165"/>
      <c r="DO6010" s="165"/>
      <c r="DP6010" s="165"/>
      <c r="DQ6010" s="165"/>
      <c r="DR6010" s="165"/>
      <c r="DS6010" s="165"/>
      <c r="DT6010" s="165"/>
      <c r="DU6010" s="165"/>
      <c r="DV6010" s="165"/>
      <c r="DW6010" s="165"/>
      <c r="DX6010" s="165"/>
      <c r="DY6010" s="165"/>
      <c r="DZ6010" s="165"/>
      <c r="EA6010" s="165"/>
      <c r="EB6010" s="165"/>
      <c r="EC6010" s="165"/>
      <c r="ED6010" s="165"/>
      <c r="EE6010" s="165"/>
      <c r="EF6010" s="165"/>
      <c r="EG6010" s="165"/>
      <c r="EH6010" s="165"/>
      <c r="EI6010" s="165"/>
      <c r="EJ6010" s="165"/>
      <c r="EK6010" s="165"/>
      <c r="EL6010" s="165"/>
      <c r="EM6010" s="165"/>
      <c r="EN6010" s="165"/>
      <c r="EO6010" s="165"/>
      <c r="EP6010" s="165"/>
      <c r="EQ6010" s="165"/>
      <c r="ER6010" s="165"/>
      <c r="ES6010" s="165"/>
    </row>
    <row r="6011" spans="1:149" s="451" customFormat="1" ht="15" hidden="1" customHeight="1">
      <c r="A6011" s="468">
        <v>45545</v>
      </c>
      <c r="B6011" s="208" t="s">
        <v>3533</v>
      </c>
      <c r="C6011" s="208" t="s">
        <v>146</v>
      </c>
      <c r="D6011" s="211">
        <v>-23800</v>
      </c>
      <c r="E6011" s="212">
        <v>45536</v>
      </c>
      <c r="F6011" s="208" t="s">
        <v>130</v>
      </c>
      <c r="G6011" s="208" t="s">
        <v>257</v>
      </c>
      <c r="H6011" s="208" t="s">
        <v>138</v>
      </c>
      <c r="I6011" s="208" t="s">
        <v>63</v>
      </c>
      <c r="J6011" s="209"/>
      <c r="K6011" s="209"/>
      <c r="L6011" s="209"/>
      <c r="M6011" s="209"/>
      <c r="N6011" s="209"/>
      <c r="O6011" s="209"/>
      <c r="P6011" s="209"/>
      <c r="Q6011" s="209"/>
      <c r="R6011" s="209"/>
      <c r="S6011" s="209"/>
      <c r="T6011" s="209"/>
      <c r="U6011" s="165"/>
      <c r="V6011" s="165"/>
      <c r="W6011" s="165"/>
      <c r="X6011" s="165"/>
      <c r="Y6011" s="165"/>
      <c r="Z6011" s="165"/>
      <c r="AA6011" s="165"/>
      <c r="AB6011" s="165"/>
      <c r="AC6011" s="165"/>
      <c r="AD6011" s="165"/>
      <c r="AE6011" s="165"/>
      <c r="AF6011" s="165"/>
      <c r="AG6011" s="165"/>
      <c r="AH6011" s="165"/>
      <c r="AI6011" s="165"/>
      <c r="AJ6011" s="165"/>
      <c r="AK6011" s="165"/>
      <c r="AL6011" s="165"/>
      <c r="AM6011" s="165"/>
      <c r="AN6011" s="165"/>
      <c r="AO6011" s="165"/>
      <c r="AP6011" s="165"/>
      <c r="AQ6011" s="165"/>
      <c r="AR6011" s="165"/>
      <c r="AS6011" s="165"/>
      <c r="AT6011" s="165"/>
      <c r="AU6011" s="165"/>
      <c r="AV6011" s="165"/>
      <c r="AW6011" s="165"/>
      <c r="AX6011" s="165"/>
      <c r="AY6011" s="165"/>
      <c r="AZ6011" s="165"/>
      <c r="BA6011" s="165"/>
      <c r="BB6011" s="165"/>
      <c r="BC6011" s="165"/>
      <c r="BD6011" s="165"/>
      <c r="BE6011" s="165"/>
      <c r="BF6011" s="165"/>
      <c r="BG6011" s="165"/>
      <c r="BH6011" s="165"/>
      <c r="BI6011" s="165"/>
      <c r="BJ6011" s="165"/>
      <c r="BK6011" s="165"/>
      <c r="BL6011" s="165"/>
      <c r="BM6011" s="165"/>
      <c r="BN6011" s="165"/>
      <c r="BO6011" s="165"/>
      <c r="BP6011" s="165"/>
      <c r="BQ6011" s="165"/>
      <c r="BR6011" s="165"/>
      <c r="BS6011" s="165"/>
      <c r="BT6011" s="165"/>
      <c r="BU6011" s="165"/>
      <c r="BV6011" s="165"/>
      <c r="BW6011" s="165"/>
      <c r="BX6011" s="165"/>
      <c r="BY6011" s="165"/>
      <c r="BZ6011" s="165"/>
      <c r="CA6011" s="165"/>
      <c r="CB6011" s="165"/>
      <c r="CC6011" s="165"/>
      <c r="CD6011" s="165"/>
      <c r="CE6011" s="165"/>
      <c r="CF6011" s="165"/>
      <c r="CG6011" s="165"/>
      <c r="CH6011" s="165"/>
      <c r="CI6011" s="165"/>
      <c r="CJ6011" s="165"/>
      <c r="CK6011" s="165"/>
      <c r="CL6011" s="165"/>
      <c r="CM6011" s="165"/>
      <c r="CN6011" s="165"/>
      <c r="CO6011" s="165"/>
      <c r="CP6011" s="165"/>
      <c r="CQ6011" s="165"/>
      <c r="CR6011" s="165"/>
      <c r="CS6011" s="165"/>
      <c r="CT6011" s="165"/>
      <c r="CU6011" s="165"/>
      <c r="CV6011" s="165"/>
      <c r="CW6011" s="165"/>
      <c r="CX6011" s="165"/>
      <c r="CY6011" s="165"/>
      <c r="CZ6011" s="165"/>
      <c r="DA6011" s="165"/>
      <c r="DB6011" s="165"/>
      <c r="DC6011" s="165"/>
      <c r="DD6011" s="165"/>
      <c r="DE6011" s="165"/>
      <c r="DF6011" s="165"/>
      <c r="DG6011" s="165"/>
      <c r="DH6011" s="165"/>
      <c r="DI6011" s="165"/>
      <c r="DJ6011" s="165"/>
      <c r="DK6011" s="165"/>
      <c r="DL6011" s="165"/>
      <c r="DM6011" s="165"/>
      <c r="DN6011" s="165"/>
      <c r="DO6011" s="165"/>
      <c r="DP6011" s="165"/>
      <c r="DQ6011" s="165"/>
      <c r="DR6011" s="165"/>
      <c r="DS6011" s="165"/>
      <c r="DT6011" s="165"/>
      <c r="DU6011" s="165"/>
      <c r="DV6011" s="165"/>
      <c r="DW6011" s="165"/>
      <c r="DX6011" s="165"/>
      <c r="DY6011" s="165"/>
      <c r="DZ6011" s="165"/>
      <c r="EA6011" s="165"/>
      <c r="EB6011" s="165"/>
      <c r="EC6011" s="165"/>
      <c r="ED6011" s="165"/>
      <c r="EE6011" s="165"/>
      <c r="EF6011" s="165"/>
      <c r="EG6011" s="165"/>
      <c r="EH6011" s="165"/>
      <c r="EI6011" s="165"/>
      <c r="EJ6011" s="165"/>
      <c r="EK6011" s="165"/>
      <c r="EL6011" s="165"/>
      <c r="EM6011" s="165"/>
      <c r="EN6011" s="165"/>
      <c r="EO6011" s="165"/>
      <c r="EP6011" s="165"/>
      <c r="EQ6011" s="165"/>
      <c r="ER6011" s="165"/>
      <c r="ES6011" s="165"/>
    </row>
    <row r="6012" spans="1:149" s="451" customFormat="1" ht="15" hidden="1" customHeight="1">
      <c r="A6012" s="468">
        <v>45545</v>
      </c>
      <c r="B6012" s="208" t="s">
        <v>4748</v>
      </c>
      <c r="C6012" s="208" t="s">
        <v>146</v>
      </c>
      <c r="D6012" s="211">
        <v>-28000</v>
      </c>
      <c r="E6012" s="212">
        <v>45536</v>
      </c>
      <c r="F6012" s="208" t="s">
        <v>130</v>
      </c>
      <c r="G6012" s="208" t="s">
        <v>257</v>
      </c>
      <c r="H6012" s="208" t="s">
        <v>303</v>
      </c>
      <c r="I6012" s="208" t="s">
        <v>63</v>
      </c>
      <c r="J6012" s="209"/>
      <c r="K6012" s="209"/>
      <c r="L6012" s="209"/>
      <c r="M6012" s="209"/>
      <c r="N6012" s="209"/>
      <c r="O6012" s="209"/>
      <c r="P6012" s="209"/>
      <c r="Q6012" s="209"/>
      <c r="R6012" s="209"/>
      <c r="S6012" s="209"/>
      <c r="T6012" s="209"/>
      <c r="U6012" s="165"/>
      <c r="V6012" s="165"/>
      <c r="W6012" s="165"/>
      <c r="X6012" s="165"/>
      <c r="Y6012" s="165"/>
      <c r="Z6012" s="165"/>
      <c r="AA6012" s="165"/>
      <c r="AB6012" s="165"/>
      <c r="AC6012" s="165"/>
      <c r="AD6012" s="165"/>
      <c r="AE6012" s="165"/>
      <c r="AF6012" s="165"/>
      <c r="AG6012" s="165"/>
      <c r="AH6012" s="165"/>
      <c r="AI6012" s="165"/>
      <c r="AJ6012" s="165"/>
      <c r="AK6012" s="165"/>
      <c r="AL6012" s="165"/>
      <c r="AM6012" s="165"/>
      <c r="AN6012" s="165"/>
      <c r="AO6012" s="165"/>
      <c r="AP6012" s="165"/>
      <c r="AQ6012" s="165"/>
      <c r="AR6012" s="165"/>
      <c r="AS6012" s="165"/>
      <c r="AT6012" s="165"/>
      <c r="AU6012" s="165"/>
      <c r="AV6012" s="165"/>
      <c r="AW6012" s="165"/>
      <c r="AX6012" s="165"/>
      <c r="AY6012" s="165"/>
      <c r="AZ6012" s="165"/>
      <c r="BA6012" s="165"/>
      <c r="BB6012" s="165"/>
      <c r="BC6012" s="165"/>
      <c r="BD6012" s="165"/>
      <c r="BE6012" s="165"/>
      <c r="BF6012" s="165"/>
      <c r="BG6012" s="165"/>
      <c r="BH6012" s="165"/>
      <c r="BI6012" s="165"/>
      <c r="BJ6012" s="165"/>
      <c r="BK6012" s="165"/>
      <c r="BL6012" s="165"/>
      <c r="BM6012" s="165"/>
      <c r="BN6012" s="165"/>
      <c r="BO6012" s="165"/>
      <c r="BP6012" s="165"/>
      <c r="BQ6012" s="165"/>
      <c r="BR6012" s="165"/>
      <c r="BS6012" s="165"/>
      <c r="BT6012" s="165"/>
      <c r="BU6012" s="165"/>
      <c r="BV6012" s="165"/>
      <c r="BW6012" s="165"/>
      <c r="BX6012" s="165"/>
      <c r="BY6012" s="165"/>
      <c r="BZ6012" s="165"/>
      <c r="CA6012" s="165"/>
      <c r="CB6012" s="165"/>
      <c r="CC6012" s="165"/>
      <c r="CD6012" s="165"/>
      <c r="CE6012" s="165"/>
      <c r="CF6012" s="165"/>
      <c r="CG6012" s="165"/>
      <c r="CH6012" s="165"/>
      <c r="CI6012" s="165"/>
      <c r="CJ6012" s="165"/>
      <c r="CK6012" s="165"/>
      <c r="CL6012" s="165"/>
      <c r="CM6012" s="165"/>
      <c r="CN6012" s="165"/>
      <c r="CO6012" s="165"/>
      <c r="CP6012" s="165"/>
      <c r="CQ6012" s="165"/>
      <c r="CR6012" s="165"/>
      <c r="CS6012" s="165"/>
      <c r="CT6012" s="165"/>
      <c r="CU6012" s="165"/>
      <c r="CV6012" s="165"/>
      <c r="CW6012" s="165"/>
      <c r="CX6012" s="165"/>
      <c r="CY6012" s="165"/>
      <c r="CZ6012" s="165"/>
      <c r="DA6012" s="165"/>
      <c r="DB6012" s="165"/>
      <c r="DC6012" s="165"/>
      <c r="DD6012" s="165"/>
      <c r="DE6012" s="165"/>
      <c r="DF6012" s="165"/>
      <c r="DG6012" s="165"/>
      <c r="DH6012" s="165"/>
      <c r="DI6012" s="165"/>
      <c r="DJ6012" s="165"/>
      <c r="DK6012" s="165"/>
      <c r="DL6012" s="165"/>
      <c r="DM6012" s="165"/>
      <c r="DN6012" s="165"/>
      <c r="DO6012" s="165"/>
      <c r="DP6012" s="165"/>
      <c r="DQ6012" s="165"/>
      <c r="DR6012" s="165"/>
      <c r="DS6012" s="165"/>
      <c r="DT6012" s="165"/>
      <c r="DU6012" s="165"/>
      <c r="DV6012" s="165"/>
      <c r="DW6012" s="165"/>
      <c r="DX6012" s="165"/>
      <c r="DY6012" s="165"/>
      <c r="DZ6012" s="165"/>
      <c r="EA6012" s="165"/>
      <c r="EB6012" s="165"/>
      <c r="EC6012" s="165"/>
      <c r="ED6012" s="165"/>
      <c r="EE6012" s="165"/>
      <c r="EF6012" s="165"/>
      <c r="EG6012" s="165"/>
      <c r="EH6012" s="165"/>
      <c r="EI6012" s="165"/>
      <c r="EJ6012" s="165"/>
      <c r="EK6012" s="165"/>
      <c r="EL6012" s="165"/>
      <c r="EM6012" s="165"/>
      <c r="EN6012" s="165"/>
      <c r="EO6012" s="165"/>
      <c r="EP6012" s="165"/>
      <c r="EQ6012" s="165"/>
      <c r="ER6012" s="165"/>
      <c r="ES6012" s="165"/>
    </row>
    <row r="6013" spans="1:149" s="451" customFormat="1" ht="15" hidden="1" customHeight="1">
      <c r="A6013" s="468">
        <v>45545</v>
      </c>
      <c r="B6013" s="208" t="s">
        <v>3534</v>
      </c>
      <c r="C6013" s="208" t="s">
        <v>146</v>
      </c>
      <c r="D6013" s="211">
        <v>-60000</v>
      </c>
      <c r="E6013" s="212">
        <v>45536</v>
      </c>
      <c r="F6013" s="208" t="s">
        <v>130</v>
      </c>
      <c r="G6013" s="208" t="s">
        <v>257</v>
      </c>
      <c r="H6013" s="208" t="s">
        <v>138</v>
      </c>
      <c r="I6013" s="208" t="s">
        <v>63</v>
      </c>
      <c r="J6013" s="209"/>
      <c r="K6013" s="209"/>
      <c r="L6013" s="209"/>
      <c r="M6013" s="209"/>
      <c r="N6013" s="209"/>
      <c r="O6013" s="209"/>
      <c r="P6013" s="209"/>
      <c r="Q6013" s="209"/>
      <c r="R6013" s="209"/>
      <c r="S6013" s="209"/>
      <c r="T6013" s="209"/>
      <c r="U6013" s="165"/>
      <c r="V6013" s="165"/>
      <c r="W6013" s="165"/>
      <c r="X6013" s="165"/>
      <c r="Y6013" s="165"/>
      <c r="Z6013" s="165"/>
      <c r="AA6013" s="165"/>
      <c r="AB6013" s="165"/>
      <c r="AC6013" s="165"/>
      <c r="AD6013" s="165"/>
      <c r="AE6013" s="165"/>
      <c r="AF6013" s="165"/>
      <c r="AG6013" s="165"/>
      <c r="AH6013" s="165"/>
      <c r="AI6013" s="165"/>
      <c r="AJ6013" s="165"/>
      <c r="AK6013" s="165"/>
      <c r="AL6013" s="165"/>
      <c r="AM6013" s="165"/>
      <c r="AN6013" s="165"/>
      <c r="AO6013" s="165"/>
      <c r="AP6013" s="165"/>
      <c r="AQ6013" s="165"/>
      <c r="AR6013" s="165"/>
      <c r="AS6013" s="165"/>
      <c r="AT6013" s="165"/>
      <c r="AU6013" s="165"/>
      <c r="AV6013" s="165"/>
      <c r="AW6013" s="165"/>
      <c r="AX6013" s="165"/>
      <c r="AY6013" s="165"/>
      <c r="AZ6013" s="165"/>
      <c r="BA6013" s="165"/>
      <c r="BB6013" s="165"/>
      <c r="BC6013" s="165"/>
      <c r="BD6013" s="165"/>
      <c r="BE6013" s="165"/>
      <c r="BF6013" s="165"/>
      <c r="BG6013" s="165"/>
      <c r="BH6013" s="165"/>
      <c r="BI6013" s="165"/>
      <c r="BJ6013" s="165"/>
      <c r="BK6013" s="165"/>
      <c r="BL6013" s="165"/>
      <c r="BM6013" s="165"/>
      <c r="BN6013" s="165"/>
      <c r="BO6013" s="165"/>
      <c r="BP6013" s="165"/>
      <c r="BQ6013" s="165"/>
      <c r="BR6013" s="165"/>
      <c r="BS6013" s="165"/>
      <c r="BT6013" s="165"/>
      <c r="BU6013" s="165"/>
      <c r="BV6013" s="165"/>
      <c r="BW6013" s="165"/>
      <c r="BX6013" s="165"/>
      <c r="BY6013" s="165"/>
      <c r="BZ6013" s="165"/>
      <c r="CA6013" s="165"/>
      <c r="CB6013" s="165"/>
      <c r="CC6013" s="165"/>
      <c r="CD6013" s="165"/>
      <c r="CE6013" s="165"/>
      <c r="CF6013" s="165"/>
      <c r="CG6013" s="165"/>
      <c r="CH6013" s="165"/>
      <c r="CI6013" s="165"/>
      <c r="CJ6013" s="165"/>
      <c r="CK6013" s="165"/>
      <c r="CL6013" s="165"/>
      <c r="CM6013" s="165"/>
      <c r="CN6013" s="165"/>
      <c r="CO6013" s="165"/>
      <c r="CP6013" s="165"/>
      <c r="CQ6013" s="165"/>
      <c r="CR6013" s="165"/>
      <c r="CS6013" s="165"/>
      <c r="CT6013" s="165"/>
      <c r="CU6013" s="165"/>
      <c r="CV6013" s="165"/>
      <c r="CW6013" s="165"/>
      <c r="CX6013" s="165"/>
      <c r="CY6013" s="165"/>
      <c r="CZ6013" s="165"/>
      <c r="DA6013" s="165"/>
      <c r="DB6013" s="165"/>
      <c r="DC6013" s="165"/>
      <c r="DD6013" s="165"/>
      <c r="DE6013" s="165"/>
      <c r="DF6013" s="165"/>
      <c r="DG6013" s="165"/>
      <c r="DH6013" s="165"/>
      <c r="DI6013" s="165"/>
      <c r="DJ6013" s="165"/>
      <c r="DK6013" s="165"/>
      <c r="DL6013" s="165"/>
      <c r="DM6013" s="165"/>
      <c r="DN6013" s="165"/>
      <c r="DO6013" s="165"/>
      <c r="DP6013" s="165"/>
      <c r="DQ6013" s="165"/>
      <c r="DR6013" s="165"/>
      <c r="DS6013" s="165"/>
      <c r="DT6013" s="165"/>
      <c r="DU6013" s="165"/>
      <c r="DV6013" s="165"/>
      <c r="DW6013" s="165"/>
      <c r="DX6013" s="165"/>
      <c r="DY6013" s="165"/>
      <c r="DZ6013" s="165"/>
      <c r="EA6013" s="165"/>
      <c r="EB6013" s="165"/>
      <c r="EC6013" s="165"/>
      <c r="ED6013" s="165"/>
      <c r="EE6013" s="165"/>
      <c r="EF6013" s="165"/>
      <c r="EG6013" s="165"/>
      <c r="EH6013" s="165"/>
      <c r="EI6013" s="165"/>
      <c r="EJ6013" s="165"/>
      <c r="EK6013" s="165"/>
      <c r="EL6013" s="165"/>
      <c r="EM6013" s="165"/>
      <c r="EN6013" s="165"/>
      <c r="EO6013" s="165"/>
      <c r="EP6013" s="165"/>
      <c r="EQ6013" s="165"/>
      <c r="ER6013" s="165"/>
      <c r="ES6013" s="165"/>
    </row>
    <row r="6014" spans="1:149" s="451" customFormat="1" ht="15" hidden="1" customHeight="1">
      <c r="A6014" s="468">
        <v>45545</v>
      </c>
      <c r="B6014" s="208" t="s">
        <v>4941</v>
      </c>
      <c r="C6014" s="208" t="s">
        <v>146</v>
      </c>
      <c r="D6014" s="211">
        <v>-13500</v>
      </c>
      <c r="E6014" s="212">
        <v>45536</v>
      </c>
      <c r="F6014" s="208" t="s">
        <v>130</v>
      </c>
      <c r="G6014" s="208" t="s">
        <v>257</v>
      </c>
      <c r="H6014" s="208" t="s">
        <v>138</v>
      </c>
      <c r="I6014" s="208" t="s">
        <v>63</v>
      </c>
      <c r="J6014" s="209"/>
      <c r="K6014" s="209"/>
      <c r="L6014" s="209"/>
      <c r="M6014" s="209"/>
      <c r="N6014" s="209"/>
      <c r="O6014" s="209"/>
      <c r="P6014" s="209"/>
      <c r="Q6014" s="209"/>
      <c r="R6014" s="209"/>
      <c r="S6014" s="209"/>
      <c r="T6014" s="209"/>
      <c r="U6014" s="165"/>
      <c r="V6014" s="165"/>
      <c r="W6014" s="165"/>
      <c r="X6014" s="165"/>
      <c r="Y6014" s="165"/>
      <c r="Z6014" s="165"/>
      <c r="AA6014" s="165"/>
      <c r="AB6014" s="165"/>
      <c r="AC6014" s="165"/>
      <c r="AD6014" s="165"/>
      <c r="AE6014" s="165"/>
      <c r="AF6014" s="165"/>
      <c r="AG6014" s="165"/>
      <c r="AH6014" s="165"/>
      <c r="AI6014" s="165"/>
      <c r="AJ6014" s="165"/>
      <c r="AK6014" s="165"/>
      <c r="AL6014" s="165"/>
      <c r="AM6014" s="165"/>
      <c r="AN6014" s="165"/>
      <c r="AO6014" s="165"/>
      <c r="AP6014" s="165"/>
      <c r="AQ6014" s="165"/>
      <c r="AR6014" s="165"/>
      <c r="AS6014" s="165"/>
      <c r="AT6014" s="165"/>
      <c r="AU6014" s="165"/>
      <c r="AV6014" s="165"/>
      <c r="AW6014" s="165"/>
      <c r="AX6014" s="165"/>
      <c r="AY6014" s="165"/>
      <c r="AZ6014" s="165"/>
      <c r="BA6014" s="165"/>
      <c r="BB6014" s="165"/>
      <c r="BC6014" s="165"/>
      <c r="BD6014" s="165"/>
      <c r="BE6014" s="165"/>
      <c r="BF6014" s="165"/>
      <c r="BG6014" s="165"/>
      <c r="BH6014" s="165"/>
      <c r="BI6014" s="165"/>
      <c r="BJ6014" s="165"/>
      <c r="BK6014" s="165"/>
      <c r="BL6014" s="165"/>
      <c r="BM6014" s="165"/>
      <c r="BN6014" s="165"/>
      <c r="BO6014" s="165"/>
      <c r="BP6014" s="165"/>
      <c r="BQ6014" s="165"/>
      <c r="BR6014" s="165"/>
      <c r="BS6014" s="165"/>
      <c r="BT6014" s="165"/>
      <c r="BU6014" s="165"/>
      <c r="BV6014" s="165"/>
      <c r="BW6014" s="165"/>
      <c r="BX6014" s="165"/>
      <c r="BY6014" s="165"/>
      <c r="BZ6014" s="165"/>
      <c r="CA6014" s="165"/>
      <c r="CB6014" s="165"/>
      <c r="CC6014" s="165"/>
      <c r="CD6014" s="165"/>
      <c r="CE6014" s="165"/>
      <c r="CF6014" s="165"/>
      <c r="CG6014" s="165"/>
      <c r="CH6014" s="165"/>
      <c r="CI6014" s="165"/>
      <c r="CJ6014" s="165"/>
      <c r="CK6014" s="165"/>
      <c r="CL6014" s="165"/>
      <c r="CM6014" s="165"/>
      <c r="CN6014" s="165"/>
      <c r="CO6014" s="165"/>
      <c r="CP6014" s="165"/>
      <c r="CQ6014" s="165"/>
      <c r="CR6014" s="165"/>
      <c r="CS6014" s="165"/>
      <c r="CT6014" s="165"/>
      <c r="CU6014" s="165"/>
      <c r="CV6014" s="165"/>
      <c r="CW6014" s="165"/>
      <c r="CX6014" s="165"/>
      <c r="CY6014" s="165"/>
      <c r="CZ6014" s="165"/>
      <c r="DA6014" s="165"/>
      <c r="DB6014" s="165"/>
      <c r="DC6014" s="165"/>
      <c r="DD6014" s="165"/>
      <c r="DE6014" s="165"/>
      <c r="DF6014" s="165"/>
      <c r="DG6014" s="165"/>
      <c r="DH6014" s="165"/>
      <c r="DI6014" s="165"/>
      <c r="DJ6014" s="165"/>
      <c r="DK6014" s="165"/>
      <c r="DL6014" s="165"/>
      <c r="DM6014" s="165"/>
      <c r="DN6014" s="165"/>
      <c r="DO6014" s="165"/>
      <c r="DP6014" s="165"/>
      <c r="DQ6014" s="165"/>
      <c r="DR6014" s="165"/>
      <c r="DS6014" s="165"/>
      <c r="DT6014" s="165"/>
      <c r="DU6014" s="165"/>
      <c r="DV6014" s="165"/>
      <c r="DW6014" s="165"/>
      <c r="DX6014" s="165"/>
      <c r="DY6014" s="165"/>
      <c r="DZ6014" s="165"/>
      <c r="EA6014" s="165"/>
      <c r="EB6014" s="165"/>
      <c r="EC6014" s="165"/>
      <c r="ED6014" s="165"/>
      <c r="EE6014" s="165"/>
      <c r="EF6014" s="165"/>
      <c r="EG6014" s="165"/>
      <c r="EH6014" s="165"/>
      <c r="EI6014" s="165"/>
      <c r="EJ6014" s="165"/>
      <c r="EK6014" s="165"/>
      <c r="EL6014" s="165"/>
      <c r="EM6014" s="165"/>
      <c r="EN6014" s="165"/>
      <c r="EO6014" s="165"/>
      <c r="EP6014" s="165"/>
      <c r="EQ6014" s="165"/>
      <c r="ER6014" s="165"/>
      <c r="ES6014" s="165"/>
    </row>
    <row r="6015" spans="1:149" s="451" customFormat="1" ht="15" hidden="1" customHeight="1">
      <c r="A6015" s="468">
        <v>45545</v>
      </c>
      <c r="B6015" s="208" t="s">
        <v>4942</v>
      </c>
      <c r="C6015" s="208" t="s">
        <v>146</v>
      </c>
      <c r="D6015" s="211">
        <v>-60000</v>
      </c>
      <c r="E6015" s="212">
        <v>45536</v>
      </c>
      <c r="F6015" s="208" t="s">
        <v>130</v>
      </c>
      <c r="G6015" s="208" t="s">
        <v>257</v>
      </c>
      <c r="H6015" s="208" t="s">
        <v>138</v>
      </c>
      <c r="I6015" s="208" t="s">
        <v>63</v>
      </c>
      <c r="J6015" s="209"/>
      <c r="K6015" s="209"/>
      <c r="L6015" s="209"/>
      <c r="M6015" s="209"/>
      <c r="N6015" s="209"/>
      <c r="O6015" s="209"/>
      <c r="P6015" s="209"/>
      <c r="Q6015" s="209"/>
      <c r="R6015" s="209"/>
      <c r="S6015" s="209"/>
      <c r="T6015" s="209"/>
      <c r="U6015" s="165"/>
      <c r="V6015" s="165"/>
      <c r="W6015" s="165"/>
      <c r="X6015" s="165"/>
      <c r="Y6015" s="165"/>
      <c r="Z6015" s="165"/>
      <c r="AA6015" s="165"/>
      <c r="AB6015" s="165"/>
      <c r="AC6015" s="165"/>
      <c r="AD6015" s="165"/>
      <c r="AE6015" s="165"/>
      <c r="AF6015" s="165"/>
      <c r="AG6015" s="165"/>
      <c r="AH6015" s="165"/>
      <c r="AI6015" s="165"/>
      <c r="AJ6015" s="165"/>
      <c r="AK6015" s="165"/>
      <c r="AL6015" s="165"/>
      <c r="AM6015" s="165"/>
      <c r="AN6015" s="165"/>
      <c r="AO6015" s="165"/>
      <c r="AP6015" s="165"/>
      <c r="AQ6015" s="165"/>
      <c r="AR6015" s="165"/>
      <c r="AS6015" s="165"/>
      <c r="AT6015" s="165"/>
      <c r="AU6015" s="165"/>
      <c r="AV6015" s="165"/>
      <c r="AW6015" s="165"/>
      <c r="AX6015" s="165"/>
      <c r="AY6015" s="165"/>
      <c r="AZ6015" s="165"/>
      <c r="BA6015" s="165"/>
      <c r="BB6015" s="165"/>
      <c r="BC6015" s="165"/>
      <c r="BD6015" s="165"/>
      <c r="BE6015" s="165"/>
      <c r="BF6015" s="165"/>
      <c r="BG6015" s="165"/>
      <c r="BH6015" s="165"/>
      <c r="BI6015" s="165"/>
      <c r="BJ6015" s="165"/>
      <c r="BK6015" s="165"/>
      <c r="BL6015" s="165"/>
      <c r="BM6015" s="165"/>
      <c r="BN6015" s="165"/>
      <c r="BO6015" s="165"/>
      <c r="BP6015" s="165"/>
      <c r="BQ6015" s="165"/>
      <c r="BR6015" s="165"/>
      <c r="BS6015" s="165"/>
      <c r="BT6015" s="165"/>
      <c r="BU6015" s="165"/>
      <c r="BV6015" s="165"/>
      <c r="BW6015" s="165"/>
      <c r="BX6015" s="165"/>
      <c r="BY6015" s="165"/>
      <c r="BZ6015" s="165"/>
      <c r="CA6015" s="165"/>
      <c r="CB6015" s="165"/>
      <c r="CC6015" s="165"/>
      <c r="CD6015" s="165"/>
      <c r="CE6015" s="165"/>
      <c r="CF6015" s="165"/>
      <c r="CG6015" s="165"/>
      <c r="CH6015" s="165"/>
      <c r="CI6015" s="165"/>
      <c r="CJ6015" s="165"/>
      <c r="CK6015" s="165"/>
      <c r="CL6015" s="165"/>
      <c r="CM6015" s="165"/>
      <c r="CN6015" s="165"/>
      <c r="CO6015" s="165"/>
      <c r="CP6015" s="165"/>
      <c r="CQ6015" s="165"/>
      <c r="CR6015" s="165"/>
      <c r="CS6015" s="165"/>
      <c r="CT6015" s="165"/>
      <c r="CU6015" s="165"/>
      <c r="CV6015" s="165"/>
      <c r="CW6015" s="165"/>
      <c r="CX6015" s="165"/>
      <c r="CY6015" s="165"/>
      <c r="CZ6015" s="165"/>
      <c r="DA6015" s="165"/>
      <c r="DB6015" s="165"/>
      <c r="DC6015" s="165"/>
      <c r="DD6015" s="165"/>
      <c r="DE6015" s="165"/>
      <c r="DF6015" s="165"/>
      <c r="DG6015" s="165"/>
      <c r="DH6015" s="165"/>
      <c r="DI6015" s="165"/>
      <c r="DJ6015" s="165"/>
      <c r="DK6015" s="165"/>
      <c r="DL6015" s="165"/>
      <c r="DM6015" s="165"/>
      <c r="DN6015" s="165"/>
      <c r="DO6015" s="165"/>
      <c r="DP6015" s="165"/>
      <c r="DQ6015" s="165"/>
      <c r="DR6015" s="165"/>
      <c r="DS6015" s="165"/>
      <c r="DT6015" s="165"/>
      <c r="DU6015" s="165"/>
      <c r="DV6015" s="165"/>
      <c r="DW6015" s="165"/>
      <c r="DX6015" s="165"/>
      <c r="DY6015" s="165"/>
      <c r="DZ6015" s="165"/>
      <c r="EA6015" s="165"/>
      <c r="EB6015" s="165"/>
      <c r="EC6015" s="165"/>
      <c r="ED6015" s="165"/>
      <c r="EE6015" s="165"/>
      <c r="EF6015" s="165"/>
      <c r="EG6015" s="165"/>
      <c r="EH6015" s="165"/>
      <c r="EI6015" s="165"/>
      <c r="EJ6015" s="165"/>
      <c r="EK6015" s="165"/>
      <c r="EL6015" s="165"/>
      <c r="EM6015" s="165"/>
      <c r="EN6015" s="165"/>
      <c r="EO6015" s="165"/>
      <c r="EP6015" s="165"/>
      <c r="EQ6015" s="165"/>
      <c r="ER6015" s="165"/>
      <c r="ES6015" s="165"/>
    </row>
    <row r="6016" spans="1:149" s="451" customFormat="1" ht="15" hidden="1" customHeight="1">
      <c r="A6016" s="468">
        <v>45546</v>
      </c>
      <c r="B6016" s="208" t="s">
        <v>4943</v>
      </c>
      <c r="C6016" s="208" t="s">
        <v>269</v>
      </c>
      <c r="D6016" s="211">
        <v>-20050</v>
      </c>
      <c r="E6016" s="212">
        <v>45536</v>
      </c>
      <c r="F6016" s="208" t="s">
        <v>110</v>
      </c>
      <c r="G6016" s="208" t="s">
        <v>4399</v>
      </c>
      <c r="H6016" s="208" t="s">
        <v>416</v>
      </c>
      <c r="I6016" s="208" t="s">
        <v>173</v>
      </c>
      <c r="J6016" s="209"/>
      <c r="K6016" s="209"/>
      <c r="L6016" s="209"/>
      <c r="M6016" s="209"/>
      <c r="N6016" s="209"/>
      <c r="O6016" s="209"/>
      <c r="P6016" s="209"/>
      <c r="Q6016" s="209"/>
      <c r="R6016" s="209"/>
      <c r="S6016" s="209"/>
      <c r="T6016" s="209"/>
      <c r="U6016" s="165"/>
      <c r="V6016" s="165"/>
      <c r="W6016" s="165"/>
      <c r="X6016" s="165"/>
      <c r="Y6016" s="165"/>
      <c r="Z6016" s="165"/>
      <c r="AA6016" s="165"/>
      <c r="AB6016" s="165"/>
      <c r="AC6016" s="165"/>
      <c r="AD6016" s="165"/>
      <c r="AE6016" s="165"/>
      <c r="AF6016" s="165"/>
      <c r="AG6016" s="165"/>
      <c r="AH6016" s="165"/>
      <c r="AI6016" s="165"/>
      <c r="AJ6016" s="165"/>
      <c r="AK6016" s="165"/>
      <c r="AL6016" s="165"/>
      <c r="AM6016" s="165"/>
      <c r="AN6016" s="165"/>
      <c r="AO6016" s="165"/>
      <c r="AP6016" s="165"/>
      <c r="AQ6016" s="165"/>
      <c r="AR6016" s="165"/>
      <c r="AS6016" s="165"/>
      <c r="AT6016" s="165"/>
      <c r="AU6016" s="165"/>
      <c r="AV6016" s="165"/>
      <c r="AW6016" s="165"/>
      <c r="AX6016" s="165"/>
      <c r="AY6016" s="165"/>
      <c r="AZ6016" s="165"/>
      <c r="BA6016" s="165"/>
      <c r="BB6016" s="165"/>
      <c r="BC6016" s="165"/>
      <c r="BD6016" s="165"/>
      <c r="BE6016" s="165"/>
      <c r="BF6016" s="165"/>
      <c r="BG6016" s="165"/>
      <c r="BH6016" s="165"/>
      <c r="BI6016" s="165"/>
      <c r="BJ6016" s="165"/>
      <c r="BK6016" s="165"/>
      <c r="BL6016" s="165"/>
      <c r="BM6016" s="165"/>
      <c r="BN6016" s="165"/>
      <c r="BO6016" s="165"/>
      <c r="BP6016" s="165"/>
      <c r="BQ6016" s="165"/>
      <c r="BR6016" s="165"/>
      <c r="BS6016" s="165"/>
      <c r="BT6016" s="165"/>
      <c r="BU6016" s="165"/>
      <c r="BV6016" s="165"/>
      <c r="BW6016" s="165"/>
      <c r="BX6016" s="165"/>
      <c r="BY6016" s="165"/>
      <c r="BZ6016" s="165"/>
      <c r="CA6016" s="165"/>
      <c r="CB6016" s="165"/>
      <c r="CC6016" s="165"/>
      <c r="CD6016" s="165"/>
      <c r="CE6016" s="165"/>
      <c r="CF6016" s="165"/>
      <c r="CG6016" s="165"/>
      <c r="CH6016" s="165"/>
      <c r="CI6016" s="165"/>
      <c r="CJ6016" s="165"/>
      <c r="CK6016" s="165"/>
      <c r="CL6016" s="165"/>
      <c r="CM6016" s="165"/>
      <c r="CN6016" s="165"/>
      <c r="CO6016" s="165"/>
      <c r="CP6016" s="165"/>
      <c r="CQ6016" s="165"/>
      <c r="CR6016" s="165"/>
      <c r="CS6016" s="165"/>
      <c r="CT6016" s="165"/>
      <c r="CU6016" s="165"/>
      <c r="CV6016" s="165"/>
      <c r="CW6016" s="165"/>
      <c r="CX6016" s="165"/>
      <c r="CY6016" s="165"/>
      <c r="CZ6016" s="165"/>
      <c r="DA6016" s="165"/>
      <c r="DB6016" s="165"/>
      <c r="DC6016" s="165"/>
      <c r="DD6016" s="165"/>
      <c r="DE6016" s="165"/>
      <c r="DF6016" s="165"/>
      <c r="DG6016" s="165"/>
      <c r="DH6016" s="165"/>
      <c r="DI6016" s="165"/>
      <c r="DJ6016" s="165"/>
      <c r="DK6016" s="165"/>
      <c r="DL6016" s="165"/>
      <c r="DM6016" s="165"/>
      <c r="DN6016" s="165"/>
      <c r="DO6016" s="165"/>
      <c r="DP6016" s="165"/>
      <c r="DQ6016" s="165"/>
      <c r="DR6016" s="165"/>
      <c r="DS6016" s="165"/>
      <c r="DT6016" s="165"/>
      <c r="DU6016" s="165"/>
      <c r="DV6016" s="165"/>
      <c r="DW6016" s="165"/>
      <c r="DX6016" s="165"/>
      <c r="DY6016" s="165"/>
      <c r="DZ6016" s="165"/>
      <c r="EA6016" s="165"/>
      <c r="EB6016" s="165"/>
      <c r="EC6016" s="165"/>
      <c r="ED6016" s="165"/>
      <c r="EE6016" s="165"/>
      <c r="EF6016" s="165"/>
      <c r="EG6016" s="165"/>
      <c r="EH6016" s="165"/>
      <c r="EI6016" s="165"/>
      <c r="EJ6016" s="165"/>
      <c r="EK6016" s="165"/>
      <c r="EL6016" s="165"/>
      <c r="EM6016" s="165"/>
      <c r="EN6016" s="165"/>
      <c r="EO6016" s="165"/>
      <c r="EP6016" s="165"/>
      <c r="EQ6016" s="165"/>
      <c r="ER6016" s="165"/>
      <c r="ES6016" s="165"/>
    </row>
    <row r="6017" spans="1:149" s="451" customFormat="1" ht="15" hidden="1" customHeight="1">
      <c r="A6017" s="468">
        <v>45546</v>
      </c>
      <c r="B6017" s="208" t="s">
        <v>4944</v>
      </c>
      <c r="C6017" s="208" t="s">
        <v>269</v>
      </c>
      <c r="D6017" s="211">
        <v>-150000</v>
      </c>
      <c r="E6017" s="212">
        <v>45536</v>
      </c>
      <c r="F6017" s="208" t="s">
        <v>110</v>
      </c>
      <c r="G6017" s="201" t="s">
        <v>1489</v>
      </c>
      <c r="H6017" s="208" t="s">
        <v>2941</v>
      </c>
      <c r="I6017" s="208" t="s">
        <v>173</v>
      </c>
      <c r="J6017" s="209"/>
      <c r="K6017" s="209"/>
      <c r="L6017" s="209"/>
      <c r="M6017" s="209"/>
      <c r="N6017" s="209"/>
      <c r="O6017" s="209"/>
      <c r="P6017" s="209"/>
      <c r="Q6017" s="209"/>
      <c r="R6017" s="209"/>
      <c r="S6017" s="209"/>
      <c r="T6017" s="209"/>
      <c r="U6017" s="165"/>
      <c r="V6017" s="165"/>
      <c r="W6017" s="165"/>
      <c r="X6017" s="165"/>
      <c r="Y6017" s="165"/>
      <c r="Z6017" s="165"/>
      <c r="AA6017" s="165"/>
      <c r="AB6017" s="165"/>
      <c r="AC6017" s="165"/>
      <c r="AD6017" s="165"/>
      <c r="AE6017" s="165"/>
      <c r="AF6017" s="165"/>
      <c r="AG6017" s="165"/>
      <c r="AH6017" s="165"/>
      <c r="AI6017" s="165"/>
      <c r="AJ6017" s="165"/>
      <c r="AK6017" s="165"/>
      <c r="AL6017" s="165"/>
      <c r="AM6017" s="165"/>
      <c r="AN6017" s="165"/>
      <c r="AO6017" s="165"/>
      <c r="AP6017" s="165"/>
      <c r="AQ6017" s="165"/>
      <c r="AR6017" s="165"/>
      <c r="AS6017" s="165"/>
      <c r="AT6017" s="165"/>
      <c r="AU6017" s="165"/>
      <c r="AV6017" s="165"/>
      <c r="AW6017" s="165"/>
      <c r="AX6017" s="165"/>
      <c r="AY6017" s="165"/>
      <c r="AZ6017" s="165"/>
      <c r="BA6017" s="165"/>
      <c r="BB6017" s="165"/>
      <c r="BC6017" s="165"/>
      <c r="BD6017" s="165"/>
      <c r="BE6017" s="165"/>
      <c r="BF6017" s="165"/>
      <c r="BG6017" s="165"/>
      <c r="BH6017" s="165"/>
      <c r="BI6017" s="165"/>
      <c r="BJ6017" s="165"/>
      <c r="BK6017" s="165"/>
      <c r="BL6017" s="165"/>
      <c r="BM6017" s="165"/>
      <c r="BN6017" s="165"/>
      <c r="BO6017" s="165"/>
      <c r="BP6017" s="165"/>
      <c r="BQ6017" s="165"/>
      <c r="BR6017" s="165"/>
      <c r="BS6017" s="165"/>
      <c r="BT6017" s="165"/>
      <c r="BU6017" s="165"/>
      <c r="BV6017" s="165"/>
      <c r="BW6017" s="165"/>
      <c r="BX6017" s="165"/>
      <c r="BY6017" s="165"/>
      <c r="BZ6017" s="165"/>
      <c r="CA6017" s="165"/>
      <c r="CB6017" s="165"/>
      <c r="CC6017" s="165"/>
      <c r="CD6017" s="165"/>
      <c r="CE6017" s="165"/>
      <c r="CF6017" s="165"/>
      <c r="CG6017" s="165"/>
      <c r="CH6017" s="165"/>
      <c r="CI6017" s="165"/>
      <c r="CJ6017" s="165"/>
      <c r="CK6017" s="165"/>
      <c r="CL6017" s="165"/>
      <c r="CM6017" s="165"/>
      <c r="CN6017" s="165"/>
      <c r="CO6017" s="165"/>
      <c r="CP6017" s="165"/>
      <c r="CQ6017" s="165"/>
      <c r="CR6017" s="165"/>
      <c r="CS6017" s="165"/>
      <c r="CT6017" s="165"/>
      <c r="CU6017" s="165"/>
      <c r="CV6017" s="165"/>
      <c r="CW6017" s="165"/>
      <c r="CX6017" s="165"/>
      <c r="CY6017" s="165"/>
      <c r="CZ6017" s="165"/>
      <c r="DA6017" s="165"/>
      <c r="DB6017" s="165"/>
      <c r="DC6017" s="165"/>
      <c r="DD6017" s="165"/>
      <c r="DE6017" s="165"/>
      <c r="DF6017" s="165"/>
      <c r="DG6017" s="165"/>
      <c r="DH6017" s="165"/>
      <c r="DI6017" s="165"/>
      <c r="DJ6017" s="165"/>
      <c r="DK6017" s="165"/>
      <c r="DL6017" s="165"/>
      <c r="DM6017" s="165"/>
      <c r="DN6017" s="165"/>
      <c r="DO6017" s="165"/>
      <c r="DP6017" s="165"/>
      <c r="DQ6017" s="165"/>
      <c r="DR6017" s="165"/>
      <c r="DS6017" s="165"/>
      <c r="DT6017" s="165"/>
      <c r="DU6017" s="165"/>
      <c r="DV6017" s="165"/>
      <c r="DW6017" s="165"/>
      <c r="DX6017" s="165"/>
      <c r="DY6017" s="165"/>
      <c r="DZ6017" s="165"/>
      <c r="EA6017" s="165"/>
      <c r="EB6017" s="165"/>
      <c r="EC6017" s="165"/>
      <c r="ED6017" s="165"/>
      <c r="EE6017" s="165"/>
      <c r="EF6017" s="165"/>
      <c r="EG6017" s="165"/>
      <c r="EH6017" s="165"/>
      <c r="EI6017" s="165"/>
      <c r="EJ6017" s="165"/>
      <c r="EK6017" s="165"/>
      <c r="EL6017" s="165"/>
      <c r="EM6017" s="165"/>
      <c r="EN6017" s="165"/>
      <c r="EO6017" s="165"/>
      <c r="EP6017" s="165"/>
      <c r="EQ6017" s="165"/>
      <c r="ER6017" s="165"/>
      <c r="ES6017" s="165"/>
    </row>
    <row r="6018" spans="1:149" s="451" customFormat="1" ht="15" hidden="1" customHeight="1">
      <c r="A6018" s="468">
        <v>45546</v>
      </c>
      <c r="B6018" s="208" t="s">
        <v>4945</v>
      </c>
      <c r="C6018" s="208" t="s">
        <v>269</v>
      </c>
      <c r="D6018" s="211">
        <v>-20000</v>
      </c>
      <c r="E6018" s="212">
        <v>45536</v>
      </c>
      <c r="F6018" s="208" t="s">
        <v>110</v>
      </c>
      <c r="G6018" s="208" t="s">
        <v>4399</v>
      </c>
      <c r="H6018" s="208" t="s">
        <v>138</v>
      </c>
      <c r="I6018" s="208" t="s">
        <v>47</v>
      </c>
      <c r="J6018" s="209"/>
      <c r="K6018" s="209"/>
      <c r="L6018" s="209"/>
      <c r="M6018" s="209"/>
      <c r="N6018" s="209"/>
      <c r="O6018" s="209"/>
      <c r="P6018" s="209"/>
      <c r="Q6018" s="209"/>
      <c r="R6018" s="209"/>
      <c r="S6018" s="209"/>
      <c r="T6018" s="209"/>
      <c r="U6018" s="165"/>
      <c r="V6018" s="165"/>
      <c r="W6018" s="165"/>
      <c r="X6018" s="165"/>
      <c r="Y6018" s="165"/>
      <c r="Z6018" s="165"/>
      <c r="AA6018" s="165"/>
      <c r="AB6018" s="165"/>
      <c r="AC6018" s="165"/>
      <c r="AD6018" s="165"/>
      <c r="AE6018" s="165"/>
      <c r="AF6018" s="165"/>
      <c r="AG6018" s="165"/>
      <c r="AH6018" s="165"/>
      <c r="AI6018" s="165"/>
      <c r="AJ6018" s="165"/>
      <c r="AK6018" s="165"/>
      <c r="AL6018" s="165"/>
      <c r="AM6018" s="165"/>
      <c r="AN6018" s="165"/>
      <c r="AO6018" s="165"/>
      <c r="AP6018" s="165"/>
      <c r="AQ6018" s="165"/>
      <c r="AR6018" s="165"/>
      <c r="AS6018" s="165"/>
      <c r="AT6018" s="165"/>
      <c r="AU6018" s="165"/>
      <c r="AV6018" s="165"/>
      <c r="AW6018" s="165"/>
      <c r="AX6018" s="165"/>
      <c r="AY6018" s="165"/>
      <c r="AZ6018" s="165"/>
      <c r="BA6018" s="165"/>
      <c r="BB6018" s="165"/>
      <c r="BC6018" s="165"/>
      <c r="BD6018" s="165"/>
      <c r="BE6018" s="165"/>
      <c r="BF6018" s="165"/>
      <c r="BG6018" s="165"/>
      <c r="BH6018" s="165"/>
      <c r="BI6018" s="165"/>
      <c r="BJ6018" s="165"/>
      <c r="BK6018" s="165"/>
      <c r="BL6018" s="165"/>
      <c r="BM6018" s="165"/>
      <c r="BN6018" s="165"/>
      <c r="BO6018" s="165"/>
      <c r="BP6018" s="165"/>
      <c r="BQ6018" s="165"/>
      <c r="BR6018" s="165"/>
      <c r="BS6018" s="165"/>
      <c r="BT6018" s="165"/>
      <c r="BU6018" s="165"/>
      <c r="BV6018" s="165"/>
      <c r="BW6018" s="165"/>
      <c r="BX6018" s="165"/>
      <c r="BY6018" s="165"/>
      <c r="BZ6018" s="165"/>
      <c r="CA6018" s="165"/>
      <c r="CB6018" s="165"/>
      <c r="CC6018" s="165"/>
      <c r="CD6018" s="165"/>
      <c r="CE6018" s="165"/>
      <c r="CF6018" s="165"/>
      <c r="CG6018" s="165"/>
      <c r="CH6018" s="165"/>
      <c r="CI6018" s="165"/>
      <c r="CJ6018" s="165"/>
      <c r="CK6018" s="165"/>
      <c r="CL6018" s="165"/>
      <c r="CM6018" s="165"/>
      <c r="CN6018" s="165"/>
      <c r="CO6018" s="165"/>
      <c r="CP6018" s="165"/>
      <c r="CQ6018" s="165"/>
      <c r="CR6018" s="165"/>
      <c r="CS6018" s="165"/>
      <c r="CT6018" s="165"/>
      <c r="CU6018" s="165"/>
      <c r="CV6018" s="165"/>
      <c r="CW6018" s="165"/>
      <c r="CX6018" s="165"/>
      <c r="CY6018" s="165"/>
      <c r="CZ6018" s="165"/>
      <c r="DA6018" s="165"/>
      <c r="DB6018" s="165"/>
      <c r="DC6018" s="165"/>
      <c r="DD6018" s="165"/>
      <c r="DE6018" s="165"/>
      <c r="DF6018" s="165"/>
      <c r="DG6018" s="165"/>
      <c r="DH6018" s="165"/>
      <c r="DI6018" s="165"/>
      <c r="DJ6018" s="165"/>
      <c r="DK6018" s="165"/>
      <c r="DL6018" s="165"/>
      <c r="DM6018" s="165"/>
      <c r="DN6018" s="165"/>
      <c r="DO6018" s="165"/>
      <c r="DP6018" s="165"/>
      <c r="DQ6018" s="165"/>
      <c r="DR6018" s="165"/>
      <c r="DS6018" s="165"/>
      <c r="DT6018" s="165"/>
      <c r="DU6018" s="165"/>
      <c r="DV6018" s="165"/>
      <c r="DW6018" s="165"/>
      <c r="DX6018" s="165"/>
      <c r="DY6018" s="165"/>
      <c r="DZ6018" s="165"/>
      <c r="EA6018" s="165"/>
      <c r="EB6018" s="165"/>
      <c r="EC6018" s="165"/>
      <c r="ED6018" s="165"/>
      <c r="EE6018" s="165"/>
      <c r="EF6018" s="165"/>
      <c r="EG6018" s="165"/>
      <c r="EH6018" s="165"/>
      <c r="EI6018" s="165"/>
      <c r="EJ6018" s="165"/>
      <c r="EK6018" s="165"/>
      <c r="EL6018" s="165"/>
      <c r="EM6018" s="165"/>
      <c r="EN6018" s="165"/>
      <c r="EO6018" s="165"/>
      <c r="EP6018" s="165"/>
      <c r="EQ6018" s="165"/>
      <c r="ER6018" s="165"/>
      <c r="ES6018" s="165"/>
    </row>
    <row r="6019" spans="1:149" s="451" customFormat="1" ht="15" hidden="1" customHeight="1">
      <c r="A6019" s="468">
        <v>45546</v>
      </c>
      <c r="B6019" s="208" t="s">
        <v>4946</v>
      </c>
      <c r="C6019" s="208" t="s">
        <v>269</v>
      </c>
      <c r="D6019" s="211">
        <v>-1225000</v>
      </c>
      <c r="E6019" s="212">
        <v>45536</v>
      </c>
      <c r="F6019" s="208" t="s">
        <v>110</v>
      </c>
      <c r="G6019" s="208" t="s">
        <v>4399</v>
      </c>
      <c r="H6019" s="208" t="s">
        <v>175</v>
      </c>
      <c r="I6019" s="208" t="s">
        <v>47</v>
      </c>
      <c r="J6019" s="209"/>
      <c r="K6019" s="209"/>
      <c r="L6019" s="209"/>
      <c r="M6019" s="209"/>
      <c r="N6019" s="209"/>
      <c r="O6019" s="209"/>
      <c r="P6019" s="209"/>
      <c r="Q6019" s="209"/>
      <c r="R6019" s="209"/>
      <c r="S6019" s="209"/>
      <c r="T6019" s="209"/>
      <c r="U6019" s="165"/>
      <c r="V6019" s="165"/>
      <c r="W6019" s="165"/>
      <c r="X6019" s="165"/>
      <c r="Y6019" s="165"/>
      <c r="Z6019" s="165"/>
      <c r="AA6019" s="165"/>
      <c r="AB6019" s="165"/>
      <c r="AC6019" s="165"/>
      <c r="AD6019" s="165"/>
      <c r="AE6019" s="165"/>
      <c r="AF6019" s="165"/>
      <c r="AG6019" s="165"/>
      <c r="AH6019" s="165"/>
      <c r="AI6019" s="165"/>
      <c r="AJ6019" s="165"/>
      <c r="AK6019" s="165"/>
      <c r="AL6019" s="165"/>
      <c r="AM6019" s="165"/>
      <c r="AN6019" s="165"/>
      <c r="AO6019" s="165"/>
      <c r="AP6019" s="165"/>
      <c r="AQ6019" s="165"/>
      <c r="AR6019" s="165"/>
      <c r="AS6019" s="165"/>
      <c r="AT6019" s="165"/>
      <c r="AU6019" s="165"/>
      <c r="AV6019" s="165"/>
      <c r="AW6019" s="165"/>
      <c r="AX6019" s="165"/>
      <c r="AY6019" s="165"/>
      <c r="AZ6019" s="165"/>
      <c r="BA6019" s="165"/>
      <c r="BB6019" s="165"/>
      <c r="BC6019" s="165"/>
      <c r="BD6019" s="165"/>
      <c r="BE6019" s="165"/>
      <c r="BF6019" s="165"/>
      <c r="BG6019" s="165"/>
      <c r="BH6019" s="165"/>
      <c r="BI6019" s="165"/>
      <c r="BJ6019" s="165"/>
      <c r="BK6019" s="165"/>
      <c r="BL6019" s="165"/>
      <c r="BM6019" s="165"/>
      <c r="BN6019" s="165"/>
      <c r="BO6019" s="165"/>
      <c r="BP6019" s="165"/>
      <c r="BQ6019" s="165"/>
      <c r="BR6019" s="165"/>
      <c r="BS6019" s="165"/>
      <c r="BT6019" s="165"/>
      <c r="BU6019" s="165"/>
      <c r="BV6019" s="165"/>
      <c r="BW6019" s="165"/>
      <c r="BX6019" s="165"/>
      <c r="BY6019" s="165"/>
      <c r="BZ6019" s="165"/>
      <c r="CA6019" s="165"/>
      <c r="CB6019" s="165"/>
      <c r="CC6019" s="165"/>
      <c r="CD6019" s="165"/>
      <c r="CE6019" s="165"/>
      <c r="CF6019" s="165"/>
      <c r="CG6019" s="165"/>
      <c r="CH6019" s="165"/>
      <c r="CI6019" s="165"/>
      <c r="CJ6019" s="165"/>
      <c r="CK6019" s="165"/>
      <c r="CL6019" s="165"/>
      <c r="CM6019" s="165"/>
      <c r="CN6019" s="165"/>
      <c r="CO6019" s="165"/>
      <c r="CP6019" s="165"/>
      <c r="CQ6019" s="165"/>
      <c r="CR6019" s="165"/>
      <c r="CS6019" s="165"/>
      <c r="CT6019" s="165"/>
      <c r="CU6019" s="165"/>
      <c r="CV6019" s="165"/>
      <c r="CW6019" s="165"/>
      <c r="CX6019" s="165"/>
      <c r="CY6019" s="165"/>
      <c r="CZ6019" s="165"/>
      <c r="DA6019" s="165"/>
      <c r="DB6019" s="165"/>
      <c r="DC6019" s="165"/>
      <c r="DD6019" s="165"/>
      <c r="DE6019" s="165"/>
      <c r="DF6019" s="165"/>
      <c r="DG6019" s="165"/>
      <c r="DH6019" s="165"/>
      <c r="DI6019" s="165"/>
      <c r="DJ6019" s="165"/>
      <c r="DK6019" s="165"/>
      <c r="DL6019" s="165"/>
      <c r="DM6019" s="165"/>
      <c r="DN6019" s="165"/>
      <c r="DO6019" s="165"/>
      <c r="DP6019" s="165"/>
      <c r="DQ6019" s="165"/>
      <c r="DR6019" s="165"/>
      <c r="DS6019" s="165"/>
      <c r="DT6019" s="165"/>
      <c r="DU6019" s="165"/>
      <c r="DV6019" s="165"/>
      <c r="DW6019" s="165"/>
      <c r="DX6019" s="165"/>
      <c r="DY6019" s="165"/>
      <c r="DZ6019" s="165"/>
      <c r="EA6019" s="165"/>
      <c r="EB6019" s="165"/>
      <c r="EC6019" s="165"/>
      <c r="ED6019" s="165"/>
      <c r="EE6019" s="165"/>
      <c r="EF6019" s="165"/>
      <c r="EG6019" s="165"/>
      <c r="EH6019" s="165"/>
      <c r="EI6019" s="165"/>
      <c r="EJ6019" s="165"/>
      <c r="EK6019" s="165"/>
      <c r="EL6019" s="165"/>
      <c r="EM6019" s="165"/>
      <c r="EN6019" s="165"/>
      <c r="EO6019" s="165"/>
      <c r="EP6019" s="165"/>
      <c r="EQ6019" s="165"/>
      <c r="ER6019" s="165"/>
      <c r="ES6019" s="165"/>
    </row>
    <row r="6020" spans="1:149" s="451" customFormat="1" ht="15" hidden="1" customHeight="1">
      <c r="A6020" s="468">
        <v>45546</v>
      </c>
      <c r="B6020" s="208" t="s">
        <v>4947</v>
      </c>
      <c r="C6020" s="208" t="s">
        <v>269</v>
      </c>
      <c r="D6020" s="211">
        <v>-22000</v>
      </c>
      <c r="E6020" s="212">
        <v>45536</v>
      </c>
      <c r="F6020" s="208" t="s">
        <v>110</v>
      </c>
      <c r="G6020" s="208" t="s">
        <v>4399</v>
      </c>
      <c r="H6020" s="208" t="s">
        <v>175</v>
      </c>
      <c r="I6020" s="208" t="s">
        <v>47</v>
      </c>
      <c r="J6020" s="209"/>
      <c r="K6020" s="209"/>
      <c r="L6020" s="209"/>
      <c r="M6020" s="209"/>
      <c r="N6020" s="209"/>
      <c r="O6020" s="209"/>
      <c r="P6020" s="209"/>
      <c r="Q6020" s="209"/>
      <c r="R6020" s="209"/>
      <c r="S6020" s="209"/>
      <c r="T6020" s="209"/>
      <c r="U6020" s="165"/>
      <c r="V6020" s="165"/>
      <c r="W6020" s="165"/>
      <c r="X6020" s="165"/>
      <c r="Y6020" s="165"/>
      <c r="Z6020" s="165"/>
      <c r="AA6020" s="165"/>
      <c r="AB6020" s="165"/>
      <c r="AC6020" s="165"/>
      <c r="AD6020" s="165"/>
      <c r="AE6020" s="165"/>
      <c r="AF6020" s="165"/>
      <c r="AG6020" s="165"/>
      <c r="AH6020" s="165"/>
      <c r="AI6020" s="165"/>
      <c r="AJ6020" s="165"/>
      <c r="AK6020" s="165"/>
      <c r="AL6020" s="165"/>
      <c r="AM6020" s="165"/>
      <c r="AN6020" s="165"/>
      <c r="AO6020" s="165"/>
      <c r="AP6020" s="165"/>
      <c r="AQ6020" s="165"/>
      <c r="AR6020" s="165"/>
      <c r="AS6020" s="165"/>
      <c r="AT6020" s="165"/>
      <c r="AU6020" s="165"/>
      <c r="AV6020" s="165"/>
      <c r="AW6020" s="165"/>
      <c r="AX6020" s="165"/>
      <c r="AY6020" s="165"/>
      <c r="AZ6020" s="165"/>
      <c r="BA6020" s="165"/>
      <c r="BB6020" s="165"/>
      <c r="BC6020" s="165"/>
      <c r="BD6020" s="165"/>
      <c r="BE6020" s="165"/>
      <c r="BF6020" s="165"/>
      <c r="BG6020" s="165"/>
      <c r="BH6020" s="165"/>
      <c r="BI6020" s="165"/>
      <c r="BJ6020" s="165"/>
      <c r="BK6020" s="165"/>
      <c r="BL6020" s="165"/>
      <c r="BM6020" s="165"/>
      <c r="BN6020" s="165"/>
      <c r="BO6020" s="165"/>
      <c r="BP6020" s="165"/>
      <c r="BQ6020" s="165"/>
      <c r="BR6020" s="165"/>
      <c r="BS6020" s="165"/>
      <c r="BT6020" s="165"/>
      <c r="BU6020" s="165"/>
      <c r="BV6020" s="165"/>
      <c r="BW6020" s="165"/>
      <c r="BX6020" s="165"/>
      <c r="BY6020" s="165"/>
      <c r="BZ6020" s="165"/>
      <c r="CA6020" s="165"/>
      <c r="CB6020" s="165"/>
      <c r="CC6020" s="165"/>
      <c r="CD6020" s="165"/>
      <c r="CE6020" s="165"/>
      <c r="CF6020" s="165"/>
      <c r="CG6020" s="165"/>
      <c r="CH6020" s="165"/>
      <c r="CI6020" s="165"/>
      <c r="CJ6020" s="165"/>
      <c r="CK6020" s="165"/>
      <c r="CL6020" s="165"/>
      <c r="CM6020" s="165"/>
      <c r="CN6020" s="165"/>
      <c r="CO6020" s="165"/>
      <c r="CP6020" s="165"/>
      <c r="CQ6020" s="165"/>
      <c r="CR6020" s="165"/>
      <c r="CS6020" s="165"/>
      <c r="CT6020" s="165"/>
      <c r="CU6020" s="165"/>
      <c r="CV6020" s="165"/>
      <c r="CW6020" s="165"/>
      <c r="CX6020" s="165"/>
      <c r="CY6020" s="165"/>
      <c r="CZ6020" s="165"/>
      <c r="DA6020" s="165"/>
      <c r="DB6020" s="165"/>
      <c r="DC6020" s="165"/>
      <c r="DD6020" s="165"/>
      <c r="DE6020" s="165"/>
      <c r="DF6020" s="165"/>
      <c r="DG6020" s="165"/>
      <c r="DH6020" s="165"/>
      <c r="DI6020" s="165"/>
      <c r="DJ6020" s="165"/>
      <c r="DK6020" s="165"/>
      <c r="DL6020" s="165"/>
      <c r="DM6020" s="165"/>
      <c r="DN6020" s="165"/>
      <c r="DO6020" s="165"/>
      <c r="DP6020" s="165"/>
      <c r="DQ6020" s="165"/>
      <c r="DR6020" s="165"/>
      <c r="DS6020" s="165"/>
      <c r="DT6020" s="165"/>
      <c r="DU6020" s="165"/>
      <c r="DV6020" s="165"/>
      <c r="DW6020" s="165"/>
      <c r="DX6020" s="165"/>
      <c r="DY6020" s="165"/>
      <c r="DZ6020" s="165"/>
      <c r="EA6020" s="165"/>
      <c r="EB6020" s="165"/>
      <c r="EC6020" s="165"/>
      <c r="ED6020" s="165"/>
      <c r="EE6020" s="165"/>
      <c r="EF6020" s="165"/>
      <c r="EG6020" s="165"/>
      <c r="EH6020" s="165"/>
      <c r="EI6020" s="165"/>
      <c r="EJ6020" s="165"/>
      <c r="EK6020" s="165"/>
      <c r="EL6020" s="165"/>
      <c r="EM6020" s="165"/>
      <c r="EN6020" s="165"/>
      <c r="EO6020" s="165"/>
      <c r="EP6020" s="165"/>
      <c r="EQ6020" s="165"/>
      <c r="ER6020" s="165"/>
      <c r="ES6020" s="165"/>
    </row>
    <row r="6021" spans="1:149" s="451" customFormat="1" ht="15" hidden="1" customHeight="1">
      <c r="A6021" s="468">
        <v>45546</v>
      </c>
      <c r="B6021" s="208" t="s">
        <v>4948</v>
      </c>
      <c r="C6021" s="208" t="s">
        <v>4783</v>
      </c>
      <c r="D6021" s="211">
        <v>-1240000</v>
      </c>
      <c r="E6021" s="212">
        <v>45536</v>
      </c>
      <c r="F6021" s="654" t="s">
        <v>109</v>
      </c>
      <c r="G6021" s="201" t="s">
        <v>581</v>
      </c>
      <c r="H6021" s="208"/>
      <c r="I6021" s="208"/>
      <c r="J6021" s="209"/>
      <c r="K6021" s="209"/>
      <c r="L6021" s="209"/>
      <c r="M6021" s="209"/>
      <c r="N6021" s="209"/>
      <c r="O6021" s="209"/>
      <c r="P6021" s="209"/>
      <c r="Q6021" s="209"/>
      <c r="R6021" s="209"/>
      <c r="S6021" s="209"/>
      <c r="T6021" s="209"/>
    </row>
    <row r="6022" spans="1:149" ht="15" hidden="1" customHeight="1">
      <c r="A6022" s="468">
        <v>45546</v>
      </c>
      <c r="B6022" s="208" t="s">
        <v>4949</v>
      </c>
      <c r="C6022" s="208" t="s">
        <v>4783</v>
      </c>
      <c r="D6022" s="211">
        <v>-7809107</v>
      </c>
      <c r="E6022" s="212">
        <v>45536</v>
      </c>
      <c r="F6022" s="654" t="s">
        <v>110</v>
      </c>
      <c r="G6022" s="208" t="s">
        <v>4294</v>
      </c>
      <c r="H6022" s="208" t="s">
        <v>461</v>
      </c>
      <c r="I6022" s="208"/>
      <c r="J6022" s="209"/>
      <c r="K6022" s="209"/>
      <c r="L6022" s="209"/>
      <c r="M6022" s="209"/>
      <c r="N6022" s="209"/>
      <c r="O6022" s="209"/>
      <c r="P6022" s="209"/>
      <c r="Q6022" s="209"/>
      <c r="R6022" s="209"/>
      <c r="S6022" s="209"/>
      <c r="T6022" s="209"/>
      <c r="U6022" s="451"/>
      <c r="V6022" s="451"/>
      <c r="W6022" s="451"/>
      <c r="X6022" s="451"/>
      <c r="Y6022" s="451"/>
      <c r="Z6022" s="451"/>
      <c r="AA6022" s="451"/>
      <c r="AB6022" s="451"/>
      <c r="AC6022" s="451"/>
      <c r="AD6022" s="451"/>
      <c r="AE6022" s="451"/>
      <c r="AF6022" s="451"/>
      <c r="AG6022" s="451"/>
      <c r="AH6022" s="451"/>
      <c r="AI6022" s="451"/>
      <c r="AJ6022" s="451"/>
      <c r="AK6022" s="451"/>
      <c r="AL6022" s="451"/>
      <c r="AM6022" s="451"/>
      <c r="AN6022" s="451"/>
      <c r="AO6022" s="451"/>
      <c r="AP6022" s="451"/>
      <c r="AQ6022" s="451"/>
      <c r="AR6022" s="451"/>
      <c r="AS6022" s="451"/>
      <c r="AT6022" s="451"/>
      <c r="AU6022" s="451"/>
      <c r="AV6022" s="451"/>
      <c r="AW6022" s="451"/>
      <c r="AX6022" s="451"/>
      <c r="AY6022" s="451"/>
      <c r="AZ6022" s="451"/>
      <c r="BA6022" s="451"/>
      <c r="BB6022" s="451"/>
      <c r="BC6022" s="451"/>
      <c r="BD6022" s="451"/>
      <c r="BE6022" s="451"/>
      <c r="BF6022" s="451"/>
      <c r="BG6022" s="451"/>
      <c r="BH6022" s="451"/>
      <c r="BI6022" s="451"/>
      <c r="BJ6022" s="451"/>
      <c r="BK6022" s="451"/>
      <c r="BL6022" s="451"/>
      <c r="BM6022" s="451"/>
      <c r="BN6022" s="451"/>
      <c r="BO6022" s="451"/>
      <c r="BP6022" s="451"/>
      <c r="BQ6022" s="451"/>
      <c r="BR6022" s="451"/>
      <c r="BS6022" s="451"/>
      <c r="BT6022" s="451"/>
      <c r="BU6022" s="451"/>
      <c r="BV6022" s="451"/>
      <c r="BW6022" s="451"/>
      <c r="BX6022" s="451"/>
      <c r="BY6022" s="451"/>
      <c r="BZ6022" s="451"/>
      <c r="CA6022" s="451"/>
      <c r="CB6022" s="451"/>
      <c r="CC6022" s="451"/>
      <c r="CD6022" s="451"/>
      <c r="CE6022" s="451"/>
      <c r="CF6022" s="451"/>
      <c r="CG6022" s="451"/>
      <c r="CH6022" s="451"/>
      <c r="CI6022" s="451"/>
      <c r="CJ6022" s="451"/>
      <c r="CK6022" s="451"/>
      <c r="CL6022" s="451"/>
      <c r="CM6022" s="451"/>
      <c r="CN6022" s="451"/>
      <c r="CO6022" s="451"/>
      <c r="CP6022" s="451"/>
      <c r="CQ6022" s="451"/>
      <c r="CR6022" s="451"/>
      <c r="CS6022" s="451"/>
      <c r="CT6022" s="451"/>
      <c r="CU6022" s="451"/>
      <c r="CV6022" s="451"/>
      <c r="CW6022" s="451"/>
      <c r="CX6022" s="451"/>
      <c r="CY6022" s="451"/>
      <c r="CZ6022" s="451"/>
      <c r="DA6022" s="451"/>
      <c r="DB6022" s="451"/>
      <c r="DC6022" s="451"/>
      <c r="DD6022" s="451"/>
      <c r="DE6022" s="451"/>
      <c r="DF6022" s="451"/>
      <c r="DG6022" s="451"/>
      <c r="DH6022" s="451"/>
      <c r="DI6022" s="451"/>
      <c r="DJ6022" s="451"/>
      <c r="DK6022" s="451"/>
      <c r="DL6022" s="451"/>
      <c r="DM6022" s="451"/>
      <c r="DN6022" s="451"/>
      <c r="DO6022" s="451"/>
      <c r="DP6022" s="451"/>
      <c r="DQ6022" s="451"/>
      <c r="DR6022" s="451"/>
      <c r="DS6022" s="451"/>
      <c r="DT6022" s="451"/>
      <c r="DU6022" s="451"/>
      <c r="DV6022" s="451"/>
      <c r="DW6022" s="451"/>
      <c r="DX6022" s="451"/>
      <c r="DY6022" s="451"/>
      <c r="DZ6022" s="451"/>
      <c r="EA6022" s="451"/>
      <c r="EB6022" s="451"/>
      <c r="EC6022" s="451"/>
      <c r="ED6022" s="451"/>
      <c r="EE6022" s="451"/>
      <c r="EF6022" s="451"/>
      <c r="EG6022" s="451"/>
      <c r="EH6022" s="451"/>
      <c r="EI6022" s="451"/>
      <c r="EJ6022" s="451"/>
      <c r="EK6022" s="451"/>
      <c r="EL6022" s="451"/>
      <c r="EM6022" s="451"/>
      <c r="EN6022" s="451"/>
      <c r="EO6022" s="451"/>
      <c r="EP6022" s="451"/>
      <c r="EQ6022" s="451"/>
      <c r="ER6022" s="451"/>
      <c r="ES6022" s="451"/>
    </row>
    <row r="6023" spans="1:149" ht="15" hidden="1" customHeight="1">
      <c r="A6023" s="468">
        <v>45546</v>
      </c>
      <c r="B6023" s="208" t="s">
        <v>4950</v>
      </c>
      <c r="C6023" s="208" t="s">
        <v>4783</v>
      </c>
      <c r="D6023" s="211">
        <v>-24633000</v>
      </c>
      <c r="E6023" s="212">
        <v>45536</v>
      </c>
      <c r="F6023" s="208" t="s">
        <v>3679</v>
      </c>
      <c r="G6023" s="208"/>
      <c r="H6023" s="208"/>
      <c r="I6023" s="208"/>
      <c r="J6023" s="209"/>
      <c r="K6023" s="209"/>
      <c r="L6023" s="209"/>
      <c r="M6023" s="209"/>
      <c r="N6023" s="209"/>
      <c r="O6023" s="209"/>
      <c r="P6023" s="209"/>
      <c r="Q6023" s="209"/>
      <c r="R6023" s="209"/>
      <c r="S6023" s="209"/>
      <c r="T6023" s="209"/>
      <c r="U6023" s="451"/>
      <c r="V6023" s="451"/>
      <c r="W6023" s="451"/>
      <c r="X6023" s="451"/>
      <c r="Y6023" s="451"/>
      <c r="Z6023" s="451"/>
      <c r="AA6023" s="451"/>
      <c r="AB6023" s="451"/>
      <c r="AC6023" s="451"/>
      <c r="AD6023" s="451"/>
      <c r="AE6023" s="451"/>
      <c r="AF6023" s="451"/>
      <c r="AG6023" s="451"/>
      <c r="AH6023" s="451"/>
      <c r="AI6023" s="451"/>
      <c r="AJ6023" s="451"/>
      <c r="AK6023" s="451"/>
      <c r="AL6023" s="451"/>
      <c r="AM6023" s="451"/>
      <c r="AN6023" s="451"/>
      <c r="AO6023" s="451"/>
      <c r="AP6023" s="451"/>
      <c r="AQ6023" s="451"/>
      <c r="AR6023" s="451"/>
      <c r="AS6023" s="451"/>
      <c r="AT6023" s="451"/>
      <c r="AU6023" s="451"/>
      <c r="AV6023" s="451"/>
      <c r="AW6023" s="451"/>
      <c r="AX6023" s="451"/>
      <c r="AY6023" s="451"/>
      <c r="AZ6023" s="451"/>
      <c r="BA6023" s="451"/>
      <c r="BB6023" s="451"/>
      <c r="BC6023" s="451"/>
      <c r="BD6023" s="451"/>
      <c r="BE6023" s="451"/>
      <c r="BF6023" s="451"/>
      <c r="BG6023" s="451"/>
      <c r="BH6023" s="451"/>
      <c r="BI6023" s="451"/>
      <c r="BJ6023" s="451"/>
      <c r="BK6023" s="451"/>
      <c r="BL6023" s="451"/>
      <c r="BM6023" s="451"/>
      <c r="BN6023" s="451"/>
      <c r="BO6023" s="451"/>
      <c r="BP6023" s="451"/>
      <c r="BQ6023" s="451"/>
      <c r="BR6023" s="451"/>
      <c r="BS6023" s="451"/>
      <c r="BT6023" s="451"/>
      <c r="BU6023" s="451"/>
      <c r="BV6023" s="451"/>
      <c r="BW6023" s="451"/>
      <c r="BX6023" s="451"/>
      <c r="BY6023" s="451"/>
      <c r="BZ6023" s="451"/>
      <c r="CA6023" s="451"/>
      <c r="CB6023" s="451"/>
      <c r="CC6023" s="451"/>
      <c r="CD6023" s="451"/>
      <c r="CE6023" s="451"/>
      <c r="CF6023" s="451"/>
      <c r="CG6023" s="451"/>
      <c r="CH6023" s="451"/>
      <c r="CI6023" s="451"/>
      <c r="CJ6023" s="451"/>
      <c r="CK6023" s="451"/>
      <c r="CL6023" s="451"/>
      <c r="CM6023" s="451"/>
      <c r="CN6023" s="451"/>
      <c r="CO6023" s="451"/>
      <c r="CP6023" s="451"/>
      <c r="CQ6023" s="451"/>
      <c r="CR6023" s="451"/>
      <c r="CS6023" s="451"/>
      <c r="CT6023" s="451"/>
      <c r="CU6023" s="451"/>
      <c r="CV6023" s="451"/>
      <c r="CW6023" s="451"/>
      <c r="CX6023" s="451"/>
      <c r="CY6023" s="451"/>
      <c r="CZ6023" s="451"/>
      <c r="DA6023" s="451"/>
      <c r="DB6023" s="451"/>
      <c r="DC6023" s="451"/>
      <c r="DD6023" s="451"/>
      <c r="DE6023" s="451"/>
      <c r="DF6023" s="451"/>
      <c r="DG6023" s="451"/>
      <c r="DH6023" s="451"/>
      <c r="DI6023" s="451"/>
      <c r="DJ6023" s="451"/>
      <c r="DK6023" s="451"/>
      <c r="DL6023" s="451"/>
      <c r="DM6023" s="451"/>
      <c r="DN6023" s="451"/>
      <c r="DO6023" s="451"/>
      <c r="DP6023" s="451"/>
      <c r="DQ6023" s="451"/>
      <c r="DR6023" s="451"/>
      <c r="DS6023" s="451"/>
      <c r="DT6023" s="451"/>
      <c r="DU6023" s="451"/>
      <c r="DV6023" s="451"/>
      <c r="DW6023" s="451"/>
      <c r="DX6023" s="451"/>
      <c r="DY6023" s="451"/>
      <c r="DZ6023" s="451"/>
      <c r="EA6023" s="451"/>
      <c r="EB6023" s="451"/>
      <c r="EC6023" s="451"/>
      <c r="ED6023" s="451"/>
      <c r="EE6023" s="451"/>
      <c r="EF6023" s="451"/>
      <c r="EG6023" s="451"/>
      <c r="EH6023" s="451"/>
      <c r="EI6023" s="451"/>
      <c r="EJ6023" s="451"/>
      <c r="EK6023" s="451"/>
      <c r="EL6023" s="451"/>
      <c r="EM6023" s="451"/>
      <c r="EN6023" s="451"/>
      <c r="EO6023" s="451"/>
      <c r="EP6023" s="451"/>
      <c r="EQ6023" s="451"/>
      <c r="ER6023" s="451"/>
      <c r="ES6023" s="451"/>
    </row>
    <row r="6024" spans="1:149" ht="15" hidden="1" customHeight="1">
      <c r="A6024" s="468">
        <v>45546</v>
      </c>
      <c r="B6024" s="208" t="s">
        <v>4951</v>
      </c>
      <c r="C6024" s="208" t="s">
        <v>4783</v>
      </c>
      <c r="D6024" s="211">
        <v>-2425000</v>
      </c>
      <c r="E6024" s="212">
        <v>45536</v>
      </c>
      <c r="F6024" s="208" t="s">
        <v>3679</v>
      </c>
      <c r="G6024" s="208"/>
      <c r="H6024" s="208"/>
      <c r="I6024" s="208"/>
      <c r="J6024" s="209"/>
      <c r="K6024" s="209"/>
      <c r="L6024" s="209"/>
      <c r="M6024" s="209"/>
      <c r="N6024" s="209"/>
      <c r="O6024" s="209"/>
      <c r="P6024" s="209"/>
      <c r="Q6024" s="209"/>
      <c r="R6024" s="209"/>
      <c r="S6024" s="209"/>
      <c r="T6024" s="209"/>
      <c r="U6024" s="451"/>
      <c r="V6024" s="451"/>
      <c r="W6024" s="451"/>
      <c r="X6024" s="451"/>
      <c r="Y6024" s="451"/>
      <c r="Z6024" s="451"/>
      <c r="AA6024" s="451"/>
      <c r="AB6024" s="451"/>
      <c r="AC6024" s="451"/>
      <c r="AD6024" s="451"/>
      <c r="AE6024" s="451"/>
      <c r="AF6024" s="451"/>
      <c r="AG6024" s="451"/>
      <c r="AH6024" s="451"/>
      <c r="AI6024" s="451"/>
      <c r="AJ6024" s="451"/>
      <c r="AK6024" s="451"/>
      <c r="AL6024" s="451"/>
      <c r="AM6024" s="451"/>
      <c r="AN6024" s="451"/>
      <c r="AO6024" s="451"/>
      <c r="AP6024" s="451"/>
      <c r="AQ6024" s="451"/>
      <c r="AR6024" s="451"/>
      <c r="AS6024" s="451"/>
      <c r="AT6024" s="451"/>
      <c r="AU6024" s="451"/>
      <c r="AV6024" s="451"/>
      <c r="AW6024" s="451"/>
      <c r="AX6024" s="451"/>
      <c r="AY6024" s="451"/>
      <c r="AZ6024" s="451"/>
      <c r="BA6024" s="451"/>
      <c r="BB6024" s="451"/>
      <c r="BC6024" s="451"/>
      <c r="BD6024" s="451"/>
      <c r="BE6024" s="451"/>
      <c r="BF6024" s="451"/>
      <c r="BG6024" s="451"/>
      <c r="BH6024" s="451"/>
      <c r="BI6024" s="451"/>
      <c r="BJ6024" s="451"/>
      <c r="BK6024" s="451"/>
      <c r="BL6024" s="451"/>
      <c r="BM6024" s="451"/>
      <c r="BN6024" s="451"/>
      <c r="BO6024" s="451"/>
      <c r="BP6024" s="451"/>
      <c r="BQ6024" s="451"/>
      <c r="BR6024" s="451"/>
      <c r="BS6024" s="451"/>
      <c r="BT6024" s="451"/>
      <c r="BU6024" s="451"/>
      <c r="BV6024" s="451"/>
      <c r="BW6024" s="451"/>
      <c r="BX6024" s="451"/>
      <c r="BY6024" s="451"/>
      <c r="BZ6024" s="451"/>
      <c r="CA6024" s="451"/>
      <c r="CB6024" s="451"/>
      <c r="CC6024" s="451"/>
      <c r="CD6024" s="451"/>
      <c r="CE6024" s="451"/>
      <c r="CF6024" s="451"/>
      <c r="CG6024" s="451"/>
      <c r="CH6024" s="451"/>
      <c r="CI6024" s="451"/>
      <c r="CJ6024" s="451"/>
      <c r="CK6024" s="451"/>
      <c r="CL6024" s="451"/>
      <c r="CM6024" s="451"/>
      <c r="CN6024" s="451"/>
      <c r="CO6024" s="451"/>
      <c r="CP6024" s="451"/>
      <c r="CQ6024" s="451"/>
      <c r="CR6024" s="451"/>
      <c r="CS6024" s="451"/>
      <c r="CT6024" s="451"/>
      <c r="CU6024" s="451"/>
      <c r="CV6024" s="451"/>
      <c r="CW6024" s="451"/>
      <c r="CX6024" s="451"/>
      <c r="CY6024" s="451"/>
      <c r="CZ6024" s="451"/>
      <c r="DA6024" s="451"/>
      <c r="DB6024" s="451"/>
      <c r="DC6024" s="451"/>
      <c r="DD6024" s="451"/>
      <c r="DE6024" s="451"/>
      <c r="DF6024" s="451"/>
      <c r="DG6024" s="451"/>
      <c r="DH6024" s="451"/>
      <c r="DI6024" s="451"/>
      <c r="DJ6024" s="451"/>
      <c r="DK6024" s="451"/>
      <c r="DL6024" s="451"/>
      <c r="DM6024" s="451"/>
      <c r="DN6024" s="451"/>
      <c r="DO6024" s="451"/>
      <c r="DP6024" s="451"/>
      <c r="DQ6024" s="451"/>
      <c r="DR6024" s="451"/>
      <c r="DS6024" s="451"/>
      <c r="DT6024" s="451"/>
      <c r="DU6024" s="451"/>
      <c r="DV6024" s="451"/>
      <c r="DW6024" s="451"/>
      <c r="DX6024" s="451"/>
      <c r="DY6024" s="451"/>
      <c r="DZ6024" s="451"/>
      <c r="EA6024" s="451"/>
      <c r="EB6024" s="451"/>
      <c r="EC6024" s="451"/>
      <c r="ED6024" s="451"/>
      <c r="EE6024" s="451"/>
      <c r="EF6024" s="451"/>
      <c r="EG6024" s="451"/>
      <c r="EH6024" s="451"/>
      <c r="EI6024" s="451"/>
      <c r="EJ6024" s="451"/>
      <c r="EK6024" s="451"/>
      <c r="EL6024" s="451"/>
      <c r="EM6024" s="451"/>
      <c r="EN6024" s="451"/>
      <c r="EO6024" s="451"/>
      <c r="EP6024" s="451"/>
      <c r="EQ6024" s="451"/>
      <c r="ER6024" s="451"/>
      <c r="ES6024" s="451"/>
    </row>
    <row r="6025" spans="1:149" ht="15" hidden="1" customHeight="1">
      <c r="A6025" s="468">
        <v>45546</v>
      </c>
      <c r="B6025" s="208" t="s">
        <v>4952</v>
      </c>
      <c r="C6025" s="208" t="s">
        <v>27</v>
      </c>
      <c r="D6025" s="211">
        <v>-70787637</v>
      </c>
      <c r="E6025" s="212">
        <v>45536</v>
      </c>
      <c r="F6025" s="208" t="s">
        <v>2986</v>
      </c>
      <c r="G6025" s="208" t="s">
        <v>4953</v>
      </c>
      <c r="H6025" s="208"/>
      <c r="I6025" s="208"/>
      <c r="J6025" s="209"/>
      <c r="K6025" s="209"/>
      <c r="L6025" s="209"/>
      <c r="M6025" s="209"/>
      <c r="N6025" s="209"/>
      <c r="O6025" s="209"/>
      <c r="P6025" s="209"/>
      <c r="Q6025" s="209"/>
      <c r="R6025" s="209"/>
      <c r="S6025" s="209"/>
      <c r="T6025" s="209"/>
      <c r="U6025" s="451"/>
      <c r="V6025" s="451"/>
      <c r="W6025" s="451"/>
      <c r="X6025" s="451"/>
      <c r="Y6025" s="451"/>
      <c r="Z6025" s="451"/>
      <c r="AA6025" s="451"/>
      <c r="AB6025" s="451"/>
      <c r="AC6025" s="451"/>
      <c r="AD6025" s="451"/>
      <c r="AE6025" s="451"/>
      <c r="AF6025" s="451"/>
      <c r="AG6025" s="451"/>
      <c r="AH6025" s="451"/>
      <c r="AI6025" s="451"/>
      <c r="AJ6025" s="451"/>
      <c r="AK6025" s="451"/>
      <c r="AL6025" s="451"/>
      <c r="AM6025" s="451"/>
      <c r="AN6025" s="451"/>
      <c r="AO6025" s="451"/>
      <c r="AP6025" s="451"/>
      <c r="AQ6025" s="451"/>
      <c r="AR6025" s="451"/>
      <c r="AS6025" s="451"/>
      <c r="AT6025" s="451"/>
      <c r="AU6025" s="451"/>
      <c r="AV6025" s="451"/>
      <c r="AW6025" s="451"/>
      <c r="AX6025" s="451"/>
      <c r="AY6025" s="451"/>
      <c r="AZ6025" s="451"/>
      <c r="BA6025" s="451"/>
      <c r="BB6025" s="451"/>
      <c r="BC6025" s="451"/>
      <c r="BD6025" s="451"/>
      <c r="BE6025" s="451"/>
      <c r="BF6025" s="451"/>
      <c r="BG6025" s="451"/>
      <c r="BH6025" s="451"/>
      <c r="BI6025" s="451"/>
      <c r="BJ6025" s="451"/>
      <c r="BK6025" s="451"/>
      <c r="BL6025" s="451"/>
      <c r="BM6025" s="451"/>
      <c r="BN6025" s="451"/>
      <c r="BO6025" s="451"/>
      <c r="BP6025" s="451"/>
      <c r="BQ6025" s="451"/>
      <c r="BR6025" s="451"/>
      <c r="BS6025" s="451"/>
      <c r="BT6025" s="451"/>
      <c r="BU6025" s="451"/>
      <c r="BV6025" s="451"/>
      <c r="BW6025" s="451"/>
      <c r="BX6025" s="451"/>
      <c r="BY6025" s="451"/>
      <c r="BZ6025" s="451"/>
      <c r="CA6025" s="451"/>
      <c r="CB6025" s="451"/>
      <c r="CC6025" s="451"/>
      <c r="CD6025" s="451"/>
      <c r="CE6025" s="451"/>
      <c r="CF6025" s="451"/>
      <c r="CG6025" s="451"/>
      <c r="CH6025" s="451"/>
      <c r="CI6025" s="451"/>
      <c r="CJ6025" s="451"/>
      <c r="CK6025" s="451"/>
      <c r="CL6025" s="451"/>
      <c r="CM6025" s="451"/>
      <c r="CN6025" s="451"/>
      <c r="CO6025" s="451"/>
      <c r="CP6025" s="451"/>
      <c r="CQ6025" s="451"/>
      <c r="CR6025" s="451"/>
      <c r="CS6025" s="451"/>
      <c r="CT6025" s="451"/>
      <c r="CU6025" s="451"/>
      <c r="CV6025" s="451"/>
      <c r="CW6025" s="451"/>
      <c r="CX6025" s="451"/>
      <c r="CY6025" s="451"/>
      <c r="CZ6025" s="451"/>
      <c r="DA6025" s="451"/>
      <c r="DB6025" s="451"/>
      <c r="DC6025" s="451"/>
      <c r="DD6025" s="451"/>
      <c r="DE6025" s="451"/>
      <c r="DF6025" s="451"/>
      <c r="DG6025" s="451"/>
      <c r="DH6025" s="451"/>
      <c r="DI6025" s="451"/>
      <c r="DJ6025" s="451"/>
      <c r="DK6025" s="451"/>
      <c r="DL6025" s="451"/>
      <c r="DM6025" s="451"/>
      <c r="DN6025" s="451"/>
      <c r="DO6025" s="451"/>
      <c r="DP6025" s="451"/>
      <c r="DQ6025" s="451"/>
      <c r="DR6025" s="451"/>
      <c r="DS6025" s="451"/>
      <c r="DT6025" s="451"/>
      <c r="DU6025" s="451"/>
      <c r="DV6025" s="451"/>
      <c r="DW6025" s="451"/>
      <c r="DX6025" s="451"/>
      <c r="DY6025" s="451"/>
      <c r="DZ6025" s="451"/>
      <c r="EA6025" s="451"/>
      <c r="EB6025" s="451"/>
      <c r="EC6025" s="451"/>
      <c r="ED6025" s="451"/>
      <c r="EE6025" s="451"/>
      <c r="EF6025" s="451"/>
      <c r="EG6025" s="451"/>
      <c r="EH6025" s="451"/>
      <c r="EI6025" s="451"/>
      <c r="EJ6025" s="451"/>
      <c r="EK6025" s="451"/>
      <c r="EL6025" s="451"/>
      <c r="EM6025" s="451"/>
      <c r="EN6025" s="451"/>
      <c r="EO6025" s="451"/>
      <c r="EP6025" s="451"/>
      <c r="EQ6025" s="451"/>
      <c r="ER6025" s="451"/>
      <c r="ES6025" s="451"/>
    </row>
    <row r="6026" spans="1:149" ht="15" hidden="1" customHeight="1">
      <c r="A6026" s="468">
        <v>45546</v>
      </c>
      <c r="B6026" s="208" t="s">
        <v>4954</v>
      </c>
      <c r="C6026" s="208" t="s">
        <v>4783</v>
      </c>
      <c r="D6026" s="211">
        <v>-29000</v>
      </c>
      <c r="E6026" s="212">
        <v>45536</v>
      </c>
      <c r="F6026" s="208" t="s">
        <v>3679</v>
      </c>
      <c r="G6026" s="208"/>
      <c r="H6026" s="208"/>
      <c r="I6026" s="208"/>
      <c r="J6026" s="209"/>
      <c r="K6026" s="209"/>
      <c r="L6026" s="209"/>
      <c r="M6026" s="209"/>
      <c r="N6026" s="209"/>
      <c r="O6026" s="209"/>
      <c r="P6026" s="209"/>
      <c r="Q6026" s="209"/>
      <c r="R6026" s="209"/>
      <c r="S6026" s="209"/>
      <c r="T6026" s="209"/>
      <c r="U6026" s="451"/>
      <c r="V6026" s="451"/>
      <c r="W6026" s="451"/>
      <c r="X6026" s="451"/>
      <c r="Y6026" s="451"/>
      <c r="Z6026" s="451"/>
      <c r="AA6026" s="451"/>
      <c r="AB6026" s="451"/>
      <c r="AC6026" s="451"/>
      <c r="AD6026" s="451"/>
      <c r="AE6026" s="451"/>
      <c r="AF6026" s="451"/>
      <c r="AG6026" s="451"/>
      <c r="AH6026" s="451"/>
      <c r="AI6026" s="451"/>
      <c r="AJ6026" s="451"/>
      <c r="AK6026" s="451"/>
      <c r="AL6026" s="451"/>
      <c r="AM6026" s="451"/>
      <c r="AN6026" s="451"/>
      <c r="AO6026" s="451"/>
      <c r="AP6026" s="451"/>
      <c r="AQ6026" s="451"/>
      <c r="AR6026" s="451"/>
      <c r="AS6026" s="451"/>
      <c r="AT6026" s="451"/>
      <c r="AU6026" s="451"/>
      <c r="AV6026" s="451"/>
      <c r="AW6026" s="451"/>
      <c r="AX6026" s="451"/>
      <c r="AY6026" s="451"/>
      <c r="AZ6026" s="451"/>
      <c r="BA6026" s="451"/>
      <c r="BB6026" s="451"/>
      <c r="BC6026" s="451"/>
      <c r="BD6026" s="451"/>
      <c r="BE6026" s="451"/>
      <c r="BF6026" s="451"/>
      <c r="BG6026" s="451"/>
      <c r="BH6026" s="451"/>
      <c r="BI6026" s="451"/>
      <c r="BJ6026" s="451"/>
      <c r="BK6026" s="451"/>
      <c r="BL6026" s="451"/>
      <c r="BM6026" s="451"/>
      <c r="BN6026" s="451"/>
      <c r="BO6026" s="451"/>
      <c r="BP6026" s="451"/>
      <c r="BQ6026" s="451"/>
      <c r="BR6026" s="451"/>
      <c r="BS6026" s="451"/>
      <c r="BT6026" s="451"/>
      <c r="BU6026" s="451"/>
      <c r="BV6026" s="451"/>
      <c r="BW6026" s="451"/>
      <c r="BX6026" s="451"/>
      <c r="BY6026" s="451"/>
      <c r="BZ6026" s="451"/>
      <c r="CA6026" s="451"/>
      <c r="CB6026" s="451"/>
      <c r="CC6026" s="451"/>
      <c r="CD6026" s="451"/>
      <c r="CE6026" s="451"/>
      <c r="CF6026" s="451"/>
      <c r="CG6026" s="451"/>
      <c r="CH6026" s="451"/>
      <c r="CI6026" s="451"/>
      <c r="CJ6026" s="451"/>
      <c r="CK6026" s="451"/>
      <c r="CL6026" s="451"/>
      <c r="CM6026" s="451"/>
      <c r="CN6026" s="451"/>
      <c r="CO6026" s="451"/>
      <c r="CP6026" s="451"/>
      <c r="CQ6026" s="451"/>
      <c r="CR6026" s="451"/>
      <c r="CS6026" s="451"/>
      <c r="CT6026" s="451"/>
      <c r="CU6026" s="451"/>
      <c r="CV6026" s="451"/>
      <c r="CW6026" s="451"/>
      <c r="CX6026" s="451"/>
      <c r="CY6026" s="451"/>
      <c r="CZ6026" s="451"/>
      <c r="DA6026" s="451"/>
      <c r="DB6026" s="451"/>
      <c r="DC6026" s="451"/>
      <c r="DD6026" s="451"/>
      <c r="DE6026" s="451"/>
      <c r="DF6026" s="451"/>
      <c r="DG6026" s="451"/>
      <c r="DH6026" s="451"/>
      <c r="DI6026" s="451"/>
      <c r="DJ6026" s="451"/>
      <c r="DK6026" s="451"/>
      <c r="DL6026" s="451"/>
      <c r="DM6026" s="451"/>
      <c r="DN6026" s="451"/>
      <c r="DO6026" s="451"/>
      <c r="DP6026" s="451"/>
      <c r="DQ6026" s="451"/>
      <c r="DR6026" s="451"/>
      <c r="DS6026" s="451"/>
      <c r="DT6026" s="451"/>
      <c r="DU6026" s="451"/>
      <c r="DV6026" s="451"/>
      <c r="DW6026" s="451"/>
      <c r="DX6026" s="451"/>
      <c r="DY6026" s="451"/>
      <c r="DZ6026" s="451"/>
      <c r="EA6026" s="451"/>
      <c r="EB6026" s="451"/>
      <c r="EC6026" s="451"/>
      <c r="ED6026" s="451"/>
      <c r="EE6026" s="451"/>
      <c r="EF6026" s="451"/>
      <c r="EG6026" s="451"/>
      <c r="EH6026" s="451"/>
      <c r="EI6026" s="451"/>
      <c r="EJ6026" s="451"/>
      <c r="EK6026" s="451"/>
      <c r="EL6026" s="451"/>
      <c r="EM6026" s="451"/>
      <c r="EN6026" s="451"/>
      <c r="EO6026" s="451"/>
      <c r="EP6026" s="451"/>
      <c r="EQ6026" s="451"/>
      <c r="ER6026" s="451"/>
      <c r="ES6026" s="451"/>
    </row>
    <row r="6027" spans="1:149" s="451" customFormat="1" ht="15" hidden="1" customHeight="1">
      <c r="A6027" s="468">
        <v>45546</v>
      </c>
      <c r="B6027" s="208" t="s">
        <v>4955</v>
      </c>
      <c r="C6027" s="208" t="s">
        <v>4783</v>
      </c>
      <c r="D6027" s="211">
        <v>-4707107</v>
      </c>
      <c r="E6027" s="212">
        <v>45536</v>
      </c>
      <c r="F6027" s="654" t="s">
        <v>130</v>
      </c>
      <c r="G6027" s="654" t="s">
        <v>130</v>
      </c>
      <c r="H6027" s="208" t="s">
        <v>1148</v>
      </c>
      <c r="I6027" s="208"/>
      <c r="J6027" s="209"/>
      <c r="K6027" s="209"/>
      <c r="L6027" s="209"/>
      <c r="M6027" s="209"/>
      <c r="N6027" s="209"/>
      <c r="O6027" s="209"/>
      <c r="P6027" s="209"/>
      <c r="Q6027" s="209"/>
      <c r="R6027" s="209"/>
      <c r="S6027" s="209"/>
      <c r="T6027" s="209"/>
    </row>
    <row r="6028" spans="1:149" s="451" customFormat="1" ht="15" hidden="1" customHeight="1">
      <c r="A6028" s="468">
        <v>45546</v>
      </c>
      <c r="B6028" s="208" t="s">
        <v>4956</v>
      </c>
      <c r="C6028" s="208" t="s">
        <v>4783</v>
      </c>
      <c r="D6028" s="211">
        <v>-1500000</v>
      </c>
      <c r="E6028" s="212">
        <v>45536</v>
      </c>
      <c r="F6028" s="208" t="s">
        <v>109</v>
      </c>
      <c r="G6028" s="208" t="s">
        <v>2809</v>
      </c>
      <c r="H6028" s="208" t="s">
        <v>4957</v>
      </c>
      <c r="I6028" s="208"/>
      <c r="J6028" s="209"/>
      <c r="K6028" s="209"/>
      <c r="L6028" s="209"/>
      <c r="M6028" s="209"/>
      <c r="N6028" s="209"/>
      <c r="O6028" s="209"/>
      <c r="P6028" s="209"/>
      <c r="Q6028" s="209"/>
      <c r="R6028" s="209"/>
      <c r="S6028" s="209"/>
      <c r="T6028" s="209"/>
    </row>
    <row r="6029" spans="1:149" ht="15" hidden="1" customHeight="1">
      <c r="A6029" s="468">
        <v>45546</v>
      </c>
      <c r="B6029" s="208" t="s">
        <v>3207</v>
      </c>
      <c r="C6029" s="208" t="s">
        <v>4783</v>
      </c>
      <c r="D6029" s="211">
        <v>-2991138</v>
      </c>
      <c r="E6029" s="212">
        <v>45536</v>
      </c>
      <c r="F6029" s="654" t="s">
        <v>110</v>
      </c>
      <c r="G6029" s="654" t="s">
        <v>774</v>
      </c>
      <c r="H6029" s="208" t="s">
        <v>3637</v>
      </c>
      <c r="I6029" s="208"/>
      <c r="J6029" s="209"/>
      <c r="K6029" s="209"/>
      <c r="L6029" s="209"/>
      <c r="M6029" s="209"/>
      <c r="N6029" s="209"/>
      <c r="O6029" s="209"/>
      <c r="P6029" s="209"/>
      <c r="Q6029" s="209"/>
      <c r="R6029" s="209"/>
      <c r="S6029" s="209"/>
      <c r="T6029" s="209"/>
      <c r="U6029" s="451"/>
      <c r="V6029" s="451"/>
      <c r="W6029" s="451"/>
      <c r="X6029" s="451"/>
      <c r="Y6029" s="451"/>
      <c r="Z6029" s="451"/>
      <c r="AA6029" s="451"/>
      <c r="AB6029" s="451"/>
      <c r="AC6029" s="451"/>
      <c r="AD6029" s="451"/>
      <c r="AE6029" s="451"/>
      <c r="AF6029" s="451"/>
      <c r="AG6029" s="451"/>
      <c r="AH6029" s="451"/>
      <c r="AI6029" s="451"/>
      <c r="AJ6029" s="451"/>
      <c r="AK6029" s="451"/>
      <c r="AL6029" s="451"/>
      <c r="AM6029" s="451"/>
      <c r="AN6029" s="451"/>
      <c r="AO6029" s="451"/>
      <c r="AP6029" s="451"/>
      <c r="AQ6029" s="451"/>
      <c r="AR6029" s="451"/>
      <c r="AS6029" s="451"/>
      <c r="AT6029" s="451"/>
      <c r="AU6029" s="451"/>
      <c r="AV6029" s="451"/>
      <c r="AW6029" s="451"/>
      <c r="AX6029" s="451"/>
      <c r="AY6029" s="451"/>
      <c r="AZ6029" s="451"/>
      <c r="BA6029" s="451"/>
      <c r="BB6029" s="451"/>
      <c r="BC6029" s="451"/>
      <c r="BD6029" s="451"/>
      <c r="BE6029" s="451"/>
      <c r="BF6029" s="451"/>
      <c r="BG6029" s="451"/>
      <c r="BH6029" s="451"/>
      <c r="BI6029" s="451"/>
      <c r="BJ6029" s="451"/>
      <c r="BK6029" s="451"/>
      <c r="BL6029" s="451"/>
      <c r="BM6029" s="451"/>
      <c r="BN6029" s="451"/>
      <c r="BO6029" s="451"/>
      <c r="BP6029" s="451"/>
      <c r="BQ6029" s="451"/>
      <c r="BR6029" s="451"/>
      <c r="BS6029" s="451"/>
      <c r="BT6029" s="451"/>
      <c r="BU6029" s="451"/>
      <c r="BV6029" s="451"/>
      <c r="BW6029" s="451"/>
      <c r="BX6029" s="451"/>
      <c r="BY6029" s="451"/>
      <c r="BZ6029" s="451"/>
      <c r="CA6029" s="451"/>
      <c r="CB6029" s="451"/>
      <c r="CC6029" s="451"/>
      <c r="CD6029" s="451"/>
      <c r="CE6029" s="451"/>
      <c r="CF6029" s="451"/>
      <c r="CG6029" s="451"/>
      <c r="CH6029" s="451"/>
      <c r="CI6029" s="451"/>
      <c r="CJ6029" s="451"/>
      <c r="CK6029" s="451"/>
      <c r="CL6029" s="451"/>
      <c r="CM6029" s="451"/>
      <c r="CN6029" s="451"/>
      <c r="CO6029" s="451"/>
      <c r="CP6029" s="451"/>
      <c r="CQ6029" s="451"/>
      <c r="CR6029" s="451"/>
      <c r="CS6029" s="451"/>
      <c r="CT6029" s="451"/>
      <c r="CU6029" s="451"/>
      <c r="CV6029" s="451"/>
      <c r="CW6029" s="451"/>
      <c r="CX6029" s="451"/>
      <c r="CY6029" s="451"/>
      <c r="CZ6029" s="451"/>
      <c r="DA6029" s="451"/>
      <c r="DB6029" s="451"/>
      <c r="DC6029" s="451"/>
      <c r="DD6029" s="451"/>
      <c r="DE6029" s="451"/>
      <c r="DF6029" s="451"/>
      <c r="DG6029" s="451"/>
      <c r="DH6029" s="451"/>
      <c r="DI6029" s="451"/>
      <c r="DJ6029" s="451"/>
      <c r="DK6029" s="451"/>
      <c r="DL6029" s="451"/>
      <c r="DM6029" s="451"/>
      <c r="DN6029" s="451"/>
      <c r="DO6029" s="451"/>
      <c r="DP6029" s="451"/>
      <c r="DQ6029" s="451"/>
      <c r="DR6029" s="451"/>
      <c r="DS6029" s="451"/>
      <c r="DT6029" s="451"/>
      <c r="DU6029" s="451"/>
      <c r="DV6029" s="451"/>
      <c r="DW6029" s="451"/>
      <c r="DX6029" s="451"/>
      <c r="DY6029" s="451"/>
      <c r="DZ6029" s="451"/>
      <c r="EA6029" s="451"/>
      <c r="EB6029" s="451"/>
      <c r="EC6029" s="451"/>
      <c r="ED6029" s="451"/>
      <c r="EE6029" s="451"/>
      <c r="EF6029" s="451"/>
      <c r="EG6029" s="451"/>
      <c r="EH6029" s="451"/>
      <c r="EI6029" s="451"/>
      <c r="EJ6029" s="451"/>
      <c r="EK6029" s="451"/>
      <c r="EL6029" s="451"/>
      <c r="EM6029" s="451"/>
      <c r="EN6029" s="451"/>
      <c r="EO6029" s="451"/>
      <c r="EP6029" s="451"/>
      <c r="EQ6029" s="451"/>
      <c r="ER6029" s="451"/>
      <c r="ES6029" s="451"/>
    </row>
    <row r="6030" spans="1:149" ht="15" hidden="1" customHeight="1">
      <c r="A6030" s="468">
        <v>45546</v>
      </c>
      <c r="B6030" s="208" t="s">
        <v>3207</v>
      </c>
      <c r="C6030" s="208" t="s">
        <v>4783</v>
      </c>
      <c r="D6030" s="211">
        <v>-2991138</v>
      </c>
      <c r="E6030" s="212">
        <v>45536</v>
      </c>
      <c r="F6030" s="654" t="s">
        <v>110</v>
      </c>
      <c r="G6030" s="208" t="s">
        <v>4249</v>
      </c>
      <c r="H6030" s="208" t="s">
        <v>3637</v>
      </c>
      <c r="I6030" s="208"/>
      <c r="J6030" s="209"/>
      <c r="K6030" s="209"/>
      <c r="L6030" s="209"/>
      <c r="M6030" s="209"/>
      <c r="N6030" s="209"/>
      <c r="O6030" s="209"/>
      <c r="P6030" s="209"/>
      <c r="Q6030" s="209"/>
      <c r="R6030" s="209"/>
      <c r="S6030" s="209"/>
      <c r="T6030" s="209"/>
      <c r="U6030" s="451"/>
      <c r="V6030" s="451"/>
      <c r="W6030" s="451"/>
      <c r="X6030" s="451"/>
      <c r="Y6030" s="451"/>
      <c r="Z6030" s="451"/>
      <c r="AA6030" s="451"/>
      <c r="AB6030" s="451"/>
      <c r="AC6030" s="451"/>
      <c r="AD6030" s="451"/>
      <c r="AE6030" s="451"/>
      <c r="AF6030" s="451"/>
      <c r="AG6030" s="451"/>
      <c r="AH6030" s="451"/>
      <c r="AI6030" s="451"/>
      <c r="AJ6030" s="451"/>
      <c r="AK6030" s="451"/>
      <c r="AL6030" s="451"/>
      <c r="AM6030" s="451"/>
      <c r="AN6030" s="451"/>
      <c r="AO6030" s="451"/>
      <c r="AP6030" s="451"/>
      <c r="AQ6030" s="451"/>
      <c r="AR6030" s="451"/>
      <c r="AS6030" s="451"/>
      <c r="AT6030" s="451"/>
      <c r="AU6030" s="451"/>
      <c r="AV6030" s="451"/>
      <c r="AW6030" s="451"/>
      <c r="AX6030" s="451"/>
      <c r="AY6030" s="451"/>
      <c r="AZ6030" s="451"/>
      <c r="BA6030" s="451"/>
      <c r="BB6030" s="451"/>
      <c r="BC6030" s="451"/>
      <c r="BD6030" s="451"/>
      <c r="BE6030" s="451"/>
      <c r="BF6030" s="451"/>
      <c r="BG6030" s="451"/>
      <c r="BH6030" s="451"/>
      <c r="BI6030" s="451"/>
      <c r="BJ6030" s="451"/>
      <c r="BK6030" s="451"/>
      <c r="BL6030" s="451"/>
      <c r="BM6030" s="451"/>
      <c r="BN6030" s="451"/>
      <c r="BO6030" s="451"/>
      <c r="BP6030" s="451"/>
      <c r="BQ6030" s="451"/>
      <c r="BR6030" s="451"/>
      <c r="BS6030" s="451"/>
      <c r="BT6030" s="451"/>
      <c r="BU6030" s="451"/>
      <c r="BV6030" s="451"/>
      <c r="BW6030" s="451"/>
      <c r="BX6030" s="451"/>
      <c r="BY6030" s="451"/>
      <c r="BZ6030" s="451"/>
      <c r="CA6030" s="451"/>
      <c r="CB6030" s="451"/>
      <c r="CC6030" s="451"/>
      <c r="CD6030" s="451"/>
      <c r="CE6030" s="451"/>
      <c r="CF6030" s="451"/>
      <c r="CG6030" s="451"/>
      <c r="CH6030" s="451"/>
      <c r="CI6030" s="451"/>
      <c r="CJ6030" s="451"/>
      <c r="CK6030" s="451"/>
      <c r="CL6030" s="451"/>
      <c r="CM6030" s="451"/>
      <c r="CN6030" s="451"/>
      <c r="CO6030" s="451"/>
      <c r="CP6030" s="451"/>
      <c r="CQ6030" s="451"/>
      <c r="CR6030" s="451"/>
      <c r="CS6030" s="451"/>
      <c r="CT6030" s="451"/>
      <c r="CU6030" s="451"/>
      <c r="CV6030" s="451"/>
      <c r="CW6030" s="451"/>
      <c r="CX6030" s="451"/>
      <c r="CY6030" s="451"/>
      <c r="CZ6030" s="451"/>
      <c r="DA6030" s="451"/>
      <c r="DB6030" s="451"/>
      <c r="DC6030" s="451"/>
      <c r="DD6030" s="451"/>
      <c r="DE6030" s="451"/>
      <c r="DF6030" s="451"/>
      <c r="DG6030" s="451"/>
      <c r="DH6030" s="451"/>
      <c r="DI6030" s="451"/>
      <c r="DJ6030" s="451"/>
      <c r="DK6030" s="451"/>
      <c r="DL6030" s="451"/>
      <c r="DM6030" s="451"/>
      <c r="DN6030" s="451"/>
      <c r="DO6030" s="451"/>
      <c r="DP6030" s="451"/>
      <c r="DQ6030" s="451"/>
      <c r="DR6030" s="451"/>
      <c r="DS6030" s="451"/>
      <c r="DT6030" s="451"/>
      <c r="DU6030" s="451"/>
      <c r="DV6030" s="451"/>
      <c r="DW6030" s="451"/>
      <c r="DX6030" s="451"/>
      <c r="DY6030" s="451"/>
      <c r="DZ6030" s="451"/>
      <c r="EA6030" s="451"/>
      <c r="EB6030" s="451"/>
      <c r="EC6030" s="451"/>
      <c r="ED6030" s="451"/>
      <c r="EE6030" s="451"/>
      <c r="EF6030" s="451"/>
      <c r="EG6030" s="451"/>
      <c r="EH6030" s="451"/>
      <c r="EI6030" s="451"/>
      <c r="EJ6030" s="451"/>
      <c r="EK6030" s="451"/>
      <c r="EL6030" s="451"/>
      <c r="EM6030" s="451"/>
      <c r="EN6030" s="451"/>
      <c r="EO6030" s="451"/>
      <c r="EP6030" s="451"/>
      <c r="EQ6030" s="451"/>
      <c r="ER6030" s="451"/>
      <c r="ES6030" s="451"/>
    </row>
    <row r="6031" spans="1:149" ht="15" hidden="1" customHeight="1">
      <c r="A6031" s="468">
        <v>45546</v>
      </c>
      <c r="B6031" s="208" t="s">
        <v>3207</v>
      </c>
      <c r="C6031" s="208" t="s">
        <v>4783</v>
      </c>
      <c r="D6031" s="211">
        <v>-2991137</v>
      </c>
      <c r="E6031" s="212">
        <v>45536</v>
      </c>
      <c r="F6031" s="654" t="s">
        <v>109</v>
      </c>
      <c r="G6031" s="654" t="s">
        <v>4407</v>
      </c>
      <c r="H6031" s="208" t="s">
        <v>3637</v>
      </c>
      <c r="I6031" s="475" t="s">
        <v>3475</v>
      </c>
      <c r="J6031" s="209"/>
      <c r="K6031" s="209"/>
      <c r="L6031" s="209"/>
      <c r="M6031" s="209"/>
      <c r="N6031" s="209"/>
      <c r="O6031" s="209"/>
      <c r="P6031" s="209"/>
      <c r="Q6031" s="209"/>
      <c r="R6031" s="209"/>
      <c r="S6031" s="209"/>
      <c r="T6031" s="209"/>
      <c r="U6031" s="451"/>
      <c r="V6031" s="451"/>
      <c r="W6031" s="451"/>
      <c r="X6031" s="451"/>
      <c r="Y6031" s="451"/>
      <c r="Z6031" s="451"/>
      <c r="AA6031" s="451"/>
      <c r="AB6031" s="451"/>
      <c r="AC6031" s="451"/>
      <c r="AD6031" s="451"/>
      <c r="AE6031" s="451"/>
      <c r="AF6031" s="451"/>
      <c r="AG6031" s="451"/>
      <c r="AH6031" s="451"/>
      <c r="AI6031" s="451"/>
      <c r="AJ6031" s="451"/>
      <c r="AK6031" s="451"/>
      <c r="AL6031" s="451"/>
      <c r="AM6031" s="451"/>
      <c r="AN6031" s="451"/>
      <c r="AO6031" s="451"/>
      <c r="AP6031" s="451"/>
      <c r="AQ6031" s="451"/>
      <c r="AR6031" s="451"/>
      <c r="AS6031" s="451"/>
      <c r="AT6031" s="451"/>
      <c r="AU6031" s="451"/>
      <c r="AV6031" s="451"/>
      <c r="AW6031" s="451"/>
      <c r="AX6031" s="451"/>
      <c r="AY6031" s="451"/>
      <c r="AZ6031" s="451"/>
      <c r="BA6031" s="451"/>
      <c r="BB6031" s="451"/>
      <c r="BC6031" s="451"/>
      <c r="BD6031" s="451"/>
      <c r="BE6031" s="451"/>
      <c r="BF6031" s="451"/>
      <c r="BG6031" s="451"/>
      <c r="BH6031" s="451"/>
      <c r="BI6031" s="451"/>
      <c r="BJ6031" s="451"/>
      <c r="BK6031" s="451"/>
      <c r="BL6031" s="451"/>
      <c r="BM6031" s="451"/>
      <c r="BN6031" s="451"/>
      <c r="BO6031" s="451"/>
      <c r="BP6031" s="451"/>
      <c r="BQ6031" s="451"/>
      <c r="BR6031" s="451"/>
      <c r="BS6031" s="451"/>
      <c r="BT6031" s="451"/>
      <c r="BU6031" s="451"/>
      <c r="BV6031" s="451"/>
      <c r="BW6031" s="451"/>
      <c r="BX6031" s="451"/>
      <c r="BY6031" s="451"/>
      <c r="BZ6031" s="451"/>
      <c r="CA6031" s="451"/>
      <c r="CB6031" s="451"/>
      <c r="CC6031" s="451"/>
      <c r="CD6031" s="451"/>
      <c r="CE6031" s="451"/>
      <c r="CF6031" s="451"/>
      <c r="CG6031" s="451"/>
      <c r="CH6031" s="451"/>
      <c r="CI6031" s="451"/>
      <c r="CJ6031" s="451"/>
      <c r="CK6031" s="451"/>
      <c r="CL6031" s="451"/>
      <c r="CM6031" s="451"/>
      <c r="CN6031" s="451"/>
      <c r="CO6031" s="451"/>
      <c r="CP6031" s="451"/>
      <c r="CQ6031" s="451"/>
      <c r="CR6031" s="451"/>
      <c r="CS6031" s="451"/>
      <c r="CT6031" s="451"/>
      <c r="CU6031" s="451"/>
      <c r="CV6031" s="451"/>
      <c r="CW6031" s="451"/>
      <c r="CX6031" s="451"/>
      <c r="CY6031" s="451"/>
      <c r="CZ6031" s="451"/>
      <c r="DA6031" s="451"/>
      <c r="DB6031" s="451"/>
      <c r="DC6031" s="451"/>
      <c r="DD6031" s="451"/>
      <c r="DE6031" s="451"/>
      <c r="DF6031" s="451"/>
      <c r="DG6031" s="451"/>
      <c r="DH6031" s="451"/>
      <c r="DI6031" s="451"/>
      <c r="DJ6031" s="451"/>
      <c r="DK6031" s="451"/>
      <c r="DL6031" s="451"/>
      <c r="DM6031" s="451"/>
      <c r="DN6031" s="451"/>
      <c r="DO6031" s="451"/>
      <c r="DP6031" s="451"/>
      <c r="DQ6031" s="451"/>
      <c r="DR6031" s="451"/>
      <c r="DS6031" s="451"/>
      <c r="DT6031" s="451"/>
      <c r="DU6031" s="451"/>
      <c r="DV6031" s="451"/>
      <c r="DW6031" s="451"/>
      <c r="DX6031" s="451"/>
      <c r="DY6031" s="451"/>
      <c r="DZ6031" s="451"/>
      <c r="EA6031" s="451"/>
      <c r="EB6031" s="451"/>
      <c r="EC6031" s="451"/>
      <c r="ED6031" s="451"/>
      <c r="EE6031" s="451"/>
      <c r="EF6031" s="451"/>
      <c r="EG6031" s="451"/>
      <c r="EH6031" s="451"/>
      <c r="EI6031" s="451"/>
      <c r="EJ6031" s="451"/>
      <c r="EK6031" s="451"/>
      <c r="EL6031" s="451"/>
      <c r="EM6031" s="451"/>
      <c r="EN6031" s="451"/>
      <c r="EO6031" s="451"/>
      <c r="EP6031" s="451"/>
      <c r="EQ6031" s="451"/>
      <c r="ER6031" s="451"/>
      <c r="ES6031" s="451"/>
    </row>
    <row r="6032" spans="1:149" ht="15" hidden="1" customHeight="1">
      <c r="A6032" s="468">
        <v>45546</v>
      </c>
      <c r="B6032" s="208" t="s">
        <v>3207</v>
      </c>
      <c r="C6032" s="208" t="s">
        <v>4783</v>
      </c>
      <c r="D6032" s="211">
        <v>-2991137</v>
      </c>
      <c r="E6032" s="212">
        <v>45536</v>
      </c>
      <c r="F6032" s="654" t="s">
        <v>109</v>
      </c>
      <c r="G6032" s="654" t="s">
        <v>2585</v>
      </c>
      <c r="H6032" s="208" t="s">
        <v>3637</v>
      </c>
      <c r="I6032" s="208"/>
      <c r="J6032" s="209"/>
      <c r="K6032" s="209"/>
      <c r="L6032" s="209"/>
      <c r="M6032" s="209"/>
      <c r="N6032" s="209"/>
      <c r="O6032" s="209"/>
      <c r="P6032" s="209"/>
      <c r="Q6032" s="209"/>
      <c r="R6032" s="209"/>
      <c r="S6032" s="209"/>
      <c r="T6032" s="209"/>
      <c r="U6032" s="451"/>
      <c r="V6032" s="451"/>
      <c r="W6032" s="451"/>
      <c r="X6032" s="451"/>
      <c r="Y6032" s="451"/>
      <c r="Z6032" s="451"/>
      <c r="AA6032" s="451"/>
      <c r="AB6032" s="451"/>
      <c r="AC6032" s="451"/>
      <c r="AD6032" s="451"/>
      <c r="AE6032" s="451"/>
      <c r="AF6032" s="451"/>
      <c r="AG6032" s="451"/>
      <c r="AH6032" s="451"/>
      <c r="AI6032" s="451"/>
      <c r="AJ6032" s="451"/>
      <c r="AK6032" s="451"/>
      <c r="AL6032" s="451"/>
      <c r="AM6032" s="451"/>
      <c r="AN6032" s="451"/>
      <c r="AO6032" s="451"/>
      <c r="AP6032" s="451"/>
      <c r="AQ6032" s="451"/>
      <c r="AR6032" s="451"/>
      <c r="AS6032" s="451"/>
      <c r="AT6032" s="451"/>
      <c r="AU6032" s="451"/>
      <c r="AV6032" s="451"/>
      <c r="AW6032" s="451"/>
      <c r="AX6032" s="451"/>
      <c r="AY6032" s="451"/>
      <c r="AZ6032" s="451"/>
      <c r="BA6032" s="451"/>
      <c r="BB6032" s="451"/>
      <c r="BC6032" s="451"/>
      <c r="BD6032" s="451"/>
      <c r="BE6032" s="451"/>
      <c r="BF6032" s="451"/>
      <c r="BG6032" s="451"/>
      <c r="BH6032" s="451"/>
      <c r="BI6032" s="451"/>
      <c r="BJ6032" s="451"/>
      <c r="BK6032" s="451"/>
      <c r="BL6032" s="451"/>
      <c r="BM6032" s="451"/>
      <c r="BN6032" s="451"/>
      <c r="BO6032" s="451"/>
      <c r="BP6032" s="451"/>
      <c r="BQ6032" s="451"/>
      <c r="BR6032" s="451"/>
      <c r="BS6032" s="451"/>
      <c r="BT6032" s="451"/>
      <c r="BU6032" s="451"/>
      <c r="BV6032" s="451"/>
      <c r="BW6032" s="451"/>
      <c r="BX6032" s="451"/>
      <c r="BY6032" s="451"/>
      <c r="BZ6032" s="451"/>
      <c r="CA6032" s="451"/>
      <c r="CB6032" s="451"/>
      <c r="CC6032" s="451"/>
      <c r="CD6032" s="451"/>
      <c r="CE6032" s="451"/>
      <c r="CF6032" s="451"/>
      <c r="CG6032" s="451"/>
      <c r="CH6032" s="451"/>
      <c r="CI6032" s="451"/>
      <c r="CJ6032" s="451"/>
      <c r="CK6032" s="451"/>
      <c r="CL6032" s="451"/>
      <c r="CM6032" s="451"/>
      <c r="CN6032" s="451"/>
      <c r="CO6032" s="451"/>
      <c r="CP6032" s="451"/>
      <c r="CQ6032" s="451"/>
      <c r="CR6032" s="451"/>
      <c r="CS6032" s="451"/>
      <c r="CT6032" s="451"/>
      <c r="CU6032" s="451"/>
      <c r="CV6032" s="451"/>
      <c r="CW6032" s="451"/>
      <c r="CX6032" s="451"/>
      <c r="CY6032" s="451"/>
      <c r="CZ6032" s="451"/>
      <c r="DA6032" s="451"/>
      <c r="DB6032" s="451"/>
      <c r="DC6032" s="451"/>
      <c r="DD6032" s="451"/>
      <c r="DE6032" s="451"/>
      <c r="DF6032" s="451"/>
      <c r="DG6032" s="451"/>
      <c r="DH6032" s="451"/>
      <c r="DI6032" s="451"/>
      <c r="DJ6032" s="451"/>
      <c r="DK6032" s="451"/>
      <c r="DL6032" s="451"/>
      <c r="DM6032" s="451"/>
      <c r="DN6032" s="451"/>
      <c r="DO6032" s="451"/>
      <c r="DP6032" s="451"/>
      <c r="DQ6032" s="451"/>
      <c r="DR6032" s="451"/>
      <c r="DS6032" s="451"/>
      <c r="DT6032" s="451"/>
      <c r="DU6032" s="451"/>
      <c r="DV6032" s="451"/>
      <c r="DW6032" s="451"/>
      <c r="DX6032" s="451"/>
      <c r="DY6032" s="451"/>
      <c r="DZ6032" s="451"/>
      <c r="EA6032" s="451"/>
      <c r="EB6032" s="451"/>
      <c r="EC6032" s="451"/>
      <c r="ED6032" s="451"/>
      <c r="EE6032" s="451"/>
      <c r="EF6032" s="451"/>
      <c r="EG6032" s="451"/>
      <c r="EH6032" s="451"/>
      <c r="EI6032" s="451"/>
      <c r="EJ6032" s="451"/>
      <c r="EK6032" s="451"/>
      <c r="EL6032" s="451"/>
      <c r="EM6032" s="451"/>
      <c r="EN6032" s="451"/>
      <c r="EO6032" s="451"/>
      <c r="EP6032" s="451"/>
      <c r="EQ6032" s="451"/>
      <c r="ER6032" s="451"/>
      <c r="ES6032" s="451"/>
    </row>
    <row r="6033" spans="1:149" ht="15" hidden="1" customHeight="1">
      <c r="A6033" s="468">
        <v>45546</v>
      </c>
      <c r="B6033" s="208" t="s">
        <v>4958</v>
      </c>
      <c r="C6033" s="208" t="s">
        <v>4783</v>
      </c>
      <c r="D6033" s="211">
        <v>-519000</v>
      </c>
      <c r="E6033" s="212">
        <v>45536</v>
      </c>
      <c r="F6033" s="208" t="s">
        <v>109</v>
      </c>
      <c r="G6033" s="201" t="s">
        <v>581</v>
      </c>
      <c r="H6033" s="208"/>
      <c r="I6033" s="208"/>
      <c r="J6033" s="209"/>
      <c r="K6033" s="209"/>
      <c r="L6033" s="209"/>
      <c r="M6033" s="209"/>
      <c r="N6033" s="209"/>
      <c r="O6033" s="209"/>
      <c r="P6033" s="209"/>
      <c r="Q6033" s="209"/>
      <c r="R6033" s="209"/>
      <c r="S6033" s="209"/>
      <c r="T6033" s="209"/>
      <c r="U6033" s="451"/>
      <c r="V6033" s="451"/>
      <c r="W6033" s="451"/>
      <c r="X6033" s="451"/>
      <c r="Y6033" s="451"/>
      <c r="Z6033" s="451"/>
      <c r="AA6033" s="451"/>
      <c r="AB6033" s="451"/>
      <c r="AC6033" s="451"/>
      <c r="AD6033" s="451"/>
      <c r="AE6033" s="451"/>
      <c r="AF6033" s="451"/>
      <c r="AG6033" s="451"/>
      <c r="AH6033" s="451"/>
      <c r="AI6033" s="451"/>
      <c r="AJ6033" s="451"/>
      <c r="AK6033" s="451"/>
      <c r="AL6033" s="451"/>
      <c r="AM6033" s="451"/>
      <c r="AN6033" s="451"/>
      <c r="AO6033" s="451"/>
      <c r="AP6033" s="451"/>
      <c r="AQ6033" s="451"/>
      <c r="AR6033" s="451"/>
      <c r="AS6033" s="451"/>
      <c r="AT6033" s="451"/>
      <c r="AU6033" s="451"/>
      <c r="AV6033" s="451"/>
      <c r="AW6033" s="451"/>
      <c r="AX6033" s="451"/>
      <c r="AY6033" s="451"/>
      <c r="AZ6033" s="451"/>
      <c r="BA6033" s="451"/>
      <c r="BB6033" s="451"/>
      <c r="BC6033" s="451"/>
      <c r="BD6033" s="451"/>
      <c r="BE6033" s="451"/>
      <c r="BF6033" s="451"/>
      <c r="BG6033" s="451"/>
      <c r="BH6033" s="451"/>
      <c r="BI6033" s="451"/>
      <c r="BJ6033" s="451"/>
      <c r="BK6033" s="451"/>
      <c r="BL6033" s="451"/>
      <c r="BM6033" s="451"/>
      <c r="BN6033" s="451"/>
      <c r="BO6033" s="451"/>
      <c r="BP6033" s="451"/>
      <c r="BQ6033" s="451"/>
      <c r="BR6033" s="451"/>
      <c r="BS6033" s="451"/>
      <c r="BT6033" s="451"/>
      <c r="BU6033" s="451"/>
      <c r="BV6033" s="451"/>
      <c r="BW6033" s="451"/>
      <c r="BX6033" s="451"/>
      <c r="BY6033" s="451"/>
      <c r="BZ6033" s="451"/>
      <c r="CA6033" s="451"/>
      <c r="CB6033" s="451"/>
      <c r="CC6033" s="451"/>
      <c r="CD6033" s="451"/>
      <c r="CE6033" s="451"/>
      <c r="CF6033" s="451"/>
      <c r="CG6033" s="451"/>
      <c r="CH6033" s="451"/>
      <c r="CI6033" s="451"/>
      <c r="CJ6033" s="451"/>
      <c r="CK6033" s="451"/>
      <c r="CL6033" s="451"/>
      <c r="CM6033" s="451"/>
      <c r="CN6033" s="451"/>
      <c r="CO6033" s="451"/>
      <c r="CP6033" s="451"/>
      <c r="CQ6033" s="451"/>
      <c r="CR6033" s="451"/>
      <c r="CS6033" s="451"/>
      <c r="CT6033" s="451"/>
      <c r="CU6033" s="451"/>
      <c r="CV6033" s="451"/>
      <c r="CW6033" s="451"/>
      <c r="CX6033" s="451"/>
      <c r="CY6033" s="451"/>
      <c r="CZ6033" s="451"/>
      <c r="DA6033" s="451"/>
      <c r="DB6033" s="451"/>
      <c r="DC6033" s="451"/>
      <c r="DD6033" s="451"/>
      <c r="DE6033" s="451"/>
      <c r="DF6033" s="451"/>
      <c r="DG6033" s="451"/>
      <c r="DH6033" s="451"/>
      <c r="DI6033" s="451"/>
      <c r="DJ6033" s="451"/>
      <c r="DK6033" s="451"/>
      <c r="DL6033" s="451"/>
      <c r="DM6033" s="451"/>
      <c r="DN6033" s="451"/>
      <c r="DO6033" s="451"/>
      <c r="DP6033" s="451"/>
      <c r="DQ6033" s="451"/>
      <c r="DR6033" s="451"/>
      <c r="DS6033" s="451"/>
      <c r="DT6033" s="451"/>
      <c r="DU6033" s="451"/>
      <c r="DV6033" s="451"/>
      <c r="DW6033" s="451"/>
      <c r="DX6033" s="451"/>
      <c r="DY6033" s="451"/>
      <c r="DZ6033" s="451"/>
      <c r="EA6033" s="451"/>
      <c r="EB6033" s="451"/>
      <c r="EC6033" s="451"/>
      <c r="ED6033" s="451"/>
      <c r="EE6033" s="451"/>
      <c r="EF6033" s="451"/>
      <c r="EG6033" s="451"/>
      <c r="EH6033" s="451"/>
      <c r="EI6033" s="451"/>
      <c r="EJ6033" s="451"/>
      <c r="EK6033" s="451"/>
      <c r="EL6033" s="451"/>
      <c r="EM6033" s="451"/>
      <c r="EN6033" s="451"/>
      <c r="EO6033" s="451"/>
      <c r="EP6033" s="451"/>
      <c r="EQ6033" s="451"/>
      <c r="ER6033" s="451"/>
      <c r="ES6033" s="451"/>
    </row>
    <row r="6034" spans="1:149" ht="15" hidden="1" customHeight="1">
      <c r="A6034" s="468">
        <v>45546</v>
      </c>
      <c r="B6034" s="208" t="s">
        <v>4959</v>
      </c>
      <c r="C6034" s="208" t="s">
        <v>4783</v>
      </c>
      <c r="D6034" s="211">
        <v>-474000</v>
      </c>
      <c r="E6034" s="212">
        <v>45536</v>
      </c>
      <c r="F6034" s="208" t="s">
        <v>130</v>
      </c>
      <c r="G6034" s="208" t="s">
        <v>130</v>
      </c>
      <c r="H6034" s="208" t="s">
        <v>323</v>
      </c>
      <c r="I6034" s="208"/>
      <c r="J6034" s="209"/>
      <c r="K6034" s="209"/>
      <c r="L6034" s="209"/>
      <c r="M6034" s="209"/>
      <c r="N6034" s="209"/>
      <c r="O6034" s="209"/>
      <c r="P6034" s="209"/>
      <c r="Q6034" s="209"/>
      <c r="R6034" s="209"/>
      <c r="S6034" s="209"/>
      <c r="T6034" s="209"/>
      <c r="U6034" s="451"/>
      <c r="V6034" s="451"/>
      <c r="W6034" s="451"/>
      <c r="X6034" s="451"/>
      <c r="Y6034" s="451"/>
      <c r="Z6034" s="451"/>
      <c r="AA6034" s="451"/>
      <c r="AB6034" s="451"/>
      <c r="AC6034" s="451"/>
      <c r="AD6034" s="451"/>
      <c r="AE6034" s="451"/>
      <c r="AF6034" s="451"/>
      <c r="AG6034" s="451"/>
      <c r="AH6034" s="451"/>
      <c r="AI6034" s="451"/>
      <c r="AJ6034" s="451"/>
      <c r="AK6034" s="451"/>
      <c r="AL6034" s="451"/>
      <c r="AM6034" s="451"/>
      <c r="AN6034" s="451"/>
      <c r="AO6034" s="451"/>
      <c r="AP6034" s="451"/>
      <c r="AQ6034" s="451"/>
      <c r="AR6034" s="451"/>
      <c r="AS6034" s="451"/>
      <c r="AT6034" s="451"/>
      <c r="AU6034" s="451"/>
      <c r="AV6034" s="451"/>
      <c r="AW6034" s="451"/>
      <c r="AX6034" s="451"/>
      <c r="AY6034" s="451"/>
      <c r="AZ6034" s="451"/>
      <c r="BA6034" s="451"/>
      <c r="BB6034" s="451"/>
      <c r="BC6034" s="451"/>
      <c r="BD6034" s="451"/>
      <c r="BE6034" s="451"/>
      <c r="BF6034" s="451"/>
      <c r="BG6034" s="451"/>
      <c r="BH6034" s="451"/>
      <c r="BI6034" s="451"/>
      <c r="BJ6034" s="451"/>
      <c r="BK6034" s="451"/>
      <c r="BL6034" s="451"/>
      <c r="BM6034" s="451"/>
      <c r="BN6034" s="451"/>
      <c r="BO6034" s="451"/>
      <c r="BP6034" s="451"/>
      <c r="BQ6034" s="451"/>
      <c r="BR6034" s="451"/>
      <c r="BS6034" s="451"/>
      <c r="BT6034" s="451"/>
      <c r="BU6034" s="451"/>
      <c r="BV6034" s="451"/>
      <c r="BW6034" s="451"/>
      <c r="BX6034" s="451"/>
      <c r="BY6034" s="451"/>
      <c r="BZ6034" s="451"/>
      <c r="CA6034" s="451"/>
      <c r="CB6034" s="451"/>
      <c r="CC6034" s="451"/>
      <c r="CD6034" s="451"/>
      <c r="CE6034" s="451"/>
      <c r="CF6034" s="451"/>
      <c r="CG6034" s="451"/>
      <c r="CH6034" s="451"/>
      <c r="CI6034" s="451"/>
      <c r="CJ6034" s="451"/>
      <c r="CK6034" s="451"/>
      <c r="CL6034" s="451"/>
      <c r="CM6034" s="451"/>
      <c r="CN6034" s="451"/>
      <c r="CO6034" s="451"/>
      <c r="CP6034" s="451"/>
      <c r="CQ6034" s="451"/>
      <c r="CR6034" s="451"/>
      <c r="CS6034" s="451"/>
      <c r="CT6034" s="451"/>
      <c r="CU6034" s="451"/>
      <c r="CV6034" s="451"/>
      <c r="CW6034" s="451"/>
      <c r="CX6034" s="451"/>
      <c r="CY6034" s="451"/>
      <c r="CZ6034" s="451"/>
      <c r="DA6034" s="451"/>
      <c r="DB6034" s="451"/>
      <c r="DC6034" s="451"/>
      <c r="DD6034" s="451"/>
      <c r="DE6034" s="451"/>
      <c r="DF6034" s="451"/>
      <c r="DG6034" s="451"/>
      <c r="DH6034" s="451"/>
      <c r="DI6034" s="451"/>
      <c r="DJ6034" s="451"/>
      <c r="DK6034" s="451"/>
      <c r="DL6034" s="451"/>
      <c r="DM6034" s="451"/>
      <c r="DN6034" s="451"/>
      <c r="DO6034" s="451"/>
      <c r="DP6034" s="451"/>
      <c r="DQ6034" s="451"/>
      <c r="DR6034" s="451"/>
      <c r="DS6034" s="451"/>
      <c r="DT6034" s="451"/>
      <c r="DU6034" s="451"/>
      <c r="DV6034" s="451"/>
      <c r="DW6034" s="451"/>
      <c r="DX6034" s="451"/>
      <c r="DY6034" s="451"/>
      <c r="DZ6034" s="451"/>
      <c r="EA6034" s="451"/>
      <c r="EB6034" s="451"/>
      <c r="EC6034" s="451"/>
      <c r="ED6034" s="451"/>
      <c r="EE6034" s="451"/>
      <c r="EF6034" s="451"/>
      <c r="EG6034" s="451"/>
      <c r="EH6034" s="451"/>
      <c r="EI6034" s="451"/>
      <c r="EJ6034" s="451"/>
      <c r="EK6034" s="451"/>
      <c r="EL6034" s="451"/>
      <c r="EM6034" s="451"/>
      <c r="EN6034" s="451"/>
      <c r="EO6034" s="451"/>
      <c r="EP6034" s="451"/>
      <c r="EQ6034" s="451"/>
      <c r="ER6034" s="451"/>
      <c r="ES6034" s="451"/>
    </row>
    <row r="6035" spans="1:149" ht="15" hidden="1" customHeight="1">
      <c r="A6035" s="468">
        <v>45546</v>
      </c>
      <c r="B6035" s="208" t="s">
        <v>4960</v>
      </c>
      <c r="C6035" s="208" t="s">
        <v>4783</v>
      </c>
      <c r="D6035" s="211">
        <v>-551365</v>
      </c>
      <c r="E6035" s="212">
        <v>45536</v>
      </c>
      <c r="F6035" s="208" t="s">
        <v>130</v>
      </c>
      <c r="G6035" s="208" t="s">
        <v>130</v>
      </c>
      <c r="H6035" s="208" t="s">
        <v>852</v>
      </c>
      <c r="I6035" s="208"/>
      <c r="J6035" s="209"/>
      <c r="K6035" s="209"/>
      <c r="L6035" s="209"/>
      <c r="M6035" s="209"/>
      <c r="N6035" s="209"/>
      <c r="O6035" s="209"/>
      <c r="P6035" s="209"/>
      <c r="Q6035" s="209"/>
      <c r="R6035" s="209"/>
      <c r="S6035" s="209"/>
      <c r="T6035" s="209"/>
      <c r="U6035" s="451"/>
      <c r="V6035" s="451"/>
      <c r="W6035" s="451"/>
      <c r="X6035" s="451"/>
      <c r="Y6035" s="451"/>
      <c r="Z6035" s="451"/>
      <c r="AA6035" s="451"/>
      <c r="AB6035" s="451"/>
      <c r="AC6035" s="451"/>
      <c r="AD6035" s="451"/>
      <c r="AE6035" s="451"/>
      <c r="AF6035" s="451"/>
      <c r="AG6035" s="451"/>
      <c r="AH6035" s="451"/>
      <c r="AI6035" s="451"/>
      <c r="AJ6035" s="451"/>
      <c r="AK6035" s="451"/>
      <c r="AL6035" s="451"/>
      <c r="AM6035" s="451"/>
      <c r="AN6035" s="451"/>
      <c r="AO6035" s="451"/>
      <c r="AP6035" s="451"/>
      <c r="AQ6035" s="451"/>
      <c r="AR6035" s="451"/>
      <c r="AS6035" s="451"/>
      <c r="AT6035" s="451"/>
      <c r="AU6035" s="451"/>
      <c r="AV6035" s="451"/>
      <c r="AW6035" s="451"/>
      <c r="AX6035" s="451"/>
      <c r="AY6035" s="451"/>
      <c r="AZ6035" s="451"/>
      <c r="BA6035" s="451"/>
      <c r="BB6035" s="451"/>
      <c r="BC6035" s="451"/>
      <c r="BD6035" s="451"/>
      <c r="BE6035" s="451"/>
      <c r="BF6035" s="451"/>
      <c r="BG6035" s="451"/>
      <c r="BH6035" s="451"/>
      <c r="BI6035" s="451"/>
      <c r="BJ6035" s="451"/>
      <c r="BK6035" s="451"/>
      <c r="BL6035" s="451"/>
      <c r="BM6035" s="451"/>
      <c r="BN6035" s="451"/>
      <c r="BO6035" s="451"/>
      <c r="BP6035" s="451"/>
      <c r="BQ6035" s="451"/>
      <c r="BR6035" s="451"/>
      <c r="BS6035" s="451"/>
      <c r="BT6035" s="451"/>
      <c r="BU6035" s="451"/>
      <c r="BV6035" s="451"/>
      <c r="BW6035" s="451"/>
      <c r="BX6035" s="451"/>
      <c r="BY6035" s="451"/>
      <c r="BZ6035" s="451"/>
      <c r="CA6035" s="451"/>
      <c r="CB6035" s="451"/>
      <c r="CC6035" s="451"/>
      <c r="CD6035" s="451"/>
      <c r="CE6035" s="451"/>
      <c r="CF6035" s="451"/>
      <c r="CG6035" s="451"/>
      <c r="CH6035" s="451"/>
      <c r="CI6035" s="451"/>
      <c r="CJ6035" s="451"/>
      <c r="CK6035" s="451"/>
      <c r="CL6035" s="451"/>
      <c r="CM6035" s="451"/>
      <c r="CN6035" s="451"/>
      <c r="CO6035" s="451"/>
      <c r="CP6035" s="451"/>
      <c r="CQ6035" s="451"/>
      <c r="CR6035" s="451"/>
      <c r="CS6035" s="451"/>
      <c r="CT6035" s="451"/>
      <c r="CU6035" s="451"/>
      <c r="CV6035" s="451"/>
      <c r="CW6035" s="451"/>
      <c r="CX6035" s="451"/>
      <c r="CY6035" s="451"/>
      <c r="CZ6035" s="451"/>
      <c r="DA6035" s="451"/>
      <c r="DB6035" s="451"/>
      <c r="DC6035" s="451"/>
      <c r="DD6035" s="451"/>
      <c r="DE6035" s="451"/>
      <c r="DF6035" s="451"/>
      <c r="DG6035" s="451"/>
      <c r="DH6035" s="451"/>
      <c r="DI6035" s="451"/>
      <c r="DJ6035" s="451"/>
      <c r="DK6035" s="451"/>
      <c r="DL6035" s="451"/>
      <c r="DM6035" s="451"/>
      <c r="DN6035" s="451"/>
      <c r="DO6035" s="451"/>
      <c r="DP6035" s="451"/>
      <c r="DQ6035" s="451"/>
      <c r="DR6035" s="451"/>
      <c r="DS6035" s="451"/>
      <c r="DT6035" s="451"/>
      <c r="DU6035" s="451"/>
      <c r="DV6035" s="451"/>
      <c r="DW6035" s="451"/>
      <c r="DX6035" s="451"/>
      <c r="DY6035" s="451"/>
      <c r="DZ6035" s="451"/>
      <c r="EA6035" s="451"/>
      <c r="EB6035" s="451"/>
      <c r="EC6035" s="451"/>
      <c r="ED6035" s="451"/>
      <c r="EE6035" s="451"/>
      <c r="EF6035" s="451"/>
      <c r="EG6035" s="451"/>
      <c r="EH6035" s="451"/>
      <c r="EI6035" s="451"/>
      <c r="EJ6035" s="451"/>
      <c r="EK6035" s="451"/>
      <c r="EL6035" s="451"/>
      <c r="EM6035" s="451"/>
      <c r="EN6035" s="451"/>
      <c r="EO6035" s="451"/>
      <c r="EP6035" s="451"/>
      <c r="EQ6035" s="451"/>
      <c r="ER6035" s="451"/>
      <c r="ES6035" s="451"/>
    </row>
    <row r="6036" spans="1:149" ht="15" hidden="1" customHeight="1">
      <c r="A6036" s="468">
        <v>45546</v>
      </c>
      <c r="B6036" s="208" t="s">
        <v>4961</v>
      </c>
      <c r="C6036" s="208" t="s">
        <v>4783</v>
      </c>
      <c r="D6036" s="211">
        <v>-627784</v>
      </c>
      <c r="E6036" s="212">
        <v>45536</v>
      </c>
      <c r="F6036" s="208" t="s">
        <v>109</v>
      </c>
      <c r="G6036" s="201" t="s">
        <v>581</v>
      </c>
      <c r="H6036" s="208"/>
      <c r="I6036" s="208"/>
      <c r="J6036" s="209"/>
      <c r="K6036" s="209"/>
      <c r="L6036" s="209"/>
      <c r="M6036" s="209"/>
      <c r="N6036" s="209"/>
      <c r="O6036" s="209"/>
      <c r="P6036" s="209"/>
      <c r="Q6036" s="209"/>
      <c r="R6036" s="209"/>
      <c r="S6036" s="209"/>
      <c r="T6036" s="209"/>
      <c r="U6036" s="451"/>
      <c r="V6036" s="451"/>
      <c r="W6036" s="451"/>
      <c r="X6036" s="451"/>
      <c r="Y6036" s="451"/>
      <c r="Z6036" s="451"/>
      <c r="AA6036" s="451"/>
      <c r="AB6036" s="451"/>
      <c r="AC6036" s="451"/>
      <c r="AD6036" s="451"/>
      <c r="AE6036" s="451"/>
      <c r="AF6036" s="451"/>
      <c r="AG6036" s="451"/>
      <c r="AH6036" s="451"/>
      <c r="AI6036" s="451"/>
      <c r="AJ6036" s="451"/>
      <c r="AK6036" s="451"/>
      <c r="AL6036" s="451"/>
      <c r="AM6036" s="451"/>
      <c r="AN6036" s="451"/>
      <c r="AO6036" s="451"/>
      <c r="AP6036" s="451"/>
      <c r="AQ6036" s="451"/>
      <c r="AR6036" s="451"/>
      <c r="AS6036" s="451"/>
      <c r="AT6036" s="451"/>
      <c r="AU6036" s="451"/>
      <c r="AV6036" s="451"/>
      <c r="AW6036" s="451"/>
      <c r="AX6036" s="451"/>
      <c r="AY6036" s="451"/>
      <c r="AZ6036" s="451"/>
      <c r="BA6036" s="451"/>
      <c r="BB6036" s="451"/>
      <c r="BC6036" s="451"/>
      <c r="BD6036" s="451"/>
      <c r="BE6036" s="451"/>
      <c r="BF6036" s="451"/>
      <c r="BG6036" s="451"/>
      <c r="BH6036" s="451"/>
      <c r="BI6036" s="451"/>
      <c r="BJ6036" s="451"/>
      <c r="BK6036" s="451"/>
      <c r="BL6036" s="451"/>
      <c r="BM6036" s="451"/>
      <c r="BN6036" s="451"/>
      <c r="BO6036" s="451"/>
      <c r="BP6036" s="451"/>
      <c r="BQ6036" s="451"/>
      <c r="BR6036" s="451"/>
      <c r="BS6036" s="451"/>
      <c r="BT6036" s="451"/>
      <c r="BU6036" s="451"/>
      <c r="BV6036" s="451"/>
      <c r="BW6036" s="451"/>
      <c r="BX6036" s="451"/>
      <c r="BY6036" s="451"/>
      <c r="BZ6036" s="451"/>
      <c r="CA6036" s="451"/>
      <c r="CB6036" s="451"/>
      <c r="CC6036" s="451"/>
      <c r="CD6036" s="451"/>
      <c r="CE6036" s="451"/>
      <c r="CF6036" s="451"/>
      <c r="CG6036" s="451"/>
      <c r="CH6036" s="451"/>
      <c r="CI6036" s="451"/>
      <c r="CJ6036" s="451"/>
      <c r="CK6036" s="451"/>
      <c r="CL6036" s="451"/>
      <c r="CM6036" s="451"/>
      <c r="CN6036" s="451"/>
      <c r="CO6036" s="451"/>
      <c r="CP6036" s="451"/>
      <c r="CQ6036" s="451"/>
      <c r="CR6036" s="451"/>
      <c r="CS6036" s="451"/>
      <c r="CT6036" s="451"/>
      <c r="CU6036" s="451"/>
      <c r="CV6036" s="451"/>
      <c r="CW6036" s="451"/>
      <c r="CX6036" s="451"/>
      <c r="CY6036" s="451"/>
      <c r="CZ6036" s="451"/>
      <c r="DA6036" s="451"/>
      <c r="DB6036" s="451"/>
      <c r="DC6036" s="451"/>
      <c r="DD6036" s="451"/>
      <c r="DE6036" s="451"/>
      <c r="DF6036" s="451"/>
      <c r="DG6036" s="451"/>
      <c r="DH6036" s="451"/>
      <c r="DI6036" s="451"/>
      <c r="DJ6036" s="451"/>
      <c r="DK6036" s="451"/>
      <c r="DL6036" s="451"/>
      <c r="DM6036" s="451"/>
      <c r="DN6036" s="451"/>
      <c r="DO6036" s="451"/>
      <c r="DP6036" s="451"/>
      <c r="DQ6036" s="451"/>
      <c r="DR6036" s="451"/>
      <c r="DS6036" s="451"/>
      <c r="DT6036" s="451"/>
      <c r="DU6036" s="451"/>
      <c r="DV6036" s="451"/>
      <c r="DW6036" s="451"/>
      <c r="DX6036" s="451"/>
      <c r="DY6036" s="451"/>
      <c r="DZ6036" s="451"/>
      <c r="EA6036" s="451"/>
      <c r="EB6036" s="451"/>
      <c r="EC6036" s="451"/>
      <c r="ED6036" s="451"/>
      <c r="EE6036" s="451"/>
      <c r="EF6036" s="451"/>
      <c r="EG6036" s="451"/>
      <c r="EH6036" s="451"/>
      <c r="EI6036" s="451"/>
      <c r="EJ6036" s="451"/>
      <c r="EK6036" s="451"/>
      <c r="EL6036" s="451"/>
      <c r="EM6036" s="451"/>
      <c r="EN6036" s="451"/>
      <c r="EO6036" s="451"/>
      <c r="EP6036" s="451"/>
      <c r="EQ6036" s="451"/>
      <c r="ER6036" s="451"/>
      <c r="ES6036" s="451"/>
    </row>
    <row r="6037" spans="1:149" s="451" customFormat="1" ht="15" hidden="1" customHeight="1">
      <c r="A6037" s="468">
        <v>45546</v>
      </c>
      <c r="B6037" s="208" t="s">
        <v>4962</v>
      </c>
      <c r="C6037" s="208" t="s">
        <v>4783</v>
      </c>
      <c r="D6037" s="211">
        <v>-7900</v>
      </c>
      <c r="E6037" s="212">
        <v>45536</v>
      </c>
      <c r="F6037" s="654" t="s">
        <v>109</v>
      </c>
      <c r="G6037" s="654" t="s">
        <v>4963</v>
      </c>
      <c r="H6037" s="208" t="s">
        <v>4187</v>
      </c>
      <c r="I6037" s="208"/>
      <c r="J6037" s="209"/>
      <c r="K6037" s="209"/>
      <c r="L6037" s="209"/>
      <c r="M6037" s="209"/>
      <c r="N6037" s="209"/>
      <c r="O6037" s="209"/>
      <c r="P6037" s="209"/>
      <c r="Q6037" s="209"/>
      <c r="R6037" s="209"/>
      <c r="S6037" s="209"/>
      <c r="T6037" s="209"/>
    </row>
    <row r="6038" spans="1:149" s="451" customFormat="1" ht="15" hidden="1" customHeight="1">
      <c r="A6038" s="468">
        <v>45546</v>
      </c>
      <c r="B6038" s="208" t="s">
        <v>4964</v>
      </c>
      <c r="C6038" s="208" t="s">
        <v>4783</v>
      </c>
      <c r="D6038" s="211">
        <v>-622395</v>
      </c>
      <c r="E6038" s="212">
        <v>45536</v>
      </c>
      <c r="F6038" s="654" t="s">
        <v>130</v>
      </c>
      <c r="G6038" s="654" t="s">
        <v>257</v>
      </c>
      <c r="H6038" s="208" t="s">
        <v>1182</v>
      </c>
      <c r="I6038" s="208"/>
      <c r="J6038" s="209"/>
      <c r="K6038" s="209"/>
      <c r="L6038" s="209"/>
      <c r="M6038" s="209"/>
      <c r="N6038" s="209"/>
      <c r="O6038" s="209"/>
      <c r="P6038" s="209"/>
      <c r="Q6038" s="209"/>
      <c r="R6038" s="209"/>
      <c r="S6038" s="209"/>
      <c r="T6038" s="209"/>
    </row>
    <row r="6039" spans="1:149" s="451" customFormat="1" ht="15" hidden="1" customHeight="1">
      <c r="A6039" s="468">
        <v>45546</v>
      </c>
      <c r="B6039" s="208" t="s">
        <v>4965</v>
      </c>
      <c r="C6039" s="208" t="s">
        <v>4783</v>
      </c>
      <c r="D6039" s="211">
        <v>-2602335</v>
      </c>
      <c r="E6039" s="212">
        <v>45536</v>
      </c>
      <c r="F6039" s="208" t="s">
        <v>109</v>
      </c>
      <c r="G6039" s="208" t="s">
        <v>207</v>
      </c>
      <c r="H6039" s="208"/>
      <c r="I6039" s="208"/>
      <c r="J6039" s="209"/>
      <c r="K6039" s="209"/>
      <c r="L6039" s="209"/>
      <c r="M6039" s="209"/>
      <c r="N6039" s="209"/>
      <c r="O6039" s="209"/>
      <c r="P6039" s="209"/>
      <c r="Q6039" s="209"/>
      <c r="R6039" s="209"/>
      <c r="S6039" s="209"/>
      <c r="T6039" s="209"/>
    </row>
    <row r="6040" spans="1:149" s="451" customFormat="1" ht="15" hidden="1" customHeight="1">
      <c r="A6040" s="468">
        <v>45546</v>
      </c>
      <c r="B6040" s="81" t="s">
        <v>4966</v>
      </c>
      <c r="C6040" s="208" t="s">
        <v>643</v>
      </c>
      <c r="D6040" s="211">
        <v>-60000</v>
      </c>
      <c r="E6040" s="212">
        <v>45536</v>
      </c>
      <c r="F6040" s="208" t="s">
        <v>130</v>
      </c>
      <c r="G6040" s="208" t="s">
        <v>130</v>
      </c>
      <c r="H6040" s="208" t="s">
        <v>1245</v>
      </c>
      <c r="I6040" s="208"/>
      <c r="J6040" s="209"/>
      <c r="K6040" s="209"/>
      <c r="L6040" s="209"/>
      <c r="M6040" s="209"/>
      <c r="N6040" s="209"/>
      <c r="O6040" s="209"/>
      <c r="P6040" s="209"/>
      <c r="Q6040" s="209"/>
      <c r="R6040" s="209"/>
      <c r="S6040" s="209"/>
      <c r="T6040" s="209"/>
      <c r="U6040" s="165"/>
      <c r="V6040" s="165"/>
      <c r="W6040" s="165"/>
      <c r="X6040" s="165"/>
      <c r="Y6040" s="165"/>
      <c r="Z6040" s="165"/>
      <c r="AA6040" s="165"/>
      <c r="AB6040" s="165"/>
      <c r="AC6040" s="165"/>
      <c r="AD6040" s="165"/>
      <c r="AE6040" s="165"/>
      <c r="AF6040" s="165"/>
      <c r="AG6040" s="165"/>
      <c r="AH6040" s="165"/>
      <c r="AI6040" s="165"/>
      <c r="AJ6040" s="165"/>
      <c r="AK6040" s="165"/>
      <c r="AL6040" s="165"/>
      <c r="AM6040" s="165"/>
      <c r="AN6040" s="165"/>
      <c r="AO6040" s="165"/>
      <c r="AP6040" s="165"/>
      <c r="AQ6040" s="165"/>
      <c r="AR6040" s="165"/>
      <c r="AS6040" s="165"/>
      <c r="AT6040" s="165"/>
      <c r="AU6040" s="165"/>
      <c r="AV6040" s="165"/>
      <c r="AW6040" s="165"/>
      <c r="AX6040" s="165"/>
      <c r="AY6040" s="165"/>
      <c r="AZ6040" s="165"/>
      <c r="BA6040" s="165"/>
      <c r="BB6040" s="165"/>
      <c r="BC6040" s="165"/>
      <c r="BD6040" s="165"/>
      <c r="BE6040" s="165"/>
      <c r="BF6040" s="165"/>
      <c r="BG6040" s="165"/>
      <c r="BH6040" s="165"/>
      <c r="BI6040" s="165"/>
      <c r="BJ6040" s="165"/>
      <c r="BK6040" s="165"/>
      <c r="BL6040" s="165"/>
      <c r="BM6040" s="165"/>
      <c r="BN6040" s="165"/>
      <c r="BO6040" s="165"/>
      <c r="BP6040" s="165"/>
      <c r="BQ6040" s="165"/>
      <c r="BR6040" s="165"/>
      <c r="BS6040" s="165"/>
      <c r="BT6040" s="165"/>
      <c r="BU6040" s="165"/>
      <c r="BV6040" s="165"/>
      <c r="BW6040" s="165"/>
      <c r="BX6040" s="165"/>
      <c r="BY6040" s="165"/>
      <c r="BZ6040" s="165"/>
      <c r="CA6040" s="165"/>
      <c r="CB6040" s="165"/>
      <c r="CC6040" s="165"/>
      <c r="CD6040" s="165"/>
      <c r="CE6040" s="165"/>
      <c r="CF6040" s="165"/>
      <c r="CG6040" s="165"/>
      <c r="CH6040" s="165"/>
      <c r="CI6040" s="165"/>
      <c r="CJ6040" s="165"/>
      <c r="CK6040" s="165"/>
      <c r="CL6040" s="165"/>
      <c r="CM6040" s="165"/>
      <c r="CN6040" s="165"/>
      <c r="CO6040" s="165"/>
      <c r="CP6040" s="165"/>
      <c r="CQ6040" s="165"/>
      <c r="CR6040" s="165"/>
      <c r="CS6040" s="165"/>
      <c r="CT6040" s="165"/>
      <c r="CU6040" s="165"/>
      <c r="CV6040" s="165"/>
      <c r="CW6040" s="165"/>
      <c r="CX6040" s="165"/>
      <c r="CY6040" s="165"/>
      <c r="CZ6040" s="165"/>
      <c r="DA6040" s="165"/>
      <c r="DB6040" s="165"/>
      <c r="DC6040" s="165"/>
      <c r="DD6040" s="165"/>
      <c r="DE6040" s="165"/>
      <c r="DF6040" s="165"/>
      <c r="DG6040" s="165"/>
      <c r="DH6040" s="165"/>
      <c r="DI6040" s="165"/>
      <c r="DJ6040" s="165"/>
      <c r="DK6040" s="165"/>
      <c r="DL6040" s="165"/>
      <c r="DM6040" s="165"/>
      <c r="DN6040" s="165"/>
      <c r="DO6040" s="165"/>
      <c r="DP6040" s="165"/>
      <c r="DQ6040" s="165"/>
      <c r="DR6040" s="165"/>
      <c r="DS6040" s="165"/>
      <c r="DT6040" s="165"/>
      <c r="DU6040" s="165"/>
      <c r="DV6040" s="165"/>
      <c r="DW6040" s="165"/>
      <c r="DX6040" s="165"/>
      <c r="DY6040" s="165"/>
      <c r="DZ6040" s="165"/>
      <c r="EA6040" s="165"/>
      <c r="EB6040" s="165"/>
      <c r="EC6040" s="165"/>
      <c r="ED6040" s="165"/>
      <c r="EE6040" s="165"/>
      <c r="EF6040" s="165"/>
      <c r="EG6040" s="165"/>
      <c r="EH6040" s="165"/>
      <c r="EI6040" s="165"/>
      <c r="EJ6040" s="165"/>
      <c r="EK6040" s="165"/>
      <c r="EL6040" s="165"/>
      <c r="EM6040" s="165"/>
      <c r="EN6040" s="165"/>
      <c r="EO6040" s="165"/>
      <c r="EP6040" s="165"/>
      <c r="EQ6040" s="165"/>
      <c r="ER6040" s="165"/>
      <c r="ES6040" s="165"/>
    </row>
    <row r="6041" spans="1:149" s="451" customFormat="1" ht="15" hidden="1" customHeight="1">
      <c r="A6041" s="468">
        <v>45546</v>
      </c>
      <c r="B6041" s="208" t="s">
        <v>4967</v>
      </c>
      <c r="C6041" s="208" t="s">
        <v>269</v>
      </c>
      <c r="D6041" s="211">
        <v>-12500</v>
      </c>
      <c r="E6041" s="212">
        <v>45536</v>
      </c>
      <c r="F6041" s="208" t="s">
        <v>109</v>
      </c>
      <c r="G6041" s="201" t="s">
        <v>581</v>
      </c>
      <c r="H6041" s="208"/>
      <c r="I6041" s="208" t="s">
        <v>3364</v>
      </c>
      <c r="J6041" s="209"/>
      <c r="K6041" s="209"/>
      <c r="L6041" s="209"/>
      <c r="M6041" s="209"/>
      <c r="N6041" s="209"/>
      <c r="O6041" s="209"/>
      <c r="P6041" s="209"/>
      <c r="Q6041" s="209"/>
      <c r="R6041" s="209"/>
      <c r="S6041" s="209"/>
      <c r="T6041" s="209"/>
      <c r="U6041" s="165"/>
      <c r="V6041" s="165"/>
      <c r="W6041" s="165"/>
      <c r="X6041" s="165"/>
      <c r="Y6041" s="165"/>
      <c r="Z6041" s="165"/>
      <c r="AA6041" s="165"/>
      <c r="AB6041" s="165"/>
      <c r="AC6041" s="165"/>
      <c r="AD6041" s="165"/>
      <c r="AE6041" s="165"/>
      <c r="AF6041" s="165"/>
      <c r="AG6041" s="165"/>
      <c r="AH6041" s="165"/>
      <c r="AI6041" s="165"/>
      <c r="AJ6041" s="165"/>
      <c r="AK6041" s="165"/>
      <c r="AL6041" s="165"/>
      <c r="AM6041" s="165"/>
      <c r="AN6041" s="165"/>
      <c r="AO6041" s="165"/>
      <c r="AP6041" s="165"/>
      <c r="AQ6041" s="165"/>
      <c r="AR6041" s="165"/>
      <c r="AS6041" s="165"/>
      <c r="AT6041" s="165"/>
      <c r="AU6041" s="165"/>
      <c r="AV6041" s="165"/>
      <c r="AW6041" s="165"/>
      <c r="AX6041" s="165"/>
      <c r="AY6041" s="165"/>
      <c r="AZ6041" s="165"/>
      <c r="BA6041" s="165"/>
      <c r="BB6041" s="165"/>
      <c r="BC6041" s="165"/>
      <c r="BD6041" s="165"/>
      <c r="BE6041" s="165"/>
      <c r="BF6041" s="165"/>
      <c r="BG6041" s="165"/>
      <c r="BH6041" s="165"/>
      <c r="BI6041" s="165"/>
      <c r="BJ6041" s="165"/>
      <c r="BK6041" s="165"/>
      <c r="BL6041" s="165"/>
      <c r="BM6041" s="165"/>
      <c r="BN6041" s="165"/>
      <c r="BO6041" s="165"/>
      <c r="BP6041" s="165"/>
      <c r="BQ6041" s="165"/>
      <c r="BR6041" s="165"/>
      <c r="BS6041" s="165"/>
      <c r="BT6041" s="165"/>
      <c r="BU6041" s="165"/>
      <c r="BV6041" s="165"/>
      <c r="BW6041" s="165"/>
      <c r="BX6041" s="165"/>
      <c r="BY6041" s="165"/>
      <c r="BZ6041" s="165"/>
      <c r="CA6041" s="165"/>
      <c r="CB6041" s="165"/>
      <c r="CC6041" s="165"/>
      <c r="CD6041" s="165"/>
      <c r="CE6041" s="165"/>
      <c r="CF6041" s="165"/>
      <c r="CG6041" s="165"/>
      <c r="CH6041" s="165"/>
      <c r="CI6041" s="165"/>
      <c r="CJ6041" s="165"/>
      <c r="CK6041" s="165"/>
      <c r="CL6041" s="165"/>
      <c r="CM6041" s="165"/>
      <c r="CN6041" s="165"/>
      <c r="CO6041" s="165"/>
      <c r="CP6041" s="165"/>
      <c r="CQ6041" s="165"/>
      <c r="CR6041" s="165"/>
      <c r="CS6041" s="165"/>
      <c r="CT6041" s="165"/>
      <c r="CU6041" s="165"/>
      <c r="CV6041" s="165"/>
      <c r="CW6041" s="165"/>
      <c r="CX6041" s="165"/>
      <c r="CY6041" s="165"/>
      <c r="CZ6041" s="165"/>
      <c r="DA6041" s="165"/>
      <c r="DB6041" s="165"/>
      <c r="DC6041" s="165"/>
      <c r="DD6041" s="165"/>
      <c r="DE6041" s="165"/>
      <c r="DF6041" s="165"/>
      <c r="DG6041" s="165"/>
      <c r="DH6041" s="165"/>
      <c r="DI6041" s="165"/>
      <c r="DJ6041" s="165"/>
      <c r="DK6041" s="165"/>
      <c r="DL6041" s="165"/>
      <c r="DM6041" s="165"/>
      <c r="DN6041" s="165"/>
      <c r="DO6041" s="165"/>
      <c r="DP6041" s="165"/>
      <c r="DQ6041" s="165"/>
      <c r="DR6041" s="165"/>
      <c r="DS6041" s="165"/>
      <c r="DT6041" s="165"/>
      <c r="DU6041" s="165"/>
      <c r="DV6041" s="165"/>
      <c r="DW6041" s="165"/>
      <c r="DX6041" s="165"/>
      <c r="DY6041" s="165"/>
      <c r="DZ6041" s="165"/>
      <c r="EA6041" s="165"/>
      <c r="EB6041" s="165"/>
      <c r="EC6041" s="165"/>
      <c r="ED6041" s="165"/>
      <c r="EE6041" s="165"/>
      <c r="EF6041" s="165"/>
      <c r="EG6041" s="165"/>
      <c r="EH6041" s="165"/>
      <c r="EI6041" s="165"/>
      <c r="EJ6041" s="165"/>
      <c r="EK6041" s="165"/>
      <c r="EL6041" s="165"/>
      <c r="EM6041" s="165"/>
      <c r="EN6041" s="165"/>
      <c r="EO6041" s="165"/>
      <c r="EP6041" s="165"/>
      <c r="EQ6041" s="165"/>
      <c r="ER6041" s="165"/>
      <c r="ES6041" s="165"/>
    </row>
    <row r="6042" spans="1:149" s="451" customFormat="1" ht="15" hidden="1" customHeight="1">
      <c r="A6042" s="468">
        <v>45546</v>
      </c>
      <c r="B6042" s="208" t="s">
        <v>4968</v>
      </c>
      <c r="C6042" s="208" t="s">
        <v>269</v>
      </c>
      <c r="D6042" s="211">
        <v>-7500</v>
      </c>
      <c r="E6042" s="212">
        <v>45536</v>
      </c>
      <c r="F6042" s="208" t="s">
        <v>109</v>
      </c>
      <c r="G6042" s="201" t="s">
        <v>581</v>
      </c>
      <c r="H6042" s="208"/>
      <c r="I6042" s="208" t="s">
        <v>3364</v>
      </c>
      <c r="J6042" s="209"/>
      <c r="K6042" s="209"/>
      <c r="L6042" s="209"/>
      <c r="M6042" s="209"/>
      <c r="N6042" s="209"/>
      <c r="O6042" s="209"/>
      <c r="P6042" s="209"/>
      <c r="Q6042" s="209"/>
      <c r="R6042" s="209"/>
      <c r="S6042" s="209"/>
      <c r="T6042" s="209"/>
      <c r="U6042" s="165"/>
      <c r="V6042" s="165"/>
      <c r="W6042" s="165"/>
      <c r="X6042" s="165"/>
      <c r="Y6042" s="165"/>
      <c r="Z6042" s="165"/>
      <c r="AA6042" s="165"/>
      <c r="AB6042" s="165"/>
      <c r="AC6042" s="165"/>
      <c r="AD6042" s="165"/>
      <c r="AE6042" s="165"/>
      <c r="AF6042" s="165"/>
      <c r="AG6042" s="165"/>
      <c r="AH6042" s="165"/>
      <c r="AI6042" s="165"/>
      <c r="AJ6042" s="165"/>
      <c r="AK6042" s="165"/>
      <c r="AL6042" s="165"/>
      <c r="AM6042" s="165"/>
      <c r="AN6042" s="165"/>
      <c r="AO6042" s="165"/>
      <c r="AP6042" s="165"/>
      <c r="AQ6042" s="165"/>
      <c r="AR6042" s="165"/>
      <c r="AS6042" s="165"/>
      <c r="AT6042" s="165"/>
      <c r="AU6042" s="165"/>
      <c r="AV6042" s="165"/>
      <c r="AW6042" s="165"/>
      <c r="AX6042" s="165"/>
      <c r="AY6042" s="165"/>
      <c r="AZ6042" s="165"/>
      <c r="BA6042" s="165"/>
      <c r="BB6042" s="165"/>
      <c r="BC6042" s="165"/>
      <c r="BD6042" s="165"/>
      <c r="BE6042" s="165"/>
      <c r="BF6042" s="165"/>
      <c r="BG6042" s="165"/>
      <c r="BH6042" s="165"/>
      <c r="BI6042" s="165"/>
      <c r="BJ6042" s="165"/>
      <c r="BK6042" s="165"/>
      <c r="BL6042" s="165"/>
      <c r="BM6042" s="165"/>
      <c r="BN6042" s="165"/>
      <c r="BO6042" s="165"/>
      <c r="BP6042" s="165"/>
      <c r="BQ6042" s="165"/>
      <c r="BR6042" s="165"/>
      <c r="BS6042" s="165"/>
      <c r="BT6042" s="165"/>
      <c r="BU6042" s="165"/>
      <c r="BV6042" s="165"/>
      <c r="BW6042" s="165"/>
      <c r="BX6042" s="165"/>
      <c r="BY6042" s="165"/>
      <c r="BZ6042" s="165"/>
      <c r="CA6042" s="165"/>
      <c r="CB6042" s="165"/>
      <c r="CC6042" s="165"/>
      <c r="CD6042" s="165"/>
      <c r="CE6042" s="165"/>
      <c r="CF6042" s="165"/>
      <c r="CG6042" s="165"/>
      <c r="CH6042" s="165"/>
      <c r="CI6042" s="165"/>
      <c r="CJ6042" s="165"/>
      <c r="CK6042" s="165"/>
      <c r="CL6042" s="165"/>
      <c r="CM6042" s="165"/>
      <c r="CN6042" s="165"/>
      <c r="CO6042" s="165"/>
      <c r="CP6042" s="165"/>
      <c r="CQ6042" s="165"/>
      <c r="CR6042" s="165"/>
      <c r="CS6042" s="165"/>
      <c r="CT6042" s="165"/>
      <c r="CU6042" s="165"/>
      <c r="CV6042" s="165"/>
      <c r="CW6042" s="165"/>
      <c r="CX6042" s="165"/>
      <c r="CY6042" s="165"/>
      <c r="CZ6042" s="165"/>
      <c r="DA6042" s="165"/>
      <c r="DB6042" s="165"/>
      <c r="DC6042" s="165"/>
      <c r="DD6042" s="165"/>
      <c r="DE6042" s="165"/>
      <c r="DF6042" s="165"/>
      <c r="DG6042" s="165"/>
      <c r="DH6042" s="165"/>
      <c r="DI6042" s="165"/>
      <c r="DJ6042" s="165"/>
      <c r="DK6042" s="165"/>
      <c r="DL6042" s="165"/>
      <c r="DM6042" s="165"/>
      <c r="DN6042" s="165"/>
      <c r="DO6042" s="165"/>
      <c r="DP6042" s="165"/>
      <c r="DQ6042" s="165"/>
      <c r="DR6042" s="165"/>
      <c r="DS6042" s="165"/>
      <c r="DT6042" s="165"/>
      <c r="DU6042" s="165"/>
      <c r="DV6042" s="165"/>
      <c r="DW6042" s="165"/>
      <c r="DX6042" s="165"/>
      <c r="DY6042" s="165"/>
      <c r="DZ6042" s="165"/>
      <c r="EA6042" s="165"/>
      <c r="EB6042" s="165"/>
      <c r="EC6042" s="165"/>
      <c r="ED6042" s="165"/>
      <c r="EE6042" s="165"/>
      <c r="EF6042" s="165"/>
      <c r="EG6042" s="165"/>
      <c r="EH6042" s="165"/>
      <c r="EI6042" s="165"/>
      <c r="EJ6042" s="165"/>
      <c r="EK6042" s="165"/>
      <c r="EL6042" s="165"/>
      <c r="EM6042" s="165"/>
      <c r="EN6042" s="165"/>
      <c r="EO6042" s="165"/>
      <c r="EP6042" s="165"/>
      <c r="EQ6042" s="165"/>
      <c r="ER6042" s="165"/>
      <c r="ES6042" s="165"/>
    </row>
    <row r="6043" spans="1:149" s="451" customFormat="1" ht="15" hidden="1" customHeight="1">
      <c r="A6043" s="468">
        <v>45546</v>
      </c>
      <c r="B6043" s="208" t="s">
        <v>4969</v>
      </c>
      <c r="C6043" s="208" t="s">
        <v>269</v>
      </c>
      <c r="D6043" s="211">
        <v>-30000</v>
      </c>
      <c r="E6043" s="212">
        <v>45536</v>
      </c>
      <c r="F6043" s="208" t="s">
        <v>109</v>
      </c>
      <c r="G6043" s="201" t="s">
        <v>581</v>
      </c>
      <c r="H6043" s="208"/>
      <c r="I6043" s="208" t="s">
        <v>3364</v>
      </c>
      <c r="J6043" s="209"/>
      <c r="K6043" s="209"/>
      <c r="L6043" s="209"/>
      <c r="M6043" s="209"/>
      <c r="N6043" s="209"/>
      <c r="O6043" s="209"/>
      <c r="P6043" s="209"/>
      <c r="Q6043" s="209"/>
      <c r="R6043" s="209"/>
      <c r="S6043" s="209"/>
      <c r="T6043" s="209"/>
      <c r="U6043" s="165"/>
      <c r="V6043" s="165"/>
      <c r="W6043" s="165"/>
      <c r="X6043" s="165"/>
      <c r="Y6043" s="165"/>
      <c r="Z6043" s="165"/>
      <c r="AA6043" s="165"/>
      <c r="AB6043" s="165"/>
      <c r="AC6043" s="165"/>
      <c r="AD6043" s="165"/>
      <c r="AE6043" s="165"/>
      <c r="AF6043" s="165"/>
      <c r="AG6043" s="165"/>
      <c r="AH6043" s="165"/>
      <c r="AI6043" s="165"/>
      <c r="AJ6043" s="165"/>
      <c r="AK6043" s="165"/>
      <c r="AL6043" s="165"/>
      <c r="AM6043" s="165"/>
      <c r="AN6043" s="165"/>
      <c r="AO6043" s="165"/>
      <c r="AP6043" s="165"/>
      <c r="AQ6043" s="165"/>
      <c r="AR6043" s="165"/>
      <c r="AS6043" s="165"/>
      <c r="AT6043" s="165"/>
      <c r="AU6043" s="165"/>
      <c r="AV6043" s="165"/>
      <c r="AW6043" s="165"/>
      <c r="AX6043" s="165"/>
      <c r="AY6043" s="165"/>
      <c r="AZ6043" s="165"/>
      <c r="BA6043" s="165"/>
      <c r="BB6043" s="165"/>
      <c r="BC6043" s="165"/>
      <c r="BD6043" s="165"/>
      <c r="BE6043" s="165"/>
      <c r="BF6043" s="165"/>
      <c r="BG6043" s="165"/>
      <c r="BH6043" s="165"/>
      <c r="BI6043" s="165"/>
      <c r="BJ6043" s="165"/>
      <c r="BK6043" s="165"/>
      <c r="BL6043" s="165"/>
      <c r="BM6043" s="165"/>
      <c r="BN6043" s="165"/>
      <c r="BO6043" s="165"/>
      <c r="BP6043" s="165"/>
      <c r="BQ6043" s="165"/>
      <c r="BR6043" s="165"/>
      <c r="BS6043" s="165"/>
      <c r="BT6043" s="165"/>
      <c r="BU6043" s="165"/>
      <c r="BV6043" s="165"/>
      <c r="BW6043" s="165"/>
      <c r="BX6043" s="165"/>
      <c r="BY6043" s="165"/>
      <c r="BZ6043" s="165"/>
      <c r="CA6043" s="165"/>
      <c r="CB6043" s="165"/>
      <c r="CC6043" s="165"/>
      <c r="CD6043" s="165"/>
      <c r="CE6043" s="165"/>
      <c r="CF6043" s="165"/>
      <c r="CG6043" s="165"/>
      <c r="CH6043" s="165"/>
      <c r="CI6043" s="165"/>
      <c r="CJ6043" s="165"/>
      <c r="CK6043" s="165"/>
      <c r="CL6043" s="165"/>
      <c r="CM6043" s="165"/>
      <c r="CN6043" s="165"/>
      <c r="CO6043" s="165"/>
      <c r="CP6043" s="165"/>
      <c r="CQ6043" s="165"/>
      <c r="CR6043" s="165"/>
      <c r="CS6043" s="165"/>
      <c r="CT6043" s="165"/>
      <c r="CU6043" s="165"/>
      <c r="CV6043" s="165"/>
      <c r="CW6043" s="165"/>
      <c r="CX6043" s="165"/>
      <c r="CY6043" s="165"/>
      <c r="CZ6043" s="165"/>
      <c r="DA6043" s="165"/>
      <c r="DB6043" s="165"/>
      <c r="DC6043" s="165"/>
      <c r="DD6043" s="165"/>
      <c r="DE6043" s="165"/>
      <c r="DF6043" s="165"/>
      <c r="DG6043" s="165"/>
      <c r="DH6043" s="165"/>
      <c r="DI6043" s="165"/>
      <c r="DJ6043" s="165"/>
      <c r="DK6043" s="165"/>
      <c r="DL6043" s="165"/>
      <c r="DM6043" s="165"/>
      <c r="DN6043" s="165"/>
      <c r="DO6043" s="165"/>
      <c r="DP6043" s="165"/>
      <c r="DQ6043" s="165"/>
      <c r="DR6043" s="165"/>
      <c r="DS6043" s="165"/>
      <c r="DT6043" s="165"/>
      <c r="DU6043" s="165"/>
      <c r="DV6043" s="165"/>
      <c r="DW6043" s="165"/>
      <c r="DX6043" s="165"/>
      <c r="DY6043" s="165"/>
      <c r="DZ6043" s="165"/>
      <c r="EA6043" s="165"/>
      <c r="EB6043" s="165"/>
      <c r="EC6043" s="165"/>
      <c r="ED6043" s="165"/>
      <c r="EE6043" s="165"/>
      <c r="EF6043" s="165"/>
      <c r="EG6043" s="165"/>
      <c r="EH6043" s="165"/>
      <c r="EI6043" s="165"/>
      <c r="EJ6043" s="165"/>
      <c r="EK6043" s="165"/>
      <c r="EL6043" s="165"/>
      <c r="EM6043" s="165"/>
      <c r="EN6043" s="165"/>
      <c r="EO6043" s="165"/>
      <c r="EP6043" s="165"/>
      <c r="EQ6043" s="165"/>
      <c r="ER6043" s="165"/>
      <c r="ES6043" s="165"/>
    </row>
    <row r="6044" spans="1:149" s="451" customFormat="1" ht="15" hidden="1" customHeight="1">
      <c r="A6044" s="468">
        <v>45546</v>
      </c>
      <c r="B6044" s="208" t="s">
        <v>4970</v>
      </c>
      <c r="C6044" s="208" t="s">
        <v>146</v>
      </c>
      <c r="D6044" s="211">
        <v>-42964</v>
      </c>
      <c r="E6044" s="212">
        <v>45536</v>
      </c>
      <c r="F6044" s="208" t="s">
        <v>2531</v>
      </c>
      <c r="G6044" s="201" t="s">
        <v>1489</v>
      </c>
      <c r="H6044" s="208" t="s">
        <v>2941</v>
      </c>
      <c r="I6044" s="208" t="s">
        <v>173</v>
      </c>
      <c r="J6044" s="209"/>
      <c r="K6044" s="209"/>
      <c r="L6044" s="209"/>
      <c r="M6044" s="209"/>
      <c r="N6044" s="209"/>
      <c r="O6044" s="209"/>
      <c r="P6044" s="209"/>
      <c r="Q6044" s="209"/>
      <c r="R6044" s="209"/>
      <c r="S6044" s="209"/>
      <c r="T6044" s="209"/>
      <c r="U6044" s="165"/>
      <c r="V6044" s="165"/>
      <c r="W6044" s="165"/>
      <c r="X6044" s="165"/>
      <c r="Y6044" s="165"/>
      <c r="Z6044" s="165"/>
      <c r="AA6044" s="165"/>
      <c r="AB6044" s="165"/>
      <c r="AC6044" s="165"/>
      <c r="AD6044" s="165"/>
      <c r="AE6044" s="165"/>
      <c r="AF6044" s="165"/>
      <c r="AG6044" s="165"/>
      <c r="AH6044" s="165"/>
      <c r="AI6044" s="165"/>
      <c r="AJ6044" s="165"/>
      <c r="AK6044" s="165"/>
      <c r="AL6044" s="165"/>
      <c r="AM6044" s="165"/>
      <c r="AN6044" s="165"/>
      <c r="AO6044" s="165"/>
      <c r="AP6044" s="165"/>
      <c r="AQ6044" s="165"/>
      <c r="AR6044" s="165"/>
      <c r="AS6044" s="165"/>
      <c r="AT6044" s="165"/>
      <c r="AU6044" s="165"/>
      <c r="AV6044" s="165"/>
      <c r="AW6044" s="165"/>
      <c r="AX6044" s="165"/>
      <c r="AY6044" s="165"/>
      <c r="AZ6044" s="165"/>
      <c r="BA6044" s="165"/>
      <c r="BB6044" s="165"/>
      <c r="BC6044" s="165"/>
      <c r="BD6044" s="165"/>
      <c r="BE6044" s="165"/>
      <c r="BF6044" s="165"/>
      <c r="BG6044" s="165"/>
      <c r="BH6044" s="165"/>
      <c r="BI6044" s="165"/>
      <c r="BJ6044" s="165"/>
      <c r="BK6044" s="165"/>
      <c r="BL6044" s="165"/>
      <c r="BM6044" s="165"/>
      <c r="BN6044" s="165"/>
      <c r="BO6044" s="165"/>
      <c r="BP6044" s="165"/>
      <c r="BQ6044" s="165"/>
      <c r="BR6044" s="165"/>
      <c r="BS6044" s="165"/>
      <c r="BT6044" s="165"/>
      <c r="BU6044" s="165"/>
      <c r="BV6044" s="165"/>
      <c r="BW6044" s="165"/>
      <c r="BX6044" s="165"/>
      <c r="BY6044" s="165"/>
      <c r="BZ6044" s="165"/>
      <c r="CA6044" s="165"/>
      <c r="CB6044" s="165"/>
      <c r="CC6044" s="165"/>
      <c r="CD6044" s="165"/>
      <c r="CE6044" s="165"/>
      <c r="CF6044" s="165"/>
      <c r="CG6044" s="165"/>
      <c r="CH6044" s="165"/>
      <c r="CI6044" s="165"/>
      <c r="CJ6044" s="165"/>
      <c r="CK6044" s="165"/>
      <c r="CL6044" s="165"/>
      <c r="CM6044" s="165"/>
      <c r="CN6044" s="165"/>
      <c r="CO6044" s="165"/>
      <c r="CP6044" s="165"/>
      <c r="CQ6044" s="165"/>
      <c r="CR6044" s="165"/>
      <c r="CS6044" s="165"/>
      <c r="CT6044" s="165"/>
      <c r="CU6044" s="165"/>
      <c r="CV6044" s="165"/>
      <c r="CW6044" s="165"/>
      <c r="CX6044" s="165"/>
      <c r="CY6044" s="165"/>
      <c r="CZ6044" s="165"/>
      <c r="DA6044" s="165"/>
      <c r="DB6044" s="165"/>
      <c r="DC6044" s="165"/>
      <c r="DD6044" s="165"/>
      <c r="DE6044" s="165"/>
      <c r="DF6044" s="165"/>
      <c r="DG6044" s="165"/>
      <c r="DH6044" s="165"/>
      <c r="DI6044" s="165"/>
      <c r="DJ6044" s="165"/>
      <c r="DK6044" s="165"/>
      <c r="DL6044" s="165"/>
      <c r="DM6044" s="165"/>
      <c r="DN6044" s="165"/>
      <c r="DO6044" s="165"/>
      <c r="DP6044" s="165"/>
      <c r="DQ6044" s="165"/>
      <c r="DR6044" s="165"/>
      <c r="DS6044" s="165"/>
      <c r="DT6044" s="165"/>
      <c r="DU6044" s="165"/>
      <c r="DV6044" s="165"/>
      <c r="DW6044" s="165"/>
      <c r="DX6044" s="165"/>
      <c r="DY6044" s="165"/>
      <c r="DZ6044" s="165"/>
      <c r="EA6044" s="165"/>
      <c r="EB6044" s="165"/>
      <c r="EC6044" s="165"/>
      <c r="ED6044" s="165"/>
      <c r="EE6044" s="165"/>
      <c r="EF6044" s="165"/>
      <c r="EG6044" s="165"/>
      <c r="EH6044" s="165"/>
      <c r="EI6044" s="165"/>
      <c r="EJ6044" s="165"/>
      <c r="EK6044" s="165"/>
      <c r="EL6044" s="165"/>
      <c r="EM6044" s="165"/>
      <c r="EN6044" s="165"/>
      <c r="EO6044" s="165"/>
      <c r="EP6044" s="165"/>
      <c r="EQ6044" s="165"/>
      <c r="ER6044" s="165"/>
      <c r="ES6044" s="165"/>
    </row>
    <row r="6045" spans="1:149" s="451" customFormat="1" ht="15" hidden="1" customHeight="1">
      <c r="A6045" s="468">
        <v>45546</v>
      </c>
      <c r="B6045" s="208" t="s">
        <v>4971</v>
      </c>
      <c r="C6045" s="208" t="s">
        <v>146</v>
      </c>
      <c r="D6045" s="211">
        <v>-7000</v>
      </c>
      <c r="E6045" s="212">
        <v>45536</v>
      </c>
      <c r="F6045" s="208" t="s">
        <v>109</v>
      </c>
      <c r="G6045" s="208" t="s">
        <v>3529</v>
      </c>
      <c r="H6045" s="208" t="s">
        <v>175</v>
      </c>
      <c r="I6045" s="208" t="s">
        <v>173</v>
      </c>
      <c r="J6045" s="209"/>
      <c r="K6045" s="209"/>
      <c r="L6045" s="209"/>
      <c r="M6045" s="209"/>
      <c r="N6045" s="209"/>
      <c r="O6045" s="209"/>
      <c r="P6045" s="209"/>
      <c r="Q6045" s="209"/>
      <c r="R6045" s="209"/>
      <c r="S6045" s="209"/>
      <c r="T6045" s="209"/>
      <c r="U6045" s="165"/>
      <c r="V6045" s="165"/>
      <c r="W6045" s="165"/>
      <c r="X6045" s="165"/>
      <c r="Y6045" s="165"/>
      <c r="Z6045" s="165"/>
      <c r="AA6045" s="165"/>
      <c r="AB6045" s="165"/>
      <c r="AC6045" s="165"/>
      <c r="AD6045" s="165"/>
      <c r="AE6045" s="165"/>
      <c r="AF6045" s="165"/>
      <c r="AG6045" s="165"/>
      <c r="AH6045" s="165"/>
      <c r="AI6045" s="165"/>
      <c r="AJ6045" s="165"/>
      <c r="AK6045" s="165"/>
      <c r="AL6045" s="165"/>
      <c r="AM6045" s="165"/>
      <c r="AN6045" s="165"/>
      <c r="AO6045" s="165"/>
      <c r="AP6045" s="165"/>
      <c r="AQ6045" s="165"/>
      <c r="AR6045" s="165"/>
      <c r="AS6045" s="165"/>
      <c r="AT6045" s="165"/>
      <c r="AU6045" s="165"/>
      <c r="AV6045" s="165"/>
      <c r="AW6045" s="165"/>
      <c r="AX6045" s="165"/>
      <c r="AY6045" s="165"/>
      <c r="AZ6045" s="165"/>
      <c r="BA6045" s="165"/>
      <c r="BB6045" s="165"/>
      <c r="BC6045" s="165"/>
      <c r="BD6045" s="165"/>
      <c r="BE6045" s="165"/>
      <c r="BF6045" s="165"/>
      <c r="BG6045" s="165"/>
      <c r="BH6045" s="165"/>
      <c r="BI6045" s="165"/>
      <c r="BJ6045" s="165"/>
      <c r="BK6045" s="165"/>
      <c r="BL6045" s="165"/>
      <c r="BM6045" s="165"/>
      <c r="BN6045" s="165"/>
      <c r="BO6045" s="165"/>
      <c r="BP6045" s="165"/>
      <c r="BQ6045" s="165"/>
      <c r="BR6045" s="165"/>
      <c r="BS6045" s="165"/>
      <c r="BT6045" s="165"/>
      <c r="BU6045" s="165"/>
      <c r="BV6045" s="165"/>
      <c r="BW6045" s="165"/>
      <c r="BX6045" s="165"/>
      <c r="BY6045" s="165"/>
      <c r="BZ6045" s="165"/>
      <c r="CA6045" s="165"/>
      <c r="CB6045" s="165"/>
      <c r="CC6045" s="165"/>
      <c r="CD6045" s="165"/>
      <c r="CE6045" s="165"/>
      <c r="CF6045" s="165"/>
      <c r="CG6045" s="165"/>
      <c r="CH6045" s="165"/>
      <c r="CI6045" s="165"/>
      <c r="CJ6045" s="165"/>
      <c r="CK6045" s="165"/>
      <c r="CL6045" s="165"/>
      <c r="CM6045" s="165"/>
      <c r="CN6045" s="165"/>
      <c r="CO6045" s="165"/>
      <c r="CP6045" s="165"/>
      <c r="CQ6045" s="165"/>
      <c r="CR6045" s="165"/>
      <c r="CS6045" s="165"/>
      <c r="CT6045" s="165"/>
      <c r="CU6045" s="165"/>
      <c r="CV6045" s="165"/>
      <c r="CW6045" s="165"/>
      <c r="CX6045" s="165"/>
      <c r="CY6045" s="165"/>
      <c r="CZ6045" s="165"/>
      <c r="DA6045" s="165"/>
      <c r="DB6045" s="165"/>
      <c r="DC6045" s="165"/>
      <c r="DD6045" s="165"/>
      <c r="DE6045" s="165"/>
      <c r="DF6045" s="165"/>
      <c r="DG6045" s="165"/>
      <c r="DH6045" s="165"/>
      <c r="DI6045" s="165"/>
      <c r="DJ6045" s="165"/>
      <c r="DK6045" s="165"/>
      <c r="DL6045" s="165"/>
      <c r="DM6045" s="165"/>
      <c r="DN6045" s="165"/>
      <c r="DO6045" s="165"/>
      <c r="DP6045" s="165"/>
      <c r="DQ6045" s="165"/>
      <c r="DR6045" s="165"/>
      <c r="DS6045" s="165"/>
      <c r="DT6045" s="165"/>
      <c r="DU6045" s="165"/>
      <c r="DV6045" s="165"/>
      <c r="DW6045" s="165"/>
      <c r="DX6045" s="165"/>
      <c r="DY6045" s="165"/>
      <c r="DZ6045" s="165"/>
      <c r="EA6045" s="165"/>
      <c r="EB6045" s="165"/>
      <c r="EC6045" s="165"/>
      <c r="ED6045" s="165"/>
      <c r="EE6045" s="165"/>
      <c r="EF6045" s="165"/>
      <c r="EG6045" s="165"/>
      <c r="EH6045" s="165"/>
      <c r="EI6045" s="165"/>
      <c r="EJ6045" s="165"/>
      <c r="EK6045" s="165"/>
      <c r="EL6045" s="165"/>
      <c r="EM6045" s="165"/>
      <c r="EN6045" s="165"/>
      <c r="EO6045" s="165"/>
      <c r="EP6045" s="165"/>
      <c r="EQ6045" s="165"/>
      <c r="ER6045" s="165"/>
      <c r="ES6045" s="165"/>
    </row>
    <row r="6046" spans="1:149" s="451" customFormat="1" ht="15" hidden="1" customHeight="1">
      <c r="A6046" s="468">
        <v>45546</v>
      </c>
      <c r="B6046" s="208" t="s">
        <v>4972</v>
      </c>
      <c r="C6046" s="208" t="s">
        <v>146</v>
      </c>
      <c r="D6046" s="211">
        <v>-36000</v>
      </c>
      <c r="E6046" s="212">
        <v>45536</v>
      </c>
      <c r="F6046" s="208" t="s">
        <v>130</v>
      </c>
      <c r="G6046" s="208" t="s">
        <v>130</v>
      </c>
      <c r="H6046" s="208" t="s">
        <v>147</v>
      </c>
      <c r="I6046" s="208" t="s">
        <v>173</v>
      </c>
      <c r="J6046" s="209"/>
      <c r="K6046" s="209"/>
      <c r="L6046" s="209"/>
      <c r="M6046" s="209"/>
      <c r="N6046" s="209"/>
      <c r="O6046" s="209"/>
      <c r="P6046" s="209"/>
      <c r="Q6046" s="209"/>
      <c r="R6046" s="209"/>
      <c r="S6046" s="209"/>
      <c r="T6046" s="209"/>
      <c r="U6046" s="165"/>
      <c r="V6046" s="165"/>
      <c r="W6046" s="165"/>
      <c r="X6046" s="165"/>
      <c r="Y6046" s="165"/>
      <c r="Z6046" s="165"/>
      <c r="AA6046" s="165"/>
      <c r="AB6046" s="165"/>
      <c r="AC6046" s="165"/>
      <c r="AD6046" s="165"/>
      <c r="AE6046" s="165"/>
      <c r="AF6046" s="165"/>
      <c r="AG6046" s="165"/>
      <c r="AH6046" s="165"/>
      <c r="AI6046" s="165"/>
      <c r="AJ6046" s="165"/>
      <c r="AK6046" s="165"/>
      <c r="AL6046" s="165"/>
      <c r="AM6046" s="165"/>
      <c r="AN6046" s="165"/>
      <c r="AO6046" s="165"/>
      <c r="AP6046" s="165"/>
      <c r="AQ6046" s="165"/>
      <c r="AR6046" s="165"/>
      <c r="AS6046" s="165"/>
      <c r="AT6046" s="165"/>
      <c r="AU6046" s="165"/>
      <c r="AV6046" s="165"/>
      <c r="AW6046" s="165"/>
      <c r="AX6046" s="165"/>
      <c r="AY6046" s="165"/>
      <c r="AZ6046" s="165"/>
      <c r="BA6046" s="165"/>
      <c r="BB6046" s="165"/>
      <c r="BC6046" s="165"/>
      <c r="BD6046" s="165"/>
      <c r="BE6046" s="165"/>
      <c r="BF6046" s="165"/>
      <c r="BG6046" s="165"/>
      <c r="BH6046" s="165"/>
      <c r="BI6046" s="165"/>
      <c r="BJ6046" s="165"/>
      <c r="BK6046" s="165"/>
      <c r="BL6046" s="165"/>
      <c r="BM6046" s="165"/>
      <c r="BN6046" s="165"/>
      <c r="BO6046" s="165"/>
      <c r="BP6046" s="165"/>
      <c r="BQ6046" s="165"/>
      <c r="BR6046" s="165"/>
      <c r="BS6046" s="165"/>
      <c r="BT6046" s="165"/>
      <c r="BU6046" s="165"/>
      <c r="BV6046" s="165"/>
      <c r="BW6046" s="165"/>
      <c r="BX6046" s="165"/>
      <c r="BY6046" s="165"/>
      <c r="BZ6046" s="165"/>
      <c r="CA6046" s="165"/>
      <c r="CB6046" s="165"/>
      <c r="CC6046" s="165"/>
      <c r="CD6046" s="165"/>
      <c r="CE6046" s="165"/>
      <c r="CF6046" s="165"/>
      <c r="CG6046" s="165"/>
      <c r="CH6046" s="165"/>
      <c r="CI6046" s="165"/>
      <c r="CJ6046" s="165"/>
      <c r="CK6046" s="165"/>
      <c r="CL6046" s="165"/>
      <c r="CM6046" s="165"/>
      <c r="CN6046" s="165"/>
      <c r="CO6046" s="165"/>
      <c r="CP6046" s="165"/>
      <c r="CQ6046" s="165"/>
      <c r="CR6046" s="165"/>
      <c r="CS6046" s="165"/>
      <c r="CT6046" s="165"/>
      <c r="CU6046" s="165"/>
      <c r="CV6046" s="165"/>
      <c r="CW6046" s="165"/>
      <c r="CX6046" s="165"/>
      <c r="CY6046" s="165"/>
      <c r="CZ6046" s="165"/>
      <c r="DA6046" s="165"/>
      <c r="DB6046" s="165"/>
      <c r="DC6046" s="165"/>
      <c r="DD6046" s="165"/>
      <c r="DE6046" s="165"/>
      <c r="DF6046" s="165"/>
      <c r="DG6046" s="165"/>
      <c r="DH6046" s="165"/>
      <c r="DI6046" s="165"/>
      <c r="DJ6046" s="165"/>
      <c r="DK6046" s="165"/>
      <c r="DL6046" s="165"/>
      <c r="DM6046" s="165"/>
      <c r="DN6046" s="165"/>
      <c r="DO6046" s="165"/>
      <c r="DP6046" s="165"/>
      <c r="DQ6046" s="165"/>
      <c r="DR6046" s="165"/>
      <c r="DS6046" s="165"/>
      <c r="DT6046" s="165"/>
      <c r="DU6046" s="165"/>
      <c r="DV6046" s="165"/>
      <c r="DW6046" s="165"/>
      <c r="DX6046" s="165"/>
      <c r="DY6046" s="165"/>
      <c r="DZ6046" s="165"/>
      <c r="EA6046" s="165"/>
      <c r="EB6046" s="165"/>
      <c r="EC6046" s="165"/>
      <c r="ED6046" s="165"/>
      <c r="EE6046" s="165"/>
      <c r="EF6046" s="165"/>
      <c r="EG6046" s="165"/>
      <c r="EH6046" s="165"/>
      <c r="EI6046" s="165"/>
      <c r="EJ6046" s="165"/>
      <c r="EK6046" s="165"/>
      <c r="EL6046" s="165"/>
      <c r="EM6046" s="165"/>
      <c r="EN6046" s="165"/>
      <c r="EO6046" s="165"/>
      <c r="EP6046" s="165"/>
      <c r="EQ6046" s="165"/>
      <c r="ER6046" s="165"/>
      <c r="ES6046" s="165"/>
    </row>
    <row r="6047" spans="1:149" s="451" customFormat="1" ht="15" hidden="1" customHeight="1">
      <c r="A6047" s="468">
        <v>45546</v>
      </c>
      <c r="B6047" s="208" t="s">
        <v>4973</v>
      </c>
      <c r="C6047" s="208" t="s">
        <v>146</v>
      </c>
      <c r="D6047" s="211">
        <v>-24000</v>
      </c>
      <c r="E6047" s="212">
        <v>45536</v>
      </c>
      <c r="F6047" s="208" t="s">
        <v>2531</v>
      </c>
      <c r="G6047" s="201" t="s">
        <v>1489</v>
      </c>
      <c r="H6047" s="208" t="s">
        <v>2941</v>
      </c>
      <c r="I6047" s="208" t="s">
        <v>173</v>
      </c>
      <c r="J6047" s="209"/>
      <c r="K6047" s="209"/>
      <c r="L6047" s="209"/>
      <c r="M6047" s="209"/>
      <c r="N6047" s="209"/>
      <c r="O6047" s="209"/>
      <c r="P6047" s="209"/>
      <c r="Q6047" s="209"/>
      <c r="R6047" s="209"/>
      <c r="S6047" s="209"/>
      <c r="T6047" s="209"/>
      <c r="U6047" s="165"/>
      <c r="V6047" s="165"/>
      <c r="W6047" s="165"/>
      <c r="X6047" s="165"/>
      <c r="Y6047" s="165"/>
      <c r="Z6047" s="165"/>
      <c r="AA6047" s="165"/>
      <c r="AB6047" s="165"/>
      <c r="AC6047" s="165"/>
      <c r="AD6047" s="165"/>
      <c r="AE6047" s="165"/>
      <c r="AF6047" s="165"/>
      <c r="AG6047" s="165"/>
      <c r="AH6047" s="165"/>
      <c r="AI6047" s="165"/>
      <c r="AJ6047" s="165"/>
      <c r="AK6047" s="165"/>
      <c r="AL6047" s="165"/>
      <c r="AM6047" s="165"/>
      <c r="AN6047" s="165"/>
      <c r="AO6047" s="165"/>
      <c r="AP6047" s="165"/>
      <c r="AQ6047" s="165"/>
      <c r="AR6047" s="165"/>
      <c r="AS6047" s="165"/>
      <c r="AT6047" s="165"/>
      <c r="AU6047" s="165"/>
      <c r="AV6047" s="165"/>
      <c r="AW6047" s="165"/>
      <c r="AX6047" s="165"/>
      <c r="AY6047" s="165"/>
      <c r="AZ6047" s="165"/>
      <c r="BA6047" s="165"/>
      <c r="BB6047" s="165"/>
      <c r="BC6047" s="165"/>
      <c r="BD6047" s="165"/>
      <c r="BE6047" s="165"/>
      <c r="BF6047" s="165"/>
      <c r="BG6047" s="165"/>
      <c r="BH6047" s="165"/>
      <c r="BI6047" s="165"/>
      <c r="BJ6047" s="165"/>
      <c r="BK6047" s="165"/>
      <c r="BL6047" s="165"/>
      <c r="BM6047" s="165"/>
      <c r="BN6047" s="165"/>
      <c r="BO6047" s="165"/>
      <c r="BP6047" s="165"/>
      <c r="BQ6047" s="165"/>
      <c r="BR6047" s="165"/>
      <c r="BS6047" s="165"/>
      <c r="BT6047" s="165"/>
      <c r="BU6047" s="165"/>
      <c r="BV6047" s="165"/>
      <c r="BW6047" s="165"/>
      <c r="BX6047" s="165"/>
      <c r="BY6047" s="165"/>
      <c r="BZ6047" s="165"/>
      <c r="CA6047" s="165"/>
      <c r="CB6047" s="165"/>
      <c r="CC6047" s="165"/>
      <c r="CD6047" s="165"/>
      <c r="CE6047" s="165"/>
      <c r="CF6047" s="165"/>
      <c r="CG6047" s="165"/>
      <c r="CH6047" s="165"/>
      <c r="CI6047" s="165"/>
      <c r="CJ6047" s="165"/>
      <c r="CK6047" s="165"/>
      <c r="CL6047" s="165"/>
      <c r="CM6047" s="165"/>
      <c r="CN6047" s="165"/>
      <c r="CO6047" s="165"/>
      <c r="CP6047" s="165"/>
      <c r="CQ6047" s="165"/>
      <c r="CR6047" s="165"/>
      <c r="CS6047" s="165"/>
      <c r="CT6047" s="165"/>
      <c r="CU6047" s="165"/>
      <c r="CV6047" s="165"/>
      <c r="CW6047" s="165"/>
      <c r="CX6047" s="165"/>
      <c r="CY6047" s="165"/>
      <c r="CZ6047" s="165"/>
      <c r="DA6047" s="165"/>
      <c r="DB6047" s="165"/>
      <c r="DC6047" s="165"/>
      <c r="DD6047" s="165"/>
      <c r="DE6047" s="165"/>
      <c r="DF6047" s="165"/>
      <c r="DG6047" s="165"/>
      <c r="DH6047" s="165"/>
      <c r="DI6047" s="165"/>
      <c r="DJ6047" s="165"/>
      <c r="DK6047" s="165"/>
      <c r="DL6047" s="165"/>
      <c r="DM6047" s="165"/>
      <c r="DN6047" s="165"/>
      <c r="DO6047" s="165"/>
      <c r="DP6047" s="165"/>
      <c r="DQ6047" s="165"/>
      <c r="DR6047" s="165"/>
      <c r="DS6047" s="165"/>
      <c r="DT6047" s="165"/>
      <c r="DU6047" s="165"/>
      <c r="DV6047" s="165"/>
      <c r="DW6047" s="165"/>
      <c r="DX6047" s="165"/>
      <c r="DY6047" s="165"/>
      <c r="DZ6047" s="165"/>
      <c r="EA6047" s="165"/>
      <c r="EB6047" s="165"/>
      <c r="EC6047" s="165"/>
      <c r="ED6047" s="165"/>
      <c r="EE6047" s="165"/>
      <c r="EF6047" s="165"/>
      <c r="EG6047" s="165"/>
      <c r="EH6047" s="165"/>
      <c r="EI6047" s="165"/>
      <c r="EJ6047" s="165"/>
      <c r="EK6047" s="165"/>
      <c r="EL6047" s="165"/>
      <c r="EM6047" s="165"/>
      <c r="EN6047" s="165"/>
      <c r="EO6047" s="165"/>
      <c r="EP6047" s="165"/>
      <c r="EQ6047" s="165"/>
      <c r="ER6047" s="165"/>
      <c r="ES6047" s="165"/>
    </row>
    <row r="6048" spans="1:149" s="451" customFormat="1" ht="15" hidden="1" customHeight="1">
      <c r="A6048" s="468">
        <v>45546</v>
      </c>
      <c r="B6048" s="208" t="s">
        <v>4974</v>
      </c>
      <c r="C6048" s="208" t="s">
        <v>146</v>
      </c>
      <c r="D6048" s="211">
        <v>-14000</v>
      </c>
      <c r="E6048" s="212">
        <v>45536</v>
      </c>
      <c r="F6048" s="208" t="s">
        <v>130</v>
      </c>
      <c r="G6048" s="208" t="s">
        <v>130</v>
      </c>
      <c r="H6048" s="208" t="s">
        <v>175</v>
      </c>
      <c r="I6048" s="208" t="s">
        <v>173</v>
      </c>
      <c r="J6048" s="209"/>
      <c r="K6048" s="209"/>
      <c r="L6048" s="209"/>
      <c r="M6048" s="209"/>
      <c r="N6048" s="209"/>
      <c r="O6048" s="209"/>
      <c r="P6048" s="209"/>
      <c r="Q6048" s="209"/>
      <c r="R6048" s="209"/>
      <c r="S6048" s="209"/>
      <c r="T6048" s="209"/>
      <c r="U6048" s="165"/>
      <c r="V6048" s="165"/>
      <c r="W6048" s="165"/>
      <c r="X6048" s="165"/>
      <c r="Y6048" s="165"/>
      <c r="Z6048" s="165"/>
      <c r="AA6048" s="165"/>
      <c r="AB6048" s="165"/>
      <c r="AC6048" s="165"/>
      <c r="AD6048" s="165"/>
      <c r="AE6048" s="165"/>
      <c r="AF6048" s="165"/>
      <c r="AG6048" s="165"/>
      <c r="AH6048" s="165"/>
      <c r="AI6048" s="165"/>
      <c r="AJ6048" s="165"/>
      <c r="AK6048" s="165"/>
      <c r="AL6048" s="165"/>
      <c r="AM6048" s="165"/>
      <c r="AN6048" s="165"/>
      <c r="AO6048" s="165"/>
      <c r="AP6048" s="165"/>
      <c r="AQ6048" s="165"/>
      <c r="AR6048" s="165"/>
      <c r="AS6048" s="165"/>
      <c r="AT6048" s="165"/>
      <c r="AU6048" s="165"/>
      <c r="AV6048" s="165"/>
      <c r="AW6048" s="165"/>
      <c r="AX6048" s="165"/>
      <c r="AY6048" s="165"/>
      <c r="AZ6048" s="165"/>
      <c r="BA6048" s="165"/>
      <c r="BB6048" s="165"/>
      <c r="BC6048" s="165"/>
      <c r="BD6048" s="165"/>
      <c r="BE6048" s="165"/>
      <c r="BF6048" s="165"/>
      <c r="BG6048" s="165"/>
      <c r="BH6048" s="165"/>
      <c r="BI6048" s="165"/>
      <c r="BJ6048" s="165"/>
      <c r="BK6048" s="165"/>
      <c r="BL6048" s="165"/>
      <c r="BM6048" s="165"/>
      <c r="BN6048" s="165"/>
      <c r="BO6048" s="165"/>
      <c r="BP6048" s="165"/>
      <c r="BQ6048" s="165"/>
      <c r="BR6048" s="165"/>
      <c r="BS6048" s="165"/>
      <c r="BT6048" s="165"/>
      <c r="BU6048" s="165"/>
      <c r="BV6048" s="165"/>
      <c r="BW6048" s="165"/>
      <c r="BX6048" s="165"/>
      <c r="BY6048" s="165"/>
      <c r="BZ6048" s="165"/>
      <c r="CA6048" s="165"/>
      <c r="CB6048" s="165"/>
      <c r="CC6048" s="165"/>
      <c r="CD6048" s="165"/>
      <c r="CE6048" s="165"/>
      <c r="CF6048" s="165"/>
      <c r="CG6048" s="165"/>
      <c r="CH6048" s="165"/>
      <c r="CI6048" s="165"/>
      <c r="CJ6048" s="165"/>
      <c r="CK6048" s="165"/>
      <c r="CL6048" s="165"/>
      <c r="CM6048" s="165"/>
      <c r="CN6048" s="165"/>
      <c r="CO6048" s="165"/>
      <c r="CP6048" s="165"/>
      <c r="CQ6048" s="165"/>
      <c r="CR6048" s="165"/>
      <c r="CS6048" s="165"/>
      <c r="CT6048" s="165"/>
      <c r="CU6048" s="165"/>
      <c r="CV6048" s="165"/>
      <c r="CW6048" s="165"/>
      <c r="CX6048" s="165"/>
      <c r="CY6048" s="165"/>
      <c r="CZ6048" s="165"/>
      <c r="DA6048" s="165"/>
      <c r="DB6048" s="165"/>
      <c r="DC6048" s="165"/>
      <c r="DD6048" s="165"/>
      <c r="DE6048" s="165"/>
      <c r="DF6048" s="165"/>
      <c r="DG6048" s="165"/>
      <c r="DH6048" s="165"/>
      <c r="DI6048" s="165"/>
      <c r="DJ6048" s="165"/>
      <c r="DK6048" s="165"/>
      <c r="DL6048" s="165"/>
      <c r="DM6048" s="165"/>
      <c r="DN6048" s="165"/>
      <c r="DO6048" s="165"/>
      <c r="DP6048" s="165"/>
      <c r="DQ6048" s="165"/>
      <c r="DR6048" s="165"/>
      <c r="DS6048" s="165"/>
      <c r="DT6048" s="165"/>
      <c r="DU6048" s="165"/>
      <c r="DV6048" s="165"/>
      <c r="DW6048" s="165"/>
      <c r="DX6048" s="165"/>
      <c r="DY6048" s="165"/>
      <c r="DZ6048" s="165"/>
      <c r="EA6048" s="165"/>
      <c r="EB6048" s="165"/>
      <c r="EC6048" s="165"/>
      <c r="ED6048" s="165"/>
      <c r="EE6048" s="165"/>
      <c r="EF6048" s="165"/>
      <c r="EG6048" s="165"/>
      <c r="EH6048" s="165"/>
      <c r="EI6048" s="165"/>
      <c r="EJ6048" s="165"/>
      <c r="EK6048" s="165"/>
      <c r="EL6048" s="165"/>
      <c r="EM6048" s="165"/>
      <c r="EN6048" s="165"/>
      <c r="EO6048" s="165"/>
      <c r="EP6048" s="165"/>
      <c r="EQ6048" s="165"/>
      <c r="ER6048" s="165"/>
      <c r="ES6048" s="165"/>
    </row>
    <row r="6049" spans="1:149" s="451" customFormat="1" ht="15" hidden="1" customHeight="1">
      <c r="A6049" s="468">
        <v>45546</v>
      </c>
      <c r="B6049" s="208" t="s">
        <v>4975</v>
      </c>
      <c r="C6049" s="208" t="s">
        <v>146</v>
      </c>
      <c r="D6049" s="211">
        <v>-166000</v>
      </c>
      <c r="E6049" s="212">
        <v>45536</v>
      </c>
      <c r="F6049" s="208" t="s">
        <v>109</v>
      </c>
      <c r="G6049" s="208" t="s">
        <v>3529</v>
      </c>
      <c r="H6049" s="208" t="s">
        <v>175</v>
      </c>
      <c r="I6049" s="208" t="s">
        <v>173</v>
      </c>
      <c r="J6049" s="209"/>
      <c r="K6049" s="209"/>
      <c r="L6049" s="209"/>
      <c r="M6049" s="209"/>
      <c r="N6049" s="209"/>
      <c r="O6049" s="209"/>
      <c r="P6049" s="209"/>
      <c r="Q6049" s="209"/>
      <c r="R6049" s="209"/>
      <c r="S6049" s="209"/>
      <c r="T6049" s="209"/>
      <c r="U6049" s="165"/>
      <c r="V6049" s="165"/>
      <c r="W6049" s="165"/>
      <c r="X6049" s="165"/>
      <c r="Y6049" s="165"/>
      <c r="Z6049" s="165"/>
      <c r="AA6049" s="165"/>
      <c r="AB6049" s="165"/>
      <c r="AC6049" s="165"/>
      <c r="AD6049" s="165"/>
      <c r="AE6049" s="165"/>
      <c r="AF6049" s="165"/>
      <c r="AG6049" s="165"/>
      <c r="AH6049" s="165"/>
      <c r="AI6049" s="165"/>
      <c r="AJ6049" s="165"/>
      <c r="AK6049" s="165"/>
      <c r="AL6049" s="165"/>
      <c r="AM6049" s="165"/>
      <c r="AN6049" s="165"/>
      <c r="AO6049" s="165"/>
      <c r="AP6049" s="165"/>
      <c r="AQ6049" s="165"/>
      <c r="AR6049" s="165"/>
      <c r="AS6049" s="165"/>
      <c r="AT6049" s="165"/>
      <c r="AU6049" s="165"/>
      <c r="AV6049" s="165"/>
      <c r="AW6049" s="165"/>
      <c r="AX6049" s="165"/>
      <c r="AY6049" s="165"/>
      <c r="AZ6049" s="165"/>
      <c r="BA6049" s="165"/>
      <c r="BB6049" s="165"/>
      <c r="BC6049" s="165"/>
      <c r="BD6049" s="165"/>
      <c r="BE6049" s="165"/>
      <c r="BF6049" s="165"/>
      <c r="BG6049" s="165"/>
      <c r="BH6049" s="165"/>
      <c r="BI6049" s="165"/>
      <c r="BJ6049" s="165"/>
      <c r="BK6049" s="165"/>
      <c r="BL6049" s="165"/>
      <c r="BM6049" s="165"/>
      <c r="BN6049" s="165"/>
      <c r="BO6049" s="165"/>
      <c r="BP6049" s="165"/>
      <c r="BQ6049" s="165"/>
      <c r="BR6049" s="165"/>
      <c r="BS6049" s="165"/>
      <c r="BT6049" s="165"/>
      <c r="BU6049" s="165"/>
      <c r="BV6049" s="165"/>
      <c r="BW6049" s="165"/>
      <c r="BX6049" s="165"/>
      <c r="BY6049" s="165"/>
      <c r="BZ6049" s="165"/>
      <c r="CA6049" s="165"/>
      <c r="CB6049" s="165"/>
      <c r="CC6049" s="165"/>
      <c r="CD6049" s="165"/>
      <c r="CE6049" s="165"/>
      <c r="CF6049" s="165"/>
      <c r="CG6049" s="165"/>
      <c r="CH6049" s="165"/>
      <c r="CI6049" s="165"/>
      <c r="CJ6049" s="165"/>
      <c r="CK6049" s="165"/>
      <c r="CL6049" s="165"/>
      <c r="CM6049" s="165"/>
      <c r="CN6049" s="165"/>
      <c r="CO6049" s="165"/>
      <c r="CP6049" s="165"/>
      <c r="CQ6049" s="165"/>
      <c r="CR6049" s="165"/>
      <c r="CS6049" s="165"/>
      <c r="CT6049" s="165"/>
      <c r="CU6049" s="165"/>
      <c r="CV6049" s="165"/>
      <c r="CW6049" s="165"/>
      <c r="CX6049" s="165"/>
      <c r="CY6049" s="165"/>
      <c r="CZ6049" s="165"/>
      <c r="DA6049" s="165"/>
      <c r="DB6049" s="165"/>
      <c r="DC6049" s="165"/>
      <c r="DD6049" s="165"/>
      <c r="DE6049" s="165"/>
      <c r="DF6049" s="165"/>
      <c r="DG6049" s="165"/>
      <c r="DH6049" s="165"/>
      <c r="DI6049" s="165"/>
      <c r="DJ6049" s="165"/>
      <c r="DK6049" s="165"/>
      <c r="DL6049" s="165"/>
      <c r="DM6049" s="165"/>
      <c r="DN6049" s="165"/>
      <c r="DO6049" s="165"/>
      <c r="DP6049" s="165"/>
      <c r="DQ6049" s="165"/>
      <c r="DR6049" s="165"/>
      <c r="DS6049" s="165"/>
      <c r="DT6049" s="165"/>
      <c r="DU6049" s="165"/>
      <c r="DV6049" s="165"/>
      <c r="DW6049" s="165"/>
      <c r="DX6049" s="165"/>
      <c r="DY6049" s="165"/>
      <c r="DZ6049" s="165"/>
      <c r="EA6049" s="165"/>
      <c r="EB6049" s="165"/>
      <c r="EC6049" s="165"/>
      <c r="ED6049" s="165"/>
      <c r="EE6049" s="165"/>
      <c r="EF6049" s="165"/>
      <c r="EG6049" s="165"/>
      <c r="EH6049" s="165"/>
      <c r="EI6049" s="165"/>
      <c r="EJ6049" s="165"/>
      <c r="EK6049" s="165"/>
      <c r="EL6049" s="165"/>
      <c r="EM6049" s="165"/>
      <c r="EN6049" s="165"/>
      <c r="EO6049" s="165"/>
      <c r="EP6049" s="165"/>
      <c r="EQ6049" s="165"/>
      <c r="ER6049" s="165"/>
      <c r="ES6049" s="165"/>
    </row>
    <row r="6050" spans="1:149" s="451" customFormat="1" ht="15" hidden="1" customHeight="1">
      <c r="A6050" s="468">
        <v>45546</v>
      </c>
      <c r="B6050" s="208" t="s">
        <v>4976</v>
      </c>
      <c r="C6050" s="208" t="s">
        <v>146</v>
      </c>
      <c r="D6050" s="211">
        <v>-3950</v>
      </c>
      <c r="E6050" s="212">
        <v>45536</v>
      </c>
      <c r="F6050" s="208" t="s">
        <v>110</v>
      </c>
      <c r="G6050" s="208" t="s">
        <v>4399</v>
      </c>
      <c r="H6050" s="208" t="s">
        <v>147</v>
      </c>
      <c r="I6050" s="208" t="s">
        <v>3378</v>
      </c>
      <c r="J6050" s="209"/>
      <c r="K6050" s="209"/>
      <c r="L6050" s="209"/>
      <c r="M6050" s="209"/>
      <c r="N6050" s="209"/>
      <c r="O6050" s="209"/>
      <c r="P6050" s="209"/>
      <c r="Q6050" s="209"/>
      <c r="R6050" s="209"/>
      <c r="S6050" s="209"/>
      <c r="T6050" s="209"/>
      <c r="U6050" s="165"/>
      <c r="V6050" s="165"/>
      <c r="W6050" s="165"/>
      <c r="X6050" s="165"/>
      <c r="Y6050" s="165"/>
      <c r="Z6050" s="165"/>
      <c r="AA6050" s="165"/>
      <c r="AB6050" s="165"/>
      <c r="AC6050" s="165"/>
      <c r="AD6050" s="165"/>
      <c r="AE6050" s="165"/>
      <c r="AF6050" s="165"/>
      <c r="AG6050" s="165"/>
      <c r="AH6050" s="165"/>
      <c r="AI6050" s="165"/>
      <c r="AJ6050" s="165"/>
      <c r="AK6050" s="165"/>
      <c r="AL6050" s="165"/>
      <c r="AM6050" s="165"/>
      <c r="AN6050" s="165"/>
      <c r="AO6050" s="165"/>
      <c r="AP6050" s="165"/>
      <c r="AQ6050" s="165"/>
      <c r="AR6050" s="165"/>
      <c r="AS6050" s="165"/>
      <c r="AT6050" s="165"/>
      <c r="AU6050" s="165"/>
      <c r="AV6050" s="165"/>
      <c r="AW6050" s="165"/>
      <c r="AX6050" s="165"/>
      <c r="AY6050" s="165"/>
      <c r="AZ6050" s="165"/>
      <c r="BA6050" s="165"/>
      <c r="BB6050" s="165"/>
      <c r="BC6050" s="165"/>
      <c r="BD6050" s="165"/>
      <c r="BE6050" s="165"/>
      <c r="BF6050" s="165"/>
      <c r="BG6050" s="165"/>
      <c r="BH6050" s="165"/>
      <c r="BI6050" s="165"/>
      <c r="BJ6050" s="165"/>
      <c r="BK6050" s="165"/>
      <c r="BL6050" s="165"/>
      <c r="BM6050" s="165"/>
      <c r="BN6050" s="165"/>
      <c r="BO6050" s="165"/>
      <c r="BP6050" s="165"/>
      <c r="BQ6050" s="165"/>
      <c r="BR6050" s="165"/>
      <c r="BS6050" s="165"/>
      <c r="BT6050" s="165"/>
      <c r="BU6050" s="165"/>
      <c r="BV6050" s="165"/>
      <c r="BW6050" s="165"/>
      <c r="BX6050" s="165"/>
      <c r="BY6050" s="165"/>
      <c r="BZ6050" s="165"/>
      <c r="CA6050" s="165"/>
      <c r="CB6050" s="165"/>
      <c r="CC6050" s="165"/>
      <c r="CD6050" s="165"/>
      <c r="CE6050" s="165"/>
      <c r="CF6050" s="165"/>
      <c r="CG6050" s="165"/>
      <c r="CH6050" s="165"/>
      <c r="CI6050" s="165"/>
      <c r="CJ6050" s="165"/>
      <c r="CK6050" s="165"/>
      <c r="CL6050" s="165"/>
      <c r="CM6050" s="165"/>
      <c r="CN6050" s="165"/>
      <c r="CO6050" s="165"/>
      <c r="CP6050" s="165"/>
      <c r="CQ6050" s="165"/>
      <c r="CR6050" s="165"/>
      <c r="CS6050" s="165"/>
      <c r="CT6050" s="165"/>
      <c r="CU6050" s="165"/>
      <c r="CV6050" s="165"/>
      <c r="CW6050" s="165"/>
      <c r="CX6050" s="165"/>
      <c r="CY6050" s="165"/>
      <c r="CZ6050" s="165"/>
      <c r="DA6050" s="165"/>
      <c r="DB6050" s="165"/>
      <c r="DC6050" s="165"/>
      <c r="DD6050" s="165"/>
      <c r="DE6050" s="165"/>
      <c r="DF6050" s="165"/>
      <c r="DG6050" s="165"/>
      <c r="DH6050" s="165"/>
      <c r="DI6050" s="165"/>
      <c r="DJ6050" s="165"/>
      <c r="DK6050" s="165"/>
      <c r="DL6050" s="165"/>
      <c r="DM6050" s="165"/>
      <c r="DN6050" s="165"/>
      <c r="DO6050" s="165"/>
      <c r="DP6050" s="165"/>
      <c r="DQ6050" s="165"/>
      <c r="DR6050" s="165"/>
      <c r="DS6050" s="165"/>
      <c r="DT6050" s="165"/>
      <c r="DU6050" s="165"/>
      <c r="DV6050" s="165"/>
      <c r="DW6050" s="165"/>
      <c r="DX6050" s="165"/>
      <c r="DY6050" s="165"/>
      <c r="DZ6050" s="165"/>
      <c r="EA6050" s="165"/>
      <c r="EB6050" s="165"/>
      <c r="EC6050" s="165"/>
      <c r="ED6050" s="165"/>
      <c r="EE6050" s="165"/>
      <c r="EF6050" s="165"/>
      <c r="EG6050" s="165"/>
      <c r="EH6050" s="165"/>
      <c r="EI6050" s="165"/>
      <c r="EJ6050" s="165"/>
      <c r="EK6050" s="165"/>
      <c r="EL6050" s="165"/>
      <c r="EM6050" s="165"/>
      <c r="EN6050" s="165"/>
      <c r="EO6050" s="165"/>
      <c r="EP6050" s="165"/>
      <c r="EQ6050" s="165"/>
      <c r="ER6050" s="165"/>
      <c r="ES6050" s="165"/>
    </row>
    <row r="6051" spans="1:149" s="451" customFormat="1" ht="15" hidden="1" customHeight="1">
      <c r="A6051" s="468">
        <v>45546</v>
      </c>
      <c r="B6051" s="208" t="s">
        <v>4976</v>
      </c>
      <c r="C6051" s="208" t="s">
        <v>146</v>
      </c>
      <c r="D6051" s="211">
        <v>-59600</v>
      </c>
      <c r="E6051" s="212">
        <v>45536</v>
      </c>
      <c r="F6051" s="208" t="s">
        <v>110</v>
      </c>
      <c r="G6051" s="208" t="s">
        <v>4399</v>
      </c>
      <c r="H6051" s="208" t="s">
        <v>147</v>
      </c>
      <c r="I6051" s="208" t="s">
        <v>3378</v>
      </c>
      <c r="J6051" s="209"/>
      <c r="K6051" s="209"/>
      <c r="L6051" s="209"/>
      <c r="M6051" s="209"/>
      <c r="N6051" s="209"/>
      <c r="O6051" s="209"/>
      <c r="P6051" s="209"/>
      <c r="Q6051" s="209"/>
      <c r="R6051" s="209"/>
      <c r="S6051" s="209"/>
      <c r="T6051" s="209"/>
      <c r="U6051" s="165"/>
      <c r="V6051" s="165"/>
      <c r="W6051" s="165"/>
      <c r="X6051" s="165"/>
      <c r="Y6051" s="165"/>
      <c r="Z6051" s="165"/>
      <c r="AA6051" s="165"/>
      <c r="AB6051" s="165"/>
      <c r="AC6051" s="165"/>
      <c r="AD6051" s="165"/>
      <c r="AE6051" s="165"/>
      <c r="AF6051" s="165"/>
      <c r="AG6051" s="165"/>
      <c r="AH6051" s="165"/>
      <c r="AI6051" s="165"/>
      <c r="AJ6051" s="165"/>
      <c r="AK6051" s="165"/>
      <c r="AL6051" s="165"/>
      <c r="AM6051" s="165"/>
      <c r="AN6051" s="165"/>
      <c r="AO6051" s="165"/>
      <c r="AP6051" s="165"/>
      <c r="AQ6051" s="165"/>
      <c r="AR6051" s="165"/>
      <c r="AS6051" s="165"/>
      <c r="AT6051" s="165"/>
      <c r="AU6051" s="165"/>
      <c r="AV6051" s="165"/>
      <c r="AW6051" s="165"/>
      <c r="AX6051" s="165"/>
      <c r="AY6051" s="165"/>
      <c r="AZ6051" s="165"/>
      <c r="BA6051" s="165"/>
      <c r="BB6051" s="165"/>
      <c r="BC6051" s="165"/>
      <c r="BD6051" s="165"/>
      <c r="BE6051" s="165"/>
      <c r="BF6051" s="165"/>
      <c r="BG6051" s="165"/>
      <c r="BH6051" s="165"/>
      <c r="BI6051" s="165"/>
      <c r="BJ6051" s="165"/>
      <c r="BK6051" s="165"/>
      <c r="BL6051" s="165"/>
      <c r="BM6051" s="165"/>
      <c r="BN6051" s="165"/>
      <c r="BO6051" s="165"/>
      <c r="BP6051" s="165"/>
      <c r="BQ6051" s="165"/>
      <c r="BR6051" s="165"/>
      <c r="BS6051" s="165"/>
      <c r="BT6051" s="165"/>
      <c r="BU6051" s="165"/>
      <c r="BV6051" s="165"/>
      <c r="BW6051" s="165"/>
      <c r="BX6051" s="165"/>
      <c r="BY6051" s="165"/>
      <c r="BZ6051" s="165"/>
      <c r="CA6051" s="165"/>
      <c r="CB6051" s="165"/>
      <c r="CC6051" s="165"/>
      <c r="CD6051" s="165"/>
      <c r="CE6051" s="165"/>
      <c r="CF6051" s="165"/>
      <c r="CG6051" s="165"/>
      <c r="CH6051" s="165"/>
      <c r="CI6051" s="165"/>
      <c r="CJ6051" s="165"/>
      <c r="CK6051" s="165"/>
      <c r="CL6051" s="165"/>
      <c r="CM6051" s="165"/>
      <c r="CN6051" s="165"/>
      <c r="CO6051" s="165"/>
      <c r="CP6051" s="165"/>
      <c r="CQ6051" s="165"/>
      <c r="CR6051" s="165"/>
      <c r="CS6051" s="165"/>
      <c r="CT6051" s="165"/>
      <c r="CU6051" s="165"/>
      <c r="CV6051" s="165"/>
      <c r="CW6051" s="165"/>
      <c r="CX6051" s="165"/>
      <c r="CY6051" s="165"/>
      <c r="CZ6051" s="165"/>
      <c r="DA6051" s="165"/>
      <c r="DB6051" s="165"/>
      <c r="DC6051" s="165"/>
      <c r="DD6051" s="165"/>
      <c r="DE6051" s="165"/>
      <c r="DF6051" s="165"/>
      <c r="DG6051" s="165"/>
      <c r="DH6051" s="165"/>
      <c r="DI6051" s="165"/>
      <c r="DJ6051" s="165"/>
      <c r="DK6051" s="165"/>
      <c r="DL6051" s="165"/>
      <c r="DM6051" s="165"/>
      <c r="DN6051" s="165"/>
      <c r="DO6051" s="165"/>
      <c r="DP6051" s="165"/>
      <c r="DQ6051" s="165"/>
      <c r="DR6051" s="165"/>
      <c r="DS6051" s="165"/>
      <c r="DT6051" s="165"/>
      <c r="DU6051" s="165"/>
      <c r="DV6051" s="165"/>
      <c r="DW6051" s="165"/>
      <c r="DX6051" s="165"/>
      <c r="DY6051" s="165"/>
      <c r="DZ6051" s="165"/>
      <c r="EA6051" s="165"/>
      <c r="EB6051" s="165"/>
      <c r="EC6051" s="165"/>
      <c r="ED6051" s="165"/>
      <c r="EE6051" s="165"/>
      <c r="EF6051" s="165"/>
      <c r="EG6051" s="165"/>
      <c r="EH6051" s="165"/>
      <c r="EI6051" s="165"/>
      <c r="EJ6051" s="165"/>
      <c r="EK6051" s="165"/>
      <c r="EL6051" s="165"/>
      <c r="EM6051" s="165"/>
      <c r="EN6051" s="165"/>
      <c r="EO6051" s="165"/>
      <c r="EP6051" s="165"/>
      <c r="EQ6051" s="165"/>
      <c r="ER6051" s="165"/>
      <c r="ES6051" s="165"/>
    </row>
    <row r="6052" spans="1:149" s="451" customFormat="1" ht="15" hidden="1" customHeight="1">
      <c r="A6052" s="468">
        <v>45546</v>
      </c>
      <c r="B6052" s="208" t="s">
        <v>4888</v>
      </c>
      <c r="C6052" s="208" t="s">
        <v>146</v>
      </c>
      <c r="D6052" s="211">
        <v>-13600</v>
      </c>
      <c r="E6052" s="212">
        <v>45536</v>
      </c>
      <c r="F6052" s="208" t="s">
        <v>110</v>
      </c>
      <c r="G6052" s="208" t="s">
        <v>4399</v>
      </c>
      <c r="H6052" s="208" t="s">
        <v>147</v>
      </c>
      <c r="I6052" s="208" t="s">
        <v>3378</v>
      </c>
      <c r="J6052" s="209"/>
      <c r="K6052" s="209"/>
      <c r="L6052" s="209"/>
      <c r="M6052" s="209"/>
      <c r="N6052" s="209"/>
      <c r="O6052" s="209"/>
      <c r="P6052" s="209"/>
      <c r="Q6052" s="209"/>
      <c r="R6052" s="209"/>
      <c r="S6052" s="209"/>
      <c r="T6052" s="209"/>
      <c r="U6052" s="165"/>
      <c r="V6052" s="165"/>
      <c r="W6052" s="165"/>
      <c r="X6052" s="165"/>
      <c r="Y6052" s="165"/>
      <c r="Z6052" s="165"/>
      <c r="AA6052" s="165"/>
      <c r="AB6052" s="165"/>
      <c r="AC6052" s="165"/>
      <c r="AD6052" s="165"/>
      <c r="AE6052" s="165"/>
      <c r="AF6052" s="165"/>
      <c r="AG6052" s="165"/>
      <c r="AH6052" s="165"/>
      <c r="AI6052" s="165"/>
      <c r="AJ6052" s="165"/>
      <c r="AK6052" s="165"/>
      <c r="AL6052" s="165"/>
      <c r="AM6052" s="165"/>
      <c r="AN6052" s="165"/>
      <c r="AO6052" s="165"/>
      <c r="AP6052" s="165"/>
      <c r="AQ6052" s="165"/>
      <c r="AR6052" s="165"/>
      <c r="AS6052" s="165"/>
      <c r="AT6052" s="165"/>
      <c r="AU6052" s="165"/>
      <c r="AV6052" s="165"/>
      <c r="AW6052" s="165"/>
      <c r="AX6052" s="165"/>
      <c r="AY6052" s="165"/>
      <c r="AZ6052" s="165"/>
      <c r="BA6052" s="165"/>
      <c r="BB6052" s="165"/>
      <c r="BC6052" s="165"/>
      <c r="BD6052" s="165"/>
      <c r="BE6052" s="165"/>
      <c r="BF6052" s="165"/>
      <c r="BG6052" s="165"/>
      <c r="BH6052" s="165"/>
      <c r="BI6052" s="165"/>
      <c r="BJ6052" s="165"/>
      <c r="BK6052" s="165"/>
      <c r="BL6052" s="165"/>
      <c r="BM6052" s="165"/>
      <c r="BN6052" s="165"/>
      <c r="BO6052" s="165"/>
      <c r="BP6052" s="165"/>
      <c r="BQ6052" s="165"/>
      <c r="BR6052" s="165"/>
      <c r="BS6052" s="165"/>
      <c r="BT6052" s="165"/>
      <c r="BU6052" s="165"/>
      <c r="BV6052" s="165"/>
      <c r="BW6052" s="165"/>
      <c r="BX6052" s="165"/>
      <c r="BY6052" s="165"/>
      <c r="BZ6052" s="165"/>
      <c r="CA6052" s="165"/>
      <c r="CB6052" s="165"/>
      <c r="CC6052" s="165"/>
      <c r="CD6052" s="165"/>
      <c r="CE6052" s="165"/>
      <c r="CF6052" s="165"/>
      <c r="CG6052" s="165"/>
      <c r="CH6052" s="165"/>
      <c r="CI6052" s="165"/>
      <c r="CJ6052" s="165"/>
      <c r="CK6052" s="165"/>
      <c r="CL6052" s="165"/>
      <c r="CM6052" s="165"/>
      <c r="CN6052" s="165"/>
      <c r="CO6052" s="165"/>
      <c r="CP6052" s="165"/>
      <c r="CQ6052" s="165"/>
      <c r="CR6052" s="165"/>
      <c r="CS6052" s="165"/>
      <c r="CT6052" s="165"/>
      <c r="CU6052" s="165"/>
      <c r="CV6052" s="165"/>
      <c r="CW6052" s="165"/>
      <c r="CX6052" s="165"/>
      <c r="CY6052" s="165"/>
      <c r="CZ6052" s="165"/>
      <c r="DA6052" s="165"/>
      <c r="DB6052" s="165"/>
      <c r="DC6052" s="165"/>
      <c r="DD6052" s="165"/>
      <c r="DE6052" s="165"/>
      <c r="DF6052" s="165"/>
      <c r="DG6052" s="165"/>
      <c r="DH6052" s="165"/>
      <c r="DI6052" s="165"/>
      <c r="DJ6052" s="165"/>
      <c r="DK6052" s="165"/>
      <c r="DL6052" s="165"/>
      <c r="DM6052" s="165"/>
      <c r="DN6052" s="165"/>
      <c r="DO6052" s="165"/>
      <c r="DP6052" s="165"/>
      <c r="DQ6052" s="165"/>
      <c r="DR6052" s="165"/>
      <c r="DS6052" s="165"/>
      <c r="DT6052" s="165"/>
      <c r="DU6052" s="165"/>
      <c r="DV6052" s="165"/>
      <c r="DW6052" s="165"/>
      <c r="DX6052" s="165"/>
      <c r="DY6052" s="165"/>
      <c r="DZ6052" s="165"/>
      <c r="EA6052" s="165"/>
      <c r="EB6052" s="165"/>
      <c r="EC6052" s="165"/>
      <c r="ED6052" s="165"/>
      <c r="EE6052" s="165"/>
      <c r="EF6052" s="165"/>
      <c r="EG6052" s="165"/>
      <c r="EH6052" s="165"/>
      <c r="EI6052" s="165"/>
      <c r="EJ6052" s="165"/>
      <c r="EK6052" s="165"/>
      <c r="EL6052" s="165"/>
      <c r="EM6052" s="165"/>
      <c r="EN6052" s="165"/>
      <c r="EO6052" s="165"/>
      <c r="EP6052" s="165"/>
      <c r="EQ6052" s="165"/>
      <c r="ER6052" s="165"/>
      <c r="ES6052" s="165"/>
    </row>
    <row r="6053" spans="1:149" s="451" customFormat="1" ht="15" hidden="1" customHeight="1">
      <c r="A6053" s="468">
        <v>45547</v>
      </c>
      <c r="B6053" s="208" t="s">
        <v>3208</v>
      </c>
      <c r="C6053" s="208" t="s">
        <v>4783</v>
      </c>
      <c r="D6053" s="211">
        <v>-610522</v>
      </c>
      <c r="E6053" s="212">
        <v>45536</v>
      </c>
      <c r="F6053" s="208" t="s">
        <v>109</v>
      </c>
      <c r="G6053" s="208" t="s">
        <v>207</v>
      </c>
      <c r="H6053" s="208"/>
      <c r="I6053" s="208"/>
      <c r="J6053" s="209"/>
      <c r="K6053" s="209"/>
      <c r="L6053" s="209"/>
      <c r="M6053" s="209"/>
      <c r="N6053" s="209"/>
      <c r="O6053" s="209"/>
      <c r="P6053" s="209"/>
      <c r="Q6053" s="209"/>
      <c r="R6053" s="209"/>
      <c r="S6053" s="209"/>
      <c r="T6053" s="209"/>
    </row>
    <row r="6054" spans="1:149" s="451" customFormat="1" ht="15" hidden="1" customHeight="1">
      <c r="A6054" s="468">
        <v>45547</v>
      </c>
      <c r="B6054" s="208" t="s">
        <v>3208</v>
      </c>
      <c r="C6054" s="208" t="s">
        <v>4783</v>
      </c>
      <c r="D6054" s="211">
        <v>-610523</v>
      </c>
      <c r="E6054" s="212">
        <v>45536</v>
      </c>
      <c r="F6054" s="208" t="s">
        <v>109</v>
      </c>
      <c r="G6054" s="654" t="s">
        <v>2585</v>
      </c>
      <c r="H6054" s="208" t="s">
        <v>175</v>
      </c>
      <c r="I6054" s="208"/>
      <c r="J6054" s="209"/>
      <c r="K6054" s="209"/>
      <c r="L6054" s="209"/>
      <c r="M6054" s="209"/>
      <c r="N6054" s="209"/>
      <c r="O6054" s="209"/>
      <c r="P6054" s="209"/>
      <c r="Q6054" s="209"/>
      <c r="R6054" s="209"/>
      <c r="S6054" s="209"/>
      <c r="T6054" s="209"/>
    </row>
    <row r="6055" spans="1:149" s="451" customFormat="1" ht="15" hidden="1" customHeight="1">
      <c r="A6055" s="468">
        <v>45547</v>
      </c>
      <c r="B6055" s="208" t="s">
        <v>2663</v>
      </c>
      <c r="C6055" s="208" t="s">
        <v>269</v>
      </c>
      <c r="D6055" s="211">
        <v>-63000</v>
      </c>
      <c r="E6055" s="212">
        <v>45536</v>
      </c>
      <c r="F6055" s="208" t="s">
        <v>110</v>
      </c>
      <c r="G6055" s="201" t="s">
        <v>1489</v>
      </c>
      <c r="H6055" s="208" t="s">
        <v>138</v>
      </c>
      <c r="I6055" s="208"/>
      <c r="J6055" s="209"/>
      <c r="K6055" s="209"/>
      <c r="L6055" s="209"/>
      <c r="M6055" s="209"/>
      <c r="N6055" s="209"/>
      <c r="O6055" s="209"/>
      <c r="P6055" s="209"/>
      <c r="Q6055" s="209"/>
      <c r="R6055" s="209"/>
      <c r="S6055" s="209"/>
      <c r="T6055" s="209"/>
      <c r="U6055" s="165"/>
      <c r="V6055" s="165"/>
      <c r="W6055" s="165"/>
      <c r="X6055" s="165"/>
      <c r="Y6055" s="165"/>
      <c r="Z6055" s="165"/>
      <c r="AA6055" s="165"/>
      <c r="AB6055" s="165"/>
      <c r="AC6055" s="165"/>
      <c r="AD6055" s="165"/>
      <c r="AE6055" s="165"/>
      <c r="AF6055" s="165"/>
      <c r="AG6055" s="165"/>
      <c r="AH6055" s="165"/>
      <c r="AI6055" s="165"/>
      <c r="AJ6055" s="165"/>
      <c r="AK6055" s="165"/>
      <c r="AL6055" s="165"/>
      <c r="AM6055" s="165"/>
      <c r="AN6055" s="165"/>
      <c r="AO6055" s="165"/>
      <c r="AP6055" s="165"/>
      <c r="AQ6055" s="165"/>
      <c r="AR6055" s="165"/>
      <c r="AS6055" s="165"/>
      <c r="AT6055" s="165"/>
      <c r="AU6055" s="165"/>
      <c r="AV6055" s="165"/>
      <c r="AW6055" s="165"/>
      <c r="AX6055" s="165"/>
      <c r="AY6055" s="165"/>
      <c r="AZ6055" s="165"/>
      <c r="BA6055" s="165"/>
      <c r="BB6055" s="165"/>
      <c r="BC6055" s="165"/>
      <c r="BD6055" s="165"/>
      <c r="BE6055" s="165"/>
      <c r="BF6055" s="165"/>
      <c r="BG6055" s="165"/>
      <c r="BH6055" s="165"/>
      <c r="BI6055" s="165"/>
      <c r="BJ6055" s="165"/>
      <c r="BK6055" s="165"/>
      <c r="BL6055" s="165"/>
      <c r="BM6055" s="165"/>
      <c r="BN6055" s="165"/>
      <c r="BO6055" s="165"/>
      <c r="BP6055" s="165"/>
      <c r="BQ6055" s="165"/>
      <c r="BR6055" s="165"/>
      <c r="BS6055" s="165"/>
      <c r="BT6055" s="165"/>
      <c r="BU6055" s="165"/>
      <c r="BV6055" s="165"/>
      <c r="BW6055" s="165"/>
      <c r="BX6055" s="165"/>
      <c r="BY6055" s="165"/>
      <c r="BZ6055" s="165"/>
      <c r="CA6055" s="165"/>
      <c r="CB6055" s="165"/>
      <c r="CC6055" s="165"/>
      <c r="CD6055" s="165"/>
      <c r="CE6055" s="165"/>
      <c r="CF6055" s="165"/>
      <c r="CG6055" s="165"/>
      <c r="CH6055" s="165"/>
      <c r="CI6055" s="165"/>
      <c r="CJ6055" s="165"/>
      <c r="CK6055" s="165"/>
      <c r="CL6055" s="165"/>
      <c r="CM6055" s="165"/>
      <c r="CN6055" s="165"/>
      <c r="CO6055" s="165"/>
      <c r="CP6055" s="165"/>
      <c r="CQ6055" s="165"/>
      <c r="CR6055" s="165"/>
      <c r="CS6055" s="165"/>
      <c r="CT6055" s="165"/>
      <c r="CU6055" s="165"/>
      <c r="CV6055" s="165"/>
      <c r="CW6055" s="165"/>
      <c r="CX6055" s="165"/>
      <c r="CY6055" s="165"/>
      <c r="CZ6055" s="165"/>
      <c r="DA6055" s="165"/>
      <c r="DB6055" s="165"/>
      <c r="DC6055" s="165"/>
      <c r="DD6055" s="165"/>
      <c r="DE6055" s="165"/>
      <c r="DF6055" s="165"/>
      <c r="DG6055" s="165"/>
      <c r="DH6055" s="165"/>
      <c r="DI6055" s="165"/>
      <c r="DJ6055" s="165"/>
      <c r="DK6055" s="165"/>
      <c r="DL6055" s="165"/>
      <c r="DM6055" s="165"/>
      <c r="DN6055" s="165"/>
      <c r="DO6055" s="165"/>
      <c r="DP6055" s="165"/>
      <c r="DQ6055" s="165"/>
      <c r="DR6055" s="165"/>
      <c r="DS6055" s="165"/>
      <c r="DT6055" s="165"/>
      <c r="DU6055" s="165"/>
      <c r="DV6055" s="165"/>
      <c r="DW6055" s="165"/>
      <c r="DX6055" s="165"/>
      <c r="DY6055" s="165"/>
      <c r="DZ6055" s="165"/>
      <c r="EA6055" s="165"/>
      <c r="EB6055" s="165"/>
      <c r="EC6055" s="165"/>
      <c r="ED6055" s="165"/>
      <c r="EE6055" s="165"/>
      <c r="EF6055" s="165"/>
      <c r="EG6055" s="165"/>
      <c r="EH6055" s="165"/>
      <c r="EI6055" s="165"/>
      <c r="EJ6055" s="165"/>
      <c r="EK6055" s="165"/>
      <c r="EL6055" s="165"/>
      <c r="EM6055" s="165"/>
      <c r="EN6055" s="165"/>
      <c r="EO6055" s="165"/>
      <c r="EP6055" s="165"/>
      <c r="EQ6055" s="165"/>
      <c r="ER6055" s="165"/>
      <c r="ES6055" s="165"/>
    </row>
    <row r="6056" spans="1:149" s="451" customFormat="1" ht="15" hidden="1" customHeight="1">
      <c r="A6056" s="468">
        <v>45547</v>
      </c>
      <c r="B6056" s="208" t="s">
        <v>2663</v>
      </c>
      <c r="C6056" s="208" t="s">
        <v>269</v>
      </c>
      <c r="D6056" s="211">
        <v>-70000</v>
      </c>
      <c r="E6056" s="212">
        <v>45536</v>
      </c>
      <c r="F6056" s="208" t="s">
        <v>109</v>
      </c>
      <c r="G6056" s="208" t="s">
        <v>3529</v>
      </c>
      <c r="H6056" s="208" t="s">
        <v>138</v>
      </c>
      <c r="I6056" s="208"/>
      <c r="J6056" s="209"/>
      <c r="K6056" s="209"/>
      <c r="L6056" s="209"/>
      <c r="M6056" s="209"/>
      <c r="N6056" s="209"/>
      <c r="O6056" s="209"/>
      <c r="P6056" s="209"/>
      <c r="Q6056" s="209"/>
      <c r="R6056" s="209"/>
      <c r="S6056" s="209"/>
      <c r="T6056" s="209"/>
      <c r="U6056" s="165"/>
      <c r="V6056" s="165"/>
      <c r="W6056" s="165"/>
      <c r="X6056" s="165"/>
      <c r="Y6056" s="165"/>
      <c r="Z6056" s="165"/>
      <c r="AA6056" s="165"/>
      <c r="AB6056" s="165"/>
      <c r="AC6056" s="165"/>
      <c r="AD6056" s="165"/>
      <c r="AE6056" s="165"/>
      <c r="AF6056" s="165"/>
      <c r="AG6056" s="165"/>
      <c r="AH6056" s="165"/>
      <c r="AI6056" s="165"/>
      <c r="AJ6056" s="165"/>
      <c r="AK6056" s="165"/>
      <c r="AL6056" s="165"/>
      <c r="AM6056" s="165"/>
      <c r="AN6056" s="165"/>
      <c r="AO6056" s="165"/>
      <c r="AP6056" s="165"/>
      <c r="AQ6056" s="165"/>
      <c r="AR6056" s="165"/>
      <c r="AS6056" s="165"/>
      <c r="AT6056" s="165"/>
      <c r="AU6056" s="165"/>
      <c r="AV6056" s="165"/>
      <c r="AW6056" s="165"/>
      <c r="AX6056" s="165"/>
      <c r="AY6056" s="165"/>
      <c r="AZ6056" s="165"/>
      <c r="BA6056" s="165"/>
      <c r="BB6056" s="165"/>
      <c r="BC6056" s="165"/>
      <c r="BD6056" s="165"/>
      <c r="BE6056" s="165"/>
      <c r="BF6056" s="165"/>
      <c r="BG6056" s="165"/>
      <c r="BH6056" s="165"/>
      <c r="BI6056" s="165"/>
      <c r="BJ6056" s="165"/>
      <c r="BK6056" s="165"/>
      <c r="BL6056" s="165"/>
      <c r="BM6056" s="165"/>
      <c r="BN6056" s="165"/>
      <c r="BO6056" s="165"/>
      <c r="BP6056" s="165"/>
      <c r="BQ6056" s="165"/>
      <c r="BR6056" s="165"/>
      <c r="BS6056" s="165"/>
      <c r="BT6056" s="165"/>
      <c r="BU6056" s="165"/>
      <c r="BV6056" s="165"/>
      <c r="BW6056" s="165"/>
      <c r="BX6056" s="165"/>
      <c r="BY6056" s="165"/>
      <c r="BZ6056" s="165"/>
      <c r="CA6056" s="165"/>
      <c r="CB6056" s="165"/>
      <c r="CC6056" s="165"/>
      <c r="CD6056" s="165"/>
      <c r="CE6056" s="165"/>
      <c r="CF6056" s="165"/>
      <c r="CG6056" s="165"/>
      <c r="CH6056" s="165"/>
      <c r="CI6056" s="165"/>
      <c r="CJ6056" s="165"/>
      <c r="CK6056" s="165"/>
      <c r="CL6056" s="165"/>
      <c r="CM6056" s="165"/>
      <c r="CN6056" s="165"/>
      <c r="CO6056" s="165"/>
      <c r="CP6056" s="165"/>
      <c r="CQ6056" s="165"/>
      <c r="CR6056" s="165"/>
      <c r="CS6056" s="165"/>
      <c r="CT6056" s="165"/>
      <c r="CU6056" s="165"/>
      <c r="CV6056" s="165"/>
      <c r="CW6056" s="165"/>
      <c r="CX6056" s="165"/>
      <c r="CY6056" s="165"/>
      <c r="CZ6056" s="165"/>
      <c r="DA6056" s="165"/>
      <c r="DB6056" s="165"/>
      <c r="DC6056" s="165"/>
      <c r="DD6056" s="165"/>
      <c r="DE6056" s="165"/>
      <c r="DF6056" s="165"/>
      <c r="DG6056" s="165"/>
      <c r="DH6056" s="165"/>
      <c r="DI6056" s="165"/>
      <c r="DJ6056" s="165"/>
      <c r="DK6056" s="165"/>
      <c r="DL6056" s="165"/>
      <c r="DM6056" s="165"/>
      <c r="DN6056" s="165"/>
      <c r="DO6056" s="165"/>
      <c r="DP6056" s="165"/>
      <c r="DQ6056" s="165"/>
      <c r="DR6056" s="165"/>
      <c r="DS6056" s="165"/>
      <c r="DT6056" s="165"/>
      <c r="DU6056" s="165"/>
      <c r="DV6056" s="165"/>
      <c r="DW6056" s="165"/>
      <c r="DX6056" s="165"/>
      <c r="DY6056" s="165"/>
      <c r="DZ6056" s="165"/>
      <c r="EA6056" s="165"/>
      <c r="EB6056" s="165"/>
      <c r="EC6056" s="165"/>
      <c r="ED6056" s="165"/>
      <c r="EE6056" s="165"/>
      <c r="EF6056" s="165"/>
      <c r="EG6056" s="165"/>
      <c r="EH6056" s="165"/>
      <c r="EI6056" s="165"/>
      <c r="EJ6056" s="165"/>
      <c r="EK6056" s="165"/>
      <c r="EL6056" s="165"/>
      <c r="EM6056" s="165"/>
      <c r="EN6056" s="165"/>
      <c r="EO6056" s="165"/>
      <c r="EP6056" s="165"/>
      <c r="EQ6056" s="165"/>
      <c r="ER6056" s="165"/>
      <c r="ES6056" s="165"/>
    </row>
    <row r="6057" spans="1:149" s="451" customFormat="1" ht="15" hidden="1" customHeight="1">
      <c r="A6057" s="468">
        <v>45547</v>
      </c>
      <c r="B6057" s="208" t="s">
        <v>2663</v>
      </c>
      <c r="C6057" s="208" t="s">
        <v>269</v>
      </c>
      <c r="D6057" s="211">
        <v>-14000</v>
      </c>
      <c r="E6057" s="212">
        <v>45536</v>
      </c>
      <c r="F6057" s="208" t="s">
        <v>109</v>
      </c>
      <c r="G6057" s="201" t="s">
        <v>581</v>
      </c>
      <c r="H6057" s="208"/>
      <c r="I6057" s="208"/>
      <c r="J6057" s="209"/>
      <c r="K6057" s="209"/>
      <c r="L6057" s="209"/>
      <c r="M6057" s="209"/>
      <c r="N6057" s="209"/>
      <c r="O6057" s="209"/>
      <c r="P6057" s="209"/>
      <c r="Q6057" s="209"/>
      <c r="R6057" s="209"/>
      <c r="S6057" s="209"/>
      <c r="T6057" s="209"/>
      <c r="U6057" s="165"/>
      <c r="V6057" s="165"/>
      <c r="W6057" s="165"/>
      <c r="X6057" s="165"/>
      <c r="Y6057" s="165"/>
      <c r="Z6057" s="165"/>
      <c r="AA6057" s="165"/>
      <c r="AB6057" s="165"/>
      <c r="AC6057" s="165"/>
      <c r="AD6057" s="165"/>
      <c r="AE6057" s="165"/>
      <c r="AF6057" s="165"/>
      <c r="AG6057" s="165"/>
      <c r="AH6057" s="165"/>
      <c r="AI6057" s="165"/>
      <c r="AJ6057" s="165"/>
      <c r="AK6057" s="165"/>
      <c r="AL6057" s="165"/>
      <c r="AM6057" s="165"/>
      <c r="AN6057" s="165"/>
      <c r="AO6057" s="165"/>
      <c r="AP6057" s="165"/>
      <c r="AQ6057" s="165"/>
      <c r="AR6057" s="165"/>
      <c r="AS6057" s="165"/>
      <c r="AT6057" s="165"/>
      <c r="AU6057" s="165"/>
      <c r="AV6057" s="165"/>
      <c r="AW6057" s="165"/>
      <c r="AX6057" s="165"/>
      <c r="AY6057" s="165"/>
      <c r="AZ6057" s="165"/>
      <c r="BA6057" s="165"/>
      <c r="BB6057" s="165"/>
      <c r="BC6057" s="165"/>
      <c r="BD6057" s="165"/>
      <c r="BE6057" s="165"/>
      <c r="BF6057" s="165"/>
      <c r="BG6057" s="165"/>
      <c r="BH6057" s="165"/>
      <c r="BI6057" s="165"/>
      <c r="BJ6057" s="165"/>
      <c r="BK6057" s="165"/>
      <c r="BL6057" s="165"/>
      <c r="BM6057" s="165"/>
      <c r="BN6057" s="165"/>
      <c r="BO6057" s="165"/>
      <c r="BP6057" s="165"/>
      <c r="BQ6057" s="165"/>
      <c r="BR6057" s="165"/>
      <c r="BS6057" s="165"/>
      <c r="BT6057" s="165"/>
      <c r="BU6057" s="165"/>
      <c r="BV6057" s="165"/>
      <c r="BW6057" s="165"/>
      <c r="BX6057" s="165"/>
      <c r="BY6057" s="165"/>
      <c r="BZ6057" s="165"/>
      <c r="CA6057" s="165"/>
      <c r="CB6057" s="165"/>
      <c r="CC6057" s="165"/>
      <c r="CD6057" s="165"/>
      <c r="CE6057" s="165"/>
      <c r="CF6057" s="165"/>
      <c r="CG6057" s="165"/>
      <c r="CH6057" s="165"/>
      <c r="CI6057" s="165"/>
      <c r="CJ6057" s="165"/>
      <c r="CK6057" s="165"/>
      <c r="CL6057" s="165"/>
      <c r="CM6057" s="165"/>
      <c r="CN6057" s="165"/>
      <c r="CO6057" s="165"/>
      <c r="CP6057" s="165"/>
      <c r="CQ6057" s="165"/>
      <c r="CR6057" s="165"/>
      <c r="CS6057" s="165"/>
      <c r="CT6057" s="165"/>
      <c r="CU6057" s="165"/>
      <c r="CV6057" s="165"/>
      <c r="CW6057" s="165"/>
      <c r="CX6057" s="165"/>
      <c r="CY6057" s="165"/>
      <c r="CZ6057" s="165"/>
      <c r="DA6057" s="165"/>
      <c r="DB6057" s="165"/>
      <c r="DC6057" s="165"/>
      <c r="DD6057" s="165"/>
      <c r="DE6057" s="165"/>
      <c r="DF6057" s="165"/>
      <c r="DG6057" s="165"/>
      <c r="DH6057" s="165"/>
      <c r="DI6057" s="165"/>
      <c r="DJ6057" s="165"/>
      <c r="DK6057" s="165"/>
      <c r="DL6057" s="165"/>
      <c r="DM6057" s="165"/>
      <c r="DN6057" s="165"/>
      <c r="DO6057" s="165"/>
      <c r="DP6057" s="165"/>
      <c r="DQ6057" s="165"/>
      <c r="DR6057" s="165"/>
      <c r="DS6057" s="165"/>
      <c r="DT6057" s="165"/>
      <c r="DU6057" s="165"/>
      <c r="DV6057" s="165"/>
      <c r="DW6057" s="165"/>
      <c r="DX6057" s="165"/>
      <c r="DY6057" s="165"/>
      <c r="DZ6057" s="165"/>
      <c r="EA6057" s="165"/>
      <c r="EB6057" s="165"/>
      <c r="EC6057" s="165"/>
      <c r="ED6057" s="165"/>
      <c r="EE6057" s="165"/>
      <c r="EF6057" s="165"/>
      <c r="EG6057" s="165"/>
      <c r="EH6057" s="165"/>
      <c r="EI6057" s="165"/>
      <c r="EJ6057" s="165"/>
      <c r="EK6057" s="165"/>
      <c r="EL6057" s="165"/>
      <c r="EM6057" s="165"/>
      <c r="EN6057" s="165"/>
      <c r="EO6057" s="165"/>
      <c r="EP6057" s="165"/>
      <c r="EQ6057" s="165"/>
      <c r="ER6057" s="165"/>
      <c r="ES6057" s="165"/>
    </row>
    <row r="6058" spans="1:149" s="451" customFormat="1" ht="15" hidden="1" customHeight="1">
      <c r="A6058" s="468">
        <v>45547</v>
      </c>
      <c r="B6058" s="208" t="s">
        <v>2663</v>
      </c>
      <c r="C6058" s="208" t="s">
        <v>269</v>
      </c>
      <c r="D6058" s="211">
        <v>-7000</v>
      </c>
      <c r="E6058" s="212">
        <v>45536</v>
      </c>
      <c r="F6058" s="208" t="s">
        <v>110</v>
      </c>
      <c r="G6058" s="208" t="s">
        <v>774</v>
      </c>
      <c r="H6058" s="208" t="s">
        <v>138</v>
      </c>
      <c r="I6058" s="208"/>
      <c r="J6058" s="209"/>
      <c r="K6058" s="209"/>
      <c r="L6058" s="209"/>
      <c r="M6058" s="209"/>
      <c r="N6058" s="209"/>
      <c r="O6058" s="209"/>
      <c r="P6058" s="209"/>
      <c r="Q6058" s="209"/>
      <c r="R6058" s="209"/>
      <c r="S6058" s="209"/>
      <c r="T6058" s="209"/>
      <c r="U6058" s="165"/>
      <c r="V6058" s="165"/>
      <c r="W6058" s="165"/>
      <c r="X6058" s="165"/>
      <c r="Y6058" s="165"/>
      <c r="Z6058" s="165"/>
      <c r="AA6058" s="165"/>
      <c r="AB6058" s="165"/>
      <c r="AC6058" s="165"/>
      <c r="AD6058" s="165"/>
      <c r="AE6058" s="165"/>
      <c r="AF6058" s="165"/>
      <c r="AG6058" s="165"/>
      <c r="AH6058" s="165"/>
      <c r="AI6058" s="165"/>
      <c r="AJ6058" s="165"/>
      <c r="AK6058" s="165"/>
      <c r="AL6058" s="165"/>
      <c r="AM6058" s="165"/>
      <c r="AN6058" s="165"/>
      <c r="AO6058" s="165"/>
      <c r="AP6058" s="165"/>
      <c r="AQ6058" s="165"/>
      <c r="AR6058" s="165"/>
      <c r="AS6058" s="165"/>
      <c r="AT6058" s="165"/>
      <c r="AU6058" s="165"/>
      <c r="AV6058" s="165"/>
      <c r="AW6058" s="165"/>
      <c r="AX6058" s="165"/>
      <c r="AY6058" s="165"/>
      <c r="AZ6058" s="165"/>
      <c r="BA6058" s="165"/>
      <c r="BB6058" s="165"/>
      <c r="BC6058" s="165"/>
      <c r="BD6058" s="165"/>
      <c r="BE6058" s="165"/>
      <c r="BF6058" s="165"/>
      <c r="BG6058" s="165"/>
      <c r="BH6058" s="165"/>
      <c r="BI6058" s="165"/>
      <c r="BJ6058" s="165"/>
      <c r="BK6058" s="165"/>
      <c r="BL6058" s="165"/>
      <c r="BM6058" s="165"/>
      <c r="BN6058" s="165"/>
      <c r="BO6058" s="165"/>
      <c r="BP6058" s="165"/>
      <c r="BQ6058" s="165"/>
      <c r="BR6058" s="165"/>
      <c r="BS6058" s="165"/>
      <c r="BT6058" s="165"/>
      <c r="BU6058" s="165"/>
      <c r="BV6058" s="165"/>
      <c r="BW6058" s="165"/>
      <c r="BX6058" s="165"/>
      <c r="BY6058" s="165"/>
      <c r="BZ6058" s="165"/>
      <c r="CA6058" s="165"/>
      <c r="CB6058" s="165"/>
      <c r="CC6058" s="165"/>
      <c r="CD6058" s="165"/>
      <c r="CE6058" s="165"/>
      <c r="CF6058" s="165"/>
      <c r="CG6058" s="165"/>
      <c r="CH6058" s="165"/>
      <c r="CI6058" s="165"/>
      <c r="CJ6058" s="165"/>
      <c r="CK6058" s="165"/>
      <c r="CL6058" s="165"/>
      <c r="CM6058" s="165"/>
      <c r="CN6058" s="165"/>
      <c r="CO6058" s="165"/>
      <c r="CP6058" s="165"/>
      <c r="CQ6058" s="165"/>
      <c r="CR6058" s="165"/>
      <c r="CS6058" s="165"/>
      <c r="CT6058" s="165"/>
      <c r="CU6058" s="165"/>
      <c r="CV6058" s="165"/>
      <c r="CW6058" s="165"/>
      <c r="CX6058" s="165"/>
      <c r="CY6058" s="165"/>
      <c r="CZ6058" s="165"/>
      <c r="DA6058" s="165"/>
      <c r="DB6058" s="165"/>
      <c r="DC6058" s="165"/>
      <c r="DD6058" s="165"/>
      <c r="DE6058" s="165"/>
      <c r="DF6058" s="165"/>
      <c r="DG6058" s="165"/>
      <c r="DH6058" s="165"/>
      <c r="DI6058" s="165"/>
      <c r="DJ6058" s="165"/>
      <c r="DK6058" s="165"/>
      <c r="DL6058" s="165"/>
      <c r="DM6058" s="165"/>
      <c r="DN6058" s="165"/>
      <c r="DO6058" s="165"/>
      <c r="DP6058" s="165"/>
      <c r="DQ6058" s="165"/>
      <c r="DR6058" s="165"/>
      <c r="DS6058" s="165"/>
      <c r="DT6058" s="165"/>
      <c r="DU6058" s="165"/>
      <c r="DV6058" s="165"/>
      <c r="DW6058" s="165"/>
      <c r="DX6058" s="165"/>
      <c r="DY6058" s="165"/>
      <c r="DZ6058" s="165"/>
      <c r="EA6058" s="165"/>
      <c r="EB6058" s="165"/>
      <c r="EC6058" s="165"/>
      <c r="ED6058" s="165"/>
      <c r="EE6058" s="165"/>
      <c r="EF6058" s="165"/>
      <c r="EG6058" s="165"/>
      <c r="EH6058" s="165"/>
      <c r="EI6058" s="165"/>
      <c r="EJ6058" s="165"/>
      <c r="EK6058" s="165"/>
      <c r="EL6058" s="165"/>
      <c r="EM6058" s="165"/>
      <c r="EN6058" s="165"/>
      <c r="EO6058" s="165"/>
      <c r="EP6058" s="165"/>
      <c r="EQ6058" s="165"/>
      <c r="ER6058" s="165"/>
      <c r="ES6058" s="165"/>
    </row>
    <row r="6059" spans="1:149" s="451" customFormat="1" ht="15" hidden="1" customHeight="1">
      <c r="A6059" s="468">
        <v>45547</v>
      </c>
      <c r="B6059" s="208" t="s">
        <v>2663</v>
      </c>
      <c r="C6059" s="208" t="s">
        <v>269</v>
      </c>
      <c r="D6059" s="211">
        <v>-21000</v>
      </c>
      <c r="E6059" s="212">
        <v>45536</v>
      </c>
      <c r="F6059" s="208" t="s">
        <v>130</v>
      </c>
      <c r="G6059" s="208" t="s">
        <v>130</v>
      </c>
      <c r="H6059" s="208" t="s">
        <v>138</v>
      </c>
      <c r="I6059" s="208"/>
      <c r="J6059" s="209"/>
      <c r="K6059" s="209"/>
      <c r="L6059" s="209"/>
      <c r="M6059" s="209"/>
      <c r="N6059" s="209"/>
      <c r="O6059" s="209"/>
      <c r="P6059" s="209"/>
      <c r="Q6059" s="209"/>
      <c r="R6059" s="209"/>
      <c r="S6059" s="209"/>
      <c r="T6059" s="209"/>
      <c r="U6059" s="165"/>
      <c r="V6059" s="165"/>
      <c r="W6059" s="165"/>
      <c r="X6059" s="165"/>
      <c r="Y6059" s="165"/>
      <c r="Z6059" s="165"/>
      <c r="AA6059" s="165"/>
      <c r="AB6059" s="165"/>
      <c r="AC6059" s="165"/>
      <c r="AD6059" s="165"/>
      <c r="AE6059" s="165"/>
      <c r="AF6059" s="165"/>
      <c r="AG6059" s="165"/>
      <c r="AH6059" s="165"/>
      <c r="AI6059" s="165"/>
      <c r="AJ6059" s="165"/>
      <c r="AK6059" s="165"/>
      <c r="AL6059" s="165"/>
      <c r="AM6059" s="165"/>
      <c r="AN6059" s="165"/>
      <c r="AO6059" s="165"/>
      <c r="AP6059" s="165"/>
      <c r="AQ6059" s="165"/>
      <c r="AR6059" s="165"/>
      <c r="AS6059" s="165"/>
      <c r="AT6059" s="165"/>
      <c r="AU6059" s="165"/>
      <c r="AV6059" s="165"/>
      <c r="AW6059" s="165"/>
      <c r="AX6059" s="165"/>
      <c r="AY6059" s="165"/>
      <c r="AZ6059" s="165"/>
      <c r="BA6059" s="165"/>
      <c r="BB6059" s="165"/>
      <c r="BC6059" s="165"/>
      <c r="BD6059" s="165"/>
      <c r="BE6059" s="165"/>
      <c r="BF6059" s="165"/>
      <c r="BG6059" s="165"/>
      <c r="BH6059" s="165"/>
      <c r="BI6059" s="165"/>
      <c r="BJ6059" s="165"/>
      <c r="BK6059" s="165"/>
      <c r="BL6059" s="165"/>
      <c r="BM6059" s="165"/>
      <c r="BN6059" s="165"/>
      <c r="BO6059" s="165"/>
      <c r="BP6059" s="165"/>
      <c r="BQ6059" s="165"/>
      <c r="BR6059" s="165"/>
      <c r="BS6059" s="165"/>
      <c r="BT6059" s="165"/>
      <c r="BU6059" s="165"/>
      <c r="BV6059" s="165"/>
      <c r="BW6059" s="165"/>
      <c r="BX6059" s="165"/>
      <c r="BY6059" s="165"/>
      <c r="BZ6059" s="165"/>
      <c r="CA6059" s="165"/>
      <c r="CB6059" s="165"/>
      <c r="CC6059" s="165"/>
      <c r="CD6059" s="165"/>
      <c r="CE6059" s="165"/>
      <c r="CF6059" s="165"/>
      <c r="CG6059" s="165"/>
      <c r="CH6059" s="165"/>
      <c r="CI6059" s="165"/>
      <c r="CJ6059" s="165"/>
      <c r="CK6059" s="165"/>
      <c r="CL6059" s="165"/>
      <c r="CM6059" s="165"/>
      <c r="CN6059" s="165"/>
      <c r="CO6059" s="165"/>
      <c r="CP6059" s="165"/>
      <c r="CQ6059" s="165"/>
      <c r="CR6059" s="165"/>
      <c r="CS6059" s="165"/>
      <c r="CT6059" s="165"/>
      <c r="CU6059" s="165"/>
      <c r="CV6059" s="165"/>
      <c r="CW6059" s="165"/>
      <c r="CX6059" s="165"/>
      <c r="CY6059" s="165"/>
      <c r="CZ6059" s="165"/>
      <c r="DA6059" s="165"/>
      <c r="DB6059" s="165"/>
      <c r="DC6059" s="165"/>
      <c r="DD6059" s="165"/>
      <c r="DE6059" s="165"/>
      <c r="DF6059" s="165"/>
      <c r="DG6059" s="165"/>
      <c r="DH6059" s="165"/>
      <c r="DI6059" s="165"/>
      <c r="DJ6059" s="165"/>
      <c r="DK6059" s="165"/>
      <c r="DL6059" s="165"/>
      <c r="DM6059" s="165"/>
      <c r="DN6059" s="165"/>
      <c r="DO6059" s="165"/>
      <c r="DP6059" s="165"/>
      <c r="DQ6059" s="165"/>
      <c r="DR6059" s="165"/>
      <c r="DS6059" s="165"/>
      <c r="DT6059" s="165"/>
      <c r="DU6059" s="165"/>
      <c r="DV6059" s="165"/>
      <c r="DW6059" s="165"/>
      <c r="DX6059" s="165"/>
      <c r="DY6059" s="165"/>
      <c r="DZ6059" s="165"/>
      <c r="EA6059" s="165"/>
      <c r="EB6059" s="165"/>
      <c r="EC6059" s="165"/>
      <c r="ED6059" s="165"/>
      <c r="EE6059" s="165"/>
      <c r="EF6059" s="165"/>
      <c r="EG6059" s="165"/>
      <c r="EH6059" s="165"/>
      <c r="EI6059" s="165"/>
      <c r="EJ6059" s="165"/>
      <c r="EK6059" s="165"/>
      <c r="EL6059" s="165"/>
      <c r="EM6059" s="165"/>
      <c r="EN6059" s="165"/>
      <c r="EO6059" s="165"/>
      <c r="EP6059" s="165"/>
      <c r="EQ6059" s="165"/>
      <c r="ER6059" s="165"/>
      <c r="ES6059" s="165"/>
    </row>
    <row r="6060" spans="1:149" s="451" customFormat="1" ht="15" hidden="1" customHeight="1">
      <c r="A6060" s="468">
        <v>45547</v>
      </c>
      <c r="B6060" s="208" t="s">
        <v>2615</v>
      </c>
      <c r="C6060" s="208" t="s">
        <v>4783</v>
      </c>
      <c r="D6060" s="211">
        <v>-1190000</v>
      </c>
      <c r="E6060" s="212">
        <v>45536</v>
      </c>
      <c r="F6060" s="208" t="s">
        <v>109</v>
      </c>
      <c r="G6060" s="201" t="s">
        <v>581</v>
      </c>
      <c r="H6060" s="208"/>
      <c r="I6060" s="208"/>
      <c r="J6060" s="209"/>
      <c r="K6060" s="209"/>
      <c r="L6060" s="209"/>
      <c r="M6060" s="209"/>
      <c r="N6060" s="209"/>
      <c r="O6060" s="209"/>
      <c r="P6060" s="209"/>
      <c r="Q6060" s="209"/>
      <c r="R6060" s="209"/>
      <c r="S6060" s="209"/>
      <c r="T6060" s="209"/>
    </row>
    <row r="6061" spans="1:149" s="451" customFormat="1" ht="15" hidden="1" customHeight="1">
      <c r="A6061" s="468">
        <v>45547</v>
      </c>
      <c r="B6061" s="208" t="s">
        <v>4201</v>
      </c>
      <c r="C6061" s="208" t="s">
        <v>3331</v>
      </c>
      <c r="D6061" s="211">
        <v>-108670</v>
      </c>
      <c r="E6061" s="212">
        <v>45536</v>
      </c>
      <c r="F6061" s="208" t="s">
        <v>130</v>
      </c>
      <c r="G6061" s="208" t="s">
        <v>130</v>
      </c>
      <c r="H6061" s="208" t="s">
        <v>1032</v>
      </c>
      <c r="I6061" s="208"/>
      <c r="J6061" s="209"/>
      <c r="K6061" s="209"/>
      <c r="L6061" s="209"/>
      <c r="M6061" s="209"/>
      <c r="N6061" s="209"/>
      <c r="O6061" s="209"/>
      <c r="P6061" s="209"/>
      <c r="Q6061" s="209"/>
      <c r="R6061" s="209"/>
      <c r="S6061" s="209"/>
      <c r="T6061" s="209"/>
      <c r="U6061" s="165"/>
      <c r="V6061" s="165"/>
      <c r="W6061" s="165"/>
      <c r="X6061" s="165"/>
      <c r="Y6061" s="165"/>
      <c r="Z6061" s="165"/>
      <c r="AA6061" s="165"/>
      <c r="AB6061" s="165"/>
      <c r="AC6061" s="165"/>
      <c r="AD6061" s="165"/>
      <c r="AE6061" s="165"/>
      <c r="AF6061" s="165"/>
      <c r="AG6061" s="165"/>
      <c r="AH6061" s="165"/>
      <c r="AI6061" s="165"/>
      <c r="AJ6061" s="165"/>
      <c r="AK6061" s="165"/>
      <c r="AL6061" s="165"/>
      <c r="AM6061" s="165"/>
      <c r="AN6061" s="165"/>
      <c r="AO6061" s="165"/>
      <c r="AP6061" s="165"/>
      <c r="AQ6061" s="165"/>
      <c r="AR6061" s="165"/>
      <c r="AS6061" s="165"/>
      <c r="AT6061" s="165"/>
      <c r="AU6061" s="165"/>
      <c r="AV6061" s="165"/>
      <c r="AW6061" s="165"/>
      <c r="AX6061" s="165"/>
      <c r="AY6061" s="165"/>
      <c r="AZ6061" s="165"/>
      <c r="BA6061" s="165"/>
      <c r="BB6061" s="165"/>
      <c r="BC6061" s="165"/>
      <c r="BD6061" s="165"/>
      <c r="BE6061" s="165"/>
      <c r="BF6061" s="165"/>
      <c r="BG6061" s="165"/>
      <c r="BH6061" s="165"/>
      <c r="BI6061" s="165"/>
      <c r="BJ6061" s="165"/>
      <c r="BK6061" s="165"/>
      <c r="BL6061" s="165"/>
      <c r="BM6061" s="165"/>
      <c r="BN6061" s="165"/>
      <c r="BO6061" s="165"/>
      <c r="BP6061" s="165"/>
      <c r="BQ6061" s="165"/>
      <c r="BR6061" s="165"/>
      <c r="BS6061" s="165"/>
      <c r="BT6061" s="165"/>
      <c r="BU6061" s="165"/>
      <c r="BV6061" s="165"/>
      <c r="BW6061" s="165"/>
      <c r="BX6061" s="165"/>
      <c r="BY6061" s="165"/>
      <c r="BZ6061" s="165"/>
      <c r="CA6061" s="165"/>
      <c r="CB6061" s="165"/>
      <c r="CC6061" s="165"/>
      <c r="CD6061" s="165"/>
      <c r="CE6061" s="165"/>
      <c r="CF6061" s="165"/>
      <c r="CG6061" s="165"/>
      <c r="CH6061" s="165"/>
      <c r="CI6061" s="165"/>
      <c r="CJ6061" s="165"/>
      <c r="CK6061" s="165"/>
      <c r="CL6061" s="165"/>
      <c r="CM6061" s="165"/>
      <c r="CN6061" s="165"/>
      <c r="CO6061" s="165"/>
      <c r="CP6061" s="165"/>
      <c r="CQ6061" s="165"/>
      <c r="CR6061" s="165"/>
      <c r="CS6061" s="165"/>
      <c r="CT6061" s="165"/>
      <c r="CU6061" s="165"/>
      <c r="CV6061" s="165"/>
      <c r="CW6061" s="165"/>
      <c r="CX6061" s="165"/>
      <c r="CY6061" s="165"/>
      <c r="CZ6061" s="165"/>
      <c r="DA6061" s="165"/>
      <c r="DB6061" s="165"/>
      <c r="DC6061" s="165"/>
      <c r="DD6061" s="165"/>
      <c r="DE6061" s="165"/>
      <c r="DF6061" s="165"/>
      <c r="DG6061" s="165"/>
      <c r="DH6061" s="165"/>
      <c r="DI6061" s="165"/>
      <c r="DJ6061" s="165"/>
      <c r="DK6061" s="165"/>
      <c r="DL6061" s="165"/>
      <c r="DM6061" s="165"/>
      <c r="DN6061" s="165"/>
      <c r="DO6061" s="165"/>
      <c r="DP6061" s="165"/>
      <c r="DQ6061" s="165"/>
      <c r="DR6061" s="165"/>
      <c r="DS6061" s="165"/>
      <c r="DT6061" s="165"/>
      <c r="DU6061" s="165"/>
      <c r="DV6061" s="165"/>
      <c r="DW6061" s="165"/>
      <c r="DX6061" s="165"/>
      <c r="DY6061" s="165"/>
      <c r="DZ6061" s="165"/>
      <c r="EA6061" s="165"/>
      <c r="EB6061" s="165"/>
      <c r="EC6061" s="165"/>
      <c r="ED6061" s="165"/>
      <c r="EE6061" s="165"/>
      <c r="EF6061" s="165"/>
      <c r="EG6061" s="165"/>
      <c r="EH6061" s="165"/>
      <c r="EI6061" s="165"/>
      <c r="EJ6061" s="165"/>
      <c r="EK6061" s="165"/>
      <c r="EL6061" s="165"/>
      <c r="EM6061" s="165"/>
      <c r="EN6061" s="165"/>
      <c r="EO6061" s="165"/>
      <c r="EP6061" s="165"/>
      <c r="EQ6061" s="165"/>
      <c r="ER6061" s="165"/>
      <c r="ES6061" s="165"/>
    </row>
    <row r="6062" spans="1:149" s="451" customFormat="1" ht="15" hidden="1" customHeight="1">
      <c r="A6062" s="468">
        <v>45547</v>
      </c>
      <c r="B6062" s="208" t="s">
        <v>4977</v>
      </c>
      <c r="C6062" s="208" t="s">
        <v>4783</v>
      </c>
      <c r="D6062" s="211">
        <v>-7900</v>
      </c>
      <c r="E6062" s="212">
        <v>45536</v>
      </c>
      <c r="F6062" s="654" t="s">
        <v>130</v>
      </c>
      <c r="G6062" s="654" t="s">
        <v>130</v>
      </c>
      <c r="H6062" s="208" t="s">
        <v>2444</v>
      </c>
      <c r="I6062" s="208"/>
      <c r="J6062" s="209"/>
      <c r="K6062" s="209"/>
      <c r="L6062" s="209"/>
      <c r="M6062" s="209"/>
      <c r="N6062" s="209"/>
      <c r="O6062" s="209"/>
      <c r="P6062" s="209"/>
      <c r="Q6062" s="209"/>
      <c r="R6062" s="209"/>
      <c r="S6062" s="209"/>
      <c r="T6062" s="209"/>
    </row>
    <row r="6063" spans="1:149" s="451" customFormat="1" ht="15" hidden="1" customHeight="1">
      <c r="A6063" s="468">
        <v>45547</v>
      </c>
      <c r="B6063" s="208" t="s">
        <v>2284</v>
      </c>
      <c r="C6063" s="208" t="s">
        <v>4783</v>
      </c>
      <c r="D6063" s="211">
        <v>-136400</v>
      </c>
      <c r="E6063" s="212">
        <v>45536</v>
      </c>
      <c r="F6063" s="208" t="s">
        <v>130</v>
      </c>
      <c r="G6063" s="208" t="s">
        <v>130</v>
      </c>
      <c r="H6063" s="208" t="s">
        <v>249</v>
      </c>
      <c r="I6063" s="208"/>
      <c r="J6063" s="209"/>
      <c r="K6063" s="209"/>
      <c r="L6063" s="209"/>
      <c r="M6063" s="209"/>
      <c r="N6063" s="209"/>
      <c r="O6063" s="209"/>
      <c r="P6063" s="209"/>
      <c r="Q6063" s="209"/>
      <c r="R6063" s="209"/>
      <c r="S6063" s="209"/>
      <c r="T6063" s="209"/>
    </row>
    <row r="6064" spans="1:149" ht="15" hidden="1" customHeight="1">
      <c r="A6064" s="468">
        <v>45547</v>
      </c>
      <c r="B6064" s="208" t="s">
        <v>4978</v>
      </c>
      <c r="C6064" s="208" t="s">
        <v>4783</v>
      </c>
      <c r="D6064" s="211">
        <v>-3890000</v>
      </c>
      <c r="E6064" s="212">
        <v>45536</v>
      </c>
      <c r="F6064" s="208" t="s">
        <v>109</v>
      </c>
      <c r="G6064" s="201" t="s">
        <v>581</v>
      </c>
      <c r="H6064" s="208"/>
      <c r="I6064" s="208"/>
      <c r="J6064" s="209"/>
      <c r="K6064" s="209"/>
      <c r="L6064" s="209"/>
      <c r="M6064" s="209"/>
      <c r="N6064" s="209"/>
      <c r="O6064" s="209"/>
      <c r="P6064" s="209"/>
      <c r="Q6064" s="209"/>
      <c r="R6064" s="209"/>
      <c r="S6064" s="209"/>
      <c r="T6064" s="209"/>
      <c r="U6064" s="451"/>
      <c r="V6064" s="451"/>
      <c r="W6064" s="451"/>
      <c r="X6064" s="451"/>
      <c r="Y6064" s="451"/>
      <c r="Z6064" s="451"/>
      <c r="AA6064" s="451"/>
      <c r="AB6064" s="451"/>
      <c r="AC6064" s="451"/>
      <c r="AD6064" s="451"/>
      <c r="AE6064" s="451"/>
      <c r="AF6064" s="451"/>
      <c r="AG6064" s="451"/>
      <c r="AH6064" s="451"/>
      <c r="AI6064" s="451"/>
      <c r="AJ6064" s="451"/>
      <c r="AK6064" s="451"/>
      <c r="AL6064" s="451"/>
      <c r="AM6064" s="451"/>
      <c r="AN6064" s="451"/>
      <c r="AO6064" s="451"/>
      <c r="AP6064" s="451"/>
      <c r="AQ6064" s="451"/>
      <c r="AR6064" s="451"/>
      <c r="AS6064" s="451"/>
      <c r="AT6064" s="451"/>
      <c r="AU6064" s="451"/>
      <c r="AV6064" s="451"/>
      <c r="AW6064" s="451"/>
      <c r="AX6064" s="451"/>
      <c r="AY6064" s="451"/>
      <c r="AZ6064" s="451"/>
      <c r="BA6064" s="451"/>
      <c r="BB6064" s="451"/>
      <c r="BC6064" s="451"/>
      <c r="BD6064" s="451"/>
      <c r="BE6064" s="451"/>
      <c r="BF6064" s="451"/>
      <c r="BG6064" s="451"/>
      <c r="BH6064" s="451"/>
      <c r="BI6064" s="451"/>
      <c r="BJ6064" s="451"/>
      <c r="BK6064" s="451"/>
      <c r="BL6064" s="451"/>
      <c r="BM6064" s="451"/>
      <c r="BN6064" s="451"/>
      <c r="BO6064" s="451"/>
      <c r="BP6064" s="451"/>
      <c r="BQ6064" s="451"/>
      <c r="BR6064" s="451"/>
      <c r="BS6064" s="451"/>
      <c r="BT6064" s="451"/>
      <c r="BU6064" s="451"/>
      <c r="BV6064" s="451"/>
      <c r="BW6064" s="451"/>
      <c r="BX6064" s="451"/>
      <c r="BY6064" s="451"/>
      <c r="BZ6064" s="451"/>
      <c r="CA6064" s="451"/>
      <c r="CB6064" s="451"/>
      <c r="CC6064" s="451"/>
      <c r="CD6064" s="451"/>
      <c r="CE6064" s="451"/>
      <c r="CF6064" s="451"/>
      <c r="CG6064" s="451"/>
      <c r="CH6064" s="451"/>
      <c r="CI6064" s="451"/>
      <c r="CJ6064" s="451"/>
      <c r="CK6064" s="451"/>
      <c r="CL6064" s="451"/>
      <c r="CM6064" s="451"/>
      <c r="CN6064" s="451"/>
      <c r="CO6064" s="451"/>
      <c r="CP6064" s="451"/>
      <c r="CQ6064" s="451"/>
      <c r="CR6064" s="451"/>
      <c r="CS6064" s="451"/>
      <c r="CT6064" s="451"/>
      <c r="CU6064" s="451"/>
      <c r="CV6064" s="451"/>
      <c r="CW6064" s="451"/>
      <c r="CX6064" s="451"/>
      <c r="CY6064" s="451"/>
      <c r="CZ6064" s="451"/>
      <c r="DA6064" s="451"/>
      <c r="DB6064" s="451"/>
      <c r="DC6064" s="451"/>
      <c r="DD6064" s="451"/>
      <c r="DE6064" s="451"/>
      <c r="DF6064" s="451"/>
      <c r="DG6064" s="451"/>
      <c r="DH6064" s="451"/>
      <c r="DI6064" s="451"/>
      <c r="DJ6064" s="451"/>
      <c r="DK6064" s="451"/>
      <c r="DL6064" s="451"/>
      <c r="DM6064" s="451"/>
      <c r="DN6064" s="451"/>
      <c r="DO6064" s="451"/>
      <c r="DP6064" s="451"/>
      <c r="DQ6064" s="451"/>
      <c r="DR6064" s="451"/>
      <c r="DS6064" s="451"/>
      <c r="DT6064" s="451"/>
      <c r="DU6064" s="451"/>
      <c r="DV6064" s="451"/>
      <c r="DW6064" s="451"/>
      <c r="DX6064" s="451"/>
      <c r="DY6064" s="451"/>
      <c r="DZ6064" s="451"/>
      <c r="EA6064" s="451"/>
      <c r="EB6064" s="451"/>
      <c r="EC6064" s="451"/>
      <c r="ED6064" s="451"/>
      <c r="EE6064" s="451"/>
      <c r="EF6064" s="451"/>
      <c r="EG6064" s="451"/>
      <c r="EH6064" s="451"/>
      <c r="EI6064" s="451"/>
      <c r="EJ6064" s="451"/>
      <c r="EK6064" s="451"/>
      <c r="EL6064" s="451"/>
      <c r="EM6064" s="451"/>
      <c r="EN6064" s="451"/>
      <c r="EO6064" s="451"/>
      <c r="EP6064" s="451"/>
      <c r="EQ6064" s="451"/>
      <c r="ER6064" s="451"/>
      <c r="ES6064" s="451"/>
    </row>
    <row r="6065" spans="1:149" s="451" customFormat="1" ht="15" hidden="1" customHeight="1">
      <c r="A6065" s="468">
        <v>45547</v>
      </c>
      <c r="B6065" s="208" t="s">
        <v>4979</v>
      </c>
      <c r="C6065" s="208" t="s">
        <v>4783</v>
      </c>
      <c r="D6065" s="211">
        <v>-2317312</v>
      </c>
      <c r="E6065" s="212">
        <v>45536</v>
      </c>
      <c r="F6065" s="84" t="s">
        <v>111</v>
      </c>
      <c r="G6065" s="635"/>
      <c r="H6065" s="208"/>
      <c r="I6065" s="208"/>
      <c r="J6065" s="209"/>
      <c r="K6065" s="209"/>
      <c r="L6065" s="209"/>
      <c r="M6065" s="209"/>
      <c r="N6065" s="209"/>
      <c r="O6065" s="209"/>
      <c r="P6065" s="209"/>
      <c r="Q6065" s="209"/>
      <c r="R6065" s="209"/>
      <c r="S6065" s="209"/>
      <c r="T6065" s="209"/>
    </row>
    <row r="6066" spans="1:149" s="451" customFormat="1" ht="15" hidden="1" customHeight="1">
      <c r="A6066" s="468">
        <v>45547</v>
      </c>
      <c r="B6066" s="208" t="s">
        <v>4980</v>
      </c>
      <c r="C6066" s="208" t="s">
        <v>4783</v>
      </c>
      <c r="D6066" s="211">
        <v>-6426420</v>
      </c>
      <c r="E6066" s="212">
        <v>45536</v>
      </c>
      <c r="F6066" s="208" t="s">
        <v>130</v>
      </c>
      <c r="G6066" s="208" t="s">
        <v>130</v>
      </c>
      <c r="H6066" s="208" t="s">
        <v>1038</v>
      </c>
      <c r="I6066" s="208"/>
      <c r="J6066" s="209"/>
      <c r="K6066" s="209"/>
      <c r="L6066" s="209"/>
      <c r="M6066" s="209"/>
      <c r="N6066" s="209"/>
      <c r="O6066" s="209"/>
      <c r="P6066" s="209"/>
      <c r="Q6066" s="209"/>
      <c r="R6066" s="209"/>
      <c r="S6066" s="209"/>
      <c r="T6066" s="209"/>
    </row>
    <row r="6067" spans="1:149" s="451" customFormat="1" ht="15" hidden="1" customHeight="1">
      <c r="A6067" s="468">
        <v>45547</v>
      </c>
      <c r="B6067" s="208" t="s">
        <v>4981</v>
      </c>
      <c r="C6067" s="208" t="s">
        <v>4783</v>
      </c>
      <c r="D6067" s="211">
        <v>-900000</v>
      </c>
      <c r="E6067" s="212">
        <v>45536</v>
      </c>
      <c r="F6067" s="635" t="s">
        <v>109</v>
      </c>
      <c r="G6067" s="654" t="s">
        <v>2585</v>
      </c>
      <c r="H6067" s="208" t="s">
        <v>147</v>
      </c>
      <c r="I6067" s="208"/>
      <c r="J6067" s="209"/>
      <c r="K6067" s="209"/>
      <c r="L6067" s="209"/>
      <c r="M6067" s="209"/>
      <c r="N6067" s="209"/>
      <c r="O6067" s="209"/>
      <c r="P6067" s="209"/>
      <c r="Q6067" s="209"/>
      <c r="R6067" s="209"/>
      <c r="S6067" s="209"/>
      <c r="T6067" s="209"/>
    </row>
    <row r="6068" spans="1:149" s="451" customFormat="1" ht="15" hidden="1" customHeight="1">
      <c r="A6068" s="468">
        <v>45547</v>
      </c>
      <c r="B6068" s="208" t="s">
        <v>4713</v>
      </c>
      <c r="C6068" s="208" t="s">
        <v>4783</v>
      </c>
      <c r="D6068" s="211">
        <v>-396000</v>
      </c>
      <c r="E6068" s="212">
        <v>45536</v>
      </c>
      <c r="F6068" s="208" t="s">
        <v>109</v>
      </c>
      <c r="G6068" s="208" t="s">
        <v>2809</v>
      </c>
      <c r="H6068" s="208" t="s">
        <v>4957</v>
      </c>
      <c r="I6068" s="208"/>
      <c r="J6068" s="209"/>
      <c r="K6068" s="209"/>
      <c r="L6068" s="209"/>
      <c r="M6068" s="209"/>
      <c r="N6068" s="209"/>
      <c r="O6068" s="209"/>
      <c r="P6068" s="209"/>
      <c r="Q6068" s="209"/>
      <c r="R6068" s="209"/>
      <c r="S6068" s="209"/>
      <c r="T6068" s="209"/>
    </row>
    <row r="6069" spans="1:149" s="451" customFormat="1" ht="15" hidden="1" customHeight="1">
      <c r="A6069" s="468">
        <v>45547</v>
      </c>
      <c r="B6069" s="208" t="s">
        <v>4982</v>
      </c>
      <c r="C6069" s="208" t="s">
        <v>4783</v>
      </c>
      <c r="D6069" s="211">
        <v>-8782329</v>
      </c>
      <c r="E6069" s="212">
        <v>45536</v>
      </c>
      <c r="F6069" s="208" t="s">
        <v>109</v>
      </c>
      <c r="G6069" s="201" t="s">
        <v>581</v>
      </c>
      <c r="H6069" s="208"/>
      <c r="I6069" s="208"/>
      <c r="J6069" s="209"/>
      <c r="K6069" s="209"/>
      <c r="L6069" s="209"/>
      <c r="M6069" s="209"/>
      <c r="N6069" s="209"/>
      <c r="O6069" s="209"/>
      <c r="P6069" s="209"/>
      <c r="Q6069" s="209"/>
      <c r="R6069" s="209"/>
      <c r="S6069" s="209"/>
      <c r="T6069" s="209"/>
    </row>
    <row r="6070" spans="1:149" s="451" customFormat="1" ht="15" hidden="1" customHeight="1">
      <c r="A6070" s="468">
        <v>45547</v>
      </c>
      <c r="B6070" s="208" t="s">
        <v>4206</v>
      </c>
      <c r="C6070" s="208" t="s">
        <v>4783</v>
      </c>
      <c r="D6070" s="211">
        <v>-415898</v>
      </c>
      <c r="E6070" s="212">
        <v>45536</v>
      </c>
      <c r="F6070" s="208" t="s">
        <v>130</v>
      </c>
      <c r="G6070" s="208" t="s">
        <v>130</v>
      </c>
      <c r="H6070" s="208" t="s">
        <v>323</v>
      </c>
      <c r="I6070" s="208"/>
      <c r="J6070" s="209"/>
      <c r="K6070" s="209"/>
      <c r="L6070" s="209"/>
      <c r="M6070" s="209"/>
      <c r="N6070" s="209"/>
      <c r="O6070" s="209"/>
      <c r="P6070" s="209"/>
      <c r="Q6070" s="209"/>
      <c r="R6070" s="209"/>
      <c r="S6070" s="209"/>
      <c r="T6070" s="209"/>
    </row>
    <row r="6071" spans="1:149" s="451" customFormat="1" ht="15" hidden="1" customHeight="1">
      <c r="A6071" s="468">
        <v>45547</v>
      </c>
      <c r="B6071" s="208" t="s">
        <v>4983</v>
      </c>
      <c r="C6071" s="208" t="s">
        <v>4783</v>
      </c>
      <c r="D6071" s="211">
        <v>-187200</v>
      </c>
      <c r="E6071" s="212">
        <v>45536</v>
      </c>
      <c r="F6071" s="208" t="s">
        <v>109</v>
      </c>
      <c r="G6071" s="201" t="s">
        <v>581</v>
      </c>
      <c r="H6071" s="208"/>
      <c r="I6071" s="208"/>
      <c r="J6071" s="209"/>
      <c r="K6071" s="209"/>
      <c r="L6071" s="209"/>
      <c r="M6071" s="209"/>
      <c r="N6071" s="209"/>
      <c r="O6071" s="209"/>
      <c r="P6071" s="209"/>
      <c r="Q6071" s="209"/>
      <c r="R6071" s="209"/>
      <c r="S6071" s="209"/>
      <c r="T6071" s="209"/>
    </row>
    <row r="6072" spans="1:149" s="451" customFormat="1" ht="15" hidden="1" customHeight="1">
      <c r="A6072" s="468">
        <v>45547</v>
      </c>
      <c r="B6072" s="208" t="s">
        <v>4188</v>
      </c>
      <c r="C6072" s="208" t="s">
        <v>4783</v>
      </c>
      <c r="D6072" s="211">
        <v>-191642</v>
      </c>
      <c r="E6072" s="212">
        <v>45536</v>
      </c>
      <c r="F6072" s="208" t="s">
        <v>109</v>
      </c>
      <c r="G6072" s="201" t="s">
        <v>581</v>
      </c>
      <c r="H6072" s="208"/>
      <c r="I6072" s="208"/>
      <c r="J6072" s="209"/>
      <c r="K6072" s="209"/>
      <c r="L6072" s="209"/>
      <c r="M6072" s="209"/>
      <c r="N6072" s="209"/>
      <c r="O6072" s="209"/>
      <c r="P6072" s="209"/>
      <c r="Q6072" s="209"/>
      <c r="R6072" s="209"/>
      <c r="S6072" s="209"/>
      <c r="T6072" s="209"/>
    </row>
    <row r="6073" spans="1:149" s="451" customFormat="1" ht="15" hidden="1" customHeight="1">
      <c r="A6073" s="468">
        <v>45547</v>
      </c>
      <c r="B6073" s="208" t="s">
        <v>4879</v>
      </c>
      <c r="C6073" s="208" t="s">
        <v>4783</v>
      </c>
      <c r="D6073" s="211">
        <v>-2500000</v>
      </c>
      <c r="E6073" s="212">
        <v>45536</v>
      </c>
      <c r="F6073" s="654" t="s">
        <v>109</v>
      </c>
      <c r="G6073" s="208" t="s">
        <v>10</v>
      </c>
      <c r="H6073" s="208" t="s">
        <v>4984</v>
      </c>
      <c r="I6073" s="208"/>
      <c r="J6073" s="209"/>
      <c r="K6073" s="209"/>
      <c r="L6073" s="209"/>
      <c r="M6073" s="209"/>
      <c r="N6073" s="209"/>
      <c r="O6073" s="209"/>
      <c r="P6073" s="209"/>
      <c r="Q6073" s="209"/>
      <c r="R6073" s="209"/>
      <c r="S6073" s="209"/>
      <c r="T6073" s="209"/>
    </row>
    <row r="6074" spans="1:149" s="451" customFormat="1" ht="15" hidden="1" customHeight="1">
      <c r="A6074" s="468">
        <v>45547</v>
      </c>
      <c r="B6074" s="208" t="s">
        <v>4985</v>
      </c>
      <c r="C6074" s="208" t="s">
        <v>4783</v>
      </c>
      <c r="D6074" s="211">
        <v>-2284500</v>
      </c>
      <c r="E6074" s="212">
        <v>45536</v>
      </c>
      <c r="F6074" s="208" t="s">
        <v>110</v>
      </c>
      <c r="G6074" s="208" t="s">
        <v>4986</v>
      </c>
      <c r="H6074" s="208" t="s">
        <v>323</v>
      </c>
      <c r="I6074" s="208"/>
      <c r="J6074" s="209"/>
      <c r="K6074" s="209"/>
      <c r="L6074" s="209"/>
      <c r="M6074" s="209"/>
      <c r="N6074" s="209"/>
      <c r="O6074" s="209"/>
      <c r="P6074" s="209"/>
      <c r="Q6074" s="209"/>
      <c r="R6074" s="209"/>
      <c r="S6074" s="209"/>
      <c r="T6074" s="209"/>
    </row>
    <row r="6075" spans="1:149" s="451" customFormat="1" ht="15" hidden="1" customHeight="1">
      <c r="A6075" s="468">
        <v>45547</v>
      </c>
      <c r="B6075" s="208" t="s">
        <v>4987</v>
      </c>
      <c r="C6075" s="208" t="s">
        <v>4783</v>
      </c>
      <c r="D6075" s="211">
        <v>-420000</v>
      </c>
      <c r="E6075" s="212">
        <v>45536</v>
      </c>
      <c r="F6075" s="208" t="s">
        <v>109</v>
      </c>
      <c r="G6075" s="201" t="s">
        <v>581</v>
      </c>
      <c r="H6075" s="208"/>
      <c r="I6075" s="208"/>
      <c r="J6075" s="209"/>
      <c r="K6075" s="209"/>
      <c r="L6075" s="209"/>
      <c r="M6075" s="209"/>
      <c r="N6075" s="209"/>
      <c r="O6075" s="209"/>
      <c r="P6075" s="209"/>
      <c r="Q6075" s="209"/>
      <c r="R6075" s="209"/>
      <c r="S6075" s="209"/>
      <c r="T6075" s="209"/>
    </row>
    <row r="6076" spans="1:149" s="451" customFormat="1" ht="15" hidden="1" customHeight="1">
      <c r="A6076" s="468">
        <v>45547</v>
      </c>
      <c r="B6076" s="208" t="s">
        <v>4988</v>
      </c>
      <c r="C6076" s="208" t="s">
        <v>4783</v>
      </c>
      <c r="D6076" s="211">
        <v>-1560000</v>
      </c>
      <c r="E6076" s="212">
        <v>45536</v>
      </c>
      <c r="F6076" s="208" t="s">
        <v>109</v>
      </c>
      <c r="G6076" s="201" t="s">
        <v>581</v>
      </c>
      <c r="H6076" s="208"/>
      <c r="I6076" s="208"/>
      <c r="J6076" s="209"/>
      <c r="K6076" s="209"/>
      <c r="L6076" s="209"/>
      <c r="M6076" s="209"/>
      <c r="N6076" s="209"/>
      <c r="O6076" s="209"/>
      <c r="P6076" s="209"/>
      <c r="Q6076" s="209"/>
      <c r="R6076" s="209"/>
      <c r="S6076" s="209"/>
      <c r="T6076" s="209"/>
    </row>
    <row r="6077" spans="1:149" s="451" customFormat="1" ht="15" hidden="1" customHeight="1">
      <c r="A6077" s="468">
        <v>45547</v>
      </c>
      <c r="B6077" s="208" t="s">
        <v>4989</v>
      </c>
      <c r="C6077" s="208" t="s">
        <v>4783</v>
      </c>
      <c r="D6077" s="211">
        <v>-1240000</v>
      </c>
      <c r="E6077" s="212">
        <v>45536</v>
      </c>
      <c r="F6077" s="208" t="s">
        <v>109</v>
      </c>
      <c r="G6077" s="201" t="s">
        <v>581</v>
      </c>
      <c r="H6077" s="208"/>
      <c r="I6077" s="208"/>
      <c r="J6077" s="209"/>
      <c r="K6077" s="209"/>
      <c r="L6077" s="209"/>
      <c r="M6077" s="209"/>
      <c r="N6077" s="209"/>
      <c r="O6077" s="209"/>
      <c r="P6077" s="209"/>
      <c r="Q6077" s="209"/>
      <c r="R6077" s="209"/>
      <c r="S6077" s="209"/>
      <c r="T6077" s="209"/>
    </row>
    <row r="6078" spans="1:149" ht="15" hidden="1" customHeight="1">
      <c r="A6078" s="468">
        <v>45547</v>
      </c>
      <c r="B6078" s="208" t="s">
        <v>2778</v>
      </c>
      <c r="C6078" s="208" t="s">
        <v>4783</v>
      </c>
      <c r="D6078" s="211">
        <v>-160021</v>
      </c>
      <c r="E6078" s="212">
        <v>45536</v>
      </c>
      <c r="F6078" s="208" t="s">
        <v>110</v>
      </c>
      <c r="G6078" s="208" t="s">
        <v>4990</v>
      </c>
      <c r="H6078" s="208" t="s">
        <v>585</v>
      </c>
      <c r="I6078" s="208"/>
      <c r="J6078" s="209"/>
      <c r="K6078" s="209"/>
      <c r="L6078" s="209"/>
      <c r="M6078" s="209"/>
      <c r="N6078" s="209"/>
      <c r="O6078" s="209"/>
      <c r="P6078" s="209"/>
      <c r="Q6078" s="209"/>
      <c r="R6078" s="209"/>
      <c r="S6078" s="209"/>
      <c r="T6078" s="209"/>
      <c r="U6078" s="451"/>
      <c r="V6078" s="451"/>
      <c r="W6078" s="451"/>
      <c r="X6078" s="451"/>
      <c r="Y6078" s="451"/>
      <c r="Z6078" s="451"/>
      <c r="AA6078" s="451"/>
      <c r="AB6078" s="451"/>
      <c r="AC6078" s="451"/>
      <c r="AD6078" s="451"/>
      <c r="AE6078" s="451"/>
      <c r="AF6078" s="451"/>
      <c r="AG6078" s="451"/>
      <c r="AH6078" s="451"/>
      <c r="AI6078" s="451"/>
      <c r="AJ6078" s="451"/>
      <c r="AK6078" s="451"/>
      <c r="AL6078" s="451"/>
      <c r="AM6078" s="451"/>
      <c r="AN6078" s="451"/>
      <c r="AO6078" s="451"/>
      <c r="AP6078" s="451"/>
      <c r="AQ6078" s="451"/>
      <c r="AR6078" s="451"/>
      <c r="AS6078" s="451"/>
      <c r="AT6078" s="451"/>
      <c r="AU6078" s="451"/>
      <c r="AV6078" s="451"/>
      <c r="AW6078" s="451"/>
      <c r="AX6078" s="451"/>
      <c r="AY6078" s="451"/>
      <c r="AZ6078" s="451"/>
      <c r="BA6078" s="451"/>
      <c r="BB6078" s="451"/>
      <c r="BC6078" s="451"/>
      <c r="BD6078" s="451"/>
      <c r="BE6078" s="451"/>
      <c r="BF6078" s="451"/>
      <c r="BG6078" s="451"/>
      <c r="BH6078" s="451"/>
      <c r="BI6078" s="451"/>
      <c r="BJ6078" s="451"/>
      <c r="BK6078" s="451"/>
      <c r="BL6078" s="451"/>
      <c r="BM6078" s="451"/>
      <c r="BN6078" s="451"/>
      <c r="BO6078" s="451"/>
      <c r="BP6078" s="451"/>
      <c r="BQ6078" s="451"/>
      <c r="BR6078" s="451"/>
      <c r="BS6078" s="451"/>
      <c r="BT6078" s="451"/>
      <c r="BU6078" s="451"/>
      <c r="BV6078" s="451"/>
      <c r="BW6078" s="451"/>
      <c r="BX6078" s="451"/>
      <c r="BY6078" s="451"/>
      <c r="BZ6078" s="451"/>
      <c r="CA6078" s="451"/>
      <c r="CB6078" s="451"/>
      <c r="CC6078" s="451"/>
      <c r="CD6078" s="451"/>
      <c r="CE6078" s="451"/>
      <c r="CF6078" s="451"/>
      <c r="CG6078" s="451"/>
      <c r="CH6078" s="451"/>
      <c r="CI6078" s="451"/>
      <c r="CJ6078" s="451"/>
      <c r="CK6078" s="451"/>
      <c r="CL6078" s="451"/>
      <c r="CM6078" s="451"/>
      <c r="CN6078" s="451"/>
      <c r="CO6078" s="451"/>
      <c r="CP6078" s="451"/>
      <c r="CQ6078" s="451"/>
      <c r="CR6078" s="451"/>
      <c r="CS6078" s="451"/>
      <c r="CT6078" s="451"/>
      <c r="CU6078" s="451"/>
      <c r="CV6078" s="451"/>
      <c r="CW6078" s="451"/>
      <c r="CX6078" s="451"/>
      <c r="CY6078" s="451"/>
      <c r="CZ6078" s="451"/>
      <c r="DA6078" s="451"/>
      <c r="DB6078" s="451"/>
      <c r="DC6078" s="451"/>
      <c r="DD6078" s="451"/>
      <c r="DE6078" s="451"/>
      <c r="DF6078" s="451"/>
      <c r="DG6078" s="451"/>
      <c r="DH6078" s="451"/>
      <c r="DI6078" s="451"/>
      <c r="DJ6078" s="451"/>
      <c r="DK6078" s="451"/>
      <c r="DL6078" s="451"/>
      <c r="DM6078" s="451"/>
      <c r="DN6078" s="451"/>
      <c r="DO6078" s="451"/>
      <c r="DP6078" s="451"/>
      <c r="DQ6078" s="451"/>
      <c r="DR6078" s="451"/>
      <c r="DS6078" s="451"/>
      <c r="DT6078" s="451"/>
      <c r="DU6078" s="451"/>
      <c r="DV6078" s="451"/>
      <c r="DW6078" s="451"/>
      <c r="DX6078" s="451"/>
      <c r="DY6078" s="451"/>
      <c r="DZ6078" s="451"/>
      <c r="EA6078" s="451"/>
      <c r="EB6078" s="451"/>
      <c r="EC6078" s="451"/>
      <c r="ED6078" s="451"/>
      <c r="EE6078" s="451"/>
      <c r="EF6078" s="451"/>
      <c r="EG6078" s="451"/>
      <c r="EH6078" s="451"/>
      <c r="EI6078" s="451"/>
      <c r="EJ6078" s="451"/>
      <c r="EK6078" s="451"/>
      <c r="EL6078" s="451"/>
      <c r="EM6078" s="451"/>
      <c r="EN6078" s="451"/>
      <c r="EO6078" s="451"/>
      <c r="EP6078" s="451"/>
      <c r="EQ6078" s="451"/>
      <c r="ER6078" s="451"/>
      <c r="ES6078" s="451"/>
    </row>
    <row r="6079" spans="1:149" ht="15" hidden="1" customHeight="1">
      <c r="A6079" s="468">
        <v>45547</v>
      </c>
      <c r="B6079" s="208" t="s">
        <v>4991</v>
      </c>
      <c r="C6079" s="208" t="s">
        <v>3331</v>
      </c>
      <c r="D6079" s="211">
        <v>-47496379</v>
      </c>
      <c r="E6079" s="212">
        <v>45536</v>
      </c>
      <c r="F6079" s="84" t="s">
        <v>111</v>
      </c>
      <c r="G6079" s="208"/>
      <c r="H6079" s="208"/>
      <c r="I6079" s="208"/>
      <c r="J6079" s="209"/>
      <c r="K6079" s="209"/>
      <c r="L6079" s="209"/>
      <c r="M6079" s="209"/>
      <c r="N6079" s="209"/>
      <c r="O6079" s="209"/>
      <c r="P6079" s="209"/>
      <c r="Q6079" s="209"/>
      <c r="R6079" s="209"/>
      <c r="S6079" s="209"/>
      <c r="T6079" s="209"/>
    </row>
    <row r="6080" spans="1:149" s="451" customFormat="1" ht="15" hidden="1" customHeight="1">
      <c r="A6080" s="468">
        <v>45547</v>
      </c>
      <c r="B6080" s="208" t="s">
        <v>4991</v>
      </c>
      <c r="C6080" s="208" t="s">
        <v>3331</v>
      </c>
      <c r="D6080" s="211">
        <v>-9938209</v>
      </c>
      <c r="E6080" s="212">
        <v>45536</v>
      </c>
      <c r="F6080" s="208" t="s">
        <v>118</v>
      </c>
      <c r="G6080" s="208"/>
      <c r="H6080" s="208"/>
      <c r="I6080" s="208"/>
      <c r="J6080" s="209"/>
      <c r="K6080" s="209"/>
      <c r="L6080" s="209"/>
      <c r="M6080" s="209"/>
      <c r="N6080" s="209"/>
      <c r="O6080" s="209"/>
      <c r="P6080" s="209"/>
      <c r="Q6080" s="209"/>
      <c r="R6080" s="209"/>
      <c r="S6080" s="209"/>
      <c r="T6080" s="209"/>
      <c r="U6080" s="165"/>
      <c r="V6080" s="165"/>
      <c r="W6080" s="165"/>
      <c r="X6080" s="165"/>
      <c r="Y6080" s="165"/>
      <c r="Z6080" s="165"/>
      <c r="AA6080" s="165"/>
      <c r="AB6080" s="165"/>
      <c r="AC6080" s="165"/>
      <c r="AD6080" s="165"/>
      <c r="AE6080" s="165"/>
      <c r="AF6080" s="165"/>
      <c r="AG6080" s="165"/>
      <c r="AH6080" s="165"/>
      <c r="AI6080" s="165"/>
      <c r="AJ6080" s="165"/>
      <c r="AK6080" s="165"/>
      <c r="AL6080" s="165"/>
      <c r="AM6080" s="165"/>
      <c r="AN6080" s="165"/>
      <c r="AO6080" s="165"/>
      <c r="AP6080" s="165"/>
      <c r="AQ6080" s="165"/>
      <c r="AR6080" s="165"/>
      <c r="AS6080" s="165"/>
      <c r="AT6080" s="165"/>
      <c r="AU6080" s="165"/>
      <c r="AV6080" s="165"/>
      <c r="AW6080" s="165"/>
      <c r="AX6080" s="165"/>
      <c r="AY6080" s="165"/>
      <c r="AZ6080" s="165"/>
      <c r="BA6080" s="165"/>
      <c r="BB6080" s="165"/>
      <c r="BC6080" s="165"/>
      <c r="BD6080" s="165"/>
      <c r="BE6080" s="165"/>
      <c r="BF6080" s="165"/>
      <c r="BG6080" s="165"/>
      <c r="BH6080" s="165"/>
      <c r="BI6080" s="165"/>
      <c r="BJ6080" s="165"/>
      <c r="BK6080" s="165"/>
      <c r="BL6080" s="165"/>
      <c r="BM6080" s="165"/>
      <c r="BN6080" s="165"/>
      <c r="BO6080" s="165"/>
      <c r="BP6080" s="165"/>
      <c r="BQ6080" s="165"/>
      <c r="BR6080" s="165"/>
      <c r="BS6080" s="165"/>
      <c r="BT6080" s="165"/>
      <c r="BU6080" s="165"/>
      <c r="BV6080" s="165"/>
      <c r="BW6080" s="165"/>
      <c r="BX6080" s="165"/>
      <c r="BY6080" s="165"/>
      <c r="BZ6080" s="165"/>
      <c r="CA6080" s="165"/>
      <c r="CB6080" s="165"/>
      <c r="CC6080" s="165"/>
      <c r="CD6080" s="165"/>
      <c r="CE6080" s="165"/>
      <c r="CF6080" s="165"/>
      <c r="CG6080" s="165"/>
      <c r="CH6080" s="165"/>
      <c r="CI6080" s="165"/>
      <c r="CJ6080" s="165"/>
      <c r="CK6080" s="165"/>
      <c r="CL6080" s="165"/>
      <c r="CM6080" s="165"/>
      <c r="CN6080" s="165"/>
      <c r="CO6080" s="165"/>
      <c r="CP6080" s="165"/>
      <c r="CQ6080" s="165"/>
      <c r="CR6080" s="165"/>
      <c r="CS6080" s="165"/>
      <c r="CT6080" s="165"/>
      <c r="CU6080" s="165"/>
      <c r="CV6080" s="165"/>
      <c r="CW6080" s="165"/>
      <c r="CX6080" s="165"/>
      <c r="CY6080" s="165"/>
      <c r="CZ6080" s="165"/>
      <c r="DA6080" s="165"/>
      <c r="DB6080" s="165"/>
      <c r="DC6080" s="165"/>
      <c r="DD6080" s="165"/>
      <c r="DE6080" s="165"/>
      <c r="DF6080" s="165"/>
      <c r="DG6080" s="165"/>
      <c r="DH6080" s="165"/>
      <c r="DI6080" s="165"/>
      <c r="DJ6080" s="165"/>
      <c r="DK6080" s="165"/>
      <c r="DL6080" s="165"/>
      <c r="DM6080" s="165"/>
      <c r="DN6080" s="165"/>
      <c r="DO6080" s="165"/>
      <c r="DP6080" s="165"/>
      <c r="DQ6080" s="165"/>
      <c r="DR6080" s="165"/>
      <c r="DS6080" s="165"/>
      <c r="DT6080" s="165"/>
      <c r="DU6080" s="165"/>
      <c r="DV6080" s="165"/>
      <c r="DW6080" s="165"/>
      <c r="DX6080" s="165"/>
      <c r="DY6080" s="165"/>
      <c r="DZ6080" s="165"/>
      <c r="EA6080" s="165"/>
      <c r="EB6080" s="165"/>
      <c r="EC6080" s="165"/>
      <c r="ED6080" s="165"/>
      <c r="EE6080" s="165"/>
      <c r="EF6080" s="165"/>
      <c r="EG6080" s="165"/>
      <c r="EH6080" s="165"/>
      <c r="EI6080" s="165"/>
      <c r="EJ6080" s="165"/>
      <c r="EK6080" s="165"/>
      <c r="EL6080" s="165"/>
      <c r="EM6080" s="165"/>
      <c r="EN6080" s="165"/>
      <c r="EO6080" s="165"/>
      <c r="EP6080" s="165"/>
      <c r="EQ6080" s="165"/>
      <c r="ER6080" s="165"/>
      <c r="ES6080" s="165"/>
    </row>
    <row r="6081" spans="1:149" ht="15" hidden="1" customHeight="1">
      <c r="A6081" s="468">
        <v>45547</v>
      </c>
      <c r="B6081" s="208" t="s">
        <v>4992</v>
      </c>
      <c r="C6081" s="208" t="s">
        <v>4314</v>
      </c>
      <c r="D6081" s="211">
        <v>-695675</v>
      </c>
      <c r="E6081" s="212">
        <v>45536</v>
      </c>
      <c r="F6081" s="84" t="s">
        <v>111</v>
      </c>
      <c r="G6081" s="208"/>
      <c r="H6081" s="208"/>
      <c r="I6081" s="208"/>
      <c r="J6081" s="209"/>
      <c r="K6081" s="209"/>
      <c r="L6081" s="209"/>
      <c r="M6081" s="209"/>
      <c r="N6081" s="209"/>
      <c r="O6081" s="209"/>
      <c r="P6081" s="209"/>
      <c r="Q6081" s="209"/>
      <c r="R6081" s="209"/>
      <c r="S6081" s="209"/>
      <c r="T6081" s="209"/>
    </row>
    <row r="6082" spans="1:149" s="451" customFormat="1" ht="15" hidden="1" customHeight="1">
      <c r="A6082" s="468">
        <v>45547</v>
      </c>
      <c r="B6082" s="208" t="s">
        <v>4641</v>
      </c>
      <c r="C6082" s="208" t="s">
        <v>27</v>
      </c>
      <c r="D6082" s="718">
        <v>-1228700</v>
      </c>
      <c r="E6082" s="212">
        <v>45536</v>
      </c>
      <c r="F6082" s="654" t="s">
        <v>109</v>
      </c>
      <c r="G6082" s="201" t="s">
        <v>581</v>
      </c>
      <c r="H6082" s="208"/>
      <c r="I6082" s="208"/>
      <c r="J6082" s="209"/>
      <c r="K6082" s="209"/>
      <c r="L6082" s="209"/>
      <c r="M6082" s="209"/>
      <c r="N6082" s="209"/>
      <c r="O6082" s="209"/>
      <c r="P6082" s="209"/>
      <c r="Q6082" s="209"/>
      <c r="R6082" s="209"/>
      <c r="S6082" s="209"/>
      <c r="T6082" s="209"/>
    </row>
    <row r="6083" spans="1:149" ht="15" hidden="1" customHeight="1">
      <c r="A6083" s="468">
        <v>45547</v>
      </c>
      <c r="B6083" s="208" t="s">
        <v>4642</v>
      </c>
      <c r="C6083" s="208" t="s">
        <v>27</v>
      </c>
      <c r="D6083" s="211">
        <v>-837240</v>
      </c>
      <c r="E6083" s="212">
        <v>45536</v>
      </c>
      <c r="F6083" s="654" t="s">
        <v>109</v>
      </c>
      <c r="G6083" s="208" t="s">
        <v>3529</v>
      </c>
      <c r="H6083" s="208" t="s">
        <v>147</v>
      </c>
      <c r="I6083" s="208"/>
      <c r="J6083" s="209"/>
      <c r="K6083" s="209"/>
      <c r="L6083" s="209"/>
      <c r="M6083" s="209"/>
      <c r="N6083" s="209"/>
      <c r="O6083" s="209"/>
      <c r="P6083" s="209"/>
      <c r="Q6083" s="209"/>
      <c r="R6083" s="209"/>
      <c r="S6083" s="209"/>
      <c r="T6083" s="209"/>
      <c r="U6083" s="451"/>
      <c r="V6083" s="451"/>
      <c r="W6083" s="451"/>
      <c r="X6083" s="451"/>
      <c r="Y6083" s="451"/>
      <c r="Z6083" s="451"/>
      <c r="AA6083" s="451"/>
      <c r="AB6083" s="451"/>
      <c r="AC6083" s="451"/>
      <c r="AD6083" s="451"/>
      <c r="AE6083" s="451"/>
      <c r="AF6083" s="451"/>
      <c r="AG6083" s="451"/>
      <c r="AH6083" s="451"/>
      <c r="AI6083" s="451"/>
      <c r="AJ6083" s="451"/>
      <c r="AK6083" s="451"/>
      <c r="AL6083" s="451"/>
      <c r="AM6083" s="451"/>
      <c r="AN6083" s="451"/>
      <c r="AO6083" s="451"/>
      <c r="AP6083" s="451"/>
      <c r="AQ6083" s="451"/>
      <c r="AR6083" s="451"/>
      <c r="AS6083" s="451"/>
      <c r="AT6083" s="451"/>
      <c r="AU6083" s="451"/>
      <c r="AV6083" s="451"/>
      <c r="AW6083" s="451"/>
      <c r="AX6083" s="451"/>
      <c r="AY6083" s="451"/>
      <c r="AZ6083" s="451"/>
      <c r="BA6083" s="451"/>
      <c r="BB6083" s="451"/>
      <c r="BC6083" s="451"/>
      <c r="BD6083" s="451"/>
      <c r="BE6083" s="451"/>
      <c r="BF6083" s="451"/>
      <c r="BG6083" s="451"/>
      <c r="BH6083" s="451"/>
      <c r="BI6083" s="451"/>
      <c r="BJ6083" s="451"/>
      <c r="BK6083" s="451"/>
      <c r="BL6083" s="451"/>
      <c r="BM6083" s="451"/>
      <c r="BN6083" s="451"/>
      <c r="BO6083" s="451"/>
      <c r="BP6083" s="451"/>
      <c r="BQ6083" s="451"/>
      <c r="BR6083" s="451"/>
      <c r="BS6083" s="451"/>
      <c r="BT6083" s="451"/>
      <c r="BU6083" s="451"/>
      <c r="BV6083" s="451"/>
      <c r="BW6083" s="451"/>
      <c r="BX6083" s="451"/>
      <c r="BY6083" s="451"/>
      <c r="BZ6083" s="451"/>
      <c r="CA6083" s="451"/>
      <c r="CB6083" s="451"/>
      <c r="CC6083" s="451"/>
      <c r="CD6083" s="451"/>
      <c r="CE6083" s="451"/>
      <c r="CF6083" s="451"/>
      <c r="CG6083" s="451"/>
      <c r="CH6083" s="451"/>
      <c r="CI6083" s="451"/>
      <c r="CJ6083" s="451"/>
      <c r="CK6083" s="451"/>
      <c r="CL6083" s="451"/>
      <c r="CM6083" s="451"/>
      <c r="CN6083" s="451"/>
      <c r="CO6083" s="451"/>
      <c r="CP6083" s="451"/>
      <c r="CQ6083" s="451"/>
      <c r="CR6083" s="451"/>
      <c r="CS6083" s="451"/>
      <c r="CT6083" s="451"/>
      <c r="CU6083" s="451"/>
      <c r="CV6083" s="451"/>
      <c r="CW6083" s="451"/>
      <c r="CX6083" s="451"/>
      <c r="CY6083" s="451"/>
      <c r="CZ6083" s="451"/>
      <c r="DA6083" s="451"/>
      <c r="DB6083" s="451"/>
      <c r="DC6083" s="451"/>
      <c r="DD6083" s="451"/>
      <c r="DE6083" s="451"/>
      <c r="DF6083" s="451"/>
      <c r="DG6083" s="451"/>
      <c r="DH6083" s="451"/>
      <c r="DI6083" s="451"/>
      <c r="DJ6083" s="451"/>
      <c r="DK6083" s="451"/>
      <c r="DL6083" s="451"/>
      <c r="DM6083" s="451"/>
      <c r="DN6083" s="451"/>
      <c r="DO6083" s="451"/>
      <c r="DP6083" s="451"/>
      <c r="DQ6083" s="451"/>
      <c r="DR6083" s="451"/>
      <c r="DS6083" s="451"/>
      <c r="DT6083" s="451"/>
      <c r="DU6083" s="451"/>
      <c r="DV6083" s="451"/>
      <c r="DW6083" s="451"/>
      <c r="DX6083" s="451"/>
      <c r="DY6083" s="451"/>
      <c r="DZ6083" s="451"/>
      <c r="EA6083" s="451"/>
      <c r="EB6083" s="451"/>
      <c r="EC6083" s="451"/>
      <c r="ED6083" s="451"/>
      <c r="EE6083" s="451"/>
      <c r="EF6083" s="451"/>
      <c r="EG6083" s="451"/>
      <c r="EH6083" s="451"/>
      <c r="EI6083" s="451"/>
      <c r="EJ6083" s="451"/>
      <c r="EK6083" s="451"/>
      <c r="EL6083" s="451"/>
      <c r="EM6083" s="451"/>
      <c r="EN6083" s="451"/>
      <c r="EO6083" s="451"/>
      <c r="EP6083" s="451"/>
      <c r="EQ6083" s="451"/>
      <c r="ER6083" s="451"/>
      <c r="ES6083" s="451"/>
    </row>
    <row r="6084" spans="1:149" ht="15" hidden="1" customHeight="1">
      <c r="A6084" s="468">
        <v>45547</v>
      </c>
      <c r="B6084" s="208" t="s">
        <v>4644</v>
      </c>
      <c r="C6084" s="208" t="s">
        <v>27</v>
      </c>
      <c r="D6084" s="211">
        <v>-1059070</v>
      </c>
      <c r="E6084" s="212">
        <v>45536</v>
      </c>
      <c r="F6084" s="654" t="s">
        <v>110</v>
      </c>
      <c r="G6084" s="201" t="s">
        <v>1489</v>
      </c>
      <c r="H6084" s="208" t="s">
        <v>147</v>
      </c>
      <c r="I6084" s="208"/>
      <c r="J6084" s="209"/>
      <c r="K6084" s="209"/>
      <c r="L6084" s="209"/>
      <c r="M6084" s="209"/>
      <c r="N6084" s="209"/>
      <c r="O6084" s="209"/>
      <c r="P6084" s="209"/>
      <c r="Q6084" s="209"/>
      <c r="R6084" s="209"/>
      <c r="S6084" s="209"/>
      <c r="T6084" s="209"/>
      <c r="U6084" s="451"/>
      <c r="V6084" s="451"/>
      <c r="W6084" s="451"/>
      <c r="X6084" s="451"/>
      <c r="Y6084" s="451"/>
      <c r="Z6084" s="451"/>
      <c r="AA6084" s="451"/>
      <c r="AB6084" s="451"/>
      <c r="AC6084" s="451"/>
      <c r="AD6084" s="451"/>
      <c r="AE6084" s="451"/>
      <c r="AF6084" s="451"/>
      <c r="AG6084" s="451"/>
      <c r="AH6084" s="451"/>
      <c r="AI6084" s="451"/>
      <c r="AJ6084" s="451"/>
      <c r="AK6084" s="451"/>
      <c r="AL6084" s="451"/>
      <c r="AM6084" s="451"/>
      <c r="AN6084" s="451"/>
      <c r="AO6084" s="451"/>
      <c r="AP6084" s="451"/>
      <c r="AQ6084" s="451"/>
      <c r="AR6084" s="451"/>
      <c r="AS6084" s="451"/>
      <c r="AT6084" s="451"/>
      <c r="AU6084" s="451"/>
      <c r="AV6084" s="451"/>
      <c r="AW6084" s="451"/>
      <c r="AX6084" s="451"/>
      <c r="AY6084" s="451"/>
      <c r="AZ6084" s="451"/>
      <c r="BA6084" s="451"/>
      <c r="BB6084" s="451"/>
      <c r="BC6084" s="451"/>
      <c r="BD6084" s="451"/>
      <c r="BE6084" s="451"/>
      <c r="BF6084" s="451"/>
      <c r="BG6084" s="451"/>
      <c r="BH6084" s="451"/>
      <c r="BI6084" s="451"/>
      <c r="BJ6084" s="451"/>
      <c r="BK6084" s="451"/>
      <c r="BL6084" s="451"/>
      <c r="BM6084" s="451"/>
      <c r="BN6084" s="451"/>
      <c r="BO6084" s="451"/>
      <c r="BP6084" s="451"/>
      <c r="BQ6084" s="451"/>
      <c r="BR6084" s="451"/>
      <c r="BS6084" s="451"/>
      <c r="BT6084" s="451"/>
      <c r="BU6084" s="451"/>
      <c r="BV6084" s="451"/>
      <c r="BW6084" s="451"/>
      <c r="BX6084" s="451"/>
      <c r="BY6084" s="451"/>
      <c r="BZ6084" s="451"/>
      <c r="CA6084" s="451"/>
      <c r="CB6084" s="451"/>
      <c r="CC6084" s="451"/>
      <c r="CD6084" s="451"/>
      <c r="CE6084" s="451"/>
      <c r="CF6084" s="451"/>
      <c r="CG6084" s="451"/>
      <c r="CH6084" s="451"/>
      <c r="CI6084" s="451"/>
      <c r="CJ6084" s="451"/>
      <c r="CK6084" s="451"/>
      <c r="CL6084" s="451"/>
      <c r="CM6084" s="451"/>
      <c r="CN6084" s="451"/>
      <c r="CO6084" s="451"/>
      <c r="CP6084" s="451"/>
      <c r="CQ6084" s="451"/>
      <c r="CR6084" s="451"/>
      <c r="CS6084" s="451"/>
      <c r="CT6084" s="451"/>
      <c r="CU6084" s="451"/>
      <c r="CV6084" s="451"/>
      <c r="CW6084" s="451"/>
      <c r="CX6084" s="451"/>
      <c r="CY6084" s="451"/>
      <c r="CZ6084" s="451"/>
      <c r="DA6084" s="451"/>
      <c r="DB6084" s="451"/>
      <c r="DC6084" s="451"/>
      <c r="DD6084" s="451"/>
      <c r="DE6084" s="451"/>
      <c r="DF6084" s="451"/>
      <c r="DG6084" s="451"/>
      <c r="DH6084" s="451"/>
      <c r="DI6084" s="451"/>
      <c r="DJ6084" s="451"/>
      <c r="DK6084" s="451"/>
      <c r="DL6084" s="451"/>
      <c r="DM6084" s="451"/>
      <c r="DN6084" s="451"/>
      <c r="DO6084" s="451"/>
      <c r="DP6084" s="451"/>
      <c r="DQ6084" s="451"/>
      <c r="DR6084" s="451"/>
      <c r="DS6084" s="451"/>
      <c r="DT6084" s="451"/>
      <c r="DU6084" s="451"/>
      <c r="DV6084" s="451"/>
      <c r="DW6084" s="451"/>
      <c r="DX6084" s="451"/>
      <c r="DY6084" s="451"/>
      <c r="DZ6084" s="451"/>
      <c r="EA6084" s="451"/>
      <c r="EB6084" s="451"/>
      <c r="EC6084" s="451"/>
      <c r="ED6084" s="451"/>
      <c r="EE6084" s="451"/>
      <c r="EF6084" s="451"/>
      <c r="EG6084" s="451"/>
      <c r="EH6084" s="451"/>
      <c r="EI6084" s="451"/>
      <c r="EJ6084" s="451"/>
      <c r="EK6084" s="451"/>
      <c r="EL6084" s="451"/>
      <c r="EM6084" s="451"/>
      <c r="EN6084" s="451"/>
      <c r="EO6084" s="451"/>
      <c r="EP6084" s="451"/>
      <c r="EQ6084" s="451"/>
      <c r="ER6084" s="451"/>
      <c r="ES6084" s="451"/>
    </row>
    <row r="6085" spans="1:149" ht="15" hidden="1" customHeight="1">
      <c r="A6085" s="468">
        <v>45547</v>
      </c>
      <c r="B6085" s="208" t="s">
        <v>4648</v>
      </c>
      <c r="C6085" s="208" t="s">
        <v>27</v>
      </c>
      <c r="D6085" s="211">
        <v>-699240</v>
      </c>
      <c r="E6085" s="212">
        <v>45536</v>
      </c>
      <c r="F6085" s="654" t="s">
        <v>130</v>
      </c>
      <c r="G6085" s="654" t="s">
        <v>130</v>
      </c>
      <c r="H6085" s="208" t="s">
        <v>182</v>
      </c>
      <c r="I6085" s="208"/>
      <c r="J6085" s="209"/>
      <c r="K6085" s="209"/>
      <c r="L6085" s="209"/>
      <c r="M6085" s="209"/>
      <c r="N6085" s="209"/>
      <c r="O6085" s="209"/>
      <c r="P6085" s="209"/>
      <c r="Q6085" s="209"/>
      <c r="R6085" s="209"/>
      <c r="S6085" s="209"/>
      <c r="T6085" s="209"/>
      <c r="U6085" s="451"/>
      <c r="V6085" s="451"/>
      <c r="W6085" s="451"/>
      <c r="X6085" s="451"/>
      <c r="Y6085" s="451"/>
      <c r="Z6085" s="451"/>
      <c r="AA6085" s="451"/>
      <c r="AB6085" s="451"/>
      <c r="AC6085" s="451"/>
      <c r="AD6085" s="451"/>
      <c r="AE6085" s="451"/>
      <c r="AF6085" s="451"/>
      <c r="AG6085" s="451"/>
      <c r="AH6085" s="451"/>
      <c r="AI6085" s="451"/>
      <c r="AJ6085" s="451"/>
      <c r="AK6085" s="451"/>
      <c r="AL6085" s="451"/>
      <c r="AM6085" s="451"/>
      <c r="AN6085" s="451"/>
      <c r="AO6085" s="451"/>
      <c r="AP6085" s="451"/>
      <c r="AQ6085" s="451"/>
      <c r="AR6085" s="451"/>
      <c r="AS6085" s="451"/>
      <c r="AT6085" s="451"/>
      <c r="AU6085" s="451"/>
      <c r="AV6085" s="451"/>
      <c r="AW6085" s="451"/>
      <c r="AX6085" s="451"/>
      <c r="AY6085" s="451"/>
      <c r="AZ6085" s="451"/>
      <c r="BA6085" s="451"/>
      <c r="BB6085" s="451"/>
      <c r="BC6085" s="451"/>
      <c r="BD6085" s="451"/>
      <c r="BE6085" s="451"/>
      <c r="BF6085" s="451"/>
      <c r="BG6085" s="451"/>
      <c r="BH6085" s="451"/>
      <c r="BI6085" s="451"/>
      <c r="BJ6085" s="451"/>
      <c r="BK6085" s="451"/>
      <c r="BL6085" s="451"/>
      <c r="BM6085" s="451"/>
      <c r="BN6085" s="451"/>
      <c r="BO6085" s="451"/>
      <c r="BP6085" s="451"/>
      <c r="BQ6085" s="451"/>
      <c r="BR6085" s="451"/>
      <c r="BS6085" s="451"/>
      <c r="BT6085" s="451"/>
      <c r="BU6085" s="451"/>
      <c r="BV6085" s="451"/>
      <c r="BW6085" s="451"/>
      <c r="BX6085" s="451"/>
      <c r="BY6085" s="451"/>
      <c r="BZ6085" s="451"/>
      <c r="CA6085" s="451"/>
      <c r="CB6085" s="451"/>
      <c r="CC6085" s="451"/>
      <c r="CD6085" s="451"/>
      <c r="CE6085" s="451"/>
      <c r="CF6085" s="451"/>
      <c r="CG6085" s="451"/>
      <c r="CH6085" s="451"/>
      <c r="CI6085" s="451"/>
      <c r="CJ6085" s="451"/>
      <c r="CK6085" s="451"/>
      <c r="CL6085" s="451"/>
      <c r="CM6085" s="451"/>
      <c r="CN6085" s="451"/>
      <c r="CO6085" s="451"/>
      <c r="CP6085" s="451"/>
      <c r="CQ6085" s="451"/>
      <c r="CR6085" s="451"/>
      <c r="CS6085" s="451"/>
      <c r="CT6085" s="451"/>
      <c r="CU6085" s="451"/>
      <c r="CV6085" s="451"/>
      <c r="CW6085" s="451"/>
      <c r="CX6085" s="451"/>
      <c r="CY6085" s="451"/>
      <c r="CZ6085" s="451"/>
      <c r="DA6085" s="451"/>
      <c r="DB6085" s="451"/>
      <c r="DC6085" s="451"/>
      <c r="DD6085" s="451"/>
      <c r="DE6085" s="451"/>
      <c r="DF6085" s="451"/>
      <c r="DG6085" s="451"/>
      <c r="DH6085" s="451"/>
      <c r="DI6085" s="451"/>
      <c r="DJ6085" s="451"/>
      <c r="DK6085" s="451"/>
      <c r="DL6085" s="451"/>
      <c r="DM6085" s="451"/>
      <c r="DN6085" s="451"/>
      <c r="DO6085" s="451"/>
      <c r="DP6085" s="451"/>
      <c r="DQ6085" s="451"/>
      <c r="DR6085" s="451"/>
      <c r="DS6085" s="451"/>
      <c r="DT6085" s="451"/>
      <c r="DU6085" s="451"/>
      <c r="DV6085" s="451"/>
      <c r="DW6085" s="451"/>
      <c r="DX6085" s="451"/>
      <c r="DY6085" s="451"/>
      <c r="DZ6085" s="451"/>
      <c r="EA6085" s="451"/>
      <c r="EB6085" s="451"/>
      <c r="EC6085" s="451"/>
      <c r="ED6085" s="451"/>
      <c r="EE6085" s="451"/>
      <c r="EF6085" s="451"/>
      <c r="EG6085" s="451"/>
      <c r="EH6085" s="451"/>
      <c r="EI6085" s="451"/>
      <c r="EJ6085" s="451"/>
      <c r="EK6085" s="451"/>
      <c r="EL6085" s="451"/>
      <c r="EM6085" s="451"/>
      <c r="EN6085" s="451"/>
      <c r="EO6085" s="451"/>
      <c r="EP6085" s="451"/>
      <c r="EQ6085" s="451"/>
      <c r="ER6085" s="451"/>
      <c r="ES6085" s="451"/>
    </row>
    <row r="6086" spans="1:149" ht="15" hidden="1" customHeight="1">
      <c r="A6086" s="468">
        <v>45547</v>
      </c>
      <c r="B6086" s="208" t="s">
        <v>4649</v>
      </c>
      <c r="C6086" s="208" t="s">
        <v>27</v>
      </c>
      <c r="D6086" s="211">
        <v>-679000</v>
      </c>
      <c r="E6086" s="212">
        <v>45536</v>
      </c>
      <c r="F6086" s="654" t="s">
        <v>110</v>
      </c>
      <c r="G6086" s="201" t="s">
        <v>1489</v>
      </c>
      <c r="H6086" s="208" t="s">
        <v>147</v>
      </c>
      <c r="I6086" s="208"/>
      <c r="J6086" s="209"/>
      <c r="K6086" s="209"/>
      <c r="L6086" s="209"/>
      <c r="M6086" s="209"/>
      <c r="N6086" s="209"/>
      <c r="O6086" s="209"/>
      <c r="P6086" s="209"/>
      <c r="Q6086" s="209"/>
      <c r="R6086" s="209"/>
      <c r="S6086" s="209"/>
      <c r="T6086" s="209"/>
      <c r="U6086" s="451"/>
      <c r="V6086" s="451"/>
      <c r="W6086" s="451"/>
      <c r="X6086" s="451"/>
      <c r="Y6086" s="451"/>
      <c r="Z6086" s="451"/>
      <c r="AA6086" s="451"/>
      <c r="AB6086" s="451"/>
      <c r="AC6086" s="451"/>
      <c r="AD6086" s="451"/>
      <c r="AE6086" s="451"/>
      <c r="AF6086" s="451"/>
      <c r="AG6086" s="451"/>
      <c r="AH6086" s="451"/>
      <c r="AI6086" s="451"/>
      <c r="AJ6086" s="451"/>
      <c r="AK6086" s="451"/>
      <c r="AL6086" s="451"/>
      <c r="AM6086" s="451"/>
      <c r="AN6086" s="451"/>
      <c r="AO6086" s="451"/>
      <c r="AP6086" s="451"/>
      <c r="AQ6086" s="451"/>
      <c r="AR6086" s="451"/>
      <c r="AS6086" s="451"/>
      <c r="AT6086" s="451"/>
      <c r="AU6086" s="451"/>
      <c r="AV6086" s="451"/>
      <c r="AW6086" s="451"/>
      <c r="AX6086" s="451"/>
      <c r="AY6086" s="451"/>
      <c r="AZ6086" s="451"/>
      <c r="BA6086" s="451"/>
      <c r="BB6086" s="451"/>
      <c r="BC6086" s="451"/>
      <c r="BD6086" s="451"/>
      <c r="BE6086" s="451"/>
      <c r="BF6086" s="451"/>
      <c r="BG6086" s="451"/>
      <c r="BH6086" s="451"/>
      <c r="BI6086" s="451"/>
      <c r="BJ6086" s="451"/>
      <c r="BK6086" s="451"/>
      <c r="BL6086" s="451"/>
      <c r="BM6086" s="451"/>
      <c r="BN6086" s="451"/>
      <c r="BO6086" s="451"/>
      <c r="BP6086" s="451"/>
      <c r="BQ6086" s="451"/>
      <c r="BR6086" s="451"/>
      <c r="BS6086" s="451"/>
      <c r="BT6086" s="451"/>
      <c r="BU6086" s="451"/>
      <c r="BV6086" s="451"/>
      <c r="BW6086" s="451"/>
      <c r="BX6086" s="451"/>
      <c r="BY6086" s="451"/>
      <c r="BZ6086" s="451"/>
      <c r="CA6086" s="451"/>
      <c r="CB6086" s="451"/>
      <c r="CC6086" s="451"/>
      <c r="CD6086" s="451"/>
      <c r="CE6086" s="451"/>
      <c r="CF6086" s="451"/>
      <c r="CG6086" s="451"/>
      <c r="CH6086" s="451"/>
      <c r="CI6086" s="451"/>
      <c r="CJ6086" s="451"/>
      <c r="CK6086" s="451"/>
      <c r="CL6086" s="451"/>
      <c r="CM6086" s="451"/>
      <c r="CN6086" s="451"/>
      <c r="CO6086" s="451"/>
      <c r="CP6086" s="451"/>
      <c r="CQ6086" s="451"/>
      <c r="CR6086" s="451"/>
      <c r="CS6086" s="451"/>
      <c r="CT6086" s="451"/>
      <c r="CU6086" s="451"/>
      <c r="CV6086" s="451"/>
      <c r="CW6086" s="451"/>
      <c r="CX6086" s="451"/>
      <c r="CY6086" s="451"/>
      <c r="CZ6086" s="451"/>
      <c r="DA6086" s="451"/>
      <c r="DB6086" s="451"/>
      <c r="DC6086" s="451"/>
      <c r="DD6086" s="451"/>
      <c r="DE6086" s="451"/>
      <c r="DF6086" s="451"/>
      <c r="DG6086" s="451"/>
      <c r="DH6086" s="451"/>
      <c r="DI6086" s="451"/>
      <c r="DJ6086" s="451"/>
      <c r="DK6086" s="451"/>
      <c r="DL6086" s="451"/>
      <c r="DM6086" s="451"/>
      <c r="DN6086" s="451"/>
      <c r="DO6086" s="451"/>
      <c r="DP6086" s="451"/>
      <c r="DQ6086" s="451"/>
      <c r="DR6086" s="451"/>
      <c r="DS6086" s="451"/>
      <c r="DT6086" s="451"/>
      <c r="DU6086" s="451"/>
      <c r="DV6086" s="451"/>
      <c r="DW6086" s="451"/>
      <c r="DX6086" s="451"/>
      <c r="DY6086" s="451"/>
      <c r="DZ6086" s="451"/>
      <c r="EA6086" s="451"/>
      <c r="EB6086" s="451"/>
      <c r="EC6086" s="451"/>
      <c r="ED6086" s="451"/>
      <c r="EE6086" s="451"/>
      <c r="EF6086" s="451"/>
      <c r="EG6086" s="451"/>
      <c r="EH6086" s="451"/>
      <c r="EI6086" s="451"/>
      <c r="EJ6086" s="451"/>
      <c r="EK6086" s="451"/>
      <c r="EL6086" s="451"/>
      <c r="EM6086" s="451"/>
      <c r="EN6086" s="451"/>
      <c r="EO6086" s="451"/>
      <c r="EP6086" s="451"/>
      <c r="EQ6086" s="451"/>
      <c r="ER6086" s="451"/>
      <c r="ES6086" s="451"/>
    </row>
    <row r="6087" spans="1:149" ht="15" hidden="1" customHeight="1">
      <c r="A6087" s="468">
        <v>45547</v>
      </c>
      <c r="B6087" s="208" t="s">
        <v>4650</v>
      </c>
      <c r="C6087" s="208" t="s">
        <v>27</v>
      </c>
      <c r="D6087" s="211">
        <v>-293800</v>
      </c>
      <c r="E6087" s="212">
        <v>45536</v>
      </c>
      <c r="F6087" s="654" t="s">
        <v>110</v>
      </c>
      <c r="G6087" s="201" t="s">
        <v>1489</v>
      </c>
      <c r="H6087" s="208" t="s">
        <v>147</v>
      </c>
      <c r="I6087" s="208"/>
      <c r="J6087" s="209"/>
      <c r="K6087" s="209"/>
      <c r="L6087" s="209"/>
      <c r="M6087" s="209"/>
      <c r="N6087" s="209"/>
      <c r="O6087" s="209"/>
      <c r="P6087" s="209"/>
      <c r="Q6087" s="209"/>
      <c r="R6087" s="209"/>
      <c r="S6087" s="209"/>
      <c r="T6087" s="209"/>
      <c r="U6087" s="451"/>
      <c r="V6087" s="451"/>
      <c r="W6087" s="451"/>
      <c r="X6087" s="451"/>
      <c r="Y6087" s="451"/>
      <c r="Z6087" s="451"/>
      <c r="AA6087" s="451"/>
      <c r="AB6087" s="451"/>
      <c r="AC6087" s="451"/>
      <c r="AD6087" s="451"/>
      <c r="AE6087" s="451"/>
      <c r="AF6087" s="451"/>
      <c r="AG6087" s="451"/>
      <c r="AH6087" s="451"/>
      <c r="AI6087" s="451"/>
      <c r="AJ6087" s="451"/>
      <c r="AK6087" s="451"/>
      <c r="AL6087" s="451"/>
      <c r="AM6087" s="451"/>
      <c r="AN6087" s="451"/>
      <c r="AO6087" s="451"/>
      <c r="AP6087" s="451"/>
      <c r="AQ6087" s="451"/>
      <c r="AR6087" s="451"/>
      <c r="AS6087" s="451"/>
      <c r="AT6087" s="451"/>
      <c r="AU6087" s="451"/>
      <c r="AV6087" s="451"/>
      <c r="AW6087" s="451"/>
      <c r="AX6087" s="451"/>
      <c r="AY6087" s="451"/>
      <c r="AZ6087" s="451"/>
      <c r="BA6087" s="451"/>
      <c r="BB6087" s="451"/>
      <c r="BC6087" s="451"/>
      <c r="BD6087" s="451"/>
      <c r="BE6087" s="451"/>
      <c r="BF6087" s="451"/>
      <c r="BG6087" s="451"/>
      <c r="BH6087" s="451"/>
      <c r="BI6087" s="451"/>
      <c r="BJ6087" s="451"/>
      <c r="BK6087" s="451"/>
      <c r="BL6087" s="451"/>
      <c r="BM6087" s="451"/>
      <c r="BN6087" s="451"/>
      <c r="BO6087" s="451"/>
      <c r="BP6087" s="451"/>
      <c r="BQ6087" s="451"/>
      <c r="BR6087" s="451"/>
      <c r="BS6087" s="451"/>
      <c r="BT6087" s="451"/>
      <c r="BU6087" s="451"/>
      <c r="BV6087" s="451"/>
      <c r="BW6087" s="451"/>
      <c r="BX6087" s="451"/>
      <c r="BY6087" s="451"/>
      <c r="BZ6087" s="451"/>
      <c r="CA6087" s="451"/>
      <c r="CB6087" s="451"/>
      <c r="CC6087" s="451"/>
      <c r="CD6087" s="451"/>
      <c r="CE6087" s="451"/>
      <c r="CF6087" s="451"/>
      <c r="CG6087" s="451"/>
      <c r="CH6087" s="451"/>
      <c r="CI6087" s="451"/>
      <c r="CJ6087" s="451"/>
      <c r="CK6087" s="451"/>
      <c r="CL6087" s="451"/>
      <c r="CM6087" s="451"/>
      <c r="CN6087" s="451"/>
      <c r="CO6087" s="451"/>
      <c r="CP6087" s="451"/>
      <c r="CQ6087" s="451"/>
      <c r="CR6087" s="451"/>
      <c r="CS6087" s="451"/>
      <c r="CT6087" s="451"/>
      <c r="CU6087" s="451"/>
      <c r="CV6087" s="451"/>
      <c r="CW6087" s="451"/>
      <c r="CX6087" s="451"/>
      <c r="CY6087" s="451"/>
      <c r="CZ6087" s="451"/>
      <c r="DA6087" s="451"/>
      <c r="DB6087" s="451"/>
      <c r="DC6087" s="451"/>
      <c r="DD6087" s="451"/>
      <c r="DE6087" s="451"/>
      <c r="DF6087" s="451"/>
      <c r="DG6087" s="451"/>
      <c r="DH6087" s="451"/>
      <c r="DI6087" s="451"/>
      <c r="DJ6087" s="451"/>
      <c r="DK6087" s="451"/>
      <c r="DL6087" s="451"/>
      <c r="DM6087" s="451"/>
      <c r="DN6087" s="451"/>
      <c r="DO6087" s="451"/>
      <c r="DP6087" s="451"/>
      <c r="DQ6087" s="451"/>
      <c r="DR6087" s="451"/>
      <c r="DS6087" s="451"/>
      <c r="DT6087" s="451"/>
      <c r="DU6087" s="451"/>
      <c r="DV6087" s="451"/>
      <c r="DW6087" s="451"/>
      <c r="DX6087" s="451"/>
      <c r="DY6087" s="451"/>
      <c r="DZ6087" s="451"/>
      <c r="EA6087" s="451"/>
      <c r="EB6087" s="451"/>
      <c r="EC6087" s="451"/>
      <c r="ED6087" s="451"/>
      <c r="EE6087" s="451"/>
      <c r="EF6087" s="451"/>
      <c r="EG6087" s="451"/>
      <c r="EH6087" s="451"/>
      <c r="EI6087" s="451"/>
      <c r="EJ6087" s="451"/>
      <c r="EK6087" s="451"/>
      <c r="EL6087" s="451"/>
      <c r="EM6087" s="451"/>
      <c r="EN6087" s="451"/>
      <c r="EO6087" s="451"/>
      <c r="EP6087" s="451"/>
      <c r="EQ6087" s="451"/>
      <c r="ER6087" s="451"/>
      <c r="ES6087" s="451"/>
    </row>
    <row r="6088" spans="1:149" ht="15" hidden="1" customHeight="1">
      <c r="A6088" s="468">
        <v>45547</v>
      </c>
      <c r="B6088" s="208" t="s">
        <v>4650</v>
      </c>
      <c r="C6088" s="208" t="s">
        <v>27</v>
      </c>
      <c r="D6088" s="211">
        <v>-293800</v>
      </c>
      <c r="E6088" s="212">
        <v>45536</v>
      </c>
      <c r="F6088" s="208" t="s">
        <v>110</v>
      </c>
      <c r="G6088" s="208" t="s">
        <v>4399</v>
      </c>
      <c r="H6088" s="208" t="s">
        <v>147</v>
      </c>
      <c r="I6088" s="208"/>
      <c r="J6088" s="209"/>
      <c r="K6088" s="209"/>
      <c r="L6088" s="209"/>
      <c r="M6088" s="209"/>
      <c r="N6088" s="209"/>
      <c r="O6088" s="209"/>
      <c r="P6088" s="209"/>
      <c r="Q6088" s="209"/>
      <c r="R6088" s="209"/>
      <c r="S6088" s="209"/>
      <c r="T6088" s="209"/>
      <c r="U6088" s="451"/>
      <c r="V6088" s="451"/>
      <c r="W6088" s="451"/>
      <c r="X6088" s="451"/>
      <c r="Y6088" s="451"/>
      <c r="Z6088" s="451"/>
      <c r="AA6088" s="451"/>
      <c r="AB6088" s="451"/>
      <c r="AC6088" s="451"/>
      <c r="AD6088" s="451"/>
      <c r="AE6088" s="451"/>
      <c r="AF6088" s="451"/>
      <c r="AG6088" s="451"/>
      <c r="AH6088" s="451"/>
      <c r="AI6088" s="451"/>
      <c r="AJ6088" s="451"/>
      <c r="AK6088" s="451"/>
      <c r="AL6088" s="451"/>
      <c r="AM6088" s="451"/>
      <c r="AN6088" s="451"/>
      <c r="AO6088" s="451"/>
      <c r="AP6088" s="451"/>
      <c r="AQ6088" s="451"/>
      <c r="AR6088" s="451"/>
      <c r="AS6088" s="451"/>
      <c r="AT6088" s="451"/>
      <c r="AU6088" s="451"/>
      <c r="AV6088" s="451"/>
      <c r="AW6088" s="451"/>
      <c r="AX6088" s="451"/>
      <c r="AY6088" s="451"/>
      <c r="AZ6088" s="451"/>
      <c r="BA6088" s="451"/>
      <c r="BB6088" s="451"/>
      <c r="BC6088" s="451"/>
      <c r="BD6088" s="451"/>
      <c r="BE6088" s="451"/>
      <c r="BF6088" s="451"/>
      <c r="BG6088" s="451"/>
      <c r="BH6088" s="451"/>
      <c r="BI6088" s="451"/>
      <c r="BJ6088" s="451"/>
      <c r="BK6088" s="451"/>
      <c r="BL6088" s="451"/>
      <c r="BM6088" s="451"/>
      <c r="BN6088" s="451"/>
      <c r="BO6088" s="451"/>
      <c r="BP6088" s="451"/>
      <c r="BQ6088" s="451"/>
      <c r="BR6088" s="451"/>
      <c r="BS6088" s="451"/>
      <c r="BT6088" s="451"/>
      <c r="BU6088" s="451"/>
      <c r="BV6088" s="451"/>
      <c r="BW6088" s="451"/>
      <c r="BX6088" s="451"/>
      <c r="BY6088" s="451"/>
      <c r="BZ6088" s="451"/>
      <c r="CA6088" s="451"/>
      <c r="CB6088" s="451"/>
      <c r="CC6088" s="451"/>
      <c r="CD6088" s="451"/>
      <c r="CE6088" s="451"/>
      <c r="CF6088" s="451"/>
      <c r="CG6088" s="451"/>
      <c r="CH6088" s="451"/>
      <c r="CI6088" s="451"/>
      <c r="CJ6088" s="451"/>
      <c r="CK6088" s="451"/>
      <c r="CL6088" s="451"/>
      <c r="CM6088" s="451"/>
      <c r="CN6088" s="451"/>
      <c r="CO6088" s="451"/>
      <c r="CP6088" s="451"/>
      <c r="CQ6088" s="451"/>
      <c r="CR6088" s="451"/>
      <c r="CS6088" s="451"/>
      <c r="CT6088" s="451"/>
      <c r="CU6088" s="451"/>
      <c r="CV6088" s="451"/>
      <c r="CW6088" s="451"/>
      <c r="CX6088" s="451"/>
      <c r="CY6088" s="451"/>
      <c r="CZ6088" s="451"/>
      <c r="DA6088" s="451"/>
      <c r="DB6088" s="451"/>
      <c r="DC6088" s="451"/>
      <c r="DD6088" s="451"/>
      <c r="DE6088" s="451"/>
      <c r="DF6088" s="451"/>
      <c r="DG6088" s="451"/>
      <c r="DH6088" s="451"/>
      <c r="DI6088" s="451"/>
      <c r="DJ6088" s="451"/>
      <c r="DK6088" s="451"/>
      <c r="DL6088" s="451"/>
      <c r="DM6088" s="451"/>
      <c r="DN6088" s="451"/>
      <c r="DO6088" s="451"/>
      <c r="DP6088" s="451"/>
      <c r="DQ6088" s="451"/>
      <c r="DR6088" s="451"/>
      <c r="DS6088" s="451"/>
      <c r="DT6088" s="451"/>
      <c r="DU6088" s="451"/>
      <c r="DV6088" s="451"/>
      <c r="DW6088" s="451"/>
      <c r="DX6088" s="451"/>
      <c r="DY6088" s="451"/>
      <c r="DZ6088" s="451"/>
      <c r="EA6088" s="451"/>
      <c r="EB6088" s="451"/>
      <c r="EC6088" s="451"/>
      <c r="ED6088" s="451"/>
      <c r="EE6088" s="451"/>
      <c r="EF6088" s="451"/>
      <c r="EG6088" s="451"/>
      <c r="EH6088" s="451"/>
      <c r="EI6088" s="451"/>
      <c r="EJ6088" s="451"/>
      <c r="EK6088" s="451"/>
      <c r="EL6088" s="451"/>
      <c r="EM6088" s="451"/>
      <c r="EN6088" s="451"/>
      <c r="EO6088" s="451"/>
      <c r="EP6088" s="451"/>
      <c r="EQ6088" s="451"/>
      <c r="ER6088" s="451"/>
      <c r="ES6088" s="451"/>
    </row>
    <row r="6089" spans="1:149" s="451" customFormat="1" ht="15" hidden="1" customHeight="1">
      <c r="A6089" s="468">
        <v>45547</v>
      </c>
      <c r="B6089" s="208" t="s">
        <v>4650</v>
      </c>
      <c r="C6089" s="208" t="s">
        <v>27</v>
      </c>
      <c r="D6089" s="211">
        <v>-293800</v>
      </c>
      <c r="E6089" s="212">
        <v>45536</v>
      </c>
      <c r="F6089" s="654" t="s">
        <v>109</v>
      </c>
      <c r="G6089" s="208" t="s">
        <v>3529</v>
      </c>
      <c r="H6089" s="208" t="s">
        <v>147</v>
      </c>
      <c r="I6089" s="208"/>
      <c r="J6089" s="209"/>
      <c r="K6089" s="209"/>
      <c r="L6089" s="209"/>
      <c r="M6089" s="209"/>
      <c r="N6089" s="209"/>
      <c r="O6089" s="209"/>
      <c r="P6089" s="209"/>
      <c r="Q6089" s="209"/>
      <c r="R6089" s="209"/>
      <c r="S6089" s="209"/>
      <c r="T6089" s="209"/>
    </row>
    <row r="6090" spans="1:149" ht="15" hidden="1" customHeight="1">
      <c r="A6090" s="468">
        <v>45547</v>
      </c>
      <c r="B6090" s="208" t="s">
        <v>4651</v>
      </c>
      <c r="C6090" s="208" t="s">
        <v>27</v>
      </c>
      <c r="D6090" s="211">
        <v>-756740</v>
      </c>
      <c r="E6090" s="212">
        <v>45536</v>
      </c>
      <c r="F6090" s="654" t="s">
        <v>130</v>
      </c>
      <c r="G6090" s="654" t="s">
        <v>130</v>
      </c>
      <c r="H6090" s="208" t="s">
        <v>182</v>
      </c>
      <c r="I6090" s="208"/>
      <c r="J6090" s="209"/>
      <c r="K6090" s="209"/>
      <c r="L6090" s="209"/>
      <c r="M6090" s="209"/>
      <c r="N6090" s="209"/>
      <c r="O6090" s="209"/>
      <c r="P6090" s="209"/>
      <c r="Q6090" s="209"/>
      <c r="R6090" s="209"/>
      <c r="S6090" s="209"/>
      <c r="T6090" s="209"/>
      <c r="U6090" s="451"/>
      <c r="V6090" s="451"/>
      <c r="W6090" s="451"/>
      <c r="X6090" s="451"/>
      <c r="Y6090" s="451"/>
      <c r="Z6090" s="451"/>
      <c r="AA6090" s="451"/>
      <c r="AB6090" s="451"/>
      <c r="AC6090" s="451"/>
      <c r="AD6090" s="451"/>
      <c r="AE6090" s="451"/>
      <c r="AF6090" s="451"/>
      <c r="AG6090" s="451"/>
      <c r="AH6090" s="451"/>
      <c r="AI6090" s="451"/>
      <c r="AJ6090" s="451"/>
      <c r="AK6090" s="451"/>
      <c r="AL6090" s="451"/>
      <c r="AM6090" s="451"/>
      <c r="AN6090" s="451"/>
      <c r="AO6090" s="451"/>
      <c r="AP6090" s="451"/>
      <c r="AQ6090" s="451"/>
      <c r="AR6090" s="451"/>
      <c r="AS6090" s="451"/>
      <c r="AT6090" s="451"/>
      <c r="AU6090" s="451"/>
      <c r="AV6090" s="451"/>
      <c r="AW6090" s="451"/>
      <c r="AX6090" s="451"/>
      <c r="AY6090" s="451"/>
      <c r="AZ6090" s="451"/>
      <c r="BA6090" s="451"/>
      <c r="BB6090" s="451"/>
      <c r="BC6090" s="451"/>
      <c r="BD6090" s="451"/>
      <c r="BE6090" s="451"/>
      <c r="BF6090" s="451"/>
      <c r="BG6090" s="451"/>
      <c r="BH6090" s="451"/>
      <c r="BI6090" s="451"/>
      <c r="BJ6090" s="451"/>
      <c r="BK6090" s="451"/>
      <c r="BL6090" s="451"/>
      <c r="BM6090" s="451"/>
      <c r="BN6090" s="451"/>
      <c r="BO6090" s="451"/>
      <c r="BP6090" s="451"/>
      <c r="BQ6090" s="451"/>
      <c r="BR6090" s="451"/>
      <c r="BS6090" s="451"/>
      <c r="BT6090" s="451"/>
      <c r="BU6090" s="451"/>
      <c r="BV6090" s="451"/>
      <c r="BW6090" s="451"/>
      <c r="BX6090" s="451"/>
      <c r="BY6090" s="451"/>
      <c r="BZ6090" s="451"/>
      <c r="CA6090" s="451"/>
      <c r="CB6090" s="451"/>
      <c r="CC6090" s="451"/>
      <c r="CD6090" s="451"/>
      <c r="CE6090" s="451"/>
      <c r="CF6090" s="451"/>
      <c r="CG6090" s="451"/>
      <c r="CH6090" s="451"/>
      <c r="CI6090" s="451"/>
      <c r="CJ6090" s="451"/>
      <c r="CK6090" s="451"/>
      <c r="CL6090" s="451"/>
      <c r="CM6090" s="451"/>
      <c r="CN6090" s="451"/>
      <c r="CO6090" s="451"/>
      <c r="CP6090" s="451"/>
      <c r="CQ6090" s="451"/>
      <c r="CR6090" s="451"/>
      <c r="CS6090" s="451"/>
      <c r="CT6090" s="451"/>
      <c r="CU6090" s="451"/>
      <c r="CV6090" s="451"/>
      <c r="CW6090" s="451"/>
      <c r="CX6090" s="451"/>
      <c r="CY6090" s="451"/>
      <c r="CZ6090" s="451"/>
      <c r="DA6090" s="451"/>
      <c r="DB6090" s="451"/>
      <c r="DC6090" s="451"/>
      <c r="DD6090" s="451"/>
      <c r="DE6090" s="451"/>
      <c r="DF6090" s="451"/>
      <c r="DG6090" s="451"/>
      <c r="DH6090" s="451"/>
      <c r="DI6090" s="451"/>
      <c r="DJ6090" s="451"/>
      <c r="DK6090" s="451"/>
      <c r="DL6090" s="451"/>
      <c r="DM6090" s="451"/>
      <c r="DN6090" s="451"/>
      <c r="DO6090" s="451"/>
      <c r="DP6090" s="451"/>
      <c r="DQ6090" s="451"/>
      <c r="DR6090" s="451"/>
      <c r="DS6090" s="451"/>
      <c r="DT6090" s="451"/>
      <c r="DU6090" s="451"/>
      <c r="DV6090" s="451"/>
      <c r="DW6090" s="451"/>
      <c r="DX6090" s="451"/>
      <c r="DY6090" s="451"/>
      <c r="DZ6090" s="451"/>
      <c r="EA6090" s="451"/>
      <c r="EB6090" s="451"/>
      <c r="EC6090" s="451"/>
      <c r="ED6090" s="451"/>
      <c r="EE6090" s="451"/>
      <c r="EF6090" s="451"/>
      <c r="EG6090" s="451"/>
      <c r="EH6090" s="451"/>
      <c r="EI6090" s="451"/>
      <c r="EJ6090" s="451"/>
      <c r="EK6090" s="451"/>
      <c r="EL6090" s="451"/>
      <c r="EM6090" s="451"/>
      <c r="EN6090" s="451"/>
      <c r="EO6090" s="451"/>
      <c r="EP6090" s="451"/>
      <c r="EQ6090" s="451"/>
      <c r="ER6090" s="451"/>
      <c r="ES6090" s="451"/>
    </row>
    <row r="6091" spans="1:149" ht="15" hidden="1" customHeight="1">
      <c r="A6091" s="468">
        <v>45547</v>
      </c>
      <c r="B6091" s="208" t="s">
        <v>4652</v>
      </c>
      <c r="C6091" s="208" t="s">
        <v>27</v>
      </c>
      <c r="D6091" s="526">
        <v>-1043000</v>
      </c>
      <c r="E6091" s="212">
        <v>45536</v>
      </c>
      <c r="F6091" s="208" t="s">
        <v>110</v>
      </c>
      <c r="G6091" s="208" t="s">
        <v>4399</v>
      </c>
      <c r="H6091" s="208" t="s">
        <v>147</v>
      </c>
      <c r="I6091" s="208"/>
      <c r="J6091" s="209"/>
      <c r="K6091" s="209"/>
      <c r="L6091" s="209"/>
      <c r="M6091" s="209"/>
      <c r="N6091" s="209"/>
      <c r="O6091" s="209"/>
      <c r="P6091" s="209"/>
      <c r="Q6091" s="209"/>
      <c r="R6091" s="209"/>
      <c r="S6091" s="209"/>
      <c r="T6091" s="209"/>
      <c r="U6091" s="451"/>
      <c r="V6091" s="451"/>
      <c r="W6091" s="451"/>
      <c r="X6091" s="451"/>
      <c r="Y6091" s="451"/>
      <c r="Z6091" s="451"/>
      <c r="AA6091" s="451"/>
      <c r="AB6091" s="451"/>
      <c r="AC6091" s="451"/>
      <c r="AD6091" s="451"/>
      <c r="AE6091" s="451"/>
      <c r="AF6091" s="451"/>
      <c r="AG6091" s="451"/>
      <c r="AH6091" s="451"/>
      <c r="AI6091" s="451"/>
      <c r="AJ6091" s="451"/>
      <c r="AK6091" s="451"/>
      <c r="AL6091" s="451"/>
      <c r="AM6091" s="451"/>
      <c r="AN6091" s="451"/>
      <c r="AO6091" s="451"/>
      <c r="AP6091" s="451"/>
      <c r="AQ6091" s="451"/>
      <c r="AR6091" s="451"/>
      <c r="AS6091" s="451"/>
      <c r="AT6091" s="451"/>
      <c r="AU6091" s="451"/>
      <c r="AV6091" s="451"/>
      <c r="AW6091" s="451"/>
      <c r="AX6091" s="451"/>
      <c r="AY6091" s="451"/>
      <c r="AZ6091" s="451"/>
      <c r="BA6091" s="451"/>
      <c r="BB6091" s="451"/>
      <c r="BC6091" s="451"/>
      <c r="BD6091" s="451"/>
      <c r="BE6091" s="451"/>
      <c r="BF6091" s="451"/>
      <c r="BG6091" s="451"/>
      <c r="BH6091" s="451"/>
      <c r="BI6091" s="451"/>
      <c r="BJ6091" s="451"/>
      <c r="BK6091" s="451"/>
      <c r="BL6091" s="451"/>
      <c r="BM6091" s="451"/>
      <c r="BN6091" s="451"/>
      <c r="BO6091" s="451"/>
      <c r="BP6091" s="451"/>
      <c r="BQ6091" s="451"/>
      <c r="BR6091" s="451"/>
      <c r="BS6091" s="451"/>
      <c r="BT6091" s="451"/>
      <c r="BU6091" s="451"/>
      <c r="BV6091" s="451"/>
      <c r="BW6091" s="451"/>
      <c r="BX6091" s="451"/>
      <c r="BY6091" s="451"/>
      <c r="BZ6091" s="451"/>
      <c r="CA6091" s="451"/>
      <c r="CB6091" s="451"/>
      <c r="CC6091" s="451"/>
      <c r="CD6091" s="451"/>
      <c r="CE6091" s="451"/>
      <c r="CF6091" s="451"/>
      <c r="CG6091" s="451"/>
      <c r="CH6091" s="451"/>
      <c r="CI6091" s="451"/>
      <c r="CJ6091" s="451"/>
      <c r="CK6091" s="451"/>
      <c r="CL6091" s="451"/>
      <c r="CM6091" s="451"/>
      <c r="CN6091" s="451"/>
      <c r="CO6091" s="451"/>
      <c r="CP6091" s="451"/>
      <c r="CQ6091" s="451"/>
      <c r="CR6091" s="451"/>
      <c r="CS6091" s="451"/>
      <c r="CT6091" s="451"/>
      <c r="CU6091" s="451"/>
      <c r="CV6091" s="451"/>
      <c r="CW6091" s="451"/>
      <c r="CX6091" s="451"/>
      <c r="CY6091" s="451"/>
      <c r="CZ6091" s="451"/>
      <c r="DA6091" s="451"/>
      <c r="DB6091" s="451"/>
      <c r="DC6091" s="451"/>
      <c r="DD6091" s="451"/>
      <c r="DE6091" s="451"/>
      <c r="DF6091" s="451"/>
      <c r="DG6091" s="451"/>
      <c r="DH6091" s="451"/>
      <c r="DI6091" s="451"/>
      <c r="DJ6091" s="451"/>
      <c r="DK6091" s="451"/>
      <c r="DL6091" s="451"/>
      <c r="DM6091" s="451"/>
      <c r="DN6091" s="451"/>
      <c r="DO6091" s="451"/>
      <c r="DP6091" s="451"/>
      <c r="DQ6091" s="451"/>
      <c r="DR6091" s="451"/>
      <c r="DS6091" s="451"/>
      <c r="DT6091" s="451"/>
      <c r="DU6091" s="451"/>
      <c r="DV6091" s="451"/>
      <c r="DW6091" s="451"/>
      <c r="DX6091" s="451"/>
      <c r="DY6091" s="451"/>
      <c r="DZ6091" s="451"/>
      <c r="EA6091" s="451"/>
      <c r="EB6091" s="451"/>
      <c r="EC6091" s="451"/>
      <c r="ED6091" s="451"/>
      <c r="EE6091" s="451"/>
      <c r="EF6091" s="451"/>
      <c r="EG6091" s="451"/>
      <c r="EH6091" s="451"/>
      <c r="EI6091" s="451"/>
      <c r="EJ6091" s="451"/>
      <c r="EK6091" s="451"/>
      <c r="EL6091" s="451"/>
      <c r="EM6091" s="451"/>
      <c r="EN6091" s="451"/>
      <c r="EO6091" s="451"/>
      <c r="EP6091" s="451"/>
      <c r="EQ6091" s="451"/>
      <c r="ER6091" s="451"/>
      <c r="ES6091" s="451"/>
    </row>
    <row r="6092" spans="1:149" ht="15" hidden="1" customHeight="1">
      <c r="A6092" s="468">
        <v>45547</v>
      </c>
      <c r="B6092" s="208" t="s">
        <v>4653</v>
      </c>
      <c r="C6092" s="208" t="s">
        <v>27</v>
      </c>
      <c r="D6092" s="211">
        <v>-679000</v>
      </c>
      <c r="E6092" s="212">
        <v>45536</v>
      </c>
      <c r="F6092" s="208" t="s">
        <v>110</v>
      </c>
      <c r="G6092" s="208" t="s">
        <v>4399</v>
      </c>
      <c r="H6092" s="208" t="s">
        <v>147</v>
      </c>
      <c r="I6092" s="208"/>
      <c r="J6092" s="209"/>
      <c r="K6092" s="209"/>
      <c r="L6092" s="209"/>
      <c r="M6092" s="209"/>
      <c r="N6092" s="209"/>
      <c r="O6092" s="209"/>
      <c r="P6092" s="209"/>
      <c r="Q6092" s="209"/>
      <c r="R6092" s="209"/>
      <c r="S6092" s="209"/>
      <c r="T6092" s="209"/>
      <c r="U6092" s="451"/>
      <c r="V6092" s="451"/>
      <c r="W6092" s="451"/>
      <c r="X6092" s="451"/>
      <c r="Y6092" s="451"/>
      <c r="Z6092" s="451"/>
      <c r="AA6092" s="451"/>
      <c r="AB6092" s="451"/>
      <c r="AC6092" s="451"/>
      <c r="AD6092" s="451"/>
      <c r="AE6092" s="451"/>
      <c r="AF6092" s="451"/>
      <c r="AG6092" s="451"/>
      <c r="AH6092" s="451"/>
      <c r="AI6092" s="451"/>
      <c r="AJ6092" s="451"/>
      <c r="AK6092" s="451"/>
      <c r="AL6092" s="451"/>
      <c r="AM6092" s="451"/>
      <c r="AN6092" s="451"/>
      <c r="AO6092" s="451"/>
      <c r="AP6092" s="451"/>
      <c r="AQ6092" s="451"/>
      <c r="AR6092" s="451"/>
      <c r="AS6092" s="451"/>
      <c r="AT6092" s="451"/>
      <c r="AU6092" s="451"/>
      <c r="AV6092" s="451"/>
      <c r="AW6092" s="451"/>
      <c r="AX6092" s="451"/>
      <c r="AY6092" s="451"/>
      <c r="AZ6092" s="451"/>
      <c r="BA6092" s="451"/>
      <c r="BB6092" s="451"/>
      <c r="BC6092" s="451"/>
      <c r="BD6092" s="451"/>
      <c r="BE6092" s="451"/>
      <c r="BF6092" s="451"/>
      <c r="BG6092" s="451"/>
      <c r="BH6092" s="451"/>
      <c r="BI6092" s="451"/>
      <c r="BJ6092" s="451"/>
      <c r="BK6092" s="451"/>
      <c r="BL6092" s="451"/>
      <c r="BM6092" s="451"/>
      <c r="BN6092" s="451"/>
      <c r="BO6092" s="451"/>
      <c r="BP6092" s="451"/>
      <c r="BQ6092" s="451"/>
      <c r="BR6092" s="451"/>
      <c r="BS6092" s="451"/>
      <c r="BT6092" s="451"/>
      <c r="BU6092" s="451"/>
      <c r="BV6092" s="451"/>
      <c r="BW6092" s="451"/>
      <c r="BX6092" s="451"/>
      <c r="BY6092" s="451"/>
      <c r="BZ6092" s="451"/>
      <c r="CA6092" s="451"/>
      <c r="CB6092" s="451"/>
      <c r="CC6092" s="451"/>
      <c r="CD6092" s="451"/>
      <c r="CE6092" s="451"/>
      <c r="CF6092" s="451"/>
      <c r="CG6092" s="451"/>
      <c r="CH6092" s="451"/>
      <c r="CI6092" s="451"/>
      <c r="CJ6092" s="451"/>
      <c r="CK6092" s="451"/>
      <c r="CL6092" s="451"/>
      <c r="CM6092" s="451"/>
      <c r="CN6092" s="451"/>
      <c r="CO6092" s="451"/>
      <c r="CP6092" s="451"/>
      <c r="CQ6092" s="451"/>
      <c r="CR6092" s="451"/>
      <c r="CS6092" s="451"/>
      <c r="CT6092" s="451"/>
      <c r="CU6092" s="451"/>
      <c r="CV6092" s="451"/>
      <c r="CW6092" s="451"/>
      <c r="CX6092" s="451"/>
      <c r="CY6092" s="451"/>
      <c r="CZ6092" s="451"/>
      <c r="DA6092" s="451"/>
      <c r="DB6092" s="451"/>
      <c r="DC6092" s="451"/>
      <c r="DD6092" s="451"/>
      <c r="DE6092" s="451"/>
      <c r="DF6092" s="451"/>
      <c r="DG6092" s="451"/>
      <c r="DH6092" s="451"/>
      <c r="DI6092" s="451"/>
      <c r="DJ6092" s="451"/>
      <c r="DK6092" s="451"/>
      <c r="DL6092" s="451"/>
      <c r="DM6092" s="451"/>
      <c r="DN6092" s="451"/>
      <c r="DO6092" s="451"/>
      <c r="DP6092" s="451"/>
      <c r="DQ6092" s="451"/>
      <c r="DR6092" s="451"/>
      <c r="DS6092" s="451"/>
      <c r="DT6092" s="451"/>
      <c r="DU6092" s="451"/>
      <c r="DV6092" s="451"/>
      <c r="DW6092" s="451"/>
      <c r="DX6092" s="451"/>
      <c r="DY6092" s="451"/>
      <c r="DZ6092" s="451"/>
      <c r="EA6092" s="451"/>
      <c r="EB6092" s="451"/>
      <c r="EC6092" s="451"/>
      <c r="ED6092" s="451"/>
      <c r="EE6092" s="451"/>
      <c r="EF6092" s="451"/>
      <c r="EG6092" s="451"/>
      <c r="EH6092" s="451"/>
      <c r="EI6092" s="451"/>
      <c r="EJ6092" s="451"/>
      <c r="EK6092" s="451"/>
      <c r="EL6092" s="451"/>
      <c r="EM6092" s="451"/>
      <c r="EN6092" s="451"/>
      <c r="EO6092" s="451"/>
      <c r="EP6092" s="451"/>
      <c r="EQ6092" s="451"/>
      <c r="ER6092" s="451"/>
      <c r="ES6092" s="451"/>
    </row>
    <row r="6093" spans="1:149" ht="15" hidden="1" customHeight="1">
      <c r="A6093" s="468">
        <v>45547</v>
      </c>
      <c r="B6093" s="208" t="s">
        <v>4656</v>
      </c>
      <c r="C6093" s="208" t="s">
        <v>27</v>
      </c>
      <c r="D6093" s="211">
        <v>-2024000</v>
      </c>
      <c r="E6093" s="212">
        <v>45536</v>
      </c>
      <c r="F6093" s="654" t="s">
        <v>130</v>
      </c>
      <c r="G6093" s="683" t="s">
        <v>130</v>
      </c>
      <c r="H6093" s="208" t="s">
        <v>182</v>
      </c>
      <c r="I6093" s="208"/>
      <c r="J6093" s="209"/>
      <c r="K6093" s="209"/>
      <c r="L6093" s="209"/>
      <c r="M6093" s="209"/>
      <c r="N6093" s="209"/>
      <c r="O6093" s="209"/>
      <c r="P6093" s="209"/>
      <c r="Q6093" s="209"/>
      <c r="R6093" s="209"/>
      <c r="S6093" s="209"/>
      <c r="T6093" s="209"/>
      <c r="U6093" s="451"/>
      <c r="V6093" s="451"/>
      <c r="W6093" s="451"/>
      <c r="X6093" s="451"/>
      <c r="Y6093" s="451"/>
      <c r="Z6093" s="451"/>
      <c r="AA6093" s="451"/>
      <c r="AB6093" s="451"/>
      <c r="AC6093" s="451"/>
      <c r="AD6093" s="451"/>
      <c r="AE6093" s="451"/>
      <c r="AF6093" s="451"/>
      <c r="AG6093" s="451"/>
      <c r="AH6093" s="451"/>
      <c r="AI6093" s="451"/>
      <c r="AJ6093" s="451"/>
      <c r="AK6093" s="451"/>
      <c r="AL6093" s="451"/>
      <c r="AM6093" s="451"/>
      <c r="AN6093" s="451"/>
      <c r="AO6093" s="451"/>
      <c r="AP6093" s="451"/>
      <c r="AQ6093" s="451"/>
      <c r="AR6093" s="451"/>
      <c r="AS6093" s="451"/>
      <c r="AT6093" s="451"/>
      <c r="AU6093" s="451"/>
      <c r="AV6093" s="451"/>
      <c r="AW6093" s="451"/>
      <c r="AX6093" s="451"/>
      <c r="AY6093" s="451"/>
      <c r="AZ6093" s="451"/>
      <c r="BA6093" s="451"/>
      <c r="BB6093" s="451"/>
      <c r="BC6093" s="451"/>
      <c r="BD6093" s="451"/>
      <c r="BE6093" s="451"/>
      <c r="BF6093" s="451"/>
      <c r="BG6093" s="451"/>
      <c r="BH6093" s="451"/>
      <c r="BI6093" s="451"/>
      <c r="BJ6093" s="451"/>
      <c r="BK6093" s="451"/>
      <c r="BL6093" s="451"/>
      <c r="BM6093" s="451"/>
      <c r="BN6093" s="451"/>
      <c r="BO6093" s="451"/>
      <c r="BP6093" s="451"/>
      <c r="BQ6093" s="451"/>
      <c r="BR6093" s="451"/>
      <c r="BS6093" s="451"/>
      <c r="BT6093" s="451"/>
      <c r="BU6093" s="451"/>
      <c r="BV6093" s="451"/>
      <c r="BW6093" s="451"/>
      <c r="BX6093" s="451"/>
      <c r="BY6093" s="451"/>
      <c r="BZ6093" s="451"/>
      <c r="CA6093" s="451"/>
      <c r="CB6093" s="451"/>
      <c r="CC6093" s="451"/>
      <c r="CD6093" s="451"/>
      <c r="CE6093" s="451"/>
      <c r="CF6093" s="451"/>
      <c r="CG6093" s="451"/>
      <c r="CH6093" s="451"/>
      <c r="CI6093" s="451"/>
      <c r="CJ6093" s="451"/>
      <c r="CK6093" s="451"/>
      <c r="CL6093" s="451"/>
      <c r="CM6093" s="451"/>
      <c r="CN6093" s="451"/>
      <c r="CO6093" s="451"/>
      <c r="CP6093" s="451"/>
      <c r="CQ6093" s="451"/>
      <c r="CR6093" s="451"/>
      <c r="CS6093" s="451"/>
      <c r="CT6093" s="451"/>
      <c r="CU6093" s="451"/>
      <c r="CV6093" s="451"/>
      <c r="CW6093" s="451"/>
      <c r="CX6093" s="451"/>
      <c r="CY6093" s="451"/>
      <c r="CZ6093" s="451"/>
      <c r="DA6093" s="451"/>
      <c r="DB6093" s="451"/>
      <c r="DC6093" s="451"/>
      <c r="DD6093" s="451"/>
      <c r="DE6093" s="451"/>
      <c r="DF6093" s="451"/>
      <c r="DG6093" s="451"/>
      <c r="DH6093" s="451"/>
      <c r="DI6093" s="451"/>
      <c r="DJ6093" s="451"/>
      <c r="DK6093" s="451"/>
      <c r="DL6093" s="451"/>
      <c r="DM6093" s="451"/>
      <c r="DN6093" s="451"/>
      <c r="DO6093" s="451"/>
      <c r="DP6093" s="451"/>
      <c r="DQ6093" s="451"/>
      <c r="DR6093" s="451"/>
      <c r="DS6093" s="451"/>
      <c r="DT6093" s="451"/>
      <c r="DU6093" s="451"/>
      <c r="DV6093" s="451"/>
      <c r="DW6093" s="451"/>
      <c r="DX6093" s="451"/>
      <c r="DY6093" s="451"/>
      <c r="DZ6093" s="451"/>
      <c r="EA6093" s="451"/>
      <c r="EB6093" s="451"/>
      <c r="EC6093" s="451"/>
      <c r="ED6093" s="451"/>
      <c r="EE6093" s="451"/>
      <c r="EF6093" s="451"/>
      <c r="EG6093" s="451"/>
      <c r="EH6093" s="451"/>
      <c r="EI6093" s="451"/>
      <c r="EJ6093" s="451"/>
      <c r="EK6093" s="451"/>
      <c r="EL6093" s="451"/>
      <c r="EM6093" s="451"/>
      <c r="EN6093" s="451"/>
      <c r="EO6093" s="451"/>
      <c r="EP6093" s="451"/>
      <c r="EQ6093" s="451"/>
      <c r="ER6093" s="451"/>
      <c r="ES6093" s="451"/>
    </row>
    <row r="6094" spans="1:149" ht="15" hidden="1" customHeight="1">
      <c r="A6094" s="468">
        <v>45547</v>
      </c>
      <c r="B6094" s="208" t="s">
        <v>4658</v>
      </c>
      <c r="C6094" s="208" t="s">
        <v>27</v>
      </c>
      <c r="D6094" s="211">
        <v>-817000</v>
      </c>
      <c r="E6094" s="212">
        <v>45536</v>
      </c>
      <c r="F6094" s="654" t="s">
        <v>130</v>
      </c>
      <c r="G6094" s="654" t="s">
        <v>130</v>
      </c>
      <c r="H6094" s="208" t="s">
        <v>182</v>
      </c>
      <c r="I6094" s="208"/>
      <c r="J6094" s="209"/>
      <c r="K6094" s="209"/>
      <c r="L6094" s="209"/>
      <c r="M6094" s="209"/>
      <c r="N6094" s="209"/>
      <c r="O6094" s="209"/>
      <c r="P6094" s="209"/>
      <c r="Q6094" s="209"/>
      <c r="R6094" s="209"/>
      <c r="S6094" s="209"/>
      <c r="T6094" s="209"/>
      <c r="U6094" s="451"/>
      <c r="V6094" s="451"/>
      <c r="W6094" s="451"/>
      <c r="X6094" s="451"/>
      <c r="Y6094" s="451"/>
      <c r="Z6094" s="451"/>
      <c r="AA6094" s="451"/>
      <c r="AB6094" s="451"/>
      <c r="AC6094" s="451"/>
      <c r="AD6094" s="451"/>
      <c r="AE6094" s="451"/>
      <c r="AF6094" s="451"/>
      <c r="AG6094" s="451"/>
      <c r="AH6094" s="451"/>
      <c r="AI6094" s="451"/>
      <c r="AJ6094" s="451"/>
      <c r="AK6094" s="451"/>
      <c r="AL6094" s="451"/>
      <c r="AM6094" s="451"/>
      <c r="AN6094" s="451"/>
      <c r="AO6094" s="451"/>
      <c r="AP6094" s="451"/>
      <c r="AQ6094" s="451"/>
      <c r="AR6094" s="451"/>
      <c r="AS6094" s="451"/>
      <c r="AT6094" s="451"/>
      <c r="AU6094" s="451"/>
      <c r="AV6094" s="451"/>
      <c r="AW6094" s="451"/>
      <c r="AX6094" s="451"/>
      <c r="AY6094" s="451"/>
      <c r="AZ6094" s="451"/>
      <c r="BA6094" s="451"/>
      <c r="BB6094" s="451"/>
      <c r="BC6094" s="451"/>
      <c r="BD6094" s="451"/>
      <c r="BE6094" s="451"/>
      <c r="BF6094" s="451"/>
      <c r="BG6094" s="451"/>
      <c r="BH6094" s="451"/>
      <c r="BI6094" s="451"/>
      <c r="BJ6094" s="451"/>
      <c r="BK6094" s="451"/>
      <c r="BL6094" s="451"/>
      <c r="BM6094" s="451"/>
      <c r="BN6094" s="451"/>
      <c r="BO6094" s="451"/>
      <c r="BP6094" s="451"/>
      <c r="BQ6094" s="451"/>
      <c r="BR6094" s="451"/>
      <c r="BS6094" s="451"/>
      <c r="BT6094" s="451"/>
      <c r="BU6094" s="451"/>
      <c r="BV6094" s="451"/>
      <c r="BW6094" s="451"/>
      <c r="BX6094" s="451"/>
      <c r="BY6094" s="451"/>
      <c r="BZ6094" s="451"/>
      <c r="CA6094" s="451"/>
      <c r="CB6094" s="451"/>
      <c r="CC6094" s="451"/>
      <c r="CD6094" s="451"/>
      <c r="CE6094" s="451"/>
      <c r="CF6094" s="451"/>
      <c r="CG6094" s="451"/>
      <c r="CH6094" s="451"/>
      <c r="CI6094" s="451"/>
      <c r="CJ6094" s="451"/>
      <c r="CK6094" s="451"/>
      <c r="CL6094" s="451"/>
      <c r="CM6094" s="451"/>
      <c r="CN6094" s="451"/>
      <c r="CO6094" s="451"/>
      <c r="CP6094" s="451"/>
      <c r="CQ6094" s="451"/>
      <c r="CR6094" s="451"/>
      <c r="CS6094" s="451"/>
      <c r="CT6094" s="451"/>
      <c r="CU6094" s="451"/>
      <c r="CV6094" s="451"/>
      <c r="CW6094" s="451"/>
      <c r="CX6094" s="451"/>
      <c r="CY6094" s="451"/>
      <c r="CZ6094" s="451"/>
      <c r="DA6094" s="451"/>
      <c r="DB6094" s="451"/>
      <c r="DC6094" s="451"/>
      <c r="DD6094" s="451"/>
      <c r="DE6094" s="451"/>
      <c r="DF6094" s="451"/>
      <c r="DG6094" s="451"/>
      <c r="DH6094" s="451"/>
      <c r="DI6094" s="451"/>
      <c r="DJ6094" s="451"/>
      <c r="DK6094" s="451"/>
      <c r="DL6094" s="451"/>
      <c r="DM6094" s="451"/>
      <c r="DN6094" s="451"/>
      <c r="DO6094" s="451"/>
      <c r="DP6094" s="451"/>
      <c r="DQ6094" s="451"/>
      <c r="DR6094" s="451"/>
      <c r="DS6094" s="451"/>
      <c r="DT6094" s="451"/>
      <c r="DU6094" s="451"/>
      <c r="DV6094" s="451"/>
      <c r="DW6094" s="451"/>
      <c r="DX6094" s="451"/>
      <c r="DY6094" s="451"/>
      <c r="DZ6094" s="451"/>
      <c r="EA6094" s="451"/>
      <c r="EB6094" s="451"/>
      <c r="EC6094" s="451"/>
      <c r="ED6094" s="451"/>
      <c r="EE6094" s="451"/>
      <c r="EF6094" s="451"/>
      <c r="EG6094" s="451"/>
      <c r="EH6094" s="451"/>
      <c r="EI6094" s="451"/>
      <c r="EJ6094" s="451"/>
      <c r="EK6094" s="451"/>
      <c r="EL6094" s="451"/>
      <c r="EM6094" s="451"/>
      <c r="EN6094" s="451"/>
      <c r="EO6094" s="451"/>
      <c r="EP6094" s="451"/>
      <c r="EQ6094" s="451"/>
      <c r="ER6094" s="451"/>
      <c r="ES6094" s="451"/>
    </row>
    <row r="6095" spans="1:149" ht="15" hidden="1" customHeight="1">
      <c r="A6095" s="468">
        <v>45547</v>
      </c>
      <c r="B6095" s="208" t="s">
        <v>4696</v>
      </c>
      <c r="C6095" s="208" t="s">
        <v>27</v>
      </c>
      <c r="D6095" s="211">
        <v>-650000</v>
      </c>
      <c r="E6095" s="212">
        <v>45536</v>
      </c>
      <c r="F6095" s="654" t="s">
        <v>130</v>
      </c>
      <c r="G6095" s="654" t="s">
        <v>130</v>
      </c>
      <c r="H6095" s="208" t="s">
        <v>182</v>
      </c>
      <c r="I6095" s="208"/>
      <c r="J6095" s="209"/>
      <c r="K6095" s="209"/>
      <c r="L6095" s="209"/>
      <c r="M6095" s="209"/>
      <c r="N6095" s="209"/>
      <c r="O6095" s="209"/>
      <c r="P6095" s="209"/>
      <c r="Q6095" s="209"/>
      <c r="R6095" s="209"/>
      <c r="S6095" s="209"/>
      <c r="T6095" s="209"/>
      <c r="U6095" s="451"/>
      <c r="V6095" s="451"/>
      <c r="W6095" s="451"/>
      <c r="X6095" s="451"/>
      <c r="Y6095" s="451"/>
      <c r="Z6095" s="451"/>
      <c r="AA6095" s="451"/>
      <c r="AB6095" s="451"/>
      <c r="AC6095" s="451"/>
      <c r="AD6095" s="451"/>
      <c r="AE6095" s="451"/>
      <c r="AF6095" s="451"/>
      <c r="AG6095" s="451"/>
      <c r="AH6095" s="451"/>
      <c r="AI6095" s="451"/>
      <c r="AJ6095" s="451"/>
      <c r="AK6095" s="451"/>
      <c r="AL6095" s="451"/>
      <c r="AM6095" s="451"/>
      <c r="AN6095" s="451"/>
      <c r="AO6095" s="451"/>
      <c r="AP6095" s="451"/>
      <c r="AQ6095" s="451"/>
      <c r="AR6095" s="451"/>
      <c r="AS6095" s="451"/>
      <c r="AT6095" s="451"/>
      <c r="AU6095" s="451"/>
      <c r="AV6095" s="451"/>
      <c r="AW6095" s="451"/>
      <c r="AX6095" s="451"/>
      <c r="AY6095" s="451"/>
      <c r="AZ6095" s="451"/>
      <c r="BA6095" s="451"/>
      <c r="BB6095" s="451"/>
      <c r="BC6095" s="451"/>
      <c r="BD6095" s="451"/>
      <c r="BE6095" s="451"/>
      <c r="BF6095" s="451"/>
      <c r="BG6095" s="451"/>
      <c r="BH6095" s="451"/>
      <c r="BI6095" s="451"/>
      <c r="BJ6095" s="451"/>
      <c r="BK6095" s="451"/>
      <c r="BL6095" s="451"/>
      <c r="BM6095" s="451"/>
      <c r="BN6095" s="451"/>
      <c r="BO6095" s="451"/>
      <c r="BP6095" s="451"/>
      <c r="BQ6095" s="451"/>
      <c r="BR6095" s="451"/>
      <c r="BS6095" s="451"/>
      <c r="BT6095" s="451"/>
      <c r="BU6095" s="451"/>
      <c r="BV6095" s="451"/>
      <c r="BW6095" s="451"/>
      <c r="BX6095" s="451"/>
      <c r="BY6095" s="451"/>
      <c r="BZ6095" s="451"/>
      <c r="CA6095" s="451"/>
      <c r="CB6095" s="451"/>
      <c r="CC6095" s="451"/>
      <c r="CD6095" s="451"/>
      <c r="CE6095" s="451"/>
      <c r="CF6095" s="451"/>
      <c r="CG6095" s="451"/>
      <c r="CH6095" s="451"/>
      <c r="CI6095" s="451"/>
      <c r="CJ6095" s="451"/>
      <c r="CK6095" s="451"/>
      <c r="CL6095" s="451"/>
      <c r="CM6095" s="451"/>
      <c r="CN6095" s="451"/>
      <c r="CO6095" s="451"/>
      <c r="CP6095" s="451"/>
      <c r="CQ6095" s="451"/>
      <c r="CR6095" s="451"/>
      <c r="CS6095" s="451"/>
      <c r="CT6095" s="451"/>
      <c r="CU6095" s="451"/>
      <c r="CV6095" s="451"/>
      <c r="CW6095" s="451"/>
      <c r="CX6095" s="451"/>
      <c r="CY6095" s="451"/>
      <c r="CZ6095" s="451"/>
      <c r="DA6095" s="451"/>
      <c r="DB6095" s="451"/>
      <c r="DC6095" s="451"/>
      <c r="DD6095" s="451"/>
      <c r="DE6095" s="451"/>
      <c r="DF6095" s="451"/>
      <c r="DG6095" s="451"/>
      <c r="DH6095" s="451"/>
      <c r="DI6095" s="451"/>
      <c r="DJ6095" s="451"/>
      <c r="DK6095" s="451"/>
      <c r="DL6095" s="451"/>
      <c r="DM6095" s="451"/>
      <c r="DN6095" s="451"/>
      <c r="DO6095" s="451"/>
      <c r="DP6095" s="451"/>
      <c r="DQ6095" s="451"/>
      <c r="DR6095" s="451"/>
      <c r="DS6095" s="451"/>
      <c r="DT6095" s="451"/>
      <c r="DU6095" s="451"/>
      <c r="DV6095" s="451"/>
      <c r="DW6095" s="451"/>
      <c r="DX6095" s="451"/>
      <c r="DY6095" s="451"/>
      <c r="DZ6095" s="451"/>
      <c r="EA6095" s="451"/>
      <c r="EB6095" s="451"/>
      <c r="EC6095" s="451"/>
      <c r="ED6095" s="451"/>
      <c r="EE6095" s="451"/>
      <c r="EF6095" s="451"/>
      <c r="EG6095" s="451"/>
      <c r="EH6095" s="451"/>
      <c r="EI6095" s="451"/>
      <c r="EJ6095" s="451"/>
      <c r="EK6095" s="451"/>
      <c r="EL6095" s="451"/>
      <c r="EM6095" s="451"/>
      <c r="EN6095" s="451"/>
      <c r="EO6095" s="451"/>
      <c r="EP6095" s="451"/>
      <c r="EQ6095" s="451"/>
      <c r="ER6095" s="451"/>
      <c r="ES6095" s="451"/>
    </row>
    <row r="6096" spans="1:149" ht="15" hidden="1" customHeight="1">
      <c r="A6096" s="468">
        <v>45547</v>
      </c>
      <c r="B6096" s="208" t="s">
        <v>4661</v>
      </c>
      <c r="C6096" s="208" t="s">
        <v>27</v>
      </c>
      <c r="D6096" s="718">
        <v>-679000</v>
      </c>
      <c r="E6096" s="212">
        <v>45536</v>
      </c>
      <c r="F6096" s="654" t="s">
        <v>109</v>
      </c>
      <c r="G6096" s="201" t="s">
        <v>581</v>
      </c>
      <c r="H6096" s="208"/>
      <c r="I6096" s="208"/>
      <c r="J6096" s="209"/>
      <c r="K6096" s="209"/>
      <c r="L6096" s="209"/>
      <c r="M6096" s="209"/>
      <c r="N6096" s="209"/>
      <c r="O6096" s="209"/>
      <c r="P6096" s="209"/>
      <c r="Q6096" s="209"/>
      <c r="R6096" s="209"/>
      <c r="S6096" s="209"/>
      <c r="T6096" s="209"/>
      <c r="U6096" s="451"/>
      <c r="V6096" s="451"/>
      <c r="W6096" s="451"/>
      <c r="X6096" s="451"/>
      <c r="Y6096" s="451"/>
      <c r="Z6096" s="451"/>
      <c r="AA6096" s="451"/>
      <c r="AB6096" s="451"/>
      <c r="AC6096" s="451"/>
      <c r="AD6096" s="451"/>
      <c r="AE6096" s="451"/>
      <c r="AF6096" s="451"/>
      <c r="AG6096" s="451"/>
      <c r="AH6096" s="451"/>
      <c r="AI6096" s="451"/>
      <c r="AJ6096" s="451"/>
      <c r="AK6096" s="451"/>
      <c r="AL6096" s="451"/>
      <c r="AM6096" s="451"/>
      <c r="AN6096" s="451"/>
      <c r="AO6096" s="451"/>
      <c r="AP6096" s="451"/>
      <c r="AQ6096" s="451"/>
      <c r="AR6096" s="451"/>
      <c r="AS6096" s="451"/>
      <c r="AT6096" s="451"/>
      <c r="AU6096" s="451"/>
      <c r="AV6096" s="451"/>
      <c r="AW6096" s="451"/>
      <c r="AX6096" s="451"/>
      <c r="AY6096" s="451"/>
      <c r="AZ6096" s="451"/>
      <c r="BA6096" s="451"/>
      <c r="BB6096" s="451"/>
      <c r="BC6096" s="451"/>
      <c r="BD6096" s="451"/>
      <c r="BE6096" s="451"/>
      <c r="BF6096" s="451"/>
      <c r="BG6096" s="451"/>
      <c r="BH6096" s="451"/>
      <c r="BI6096" s="451"/>
      <c r="BJ6096" s="451"/>
      <c r="BK6096" s="451"/>
      <c r="BL6096" s="451"/>
      <c r="BM6096" s="451"/>
      <c r="BN6096" s="451"/>
      <c r="BO6096" s="451"/>
      <c r="BP6096" s="451"/>
      <c r="BQ6096" s="451"/>
      <c r="BR6096" s="451"/>
      <c r="BS6096" s="451"/>
      <c r="BT6096" s="451"/>
      <c r="BU6096" s="451"/>
      <c r="BV6096" s="451"/>
      <c r="BW6096" s="451"/>
      <c r="BX6096" s="451"/>
      <c r="BY6096" s="451"/>
      <c r="BZ6096" s="451"/>
      <c r="CA6096" s="451"/>
      <c r="CB6096" s="451"/>
      <c r="CC6096" s="451"/>
      <c r="CD6096" s="451"/>
      <c r="CE6096" s="451"/>
      <c r="CF6096" s="451"/>
      <c r="CG6096" s="451"/>
      <c r="CH6096" s="451"/>
      <c r="CI6096" s="451"/>
      <c r="CJ6096" s="451"/>
      <c r="CK6096" s="451"/>
      <c r="CL6096" s="451"/>
      <c r="CM6096" s="451"/>
      <c r="CN6096" s="451"/>
      <c r="CO6096" s="451"/>
      <c r="CP6096" s="451"/>
      <c r="CQ6096" s="451"/>
      <c r="CR6096" s="451"/>
      <c r="CS6096" s="451"/>
      <c r="CT6096" s="451"/>
      <c r="CU6096" s="451"/>
      <c r="CV6096" s="451"/>
      <c r="CW6096" s="451"/>
      <c r="CX6096" s="451"/>
      <c r="CY6096" s="451"/>
      <c r="CZ6096" s="451"/>
      <c r="DA6096" s="451"/>
      <c r="DB6096" s="451"/>
      <c r="DC6096" s="451"/>
      <c r="DD6096" s="451"/>
      <c r="DE6096" s="451"/>
      <c r="DF6096" s="451"/>
      <c r="DG6096" s="451"/>
      <c r="DH6096" s="451"/>
      <c r="DI6096" s="451"/>
      <c r="DJ6096" s="451"/>
      <c r="DK6096" s="451"/>
      <c r="DL6096" s="451"/>
      <c r="DM6096" s="451"/>
      <c r="DN6096" s="451"/>
      <c r="DO6096" s="451"/>
      <c r="DP6096" s="451"/>
      <c r="DQ6096" s="451"/>
      <c r="DR6096" s="451"/>
      <c r="DS6096" s="451"/>
      <c r="DT6096" s="451"/>
      <c r="DU6096" s="451"/>
      <c r="DV6096" s="451"/>
      <c r="DW6096" s="451"/>
      <c r="DX6096" s="451"/>
      <c r="DY6096" s="451"/>
      <c r="DZ6096" s="451"/>
      <c r="EA6096" s="451"/>
      <c r="EB6096" s="451"/>
      <c r="EC6096" s="451"/>
      <c r="ED6096" s="451"/>
      <c r="EE6096" s="451"/>
      <c r="EF6096" s="451"/>
      <c r="EG6096" s="451"/>
      <c r="EH6096" s="451"/>
      <c r="EI6096" s="451"/>
      <c r="EJ6096" s="451"/>
      <c r="EK6096" s="451"/>
      <c r="EL6096" s="451"/>
      <c r="EM6096" s="451"/>
      <c r="EN6096" s="451"/>
      <c r="EO6096" s="451"/>
      <c r="EP6096" s="451"/>
      <c r="EQ6096" s="451"/>
      <c r="ER6096" s="451"/>
      <c r="ES6096" s="451"/>
    </row>
    <row r="6097" spans="1:149" ht="15" hidden="1" customHeight="1">
      <c r="A6097" s="468">
        <v>45547</v>
      </c>
      <c r="B6097" s="208" t="s">
        <v>4662</v>
      </c>
      <c r="C6097" s="208" t="s">
        <v>27</v>
      </c>
      <c r="D6097" s="718">
        <v>-679000</v>
      </c>
      <c r="E6097" s="212">
        <v>45536</v>
      </c>
      <c r="F6097" s="654" t="s">
        <v>109</v>
      </c>
      <c r="G6097" s="201" t="s">
        <v>581</v>
      </c>
      <c r="H6097" s="208"/>
      <c r="I6097" s="208"/>
      <c r="J6097" s="209"/>
      <c r="K6097" s="209"/>
      <c r="L6097" s="209"/>
      <c r="M6097" s="209"/>
      <c r="N6097" s="209"/>
      <c r="O6097" s="209"/>
      <c r="P6097" s="209"/>
      <c r="Q6097" s="209"/>
      <c r="R6097" s="209"/>
      <c r="S6097" s="209"/>
      <c r="T6097" s="209"/>
      <c r="U6097" s="451"/>
      <c r="V6097" s="451"/>
      <c r="W6097" s="451"/>
      <c r="X6097" s="451"/>
      <c r="Y6097" s="451"/>
      <c r="Z6097" s="451"/>
      <c r="AA6097" s="451"/>
      <c r="AB6097" s="451"/>
      <c r="AC6097" s="451"/>
      <c r="AD6097" s="451"/>
      <c r="AE6097" s="451"/>
      <c r="AF6097" s="451"/>
      <c r="AG6097" s="451"/>
      <c r="AH6097" s="451"/>
      <c r="AI6097" s="451"/>
      <c r="AJ6097" s="451"/>
      <c r="AK6097" s="451"/>
      <c r="AL6097" s="451"/>
      <c r="AM6097" s="451"/>
      <c r="AN6097" s="451"/>
      <c r="AO6097" s="451"/>
      <c r="AP6097" s="451"/>
      <c r="AQ6097" s="451"/>
      <c r="AR6097" s="451"/>
      <c r="AS6097" s="451"/>
      <c r="AT6097" s="451"/>
      <c r="AU6097" s="451"/>
      <c r="AV6097" s="451"/>
      <c r="AW6097" s="451"/>
      <c r="AX6097" s="451"/>
      <c r="AY6097" s="451"/>
      <c r="AZ6097" s="451"/>
      <c r="BA6097" s="451"/>
      <c r="BB6097" s="451"/>
      <c r="BC6097" s="451"/>
      <c r="BD6097" s="451"/>
      <c r="BE6097" s="451"/>
      <c r="BF6097" s="451"/>
      <c r="BG6097" s="451"/>
      <c r="BH6097" s="451"/>
      <c r="BI6097" s="451"/>
      <c r="BJ6097" s="451"/>
      <c r="BK6097" s="451"/>
      <c r="BL6097" s="451"/>
      <c r="BM6097" s="451"/>
      <c r="BN6097" s="451"/>
      <c r="BO6097" s="451"/>
      <c r="BP6097" s="451"/>
      <c r="BQ6097" s="451"/>
      <c r="BR6097" s="451"/>
      <c r="BS6097" s="451"/>
      <c r="BT6097" s="451"/>
      <c r="BU6097" s="451"/>
      <c r="BV6097" s="451"/>
      <c r="BW6097" s="451"/>
      <c r="BX6097" s="451"/>
      <c r="BY6097" s="451"/>
      <c r="BZ6097" s="451"/>
      <c r="CA6097" s="451"/>
      <c r="CB6097" s="451"/>
      <c r="CC6097" s="451"/>
      <c r="CD6097" s="451"/>
      <c r="CE6097" s="451"/>
      <c r="CF6097" s="451"/>
      <c r="CG6097" s="451"/>
      <c r="CH6097" s="451"/>
      <c r="CI6097" s="451"/>
      <c r="CJ6097" s="451"/>
      <c r="CK6097" s="451"/>
      <c r="CL6097" s="451"/>
      <c r="CM6097" s="451"/>
      <c r="CN6097" s="451"/>
      <c r="CO6097" s="451"/>
      <c r="CP6097" s="451"/>
      <c r="CQ6097" s="451"/>
      <c r="CR6097" s="451"/>
      <c r="CS6097" s="451"/>
      <c r="CT6097" s="451"/>
      <c r="CU6097" s="451"/>
      <c r="CV6097" s="451"/>
      <c r="CW6097" s="451"/>
      <c r="CX6097" s="451"/>
      <c r="CY6097" s="451"/>
      <c r="CZ6097" s="451"/>
      <c r="DA6097" s="451"/>
      <c r="DB6097" s="451"/>
      <c r="DC6097" s="451"/>
      <c r="DD6097" s="451"/>
      <c r="DE6097" s="451"/>
      <c r="DF6097" s="451"/>
      <c r="DG6097" s="451"/>
      <c r="DH6097" s="451"/>
      <c r="DI6097" s="451"/>
      <c r="DJ6097" s="451"/>
      <c r="DK6097" s="451"/>
      <c r="DL6097" s="451"/>
      <c r="DM6097" s="451"/>
      <c r="DN6097" s="451"/>
      <c r="DO6097" s="451"/>
      <c r="DP6097" s="451"/>
      <c r="DQ6097" s="451"/>
      <c r="DR6097" s="451"/>
      <c r="DS6097" s="451"/>
      <c r="DT6097" s="451"/>
      <c r="DU6097" s="451"/>
      <c r="DV6097" s="451"/>
      <c r="DW6097" s="451"/>
      <c r="DX6097" s="451"/>
      <c r="DY6097" s="451"/>
      <c r="DZ6097" s="451"/>
      <c r="EA6097" s="451"/>
      <c r="EB6097" s="451"/>
      <c r="EC6097" s="451"/>
      <c r="ED6097" s="451"/>
      <c r="EE6097" s="451"/>
      <c r="EF6097" s="451"/>
      <c r="EG6097" s="451"/>
      <c r="EH6097" s="451"/>
      <c r="EI6097" s="451"/>
      <c r="EJ6097" s="451"/>
      <c r="EK6097" s="451"/>
      <c r="EL6097" s="451"/>
      <c r="EM6097" s="451"/>
      <c r="EN6097" s="451"/>
      <c r="EO6097" s="451"/>
      <c r="EP6097" s="451"/>
      <c r="EQ6097" s="451"/>
      <c r="ER6097" s="451"/>
      <c r="ES6097" s="451"/>
    </row>
    <row r="6098" spans="1:149" ht="15" hidden="1" customHeight="1">
      <c r="A6098" s="468">
        <v>45547</v>
      </c>
      <c r="B6098" s="208" t="s">
        <v>4663</v>
      </c>
      <c r="C6098" s="208" t="s">
        <v>27</v>
      </c>
      <c r="D6098" s="526">
        <v>-711500</v>
      </c>
      <c r="E6098" s="212">
        <v>45536</v>
      </c>
      <c r="F6098" s="654" t="s">
        <v>109</v>
      </c>
      <c r="G6098" s="208" t="s">
        <v>3529</v>
      </c>
      <c r="H6098" s="208" t="s">
        <v>147</v>
      </c>
      <c r="I6098" s="208"/>
      <c r="J6098" s="209"/>
      <c r="K6098" s="209"/>
      <c r="L6098" s="209"/>
      <c r="M6098" s="209"/>
      <c r="N6098" s="209"/>
      <c r="O6098" s="209"/>
      <c r="P6098" s="209"/>
      <c r="Q6098" s="209"/>
      <c r="R6098" s="209"/>
      <c r="S6098" s="209"/>
      <c r="T6098" s="209"/>
      <c r="U6098" s="451"/>
      <c r="V6098" s="451"/>
      <c r="W6098" s="451"/>
      <c r="X6098" s="451"/>
      <c r="Y6098" s="451"/>
      <c r="Z6098" s="451"/>
      <c r="AA6098" s="451"/>
      <c r="AB6098" s="451"/>
      <c r="AC6098" s="451"/>
      <c r="AD6098" s="451"/>
      <c r="AE6098" s="451"/>
      <c r="AF6098" s="451"/>
      <c r="AG6098" s="451"/>
      <c r="AH6098" s="451"/>
      <c r="AI6098" s="451"/>
      <c r="AJ6098" s="451"/>
      <c r="AK6098" s="451"/>
      <c r="AL6098" s="451"/>
      <c r="AM6098" s="451"/>
      <c r="AN6098" s="451"/>
      <c r="AO6098" s="451"/>
      <c r="AP6098" s="451"/>
      <c r="AQ6098" s="451"/>
      <c r="AR6098" s="451"/>
      <c r="AS6098" s="451"/>
      <c r="AT6098" s="451"/>
      <c r="AU6098" s="451"/>
      <c r="AV6098" s="451"/>
      <c r="AW6098" s="451"/>
      <c r="AX6098" s="451"/>
      <c r="AY6098" s="451"/>
      <c r="AZ6098" s="451"/>
      <c r="BA6098" s="451"/>
      <c r="BB6098" s="451"/>
      <c r="BC6098" s="451"/>
      <c r="BD6098" s="451"/>
      <c r="BE6098" s="451"/>
      <c r="BF6098" s="451"/>
      <c r="BG6098" s="451"/>
      <c r="BH6098" s="451"/>
      <c r="BI6098" s="451"/>
      <c r="BJ6098" s="451"/>
      <c r="BK6098" s="451"/>
      <c r="BL6098" s="451"/>
      <c r="BM6098" s="451"/>
      <c r="BN6098" s="451"/>
      <c r="BO6098" s="451"/>
      <c r="BP6098" s="451"/>
      <c r="BQ6098" s="451"/>
      <c r="BR6098" s="451"/>
      <c r="BS6098" s="451"/>
      <c r="BT6098" s="451"/>
      <c r="BU6098" s="451"/>
      <c r="BV6098" s="451"/>
      <c r="BW6098" s="451"/>
      <c r="BX6098" s="451"/>
      <c r="BY6098" s="451"/>
      <c r="BZ6098" s="451"/>
      <c r="CA6098" s="451"/>
      <c r="CB6098" s="451"/>
      <c r="CC6098" s="451"/>
      <c r="CD6098" s="451"/>
      <c r="CE6098" s="451"/>
      <c r="CF6098" s="451"/>
      <c r="CG6098" s="451"/>
      <c r="CH6098" s="451"/>
      <c r="CI6098" s="451"/>
      <c r="CJ6098" s="451"/>
      <c r="CK6098" s="451"/>
      <c r="CL6098" s="451"/>
      <c r="CM6098" s="451"/>
      <c r="CN6098" s="451"/>
      <c r="CO6098" s="451"/>
      <c r="CP6098" s="451"/>
      <c r="CQ6098" s="451"/>
      <c r="CR6098" s="451"/>
      <c r="CS6098" s="451"/>
      <c r="CT6098" s="451"/>
      <c r="CU6098" s="451"/>
      <c r="CV6098" s="451"/>
      <c r="CW6098" s="451"/>
      <c r="CX6098" s="451"/>
      <c r="CY6098" s="451"/>
      <c r="CZ6098" s="451"/>
      <c r="DA6098" s="451"/>
      <c r="DB6098" s="451"/>
      <c r="DC6098" s="451"/>
      <c r="DD6098" s="451"/>
      <c r="DE6098" s="451"/>
      <c r="DF6098" s="451"/>
      <c r="DG6098" s="451"/>
      <c r="DH6098" s="451"/>
      <c r="DI6098" s="451"/>
      <c r="DJ6098" s="451"/>
      <c r="DK6098" s="451"/>
      <c r="DL6098" s="451"/>
      <c r="DM6098" s="451"/>
      <c r="DN6098" s="451"/>
      <c r="DO6098" s="451"/>
      <c r="DP6098" s="451"/>
      <c r="DQ6098" s="451"/>
      <c r="DR6098" s="451"/>
      <c r="DS6098" s="451"/>
      <c r="DT6098" s="451"/>
      <c r="DU6098" s="451"/>
      <c r="DV6098" s="451"/>
      <c r="DW6098" s="451"/>
      <c r="DX6098" s="451"/>
      <c r="DY6098" s="451"/>
      <c r="DZ6098" s="451"/>
      <c r="EA6098" s="451"/>
      <c r="EB6098" s="451"/>
      <c r="EC6098" s="451"/>
      <c r="ED6098" s="451"/>
      <c r="EE6098" s="451"/>
      <c r="EF6098" s="451"/>
      <c r="EG6098" s="451"/>
      <c r="EH6098" s="451"/>
      <c r="EI6098" s="451"/>
      <c r="EJ6098" s="451"/>
      <c r="EK6098" s="451"/>
      <c r="EL6098" s="451"/>
      <c r="EM6098" s="451"/>
      <c r="EN6098" s="451"/>
      <c r="EO6098" s="451"/>
      <c r="EP6098" s="451"/>
      <c r="EQ6098" s="451"/>
      <c r="ER6098" s="451"/>
      <c r="ES6098" s="451"/>
    </row>
    <row r="6099" spans="1:149" ht="15" hidden="1" customHeight="1">
      <c r="A6099" s="468">
        <v>45547</v>
      </c>
      <c r="B6099" s="208" t="s">
        <v>4664</v>
      </c>
      <c r="C6099" s="208" t="s">
        <v>27</v>
      </c>
      <c r="D6099" s="211">
        <v>-271600</v>
      </c>
      <c r="E6099" s="212">
        <v>45536</v>
      </c>
      <c r="F6099" s="654" t="s">
        <v>130</v>
      </c>
      <c r="G6099" s="654" t="s">
        <v>130</v>
      </c>
      <c r="H6099" s="208" t="s">
        <v>182</v>
      </c>
      <c r="I6099" s="208"/>
      <c r="J6099" s="209"/>
      <c r="K6099" s="209"/>
      <c r="L6099" s="209"/>
      <c r="M6099" s="209"/>
      <c r="N6099" s="209"/>
      <c r="O6099" s="209"/>
      <c r="P6099" s="209"/>
      <c r="Q6099" s="209"/>
      <c r="R6099" s="209"/>
      <c r="S6099" s="209"/>
      <c r="T6099" s="209"/>
      <c r="U6099" s="451"/>
      <c r="V6099" s="451"/>
      <c r="W6099" s="451"/>
      <c r="X6099" s="451"/>
      <c r="Y6099" s="451"/>
      <c r="Z6099" s="451"/>
      <c r="AA6099" s="451"/>
      <c r="AB6099" s="451"/>
      <c r="AC6099" s="451"/>
      <c r="AD6099" s="451"/>
      <c r="AE6099" s="451"/>
      <c r="AF6099" s="451"/>
      <c r="AG6099" s="451"/>
      <c r="AH6099" s="451"/>
      <c r="AI6099" s="451"/>
      <c r="AJ6099" s="451"/>
      <c r="AK6099" s="451"/>
      <c r="AL6099" s="451"/>
      <c r="AM6099" s="451"/>
      <c r="AN6099" s="451"/>
      <c r="AO6099" s="451"/>
      <c r="AP6099" s="451"/>
      <c r="AQ6099" s="451"/>
      <c r="AR6099" s="451"/>
      <c r="AS6099" s="451"/>
      <c r="AT6099" s="451"/>
      <c r="AU6099" s="451"/>
      <c r="AV6099" s="451"/>
      <c r="AW6099" s="451"/>
      <c r="AX6099" s="451"/>
      <c r="AY6099" s="451"/>
      <c r="AZ6099" s="451"/>
      <c r="BA6099" s="451"/>
      <c r="BB6099" s="451"/>
      <c r="BC6099" s="451"/>
      <c r="BD6099" s="451"/>
      <c r="BE6099" s="451"/>
      <c r="BF6099" s="451"/>
      <c r="BG6099" s="451"/>
      <c r="BH6099" s="451"/>
      <c r="BI6099" s="451"/>
      <c r="BJ6099" s="451"/>
      <c r="BK6099" s="451"/>
      <c r="BL6099" s="451"/>
      <c r="BM6099" s="451"/>
      <c r="BN6099" s="451"/>
      <c r="BO6099" s="451"/>
      <c r="BP6099" s="451"/>
      <c r="BQ6099" s="451"/>
      <c r="BR6099" s="451"/>
      <c r="BS6099" s="451"/>
      <c r="BT6099" s="451"/>
      <c r="BU6099" s="451"/>
      <c r="BV6099" s="451"/>
      <c r="BW6099" s="451"/>
      <c r="BX6099" s="451"/>
      <c r="BY6099" s="451"/>
      <c r="BZ6099" s="451"/>
      <c r="CA6099" s="451"/>
      <c r="CB6099" s="451"/>
      <c r="CC6099" s="451"/>
      <c r="CD6099" s="451"/>
      <c r="CE6099" s="451"/>
      <c r="CF6099" s="451"/>
      <c r="CG6099" s="451"/>
      <c r="CH6099" s="451"/>
      <c r="CI6099" s="451"/>
      <c r="CJ6099" s="451"/>
      <c r="CK6099" s="451"/>
      <c r="CL6099" s="451"/>
      <c r="CM6099" s="451"/>
      <c r="CN6099" s="451"/>
      <c r="CO6099" s="451"/>
      <c r="CP6099" s="451"/>
      <c r="CQ6099" s="451"/>
      <c r="CR6099" s="451"/>
      <c r="CS6099" s="451"/>
      <c r="CT6099" s="451"/>
      <c r="CU6099" s="451"/>
      <c r="CV6099" s="451"/>
      <c r="CW6099" s="451"/>
      <c r="CX6099" s="451"/>
      <c r="CY6099" s="451"/>
      <c r="CZ6099" s="451"/>
      <c r="DA6099" s="451"/>
      <c r="DB6099" s="451"/>
      <c r="DC6099" s="451"/>
      <c r="DD6099" s="451"/>
      <c r="DE6099" s="451"/>
      <c r="DF6099" s="451"/>
      <c r="DG6099" s="451"/>
      <c r="DH6099" s="451"/>
      <c r="DI6099" s="451"/>
      <c r="DJ6099" s="451"/>
      <c r="DK6099" s="451"/>
      <c r="DL6099" s="451"/>
      <c r="DM6099" s="451"/>
      <c r="DN6099" s="451"/>
      <c r="DO6099" s="451"/>
      <c r="DP6099" s="451"/>
      <c r="DQ6099" s="451"/>
      <c r="DR6099" s="451"/>
      <c r="DS6099" s="451"/>
      <c r="DT6099" s="451"/>
      <c r="DU6099" s="451"/>
      <c r="DV6099" s="451"/>
      <c r="DW6099" s="451"/>
      <c r="DX6099" s="451"/>
      <c r="DY6099" s="451"/>
      <c r="DZ6099" s="451"/>
      <c r="EA6099" s="451"/>
      <c r="EB6099" s="451"/>
      <c r="EC6099" s="451"/>
      <c r="ED6099" s="451"/>
      <c r="EE6099" s="451"/>
      <c r="EF6099" s="451"/>
      <c r="EG6099" s="451"/>
      <c r="EH6099" s="451"/>
      <c r="EI6099" s="451"/>
      <c r="EJ6099" s="451"/>
      <c r="EK6099" s="451"/>
      <c r="EL6099" s="451"/>
      <c r="EM6099" s="451"/>
      <c r="EN6099" s="451"/>
      <c r="EO6099" s="451"/>
      <c r="EP6099" s="451"/>
      <c r="EQ6099" s="451"/>
      <c r="ER6099" s="451"/>
      <c r="ES6099" s="451"/>
    </row>
    <row r="6100" spans="1:149" ht="15" hidden="1" customHeight="1">
      <c r="A6100" s="468">
        <v>45547</v>
      </c>
      <c r="B6100" s="208" t="s">
        <v>4664</v>
      </c>
      <c r="C6100" s="208" t="s">
        <v>27</v>
      </c>
      <c r="D6100" s="211">
        <v>-67900</v>
      </c>
      <c r="E6100" s="212">
        <v>45536</v>
      </c>
      <c r="F6100" s="654" t="s">
        <v>110</v>
      </c>
      <c r="G6100" s="201" t="s">
        <v>1489</v>
      </c>
      <c r="H6100" s="208" t="s">
        <v>147</v>
      </c>
      <c r="I6100" s="208"/>
      <c r="J6100" s="209"/>
      <c r="K6100" s="209"/>
      <c r="L6100" s="209"/>
      <c r="M6100" s="209"/>
      <c r="N6100" s="209"/>
      <c r="O6100" s="209"/>
      <c r="P6100" s="209"/>
      <c r="Q6100" s="209"/>
      <c r="R6100" s="209"/>
      <c r="S6100" s="209"/>
      <c r="T6100" s="209"/>
      <c r="U6100" s="451"/>
      <c r="V6100" s="451"/>
      <c r="W6100" s="451"/>
      <c r="X6100" s="451"/>
      <c r="Y6100" s="451"/>
      <c r="Z6100" s="451"/>
      <c r="AA6100" s="451"/>
      <c r="AB6100" s="451"/>
      <c r="AC6100" s="451"/>
      <c r="AD6100" s="451"/>
      <c r="AE6100" s="451"/>
      <c r="AF6100" s="451"/>
      <c r="AG6100" s="451"/>
      <c r="AH6100" s="451"/>
      <c r="AI6100" s="451"/>
      <c r="AJ6100" s="451"/>
      <c r="AK6100" s="451"/>
      <c r="AL6100" s="451"/>
      <c r="AM6100" s="451"/>
      <c r="AN6100" s="451"/>
      <c r="AO6100" s="451"/>
      <c r="AP6100" s="451"/>
      <c r="AQ6100" s="451"/>
      <c r="AR6100" s="451"/>
      <c r="AS6100" s="451"/>
      <c r="AT6100" s="451"/>
      <c r="AU6100" s="451"/>
      <c r="AV6100" s="451"/>
      <c r="AW6100" s="451"/>
      <c r="AX6100" s="451"/>
      <c r="AY6100" s="451"/>
      <c r="AZ6100" s="451"/>
      <c r="BA6100" s="451"/>
      <c r="BB6100" s="451"/>
      <c r="BC6100" s="451"/>
      <c r="BD6100" s="451"/>
      <c r="BE6100" s="451"/>
      <c r="BF6100" s="451"/>
      <c r="BG6100" s="451"/>
      <c r="BH6100" s="451"/>
      <c r="BI6100" s="451"/>
      <c r="BJ6100" s="451"/>
      <c r="BK6100" s="451"/>
      <c r="BL6100" s="451"/>
      <c r="BM6100" s="451"/>
      <c r="BN6100" s="451"/>
      <c r="BO6100" s="451"/>
      <c r="BP6100" s="451"/>
      <c r="BQ6100" s="451"/>
      <c r="BR6100" s="451"/>
      <c r="BS6100" s="451"/>
      <c r="BT6100" s="451"/>
      <c r="BU6100" s="451"/>
      <c r="BV6100" s="451"/>
      <c r="BW6100" s="451"/>
      <c r="BX6100" s="451"/>
      <c r="BY6100" s="451"/>
      <c r="BZ6100" s="451"/>
      <c r="CA6100" s="451"/>
      <c r="CB6100" s="451"/>
      <c r="CC6100" s="451"/>
      <c r="CD6100" s="451"/>
      <c r="CE6100" s="451"/>
      <c r="CF6100" s="451"/>
      <c r="CG6100" s="451"/>
      <c r="CH6100" s="451"/>
      <c r="CI6100" s="451"/>
      <c r="CJ6100" s="451"/>
      <c r="CK6100" s="451"/>
      <c r="CL6100" s="451"/>
      <c r="CM6100" s="451"/>
      <c r="CN6100" s="451"/>
      <c r="CO6100" s="451"/>
      <c r="CP6100" s="451"/>
      <c r="CQ6100" s="451"/>
      <c r="CR6100" s="451"/>
      <c r="CS6100" s="451"/>
      <c r="CT6100" s="451"/>
      <c r="CU6100" s="451"/>
      <c r="CV6100" s="451"/>
      <c r="CW6100" s="451"/>
      <c r="CX6100" s="451"/>
      <c r="CY6100" s="451"/>
      <c r="CZ6100" s="451"/>
      <c r="DA6100" s="451"/>
      <c r="DB6100" s="451"/>
      <c r="DC6100" s="451"/>
      <c r="DD6100" s="451"/>
      <c r="DE6100" s="451"/>
      <c r="DF6100" s="451"/>
      <c r="DG6100" s="451"/>
      <c r="DH6100" s="451"/>
      <c r="DI6100" s="451"/>
      <c r="DJ6100" s="451"/>
      <c r="DK6100" s="451"/>
      <c r="DL6100" s="451"/>
      <c r="DM6100" s="451"/>
      <c r="DN6100" s="451"/>
      <c r="DO6100" s="451"/>
      <c r="DP6100" s="451"/>
      <c r="DQ6100" s="451"/>
      <c r="DR6100" s="451"/>
      <c r="DS6100" s="451"/>
      <c r="DT6100" s="451"/>
      <c r="DU6100" s="451"/>
      <c r="DV6100" s="451"/>
      <c r="DW6100" s="451"/>
      <c r="DX6100" s="451"/>
      <c r="DY6100" s="451"/>
      <c r="DZ6100" s="451"/>
      <c r="EA6100" s="451"/>
      <c r="EB6100" s="451"/>
      <c r="EC6100" s="451"/>
      <c r="ED6100" s="451"/>
      <c r="EE6100" s="451"/>
      <c r="EF6100" s="451"/>
      <c r="EG6100" s="451"/>
      <c r="EH6100" s="451"/>
      <c r="EI6100" s="451"/>
      <c r="EJ6100" s="451"/>
      <c r="EK6100" s="451"/>
      <c r="EL6100" s="451"/>
      <c r="EM6100" s="451"/>
      <c r="EN6100" s="451"/>
      <c r="EO6100" s="451"/>
      <c r="EP6100" s="451"/>
      <c r="EQ6100" s="451"/>
      <c r="ER6100" s="451"/>
      <c r="ES6100" s="451"/>
    </row>
    <row r="6101" spans="1:149" ht="15" hidden="1" customHeight="1">
      <c r="A6101" s="468">
        <v>45547</v>
      </c>
      <c r="B6101" s="208" t="s">
        <v>4664</v>
      </c>
      <c r="C6101" s="208" t="s">
        <v>27</v>
      </c>
      <c r="D6101" s="211">
        <v>-339500</v>
      </c>
      <c r="E6101" s="212">
        <v>45536</v>
      </c>
      <c r="F6101" s="654" t="s">
        <v>110</v>
      </c>
      <c r="G6101" s="208" t="s">
        <v>4294</v>
      </c>
      <c r="H6101" s="208" t="s">
        <v>147</v>
      </c>
      <c r="I6101" s="208"/>
      <c r="J6101" s="209"/>
      <c r="K6101" s="209"/>
      <c r="L6101" s="209"/>
      <c r="M6101" s="209"/>
      <c r="N6101" s="209"/>
      <c r="O6101" s="209"/>
      <c r="P6101" s="209"/>
      <c r="Q6101" s="209"/>
      <c r="R6101" s="209"/>
      <c r="S6101" s="209"/>
      <c r="T6101" s="209"/>
      <c r="U6101" s="451"/>
      <c r="V6101" s="451"/>
      <c r="W6101" s="451"/>
      <c r="X6101" s="451"/>
      <c r="Y6101" s="451"/>
      <c r="Z6101" s="451"/>
      <c r="AA6101" s="451"/>
      <c r="AB6101" s="451"/>
      <c r="AC6101" s="451"/>
      <c r="AD6101" s="451"/>
      <c r="AE6101" s="451"/>
      <c r="AF6101" s="451"/>
      <c r="AG6101" s="451"/>
      <c r="AH6101" s="451"/>
      <c r="AI6101" s="451"/>
      <c r="AJ6101" s="451"/>
      <c r="AK6101" s="451"/>
      <c r="AL6101" s="451"/>
      <c r="AM6101" s="451"/>
      <c r="AN6101" s="451"/>
      <c r="AO6101" s="451"/>
      <c r="AP6101" s="451"/>
      <c r="AQ6101" s="451"/>
      <c r="AR6101" s="451"/>
      <c r="AS6101" s="451"/>
      <c r="AT6101" s="451"/>
      <c r="AU6101" s="451"/>
      <c r="AV6101" s="451"/>
      <c r="AW6101" s="451"/>
      <c r="AX6101" s="451"/>
      <c r="AY6101" s="451"/>
      <c r="AZ6101" s="451"/>
      <c r="BA6101" s="451"/>
      <c r="BB6101" s="451"/>
      <c r="BC6101" s="451"/>
      <c r="BD6101" s="451"/>
      <c r="BE6101" s="451"/>
      <c r="BF6101" s="451"/>
      <c r="BG6101" s="451"/>
      <c r="BH6101" s="451"/>
      <c r="BI6101" s="451"/>
      <c r="BJ6101" s="451"/>
      <c r="BK6101" s="451"/>
      <c r="BL6101" s="451"/>
      <c r="BM6101" s="451"/>
      <c r="BN6101" s="451"/>
      <c r="BO6101" s="451"/>
      <c r="BP6101" s="451"/>
      <c r="BQ6101" s="451"/>
      <c r="BR6101" s="451"/>
      <c r="BS6101" s="451"/>
      <c r="BT6101" s="451"/>
      <c r="BU6101" s="451"/>
      <c r="BV6101" s="451"/>
      <c r="BW6101" s="451"/>
      <c r="BX6101" s="451"/>
      <c r="BY6101" s="451"/>
      <c r="BZ6101" s="451"/>
      <c r="CA6101" s="451"/>
      <c r="CB6101" s="451"/>
      <c r="CC6101" s="451"/>
      <c r="CD6101" s="451"/>
      <c r="CE6101" s="451"/>
      <c r="CF6101" s="451"/>
      <c r="CG6101" s="451"/>
      <c r="CH6101" s="451"/>
      <c r="CI6101" s="451"/>
      <c r="CJ6101" s="451"/>
      <c r="CK6101" s="451"/>
      <c r="CL6101" s="451"/>
      <c r="CM6101" s="451"/>
      <c r="CN6101" s="451"/>
      <c r="CO6101" s="451"/>
      <c r="CP6101" s="451"/>
      <c r="CQ6101" s="451"/>
      <c r="CR6101" s="451"/>
      <c r="CS6101" s="451"/>
      <c r="CT6101" s="451"/>
      <c r="CU6101" s="451"/>
      <c r="CV6101" s="451"/>
      <c r="CW6101" s="451"/>
      <c r="CX6101" s="451"/>
      <c r="CY6101" s="451"/>
      <c r="CZ6101" s="451"/>
      <c r="DA6101" s="451"/>
      <c r="DB6101" s="451"/>
      <c r="DC6101" s="451"/>
      <c r="DD6101" s="451"/>
      <c r="DE6101" s="451"/>
      <c r="DF6101" s="451"/>
      <c r="DG6101" s="451"/>
      <c r="DH6101" s="451"/>
      <c r="DI6101" s="451"/>
      <c r="DJ6101" s="451"/>
      <c r="DK6101" s="451"/>
      <c r="DL6101" s="451"/>
      <c r="DM6101" s="451"/>
      <c r="DN6101" s="451"/>
      <c r="DO6101" s="451"/>
      <c r="DP6101" s="451"/>
      <c r="DQ6101" s="451"/>
      <c r="DR6101" s="451"/>
      <c r="DS6101" s="451"/>
      <c r="DT6101" s="451"/>
      <c r="DU6101" s="451"/>
      <c r="DV6101" s="451"/>
      <c r="DW6101" s="451"/>
      <c r="DX6101" s="451"/>
      <c r="DY6101" s="451"/>
      <c r="DZ6101" s="451"/>
      <c r="EA6101" s="451"/>
      <c r="EB6101" s="451"/>
      <c r="EC6101" s="451"/>
      <c r="ED6101" s="451"/>
      <c r="EE6101" s="451"/>
      <c r="EF6101" s="451"/>
      <c r="EG6101" s="451"/>
      <c r="EH6101" s="451"/>
      <c r="EI6101" s="451"/>
      <c r="EJ6101" s="451"/>
      <c r="EK6101" s="451"/>
      <c r="EL6101" s="451"/>
      <c r="EM6101" s="451"/>
      <c r="EN6101" s="451"/>
      <c r="EO6101" s="451"/>
      <c r="EP6101" s="451"/>
      <c r="EQ6101" s="451"/>
      <c r="ER6101" s="451"/>
      <c r="ES6101" s="451"/>
    </row>
    <row r="6102" spans="1:149" ht="15" hidden="1" customHeight="1">
      <c r="A6102" s="468">
        <v>45547</v>
      </c>
      <c r="B6102" s="208" t="s">
        <v>4665</v>
      </c>
      <c r="C6102" s="208" t="s">
        <v>27</v>
      </c>
      <c r="D6102" s="526">
        <v>-604000</v>
      </c>
      <c r="E6102" s="212">
        <v>45536</v>
      </c>
      <c r="F6102" s="654" t="s">
        <v>130</v>
      </c>
      <c r="G6102" s="654" t="s">
        <v>130</v>
      </c>
      <c r="H6102" s="208" t="s">
        <v>182</v>
      </c>
      <c r="I6102" s="208"/>
      <c r="J6102" s="209"/>
      <c r="K6102" s="209"/>
      <c r="L6102" s="209"/>
      <c r="M6102" s="209"/>
      <c r="N6102" s="209"/>
      <c r="O6102" s="209"/>
      <c r="P6102" s="209"/>
      <c r="Q6102" s="209"/>
      <c r="R6102" s="209"/>
      <c r="S6102" s="209"/>
      <c r="T6102" s="209"/>
      <c r="U6102" s="451"/>
      <c r="V6102" s="451"/>
      <c r="W6102" s="451"/>
      <c r="X6102" s="451"/>
      <c r="Y6102" s="451"/>
      <c r="Z6102" s="451"/>
      <c r="AA6102" s="451"/>
      <c r="AB6102" s="451"/>
      <c r="AC6102" s="451"/>
      <c r="AD6102" s="451"/>
      <c r="AE6102" s="451"/>
      <c r="AF6102" s="451"/>
      <c r="AG6102" s="451"/>
      <c r="AH6102" s="451"/>
      <c r="AI6102" s="451"/>
      <c r="AJ6102" s="451"/>
      <c r="AK6102" s="451"/>
      <c r="AL6102" s="451"/>
      <c r="AM6102" s="451"/>
      <c r="AN6102" s="451"/>
      <c r="AO6102" s="451"/>
      <c r="AP6102" s="451"/>
      <c r="AQ6102" s="451"/>
      <c r="AR6102" s="451"/>
      <c r="AS6102" s="451"/>
      <c r="AT6102" s="451"/>
      <c r="AU6102" s="451"/>
      <c r="AV6102" s="451"/>
      <c r="AW6102" s="451"/>
      <c r="AX6102" s="451"/>
      <c r="AY6102" s="451"/>
      <c r="AZ6102" s="451"/>
      <c r="BA6102" s="451"/>
      <c r="BB6102" s="451"/>
      <c r="BC6102" s="451"/>
      <c r="BD6102" s="451"/>
      <c r="BE6102" s="451"/>
      <c r="BF6102" s="451"/>
      <c r="BG6102" s="451"/>
      <c r="BH6102" s="451"/>
      <c r="BI6102" s="451"/>
      <c r="BJ6102" s="451"/>
      <c r="BK6102" s="451"/>
      <c r="BL6102" s="451"/>
      <c r="BM6102" s="451"/>
      <c r="BN6102" s="451"/>
      <c r="BO6102" s="451"/>
      <c r="BP6102" s="451"/>
      <c r="BQ6102" s="451"/>
      <c r="BR6102" s="451"/>
      <c r="BS6102" s="451"/>
      <c r="BT6102" s="451"/>
      <c r="BU6102" s="451"/>
      <c r="BV6102" s="451"/>
      <c r="BW6102" s="451"/>
      <c r="BX6102" s="451"/>
      <c r="BY6102" s="451"/>
      <c r="BZ6102" s="451"/>
      <c r="CA6102" s="451"/>
      <c r="CB6102" s="451"/>
      <c r="CC6102" s="451"/>
      <c r="CD6102" s="451"/>
      <c r="CE6102" s="451"/>
      <c r="CF6102" s="451"/>
      <c r="CG6102" s="451"/>
      <c r="CH6102" s="451"/>
      <c r="CI6102" s="451"/>
      <c r="CJ6102" s="451"/>
      <c r="CK6102" s="451"/>
      <c r="CL6102" s="451"/>
      <c r="CM6102" s="451"/>
      <c r="CN6102" s="451"/>
      <c r="CO6102" s="451"/>
      <c r="CP6102" s="451"/>
      <c r="CQ6102" s="451"/>
      <c r="CR6102" s="451"/>
      <c r="CS6102" s="451"/>
      <c r="CT6102" s="451"/>
      <c r="CU6102" s="451"/>
      <c r="CV6102" s="451"/>
      <c r="CW6102" s="451"/>
      <c r="CX6102" s="451"/>
      <c r="CY6102" s="451"/>
      <c r="CZ6102" s="451"/>
      <c r="DA6102" s="451"/>
      <c r="DB6102" s="451"/>
      <c r="DC6102" s="451"/>
      <c r="DD6102" s="451"/>
      <c r="DE6102" s="451"/>
      <c r="DF6102" s="451"/>
      <c r="DG6102" s="451"/>
      <c r="DH6102" s="451"/>
      <c r="DI6102" s="451"/>
      <c r="DJ6102" s="451"/>
      <c r="DK6102" s="451"/>
      <c r="DL6102" s="451"/>
      <c r="DM6102" s="451"/>
      <c r="DN6102" s="451"/>
      <c r="DO6102" s="451"/>
      <c r="DP6102" s="451"/>
      <c r="DQ6102" s="451"/>
      <c r="DR6102" s="451"/>
      <c r="DS6102" s="451"/>
      <c r="DT6102" s="451"/>
      <c r="DU6102" s="451"/>
      <c r="DV6102" s="451"/>
      <c r="DW6102" s="451"/>
      <c r="DX6102" s="451"/>
      <c r="DY6102" s="451"/>
      <c r="DZ6102" s="451"/>
      <c r="EA6102" s="451"/>
      <c r="EB6102" s="451"/>
      <c r="EC6102" s="451"/>
      <c r="ED6102" s="451"/>
      <c r="EE6102" s="451"/>
      <c r="EF6102" s="451"/>
      <c r="EG6102" s="451"/>
      <c r="EH6102" s="451"/>
      <c r="EI6102" s="451"/>
      <c r="EJ6102" s="451"/>
      <c r="EK6102" s="451"/>
      <c r="EL6102" s="451"/>
      <c r="EM6102" s="451"/>
      <c r="EN6102" s="451"/>
      <c r="EO6102" s="451"/>
      <c r="EP6102" s="451"/>
      <c r="EQ6102" s="451"/>
      <c r="ER6102" s="451"/>
      <c r="ES6102" s="451"/>
    </row>
    <row r="6103" spans="1:149" ht="15" hidden="1" customHeight="1">
      <c r="A6103" s="468">
        <v>45547</v>
      </c>
      <c r="B6103" s="208" t="s">
        <v>4665</v>
      </c>
      <c r="C6103" s="208" t="s">
        <v>27</v>
      </c>
      <c r="D6103" s="526">
        <v>-604000</v>
      </c>
      <c r="E6103" s="212">
        <v>45536</v>
      </c>
      <c r="F6103" s="654" t="s">
        <v>110</v>
      </c>
      <c r="G6103" s="208" t="s">
        <v>4294</v>
      </c>
      <c r="H6103" s="208" t="s">
        <v>147</v>
      </c>
      <c r="I6103" s="208"/>
      <c r="J6103" s="209"/>
      <c r="K6103" s="209"/>
      <c r="L6103" s="209"/>
      <c r="M6103" s="209"/>
      <c r="N6103" s="209"/>
      <c r="O6103" s="209"/>
      <c r="P6103" s="209"/>
      <c r="Q6103" s="209"/>
      <c r="R6103" s="209"/>
      <c r="S6103" s="209"/>
      <c r="T6103" s="209"/>
      <c r="U6103" s="451"/>
      <c r="V6103" s="451"/>
      <c r="W6103" s="451"/>
      <c r="X6103" s="451"/>
      <c r="Y6103" s="451"/>
      <c r="Z6103" s="451"/>
      <c r="AA6103" s="451"/>
      <c r="AB6103" s="451"/>
      <c r="AC6103" s="451"/>
      <c r="AD6103" s="451"/>
      <c r="AE6103" s="451"/>
      <c r="AF6103" s="451"/>
      <c r="AG6103" s="451"/>
      <c r="AH6103" s="451"/>
      <c r="AI6103" s="451"/>
      <c r="AJ6103" s="451"/>
      <c r="AK6103" s="451"/>
      <c r="AL6103" s="451"/>
      <c r="AM6103" s="451"/>
      <c r="AN6103" s="451"/>
      <c r="AO6103" s="451"/>
      <c r="AP6103" s="451"/>
      <c r="AQ6103" s="451"/>
      <c r="AR6103" s="451"/>
      <c r="AS6103" s="451"/>
      <c r="AT6103" s="451"/>
      <c r="AU6103" s="451"/>
      <c r="AV6103" s="451"/>
      <c r="AW6103" s="451"/>
      <c r="AX6103" s="451"/>
      <c r="AY6103" s="451"/>
      <c r="AZ6103" s="451"/>
      <c r="BA6103" s="451"/>
      <c r="BB6103" s="451"/>
      <c r="BC6103" s="451"/>
      <c r="BD6103" s="451"/>
      <c r="BE6103" s="451"/>
      <c r="BF6103" s="451"/>
      <c r="BG6103" s="451"/>
      <c r="BH6103" s="451"/>
      <c r="BI6103" s="451"/>
      <c r="BJ6103" s="451"/>
      <c r="BK6103" s="451"/>
      <c r="BL6103" s="451"/>
      <c r="BM6103" s="451"/>
      <c r="BN6103" s="451"/>
      <c r="BO6103" s="451"/>
      <c r="BP6103" s="451"/>
      <c r="BQ6103" s="451"/>
      <c r="BR6103" s="451"/>
      <c r="BS6103" s="451"/>
      <c r="BT6103" s="451"/>
      <c r="BU6103" s="451"/>
      <c r="BV6103" s="451"/>
      <c r="BW6103" s="451"/>
      <c r="BX6103" s="451"/>
      <c r="BY6103" s="451"/>
      <c r="BZ6103" s="451"/>
      <c r="CA6103" s="451"/>
      <c r="CB6103" s="451"/>
      <c r="CC6103" s="451"/>
      <c r="CD6103" s="451"/>
      <c r="CE6103" s="451"/>
      <c r="CF6103" s="451"/>
      <c r="CG6103" s="451"/>
      <c r="CH6103" s="451"/>
      <c r="CI6103" s="451"/>
      <c r="CJ6103" s="451"/>
      <c r="CK6103" s="451"/>
      <c r="CL6103" s="451"/>
      <c r="CM6103" s="451"/>
      <c r="CN6103" s="451"/>
      <c r="CO6103" s="451"/>
      <c r="CP6103" s="451"/>
      <c r="CQ6103" s="451"/>
      <c r="CR6103" s="451"/>
      <c r="CS6103" s="451"/>
      <c r="CT6103" s="451"/>
      <c r="CU6103" s="451"/>
      <c r="CV6103" s="451"/>
      <c r="CW6103" s="451"/>
      <c r="CX6103" s="451"/>
      <c r="CY6103" s="451"/>
      <c r="CZ6103" s="451"/>
      <c r="DA6103" s="451"/>
      <c r="DB6103" s="451"/>
      <c r="DC6103" s="451"/>
      <c r="DD6103" s="451"/>
      <c r="DE6103" s="451"/>
      <c r="DF6103" s="451"/>
      <c r="DG6103" s="451"/>
      <c r="DH6103" s="451"/>
      <c r="DI6103" s="451"/>
      <c r="DJ6103" s="451"/>
      <c r="DK6103" s="451"/>
      <c r="DL6103" s="451"/>
      <c r="DM6103" s="451"/>
      <c r="DN6103" s="451"/>
      <c r="DO6103" s="451"/>
      <c r="DP6103" s="451"/>
      <c r="DQ6103" s="451"/>
      <c r="DR6103" s="451"/>
      <c r="DS6103" s="451"/>
      <c r="DT6103" s="451"/>
      <c r="DU6103" s="451"/>
      <c r="DV6103" s="451"/>
      <c r="DW6103" s="451"/>
      <c r="DX6103" s="451"/>
      <c r="DY6103" s="451"/>
      <c r="DZ6103" s="451"/>
      <c r="EA6103" s="451"/>
      <c r="EB6103" s="451"/>
      <c r="EC6103" s="451"/>
      <c r="ED6103" s="451"/>
      <c r="EE6103" s="451"/>
      <c r="EF6103" s="451"/>
      <c r="EG6103" s="451"/>
      <c r="EH6103" s="451"/>
      <c r="EI6103" s="451"/>
      <c r="EJ6103" s="451"/>
      <c r="EK6103" s="451"/>
      <c r="EL6103" s="451"/>
      <c r="EM6103" s="451"/>
      <c r="EN6103" s="451"/>
      <c r="EO6103" s="451"/>
      <c r="EP6103" s="451"/>
      <c r="EQ6103" s="451"/>
      <c r="ER6103" s="451"/>
      <c r="ES6103" s="451"/>
    </row>
    <row r="6104" spans="1:149" ht="14.15" hidden="1">
      <c r="A6104" s="468">
        <v>45547</v>
      </c>
      <c r="B6104" s="208" t="s">
        <v>4666</v>
      </c>
      <c r="C6104" s="208" t="s">
        <v>27</v>
      </c>
      <c r="D6104" s="211">
        <v>-679000</v>
      </c>
      <c r="E6104" s="212">
        <v>45536</v>
      </c>
      <c r="F6104" s="654" t="s">
        <v>110</v>
      </c>
      <c r="G6104" s="201" t="s">
        <v>1489</v>
      </c>
      <c r="H6104" s="208" t="s">
        <v>147</v>
      </c>
      <c r="I6104" s="208"/>
      <c r="J6104" s="209"/>
      <c r="K6104" s="209"/>
      <c r="L6104" s="209"/>
      <c r="M6104" s="209"/>
      <c r="N6104" s="209"/>
      <c r="O6104" s="209"/>
      <c r="P6104" s="209"/>
      <c r="Q6104" s="209"/>
      <c r="R6104" s="209"/>
      <c r="S6104" s="209"/>
      <c r="T6104" s="209"/>
      <c r="U6104" s="451"/>
      <c r="V6104" s="451"/>
      <c r="W6104" s="451"/>
      <c r="X6104" s="451"/>
      <c r="Y6104" s="451"/>
      <c r="Z6104" s="451"/>
      <c r="AA6104" s="451"/>
      <c r="AB6104" s="451"/>
      <c r="AC6104" s="451"/>
      <c r="AD6104" s="451"/>
      <c r="AE6104" s="451"/>
      <c r="AF6104" s="451"/>
      <c r="AG6104" s="451"/>
      <c r="AH6104" s="451"/>
      <c r="AI6104" s="451"/>
      <c r="AJ6104" s="451"/>
      <c r="AK6104" s="451"/>
      <c r="AL6104" s="451"/>
      <c r="AM6104" s="451"/>
      <c r="AN6104" s="451"/>
      <c r="AO6104" s="451"/>
      <c r="AP6104" s="451"/>
      <c r="AQ6104" s="451"/>
      <c r="AR6104" s="451"/>
      <c r="AS6104" s="451"/>
      <c r="AT6104" s="451"/>
      <c r="AU6104" s="451"/>
      <c r="AV6104" s="451"/>
      <c r="AW6104" s="451"/>
      <c r="AX6104" s="451"/>
      <c r="AY6104" s="451"/>
      <c r="AZ6104" s="451"/>
      <c r="BA6104" s="451"/>
      <c r="BB6104" s="451"/>
      <c r="BC6104" s="451"/>
      <c r="BD6104" s="451"/>
      <c r="BE6104" s="451"/>
      <c r="BF6104" s="451"/>
      <c r="BG6104" s="451"/>
      <c r="BH6104" s="451"/>
      <c r="BI6104" s="451"/>
      <c r="BJ6104" s="451"/>
      <c r="BK6104" s="451"/>
      <c r="BL6104" s="451"/>
      <c r="BM6104" s="451"/>
      <c r="BN6104" s="451"/>
      <c r="BO6104" s="451"/>
      <c r="BP6104" s="451"/>
      <c r="BQ6104" s="451"/>
      <c r="BR6104" s="451"/>
      <c r="BS6104" s="451"/>
      <c r="BT6104" s="451"/>
      <c r="BU6104" s="451"/>
      <c r="BV6104" s="451"/>
      <c r="BW6104" s="451"/>
      <c r="BX6104" s="451"/>
      <c r="BY6104" s="451"/>
      <c r="BZ6104" s="451"/>
      <c r="CA6104" s="451"/>
      <c r="CB6104" s="451"/>
      <c r="CC6104" s="451"/>
      <c r="CD6104" s="451"/>
      <c r="CE6104" s="451"/>
      <c r="CF6104" s="451"/>
      <c r="CG6104" s="451"/>
      <c r="CH6104" s="451"/>
      <c r="CI6104" s="451"/>
      <c r="CJ6104" s="451"/>
      <c r="CK6104" s="451"/>
      <c r="CL6104" s="451"/>
      <c r="CM6104" s="451"/>
      <c r="CN6104" s="451"/>
      <c r="CO6104" s="451"/>
      <c r="CP6104" s="451"/>
      <c r="CQ6104" s="451"/>
      <c r="CR6104" s="451"/>
      <c r="CS6104" s="451"/>
      <c r="CT6104" s="451"/>
      <c r="CU6104" s="451"/>
      <c r="CV6104" s="451"/>
      <c r="CW6104" s="451"/>
      <c r="CX6104" s="451"/>
      <c r="CY6104" s="451"/>
      <c r="CZ6104" s="451"/>
      <c r="DA6104" s="451"/>
      <c r="DB6104" s="451"/>
      <c r="DC6104" s="451"/>
      <c r="DD6104" s="451"/>
      <c r="DE6104" s="451"/>
      <c r="DF6104" s="451"/>
      <c r="DG6104" s="451"/>
      <c r="DH6104" s="451"/>
      <c r="DI6104" s="451"/>
      <c r="DJ6104" s="451"/>
      <c r="DK6104" s="451"/>
      <c r="DL6104" s="451"/>
      <c r="DM6104" s="451"/>
      <c r="DN6104" s="451"/>
      <c r="DO6104" s="451"/>
      <c r="DP6104" s="451"/>
      <c r="DQ6104" s="451"/>
      <c r="DR6104" s="451"/>
      <c r="DS6104" s="451"/>
      <c r="DT6104" s="451"/>
      <c r="DU6104" s="451"/>
      <c r="DV6104" s="451"/>
      <c r="DW6104" s="451"/>
      <c r="DX6104" s="451"/>
      <c r="DY6104" s="451"/>
      <c r="DZ6104" s="451"/>
      <c r="EA6104" s="451"/>
      <c r="EB6104" s="451"/>
      <c r="EC6104" s="451"/>
      <c r="ED6104" s="451"/>
      <c r="EE6104" s="451"/>
      <c r="EF6104" s="451"/>
      <c r="EG6104" s="451"/>
      <c r="EH6104" s="451"/>
      <c r="EI6104" s="451"/>
      <c r="EJ6104" s="451"/>
      <c r="EK6104" s="451"/>
      <c r="EL6104" s="451"/>
      <c r="EM6104" s="451"/>
      <c r="EN6104" s="451"/>
      <c r="EO6104" s="451"/>
      <c r="EP6104" s="451"/>
      <c r="EQ6104" s="451"/>
      <c r="ER6104" s="451"/>
      <c r="ES6104" s="451"/>
    </row>
    <row r="6105" spans="1:149" s="451" customFormat="1" ht="14.15" hidden="1">
      <c r="A6105" s="468">
        <v>45547</v>
      </c>
      <c r="B6105" s="208" t="s">
        <v>4668</v>
      </c>
      <c r="C6105" s="208" t="s">
        <v>27</v>
      </c>
      <c r="D6105" s="211">
        <v>-487500</v>
      </c>
      <c r="E6105" s="212">
        <v>45536</v>
      </c>
      <c r="F6105" s="654" t="s">
        <v>130</v>
      </c>
      <c r="G6105" s="654" t="s">
        <v>130</v>
      </c>
      <c r="H6105" s="208" t="s">
        <v>182</v>
      </c>
      <c r="I6105" s="208"/>
      <c r="J6105" s="209"/>
      <c r="K6105" s="209"/>
      <c r="L6105" s="209"/>
      <c r="M6105" s="209"/>
      <c r="N6105" s="209"/>
      <c r="O6105" s="209"/>
      <c r="P6105" s="209"/>
      <c r="Q6105" s="209"/>
      <c r="R6105" s="209"/>
      <c r="S6105" s="209"/>
      <c r="T6105" s="209"/>
    </row>
    <row r="6106" spans="1:149" s="451" customFormat="1" ht="14.15" hidden="1">
      <c r="A6106" s="468">
        <v>45547</v>
      </c>
      <c r="B6106" s="208" t="s">
        <v>4669</v>
      </c>
      <c r="C6106" s="208" t="s">
        <v>27</v>
      </c>
      <c r="D6106" s="718">
        <v>-679000</v>
      </c>
      <c r="E6106" s="212">
        <v>45536</v>
      </c>
      <c r="F6106" s="654" t="s">
        <v>109</v>
      </c>
      <c r="G6106" s="201" t="s">
        <v>581</v>
      </c>
      <c r="H6106" s="208"/>
      <c r="I6106" s="208"/>
      <c r="J6106" s="209"/>
      <c r="K6106" s="209"/>
      <c r="L6106" s="209"/>
      <c r="M6106" s="209"/>
      <c r="N6106" s="209"/>
      <c r="O6106" s="209"/>
      <c r="P6106" s="209"/>
      <c r="Q6106" s="209"/>
      <c r="R6106" s="209"/>
      <c r="S6106" s="209"/>
      <c r="T6106" s="209"/>
    </row>
    <row r="6107" spans="1:149" s="451" customFormat="1" ht="14.15" hidden="1">
      <c r="A6107" s="468">
        <v>45547</v>
      </c>
      <c r="B6107" s="208" t="s">
        <v>4670</v>
      </c>
      <c r="C6107" s="208" t="s">
        <v>27</v>
      </c>
      <c r="D6107" s="718">
        <v>-1038260</v>
      </c>
      <c r="E6107" s="212">
        <v>45536</v>
      </c>
      <c r="F6107" s="654" t="s">
        <v>109</v>
      </c>
      <c r="G6107" s="201" t="s">
        <v>581</v>
      </c>
      <c r="H6107" s="208"/>
      <c r="I6107" s="208"/>
      <c r="J6107" s="209"/>
      <c r="K6107" s="209"/>
      <c r="L6107" s="209"/>
      <c r="M6107" s="209"/>
      <c r="N6107" s="209"/>
      <c r="O6107" s="209"/>
      <c r="P6107" s="209"/>
      <c r="Q6107" s="209"/>
      <c r="R6107" s="209"/>
      <c r="S6107" s="209"/>
      <c r="T6107" s="209"/>
    </row>
    <row r="6108" spans="1:149" s="451" customFormat="1" ht="14.15" hidden="1">
      <c r="A6108" s="468">
        <v>45547</v>
      </c>
      <c r="B6108" s="208" t="s">
        <v>4673</v>
      </c>
      <c r="C6108" s="208" t="s">
        <v>27</v>
      </c>
      <c r="D6108" s="718">
        <v>-679000</v>
      </c>
      <c r="E6108" s="212">
        <v>45536</v>
      </c>
      <c r="F6108" s="654" t="s">
        <v>109</v>
      </c>
      <c r="G6108" s="201" t="s">
        <v>581</v>
      </c>
      <c r="H6108" s="208"/>
      <c r="I6108" s="208"/>
      <c r="J6108" s="209"/>
      <c r="K6108" s="209"/>
      <c r="L6108" s="209"/>
      <c r="M6108" s="209"/>
      <c r="N6108" s="209"/>
      <c r="O6108" s="209"/>
      <c r="P6108" s="209"/>
      <c r="Q6108" s="209"/>
      <c r="R6108" s="209"/>
      <c r="S6108" s="209"/>
      <c r="T6108" s="209"/>
    </row>
    <row r="6109" spans="1:149" s="451" customFormat="1" ht="14.15" hidden="1">
      <c r="A6109" s="468">
        <v>45547</v>
      </c>
      <c r="B6109" s="208" t="s">
        <v>4674</v>
      </c>
      <c r="C6109" s="208" t="s">
        <v>27</v>
      </c>
      <c r="D6109" s="718">
        <v>-679000</v>
      </c>
      <c r="E6109" s="212">
        <v>45536</v>
      </c>
      <c r="F6109" s="654" t="s">
        <v>109</v>
      </c>
      <c r="G6109" s="201" t="s">
        <v>581</v>
      </c>
      <c r="H6109" s="208"/>
      <c r="I6109" s="208"/>
      <c r="J6109" s="209"/>
      <c r="K6109" s="209"/>
      <c r="L6109" s="209"/>
      <c r="M6109" s="209"/>
      <c r="N6109" s="209"/>
      <c r="O6109" s="209"/>
      <c r="P6109" s="209"/>
      <c r="Q6109" s="209"/>
      <c r="R6109" s="209"/>
      <c r="S6109" s="209"/>
      <c r="T6109" s="209"/>
    </row>
    <row r="6110" spans="1:149" s="451" customFormat="1" ht="14.15" hidden="1">
      <c r="A6110" s="468">
        <v>45547</v>
      </c>
      <c r="B6110" s="208" t="s">
        <v>4675</v>
      </c>
      <c r="C6110" s="208" t="s">
        <v>27</v>
      </c>
      <c r="D6110" s="718">
        <v>-679000</v>
      </c>
      <c r="E6110" s="212">
        <v>45536</v>
      </c>
      <c r="F6110" s="654" t="s">
        <v>109</v>
      </c>
      <c r="G6110" s="201" t="s">
        <v>581</v>
      </c>
      <c r="H6110" s="208"/>
      <c r="I6110" s="208"/>
      <c r="J6110" s="209"/>
      <c r="K6110" s="209"/>
      <c r="L6110" s="209"/>
      <c r="M6110" s="209"/>
      <c r="N6110" s="209"/>
      <c r="O6110" s="209"/>
      <c r="P6110" s="209"/>
      <c r="Q6110" s="209"/>
      <c r="R6110" s="209"/>
      <c r="S6110" s="209"/>
      <c r="T6110" s="209"/>
    </row>
    <row r="6111" spans="1:149" s="451" customFormat="1" ht="14.15" hidden="1">
      <c r="A6111" s="468">
        <v>45547</v>
      </c>
      <c r="B6111" s="208" t="s">
        <v>4676</v>
      </c>
      <c r="C6111" s="208" t="s">
        <v>27</v>
      </c>
      <c r="D6111" s="718">
        <v>-543200</v>
      </c>
      <c r="E6111" s="212">
        <v>45536</v>
      </c>
      <c r="F6111" s="654" t="s">
        <v>109</v>
      </c>
      <c r="G6111" s="201" t="s">
        <v>581</v>
      </c>
      <c r="H6111" s="208"/>
      <c r="I6111" s="208"/>
      <c r="J6111" s="209"/>
      <c r="K6111" s="209"/>
      <c r="L6111" s="209"/>
      <c r="M6111" s="209"/>
      <c r="N6111" s="209"/>
      <c r="O6111" s="209"/>
      <c r="P6111" s="209"/>
      <c r="Q6111" s="209"/>
      <c r="R6111" s="209"/>
      <c r="S6111" s="209"/>
      <c r="T6111" s="209"/>
    </row>
    <row r="6112" spans="1:149" s="451" customFormat="1" ht="14.15" hidden="1">
      <c r="A6112" s="468">
        <v>45547</v>
      </c>
      <c r="B6112" s="208" t="s">
        <v>4677</v>
      </c>
      <c r="C6112" s="208" t="s">
        <v>27</v>
      </c>
      <c r="D6112" s="718">
        <v>-543200</v>
      </c>
      <c r="E6112" s="212">
        <v>45536</v>
      </c>
      <c r="F6112" s="654" t="s">
        <v>109</v>
      </c>
      <c r="G6112" s="201" t="s">
        <v>581</v>
      </c>
      <c r="H6112" s="208"/>
      <c r="I6112" s="208"/>
      <c r="J6112" s="209"/>
      <c r="K6112" s="209"/>
      <c r="L6112" s="209"/>
      <c r="M6112" s="209"/>
      <c r="N6112" s="209"/>
      <c r="O6112" s="209"/>
      <c r="P6112" s="209"/>
      <c r="Q6112" s="209"/>
      <c r="R6112" s="209"/>
      <c r="S6112" s="209"/>
      <c r="T6112" s="209"/>
    </row>
    <row r="6113" spans="1:20" s="451" customFormat="1" ht="14.15" hidden="1">
      <c r="A6113" s="468">
        <v>45547</v>
      </c>
      <c r="B6113" s="208" t="s">
        <v>4678</v>
      </c>
      <c r="C6113" s="208" t="s">
        <v>27</v>
      </c>
      <c r="D6113" s="718">
        <v>-679000</v>
      </c>
      <c r="E6113" s="212">
        <v>45536</v>
      </c>
      <c r="F6113" s="654" t="s">
        <v>109</v>
      </c>
      <c r="G6113" s="201" t="s">
        <v>581</v>
      </c>
      <c r="H6113" s="208"/>
      <c r="I6113" s="208"/>
      <c r="J6113" s="209"/>
      <c r="K6113" s="209"/>
      <c r="L6113" s="209"/>
      <c r="M6113" s="209"/>
      <c r="N6113" s="209"/>
      <c r="O6113" s="209"/>
      <c r="P6113" s="209"/>
      <c r="Q6113" s="209"/>
      <c r="R6113" s="209"/>
      <c r="S6113" s="209"/>
      <c r="T6113" s="209"/>
    </row>
    <row r="6114" spans="1:20" s="451" customFormat="1" ht="14.15" hidden="1">
      <c r="A6114" s="468">
        <v>45547</v>
      </c>
      <c r="B6114" s="208" t="s">
        <v>4679</v>
      </c>
      <c r="C6114" s="208" t="s">
        <v>27</v>
      </c>
      <c r="D6114" s="718">
        <v>-679000</v>
      </c>
      <c r="E6114" s="212">
        <v>45536</v>
      </c>
      <c r="F6114" s="654" t="s">
        <v>109</v>
      </c>
      <c r="G6114" s="201" t="s">
        <v>581</v>
      </c>
      <c r="H6114" s="208"/>
      <c r="I6114" s="208"/>
      <c r="J6114" s="209"/>
      <c r="K6114" s="209"/>
      <c r="L6114" s="209"/>
      <c r="M6114" s="209"/>
      <c r="N6114" s="209"/>
      <c r="O6114" s="209"/>
      <c r="P6114" s="209"/>
      <c r="Q6114" s="209"/>
      <c r="R6114" s="209"/>
      <c r="S6114" s="209"/>
      <c r="T6114" s="209"/>
    </row>
    <row r="6115" spans="1:20" s="451" customFormat="1" ht="14.15" hidden="1">
      <c r="A6115" s="468">
        <v>45547</v>
      </c>
      <c r="B6115" s="208" t="s">
        <v>4680</v>
      </c>
      <c r="C6115" s="208" t="s">
        <v>27</v>
      </c>
      <c r="D6115" s="718">
        <v>-679000</v>
      </c>
      <c r="E6115" s="212">
        <v>45536</v>
      </c>
      <c r="F6115" s="654" t="s">
        <v>109</v>
      </c>
      <c r="G6115" s="201" t="s">
        <v>581</v>
      </c>
      <c r="H6115" s="208"/>
      <c r="I6115" s="208"/>
      <c r="J6115" s="209"/>
      <c r="K6115" s="209"/>
      <c r="L6115" s="209"/>
      <c r="M6115" s="209"/>
      <c r="N6115" s="209"/>
      <c r="O6115" s="209"/>
      <c r="P6115" s="209"/>
      <c r="Q6115" s="209"/>
      <c r="R6115" s="209"/>
      <c r="S6115" s="209"/>
      <c r="T6115" s="209"/>
    </row>
    <row r="6116" spans="1:20" s="451" customFormat="1" ht="14.15" hidden="1">
      <c r="A6116" s="468">
        <v>45547</v>
      </c>
      <c r="B6116" s="208" t="s">
        <v>4993</v>
      </c>
      <c r="C6116" s="208" t="s">
        <v>27</v>
      </c>
      <c r="D6116" s="211">
        <v>-679000</v>
      </c>
      <c r="E6116" s="212">
        <v>45536</v>
      </c>
      <c r="F6116" s="654" t="s">
        <v>130</v>
      </c>
      <c r="G6116" s="654" t="s">
        <v>130</v>
      </c>
      <c r="H6116" s="208" t="s">
        <v>182</v>
      </c>
      <c r="I6116" s="208"/>
      <c r="J6116" s="209"/>
      <c r="K6116" s="209"/>
      <c r="L6116" s="209"/>
      <c r="M6116" s="209"/>
      <c r="N6116" s="209"/>
      <c r="O6116" s="209"/>
      <c r="P6116" s="209"/>
      <c r="Q6116" s="209"/>
      <c r="R6116" s="209"/>
      <c r="S6116" s="209"/>
      <c r="T6116" s="209"/>
    </row>
    <row r="6117" spans="1:20" s="451" customFormat="1" ht="14.15" hidden="1">
      <c r="A6117" s="468">
        <v>45547</v>
      </c>
      <c r="B6117" s="208" t="s">
        <v>4687</v>
      </c>
      <c r="C6117" s="208" t="s">
        <v>27</v>
      </c>
      <c r="D6117" s="211">
        <v>-226333</v>
      </c>
      <c r="E6117" s="212">
        <v>45536</v>
      </c>
      <c r="F6117" s="654" t="s">
        <v>110</v>
      </c>
      <c r="G6117" s="201" t="s">
        <v>1489</v>
      </c>
      <c r="H6117" s="208" t="s">
        <v>147</v>
      </c>
      <c r="I6117" s="208"/>
      <c r="J6117" s="209"/>
      <c r="K6117" s="209"/>
      <c r="L6117" s="209"/>
      <c r="M6117" s="209"/>
      <c r="N6117" s="209"/>
      <c r="O6117" s="209"/>
      <c r="P6117" s="209"/>
      <c r="Q6117" s="209"/>
      <c r="R6117" s="209"/>
      <c r="S6117" s="209"/>
      <c r="T6117" s="209"/>
    </row>
    <row r="6118" spans="1:20" s="451" customFormat="1" ht="14.15" hidden="1">
      <c r="A6118" s="468">
        <v>45547</v>
      </c>
      <c r="B6118" s="208" t="s">
        <v>4687</v>
      </c>
      <c r="C6118" s="208" t="s">
        <v>27</v>
      </c>
      <c r="D6118" s="211">
        <v>-226334</v>
      </c>
      <c r="E6118" s="212">
        <v>45536</v>
      </c>
      <c r="F6118" s="208" t="s">
        <v>110</v>
      </c>
      <c r="G6118" s="208" t="s">
        <v>4399</v>
      </c>
      <c r="H6118" s="208" t="s">
        <v>147</v>
      </c>
      <c r="I6118" s="208"/>
      <c r="J6118" s="209"/>
      <c r="K6118" s="209"/>
      <c r="L6118" s="209"/>
      <c r="M6118" s="209"/>
      <c r="N6118" s="209"/>
      <c r="O6118" s="209"/>
      <c r="P6118" s="209"/>
      <c r="Q6118" s="209"/>
      <c r="R6118" s="209"/>
      <c r="S6118" s="209"/>
      <c r="T6118" s="209"/>
    </row>
    <row r="6119" spans="1:20" s="451" customFormat="1" ht="14.15" hidden="1">
      <c r="A6119" s="468">
        <v>45547</v>
      </c>
      <c r="B6119" s="208" t="s">
        <v>4687</v>
      </c>
      <c r="C6119" s="208" t="s">
        <v>27</v>
      </c>
      <c r="D6119" s="211">
        <v>-226333</v>
      </c>
      <c r="E6119" s="212">
        <v>45536</v>
      </c>
      <c r="F6119" s="654" t="s">
        <v>109</v>
      </c>
      <c r="G6119" s="208" t="s">
        <v>3529</v>
      </c>
      <c r="H6119" s="208" t="s">
        <v>147</v>
      </c>
      <c r="I6119" s="208"/>
      <c r="J6119" s="209"/>
      <c r="K6119" s="209"/>
      <c r="L6119" s="209"/>
      <c r="M6119" s="209"/>
      <c r="N6119" s="209"/>
      <c r="O6119" s="209"/>
      <c r="P6119" s="209"/>
      <c r="Q6119" s="209"/>
      <c r="R6119" s="209"/>
      <c r="S6119" s="209"/>
      <c r="T6119" s="209"/>
    </row>
    <row r="6120" spans="1:20" s="451" customFormat="1" ht="14.15" hidden="1">
      <c r="A6120" s="468">
        <v>45547</v>
      </c>
      <c r="B6120" s="208" t="s">
        <v>4681</v>
      </c>
      <c r="C6120" s="208" t="s">
        <v>27</v>
      </c>
      <c r="D6120" s="211">
        <v>-679000</v>
      </c>
      <c r="E6120" s="212">
        <v>45536</v>
      </c>
      <c r="F6120" s="208" t="s">
        <v>110</v>
      </c>
      <c r="G6120" s="208" t="s">
        <v>4399</v>
      </c>
      <c r="H6120" s="208" t="s">
        <v>147</v>
      </c>
      <c r="I6120" s="208"/>
      <c r="J6120" s="209"/>
      <c r="K6120" s="209"/>
      <c r="L6120" s="209"/>
      <c r="M6120" s="209"/>
      <c r="N6120" s="209"/>
      <c r="O6120" s="209"/>
      <c r="P6120" s="209"/>
      <c r="Q6120" s="209"/>
      <c r="R6120" s="209"/>
      <c r="S6120" s="209"/>
      <c r="T6120" s="209"/>
    </row>
    <row r="6121" spans="1:20" s="451" customFormat="1" ht="14.15" hidden="1">
      <c r="A6121" s="468">
        <v>45547</v>
      </c>
      <c r="B6121" s="208" t="s">
        <v>4682</v>
      </c>
      <c r="C6121" s="208" t="s">
        <v>27</v>
      </c>
      <c r="D6121" s="211">
        <v>-543200</v>
      </c>
      <c r="E6121" s="212">
        <v>45536</v>
      </c>
      <c r="F6121" s="654" t="s">
        <v>110</v>
      </c>
      <c r="G6121" s="201" t="s">
        <v>1489</v>
      </c>
      <c r="H6121" s="208" t="s">
        <v>147</v>
      </c>
      <c r="I6121" s="208"/>
      <c r="J6121" s="209"/>
      <c r="K6121" s="209"/>
      <c r="L6121" s="209"/>
      <c r="M6121" s="209"/>
      <c r="N6121" s="209"/>
      <c r="O6121" s="209"/>
      <c r="P6121" s="209"/>
      <c r="Q6121" s="209"/>
      <c r="R6121" s="209"/>
      <c r="S6121" s="209"/>
      <c r="T6121" s="209"/>
    </row>
    <row r="6122" spans="1:20" s="451" customFormat="1" ht="14.15" hidden="1">
      <c r="A6122" s="468">
        <v>45547</v>
      </c>
      <c r="B6122" s="208" t="s">
        <v>4682</v>
      </c>
      <c r="C6122" s="208" t="s">
        <v>27</v>
      </c>
      <c r="D6122" s="211">
        <v>-135800</v>
      </c>
      <c r="E6122" s="212">
        <v>45536</v>
      </c>
      <c r="F6122" s="654" t="s">
        <v>130</v>
      </c>
      <c r="G6122" s="654" t="s">
        <v>130</v>
      </c>
      <c r="H6122" s="208" t="s">
        <v>182</v>
      </c>
      <c r="I6122" s="208"/>
      <c r="J6122" s="209"/>
      <c r="K6122" s="209"/>
      <c r="L6122" s="209"/>
      <c r="M6122" s="209"/>
      <c r="N6122" s="209"/>
      <c r="O6122" s="209"/>
      <c r="P6122" s="209"/>
      <c r="Q6122" s="209"/>
      <c r="R6122" s="209"/>
      <c r="S6122" s="209"/>
      <c r="T6122" s="209"/>
    </row>
    <row r="6123" spans="1:20" s="451" customFormat="1" ht="14.15" hidden="1">
      <c r="A6123" s="468">
        <v>45547</v>
      </c>
      <c r="B6123" s="208" t="s">
        <v>4683</v>
      </c>
      <c r="C6123" s="208" t="s">
        <v>27</v>
      </c>
      <c r="D6123" s="211">
        <v>-679000</v>
      </c>
      <c r="E6123" s="212">
        <v>45536</v>
      </c>
      <c r="F6123" s="208" t="s">
        <v>110</v>
      </c>
      <c r="G6123" s="208" t="s">
        <v>4399</v>
      </c>
      <c r="H6123" s="208" t="s">
        <v>147</v>
      </c>
      <c r="I6123" s="208"/>
      <c r="J6123" s="209"/>
      <c r="K6123" s="209"/>
      <c r="L6123" s="209"/>
      <c r="M6123" s="209"/>
      <c r="N6123" s="209"/>
      <c r="O6123" s="209"/>
      <c r="P6123" s="209"/>
      <c r="Q6123" s="209"/>
      <c r="R6123" s="209"/>
      <c r="S6123" s="209"/>
      <c r="T6123" s="209"/>
    </row>
    <row r="6124" spans="1:20" s="451" customFormat="1" ht="14.15" hidden="1">
      <c r="A6124" s="468">
        <v>45547</v>
      </c>
      <c r="B6124" s="208" t="s">
        <v>4684</v>
      </c>
      <c r="C6124" s="208" t="s">
        <v>27</v>
      </c>
      <c r="D6124" s="211">
        <v>-679000</v>
      </c>
      <c r="E6124" s="212">
        <v>45536</v>
      </c>
      <c r="F6124" s="654" t="s">
        <v>110</v>
      </c>
      <c r="G6124" s="201" t="s">
        <v>1489</v>
      </c>
      <c r="H6124" s="208" t="s">
        <v>147</v>
      </c>
      <c r="I6124" s="208"/>
      <c r="J6124" s="209"/>
      <c r="K6124" s="209"/>
      <c r="L6124" s="209"/>
      <c r="M6124" s="209"/>
      <c r="N6124" s="209"/>
      <c r="O6124" s="209"/>
      <c r="P6124" s="209"/>
      <c r="Q6124" s="209"/>
      <c r="R6124" s="209"/>
      <c r="S6124" s="209"/>
      <c r="T6124" s="209"/>
    </row>
    <row r="6125" spans="1:20" s="451" customFormat="1" ht="14.15" hidden="1">
      <c r="A6125" s="468">
        <v>45547</v>
      </c>
      <c r="B6125" s="208" t="s">
        <v>4685</v>
      </c>
      <c r="C6125" s="208" t="s">
        <v>27</v>
      </c>
      <c r="D6125" s="526">
        <v>-426900</v>
      </c>
      <c r="E6125" s="212">
        <v>45536</v>
      </c>
      <c r="F6125" s="654" t="s">
        <v>110</v>
      </c>
      <c r="G6125" s="201" t="s">
        <v>1489</v>
      </c>
      <c r="H6125" s="208" t="s">
        <v>147</v>
      </c>
      <c r="I6125" s="208"/>
      <c r="J6125" s="209"/>
      <c r="K6125" s="209"/>
      <c r="L6125" s="209"/>
      <c r="M6125" s="209"/>
      <c r="N6125" s="209"/>
      <c r="O6125" s="209"/>
      <c r="P6125" s="209"/>
      <c r="Q6125" s="209"/>
      <c r="R6125" s="209"/>
      <c r="S6125" s="209"/>
      <c r="T6125" s="209"/>
    </row>
    <row r="6126" spans="1:20" s="451" customFormat="1" ht="14.15" hidden="1">
      <c r="A6126" s="468">
        <v>45547</v>
      </c>
      <c r="B6126" s="208" t="s">
        <v>4685</v>
      </c>
      <c r="C6126" s="208" t="s">
        <v>27</v>
      </c>
      <c r="D6126" s="526">
        <v>-284600</v>
      </c>
      <c r="E6126" s="212">
        <v>45536</v>
      </c>
      <c r="F6126" s="654" t="s">
        <v>130</v>
      </c>
      <c r="G6126" s="654" t="s">
        <v>130</v>
      </c>
      <c r="H6126" s="208" t="s">
        <v>182</v>
      </c>
      <c r="I6126" s="208"/>
      <c r="J6126" s="209"/>
      <c r="K6126" s="209"/>
      <c r="L6126" s="209"/>
      <c r="M6126" s="209"/>
      <c r="N6126" s="209"/>
      <c r="O6126" s="209"/>
      <c r="P6126" s="209"/>
      <c r="Q6126" s="209"/>
      <c r="R6126" s="209"/>
      <c r="S6126" s="209"/>
      <c r="T6126" s="209"/>
    </row>
    <row r="6127" spans="1:20" s="451" customFormat="1" ht="14.15" hidden="1">
      <c r="A6127" s="468">
        <v>45547</v>
      </c>
      <c r="B6127" s="208" t="s">
        <v>4994</v>
      </c>
      <c r="C6127" s="208" t="s">
        <v>27</v>
      </c>
      <c r="D6127" s="211">
        <v>-679000</v>
      </c>
      <c r="E6127" s="212">
        <v>45536</v>
      </c>
      <c r="F6127" s="654" t="s">
        <v>109</v>
      </c>
      <c r="G6127" s="208" t="s">
        <v>3529</v>
      </c>
      <c r="H6127" s="208" t="s">
        <v>147</v>
      </c>
      <c r="I6127" s="208"/>
      <c r="J6127" s="209"/>
      <c r="K6127" s="209"/>
      <c r="L6127" s="209"/>
      <c r="M6127" s="209"/>
      <c r="N6127" s="209"/>
      <c r="O6127" s="209"/>
      <c r="P6127" s="209"/>
      <c r="Q6127" s="209"/>
      <c r="R6127" s="209"/>
      <c r="S6127" s="209"/>
      <c r="T6127" s="209"/>
    </row>
    <row r="6128" spans="1:20" s="451" customFormat="1" ht="14.15" hidden="1">
      <c r="A6128" s="468">
        <v>45547</v>
      </c>
      <c r="B6128" s="208" t="s">
        <v>4707</v>
      </c>
      <c r="C6128" s="208" t="s">
        <v>27</v>
      </c>
      <c r="D6128" s="211">
        <v>-257000</v>
      </c>
      <c r="E6128" s="212">
        <v>45536</v>
      </c>
      <c r="F6128" s="654" t="s">
        <v>110</v>
      </c>
      <c r="G6128" s="201" t="s">
        <v>1489</v>
      </c>
      <c r="H6128" s="208" t="s">
        <v>147</v>
      </c>
      <c r="I6128" s="208"/>
      <c r="J6128" s="209"/>
      <c r="K6128" s="209"/>
      <c r="L6128" s="209"/>
      <c r="M6128" s="209"/>
      <c r="N6128" s="209"/>
      <c r="O6128" s="209"/>
      <c r="P6128" s="209"/>
      <c r="Q6128" s="209"/>
      <c r="R6128" s="209"/>
      <c r="S6128" s="209"/>
      <c r="T6128" s="209"/>
    </row>
    <row r="6129" spans="1:20" s="451" customFormat="1" ht="14.15" hidden="1">
      <c r="A6129" s="468">
        <v>45547</v>
      </c>
      <c r="B6129" s="208" t="s">
        <v>4707</v>
      </c>
      <c r="C6129" s="208" t="s">
        <v>27</v>
      </c>
      <c r="D6129" s="211">
        <v>-257000</v>
      </c>
      <c r="E6129" s="212">
        <v>45536</v>
      </c>
      <c r="F6129" s="208" t="s">
        <v>110</v>
      </c>
      <c r="G6129" s="208" t="s">
        <v>4399</v>
      </c>
      <c r="H6129" s="208" t="s">
        <v>147</v>
      </c>
      <c r="I6129" s="208"/>
      <c r="J6129" s="209"/>
      <c r="K6129" s="209"/>
      <c r="L6129" s="209"/>
      <c r="M6129" s="209"/>
      <c r="N6129" s="209"/>
      <c r="O6129" s="209"/>
      <c r="P6129" s="209"/>
      <c r="Q6129" s="209"/>
      <c r="R6129" s="209"/>
      <c r="S6129" s="209"/>
      <c r="T6129" s="209"/>
    </row>
    <row r="6130" spans="1:20" s="451" customFormat="1" ht="14.15" hidden="1">
      <c r="A6130" s="468">
        <v>45547</v>
      </c>
      <c r="B6130" s="208" t="s">
        <v>4707</v>
      </c>
      <c r="C6130" s="208" t="s">
        <v>27</v>
      </c>
      <c r="D6130" s="211">
        <v>-257000</v>
      </c>
      <c r="E6130" s="212">
        <v>45536</v>
      </c>
      <c r="F6130" s="654" t="s">
        <v>109</v>
      </c>
      <c r="G6130" s="208" t="s">
        <v>3529</v>
      </c>
      <c r="H6130" s="208" t="s">
        <v>147</v>
      </c>
      <c r="I6130" s="208"/>
      <c r="J6130" s="209"/>
      <c r="K6130" s="209"/>
      <c r="L6130" s="209"/>
      <c r="M6130" s="209"/>
      <c r="N6130" s="209"/>
      <c r="O6130" s="209"/>
      <c r="P6130" s="209"/>
      <c r="Q6130" s="209"/>
      <c r="R6130" s="209"/>
      <c r="S6130" s="209"/>
      <c r="T6130" s="209"/>
    </row>
    <row r="6131" spans="1:20" s="451" customFormat="1" ht="14.15" hidden="1">
      <c r="A6131" s="468">
        <v>45547</v>
      </c>
      <c r="B6131" s="208" t="s">
        <v>4692</v>
      </c>
      <c r="C6131" s="208" t="s">
        <v>27</v>
      </c>
      <c r="D6131" s="718">
        <v>-679000</v>
      </c>
      <c r="E6131" s="212">
        <v>45536</v>
      </c>
      <c r="F6131" s="654" t="s">
        <v>109</v>
      </c>
      <c r="G6131" s="201" t="s">
        <v>581</v>
      </c>
      <c r="H6131" s="208"/>
      <c r="I6131" s="208"/>
      <c r="J6131" s="209"/>
      <c r="K6131" s="209"/>
      <c r="L6131" s="209"/>
      <c r="M6131" s="209"/>
      <c r="N6131" s="209"/>
      <c r="O6131" s="209"/>
      <c r="P6131" s="209"/>
      <c r="Q6131" s="209"/>
      <c r="R6131" s="209"/>
      <c r="S6131" s="209"/>
      <c r="T6131" s="209"/>
    </row>
    <row r="6132" spans="1:20" s="451" customFormat="1" ht="14.15" hidden="1">
      <c r="A6132" s="468">
        <v>45547</v>
      </c>
      <c r="B6132" s="208" t="s">
        <v>4693</v>
      </c>
      <c r="C6132" s="208" t="s">
        <v>27</v>
      </c>
      <c r="D6132" s="718">
        <v>-679000</v>
      </c>
      <c r="E6132" s="212">
        <v>45536</v>
      </c>
      <c r="F6132" s="654" t="s">
        <v>109</v>
      </c>
      <c r="G6132" s="201" t="s">
        <v>581</v>
      </c>
      <c r="H6132" s="208"/>
      <c r="I6132" s="208"/>
      <c r="J6132" s="209"/>
      <c r="K6132" s="209"/>
      <c r="L6132" s="209"/>
      <c r="M6132" s="209"/>
      <c r="N6132" s="209"/>
      <c r="O6132" s="209"/>
      <c r="P6132" s="209"/>
      <c r="Q6132" s="209"/>
      <c r="R6132" s="209"/>
      <c r="S6132" s="209"/>
      <c r="T6132" s="209"/>
    </row>
    <row r="6133" spans="1:20" s="451" customFormat="1" ht="14.15" hidden="1">
      <c r="A6133" s="468">
        <v>45547</v>
      </c>
      <c r="B6133" s="208" t="s">
        <v>4694</v>
      </c>
      <c r="C6133" s="208" t="s">
        <v>27</v>
      </c>
      <c r="D6133" s="718">
        <v>-679000</v>
      </c>
      <c r="E6133" s="212">
        <v>45536</v>
      </c>
      <c r="F6133" s="654" t="s">
        <v>109</v>
      </c>
      <c r="G6133" s="201" t="s">
        <v>581</v>
      </c>
      <c r="H6133" s="208"/>
      <c r="I6133" s="208"/>
      <c r="J6133" s="209"/>
      <c r="K6133" s="209"/>
      <c r="L6133" s="209"/>
      <c r="M6133" s="209"/>
      <c r="N6133" s="209"/>
      <c r="O6133" s="209"/>
      <c r="P6133" s="209"/>
      <c r="Q6133" s="209"/>
      <c r="R6133" s="209"/>
      <c r="S6133" s="209"/>
      <c r="T6133" s="209"/>
    </row>
    <row r="6134" spans="1:20" s="451" customFormat="1" ht="14.15" hidden="1">
      <c r="A6134" s="468">
        <v>45547</v>
      </c>
      <c r="B6134" s="208" t="s">
        <v>4695</v>
      </c>
      <c r="C6134" s="208" t="s">
        <v>27</v>
      </c>
      <c r="D6134" s="718">
        <v>-679000</v>
      </c>
      <c r="E6134" s="212">
        <v>45536</v>
      </c>
      <c r="F6134" s="654" t="s">
        <v>109</v>
      </c>
      <c r="G6134" s="201" t="s">
        <v>581</v>
      </c>
      <c r="H6134" s="208"/>
      <c r="I6134" s="208"/>
      <c r="J6134" s="209"/>
      <c r="K6134" s="209"/>
      <c r="L6134" s="209"/>
      <c r="M6134" s="209"/>
      <c r="N6134" s="209"/>
      <c r="O6134" s="209"/>
      <c r="P6134" s="209"/>
      <c r="Q6134" s="209"/>
      <c r="R6134" s="209"/>
      <c r="S6134" s="209"/>
      <c r="T6134" s="209"/>
    </row>
    <row r="6135" spans="1:20" s="451" customFormat="1" ht="14.15" hidden="1">
      <c r="A6135" s="468">
        <v>45547</v>
      </c>
      <c r="B6135" s="208" t="s">
        <v>4700</v>
      </c>
      <c r="C6135" s="208" t="s">
        <v>27</v>
      </c>
      <c r="D6135" s="718">
        <v>-679000</v>
      </c>
      <c r="E6135" s="212">
        <v>45536</v>
      </c>
      <c r="F6135" s="654" t="s">
        <v>109</v>
      </c>
      <c r="G6135" s="201" t="s">
        <v>581</v>
      </c>
      <c r="H6135" s="208"/>
      <c r="I6135" s="208"/>
      <c r="J6135" s="209"/>
      <c r="K6135" s="209"/>
      <c r="L6135" s="209"/>
      <c r="M6135" s="209"/>
      <c r="N6135" s="209"/>
      <c r="O6135" s="209"/>
      <c r="P6135" s="209"/>
      <c r="Q6135" s="209"/>
      <c r="R6135" s="209"/>
      <c r="S6135" s="209"/>
      <c r="T6135" s="209"/>
    </row>
    <row r="6136" spans="1:20" s="451" customFormat="1" ht="14.15" hidden="1">
      <c r="A6136" s="468">
        <v>45547</v>
      </c>
      <c r="B6136" s="208" t="s">
        <v>4995</v>
      </c>
      <c r="C6136" s="208" t="s">
        <v>27</v>
      </c>
      <c r="D6136" s="718">
        <v>-679000</v>
      </c>
      <c r="E6136" s="212">
        <v>45536</v>
      </c>
      <c r="F6136" s="654" t="s">
        <v>109</v>
      </c>
      <c r="G6136" s="201" t="s">
        <v>581</v>
      </c>
      <c r="H6136" s="208"/>
      <c r="I6136" s="208"/>
      <c r="J6136" s="209"/>
      <c r="K6136" s="209"/>
      <c r="L6136" s="209"/>
      <c r="M6136" s="209"/>
      <c r="N6136" s="209"/>
      <c r="O6136" s="209"/>
      <c r="P6136" s="209"/>
      <c r="Q6136" s="209"/>
      <c r="R6136" s="209"/>
      <c r="S6136" s="209"/>
      <c r="T6136" s="209"/>
    </row>
    <row r="6137" spans="1:20" s="451" customFormat="1" ht="14.15" hidden="1">
      <c r="A6137" s="468">
        <v>45547</v>
      </c>
      <c r="B6137" s="208" t="s">
        <v>4702</v>
      </c>
      <c r="C6137" s="208" t="s">
        <v>27</v>
      </c>
      <c r="D6137" s="718">
        <v>-679000</v>
      </c>
      <c r="E6137" s="212">
        <v>45536</v>
      </c>
      <c r="F6137" s="654" t="s">
        <v>109</v>
      </c>
      <c r="G6137" s="201" t="s">
        <v>581</v>
      </c>
      <c r="H6137" s="208"/>
      <c r="I6137" s="208"/>
      <c r="J6137" s="209"/>
      <c r="K6137" s="209"/>
      <c r="L6137" s="209"/>
      <c r="M6137" s="209"/>
      <c r="N6137" s="209"/>
      <c r="O6137" s="209"/>
      <c r="P6137" s="209"/>
      <c r="Q6137" s="209"/>
      <c r="R6137" s="209"/>
      <c r="S6137" s="209"/>
      <c r="T6137" s="209"/>
    </row>
    <row r="6138" spans="1:20" s="451" customFormat="1" ht="14.15" hidden="1">
      <c r="A6138" s="468">
        <v>45547</v>
      </c>
      <c r="B6138" s="208" t="s">
        <v>4703</v>
      </c>
      <c r="C6138" s="208" t="s">
        <v>27</v>
      </c>
      <c r="D6138" s="718">
        <v>-679000</v>
      </c>
      <c r="E6138" s="212">
        <v>45536</v>
      </c>
      <c r="F6138" s="654" t="s">
        <v>109</v>
      </c>
      <c r="G6138" s="201" t="s">
        <v>581</v>
      </c>
      <c r="H6138" s="208"/>
      <c r="I6138" s="208"/>
      <c r="J6138" s="209"/>
      <c r="K6138" s="209"/>
      <c r="L6138" s="209"/>
      <c r="M6138" s="209"/>
      <c r="N6138" s="209"/>
      <c r="O6138" s="209"/>
      <c r="P6138" s="209"/>
      <c r="Q6138" s="209"/>
      <c r="R6138" s="209"/>
      <c r="S6138" s="209"/>
      <c r="T6138" s="209"/>
    </row>
    <row r="6139" spans="1:20" s="451" customFormat="1" ht="14.15" hidden="1">
      <c r="A6139" s="468">
        <v>45547</v>
      </c>
      <c r="B6139" s="208" t="s">
        <v>4704</v>
      </c>
      <c r="C6139" s="208" t="s">
        <v>27</v>
      </c>
      <c r="D6139" s="718">
        <v>-679000</v>
      </c>
      <c r="E6139" s="212">
        <v>45536</v>
      </c>
      <c r="F6139" s="654" t="s">
        <v>109</v>
      </c>
      <c r="G6139" s="201" t="s">
        <v>581</v>
      </c>
      <c r="H6139" s="208"/>
      <c r="I6139" s="208"/>
      <c r="J6139" s="209"/>
      <c r="K6139" s="209"/>
      <c r="L6139" s="209"/>
      <c r="M6139" s="209"/>
      <c r="N6139" s="209"/>
      <c r="O6139" s="209"/>
      <c r="P6139" s="209"/>
      <c r="Q6139" s="209"/>
      <c r="R6139" s="209"/>
      <c r="S6139" s="209"/>
      <c r="T6139" s="209"/>
    </row>
    <row r="6140" spans="1:20" s="451" customFormat="1" ht="14.15" hidden="1">
      <c r="A6140" s="468">
        <v>45547</v>
      </c>
      <c r="B6140" s="208" t="s">
        <v>4705</v>
      </c>
      <c r="C6140" s="208" t="s">
        <v>27</v>
      </c>
      <c r="D6140" s="718">
        <v>-679000</v>
      </c>
      <c r="E6140" s="212">
        <v>45536</v>
      </c>
      <c r="F6140" s="654" t="s">
        <v>109</v>
      </c>
      <c r="G6140" s="201" t="s">
        <v>581</v>
      </c>
      <c r="H6140" s="208"/>
      <c r="I6140" s="208"/>
      <c r="J6140" s="209"/>
      <c r="K6140" s="209"/>
      <c r="L6140" s="209"/>
      <c r="M6140" s="209"/>
      <c r="N6140" s="209"/>
      <c r="O6140" s="209"/>
      <c r="P6140" s="209"/>
      <c r="Q6140" s="209"/>
      <c r="R6140" s="209"/>
      <c r="S6140" s="209"/>
      <c r="T6140" s="209"/>
    </row>
    <row r="6141" spans="1:20" s="451" customFormat="1" ht="14.15" hidden="1">
      <c r="A6141" s="468">
        <v>45547</v>
      </c>
      <c r="B6141" s="208" t="s">
        <v>4996</v>
      </c>
      <c r="C6141" s="208" t="s">
        <v>27</v>
      </c>
      <c r="D6141" s="526">
        <v>-633735</v>
      </c>
      <c r="E6141" s="212">
        <v>45536</v>
      </c>
      <c r="F6141" s="654" t="s">
        <v>109</v>
      </c>
      <c r="G6141" s="208" t="s">
        <v>3529</v>
      </c>
      <c r="H6141" s="208" t="s">
        <v>147</v>
      </c>
      <c r="I6141" s="208"/>
      <c r="J6141" s="209"/>
      <c r="K6141" s="209"/>
      <c r="L6141" s="209"/>
      <c r="M6141" s="209"/>
      <c r="N6141" s="209"/>
      <c r="O6141" s="209"/>
      <c r="P6141" s="209"/>
      <c r="Q6141" s="209"/>
      <c r="R6141" s="209"/>
      <c r="S6141" s="209"/>
      <c r="T6141" s="209"/>
    </row>
    <row r="6142" spans="1:20" s="451" customFormat="1" ht="14.15" hidden="1">
      <c r="A6142" s="468">
        <v>45547</v>
      </c>
      <c r="B6142" s="208" t="s">
        <v>4997</v>
      </c>
      <c r="C6142" s="208" t="s">
        <v>27</v>
      </c>
      <c r="D6142" s="802">
        <v>-316866.66666666669</v>
      </c>
      <c r="E6142" s="212">
        <v>45536</v>
      </c>
      <c r="F6142" s="654" t="s">
        <v>109</v>
      </c>
      <c r="G6142" s="201" t="s">
        <v>581</v>
      </c>
      <c r="H6142" s="208"/>
      <c r="I6142" s="208"/>
      <c r="J6142" s="209"/>
      <c r="K6142" s="209"/>
      <c r="L6142" s="209"/>
      <c r="M6142" s="209"/>
      <c r="N6142" s="209"/>
      <c r="O6142" s="209"/>
      <c r="P6142" s="209"/>
      <c r="Q6142" s="209"/>
      <c r="R6142" s="209"/>
      <c r="S6142" s="209"/>
      <c r="T6142" s="209"/>
    </row>
    <row r="6143" spans="1:20" s="451" customFormat="1" ht="14.15" hidden="1">
      <c r="A6143" s="468">
        <v>45547</v>
      </c>
      <c r="B6143" s="208" t="s">
        <v>4998</v>
      </c>
      <c r="C6143" s="208" t="s">
        <v>27</v>
      </c>
      <c r="D6143" s="802">
        <v>-316866.66666666669</v>
      </c>
      <c r="E6143" s="212">
        <v>45536</v>
      </c>
      <c r="F6143" s="654" t="s">
        <v>109</v>
      </c>
      <c r="G6143" s="201" t="s">
        <v>581</v>
      </c>
      <c r="H6143" s="208"/>
      <c r="I6143" s="208"/>
      <c r="J6143" s="209"/>
      <c r="K6143" s="209"/>
      <c r="L6143" s="209"/>
      <c r="M6143" s="209"/>
      <c r="N6143" s="209"/>
      <c r="O6143" s="209"/>
      <c r="P6143" s="209"/>
      <c r="Q6143" s="209"/>
      <c r="R6143" s="209"/>
      <c r="S6143" s="209"/>
      <c r="T6143" s="209"/>
    </row>
    <row r="6144" spans="1:20" s="451" customFormat="1" ht="14.15" hidden="1">
      <c r="A6144" s="468">
        <v>45547</v>
      </c>
      <c r="B6144" s="208" t="s">
        <v>4999</v>
      </c>
      <c r="C6144" s="208" t="s">
        <v>27</v>
      </c>
      <c r="D6144" s="802">
        <v>-316866.66666666669</v>
      </c>
      <c r="E6144" s="212">
        <v>45536</v>
      </c>
      <c r="F6144" s="654" t="s">
        <v>109</v>
      </c>
      <c r="G6144" s="201" t="s">
        <v>581</v>
      </c>
      <c r="H6144" s="208"/>
      <c r="I6144" s="208"/>
      <c r="J6144" s="209"/>
      <c r="K6144" s="209"/>
      <c r="L6144" s="209"/>
      <c r="M6144" s="209"/>
      <c r="N6144" s="209"/>
      <c r="O6144" s="209"/>
      <c r="P6144" s="209"/>
      <c r="Q6144" s="209"/>
      <c r="R6144" s="209"/>
      <c r="S6144" s="209"/>
      <c r="T6144" s="209"/>
    </row>
    <row r="6145" spans="1:149" s="451" customFormat="1" ht="14.15" hidden="1">
      <c r="A6145" s="468">
        <v>45547</v>
      </c>
      <c r="B6145" s="208" t="s">
        <v>5000</v>
      </c>
      <c r="C6145" s="208" t="s">
        <v>27</v>
      </c>
      <c r="D6145" s="802">
        <v>-316866.66666666669</v>
      </c>
      <c r="E6145" s="212">
        <v>45536</v>
      </c>
      <c r="F6145" s="654" t="s">
        <v>109</v>
      </c>
      <c r="G6145" s="201" t="s">
        <v>581</v>
      </c>
      <c r="H6145" s="208"/>
      <c r="I6145" s="208"/>
      <c r="J6145" s="209"/>
      <c r="K6145" s="209"/>
      <c r="L6145" s="209"/>
      <c r="M6145" s="209"/>
      <c r="N6145" s="209"/>
      <c r="O6145" s="209"/>
      <c r="P6145" s="209"/>
      <c r="Q6145" s="209"/>
      <c r="R6145" s="209"/>
      <c r="S6145" s="209"/>
      <c r="T6145" s="209"/>
    </row>
    <row r="6146" spans="1:149" s="451" customFormat="1" ht="14.15" hidden="1">
      <c r="A6146" s="468">
        <v>45547</v>
      </c>
      <c r="B6146" s="208" t="s">
        <v>5001</v>
      </c>
      <c r="C6146" s="208" t="s">
        <v>27</v>
      </c>
      <c r="D6146" s="211">
        <v>-100000</v>
      </c>
      <c r="E6146" s="212">
        <v>45536</v>
      </c>
      <c r="F6146" s="654" t="s">
        <v>130</v>
      </c>
      <c r="G6146" s="654" t="s">
        <v>130</v>
      </c>
      <c r="H6146" s="208" t="s">
        <v>182</v>
      </c>
      <c r="I6146" s="208"/>
      <c r="J6146" s="209"/>
      <c r="K6146" s="209"/>
      <c r="L6146" s="209"/>
      <c r="M6146" s="209"/>
      <c r="N6146" s="209"/>
      <c r="O6146" s="209"/>
      <c r="P6146" s="209"/>
      <c r="Q6146" s="209"/>
      <c r="R6146" s="209"/>
      <c r="S6146" s="209"/>
      <c r="T6146" s="209"/>
    </row>
    <row r="6147" spans="1:149" s="209" customFormat="1" ht="14.15" hidden="1">
      <c r="A6147" s="468">
        <v>45547</v>
      </c>
      <c r="B6147" s="208" t="s">
        <v>3682</v>
      </c>
      <c r="C6147" s="208" t="s">
        <v>3331</v>
      </c>
      <c r="D6147" s="211">
        <v>550200</v>
      </c>
      <c r="E6147" s="212">
        <v>45536</v>
      </c>
      <c r="F6147" s="208" t="s">
        <v>108</v>
      </c>
      <c r="G6147" s="208"/>
      <c r="H6147" s="208"/>
      <c r="I6147" s="208"/>
    </row>
    <row r="6148" spans="1:149" s="451" customFormat="1" ht="14.15" hidden="1">
      <c r="A6148" s="468">
        <v>45547</v>
      </c>
      <c r="B6148" s="208" t="s">
        <v>5002</v>
      </c>
      <c r="C6148" s="208" t="s">
        <v>4783</v>
      </c>
      <c r="D6148" s="211">
        <v>-423401822.89999998</v>
      </c>
      <c r="E6148" s="212">
        <v>45536</v>
      </c>
      <c r="F6148" s="208" t="s">
        <v>109</v>
      </c>
      <c r="G6148" s="208" t="s">
        <v>10</v>
      </c>
      <c r="H6148" s="208" t="s">
        <v>461</v>
      </c>
      <c r="I6148" s="208"/>
      <c r="J6148" s="209"/>
      <c r="K6148" s="209"/>
      <c r="L6148" s="209"/>
      <c r="M6148" s="209"/>
      <c r="N6148" s="209"/>
      <c r="O6148" s="209"/>
      <c r="P6148" s="209"/>
      <c r="Q6148" s="209"/>
      <c r="R6148" s="209"/>
      <c r="S6148" s="209"/>
      <c r="T6148" s="209"/>
    </row>
    <row r="6149" spans="1:149" s="451" customFormat="1" ht="14.15" hidden="1">
      <c r="A6149" s="468">
        <v>45547</v>
      </c>
      <c r="B6149" s="81" t="s">
        <v>5003</v>
      </c>
      <c r="C6149" s="208" t="s">
        <v>643</v>
      </c>
      <c r="D6149" s="211">
        <v>-30000</v>
      </c>
      <c r="E6149" s="212">
        <v>45536</v>
      </c>
      <c r="F6149" s="208" t="s">
        <v>130</v>
      </c>
      <c r="G6149" s="208" t="s">
        <v>257</v>
      </c>
      <c r="H6149" s="208" t="s">
        <v>1138</v>
      </c>
      <c r="I6149" s="208"/>
      <c r="J6149" s="209"/>
      <c r="K6149" s="209"/>
      <c r="L6149" s="209"/>
      <c r="M6149" s="209"/>
      <c r="N6149" s="209"/>
      <c r="O6149" s="209"/>
      <c r="P6149" s="209"/>
      <c r="Q6149" s="209"/>
      <c r="R6149" s="209"/>
      <c r="S6149" s="209"/>
      <c r="T6149" s="209"/>
      <c r="U6149" s="165"/>
      <c r="V6149" s="165"/>
      <c r="W6149" s="165"/>
      <c r="X6149" s="165"/>
      <c r="Y6149" s="165"/>
      <c r="Z6149" s="165"/>
      <c r="AA6149" s="165"/>
      <c r="AB6149" s="165"/>
      <c r="AC6149" s="165"/>
      <c r="AD6149" s="165"/>
      <c r="AE6149" s="165"/>
      <c r="AF6149" s="165"/>
      <c r="AG6149" s="165"/>
      <c r="AH6149" s="165"/>
      <c r="AI6149" s="165"/>
      <c r="AJ6149" s="165"/>
      <c r="AK6149" s="165"/>
      <c r="AL6149" s="165"/>
      <c r="AM6149" s="165"/>
      <c r="AN6149" s="165"/>
      <c r="AO6149" s="165"/>
      <c r="AP6149" s="165"/>
      <c r="AQ6149" s="165"/>
      <c r="AR6149" s="165"/>
      <c r="AS6149" s="165"/>
      <c r="AT6149" s="165"/>
      <c r="AU6149" s="165"/>
      <c r="AV6149" s="165"/>
      <c r="AW6149" s="165"/>
      <c r="AX6149" s="165"/>
      <c r="AY6149" s="165"/>
      <c r="AZ6149" s="165"/>
      <c r="BA6149" s="165"/>
      <c r="BB6149" s="165"/>
      <c r="BC6149" s="165"/>
      <c r="BD6149" s="165"/>
      <c r="BE6149" s="165"/>
      <c r="BF6149" s="165"/>
      <c r="BG6149" s="165"/>
      <c r="BH6149" s="165"/>
      <c r="BI6149" s="165"/>
      <c r="BJ6149" s="165"/>
      <c r="BK6149" s="165"/>
      <c r="BL6149" s="165"/>
      <c r="BM6149" s="165"/>
      <c r="BN6149" s="165"/>
      <c r="BO6149" s="165"/>
      <c r="BP6149" s="165"/>
      <c r="BQ6149" s="165"/>
      <c r="BR6149" s="165"/>
      <c r="BS6149" s="165"/>
      <c r="BT6149" s="165"/>
      <c r="BU6149" s="165"/>
      <c r="BV6149" s="165"/>
      <c r="BW6149" s="165"/>
      <c r="BX6149" s="165"/>
      <c r="BY6149" s="165"/>
      <c r="BZ6149" s="165"/>
      <c r="CA6149" s="165"/>
      <c r="CB6149" s="165"/>
      <c r="CC6149" s="165"/>
      <c r="CD6149" s="165"/>
      <c r="CE6149" s="165"/>
      <c r="CF6149" s="165"/>
      <c r="CG6149" s="165"/>
      <c r="CH6149" s="165"/>
      <c r="CI6149" s="165"/>
      <c r="CJ6149" s="165"/>
      <c r="CK6149" s="165"/>
      <c r="CL6149" s="165"/>
      <c r="CM6149" s="165"/>
      <c r="CN6149" s="165"/>
      <c r="CO6149" s="165"/>
      <c r="CP6149" s="165"/>
      <c r="CQ6149" s="165"/>
      <c r="CR6149" s="165"/>
      <c r="CS6149" s="165"/>
      <c r="CT6149" s="165"/>
      <c r="CU6149" s="165"/>
      <c r="CV6149" s="165"/>
      <c r="CW6149" s="165"/>
      <c r="CX6149" s="165"/>
      <c r="CY6149" s="165"/>
      <c r="CZ6149" s="165"/>
      <c r="DA6149" s="165"/>
      <c r="DB6149" s="165"/>
      <c r="DC6149" s="165"/>
      <c r="DD6149" s="165"/>
      <c r="DE6149" s="165"/>
      <c r="DF6149" s="165"/>
      <c r="DG6149" s="165"/>
      <c r="DH6149" s="165"/>
      <c r="DI6149" s="165"/>
      <c r="DJ6149" s="165"/>
      <c r="DK6149" s="165"/>
      <c r="DL6149" s="165"/>
      <c r="DM6149" s="165"/>
      <c r="DN6149" s="165"/>
      <c r="DO6149" s="165"/>
      <c r="DP6149" s="165"/>
      <c r="DQ6149" s="165"/>
      <c r="DR6149" s="165"/>
      <c r="DS6149" s="165"/>
      <c r="DT6149" s="165"/>
      <c r="DU6149" s="165"/>
      <c r="DV6149" s="165"/>
      <c r="DW6149" s="165"/>
      <c r="DX6149" s="165"/>
      <c r="DY6149" s="165"/>
      <c r="DZ6149" s="165"/>
      <c r="EA6149" s="165"/>
      <c r="EB6149" s="165"/>
      <c r="EC6149" s="165"/>
      <c r="ED6149" s="165"/>
      <c r="EE6149" s="165"/>
      <c r="EF6149" s="165"/>
      <c r="EG6149" s="165"/>
      <c r="EH6149" s="165"/>
      <c r="EI6149" s="165"/>
      <c r="EJ6149" s="165"/>
      <c r="EK6149" s="165"/>
      <c r="EL6149" s="165"/>
      <c r="EM6149" s="165"/>
      <c r="EN6149" s="165"/>
      <c r="EO6149" s="165"/>
      <c r="EP6149" s="165"/>
      <c r="EQ6149" s="165"/>
      <c r="ER6149" s="165"/>
      <c r="ES6149" s="165"/>
    </row>
    <row r="6150" spans="1:149" s="451" customFormat="1" ht="14.15" hidden="1">
      <c r="A6150" s="468">
        <v>45547</v>
      </c>
      <c r="B6150" s="208" t="s">
        <v>5004</v>
      </c>
      <c r="C6150" s="208" t="s">
        <v>269</v>
      </c>
      <c r="D6150" s="211">
        <v>-40000</v>
      </c>
      <c r="E6150" s="212">
        <v>45536</v>
      </c>
      <c r="F6150" s="208" t="s">
        <v>109</v>
      </c>
      <c r="G6150" s="201" t="s">
        <v>581</v>
      </c>
      <c r="H6150" s="208"/>
      <c r="I6150" s="208" t="s">
        <v>3364</v>
      </c>
      <c r="J6150" s="209"/>
      <c r="K6150" s="209"/>
      <c r="L6150" s="209"/>
      <c r="M6150" s="209"/>
      <c r="N6150" s="209"/>
      <c r="O6150" s="209"/>
      <c r="P6150" s="209"/>
      <c r="Q6150" s="209"/>
      <c r="R6150" s="209"/>
      <c r="S6150" s="209"/>
      <c r="T6150" s="209"/>
      <c r="U6150" s="165"/>
      <c r="V6150" s="165"/>
      <c r="W6150" s="165"/>
      <c r="X6150" s="165"/>
      <c r="Y6150" s="165"/>
      <c r="Z6150" s="165"/>
      <c r="AA6150" s="165"/>
      <c r="AB6150" s="165"/>
      <c r="AC6150" s="165"/>
      <c r="AD6150" s="165"/>
      <c r="AE6150" s="165"/>
      <c r="AF6150" s="165"/>
      <c r="AG6150" s="165"/>
      <c r="AH6150" s="165"/>
      <c r="AI6150" s="165"/>
      <c r="AJ6150" s="165"/>
      <c r="AK6150" s="165"/>
      <c r="AL6150" s="165"/>
      <c r="AM6150" s="165"/>
      <c r="AN6150" s="165"/>
      <c r="AO6150" s="165"/>
      <c r="AP6150" s="165"/>
      <c r="AQ6150" s="165"/>
      <c r="AR6150" s="165"/>
      <c r="AS6150" s="165"/>
      <c r="AT6150" s="165"/>
      <c r="AU6150" s="165"/>
      <c r="AV6150" s="165"/>
      <c r="AW6150" s="165"/>
      <c r="AX6150" s="165"/>
      <c r="AY6150" s="165"/>
      <c r="AZ6150" s="165"/>
      <c r="BA6150" s="165"/>
      <c r="BB6150" s="165"/>
      <c r="BC6150" s="165"/>
      <c r="BD6150" s="165"/>
      <c r="BE6150" s="165"/>
      <c r="BF6150" s="165"/>
      <c r="BG6150" s="165"/>
      <c r="BH6150" s="165"/>
      <c r="BI6150" s="165"/>
      <c r="BJ6150" s="165"/>
      <c r="BK6150" s="165"/>
      <c r="BL6150" s="165"/>
      <c r="BM6150" s="165"/>
      <c r="BN6150" s="165"/>
      <c r="BO6150" s="165"/>
      <c r="BP6150" s="165"/>
      <c r="BQ6150" s="165"/>
      <c r="BR6150" s="165"/>
      <c r="BS6150" s="165"/>
      <c r="BT6150" s="165"/>
      <c r="BU6150" s="165"/>
      <c r="BV6150" s="165"/>
      <c r="BW6150" s="165"/>
      <c r="BX6150" s="165"/>
      <c r="BY6150" s="165"/>
      <c r="BZ6150" s="165"/>
      <c r="CA6150" s="165"/>
      <c r="CB6150" s="165"/>
      <c r="CC6150" s="165"/>
      <c r="CD6150" s="165"/>
      <c r="CE6150" s="165"/>
      <c r="CF6150" s="165"/>
      <c r="CG6150" s="165"/>
      <c r="CH6150" s="165"/>
      <c r="CI6150" s="165"/>
      <c r="CJ6150" s="165"/>
      <c r="CK6150" s="165"/>
      <c r="CL6150" s="165"/>
      <c r="CM6150" s="165"/>
      <c r="CN6150" s="165"/>
      <c r="CO6150" s="165"/>
      <c r="CP6150" s="165"/>
      <c r="CQ6150" s="165"/>
      <c r="CR6150" s="165"/>
      <c r="CS6150" s="165"/>
      <c r="CT6150" s="165"/>
      <c r="CU6150" s="165"/>
      <c r="CV6150" s="165"/>
      <c r="CW6150" s="165"/>
      <c r="CX6150" s="165"/>
      <c r="CY6150" s="165"/>
      <c r="CZ6150" s="165"/>
      <c r="DA6150" s="165"/>
      <c r="DB6150" s="165"/>
      <c r="DC6150" s="165"/>
      <c r="DD6150" s="165"/>
      <c r="DE6150" s="165"/>
      <c r="DF6150" s="165"/>
      <c r="DG6150" s="165"/>
      <c r="DH6150" s="165"/>
      <c r="DI6150" s="165"/>
      <c r="DJ6150" s="165"/>
      <c r="DK6150" s="165"/>
      <c r="DL6150" s="165"/>
      <c r="DM6150" s="165"/>
      <c r="DN6150" s="165"/>
      <c r="DO6150" s="165"/>
      <c r="DP6150" s="165"/>
      <c r="DQ6150" s="165"/>
      <c r="DR6150" s="165"/>
      <c r="DS6150" s="165"/>
      <c r="DT6150" s="165"/>
      <c r="DU6150" s="165"/>
      <c r="DV6150" s="165"/>
      <c r="DW6150" s="165"/>
      <c r="DX6150" s="165"/>
      <c r="DY6150" s="165"/>
      <c r="DZ6150" s="165"/>
      <c r="EA6150" s="165"/>
      <c r="EB6150" s="165"/>
      <c r="EC6150" s="165"/>
      <c r="ED6150" s="165"/>
      <c r="EE6150" s="165"/>
      <c r="EF6150" s="165"/>
      <c r="EG6150" s="165"/>
      <c r="EH6150" s="165"/>
      <c r="EI6150" s="165"/>
      <c r="EJ6150" s="165"/>
      <c r="EK6150" s="165"/>
      <c r="EL6150" s="165"/>
      <c r="EM6150" s="165"/>
      <c r="EN6150" s="165"/>
      <c r="EO6150" s="165"/>
      <c r="EP6150" s="165"/>
      <c r="EQ6150" s="165"/>
      <c r="ER6150" s="165"/>
      <c r="ES6150" s="165"/>
    </row>
    <row r="6151" spans="1:149" s="451" customFormat="1" ht="14.15" hidden="1">
      <c r="A6151" s="468">
        <v>45547</v>
      </c>
      <c r="B6151" s="208" t="s">
        <v>5005</v>
      </c>
      <c r="C6151" s="208" t="s">
        <v>269</v>
      </c>
      <c r="D6151" s="211">
        <v>-60000</v>
      </c>
      <c r="E6151" s="212">
        <v>45536</v>
      </c>
      <c r="F6151" s="208" t="s">
        <v>109</v>
      </c>
      <c r="G6151" s="201" t="s">
        <v>581</v>
      </c>
      <c r="H6151" s="208"/>
      <c r="I6151" s="208" t="s">
        <v>3364</v>
      </c>
      <c r="J6151" s="209"/>
      <c r="K6151" s="209"/>
      <c r="L6151" s="209"/>
      <c r="M6151" s="209"/>
      <c r="N6151" s="209"/>
      <c r="O6151" s="209"/>
      <c r="P6151" s="209"/>
      <c r="Q6151" s="209"/>
      <c r="R6151" s="209"/>
      <c r="S6151" s="209"/>
      <c r="T6151" s="209"/>
      <c r="U6151" s="165"/>
      <c r="V6151" s="165"/>
      <c r="W6151" s="165"/>
      <c r="X6151" s="165"/>
      <c r="Y6151" s="165"/>
      <c r="Z6151" s="165"/>
      <c r="AA6151" s="165"/>
      <c r="AB6151" s="165"/>
      <c r="AC6151" s="165"/>
      <c r="AD6151" s="165"/>
      <c r="AE6151" s="165"/>
      <c r="AF6151" s="165"/>
      <c r="AG6151" s="165"/>
      <c r="AH6151" s="165"/>
      <c r="AI6151" s="165"/>
      <c r="AJ6151" s="165"/>
      <c r="AK6151" s="165"/>
      <c r="AL6151" s="165"/>
      <c r="AM6151" s="165"/>
      <c r="AN6151" s="165"/>
      <c r="AO6151" s="165"/>
      <c r="AP6151" s="165"/>
      <c r="AQ6151" s="165"/>
      <c r="AR6151" s="165"/>
      <c r="AS6151" s="165"/>
      <c r="AT6151" s="165"/>
      <c r="AU6151" s="165"/>
      <c r="AV6151" s="165"/>
      <c r="AW6151" s="165"/>
      <c r="AX6151" s="165"/>
      <c r="AY6151" s="165"/>
      <c r="AZ6151" s="165"/>
      <c r="BA6151" s="165"/>
      <c r="BB6151" s="165"/>
      <c r="BC6151" s="165"/>
      <c r="BD6151" s="165"/>
      <c r="BE6151" s="165"/>
      <c r="BF6151" s="165"/>
      <c r="BG6151" s="165"/>
      <c r="BH6151" s="165"/>
      <c r="BI6151" s="165"/>
      <c r="BJ6151" s="165"/>
      <c r="BK6151" s="165"/>
      <c r="BL6151" s="165"/>
      <c r="BM6151" s="165"/>
      <c r="BN6151" s="165"/>
      <c r="BO6151" s="165"/>
      <c r="BP6151" s="165"/>
      <c r="BQ6151" s="165"/>
      <c r="BR6151" s="165"/>
      <c r="BS6151" s="165"/>
      <c r="BT6151" s="165"/>
      <c r="BU6151" s="165"/>
      <c r="BV6151" s="165"/>
      <c r="BW6151" s="165"/>
      <c r="BX6151" s="165"/>
      <c r="BY6151" s="165"/>
      <c r="BZ6151" s="165"/>
      <c r="CA6151" s="165"/>
      <c r="CB6151" s="165"/>
      <c r="CC6151" s="165"/>
      <c r="CD6151" s="165"/>
      <c r="CE6151" s="165"/>
      <c r="CF6151" s="165"/>
      <c r="CG6151" s="165"/>
      <c r="CH6151" s="165"/>
      <c r="CI6151" s="165"/>
      <c r="CJ6151" s="165"/>
      <c r="CK6151" s="165"/>
      <c r="CL6151" s="165"/>
      <c r="CM6151" s="165"/>
      <c r="CN6151" s="165"/>
      <c r="CO6151" s="165"/>
      <c r="CP6151" s="165"/>
      <c r="CQ6151" s="165"/>
      <c r="CR6151" s="165"/>
      <c r="CS6151" s="165"/>
      <c r="CT6151" s="165"/>
      <c r="CU6151" s="165"/>
      <c r="CV6151" s="165"/>
      <c r="CW6151" s="165"/>
      <c r="CX6151" s="165"/>
      <c r="CY6151" s="165"/>
      <c r="CZ6151" s="165"/>
      <c r="DA6151" s="165"/>
      <c r="DB6151" s="165"/>
      <c r="DC6151" s="165"/>
      <c r="DD6151" s="165"/>
      <c r="DE6151" s="165"/>
      <c r="DF6151" s="165"/>
      <c r="DG6151" s="165"/>
      <c r="DH6151" s="165"/>
      <c r="DI6151" s="165"/>
      <c r="DJ6151" s="165"/>
      <c r="DK6151" s="165"/>
      <c r="DL6151" s="165"/>
      <c r="DM6151" s="165"/>
      <c r="DN6151" s="165"/>
      <c r="DO6151" s="165"/>
      <c r="DP6151" s="165"/>
      <c r="DQ6151" s="165"/>
      <c r="DR6151" s="165"/>
      <c r="DS6151" s="165"/>
      <c r="DT6151" s="165"/>
      <c r="DU6151" s="165"/>
      <c r="DV6151" s="165"/>
      <c r="DW6151" s="165"/>
      <c r="DX6151" s="165"/>
      <c r="DY6151" s="165"/>
      <c r="DZ6151" s="165"/>
      <c r="EA6151" s="165"/>
      <c r="EB6151" s="165"/>
      <c r="EC6151" s="165"/>
      <c r="ED6151" s="165"/>
      <c r="EE6151" s="165"/>
      <c r="EF6151" s="165"/>
      <c r="EG6151" s="165"/>
      <c r="EH6151" s="165"/>
      <c r="EI6151" s="165"/>
      <c r="EJ6151" s="165"/>
      <c r="EK6151" s="165"/>
      <c r="EL6151" s="165"/>
      <c r="EM6151" s="165"/>
      <c r="EN6151" s="165"/>
      <c r="EO6151" s="165"/>
      <c r="EP6151" s="165"/>
      <c r="EQ6151" s="165"/>
      <c r="ER6151" s="165"/>
      <c r="ES6151" s="165"/>
    </row>
    <row r="6152" spans="1:149" s="451" customFormat="1" ht="14.15" hidden="1">
      <c r="A6152" s="468">
        <v>45547</v>
      </c>
      <c r="B6152" s="208" t="s">
        <v>4908</v>
      </c>
      <c r="C6152" s="208" t="s">
        <v>269</v>
      </c>
      <c r="D6152" s="718">
        <v>-13500</v>
      </c>
      <c r="E6152" s="212">
        <v>45536</v>
      </c>
      <c r="F6152" s="208" t="s">
        <v>109</v>
      </c>
      <c r="G6152" s="201" t="s">
        <v>581</v>
      </c>
      <c r="H6152" s="208"/>
      <c r="I6152" s="208" t="s">
        <v>3364</v>
      </c>
      <c r="J6152" s="209"/>
      <c r="K6152" s="209"/>
      <c r="L6152" s="209"/>
      <c r="M6152" s="209"/>
      <c r="N6152" s="209"/>
      <c r="O6152" s="209"/>
      <c r="P6152" s="209"/>
      <c r="Q6152" s="209"/>
      <c r="R6152" s="209"/>
      <c r="S6152" s="209"/>
      <c r="T6152" s="209"/>
      <c r="U6152" s="165"/>
      <c r="V6152" s="165"/>
      <c r="W6152" s="165"/>
      <c r="X6152" s="165"/>
      <c r="Y6152" s="165"/>
      <c r="Z6152" s="165"/>
      <c r="AA6152" s="165"/>
      <c r="AB6152" s="165"/>
      <c r="AC6152" s="165"/>
      <c r="AD6152" s="165"/>
      <c r="AE6152" s="165"/>
      <c r="AF6152" s="165"/>
      <c r="AG6152" s="165"/>
      <c r="AH6152" s="165"/>
      <c r="AI6152" s="165"/>
      <c r="AJ6152" s="165"/>
      <c r="AK6152" s="165"/>
      <c r="AL6152" s="165"/>
      <c r="AM6152" s="165"/>
      <c r="AN6152" s="165"/>
      <c r="AO6152" s="165"/>
      <c r="AP6152" s="165"/>
      <c r="AQ6152" s="165"/>
      <c r="AR6152" s="165"/>
      <c r="AS6152" s="165"/>
      <c r="AT6152" s="165"/>
      <c r="AU6152" s="165"/>
      <c r="AV6152" s="165"/>
      <c r="AW6152" s="165"/>
      <c r="AX6152" s="165"/>
      <c r="AY6152" s="165"/>
      <c r="AZ6152" s="165"/>
      <c r="BA6152" s="165"/>
      <c r="BB6152" s="165"/>
      <c r="BC6152" s="165"/>
      <c r="BD6152" s="165"/>
      <c r="BE6152" s="165"/>
      <c r="BF6152" s="165"/>
      <c r="BG6152" s="165"/>
      <c r="BH6152" s="165"/>
      <c r="BI6152" s="165"/>
      <c r="BJ6152" s="165"/>
      <c r="BK6152" s="165"/>
      <c r="BL6152" s="165"/>
      <c r="BM6152" s="165"/>
      <c r="BN6152" s="165"/>
      <c r="BO6152" s="165"/>
      <c r="BP6152" s="165"/>
      <c r="BQ6152" s="165"/>
      <c r="BR6152" s="165"/>
      <c r="BS6152" s="165"/>
      <c r="BT6152" s="165"/>
      <c r="BU6152" s="165"/>
      <c r="BV6152" s="165"/>
      <c r="BW6152" s="165"/>
      <c r="BX6152" s="165"/>
      <c r="BY6152" s="165"/>
      <c r="BZ6152" s="165"/>
      <c r="CA6152" s="165"/>
      <c r="CB6152" s="165"/>
      <c r="CC6152" s="165"/>
      <c r="CD6152" s="165"/>
      <c r="CE6152" s="165"/>
      <c r="CF6152" s="165"/>
      <c r="CG6152" s="165"/>
      <c r="CH6152" s="165"/>
      <c r="CI6152" s="165"/>
      <c r="CJ6152" s="165"/>
      <c r="CK6152" s="165"/>
      <c r="CL6152" s="165"/>
      <c r="CM6152" s="165"/>
      <c r="CN6152" s="165"/>
      <c r="CO6152" s="165"/>
      <c r="CP6152" s="165"/>
      <c r="CQ6152" s="165"/>
      <c r="CR6152" s="165"/>
      <c r="CS6152" s="165"/>
      <c r="CT6152" s="165"/>
      <c r="CU6152" s="165"/>
      <c r="CV6152" s="165"/>
      <c r="CW6152" s="165"/>
      <c r="CX6152" s="165"/>
      <c r="CY6152" s="165"/>
      <c r="CZ6152" s="165"/>
      <c r="DA6152" s="165"/>
      <c r="DB6152" s="165"/>
      <c r="DC6152" s="165"/>
      <c r="DD6152" s="165"/>
      <c r="DE6152" s="165"/>
      <c r="DF6152" s="165"/>
      <c r="DG6152" s="165"/>
      <c r="DH6152" s="165"/>
      <c r="DI6152" s="165"/>
      <c r="DJ6152" s="165"/>
      <c r="DK6152" s="165"/>
      <c r="DL6152" s="165"/>
      <c r="DM6152" s="165"/>
      <c r="DN6152" s="165"/>
      <c r="DO6152" s="165"/>
      <c r="DP6152" s="165"/>
      <c r="DQ6152" s="165"/>
      <c r="DR6152" s="165"/>
      <c r="DS6152" s="165"/>
      <c r="DT6152" s="165"/>
      <c r="DU6152" s="165"/>
      <c r="DV6152" s="165"/>
      <c r="DW6152" s="165"/>
      <c r="DX6152" s="165"/>
      <c r="DY6152" s="165"/>
      <c r="DZ6152" s="165"/>
      <c r="EA6152" s="165"/>
      <c r="EB6152" s="165"/>
      <c r="EC6152" s="165"/>
      <c r="ED6152" s="165"/>
      <c r="EE6152" s="165"/>
      <c r="EF6152" s="165"/>
      <c r="EG6152" s="165"/>
      <c r="EH6152" s="165"/>
      <c r="EI6152" s="165"/>
      <c r="EJ6152" s="165"/>
      <c r="EK6152" s="165"/>
      <c r="EL6152" s="165"/>
      <c r="EM6152" s="165"/>
      <c r="EN6152" s="165"/>
      <c r="EO6152" s="165"/>
      <c r="EP6152" s="165"/>
      <c r="EQ6152" s="165"/>
      <c r="ER6152" s="165"/>
      <c r="ES6152" s="165"/>
    </row>
    <row r="6153" spans="1:149" s="451" customFormat="1" ht="14.15" hidden="1">
      <c r="A6153" s="468">
        <v>45547</v>
      </c>
      <c r="B6153" s="208" t="s">
        <v>5006</v>
      </c>
      <c r="C6153" s="208" t="s">
        <v>146</v>
      </c>
      <c r="D6153" s="211">
        <v>-4000</v>
      </c>
      <c r="E6153" s="212">
        <v>45536</v>
      </c>
      <c r="F6153" s="208" t="s">
        <v>130</v>
      </c>
      <c r="G6153" s="208" t="s">
        <v>130</v>
      </c>
      <c r="H6153" s="208" t="s">
        <v>175</v>
      </c>
      <c r="I6153" s="208" t="s">
        <v>173</v>
      </c>
      <c r="J6153" s="209"/>
      <c r="K6153" s="209"/>
      <c r="L6153" s="209"/>
      <c r="M6153" s="209"/>
      <c r="N6153" s="209"/>
      <c r="O6153" s="209"/>
      <c r="P6153" s="209"/>
      <c r="Q6153" s="209"/>
      <c r="R6153" s="209"/>
      <c r="S6153" s="209"/>
      <c r="T6153" s="209"/>
      <c r="U6153" s="165"/>
      <c r="V6153" s="165"/>
      <c r="W6153" s="165"/>
      <c r="X6153" s="165"/>
      <c r="Y6153" s="165"/>
      <c r="Z6153" s="165"/>
      <c r="AA6153" s="165"/>
      <c r="AB6153" s="165"/>
      <c r="AC6153" s="165"/>
      <c r="AD6153" s="165"/>
      <c r="AE6153" s="165"/>
      <c r="AF6153" s="165"/>
      <c r="AG6153" s="165"/>
      <c r="AH6153" s="165"/>
      <c r="AI6153" s="165"/>
      <c r="AJ6153" s="165"/>
      <c r="AK6153" s="165"/>
      <c r="AL6153" s="165"/>
      <c r="AM6153" s="165"/>
      <c r="AN6153" s="165"/>
      <c r="AO6153" s="165"/>
      <c r="AP6153" s="165"/>
      <c r="AQ6153" s="165"/>
      <c r="AR6153" s="165"/>
      <c r="AS6153" s="165"/>
      <c r="AT6153" s="165"/>
      <c r="AU6153" s="165"/>
      <c r="AV6153" s="165"/>
      <c r="AW6153" s="165"/>
      <c r="AX6153" s="165"/>
      <c r="AY6153" s="165"/>
      <c r="AZ6153" s="165"/>
      <c r="BA6153" s="165"/>
      <c r="BB6153" s="165"/>
      <c r="BC6153" s="165"/>
      <c r="BD6153" s="165"/>
      <c r="BE6153" s="165"/>
      <c r="BF6153" s="165"/>
      <c r="BG6153" s="165"/>
      <c r="BH6153" s="165"/>
      <c r="BI6153" s="165"/>
      <c r="BJ6153" s="165"/>
      <c r="BK6153" s="165"/>
      <c r="BL6153" s="165"/>
      <c r="BM6153" s="165"/>
      <c r="BN6153" s="165"/>
      <c r="BO6153" s="165"/>
      <c r="BP6153" s="165"/>
      <c r="BQ6153" s="165"/>
      <c r="BR6153" s="165"/>
      <c r="BS6153" s="165"/>
      <c r="BT6153" s="165"/>
      <c r="BU6153" s="165"/>
      <c r="BV6153" s="165"/>
      <c r="BW6153" s="165"/>
      <c r="BX6153" s="165"/>
      <c r="BY6153" s="165"/>
      <c r="BZ6153" s="165"/>
      <c r="CA6153" s="165"/>
      <c r="CB6153" s="165"/>
      <c r="CC6153" s="165"/>
      <c r="CD6153" s="165"/>
      <c r="CE6153" s="165"/>
      <c r="CF6153" s="165"/>
      <c r="CG6153" s="165"/>
      <c r="CH6153" s="165"/>
      <c r="CI6153" s="165"/>
      <c r="CJ6153" s="165"/>
      <c r="CK6153" s="165"/>
      <c r="CL6153" s="165"/>
      <c r="CM6153" s="165"/>
      <c r="CN6153" s="165"/>
      <c r="CO6153" s="165"/>
      <c r="CP6153" s="165"/>
      <c r="CQ6153" s="165"/>
      <c r="CR6153" s="165"/>
      <c r="CS6153" s="165"/>
      <c r="CT6153" s="165"/>
      <c r="CU6153" s="165"/>
      <c r="CV6153" s="165"/>
      <c r="CW6153" s="165"/>
      <c r="CX6153" s="165"/>
      <c r="CY6153" s="165"/>
      <c r="CZ6153" s="165"/>
      <c r="DA6153" s="165"/>
      <c r="DB6153" s="165"/>
      <c r="DC6153" s="165"/>
      <c r="DD6153" s="165"/>
      <c r="DE6153" s="165"/>
      <c r="DF6153" s="165"/>
      <c r="DG6153" s="165"/>
      <c r="DH6153" s="165"/>
      <c r="DI6153" s="165"/>
      <c r="DJ6153" s="165"/>
      <c r="DK6153" s="165"/>
      <c r="DL6153" s="165"/>
      <c r="DM6153" s="165"/>
      <c r="DN6153" s="165"/>
      <c r="DO6153" s="165"/>
      <c r="DP6153" s="165"/>
      <c r="DQ6153" s="165"/>
      <c r="DR6153" s="165"/>
      <c r="DS6153" s="165"/>
      <c r="DT6153" s="165"/>
      <c r="DU6153" s="165"/>
      <c r="DV6153" s="165"/>
      <c r="DW6153" s="165"/>
      <c r="DX6153" s="165"/>
      <c r="DY6153" s="165"/>
      <c r="DZ6153" s="165"/>
      <c r="EA6153" s="165"/>
      <c r="EB6153" s="165"/>
      <c r="EC6153" s="165"/>
      <c r="ED6153" s="165"/>
      <c r="EE6153" s="165"/>
      <c r="EF6153" s="165"/>
      <c r="EG6153" s="165"/>
      <c r="EH6153" s="165"/>
      <c r="EI6153" s="165"/>
      <c r="EJ6153" s="165"/>
      <c r="EK6153" s="165"/>
      <c r="EL6153" s="165"/>
      <c r="EM6153" s="165"/>
      <c r="EN6153" s="165"/>
      <c r="EO6153" s="165"/>
      <c r="EP6153" s="165"/>
      <c r="EQ6153" s="165"/>
      <c r="ER6153" s="165"/>
      <c r="ES6153" s="165"/>
    </row>
    <row r="6154" spans="1:149" s="451" customFormat="1" ht="14.15" hidden="1">
      <c r="A6154" s="468">
        <v>45547</v>
      </c>
      <c r="B6154" s="208" t="s">
        <v>4944</v>
      </c>
      <c r="C6154" s="208" t="s">
        <v>146</v>
      </c>
      <c r="D6154" s="211">
        <v>-100000</v>
      </c>
      <c r="E6154" s="212">
        <v>45536</v>
      </c>
      <c r="F6154" s="208" t="s">
        <v>2531</v>
      </c>
      <c r="G6154" s="201" t="s">
        <v>1489</v>
      </c>
      <c r="H6154" s="208" t="s">
        <v>2941</v>
      </c>
      <c r="I6154" s="208" t="s">
        <v>173</v>
      </c>
      <c r="J6154" s="209"/>
      <c r="K6154" s="209"/>
      <c r="L6154" s="209"/>
      <c r="M6154" s="209"/>
      <c r="N6154" s="209"/>
      <c r="O6154" s="209"/>
      <c r="P6154" s="209"/>
      <c r="Q6154" s="209"/>
      <c r="R6154" s="209"/>
      <c r="S6154" s="209"/>
      <c r="T6154" s="209"/>
      <c r="U6154" s="165"/>
      <c r="V6154" s="165"/>
      <c r="W6154" s="165"/>
      <c r="X6154" s="165"/>
      <c r="Y6154" s="165"/>
      <c r="Z6154" s="165"/>
      <c r="AA6154" s="165"/>
      <c r="AB6154" s="165"/>
      <c r="AC6154" s="165"/>
      <c r="AD6154" s="165"/>
      <c r="AE6154" s="165"/>
      <c r="AF6154" s="165"/>
      <c r="AG6154" s="165"/>
      <c r="AH6154" s="165"/>
      <c r="AI6154" s="165"/>
      <c r="AJ6154" s="165"/>
      <c r="AK6154" s="165"/>
      <c r="AL6154" s="165"/>
      <c r="AM6154" s="165"/>
      <c r="AN6154" s="165"/>
      <c r="AO6154" s="165"/>
      <c r="AP6154" s="165"/>
      <c r="AQ6154" s="165"/>
      <c r="AR6154" s="165"/>
      <c r="AS6154" s="165"/>
      <c r="AT6154" s="165"/>
      <c r="AU6154" s="165"/>
      <c r="AV6154" s="165"/>
      <c r="AW6154" s="165"/>
      <c r="AX6154" s="165"/>
      <c r="AY6154" s="165"/>
      <c r="AZ6154" s="165"/>
      <c r="BA6154" s="165"/>
      <c r="BB6154" s="165"/>
      <c r="BC6154" s="165"/>
      <c r="BD6154" s="165"/>
      <c r="BE6154" s="165"/>
      <c r="BF6154" s="165"/>
      <c r="BG6154" s="165"/>
      <c r="BH6154" s="165"/>
      <c r="BI6154" s="165"/>
      <c r="BJ6154" s="165"/>
      <c r="BK6154" s="165"/>
      <c r="BL6154" s="165"/>
      <c r="BM6154" s="165"/>
      <c r="BN6154" s="165"/>
      <c r="BO6154" s="165"/>
      <c r="BP6154" s="165"/>
      <c r="BQ6154" s="165"/>
      <c r="BR6154" s="165"/>
      <c r="BS6154" s="165"/>
      <c r="BT6154" s="165"/>
      <c r="BU6154" s="165"/>
      <c r="BV6154" s="165"/>
      <c r="BW6154" s="165"/>
      <c r="BX6154" s="165"/>
      <c r="BY6154" s="165"/>
      <c r="BZ6154" s="165"/>
      <c r="CA6154" s="165"/>
      <c r="CB6154" s="165"/>
      <c r="CC6154" s="165"/>
      <c r="CD6154" s="165"/>
      <c r="CE6154" s="165"/>
      <c r="CF6154" s="165"/>
      <c r="CG6154" s="165"/>
      <c r="CH6154" s="165"/>
      <c r="CI6154" s="165"/>
      <c r="CJ6154" s="165"/>
      <c r="CK6154" s="165"/>
      <c r="CL6154" s="165"/>
      <c r="CM6154" s="165"/>
      <c r="CN6154" s="165"/>
      <c r="CO6154" s="165"/>
      <c r="CP6154" s="165"/>
      <c r="CQ6154" s="165"/>
      <c r="CR6154" s="165"/>
      <c r="CS6154" s="165"/>
      <c r="CT6154" s="165"/>
      <c r="CU6154" s="165"/>
      <c r="CV6154" s="165"/>
      <c r="CW6154" s="165"/>
      <c r="CX6154" s="165"/>
      <c r="CY6154" s="165"/>
      <c r="CZ6154" s="165"/>
      <c r="DA6154" s="165"/>
      <c r="DB6154" s="165"/>
      <c r="DC6154" s="165"/>
      <c r="DD6154" s="165"/>
      <c r="DE6154" s="165"/>
      <c r="DF6154" s="165"/>
      <c r="DG6154" s="165"/>
      <c r="DH6154" s="165"/>
      <c r="DI6154" s="165"/>
      <c r="DJ6154" s="165"/>
      <c r="DK6154" s="165"/>
      <c r="DL6154" s="165"/>
      <c r="DM6154" s="165"/>
      <c r="DN6154" s="165"/>
      <c r="DO6154" s="165"/>
      <c r="DP6154" s="165"/>
      <c r="DQ6154" s="165"/>
      <c r="DR6154" s="165"/>
      <c r="DS6154" s="165"/>
      <c r="DT6154" s="165"/>
      <c r="DU6154" s="165"/>
      <c r="DV6154" s="165"/>
      <c r="DW6154" s="165"/>
      <c r="DX6154" s="165"/>
      <c r="DY6154" s="165"/>
      <c r="DZ6154" s="165"/>
      <c r="EA6154" s="165"/>
      <c r="EB6154" s="165"/>
      <c r="EC6154" s="165"/>
      <c r="ED6154" s="165"/>
      <c r="EE6154" s="165"/>
      <c r="EF6154" s="165"/>
      <c r="EG6154" s="165"/>
      <c r="EH6154" s="165"/>
      <c r="EI6154" s="165"/>
      <c r="EJ6154" s="165"/>
      <c r="EK6154" s="165"/>
      <c r="EL6154" s="165"/>
      <c r="EM6154" s="165"/>
      <c r="EN6154" s="165"/>
      <c r="EO6154" s="165"/>
      <c r="EP6154" s="165"/>
      <c r="EQ6154" s="165"/>
      <c r="ER6154" s="165"/>
      <c r="ES6154" s="165"/>
    </row>
    <row r="6155" spans="1:149" s="451" customFormat="1" ht="14.15" hidden="1">
      <c r="A6155" s="468">
        <v>45547</v>
      </c>
      <c r="B6155" s="208" t="s">
        <v>3724</v>
      </c>
      <c r="C6155" s="208" t="s">
        <v>146</v>
      </c>
      <c r="D6155" s="211">
        <v>-1200</v>
      </c>
      <c r="E6155" s="212">
        <v>45536</v>
      </c>
      <c r="F6155" s="208" t="s">
        <v>109</v>
      </c>
      <c r="G6155" s="208" t="s">
        <v>3529</v>
      </c>
      <c r="H6155" s="208" t="s">
        <v>175</v>
      </c>
      <c r="I6155" s="208" t="s">
        <v>173</v>
      </c>
      <c r="J6155" s="209"/>
      <c r="K6155" s="209"/>
      <c r="L6155" s="209"/>
      <c r="M6155" s="209"/>
      <c r="N6155" s="209"/>
      <c r="O6155" s="209"/>
      <c r="P6155" s="209"/>
      <c r="Q6155" s="209"/>
      <c r="R6155" s="209"/>
      <c r="S6155" s="209"/>
      <c r="T6155" s="209"/>
      <c r="U6155" s="165"/>
      <c r="V6155" s="165"/>
      <c r="W6155" s="165"/>
      <c r="X6155" s="165"/>
      <c r="Y6155" s="165"/>
      <c r="Z6155" s="165"/>
      <c r="AA6155" s="165"/>
      <c r="AB6155" s="165"/>
      <c r="AC6155" s="165"/>
      <c r="AD6155" s="165"/>
      <c r="AE6155" s="165"/>
      <c r="AF6155" s="165"/>
      <c r="AG6155" s="165"/>
      <c r="AH6155" s="165"/>
      <c r="AI6155" s="165"/>
      <c r="AJ6155" s="165"/>
      <c r="AK6155" s="165"/>
      <c r="AL6155" s="165"/>
      <c r="AM6155" s="165"/>
      <c r="AN6155" s="165"/>
      <c r="AO6155" s="165"/>
      <c r="AP6155" s="165"/>
      <c r="AQ6155" s="165"/>
      <c r="AR6155" s="165"/>
      <c r="AS6155" s="165"/>
      <c r="AT6155" s="165"/>
      <c r="AU6155" s="165"/>
      <c r="AV6155" s="165"/>
      <c r="AW6155" s="165"/>
      <c r="AX6155" s="165"/>
      <c r="AY6155" s="165"/>
      <c r="AZ6155" s="165"/>
      <c r="BA6155" s="165"/>
      <c r="BB6155" s="165"/>
      <c r="BC6155" s="165"/>
      <c r="BD6155" s="165"/>
      <c r="BE6155" s="165"/>
      <c r="BF6155" s="165"/>
      <c r="BG6155" s="165"/>
      <c r="BH6155" s="165"/>
      <c r="BI6155" s="165"/>
      <c r="BJ6155" s="165"/>
      <c r="BK6155" s="165"/>
      <c r="BL6155" s="165"/>
      <c r="BM6155" s="165"/>
      <c r="BN6155" s="165"/>
      <c r="BO6155" s="165"/>
      <c r="BP6155" s="165"/>
      <c r="BQ6155" s="165"/>
      <c r="BR6155" s="165"/>
      <c r="BS6155" s="165"/>
      <c r="BT6155" s="165"/>
      <c r="BU6155" s="165"/>
      <c r="BV6155" s="165"/>
      <c r="BW6155" s="165"/>
      <c r="BX6155" s="165"/>
      <c r="BY6155" s="165"/>
      <c r="BZ6155" s="165"/>
      <c r="CA6155" s="165"/>
      <c r="CB6155" s="165"/>
      <c r="CC6155" s="165"/>
      <c r="CD6155" s="165"/>
      <c r="CE6155" s="165"/>
      <c r="CF6155" s="165"/>
      <c r="CG6155" s="165"/>
      <c r="CH6155" s="165"/>
      <c r="CI6155" s="165"/>
      <c r="CJ6155" s="165"/>
      <c r="CK6155" s="165"/>
      <c r="CL6155" s="165"/>
      <c r="CM6155" s="165"/>
      <c r="CN6155" s="165"/>
      <c r="CO6155" s="165"/>
      <c r="CP6155" s="165"/>
      <c r="CQ6155" s="165"/>
      <c r="CR6155" s="165"/>
      <c r="CS6155" s="165"/>
      <c r="CT6155" s="165"/>
      <c r="CU6155" s="165"/>
      <c r="CV6155" s="165"/>
      <c r="CW6155" s="165"/>
      <c r="CX6155" s="165"/>
      <c r="CY6155" s="165"/>
      <c r="CZ6155" s="165"/>
      <c r="DA6155" s="165"/>
      <c r="DB6155" s="165"/>
      <c r="DC6155" s="165"/>
      <c r="DD6155" s="165"/>
      <c r="DE6155" s="165"/>
      <c r="DF6155" s="165"/>
      <c r="DG6155" s="165"/>
      <c r="DH6155" s="165"/>
      <c r="DI6155" s="165"/>
      <c r="DJ6155" s="165"/>
      <c r="DK6155" s="165"/>
      <c r="DL6155" s="165"/>
      <c r="DM6155" s="165"/>
      <c r="DN6155" s="165"/>
      <c r="DO6155" s="165"/>
      <c r="DP6155" s="165"/>
      <c r="DQ6155" s="165"/>
      <c r="DR6155" s="165"/>
      <c r="DS6155" s="165"/>
      <c r="DT6155" s="165"/>
      <c r="DU6155" s="165"/>
      <c r="DV6155" s="165"/>
      <c r="DW6155" s="165"/>
      <c r="DX6155" s="165"/>
      <c r="DY6155" s="165"/>
      <c r="DZ6155" s="165"/>
      <c r="EA6155" s="165"/>
      <c r="EB6155" s="165"/>
      <c r="EC6155" s="165"/>
      <c r="ED6155" s="165"/>
      <c r="EE6155" s="165"/>
      <c r="EF6155" s="165"/>
      <c r="EG6155" s="165"/>
      <c r="EH6155" s="165"/>
      <c r="EI6155" s="165"/>
      <c r="EJ6155" s="165"/>
      <c r="EK6155" s="165"/>
      <c r="EL6155" s="165"/>
      <c r="EM6155" s="165"/>
      <c r="EN6155" s="165"/>
      <c r="EO6155" s="165"/>
      <c r="EP6155" s="165"/>
      <c r="EQ6155" s="165"/>
      <c r="ER6155" s="165"/>
      <c r="ES6155" s="165"/>
    </row>
    <row r="6156" spans="1:149" s="451" customFormat="1" ht="14.15" hidden="1">
      <c r="A6156" s="468">
        <v>45547</v>
      </c>
      <c r="B6156" s="208" t="s">
        <v>5007</v>
      </c>
      <c r="C6156" s="208" t="s">
        <v>146</v>
      </c>
      <c r="D6156" s="211">
        <v>-15600</v>
      </c>
      <c r="E6156" s="212">
        <v>45536</v>
      </c>
      <c r="F6156" s="208" t="s">
        <v>2531</v>
      </c>
      <c r="G6156" s="208" t="s">
        <v>4294</v>
      </c>
      <c r="H6156" s="208" t="s">
        <v>175</v>
      </c>
      <c r="I6156" s="208" t="s">
        <v>173</v>
      </c>
      <c r="J6156" s="209"/>
      <c r="K6156" s="209"/>
      <c r="L6156" s="209"/>
      <c r="M6156" s="209"/>
      <c r="N6156" s="209"/>
      <c r="O6156" s="209"/>
      <c r="P6156" s="209"/>
      <c r="Q6156" s="209"/>
      <c r="R6156" s="209"/>
      <c r="S6156" s="209"/>
      <c r="T6156" s="209"/>
      <c r="U6156" s="165"/>
      <c r="V6156" s="165"/>
      <c r="W6156" s="165"/>
      <c r="X6156" s="165"/>
      <c r="Y6156" s="165"/>
      <c r="Z6156" s="165"/>
      <c r="AA6156" s="165"/>
      <c r="AB6156" s="165"/>
      <c r="AC6156" s="165"/>
      <c r="AD6156" s="165"/>
      <c r="AE6156" s="165"/>
      <c r="AF6156" s="165"/>
      <c r="AG6156" s="165"/>
      <c r="AH6156" s="165"/>
      <c r="AI6156" s="165"/>
      <c r="AJ6156" s="165"/>
      <c r="AK6156" s="165"/>
      <c r="AL6156" s="165"/>
      <c r="AM6156" s="165"/>
      <c r="AN6156" s="165"/>
      <c r="AO6156" s="165"/>
      <c r="AP6156" s="165"/>
      <c r="AQ6156" s="165"/>
      <c r="AR6156" s="165"/>
      <c r="AS6156" s="165"/>
      <c r="AT6156" s="165"/>
      <c r="AU6156" s="165"/>
      <c r="AV6156" s="165"/>
      <c r="AW6156" s="165"/>
      <c r="AX6156" s="165"/>
      <c r="AY6156" s="165"/>
      <c r="AZ6156" s="165"/>
      <c r="BA6156" s="165"/>
      <c r="BB6156" s="165"/>
      <c r="BC6156" s="165"/>
      <c r="BD6156" s="165"/>
      <c r="BE6156" s="165"/>
      <c r="BF6156" s="165"/>
      <c r="BG6156" s="165"/>
      <c r="BH6156" s="165"/>
      <c r="BI6156" s="165"/>
      <c r="BJ6156" s="165"/>
      <c r="BK6156" s="165"/>
      <c r="BL6156" s="165"/>
      <c r="BM6156" s="165"/>
      <c r="BN6156" s="165"/>
      <c r="BO6156" s="165"/>
      <c r="BP6156" s="165"/>
      <c r="BQ6156" s="165"/>
      <c r="BR6156" s="165"/>
      <c r="BS6156" s="165"/>
      <c r="BT6156" s="165"/>
      <c r="BU6156" s="165"/>
      <c r="BV6156" s="165"/>
      <c r="BW6156" s="165"/>
      <c r="BX6156" s="165"/>
      <c r="BY6156" s="165"/>
      <c r="BZ6156" s="165"/>
      <c r="CA6156" s="165"/>
      <c r="CB6156" s="165"/>
      <c r="CC6156" s="165"/>
      <c r="CD6156" s="165"/>
      <c r="CE6156" s="165"/>
      <c r="CF6156" s="165"/>
      <c r="CG6156" s="165"/>
      <c r="CH6156" s="165"/>
      <c r="CI6156" s="165"/>
      <c r="CJ6156" s="165"/>
      <c r="CK6156" s="165"/>
      <c r="CL6156" s="165"/>
      <c r="CM6156" s="165"/>
      <c r="CN6156" s="165"/>
      <c r="CO6156" s="165"/>
      <c r="CP6156" s="165"/>
      <c r="CQ6156" s="165"/>
      <c r="CR6156" s="165"/>
      <c r="CS6156" s="165"/>
      <c r="CT6156" s="165"/>
      <c r="CU6156" s="165"/>
      <c r="CV6156" s="165"/>
      <c r="CW6156" s="165"/>
      <c r="CX6156" s="165"/>
      <c r="CY6156" s="165"/>
      <c r="CZ6156" s="165"/>
      <c r="DA6156" s="165"/>
      <c r="DB6156" s="165"/>
      <c r="DC6156" s="165"/>
      <c r="DD6156" s="165"/>
      <c r="DE6156" s="165"/>
      <c r="DF6156" s="165"/>
      <c r="DG6156" s="165"/>
      <c r="DH6156" s="165"/>
      <c r="DI6156" s="165"/>
      <c r="DJ6156" s="165"/>
      <c r="DK6156" s="165"/>
      <c r="DL6156" s="165"/>
      <c r="DM6156" s="165"/>
      <c r="DN6156" s="165"/>
      <c r="DO6156" s="165"/>
      <c r="DP6156" s="165"/>
      <c r="DQ6156" s="165"/>
      <c r="DR6156" s="165"/>
      <c r="DS6156" s="165"/>
      <c r="DT6156" s="165"/>
      <c r="DU6156" s="165"/>
      <c r="DV6156" s="165"/>
      <c r="DW6156" s="165"/>
      <c r="DX6156" s="165"/>
      <c r="DY6156" s="165"/>
      <c r="DZ6156" s="165"/>
      <c r="EA6156" s="165"/>
      <c r="EB6156" s="165"/>
      <c r="EC6156" s="165"/>
      <c r="ED6156" s="165"/>
      <c r="EE6156" s="165"/>
      <c r="EF6156" s="165"/>
      <c r="EG6156" s="165"/>
      <c r="EH6156" s="165"/>
      <c r="EI6156" s="165"/>
      <c r="EJ6156" s="165"/>
      <c r="EK6156" s="165"/>
      <c r="EL6156" s="165"/>
      <c r="EM6156" s="165"/>
      <c r="EN6156" s="165"/>
      <c r="EO6156" s="165"/>
      <c r="EP6156" s="165"/>
      <c r="EQ6156" s="165"/>
      <c r="ER6156" s="165"/>
      <c r="ES6156" s="165"/>
    </row>
    <row r="6157" spans="1:149" s="451" customFormat="1" ht="14.15" hidden="1">
      <c r="A6157" s="468">
        <v>45547</v>
      </c>
      <c r="B6157" s="208" t="s">
        <v>4866</v>
      </c>
      <c r="C6157" s="208" t="s">
        <v>146</v>
      </c>
      <c r="D6157" s="211">
        <v>-59603</v>
      </c>
      <c r="E6157" s="212">
        <v>45536</v>
      </c>
      <c r="F6157" s="208" t="s">
        <v>110</v>
      </c>
      <c r="G6157" s="208" t="s">
        <v>4399</v>
      </c>
      <c r="H6157" s="208" t="s">
        <v>147</v>
      </c>
      <c r="I6157" s="208" t="s">
        <v>3378</v>
      </c>
      <c r="J6157" s="209"/>
      <c r="K6157" s="209"/>
      <c r="L6157" s="209"/>
      <c r="M6157" s="209"/>
      <c r="N6157" s="209"/>
      <c r="O6157" s="209"/>
      <c r="P6157" s="209"/>
      <c r="Q6157" s="209"/>
      <c r="R6157" s="209"/>
      <c r="S6157" s="209"/>
      <c r="T6157" s="209"/>
      <c r="U6157" s="165"/>
      <c r="V6157" s="165"/>
      <c r="W6157" s="165"/>
      <c r="X6157" s="165"/>
      <c r="Y6157" s="165"/>
      <c r="Z6157" s="165"/>
      <c r="AA6157" s="165"/>
      <c r="AB6157" s="165"/>
      <c r="AC6157" s="165"/>
      <c r="AD6157" s="165"/>
      <c r="AE6157" s="165"/>
      <c r="AF6157" s="165"/>
      <c r="AG6157" s="165"/>
      <c r="AH6157" s="165"/>
      <c r="AI6157" s="165"/>
      <c r="AJ6157" s="165"/>
      <c r="AK6157" s="165"/>
      <c r="AL6157" s="165"/>
      <c r="AM6157" s="165"/>
      <c r="AN6157" s="165"/>
      <c r="AO6157" s="165"/>
      <c r="AP6157" s="165"/>
      <c r="AQ6157" s="165"/>
      <c r="AR6157" s="165"/>
      <c r="AS6157" s="165"/>
      <c r="AT6157" s="165"/>
      <c r="AU6157" s="165"/>
      <c r="AV6157" s="165"/>
      <c r="AW6157" s="165"/>
      <c r="AX6157" s="165"/>
      <c r="AY6157" s="165"/>
      <c r="AZ6157" s="165"/>
      <c r="BA6157" s="165"/>
      <c r="BB6157" s="165"/>
      <c r="BC6157" s="165"/>
      <c r="BD6157" s="165"/>
      <c r="BE6157" s="165"/>
      <c r="BF6157" s="165"/>
      <c r="BG6157" s="165"/>
      <c r="BH6157" s="165"/>
      <c r="BI6157" s="165"/>
      <c r="BJ6157" s="165"/>
      <c r="BK6157" s="165"/>
      <c r="BL6157" s="165"/>
      <c r="BM6157" s="165"/>
      <c r="BN6157" s="165"/>
      <c r="BO6157" s="165"/>
      <c r="BP6157" s="165"/>
      <c r="BQ6157" s="165"/>
      <c r="BR6157" s="165"/>
      <c r="BS6157" s="165"/>
      <c r="BT6157" s="165"/>
      <c r="BU6157" s="165"/>
      <c r="BV6157" s="165"/>
      <c r="BW6157" s="165"/>
      <c r="BX6157" s="165"/>
      <c r="BY6157" s="165"/>
      <c r="BZ6157" s="165"/>
      <c r="CA6157" s="165"/>
      <c r="CB6157" s="165"/>
      <c r="CC6157" s="165"/>
      <c r="CD6157" s="165"/>
      <c r="CE6157" s="165"/>
      <c r="CF6157" s="165"/>
      <c r="CG6157" s="165"/>
      <c r="CH6157" s="165"/>
      <c r="CI6157" s="165"/>
      <c r="CJ6157" s="165"/>
      <c r="CK6157" s="165"/>
      <c r="CL6157" s="165"/>
      <c r="CM6157" s="165"/>
      <c r="CN6157" s="165"/>
      <c r="CO6157" s="165"/>
      <c r="CP6157" s="165"/>
      <c r="CQ6157" s="165"/>
      <c r="CR6157" s="165"/>
      <c r="CS6157" s="165"/>
      <c r="CT6157" s="165"/>
      <c r="CU6157" s="165"/>
      <c r="CV6157" s="165"/>
      <c r="CW6157" s="165"/>
      <c r="CX6157" s="165"/>
      <c r="CY6157" s="165"/>
      <c r="CZ6157" s="165"/>
      <c r="DA6157" s="165"/>
      <c r="DB6157" s="165"/>
      <c r="DC6157" s="165"/>
      <c r="DD6157" s="165"/>
      <c r="DE6157" s="165"/>
      <c r="DF6157" s="165"/>
      <c r="DG6157" s="165"/>
      <c r="DH6157" s="165"/>
      <c r="DI6157" s="165"/>
      <c r="DJ6157" s="165"/>
      <c r="DK6157" s="165"/>
      <c r="DL6157" s="165"/>
      <c r="DM6157" s="165"/>
      <c r="DN6157" s="165"/>
      <c r="DO6157" s="165"/>
      <c r="DP6157" s="165"/>
      <c r="DQ6157" s="165"/>
      <c r="DR6157" s="165"/>
      <c r="DS6157" s="165"/>
      <c r="DT6157" s="165"/>
      <c r="DU6157" s="165"/>
      <c r="DV6157" s="165"/>
      <c r="DW6157" s="165"/>
      <c r="DX6157" s="165"/>
      <c r="DY6157" s="165"/>
      <c r="DZ6157" s="165"/>
      <c r="EA6157" s="165"/>
      <c r="EB6157" s="165"/>
      <c r="EC6157" s="165"/>
      <c r="ED6157" s="165"/>
      <c r="EE6157" s="165"/>
      <c r="EF6157" s="165"/>
      <c r="EG6157" s="165"/>
      <c r="EH6157" s="165"/>
      <c r="EI6157" s="165"/>
      <c r="EJ6157" s="165"/>
      <c r="EK6157" s="165"/>
      <c r="EL6157" s="165"/>
      <c r="EM6157" s="165"/>
      <c r="EN6157" s="165"/>
      <c r="EO6157" s="165"/>
      <c r="EP6157" s="165"/>
      <c r="EQ6157" s="165"/>
      <c r="ER6157" s="165"/>
      <c r="ES6157" s="165"/>
    </row>
    <row r="6158" spans="1:149" s="451" customFormat="1" ht="14.15" hidden="1">
      <c r="A6158" s="468">
        <v>45547</v>
      </c>
      <c r="B6158" s="208" t="s">
        <v>5008</v>
      </c>
      <c r="C6158" s="208" t="s">
        <v>146</v>
      </c>
      <c r="D6158" s="211">
        <v>-10000</v>
      </c>
      <c r="E6158" s="212">
        <v>45536</v>
      </c>
      <c r="F6158" s="208" t="s">
        <v>109</v>
      </c>
      <c r="G6158" s="208" t="s">
        <v>3529</v>
      </c>
      <c r="H6158" s="208" t="s">
        <v>175</v>
      </c>
      <c r="I6158" s="208" t="s">
        <v>173</v>
      </c>
      <c r="J6158" s="209"/>
      <c r="K6158" s="209"/>
      <c r="L6158" s="209"/>
      <c r="M6158" s="209"/>
      <c r="N6158" s="209"/>
      <c r="O6158" s="209"/>
      <c r="P6158" s="209"/>
      <c r="Q6158" s="209"/>
      <c r="R6158" s="209"/>
      <c r="S6158" s="209"/>
      <c r="T6158" s="209"/>
      <c r="U6158" s="165"/>
      <c r="V6158" s="165"/>
      <c r="W6158" s="165"/>
      <c r="X6158" s="165"/>
      <c r="Y6158" s="165"/>
      <c r="Z6158" s="165"/>
      <c r="AA6158" s="165"/>
      <c r="AB6158" s="165"/>
      <c r="AC6158" s="165"/>
      <c r="AD6158" s="165"/>
      <c r="AE6158" s="165"/>
      <c r="AF6158" s="165"/>
      <c r="AG6158" s="165"/>
      <c r="AH6158" s="165"/>
      <c r="AI6158" s="165"/>
      <c r="AJ6158" s="165"/>
      <c r="AK6158" s="165"/>
      <c r="AL6158" s="165"/>
      <c r="AM6158" s="165"/>
      <c r="AN6158" s="165"/>
      <c r="AO6158" s="165"/>
      <c r="AP6158" s="165"/>
      <c r="AQ6158" s="165"/>
      <c r="AR6158" s="165"/>
      <c r="AS6158" s="165"/>
      <c r="AT6158" s="165"/>
      <c r="AU6158" s="165"/>
      <c r="AV6158" s="165"/>
      <c r="AW6158" s="165"/>
      <c r="AX6158" s="165"/>
      <c r="AY6158" s="165"/>
      <c r="AZ6158" s="165"/>
      <c r="BA6158" s="165"/>
      <c r="BB6158" s="165"/>
      <c r="BC6158" s="165"/>
      <c r="BD6158" s="165"/>
      <c r="BE6158" s="165"/>
      <c r="BF6158" s="165"/>
      <c r="BG6158" s="165"/>
      <c r="BH6158" s="165"/>
      <c r="BI6158" s="165"/>
      <c r="BJ6158" s="165"/>
      <c r="BK6158" s="165"/>
      <c r="BL6158" s="165"/>
      <c r="BM6158" s="165"/>
      <c r="BN6158" s="165"/>
      <c r="BO6158" s="165"/>
      <c r="BP6158" s="165"/>
      <c r="BQ6158" s="165"/>
      <c r="BR6158" s="165"/>
      <c r="BS6158" s="165"/>
      <c r="BT6158" s="165"/>
      <c r="BU6158" s="165"/>
      <c r="BV6158" s="165"/>
      <c r="BW6158" s="165"/>
      <c r="BX6158" s="165"/>
      <c r="BY6158" s="165"/>
      <c r="BZ6158" s="165"/>
      <c r="CA6158" s="165"/>
      <c r="CB6158" s="165"/>
      <c r="CC6158" s="165"/>
      <c r="CD6158" s="165"/>
      <c r="CE6158" s="165"/>
      <c r="CF6158" s="165"/>
      <c r="CG6158" s="165"/>
      <c r="CH6158" s="165"/>
      <c r="CI6158" s="165"/>
      <c r="CJ6158" s="165"/>
      <c r="CK6158" s="165"/>
      <c r="CL6158" s="165"/>
      <c r="CM6158" s="165"/>
      <c r="CN6158" s="165"/>
      <c r="CO6158" s="165"/>
      <c r="CP6158" s="165"/>
      <c r="CQ6158" s="165"/>
      <c r="CR6158" s="165"/>
      <c r="CS6158" s="165"/>
      <c r="CT6158" s="165"/>
      <c r="CU6158" s="165"/>
      <c r="CV6158" s="165"/>
      <c r="CW6158" s="165"/>
      <c r="CX6158" s="165"/>
      <c r="CY6158" s="165"/>
      <c r="CZ6158" s="165"/>
      <c r="DA6158" s="165"/>
      <c r="DB6158" s="165"/>
      <c r="DC6158" s="165"/>
      <c r="DD6158" s="165"/>
      <c r="DE6158" s="165"/>
      <c r="DF6158" s="165"/>
      <c r="DG6158" s="165"/>
      <c r="DH6158" s="165"/>
      <c r="DI6158" s="165"/>
      <c r="DJ6158" s="165"/>
      <c r="DK6158" s="165"/>
      <c r="DL6158" s="165"/>
      <c r="DM6158" s="165"/>
      <c r="DN6158" s="165"/>
      <c r="DO6158" s="165"/>
      <c r="DP6158" s="165"/>
      <c r="DQ6158" s="165"/>
      <c r="DR6158" s="165"/>
      <c r="DS6158" s="165"/>
      <c r="DT6158" s="165"/>
      <c r="DU6158" s="165"/>
      <c r="DV6158" s="165"/>
      <c r="DW6158" s="165"/>
      <c r="DX6158" s="165"/>
      <c r="DY6158" s="165"/>
      <c r="DZ6158" s="165"/>
      <c r="EA6158" s="165"/>
      <c r="EB6158" s="165"/>
      <c r="EC6158" s="165"/>
      <c r="ED6158" s="165"/>
      <c r="EE6158" s="165"/>
      <c r="EF6158" s="165"/>
      <c r="EG6158" s="165"/>
      <c r="EH6158" s="165"/>
      <c r="EI6158" s="165"/>
      <c r="EJ6158" s="165"/>
      <c r="EK6158" s="165"/>
      <c r="EL6158" s="165"/>
      <c r="EM6158" s="165"/>
      <c r="EN6158" s="165"/>
      <c r="EO6158" s="165"/>
      <c r="EP6158" s="165"/>
      <c r="EQ6158" s="165"/>
      <c r="ER6158" s="165"/>
      <c r="ES6158" s="165"/>
    </row>
    <row r="6159" spans="1:149" s="451" customFormat="1" ht="14.15" hidden="1">
      <c r="A6159" s="468">
        <v>45544</v>
      </c>
      <c r="B6159" s="208" t="s">
        <v>5009</v>
      </c>
      <c r="C6159" s="208" t="s">
        <v>269</v>
      </c>
      <c r="D6159" s="211">
        <v>-30000</v>
      </c>
      <c r="E6159" s="212">
        <v>45536</v>
      </c>
      <c r="F6159" s="208" t="s">
        <v>130</v>
      </c>
      <c r="G6159" s="208" t="s">
        <v>130</v>
      </c>
      <c r="H6159" s="208" t="s">
        <v>852</v>
      </c>
      <c r="I6159" s="208"/>
      <c r="J6159" s="209"/>
      <c r="K6159" s="209"/>
      <c r="L6159" s="209"/>
      <c r="M6159" s="209"/>
      <c r="N6159" s="209"/>
      <c r="O6159" s="209"/>
      <c r="P6159" s="209"/>
      <c r="Q6159" s="209"/>
      <c r="R6159" s="209"/>
      <c r="S6159" s="209"/>
      <c r="T6159" s="209"/>
      <c r="U6159" s="165"/>
      <c r="V6159" s="165"/>
      <c r="W6159" s="165"/>
      <c r="X6159" s="165"/>
      <c r="Y6159" s="165"/>
      <c r="Z6159" s="165"/>
      <c r="AA6159" s="165"/>
      <c r="AB6159" s="165"/>
      <c r="AC6159" s="165"/>
      <c r="AD6159" s="165"/>
      <c r="AE6159" s="165"/>
      <c r="AF6159" s="165"/>
      <c r="AG6159" s="165"/>
      <c r="AH6159" s="165"/>
      <c r="AI6159" s="165"/>
      <c r="AJ6159" s="165"/>
      <c r="AK6159" s="165"/>
      <c r="AL6159" s="165"/>
      <c r="AM6159" s="165"/>
      <c r="AN6159" s="165"/>
      <c r="AO6159" s="165"/>
      <c r="AP6159" s="165"/>
      <c r="AQ6159" s="165"/>
      <c r="AR6159" s="165"/>
      <c r="AS6159" s="165"/>
      <c r="AT6159" s="165"/>
      <c r="AU6159" s="165"/>
      <c r="AV6159" s="165"/>
      <c r="AW6159" s="165"/>
      <c r="AX6159" s="165"/>
      <c r="AY6159" s="165"/>
      <c r="AZ6159" s="165"/>
      <c r="BA6159" s="165"/>
      <c r="BB6159" s="165"/>
      <c r="BC6159" s="165"/>
      <c r="BD6159" s="165"/>
      <c r="BE6159" s="165"/>
      <c r="BF6159" s="165"/>
      <c r="BG6159" s="165"/>
      <c r="BH6159" s="165"/>
      <c r="BI6159" s="165"/>
      <c r="BJ6159" s="165"/>
      <c r="BK6159" s="165"/>
      <c r="BL6159" s="165"/>
      <c r="BM6159" s="165"/>
      <c r="BN6159" s="165"/>
      <c r="BO6159" s="165"/>
      <c r="BP6159" s="165"/>
      <c r="BQ6159" s="165"/>
      <c r="BR6159" s="165"/>
      <c r="BS6159" s="165"/>
      <c r="BT6159" s="165"/>
      <c r="BU6159" s="165"/>
      <c r="BV6159" s="165"/>
      <c r="BW6159" s="165"/>
      <c r="BX6159" s="165"/>
      <c r="BY6159" s="165"/>
      <c r="BZ6159" s="165"/>
      <c r="CA6159" s="165"/>
      <c r="CB6159" s="165"/>
      <c r="CC6159" s="165"/>
      <c r="CD6159" s="165"/>
      <c r="CE6159" s="165"/>
      <c r="CF6159" s="165"/>
      <c r="CG6159" s="165"/>
      <c r="CH6159" s="165"/>
      <c r="CI6159" s="165"/>
      <c r="CJ6159" s="165"/>
      <c r="CK6159" s="165"/>
      <c r="CL6159" s="165"/>
      <c r="CM6159" s="165"/>
      <c r="CN6159" s="165"/>
      <c r="CO6159" s="165"/>
      <c r="CP6159" s="165"/>
      <c r="CQ6159" s="165"/>
      <c r="CR6159" s="165"/>
      <c r="CS6159" s="165"/>
      <c r="CT6159" s="165"/>
      <c r="CU6159" s="165"/>
      <c r="CV6159" s="165"/>
      <c r="CW6159" s="165"/>
      <c r="CX6159" s="165"/>
      <c r="CY6159" s="165"/>
      <c r="CZ6159" s="165"/>
      <c r="DA6159" s="165"/>
      <c r="DB6159" s="165"/>
      <c r="DC6159" s="165"/>
      <c r="DD6159" s="165"/>
      <c r="DE6159" s="165"/>
      <c r="DF6159" s="165"/>
      <c r="DG6159" s="165"/>
      <c r="DH6159" s="165"/>
      <c r="DI6159" s="165"/>
      <c r="DJ6159" s="165"/>
      <c r="DK6159" s="165"/>
      <c r="DL6159" s="165"/>
      <c r="DM6159" s="165"/>
      <c r="DN6159" s="165"/>
      <c r="DO6159" s="165"/>
      <c r="DP6159" s="165"/>
      <c r="DQ6159" s="165"/>
      <c r="DR6159" s="165"/>
      <c r="DS6159" s="165"/>
      <c r="DT6159" s="165"/>
      <c r="DU6159" s="165"/>
      <c r="DV6159" s="165"/>
      <c r="DW6159" s="165"/>
      <c r="DX6159" s="165"/>
      <c r="DY6159" s="165"/>
      <c r="DZ6159" s="165"/>
      <c r="EA6159" s="165"/>
      <c r="EB6159" s="165"/>
      <c r="EC6159" s="165"/>
      <c r="ED6159" s="165"/>
      <c r="EE6159" s="165"/>
      <c r="EF6159" s="165"/>
      <c r="EG6159" s="165"/>
      <c r="EH6159" s="165"/>
      <c r="EI6159" s="165"/>
      <c r="EJ6159" s="165"/>
      <c r="EK6159" s="165"/>
      <c r="EL6159" s="165"/>
      <c r="EM6159" s="165"/>
      <c r="EN6159" s="165"/>
      <c r="EO6159" s="165"/>
      <c r="EP6159" s="165"/>
      <c r="EQ6159" s="165"/>
      <c r="ER6159" s="165"/>
      <c r="ES6159" s="165"/>
    </row>
    <row r="6160" spans="1:149" s="451" customFormat="1" ht="14.15" hidden="1">
      <c r="A6160" s="468">
        <v>45544</v>
      </c>
      <c r="B6160" s="208" t="s">
        <v>5010</v>
      </c>
      <c r="C6160" s="208" t="s">
        <v>269</v>
      </c>
      <c r="D6160" s="211">
        <v>-29000</v>
      </c>
      <c r="E6160" s="212">
        <v>45536</v>
      </c>
      <c r="F6160" s="208" t="s">
        <v>130</v>
      </c>
      <c r="G6160" s="208" t="s">
        <v>130</v>
      </c>
      <c r="H6160" s="208" t="s">
        <v>852</v>
      </c>
      <c r="I6160" s="208"/>
      <c r="J6160" s="209"/>
      <c r="K6160" s="209"/>
      <c r="L6160" s="209"/>
      <c r="M6160" s="209"/>
      <c r="N6160" s="209"/>
      <c r="O6160" s="209"/>
      <c r="P6160" s="209"/>
      <c r="Q6160" s="209"/>
      <c r="R6160" s="209"/>
      <c r="S6160" s="209"/>
      <c r="T6160" s="209"/>
      <c r="U6160" s="165"/>
      <c r="V6160" s="165"/>
      <c r="W6160" s="165"/>
      <c r="X6160" s="165"/>
      <c r="Y6160" s="165"/>
      <c r="Z6160" s="165"/>
      <c r="AA6160" s="165"/>
      <c r="AB6160" s="165"/>
      <c r="AC6160" s="165"/>
      <c r="AD6160" s="165"/>
      <c r="AE6160" s="165"/>
      <c r="AF6160" s="165"/>
      <c r="AG6160" s="165"/>
      <c r="AH6160" s="165"/>
      <c r="AI6160" s="165"/>
      <c r="AJ6160" s="165"/>
      <c r="AK6160" s="165"/>
      <c r="AL6160" s="165"/>
      <c r="AM6160" s="165"/>
      <c r="AN6160" s="165"/>
      <c r="AO6160" s="165"/>
      <c r="AP6160" s="165"/>
      <c r="AQ6160" s="165"/>
      <c r="AR6160" s="165"/>
      <c r="AS6160" s="165"/>
      <c r="AT6160" s="165"/>
      <c r="AU6160" s="165"/>
      <c r="AV6160" s="165"/>
      <c r="AW6160" s="165"/>
      <c r="AX6160" s="165"/>
      <c r="AY6160" s="165"/>
      <c r="AZ6160" s="165"/>
      <c r="BA6160" s="165"/>
      <c r="BB6160" s="165"/>
      <c r="BC6160" s="165"/>
      <c r="BD6160" s="165"/>
      <c r="BE6160" s="165"/>
      <c r="BF6160" s="165"/>
      <c r="BG6160" s="165"/>
      <c r="BH6160" s="165"/>
      <c r="BI6160" s="165"/>
      <c r="BJ6160" s="165"/>
      <c r="BK6160" s="165"/>
      <c r="BL6160" s="165"/>
      <c r="BM6160" s="165"/>
      <c r="BN6160" s="165"/>
      <c r="BO6160" s="165"/>
      <c r="BP6160" s="165"/>
      <c r="BQ6160" s="165"/>
      <c r="BR6160" s="165"/>
      <c r="BS6160" s="165"/>
      <c r="BT6160" s="165"/>
      <c r="BU6160" s="165"/>
      <c r="BV6160" s="165"/>
      <c r="BW6160" s="165"/>
      <c r="BX6160" s="165"/>
      <c r="BY6160" s="165"/>
      <c r="BZ6160" s="165"/>
      <c r="CA6160" s="165"/>
      <c r="CB6160" s="165"/>
      <c r="CC6160" s="165"/>
      <c r="CD6160" s="165"/>
      <c r="CE6160" s="165"/>
      <c r="CF6160" s="165"/>
      <c r="CG6160" s="165"/>
      <c r="CH6160" s="165"/>
      <c r="CI6160" s="165"/>
      <c r="CJ6160" s="165"/>
      <c r="CK6160" s="165"/>
      <c r="CL6160" s="165"/>
      <c r="CM6160" s="165"/>
      <c r="CN6160" s="165"/>
      <c r="CO6160" s="165"/>
      <c r="CP6160" s="165"/>
      <c r="CQ6160" s="165"/>
      <c r="CR6160" s="165"/>
      <c r="CS6160" s="165"/>
      <c r="CT6160" s="165"/>
      <c r="CU6160" s="165"/>
      <c r="CV6160" s="165"/>
      <c r="CW6160" s="165"/>
      <c r="CX6160" s="165"/>
      <c r="CY6160" s="165"/>
      <c r="CZ6160" s="165"/>
      <c r="DA6160" s="165"/>
      <c r="DB6160" s="165"/>
      <c r="DC6160" s="165"/>
      <c r="DD6160" s="165"/>
      <c r="DE6160" s="165"/>
      <c r="DF6160" s="165"/>
      <c r="DG6160" s="165"/>
      <c r="DH6160" s="165"/>
      <c r="DI6160" s="165"/>
      <c r="DJ6160" s="165"/>
      <c r="DK6160" s="165"/>
      <c r="DL6160" s="165"/>
      <c r="DM6160" s="165"/>
      <c r="DN6160" s="165"/>
      <c r="DO6160" s="165"/>
      <c r="DP6160" s="165"/>
      <c r="DQ6160" s="165"/>
      <c r="DR6160" s="165"/>
      <c r="DS6160" s="165"/>
      <c r="DT6160" s="165"/>
      <c r="DU6160" s="165"/>
      <c r="DV6160" s="165"/>
      <c r="DW6160" s="165"/>
      <c r="DX6160" s="165"/>
      <c r="DY6160" s="165"/>
      <c r="DZ6160" s="165"/>
      <c r="EA6160" s="165"/>
      <c r="EB6160" s="165"/>
      <c r="EC6160" s="165"/>
      <c r="ED6160" s="165"/>
      <c r="EE6160" s="165"/>
      <c r="EF6160" s="165"/>
      <c r="EG6160" s="165"/>
      <c r="EH6160" s="165"/>
      <c r="EI6160" s="165"/>
      <c r="EJ6160" s="165"/>
      <c r="EK6160" s="165"/>
      <c r="EL6160" s="165"/>
      <c r="EM6160" s="165"/>
      <c r="EN6160" s="165"/>
      <c r="EO6160" s="165"/>
      <c r="EP6160" s="165"/>
      <c r="EQ6160" s="165"/>
      <c r="ER6160" s="165"/>
      <c r="ES6160" s="165"/>
    </row>
    <row r="6161" spans="1:149" s="451" customFormat="1" ht="14.15" hidden="1">
      <c r="A6161" s="468">
        <v>45544</v>
      </c>
      <c r="B6161" s="208" t="s">
        <v>5011</v>
      </c>
      <c r="C6161" s="208" t="s">
        <v>269</v>
      </c>
      <c r="D6161" s="211">
        <v>-81900</v>
      </c>
      <c r="E6161" s="212">
        <v>45536</v>
      </c>
      <c r="F6161" s="208" t="s">
        <v>130</v>
      </c>
      <c r="G6161" s="208" t="s">
        <v>130</v>
      </c>
      <c r="H6161" s="208" t="s">
        <v>852</v>
      </c>
      <c r="I6161" s="208"/>
      <c r="J6161" s="209"/>
      <c r="K6161" s="209"/>
      <c r="L6161" s="209"/>
      <c r="M6161" s="209"/>
      <c r="N6161" s="209"/>
      <c r="O6161" s="209"/>
      <c r="P6161" s="209"/>
      <c r="Q6161" s="209"/>
      <c r="R6161" s="209"/>
      <c r="S6161" s="209"/>
      <c r="T6161" s="209"/>
      <c r="U6161" s="165"/>
      <c r="V6161" s="165"/>
      <c r="W6161" s="165"/>
      <c r="X6161" s="165"/>
      <c r="Y6161" s="165"/>
      <c r="Z6161" s="165"/>
      <c r="AA6161" s="165"/>
      <c r="AB6161" s="165"/>
      <c r="AC6161" s="165"/>
      <c r="AD6161" s="165"/>
      <c r="AE6161" s="165"/>
      <c r="AF6161" s="165"/>
      <c r="AG6161" s="165"/>
      <c r="AH6161" s="165"/>
      <c r="AI6161" s="165"/>
      <c r="AJ6161" s="165"/>
      <c r="AK6161" s="165"/>
      <c r="AL6161" s="165"/>
      <c r="AM6161" s="165"/>
      <c r="AN6161" s="165"/>
      <c r="AO6161" s="165"/>
      <c r="AP6161" s="165"/>
      <c r="AQ6161" s="165"/>
      <c r="AR6161" s="165"/>
      <c r="AS6161" s="165"/>
      <c r="AT6161" s="165"/>
      <c r="AU6161" s="165"/>
      <c r="AV6161" s="165"/>
      <c r="AW6161" s="165"/>
      <c r="AX6161" s="165"/>
      <c r="AY6161" s="165"/>
      <c r="AZ6161" s="165"/>
      <c r="BA6161" s="165"/>
      <c r="BB6161" s="165"/>
      <c r="BC6161" s="165"/>
      <c r="BD6161" s="165"/>
      <c r="BE6161" s="165"/>
      <c r="BF6161" s="165"/>
      <c r="BG6161" s="165"/>
      <c r="BH6161" s="165"/>
      <c r="BI6161" s="165"/>
      <c r="BJ6161" s="165"/>
      <c r="BK6161" s="165"/>
      <c r="BL6161" s="165"/>
      <c r="BM6161" s="165"/>
      <c r="BN6161" s="165"/>
      <c r="BO6161" s="165"/>
      <c r="BP6161" s="165"/>
      <c r="BQ6161" s="165"/>
      <c r="BR6161" s="165"/>
      <c r="BS6161" s="165"/>
      <c r="BT6161" s="165"/>
      <c r="BU6161" s="165"/>
      <c r="BV6161" s="165"/>
      <c r="BW6161" s="165"/>
      <c r="BX6161" s="165"/>
      <c r="BY6161" s="165"/>
      <c r="BZ6161" s="165"/>
      <c r="CA6161" s="165"/>
      <c r="CB6161" s="165"/>
      <c r="CC6161" s="165"/>
      <c r="CD6161" s="165"/>
      <c r="CE6161" s="165"/>
      <c r="CF6161" s="165"/>
      <c r="CG6161" s="165"/>
      <c r="CH6161" s="165"/>
      <c r="CI6161" s="165"/>
      <c r="CJ6161" s="165"/>
      <c r="CK6161" s="165"/>
      <c r="CL6161" s="165"/>
      <c r="CM6161" s="165"/>
      <c r="CN6161" s="165"/>
      <c r="CO6161" s="165"/>
      <c r="CP6161" s="165"/>
      <c r="CQ6161" s="165"/>
      <c r="CR6161" s="165"/>
      <c r="CS6161" s="165"/>
      <c r="CT6161" s="165"/>
      <c r="CU6161" s="165"/>
      <c r="CV6161" s="165"/>
      <c r="CW6161" s="165"/>
      <c r="CX6161" s="165"/>
      <c r="CY6161" s="165"/>
      <c r="CZ6161" s="165"/>
      <c r="DA6161" s="165"/>
      <c r="DB6161" s="165"/>
      <c r="DC6161" s="165"/>
      <c r="DD6161" s="165"/>
      <c r="DE6161" s="165"/>
      <c r="DF6161" s="165"/>
      <c r="DG6161" s="165"/>
      <c r="DH6161" s="165"/>
      <c r="DI6161" s="165"/>
      <c r="DJ6161" s="165"/>
      <c r="DK6161" s="165"/>
      <c r="DL6161" s="165"/>
      <c r="DM6161" s="165"/>
      <c r="DN6161" s="165"/>
      <c r="DO6161" s="165"/>
      <c r="DP6161" s="165"/>
      <c r="DQ6161" s="165"/>
      <c r="DR6161" s="165"/>
      <c r="DS6161" s="165"/>
      <c r="DT6161" s="165"/>
      <c r="DU6161" s="165"/>
      <c r="DV6161" s="165"/>
      <c r="DW6161" s="165"/>
      <c r="DX6161" s="165"/>
      <c r="DY6161" s="165"/>
      <c r="DZ6161" s="165"/>
      <c r="EA6161" s="165"/>
      <c r="EB6161" s="165"/>
      <c r="EC6161" s="165"/>
      <c r="ED6161" s="165"/>
      <c r="EE6161" s="165"/>
      <c r="EF6161" s="165"/>
      <c r="EG6161" s="165"/>
      <c r="EH6161" s="165"/>
      <c r="EI6161" s="165"/>
      <c r="EJ6161" s="165"/>
      <c r="EK6161" s="165"/>
      <c r="EL6161" s="165"/>
      <c r="EM6161" s="165"/>
      <c r="EN6161" s="165"/>
      <c r="EO6161" s="165"/>
      <c r="EP6161" s="165"/>
      <c r="EQ6161" s="165"/>
      <c r="ER6161" s="165"/>
      <c r="ES6161" s="165"/>
    </row>
    <row r="6162" spans="1:149" s="451" customFormat="1" ht="14.15" hidden="1">
      <c r="A6162" s="468">
        <v>45544</v>
      </c>
      <c r="B6162" s="208" t="s">
        <v>5012</v>
      </c>
      <c r="C6162" s="208" t="s">
        <v>269</v>
      </c>
      <c r="D6162" s="211">
        <v>-36500</v>
      </c>
      <c r="E6162" s="212">
        <v>45536</v>
      </c>
      <c r="F6162" s="208" t="s">
        <v>130</v>
      </c>
      <c r="G6162" s="208" t="s">
        <v>130</v>
      </c>
      <c r="H6162" s="208" t="s">
        <v>852</v>
      </c>
      <c r="I6162" s="208"/>
      <c r="J6162" s="209"/>
      <c r="K6162" s="209"/>
      <c r="L6162" s="209"/>
      <c r="M6162" s="209"/>
      <c r="N6162" s="209"/>
      <c r="O6162" s="209"/>
      <c r="P6162" s="209"/>
      <c r="Q6162" s="209"/>
      <c r="R6162" s="209"/>
      <c r="S6162" s="209"/>
      <c r="T6162" s="209"/>
      <c r="U6162" s="165"/>
      <c r="V6162" s="165"/>
      <c r="W6162" s="165"/>
      <c r="X6162" s="165"/>
      <c r="Y6162" s="165"/>
      <c r="Z6162" s="165"/>
      <c r="AA6162" s="165"/>
      <c r="AB6162" s="165"/>
      <c r="AC6162" s="165"/>
      <c r="AD6162" s="165"/>
      <c r="AE6162" s="165"/>
      <c r="AF6162" s="165"/>
      <c r="AG6162" s="165"/>
      <c r="AH6162" s="165"/>
      <c r="AI6162" s="165"/>
      <c r="AJ6162" s="165"/>
      <c r="AK6162" s="165"/>
      <c r="AL6162" s="165"/>
      <c r="AM6162" s="165"/>
      <c r="AN6162" s="165"/>
      <c r="AO6162" s="165"/>
      <c r="AP6162" s="165"/>
      <c r="AQ6162" s="165"/>
      <c r="AR6162" s="165"/>
      <c r="AS6162" s="165"/>
      <c r="AT6162" s="165"/>
      <c r="AU6162" s="165"/>
      <c r="AV6162" s="165"/>
      <c r="AW6162" s="165"/>
      <c r="AX6162" s="165"/>
      <c r="AY6162" s="165"/>
      <c r="AZ6162" s="165"/>
      <c r="BA6162" s="165"/>
      <c r="BB6162" s="165"/>
      <c r="BC6162" s="165"/>
      <c r="BD6162" s="165"/>
      <c r="BE6162" s="165"/>
      <c r="BF6162" s="165"/>
      <c r="BG6162" s="165"/>
      <c r="BH6162" s="165"/>
      <c r="BI6162" s="165"/>
      <c r="BJ6162" s="165"/>
      <c r="BK6162" s="165"/>
      <c r="BL6162" s="165"/>
      <c r="BM6162" s="165"/>
      <c r="BN6162" s="165"/>
      <c r="BO6162" s="165"/>
      <c r="BP6162" s="165"/>
      <c r="BQ6162" s="165"/>
      <c r="BR6162" s="165"/>
      <c r="BS6162" s="165"/>
      <c r="BT6162" s="165"/>
      <c r="BU6162" s="165"/>
      <c r="BV6162" s="165"/>
      <c r="BW6162" s="165"/>
      <c r="BX6162" s="165"/>
      <c r="BY6162" s="165"/>
      <c r="BZ6162" s="165"/>
      <c r="CA6162" s="165"/>
      <c r="CB6162" s="165"/>
      <c r="CC6162" s="165"/>
      <c r="CD6162" s="165"/>
      <c r="CE6162" s="165"/>
      <c r="CF6162" s="165"/>
      <c r="CG6162" s="165"/>
      <c r="CH6162" s="165"/>
      <c r="CI6162" s="165"/>
      <c r="CJ6162" s="165"/>
      <c r="CK6162" s="165"/>
      <c r="CL6162" s="165"/>
      <c r="CM6162" s="165"/>
      <c r="CN6162" s="165"/>
      <c r="CO6162" s="165"/>
      <c r="CP6162" s="165"/>
      <c r="CQ6162" s="165"/>
      <c r="CR6162" s="165"/>
      <c r="CS6162" s="165"/>
      <c r="CT6162" s="165"/>
      <c r="CU6162" s="165"/>
      <c r="CV6162" s="165"/>
      <c r="CW6162" s="165"/>
      <c r="CX6162" s="165"/>
      <c r="CY6162" s="165"/>
      <c r="CZ6162" s="165"/>
      <c r="DA6162" s="165"/>
      <c r="DB6162" s="165"/>
      <c r="DC6162" s="165"/>
      <c r="DD6162" s="165"/>
      <c r="DE6162" s="165"/>
      <c r="DF6162" s="165"/>
      <c r="DG6162" s="165"/>
      <c r="DH6162" s="165"/>
      <c r="DI6162" s="165"/>
      <c r="DJ6162" s="165"/>
      <c r="DK6162" s="165"/>
      <c r="DL6162" s="165"/>
      <c r="DM6162" s="165"/>
      <c r="DN6162" s="165"/>
      <c r="DO6162" s="165"/>
      <c r="DP6162" s="165"/>
      <c r="DQ6162" s="165"/>
      <c r="DR6162" s="165"/>
      <c r="DS6162" s="165"/>
      <c r="DT6162" s="165"/>
      <c r="DU6162" s="165"/>
      <c r="DV6162" s="165"/>
      <c r="DW6162" s="165"/>
      <c r="DX6162" s="165"/>
      <c r="DY6162" s="165"/>
      <c r="DZ6162" s="165"/>
      <c r="EA6162" s="165"/>
      <c r="EB6162" s="165"/>
      <c r="EC6162" s="165"/>
      <c r="ED6162" s="165"/>
      <c r="EE6162" s="165"/>
      <c r="EF6162" s="165"/>
      <c r="EG6162" s="165"/>
      <c r="EH6162" s="165"/>
      <c r="EI6162" s="165"/>
      <c r="EJ6162" s="165"/>
      <c r="EK6162" s="165"/>
      <c r="EL6162" s="165"/>
      <c r="EM6162" s="165"/>
      <c r="EN6162" s="165"/>
      <c r="EO6162" s="165"/>
      <c r="EP6162" s="165"/>
      <c r="EQ6162" s="165"/>
      <c r="ER6162" s="165"/>
      <c r="ES6162" s="165"/>
    </row>
    <row r="6163" spans="1:149" s="451" customFormat="1" ht="14.15" hidden="1">
      <c r="A6163" s="468">
        <v>45544</v>
      </c>
      <c r="B6163" s="208" t="s">
        <v>5013</v>
      </c>
      <c r="C6163" s="208" t="s">
        <v>269</v>
      </c>
      <c r="D6163" s="211">
        <v>-60700</v>
      </c>
      <c r="E6163" s="212">
        <v>45536</v>
      </c>
      <c r="F6163" s="208" t="s">
        <v>130</v>
      </c>
      <c r="G6163" s="208" t="s">
        <v>130</v>
      </c>
      <c r="H6163" s="208" t="s">
        <v>852</v>
      </c>
      <c r="I6163" s="208"/>
      <c r="J6163" s="209"/>
      <c r="K6163" s="209"/>
      <c r="L6163" s="209"/>
      <c r="M6163" s="209"/>
      <c r="N6163" s="209"/>
      <c r="O6163" s="209"/>
      <c r="P6163" s="209"/>
      <c r="Q6163" s="209"/>
      <c r="R6163" s="209"/>
      <c r="S6163" s="209"/>
      <c r="T6163" s="209"/>
      <c r="U6163" s="165"/>
      <c r="V6163" s="165"/>
      <c r="W6163" s="165"/>
      <c r="X6163" s="165"/>
      <c r="Y6163" s="165"/>
      <c r="Z6163" s="165"/>
      <c r="AA6163" s="165"/>
      <c r="AB6163" s="165"/>
      <c r="AC6163" s="165"/>
      <c r="AD6163" s="165"/>
      <c r="AE6163" s="165"/>
      <c r="AF6163" s="165"/>
      <c r="AG6163" s="165"/>
      <c r="AH6163" s="165"/>
      <c r="AI6163" s="165"/>
      <c r="AJ6163" s="165"/>
      <c r="AK6163" s="165"/>
      <c r="AL6163" s="165"/>
      <c r="AM6163" s="165"/>
      <c r="AN6163" s="165"/>
      <c r="AO6163" s="165"/>
      <c r="AP6163" s="165"/>
      <c r="AQ6163" s="165"/>
      <c r="AR6163" s="165"/>
      <c r="AS6163" s="165"/>
      <c r="AT6163" s="165"/>
      <c r="AU6163" s="165"/>
      <c r="AV6163" s="165"/>
      <c r="AW6163" s="165"/>
      <c r="AX6163" s="165"/>
      <c r="AY6163" s="165"/>
      <c r="AZ6163" s="165"/>
      <c r="BA6163" s="165"/>
      <c r="BB6163" s="165"/>
      <c r="BC6163" s="165"/>
      <c r="BD6163" s="165"/>
      <c r="BE6163" s="165"/>
      <c r="BF6163" s="165"/>
      <c r="BG6163" s="165"/>
      <c r="BH6163" s="165"/>
      <c r="BI6163" s="165"/>
      <c r="BJ6163" s="165"/>
      <c r="BK6163" s="165"/>
      <c r="BL6163" s="165"/>
      <c r="BM6163" s="165"/>
      <c r="BN6163" s="165"/>
      <c r="BO6163" s="165"/>
      <c r="BP6163" s="165"/>
      <c r="BQ6163" s="165"/>
      <c r="BR6163" s="165"/>
      <c r="BS6163" s="165"/>
      <c r="BT6163" s="165"/>
      <c r="BU6163" s="165"/>
      <c r="BV6163" s="165"/>
      <c r="BW6163" s="165"/>
      <c r="BX6163" s="165"/>
      <c r="BY6163" s="165"/>
      <c r="BZ6163" s="165"/>
      <c r="CA6163" s="165"/>
      <c r="CB6163" s="165"/>
      <c r="CC6163" s="165"/>
      <c r="CD6163" s="165"/>
      <c r="CE6163" s="165"/>
      <c r="CF6163" s="165"/>
      <c r="CG6163" s="165"/>
      <c r="CH6163" s="165"/>
      <c r="CI6163" s="165"/>
      <c r="CJ6163" s="165"/>
      <c r="CK6163" s="165"/>
      <c r="CL6163" s="165"/>
      <c r="CM6163" s="165"/>
      <c r="CN6163" s="165"/>
      <c r="CO6163" s="165"/>
      <c r="CP6163" s="165"/>
      <c r="CQ6163" s="165"/>
      <c r="CR6163" s="165"/>
      <c r="CS6163" s="165"/>
      <c r="CT6163" s="165"/>
      <c r="CU6163" s="165"/>
      <c r="CV6163" s="165"/>
      <c r="CW6163" s="165"/>
      <c r="CX6163" s="165"/>
      <c r="CY6163" s="165"/>
      <c r="CZ6163" s="165"/>
      <c r="DA6163" s="165"/>
      <c r="DB6163" s="165"/>
      <c r="DC6163" s="165"/>
      <c r="DD6163" s="165"/>
      <c r="DE6163" s="165"/>
      <c r="DF6163" s="165"/>
      <c r="DG6163" s="165"/>
      <c r="DH6163" s="165"/>
      <c r="DI6163" s="165"/>
      <c r="DJ6163" s="165"/>
      <c r="DK6163" s="165"/>
      <c r="DL6163" s="165"/>
      <c r="DM6163" s="165"/>
      <c r="DN6163" s="165"/>
      <c r="DO6163" s="165"/>
      <c r="DP6163" s="165"/>
      <c r="DQ6163" s="165"/>
      <c r="DR6163" s="165"/>
      <c r="DS6163" s="165"/>
      <c r="DT6163" s="165"/>
      <c r="DU6163" s="165"/>
      <c r="DV6163" s="165"/>
      <c r="DW6163" s="165"/>
      <c r="DX6163" s="165"/>
      <c r="DY6163" s="165"/>
      <c r="DZ6163" s="165"/>
      <c r="EA6163" s="165"/>
      <c r="EB6163" s="165"/>
      <c r="EC6163" s="165"/>
      <c r="ED6163" s="165"/>
      <c r="EE6163" s="165"/>
      <c r="EF6163" s="165"/>
      <c r="EG6163" s="165"/>
      <c r="EH6163" s="165"/>
      <c r="EI6163" s="165"/>
      <c r="EJ6163" s="165"/>
      <c r="EK6163" s="165"/>
      <c r="EL6163" s="165"/>
      <c r="EM6163" s="165"/>
      <c r="EN6163" s="165"/>
      <c r="EO6163" s="165"/>
      <c r="EP6163" s="165"/>
      <c r="EQ6163" s="165"/>
      <c r="ER6163" s="165"/>
      <c r="ES6163" s="165"/>
    </row>
    <row r="6164" spans="1:149" s="451" customFormat="1" ht="14.15" hidden="1">
      <c r="A6164" s="468">
        <v>45544</v>
      </c>
      <c r="B6164" s="208" t="s">
        <v>5014</v>
      </c>
      <c r="C6164" s="208" t="s">
        <v>269</v>
      </c>
      <c r="D6164" s="211">
        <v>-31900</v>
      </c>
      <c r="E6164" s="212">
        <v>45536</v>
      </c>
      <c r="F6164" s="208" t="s">
        <v>130</v>
      </c>
      <c r="G6164" s="208" t="s">
        <v>130</v>
      </c>
      <c r="H6164" s="208" t="s">
        <v>852</v>
      </c>
      <c r="I6164" s="208"/>
      <c r="J6164" s="209"/>
      <c r="K6164" s="209"/>
      <c r="L6164" s="209"/>
      <c r="M6164" s="209"/>
      <c r="N6164" s="209"/>
      <c r="O6164" s="209"/>
      <c r="P6164" s="209"/>
      <c r="Q6164" s="209"/>
      <c r="R6164" s="209"/>
      <c r="S6164" s="209"/>
      <c r="T6164" s="209"/>
      <c r="U6164" s="165"/>
      <c r="V6164" s="165"/>
      <c r="W6164" s="165"/>
      <c r="X6164" s="165"/>
      <c r="Y6164" s="165"/>
      <c r="Z6164" s="165"/>
      <c r="AA6164" s="165"/>
      <c r="AB6164" s="165"/>
      <c r="AC6164" s="165"/>
      <c r="AD6164" s="165"/>
      <c r="AE6164" s="165"/>
      <c r="AF6164" s="165"/>
      <c r="AG6164" s="165"/>
      <c r="AH6164" s="165"/>
      <c r="AI6164" s="165"/>
      <c r="AJ6164" s="165"/>
      <c r="AK6164" s="165"/>
      <c r="AL6164" s="165"/>
      <c r="AM6164" s="165"/>
      <c r="AN6164" s="165"/>
      <c r="AO6164" s="165"/>
      <c r="AP6164" s="165"/>
      <c r="AQ6164" s="165"/>
      <c r="AR6164" s="165"/>
      <c r="AS6164" s="165"/>
      <c r="AT6164" s="165"/>
      <c r="AU6164" s="165"/>
      <c r="AV6164" s="165"/>
      <c r="AW6164" s="165"/>
      <c r="AX6164" s="165"/>
      <c r="AY6164" s="165"/>
      <c r="AZ6164" s="165"/>
      <c r="BA6164" s="165"/>
      <c r="BB6164" s="165"/>
      <c r="BC6164" s="165"/>
      <c r="BD6164" s="165"/>
      <c r="BE6164" s="165"/>
      <c r="BF6164" s="165"/>
      <c r="BG6164" s="165"/>
      <c r="BH6164" s="165"/>
      <c r="BI6164" s="165"/>
      <c r="BJ6164" s="165"/>
      <c r="BK6164" s="165"/>
      <c r="BL6164" s="165"/>
      <c r="BM6164" s="165"/>
      <c r="BN6164" s="165"/>
      <c r="BO6164" s="165"/>
      <c r="BP6164" s="165"/>
      <c r="BQ6164" s="165"/>
      <c r="BR6164" s="165"/>
      <c r="BS6164" s="165"/>
      <c r="BT6164" s="165"/>
      <c r="BU6164" s="165"/>
      <c r="BV6164" s="165"/>
      <c r="BW6164" s="165"/>
      <c r="BX6164" s="165"/>
      <c r="BY6164" s="165"/>
      <c r="BZ6164" s="165"/>
      <c r="CA6164" s="165"/>
      <c r="CB6164" s="165"/>
      <c r="CC6164" s="165"/>
      <c r="CD6164" s="165"/>
      <c r="CE6164" s="165"/>
      <c r="CF6164" s="165"/>
      <c r="CG6164" s="165"/>
      <c r="CH6164" s="165"/>
      <c r="CI6164" s="165"/>
      <c r="CJ6164" s="165"/>
      <c r="CK6164" s="165"/>
      <c r="CL6164" s="165"/>
      <c r="CM6164" s="165"/>
      <c r="CN6164" s="165"/>
      <c r="CO6164" s="165"/>
      <c r="CP6164" s="165"/>
      <c r="CQ6164" s="165"/>
      <c r="CR6164" s="165"/>
      <c r="CS6164" s="165"/>
      <c r="CT6164" s="165"/>
      <c r="CU6164" s="165"/>
      <c r="CV6164" s="165"/>
      <c r="CW6164" s="165"/>
      <c r="CX6164" s="165"/>
      <c r="CY6164" s="165"/>
      <c r="CZ6164" s="165"/>
      <c r="DA6164" s="165"/>
      <c r="DB6164" s="165"/>
      <c r="DC6164" s="165"/>
      <c r="DD6164" s="165"/>
      <c r="DE6164" s="165"/>
      <c r="DF6164" s="165"/>
      <c r="DG6164" s="165"/>
      <c r="DH6164" s="165"/>
      <c r="DI6164" s="165"/>
      <c r="DJ6164" s="165"/>
      <c r="DK6164" s="165"/>
      <c r="DL6164" s="165"/>
      <c r="DM6164" s="165"/>
      <c r="DN6164" s="165"/>
      <c r="DO6164" s="165"/>
      <c r="DP6164" s="165"/>
      <c r="DQ6164" s="165"/>
      <c r="DR6164" s="165"/>
      <c r="DS6164" s="165"/>
      <c r="DT6164" s="165"/>
      <c r="DU6164" s="165"/>
      <c r="DV6164" s="165"/>
      <c r="DW6164" s="165"/>
      <c r="DX6164" s="165"/>
      <c r="DY6164" s="165"/>
      <c r="DZ6164" s="165"/>
      <c r="EA6164" s="165"/>
      <c r="EB6164" s="165"/>
      <c r="EC6164" s="165"/>
      <c r="ED6164" s="165"/>
      <c r="EE6164" s="165"/>
      <c r="EF6164" s="165"/>
      <c r="EG6164" s="165"/>
      <c r="EH6164" s="165"/>
      <c r="EI6164" s="165"/>
      <c r="EJ6164" s="165"/>
      <c r="EK6164" s="165"/>
      <c r="EL6164" s="165"/>
      <c r="EM6164" s="165"/>
      <c r="EN6164" s="165"/>
      <c r="EO6164" s="165"/>
      <c r="EP6164" s="165"/>
      <c r="EQ6164" s="165"/>
      <c r="ER6164" s="165"/>
      <c r="ES6164" s="165"/>
    </row>
    <row r="6165" spans="1:149" s="451" customFormat="1" ht="14.15" hidden="1">
      <c r="A6165" s="468">
        <v>45544</v>
      </c>
      <c r="B6165" s="208" t="s">
        <v>5015</v>
      </c>
      <c r="C6165" s="208" t="s">
        <v>269</v>
      </c>
      <c r="D6165" s="211">
        <v>-10500</v>
      </c>
      <c r="E6165" s="212">
        <v>45536</v>
      </c>
      <c r="F6165" s="208" t="s">
        <v>130</v>
      </c>
      <c r="G6165" s="208" t="s">
        <v>130</v>
      </c>
      <c r="H6165" s="208" t="s">
        <v>852</v>
      </c>
      <c r="I6165" s="208"/>
      <c r="J6165" s="209"/>
      <c r="K6165" s="209"/>
      <c r="L6165" s="209"/>
      <c r="M6165" s="209"/>
      <c r="N6165" s="209"/>
      <c r="O6165" s="209"/>
      <c r="P6165" s="209"/>
      <c r="Q6165" s="209"/>
      <c r="R6165" s="209"/>
      <c r="S6165" s="209"/>
      <c r="T6165" s="209"/>
      <c r="U6165" s="165"/>
      <c r="V6165" s="165"/>
      <c r="W6165" s="165"/>
      <c r="X6165" s="165"/>
      <c r="Y6165" s="165"/>
      <c r="Z6165" s="165"/>
      <c r="AA6165" s="165"/>
      <c r="AB6165" s="165"/>
      <c r="AC6165" s="165"/>
      <c r="AD6165" s="165"/>
      <c r="AE6165" s="165"/>
      <c r="AF6165" s="165"/>
      <c r="AG6165" s="165"/>
      <c r="AH6165" s="165"/>
      <c r="AI6165" s="165"/>
      <c r="AJ6165" s="165"/>
      <c r="AK6165" s="165"/>
      <c r="AL6165" s="165"/>
      <c r="AM6165" s="165"/>
      <c r="AN6165" s="165"/>
      <c r="AO6165" s="165"/>
      <c r="AP6165" s="165"/>
      <c r="AQ6165" s="165"/>
      <c r="AR6165" s="165"/>
      <c r="AS6165" s="165"/>
      <c r="AT6165" s="165"/>
      <c r="AU6165" s="165"/>
      <c r="AV6165" s="165"/>
      <c r="AW6165" s="165"/>
      <c r="AX6165" s="165"/>
      <c r="AY6165" s="165"/>
      <c r="AZ6165" s="165"/>
      <c r="BA6165" s="165"/>
      <c r="BB6165" s="165"/>
      <c r="BC6165" s="165"/>
      <c r="BD6165" s="165"/>
      <c r="BE6165" s="165"/>
      <c r="BF6165" s="165"/>
      <c r="BG6165" s="165"/>
      <c r="BH6165" s="165"/>
      <c r="BI6165" s="165"/>
      <c r="BJ6165" s="165"/>
      <c r="BK6165" s="165"/>
      <c r="BL6165" s="165"/>
      <c r="BM6165" s="165"/>
      <c r="BN6165" s="165"/>
      <c r="BO6165" s="165"/>
      <c r="BP6165" s="165"/>
      <c r="BQ6165" s="165"/>
      <c r="BR6165" s="165"/>
      <c r="BS6165" s="165"/>
      <c r="BT6165" s="165"/>
      <c r="BU6165" s="165"/>
      <c r="BV6165" s="165"/>
      <c r="BW6165" s="165"/>
      <c r="BX6165" s="165"/>
      <c r="BY6165" s="165"/>
      <c r="BZ6165" s="165"/>
      <c r="CA6165" s="165"/>
      <c r="CB6165" s="165"/>
      <c r="CC6165" s="165"/>
      <c r="CD6165" s="165"/>
      <c r="CE6165" s="165"/>
      <c r="CF6165" s="165"/>
      <c r="CG6165" s="165"/>
      <c r="CH6165" s="165"/>
      <c r="CI6165" s="165"/>
      <c r="CJ6165" s="165"/>
      <c r="CK6165" s="165"/>
      <c r="CL6165" s="165"/>
      <c r="CM6165" s="165"/>
      <c r="CN6165" s="165"/>
      <c r="CO6165" s="165"/>
      <c r="CP6165" s="165"/>
      <c r="CQ6165" s="165"/>
      <c r="CR6165" s="165"/>
      <c r="CS6165" s="165"/>
      <c r="CT6165" s="165"/>
      <c r="CU6165" s="165"/>
      <c r="CV6165" s="165"/>
      <c r="CW6165" s="165"/>
      <c r="CX6165" s="165"/>
      <c r="CY6165" s="165"/>
      <c r="CZ6165" s="165"/>
      <c r="DA6165" s="165"/>
      <c r="DB6165" s="165"/>
      <c r="DC6165" s="165"/>
      <c r="DD6165" s="165"/>
      <c r="DE6165" s="165"/>
      <c r="DF6165" s="165"/>
      <c r="DG6165" s="165"/>
      <c r="DH6165" s="165"/>
      <c r="DI6165" s="165"/>
      <c r="DJ6165" s="165"/>
      <c r="DK6165" s="165"/>
      <c r="DL6165" s="165"/>
      <c r="DM6165" s="165"/>
      <c r="DN6165" s="165"/>
      <c r="DO6165" s="165"/>
      <c r="DP6165" s="165"/>
      <c r="DQ6165" s="165"/>
      <c r="DR6165" s="165"/>
      <c r="DS6165" s="165"/>
      <c r="DT6165" s="165"/>
      <c r="DU6165" s="165"/>
      <c r="DV6165" s="165"/>
      <c r="DW6165" s="165"/>
      <c r="DX6165" s="165"/>
      <c r="DY6165" s="165"/>
      <c r="DZ6165" s="165"/>
      <c r="EA6165" s="165"/>
      <c r="EB6165" s="165"/>
      <c r="EC6165" s="165"/>
      <c r="ED6165" s="165"/>
      <c r="EE6165" s="165"/>
      <c r="EF6165" s="165"/>
      <c r="EG6165" s="165"/>
      <c r="EH6165" s="165"/>
      <c r="EI6165" s="165"/>
      <c r="EJ6165" s="165"/>
      <c r="EK6165" s="165"/>
      <c r="EL6165" s="165"/>
      <c r="EM6165" s="165"/>
      <c r="EN6165" s="165"/>
      <c r="EO6165" s="165"/>
      <c r="EP6165" s="165"/>
      <c r="EQ6165" s="165"/>
      <c r="ER6165" s="165"/>
      <c r="ES6165" s="165"/>
    </row>
    <row r="6166" spans="1:149" s="451" customFormat="1" ht="14.15" hidden="1">
      <c r="A6166" s="468">
        <v>45544</v>
      </c>
      <c r="B6166" s="208" t="s">
        <v>5016</v>
      </c>
      <c r="C6166" s="208" t="s">
        <v>269</v>
      </c>
      <c r="D6166" s="211">
        <v>-30500</v>
      </c>
      <c r="E6166" s="212">
        <v>45536</v>
      </c>
      <c r="F6166" s="208" t="s">
        <v>130</v>
      </c>
      <c r="G6166" s="208" t="s">
        <v>130</v>
      </c>
      <c r="H6166" s="208" t="s">
        <v>852</v>
      </c>
      <c r="I6166" s="208"/>
      <c r="J6166" s="209"/>
      <c r="K6166" s="209"/>
      <c r="L6166" s="209"/>
      <c r="M6166" s="209"/>
      <c r="N6166" s="209"/>
      <c r="O6166" s="209"/>
      <c r="P6166" s="209"/>
      <c r="Q6166" s="209"/>
      <c r="R6166" s="209"/>
      <c r="S6166" s="209"/>
      <c r="T6166" s="209"/>
      <c r="U6166" s="165"/>
      <c r="V6166" s="165"/>
      <c r="W6166" s="165"/>
      <c r="X6166" s="165"/>
      <c r="Y6166" s="165"/>
      <c r="Z6166" s="165"/>
      <c r="AA6166" s="165"/>
      <c r="AB6166" s="165"/>
      <c r="AC6166" s="165"/>
      <c r="AD6166" s="165"/>
      <c r="AE6166" s="165"/>
      <c r="AF6166" s="165"/>
      <c r="AG6166" s="165"/>
      <c r="AH6166" s="165"/>
      <c r="AI6166" s="165"/>
      <c r="AJ6166" s="165"/>
      <c r="AK6166" s="165"/>
      <c r="AL6166" s="165"/>
      <c r="AM6166" s="165"/>
      <c r="AN6166" s="165"/>
      <c r="AO6166" s="165"/>
      <c r="AP6166" s="165"/>
      <c r="AQ6166" s="165"/>
      <c r="AR6166" s="165"/>
      <c r="AS6166" s="165"/>
      <c r="AT6166" s="165"/>
      <c r="AU6166" s="165"/>
      <c r="AV6166" s="165"/>
      <c r="AW6166" s="165"/>
      <c r="AX6166" s="165"/>
      <c r="AY6166" s="165"/>
      <c r="AZ6166" s="165"/>
      <c r="BA6166" s="165"/>
      <c r="BB6166" s="165"/>
      <c r="BC6166" s="165"/>
      <c r="BD6166" s="165"/>
      <c r="BE6166" s="165"/>
      <c r="BF6166" s="165"/>
      <c r="BG6166" s="165"/>
      <c r="BH6166" s="165"/>
      <c r="BI6166" s="165"/>
      <c r="BJ6166" s="165"/>
      <c r="BK6166" s="165"/>
      <c r="BL6166" s="165"/>
      <c r="BM6166" s="165"/>
      <c r="BN6166" s="165"/>
      <c r="BO6166" s="165"/>
      <c r="BP6166" s="165"/>
      <c r="BQ6166" s="165"/>
      <c r="BR6166" s="165"/>
      <c r="BS6166" s="165"/>
      <c r="BT6166" s="165"/>
      <c r="BU6166" s="165"/>
      <c r="BV6166" s="165"/>
      <c r="BW6166" s="165"/>
      <c r="BX6166" s="165"/>
      <c r="BY6166" s="165"/>
      <c r="BZ6166" s="165"/>
      <c r="CA6166" s="165"/>
      <c r="CB6166" s="165"/>
      <c r="CC6166" s="165"/>
      <c r="CD6166" s="165"/>
      <c r="CE6166" s="165"/>
      <c r="CF6166" s="165"/>
      <c r="CG6166" s="165"/>
      <c r="CH6166" s="165"/>
      <c r="CI6166" s="165"/>
      <c r="CJ6166" s="165"/>
      <c r="CK6166" s="165"/>
      <c r="CL6166" s="165"/>
      <c r="CM6166" s="165"/>
      <c r="CN6166" s="165"/>
      <c r="CO6166" s="165"/>
      <c r="CP6166" s="165"/>
      <c r="CQ6166" s="165"/>
      <c r="CR6166" s="165"/>
      <c r="CS6166" s="165"/>
      <c r="CT6166" s="165"/>
      <c r="CU6166" s="165"/>
      <c r="CV6166" s="165"/>
      <c r="CW6166" s="165"/>
      <c r="CX6166" s="165"/>
      <c r="CY6166" s="165"/>
      <c r="CZ6166" s="165"/>
      <c r="DA6166" s="165"/>
      <c r="DB6166" s="165"/>
      <c r="DC6166" s="165"/>
      <c r="DD6166" s="165"/>
      <c r="DE6166" s="165"/>
      <c r="DF6166" s="165"/>
      <c r="DG6166" s="165"/>
      <c r="DH6166" s="165"/>
      <c r="DI6166" s="165"/>
      <c r="DJ6166" s="165"/>
      <c r="DK6166" s="165"/>
      <c r="DL6166" s="165"/>
      <c r="DM6166" s="165"/>
      <c r="DN6166" s="165"/>
      <c r="DO6166" s="165"/>
      <c r="DP6166" s="165"/>
      <c r="DQ6166" s="165"/>
      <c r="DR6166" s="165"/>
      <c r="DS6166" s="165"/>
      <c r="DT6166" s="165"/>
      <c r="DU6166" s="165"/>
      <c r="DV6166" s="165"/>
      <c r="DW6166" s="165"/>
      <c r="DX6166" s="165"/>
      <c r="DY6166" s="165"/>
      <c r="DZ6166" s="165"/>
      <c r="EA6166" s="165"/>
      <c r="EB6166" s="165"/>
      <c r="EC6166" s="165"/>
      <c r="ED6166" s="165"/>
      <c r="EE6166" s="165"/>
      <c r="EF6166" s="165"/>
      <c r="EG6166" s="165"/>
      <c r="EH6166" s="165"/>
      <c r="EI6166" s="165"/>
      <c r="EJ6166" s="165"/>
      <c r="EK6166" s="165"/>
      <c r="EL6166" s="165"/>
      <c r="EM6166" s="165"/>
      <c r="EN6166" s="165"/>
      <c r="EO6166" s="165"/>
      <c r="EP6166" s="165"/>
      <c r="EQ6166" s="165"/>
      <c r="ER6166" s="165"/>
      <c r="ES6166" s="165"/>
    </row>
    <row r="6167" spans="1:149" s="451" customFormat="1" ht="14.15" hidden="1">
      <c r="A6167" s="468">
        <v>45544</v>
      </c>
      <c r="B6167" s="208" t="s">
        <v>5009</v>
      </c>
      <c r="C6167" s="208" t="s">
        <v>269</v>
      </c>
      <c r="D6167" s="211">
        <v>-20000</v>
      </c>
      <c r="E6167" s="212">
        <v>45536</v>
      </c>
      <c r="F6167" s="208" t="s">
        <v>130</v>
      </c>
      <c r="G6167" s="208" t="s">
        <v>130</v>
      </c>
      <c r="H6167" s="208" t="s">
        <v>852</v>
      </c>
      <c r="I6167" s="208"/>
      <c r="J6167" s="209"/>
      <c r="K6167" s="209"/>
      <c r="L6167" s="209"/>
      <c r="M6167" s="209"/>
      <c r="N6167" s="209"/>
      <c r="O6167" s="209"/>
      <c r="P6167" s="209"/>
      <c r="Q6167" s="209"/>
      <c r="R6167" s="209"/>
      <c r="S6167" s="209"/>
      <c r="T6167" s="209"/>
      <c r="U6167" s="165"/>
      <c r="V6167" s="165"/>
      <c r="W6167" s="165"/>
      <c r="X6167" s="165"/>
      <c r="Y6167" s="165"/>
      <c r="Z6167" s="165"/>
      <c r="AA6167" s="165"/>
      <c r="AB6167" s="165"/>
      <c r="AC6167" s="165"/>
      <c r="AD6167" s="165"/>
      <c r="AE6167" s="165"/>
      <c r="AF6167" s="165"/>
      <c r="AG6167" s="165"/>
      <c r="AH6167" s="165"/>
      <c r="AI6167" s="165"/>
      <c r="AJ6167" s="165"/>
      <c r="AK6167" s="165"/>
      <c r="AL6167" s="165"/>
      <c r="AM6167" s="165"/>
      <c r="AN6167" s="165"/>
      <c r="AO6167" s="165"/>
      <c r="AP6167" s="165"/>
      <c r="AQ6167" s="165"/>
      <c r="AR6167" s="165"/>
      <c r="AS6167" s="165"/>
      <c r="AT6167" s="165"/>
      <c r="AU6167" s="165"/>
      <c r="AV6167" s="165"/>
      <c r="AW6167" s="165"/>
      <c r="AX6167" s="165"/>
      <c r="AY6167" s="165"/>
      <c r="AZ6167" s="165"/>
      <c r="BA6167" s="165"/>
      <c r="BB6167" s="165"/>
      <c r="BC6167" s="165"/>
      <c r="BD6167" s="165"/>
      <c r="BE6167" s="165"/>
      <c r="BF6167" s="165"/>
      <c r="BG6167" s="165"/>
      <c r="BH6167" s="165"/>
      <c r="BI6167" s="165"/>
      <c r="BJ6167" s="165"/>
      <c r="BK6167" s="165"/>
      <c r="BL6167" s="165"/>
      <c r="BM6167" s="165"/>
      <c r="BN6167" s="165"/>
      <c r="BO6167" s="165"/>
      <c r="BP6167" s="165"/>
      <c r="BQ6167" s="165"/>
      <c r="BR6167" s="165"/>
      <c r="BS6167" s="165"/>
      <c r="BT6167" s="165"/>
      <c r="BU6167" s="165"/>
      <c r="BV6167" s="165"/>
      <c r="BW6167" s="165"/>
      <c r="BX6167" s="165"/>
      <c r="BY6167" s="165"/>
      <c r="BZ6167" s="165"/>
      <c r="CA6167" s="165"/>
      <c r="CB6167" s="165"/>
      <c r="CC6167" s="165"/>
      <c r="CD6167" s="165"/>
      <c r="CE6167" s="165"/>
      <c r="CF6167" s="165"/>
      <c r="CG6167" s="165"/>
      <c r="CH6167" s="165"/>
      <c r="CI6167" s="165"/>
      <c r="CJ6167" s="165"/>
      <c r="CK6167" s="165"/>
      <c r="CL6167" s="165"/>
      <c r="CM6167" s="165"/>
      <c r="CN6167" s="165"/>
      <c r="CO6167" s="165"/>
      <c r="CP6167" s="165"/>
      <c r="CQ6167" s="165"/>
      <c r="CR6167" s="165"/>
      <c r="CS6167" s="165"/>
      <c r="CT6167" s="165"/>
      <c r="CU6167" s="165"/>
      <c r="CV6167" s="165"/>
      <c r="CW6167" s="165"/>
      <c r="CX6167" s="165"/>
      <c r="CY6167" s="165"/>
      <c r="CZ6167" s="165"/>
      <c r="DA6167" s="165"/>
      <c r="DB6167" s="165"/>
      <c r="DC6167" s="165"/>
      <c r="DD6167" s="165"/>
      <c r="DE6167" s="165"/>
      <c r="DF6167" s="165"/>
      <c r="DG6167" s="165"/>
      <c r="DH6167" s="165"/>
      <c r="DI6167" s="165"/>
      <c r="DJ6167" s="165"/>
      <c r="DK6167" s="165"/>
      <c r="DL6167" s="165"/>
      <c r="DM6167" s="165"/>
      <c r="DN6167" s="165"/>
      <c r="DO6167" s="165"/>
      <c r="DP6167" s="165"/>
      <c r="DQ6167" s="165"/>
      <c r="DR6167" s="165"/>
      <c r="DS6167" s="165"/>
      <c r="DT6167" s="165"/>
      <c r="DU6167" s="165"/>
      <c r="DV6167" s="165"/>
      <c r="DW6167" s="165"/>
      <c r="DX6167" s="165"/>
      <c r="DY6167" s="165"/>
      <c r="DZ6167" s="165"/>
      <c r="EA6167" s="165"/>
      <c r="EB6167" s="165"/>
      <c r="EC6167" s="165"/>
      <c r="ED6167" s="165"/>
      <c r="EE6167" s="165"/>
      <c r="EF6167" s="165"/>
      <c r="EG6167" s="165"/>
      <c r="EH6167" s="165"/>
      <c r="EI6167" s="165"/>
      <c r="EJ6167" s="165"/>
      <c r="EK6167" s="165"/>
      <c r="EL6167" s="165"/>
      <c r="EM6167" s="165"/>
      <c r="EN6167" s="165"/>
      <c r="EO6167" s="165"/>
      <c r="EP6167" s="165"/>
      <c r="EQ6167" s="165"/>
      <c r="ER6167" s="165"/>
      <c r="ES6167" s="165"/>
    </row>
    <row r="6168" spans="1:149" s="451" customFormat="1" ht="14.15" hidden="1">
      <c r="A6168" s="468">
        <v>45548</v>
      </c>
      <c r="B6168" s="208" t="s">
        <v>5017</v>
      </c>
      <c r="C6168" s="208" t="s">
        <v>269</v>
      </c>
      <c r="D6168" s="211">
        <v>-84500</v>
      </c>
      <c r="E6168" s="212">
        <v>45536</v>
      </c>
      <c r="F6168" s="208" t="s">
        <v>109</v>
      </c>
      <c r="G6168" s="201" t="s">
        <v>1306</v>
      </c>
      <c r="H6168" s="208" t="s">
        <v>416</v>
      </c>
      <c r="I6168" s="475" t="s">
        <v>3475</v>
      </c>
      <c r="J6168" s="209"/>
      <c r="K6168" s="209"/>
      <c r="L6168" s="209"/>
      <c r="M6168" s="209"/>
      <c r="N6168" s="209"/>
      <c r="O6168" s="209"/>
      <c r="P6168" s="209"/>
      <c r="Q6168" s="209"/>
      <c r="R6168" s="209"/>
      <c r="S6168" s="209"/>
      <c r="T6168" s="209"/>
      <c r="U6168" s="165"/>
      <c r="V6168" s="165"/>
      <c r="W6168" s="165"/>
      <c r="X6168" s="165"/>
      <c r="Y6168" s="165"/>
      <c r="Z6168" s="165"/>
      <c r="AA6168" s="165"/>
      <c r="AB6168" s="165"/>
      <c r="AC6168" s="165"/>
      <c r="AD6168" s="165"/>
      <c r="AE6168" s="165"/>
      <c r="AF6168" s="165"/>
      <c r="AG6168" s="165"/>
      <c r="AH6168" s="165"/>
      <c r="AI6168" s="165"/>
      <c r="AJ6168" s="165"/>
      <c r="AK6168" s="165"/>
      <c r="AL6168" s="165"/>
      <c r="AM6168" s="165"/>
      <c r="AN6168" s="165"/>
      <c r="AO6168" s="165"/>
      <c r="AP6168" s="165"/>
      <c r="AQ6168" s="165"/>
      <c r="AR6168" s="165"/>
      <c r="AS6168" s="165"/>
      <c r="AT6168" s="165"/>
      <c r="AU6168" s="165"/>
      <c r="AV6168" s="165"/>
      <c r="AW6168" s="165"/>
      <c r="AX6168" s="165"/>
      <c r="AY6168" s="165"/>
      <c r="AZ6168" s="165"/>
      <c r="BA6168" s="165"/>
      <c r="BB6168" s="165"/>
      <c r="BC6168" s="165"/>
      <c r="BD6168" s="165"/>
      <c r="BE6168" s="165"/>
      <c r="BF6168" s="165"/>
      <c r="BG6168" s="165"/>
      <c r="BH6168" s="165"/>
      <c r="BI6168" s="165"/>
      <c r="BJ6168" s="165"/>
      <c r="BK6168" s="165"/>
      <c r="BL6168" s="165"/>
      <c r="BM6168" s="165"/>
      <c r="BN6168" s="165"/>
      <c r="BO6168" s="165"/>
      <c r="BP6168" s="165"/>
      <c r="BQ6168" s="165"/>
      <c r="BR6168" s="165"/>
      <c r="BS6168" s="165"/>
      <c r="BT6168" s="165"/>
      <c r="BU6168" s="165"/>
      <c r="BV6168" s="165"/>
      <c r="BW6168" s="165"/>
      <c r="BX6168" s="165"/>
      <c r="BY6168" s="165"/>
      <c r="BZ6168" s="165"/>
      <c r="CA6168" s="165"/>
      <c r="CB6168" s="165"/>
      <c r="CC6168" s="165"/>
      <c r="CD6168" s="165"/>
      <c r="CE6168" s="165"/>
      <c r="CF6168" s="165"/>
      <c r="CG6168" s="165"/>
      <c r="CH6168" s="165"/>
      <c r="CI6168" s="165"/>
      <c r="CJ6168" s="165"/>
      <c r="CK6168" s="165"/>
      <c r="CL6168" s="165"/>
      <c r="CM6168" s="165"/>
      <c r="CN6168" s="165"/>
      <c r="CO6168" s="165"/>
      <c r="CP6168" s="165"/>
      <c r="CQ6168" s="165"/>
      <c r="CR6168" s="165"/>
      <c r="CS6168" s="165"/>
      <c r="CT6168" s="165"/>
      <c r="CU6168" s="165"/>
      <c r="CV6168" s="165"/>
      <c r="CW6168" s="165"/>
      <c r="CX6168" s="165"/>
      <c r="CY6168" s="165"/>
      <c r="CZ6168" s="165"/>
      <c r="DA6168" s="165"/>
      <c r="DB6168" s="165"/>
      <c r="DC6168" s="165"/>
      <c r="DD6168" s="165"/>
      <c r="DE6168" s="165"/>
      <c r="DF6168" s="165"/>
      <c r="DG6168" s="165"/>
      <c r="DH6168" s="165"/>
      <c r="DI6168" s="165"/>
      <c r="DJ6168" s="165"/>
      <c r="DK6168" s="165"/>
      <c r="DL6168" s="165"/>
      <c r="DM6168" s="165"/>
      <c r="DN6168" s="165"/>
      <c r="DO6168" s="165"/>
      <c r="DP6168" s="165"/>
      <c r="DQ6168" s="165"/>
      <c r="DR6168" s="165"/>
      <c r="DS6168" s="165"/>
      <c r="DT6168" s="165"/>
      <c r="DU6168" s="165"/>
      <c r="DV6168" s="165"/>
      <c r="DW6168" s="165"/>
      <c r="DX6168" s="165"/>
      <c r="DY6168" s="165"/>
      <c r="DZ6168" s="165"/>
      <c r="EA6168" s="165"/>
      <c r="EB6168" s="165"/>
      <c r="EC6168" s="165"/>
      <c r="ED6168" s="165"/>
      <c r="EE6168" s="165"/>
      <c r="EF6168" s="165"/>
      <c r="EG6168" s="165"/>
      <c r="EH6168" s="165"/>
      <c r="EI6168" s="165"/>
      <c r="EJ6168" s="165"/>
      <c r="EK6168" s="165"/>
      <c r="EL6168" s="165"/>
      <c r="EM6168" s="165"/>
      <c r="EN6168" s="165"/>
      <c r="EO6168" s="165"/>
      <c r="EP6168" s="165"/>
      <c r="EQ6168" s="165"/>
      <c r="ER6168" s="165"/>
      <c r="ES6168" s="165"/>
    </row>
    <row r="6169" spans="1:149" s="451" customFormat="1" ht="14.15" hidden="1">
      <c r="A6169" s="468">
        <v>45548</v>
      </c>
      <c r="B6169" s="208" t="s">
        <v>2663</v>
      </c>
      <c r="C6169" s="208" t="s">
        <v>269</v>
      </c>
      <c r="D6169" s="211">
        <v>-21000</v>
      </c>
      <c r="E6169" s="212">
        <v>45536</v>
      </c>
      <c r="F6169" s="208" t="s">
        <v>110</v>
      </c>
      <c r="G6169" s="208" t="s">
        <v>4399</v>
      </c>
      <c r="H6169" s="208" t="s">
        <v>138</v>
      </c>
      <c r="I6169" s="208"/>
      <c r="J6169" s="209"/>
      <c r="K6169" s="209"/>
      <c r="L6169" s="209"/>
      <c r="M6169" s="209"/>
      <c r="N6169" s="209"/>
      <c r="O6169" s="209"/>
      <c r="P6169" s="209"/>
      <c r="Q6169" s="209"/>
      <c r="R6169" s="209"/>
      <c r="S6169" s="209"/>
      <c r="T6169" s="209"/>
      <c r="U6169" s="165"/>
      <c r="V6169" s="165"/>
      <c r="W6169" s="165"/>
      <c r="X6169" s="165"/>
      <c r="Y6169" s="165"/>
      <c r="Z6169" s="165"/>
      <c r="AA6169" s="165"/>
      <c r="AB6169" s="165"/>
      <c r="AC6169" s="165"/>
      <c r="AD6169" s="165"/>
      <c r="AE6169" s="165"/>
      <c r="AF6169" s="165"/>
      <c r="AG6169" s="165"/>
      <c r="AH6169" s="165"/>
      <c r="AI6169" s="165"/>
      <c r="AJ6169" s="165"/>
      <c r="AK6169" s="165"/>
      <c r="AL6169" s="165"/>
      <c r="AM6169" s="165"/>
      <c r="AN6169" s="165"/>
      <c r="AO6169" s="165"/>
      <c r="AP6169" s="165"/>
      <c r="AQ6169" s="165"/>
      <c r="AR6169" s="165"/>
      <c r="AS6169" s="165"/>
      <c r="AT6169" s="165"/>
      <c r="AU6169" s="165"/>
      <c r="AV6169" s="165"/>
      <c r="AW6169" s="165"/>
      <c r="AX6169" s="165"/>
      <c r="AY6169" s="165"/>
      <c r="AZ6169" s="165"/>
      <c r="BA6169" s="165"/>
      <c r="BB6169" s="165"/>
      <c r="BC6169" s="165"/>
      <c r="BD6169" s="165"/>
      <c r="BE6169" s="165"/>
      <c r="BF6169" s="165"/>
      <c r="BG6169" s="165"/>
      <c r="BH6169" s="165"/>
      <c r="BI6169" s="165"/>
      <c r="BJ6169" s="165"/>
      <c r="BK6169" s="165"/>
      <c r="BL6169" s="165"/>
      <c r="BM6169" s="165"/>
      <c r="BN6169" s="165"/>
      <c r="BO6169" s="165"/>
      <c r="BP6169" s="165"/>
      <c r="BQ6169" s="165"/>
      <c r="BR6169" s="165"/>
      <c r="BS6169" s="165"/>
      <c r="BT6169" s="165"/>
      <c r="BU6169" s="165"/>
      <c r="BV6169" s="165"/>
      <c r="BW6169" s="165"/>
      <c r="BX6169" s="165"/>
      <c r="BY6169" s="165"/>
      <c r="BZ6169" s="165"/>
      <c r="CA6169" s="165"/>
      <c r="CB6169" s="165"/>
      <c r="CC6169" s="165"/>
      <c r="CD6169" s="165"/>
      <c r="CE6169" s="165"/>
      <c r="CF6169" s="165"/>
      <c r="CG6169" s="165"/>
      <c r="CH6169" s="165"/>
      <c r="CI6169" s="165"/>
      <c r="CJ6169" s="165"/>
      <c r="CK6169" s="165"/>
      <c r="CL6169" s="165"/>
      <c r="CM6169" s="165"/>
      <c r="CN6169" s="165"/>
      <c r="CO6169" s="165"/>
      <c r="CP6169" s="165"/>
      <c r="CQ6169" s="165"/>
      <c r="CR6169" s="165"/>
      <c r="CS6169" s="165"/>
      <c r="CT6169" s="165"/>
      <c r="CU6169" s="165"/>
      <c r="CV6169" s="165"/>
      <c r="CW6169" s="165"/>
      <c r="CX6169" s="165"/>
      <c r="CY6169" s="165"/>
      <c r="CZ6169" s="165"/>
      <c r="DA6169" s="165"/>
      <c r="DB6169" s="165"/>
      <c r="DC6169" s="165"/>
      <c r="DD6169" s="165"/>
      <c r="DE6169" s="165"/>
      <c r="DF6169" s="165"/>
      <c r="DG6169" s="165"/>
      <c r="DH6169" s="165"/>
      <c r="DI6169" s="165"/>
      <c r="DJ6169" s="165"/>
      <c r="DK6169" s="165"/>
      <c r="DL6169" s="165"/>
      <c r="DM6169" s="165"/>
      <c r="DN6169" s="165"/>
      <c r="DO6169" s="165"/>
      <c r="DP6169" s="165"/>
      <c r="DQ6169" s="165"/>
      <c r="DR6169" s="165"/>
      <c r="DS6169" s="165"/>
      <c r="DT6169" s="165"/>
      <c r="DU6169" s="165"/>
      <c r="DV6169" s="165"/>
      <c r="DW6169" s="165"/>
      <c r="DX6169" s="165"/>
      <c r="DY6169" s="165"/>
      <c r="DZ6169" s="165"/>
      <c r="EA6169" s="165"/>
      <c r="EB6169" s="165"/>
      <c r="EC6169" s="165"/>
      <c r="ED6169" s="165"/>
      <c r="EE6169" s="165"/>
      <c r="EF6169" s="165"/>
      <c r="EG6169" s="165"/>
      <c r="EH6169" s="165"/>
      <c r="EI6169" s="165"/>
      <c r="EJ6169" s="165"/>
      <c r="EK6169" s="165"/>
      <c r="EL6169" s="165"/>
      <c r="EM6169" s="165"/>
      <c r="EN6169" s="165"/>
      <c r="EO6169" s="165"/>
      <c r="EP6169" s="165"/>
      <c r="EQ6169" s="165"/>
      <c r="ER6169" s="165"/>
      <c r="ES6169" s="165"/>
    </row>
    <row r="6170" spans="1:149" s="451" customFormat="1" ht="14.15" hidden="1">
      <c r="A6170" s="468">
        <v>45548</v>
      </c>
      <c r="B6170" s="208" t="s">
        <v>2663</v>
      </c>
      <c r="C6170" s="208" t="s">
        <v>269</v>
      </c>
      <c r="D6170" s="211">
        <v>-7000</v>
      </c>
      <c r="E6170" s="212">
        <v>45536</v>
      </c>
      <c r="F6170" s="208" t="s">
        <v>109</v>
      </c>
      <c r="G6170" s="201" t="s">
        <v>581</v>
      </c>
      <c r="H6170" s="208"/>
      <c r="I6170" s="208"/>
      <c r="J6170" s="209"/>
      <c r="K6170" s="209"/>
      <c r="L6170" s="209"/>
      <c r="M6170" s="209"/>
      <c r="N6170" s="209"/>
      <c r="O6170" s="209"/>
      <c r="P6170" s="209"/>
      <c r="Q6170" s="209"/>
      <c r="R6170" s="209"/>
      <c r="S6170" s="209"/>
      <c r="T6170" s="209"/>
      <c r="U6170" s="165"/>
      <c r="V6170" s="165"/>
      <c r="W6170" s="165"/>
      <c r="X6170" s="165"/>
      <c r="Y6170" s="165"/>
      <c r="Z6170" s="165"/>
      <c r="AA6170" s="165"/>
      <c r="AB6170" s="165"/>
      <c r="AC6170" s="165"/>
      <c r="AD6170" s="165"/>
      <c r="AE6170" s="165"/>
      <c r="AF6170" s="165"/>
      <c r="AG6170" s="165"/>
      <c r="AH6170" s="165"/>
      <c r="AI6170" s="165"/>
      <c r="AJ6170" s="165"/>
      <c r="AK6170" s="165"/>
      <c r="AL6170" s="165"/>
      <c r="AM6170" s="165"/>
      <c r="AN6170" s="165"/>
      <c r="AO6170" s="165"/>
      <c r="AP6170" s="165"/>
      <c r="AQ6170" s="165"/>
      <c r="AR6170" s="165"/>
      <c r="AS6170" s="165"/>
      <c r="AT6170" s="165"/>
      <c r="AU6170" s="165"/>
      <c r="AV6170" s="165"/>
      <c r="AW6170" s="165"/>
      <c r="AX6170" s="165"/>
      <c r="AY6170" s="165"/>
      <c r="AZ6170" s="165"/>
      <c r="BA6170" s="165"/>
      <c r="BB6170" s="165"/>
      <c r="BC6170" s="165"/>
      <c r="BD6170" s="165"/>
      <c r="BE6170" s="165"/>
      <c r="BF6170" s="165"/>
      <c r="BG6170" s="165"/>
      <c r="BH6170" s="165"/>
      <c r="BI6170" s="165"/>
      <c r="BJ6170" s="165"/>
      <c r="BK6170" s="165"/>
      <c r="BL6170" s="165"/>
      <c r="BM6170" s="165"/>
      <c r="BN6170" s="165"/>
      <c r="BO6170" s="165"/>
      <c r="BP6170" s="165"/>
      <c r="BQ6170" s="165"/>
      <c r="BR6170" s="165"/>
      <c r="BS6170" s="165"/>
      <c r="BT6170" s="165"/>
      <c r="BU6170" s="165"/>
      <c r="BV6170" s="165"/>
      <c r="BW6170" s="165"/>
      <c r="BX6170" s="165"/>
      <c r="BY6170" s="165"/>
      <c r="BZ6170" s="165"/>
      <c r="CA6170" s="165"/>
      <c r="CB6170" s="165"/>
      <c r="CC6170" s="165"/>
      <c r="CD6170" s="165"/>
      <c r="CE6170" s="165"/>
      <c r="CF6170" s="165"/>
      <c r="CG6170" s="165"/>
      <c r="CH6170" s="165"/>
      <c r="CI6170" s="165"/>
      <c r="CJ6170" s="165"/>
      <c r="CK6170" s="165"/>
      <c r="CL6170" s="165"/>
      <c r="CM6170" s="165"/>
      <c r="CN6170" s="165"/>
      <c r="CO6170" s="165"/>
      <c r="CP6170" s="165"/>
      <c r="CQ6170" s="165"/>
      <c r="CR6170" s="165"/>
      <c r="CS6170" s="165"/>
      <c r="CT6170" s="165"/>
      <c r="CU6170" s="165"/>
      <c r="CV6170" s="165"/>
      <c r="CW6170" s="165"/>
      <c r="CX6170" s="165"/>
      <c r="CY6170" s="165"/>
      <c r="CZ6170" s="165"/>
      <c r="DA6170" s="165"/>
      <c r="DB6170" s="165"/>
      <c r="DC6170" s="165"/>
      <c r="DD6170" s="165"/>
      <c r="DE6170" s="165"/>
      <c r="DF6170" s="165"/>
      <c r="DG6170" s="165"/>
      <c r="DH6170" s="165"/>
      <c r="DI6170" s="165"/>
      <c r="DJ6170" s="165"/>
      <c r="DK6170" s="165"/>
      <c r="DL6170" s="165"/>
      <c r="DM6170" s="165"/>
      <c r="DN6170" s="165"/>
      <c r="DO6170" s="165"/>
      <c r="DP6170" s="165"/>
      <c r="DQ6170" s="165"/>
      <c r="DR6170" s="165"/>
      <c r="DS6170" s="165"/>
      <c r="DT6170" s="165"/>
      <c r="DU6170" s="165"/>
      <c r="DV6170" s="165"/>
      <c r="DW6170" s="165"/>
      <c r="DX6170" s="165"/>
      <c r="DY6170" s="165"/>
      <c r="DZ6170" s="165"/>
      <c r="EA6170" s="165"/>
      <c r="EB6170" s="165"/>
      <c r="EC6170" s="165"/>
      <c r="ED6170" s="165"/>
      <c r="EE6170" s="165"/>
      <c r="EF6170" s="165"/>
      <c r="EG6170" s="165"/>
      <c r="EH6170" s="165"/>
      <c r="EI6170" s="165"/>
      <c r="EJ6170" s="165"/>
      <c r="EK6170" s="165"/>
      <c r="EL6170" s="165"/>
      <c r="EM6170" s="165"/>
      <c r="EN6170" s="165"/>
      <c r="EO6170" s="165"/>
      <c r="EP6170" s="165"/>
      <c r="EQ6170" s="165"/>
      <c r="ER6170" s="165"/>
      <c r="ES6170" s="165"/>
    </row>
    <row r="6171" spans="1:149" s="451" customFormat="1" ht="14.15" hidden="1">
      <c r="A6171" s="468">
        <v>45548</v>
      </c>
      <c r="B6171" s="208" t="s">
        <v>2663</v>
      </c>
      <c r="C6171" s="208" t="s">
        <v>269</v>
      </c>
      <c r="D6171" s="211">
        <v>-35000</v>
      </c>
      <c r="E6171" s="212">
        <v>45536</v>
      </c>
      <c r="F6171" s="208" t="s">
        <v>110</v>
      </c>
      <c r="G6171" s="201" t="s">
        <v>1489</v>
      </c>
      <c r="H6171" s="208" t="s">
        <v>138</v>
      </c>
      <c r="I6171" s="208"/>
      <c r="J6171" s="209"/>
      <c r="K6171" s="209"/>
      <c r="L6171" s="209"/>
      <c r="M6171" s="209"/>
      <c r="N6171" s="209"/>
      <c r="O6171" s="209"/>
      <c r="P6171" s="209"/>
      <c r="Q6171" s="209"/>
      <c r="R6171" s="209"/>
      <c r="S6171" s="209"/>
      <c r="T6171" s="209"/>
      <c r="U6171" s="165"/>
      <c r="V6171" s="165"/>
      <c r="W6171" s="165"/>
      <c r="X6171" s="165"/>
      <c r="Y6171" s="165"/>
      <c r="Z6171" s="165"/>
      <c r="AA6171" s="165"/>
      <c r="AB6171" s="165"/>
      <c r="AC6171" s="165"/>
      <c r="AD6171" s="165"/>
      <c r="AE6171" s="165"/>
      <c r="AF6171" s="165"/>
      <c r="AG6171" s="165"/>
      <c r="AH6171" s="165"/>
      <c r="AI6171" s="165"/>
      <c r="AJ6171" s="165"/>
      <c r="AK6171" s="165"/>
      <c r="AL6171" s="165"/>
      <c r="AM6171" s="165"/>
      <c r="AN6171" s="165"/>
      <c r="AO6171" s="165"/>
      <c r="AP6171" s="165"/>
      <c r="AQ6171" s="165"/>
      <c r="AR6171" s="165"/>
      <c r="AS6171" s="165"/>
      <c r="AT6171" s="165"/>
      <c r="AU6171" s="165"/>
      <c r="AV6171" s="165"/>
      <c r="AW6171" s="165"/>
      <c r="AX6171" s="165"/>
      <c r="AY6171" s="165"/>
      <c r="AZ6171" s="165"/>
      <c r="BA6171" s="165"/>
      <c r="BB6171" s="165"/>
      <c r="BC6171" s="165"/>
      <c r="BD6171" s="165"/>
      <c r="BE6171" s="165"/>
      <c r="BF6171" s="165"/>
      <c r="BG6171" s="165"/>
      <c r="BH6171" s="165"/>
      <c r="BI6171" s="165"/>
      <c r="BJ6171" s="165"/>
      <c r="BK6171" s="165"/>
      <c r="BL6171" s="165"/>
      <c r="BM6171" s="165"/>
      <c r="BN6171" s="165"/>
      <c r="BO6171" s="165"/>
      <c r="BP6171" s="165"/>
      <c r="BQ6171" s="165"/>
      <c r="BR6171" s="165"/>
      <c r="BS6171" s="165"/>
      <c r="BT6171" s="165"/>
      <c r="BU6171" s="165"/>
      <c r="BV6171" s="165"/>
      <c r="BW6171" s="165"/>
      <c r="BX6171" s="165"/>
      <c r="BY6171" s="165"/>
      <c r="BZ6171" s="165"/>
      <c r="CA6171" s="165"/>
      <c r="CB6171" s="165"/>
      <c r="CC6171" s="165"/>
      <c r="CD6171" s="165"/>
      <c r="CE6171" s="165"/>
      <c r="CF6171" s="165"/>
      <c r="CG6171" s="165"/>
      <c r="CH6171" s="165"/>
      <c r="CI6171" s="165"/>
      <c r="CJ6171" s="165"/>
      <c r="CK6171" s="165"/>
      <c r="CL6171" s="165"/>
      <c r="CM6171" s="165"/>
      <c r="CN6171" s="165"/>
      <c r="CO6171" s="165"/>
      <c r="CP6171" s="165"/>
      <c r="CQ6171" s="165"/>
      <c r="CR6171" s="165"/>
      <c r="CS6171" s="165"/>
      <c r="CT6171" s="165"/>
      <c r="CU6171" s="165"/>
      <c r="CV6171" s="165"/>
      <c r="CW6171" s="165"/>
      <c r="CX6171" s="165"/>
      <c r="CY6171" s="165"/>
      <c r="CZ6171" s="165"/>
      <c r="DA6171" s="165"/>
      <c r="DB6171" s="165"/>
      <c r="DC6171" s="165"/>
      <c r="DD6171" s="165"/>
      <c r="DE6171" s="165"/>
      <c r="DF6171" s="165"/>
      <c r="DG6171" s="165"/>
      <c r="DH6171" s="165"/>
      <c r="DI6171" s="165"/>
      <c r="DJ6171" s="165"/>
      <c r="DK6171" s="165"/>
      <c r="DL6171" s="165"/>
      <c r="DM6171" s="165"/>
      <c r="DN6171" s="165"/>
      <c r="DO6171" s="165"/>
      <c r="DP6171" s="165"/>
      <c r="DQ6171" s="165"/>
      <c r="DR6171" s="165"/>
      <c r="DS6171" s="165"/>
      <c r="DT6171" s="165"/>
      <c r="DU6171" s="165"/>
      <c r="DV6171" s="165"/>
      <c r="DW6171" s="165"/>
      <c r="DX6171" s="165"/>
      <c r="DY6171" s="165"/>
      <c r="DZ6171" s="165"/>
      <c r="EA6171" s="165"/>
      <c r="EB6171" s="165"/>
      <c r="EC6171" s="165"/>
      <c r="ED6171" s="165"/>
      <c r="EE6171" s="165"/>
      <c r="EF6171" s="165"/>
      <c r="EG6171" s="165"/>
      <c r="EH6171" s="165"/>
      <c r="EI6171" s="165"/>
      <c r="EJ6171" s="165"/>
      <c r="EK6171" s="165"/>
      <c r="EL6171" s="165"/>
      <c r="EM6171" s="165"/>
      <c r="EN6171" s="165"/>
      <c r="EO6171" s="165"/>
      <c r="EP6171" s="165"/>
      <c r="EQ6171" s="165"/>
      <c r="ER6171" s="165"/>
      <c r="ES6171" s="165"/>
    </row>
    <row r="6172" spans="1:149" s="451" customFormat="1" ht="14.15" hidden="1">
      <c r="A6172" s="468">
        <v>45548</v>
      </c>
      <c r="B6172" s="208" t="s">
        <v>2663</v>
      </c>
      <c r="C6172" s="208" t="s">
        <v>269</v>
      </c>
      <c r="D6172" s="211">
        <v>-42000</v>
      </c>
      <c r="E6172" s="212">
        <v>45536</v>
      </c>
      <c r="F6172" s="208" t="s">
        <v>109</v>
      </c>
      <c r="G6172" s="208" t="s">
        <v>3529</v>
      </c>
      <c r="H6172" s="208" t="s">
        <v>138</v>
      </c>
      <c r="I6172" s="208"/>
      <c r="J6172" s="209"/>
      <c r="K6172" s="209"/>
      <c r="L6172" s="209"/>
      <c r="M6172" s="209"/>
      <c r="N6172" s="209"/>
      <c r="O6172" s="209"/>
      <c r="P6172" s="209"/>
      <c r="Q6172" s="209"/>
      <c r="R6172" s="209"/>
      <c r="S6172" s="209"/>
      <c r="T6172" s="209"/>
      <c r="U6172" s="165"/>
      <c r="V6172" s="165"/>
      <c r="W6172" s="165"/>
      <c r="X6172" s="165"/>
      <c r="Y6172" s="165"/>
      <c r="Z6172" s="165"/>
      <c r="AA6172" s="165"/>
      <c r="AB6172" s="165"/>
      <c r="AC6172" s="165"/>
      <c r="AD6172" s="165"/>
      <c r="AE6172" s="165"/>
      <c r="AF6172" s="165"/>
      <c r="AG6172" s="165"/>
      <c r="AH6172" s="165"/>
      <c r="AI6172" s="165"/>
      <c r="AJ6172" s="165"/>
      <c r="AK6172" s="165"/>
      <c r="AL6172" s="165"/>
      <c r="AM6172" s="165"/>
      <c r="AN6172" s="165"/>
      <c r="AO6172" s="165"/>
      <c r="AP6172" s="165"/>
      <c r="AQ6172" s="165"/>
      <c r="AR6172" s="165"/>
      <c r="AS6172" s="165"/>
      <c r="AT6172" s="165"/>
      <c r="AU6172" s="165"/>
      <c r="AV6172" s="165"/>
      <c r="AW6172" s="165"/>
      <c r="AX6172" s="165"/>
      <c r="AY6172" s="165"/>
      <c r="AZ6172" s="165"/>
      <c r="BA6172" s="165"/>
      <c r="BB6172" s="165"/>
      <c r="BC6172" s="165"/>
      <c r="BD6172" s="165"/>
      <c r="BE6172" s="165"/>
      <c r="BF6172" s="165"/>
      <c r="BG6172" s="165"/>
      <c r="BH6172" s="165"/>
      <c r="BI6172" s="165"/>
      <c r="BJ6172" s="165"/>
      <c r="BK6172" s="165"/>
      <c r="BL6172" s="165"/>
      <c r="BM6172" s="165"/>
      <c r="BN6172" s="165"/>
      <c r="BO6172" s="165"/>
      <c r="BP6172" s="165"/>
      <c r="BQ6172" s="165"/>
      <c r="BR6172" s="165"/>
      <c r="BS6172" s="165"/>
      <c r="BT6172" s="165"/>
      <c r="BU6172" s="165"/>
      <c r="BV6172" s="165"/>
      <c r="BW6172" s="165"/>
      <c r="BX6172" s="165"/>
      <c r="BY6172" s="165"/>
      <c r="BZ6172" s="165"/>
      <c r="CA6172" s="165"/>
      <c r="CB6172" s="165"/>
      <c r="CC6172" s="165"/>
      <c r="CD6172" s="165"/>
      <c r="CE6172" s="165"/>
      <c r="CF6172" s="165"/>
      <c r="CG6172" s="165"/>
      <c r="CH6172" s="165"/>
      <c r="CI6172" s="165"/>
      <c r="CJ6172" s="165"/>
      <c r="CK6172" s="165"/>
      <c r="CL6172" s="165"/>
      <c r="CM6172" s="165"/>
      <c r="CN6172" s="165"/>
      <c r="CO6172" s="165"/>
      <c r="CP6172" s="165"/>
      <c r="CQ6172" s="165"/>
      <c r="CR6172" s="165"/>
      <c r="CS6172" s="165"/>
      <c r="CT6172" s="165"/>
      <c r="CU6172" s="165"/>
      <c r="CV6172" s="165"/>
      <c r="CW6172" s="165"/>
      <c r="CX6172" s="165"/>
      <c r="CY6172" s="165"/>
      <c r="CZ6172" s="165"/>
      <c r="DA6172" s="165"/>
      <c r="DB6172" s="165"/>
      <c r="DC6172" s="165"/>
      <c r="DD6172" s="165"/>
      <c r="DE6172" s="165"/>
      <c r="DF6172" s="165"/>
      <c r="DG6172" s="165"/>
      <c r="DH6172" s="165"/>
      <c r="DI6172" s="165"/>
      <c r="DJ6172" s="165"/>
      <c r="DK6172" s="165"/>
      <c r="DL6172" s="165"/>
      <c r="DM6172" s="165"/>
      <c r="DN6172" s="165"/>
      <c r="DO6172" s="165"/>
      <c r="DP6172" s="165"/>
      <c r="DQ6172" s="165"/>
      <c r="DR6172" s="165"/>
      <c r="DS6172" s="165"/>
      <c r="DT6172" s="165"/>
      <c r="DU6172" s="165"/>
      <c r="DV6172" s="165"/>
      <c r="DW6172" s="165"/>
      <c r="DX6172" s="165"/>
      <c r="DY6172" s="165"/>
      <c r="DZ6172" s="165"/>
      <c r="EA6172" s="165"/>
      <c r="EB6172" s="165"/>
      <c r="EC6172" s="165"/>
      <c r="ED6172" s="165"/>
      <c r="EE6172" s="165"/>
      <c r="EF6172" s="165"/>
      <c r="EG6172" s="165"/>
      <c r="EH6172" s="165"/>
      <c r="EI6172" s="165"/>
      <c r="EJ6172" s="165"/>
      <c r="EK6172" s="165"/>
      <c r="EL6172" s="165"/>
      <c r="EM6172" s="165"/>
      <c r="EN6172" s="165"/>
      <c r="EO6172" s="165"/>
      <c r="EP6172" s="165"/>
      <c r="EQ6172" s="165"/>
      <c r="ER6172" s="165"/>
      <c r="ES6172" s="165"/>
    </row>
    <row r="6173" spans="1:149" s="451" customFormat="1" ht="14.15" hidden="1">
      <c r="A6173" s="468">
        <v>45548</v>
      </c>
      <c r="B6173" s="208" t="s">
        <v>5018</v>
      </c>
      <c r="C6173" s="208" t="s">
        <v>269</v>
      </c>
      <c r="D6173" s="211">
        <v>-120000</v>
      </c>
      <c r="E6173" s="212">
        <v>45536</v>
      </c>
      <c r="F6173" s="208" t="s">
        <v>130</v>
      </c>
      <c r="G6173" s="208" t="s">
        <v>130</v>
      </c>
      <c r="H6173" s="208" t="s">
        <v>323</v>
      </c>
      <c r="I6173" s="208"/>
      <c r="J6173" s="209"/>
      <c r="K6173" s="209"/>
      <c r="L6173" s="209"/>
      <c r="M6173" s="209"/>
      <c r="N6173" s="209"/>
      <c r="O6173" s="209"/>
      <c r="P6173" s="209"/>
      <c r="Q6173" s="209"/>
      <c r="R6173" s="209"/>
      <c r="S6173" s="209"/>
      <c r="T6173" s="209"/>
      <c r="U6173" s="165"/>
      <c r="V6173" s="165"/>
      <c r="W6173" s="165"/>
      <c r="X6173" s="165"/>
      <c r="Y6173" s="165"/>
      <c r="Z6173" s="165"/>
      <c r="AA6173" s="165"/>
      <c r="AB6173" s="165"/>
      <c r="AC6173" s="165"/>
      <c r="AD6173" s="165"/>
      <c r="AE6173" s="165"/>
      <c r="AF6173" s="165"/>
      <c r="AG6173" s="165"/>
      <c r="AH6173" s="165"/>
      <c r="AI6173" s="165"/>
      <c r="AJ6173" s="165"/>
      <c r="AK6173" s="165"/>
      <c r="AL6173" s="165"/>
      <c r="AM6173" s="165"/>
      <c r="AN6173" s="165"/>
      <c r="AO6173" s="165"/>
      <c r="AP6173" s="165"/>
      <c r="AQ6173" s="165"/>
      <c r="AR6173" s="165"/>
      <c r="AS6173" s="165"/>
      <c r="AT6173" s="165"/>
      <c r="AU6173" s="165"/>
      <c r="AV6173" s="165"/>
      <c r="AW6173" s="165"/>
      <c r="AX6173" s="165"/>
      <c r="AY6173" s="165"/>
      <c r="AZ6173" s="165"/>
      <c r="BA6173" s="165"/>
      <c r="BB6173" s="165"/>
      <c r="BC6173" s="165"/>
      <c r="BD6173" s="165"/>
      <c r="BE6173" s="165"/>
      <c r="BF6173" s="165"/>
      <c r="BG6173" s="165"/>
      <c r="BH6173" s="165"/>
      <c r="BI6173" s="165"/>
      <c r="BJ6173" s="165"/>
      <c r="BK6173" s="165"/>
      <c r="BL6173" s="165"/>
      <c r="BM6173" s="165"/>
      <c r="BN6173" s="165"/>
      <c r="BO6173" s="165"/>
      <c r="BP6173" s="165"/>
      <c r="BQ6173" s="165"/>
      <c r="BR6173" s="165"/>
      <c r="BS6173" s="165"/>
      <c r="BT6173" s="165"/>
      <c r="BU6173" s="165"/>
      <c r="BV6173" s="165"/>
      <c r="BW6173" s="165"/>
      <c r="BX6173" s="165"/>
      <c r="BY6173" s="165"/>
      <c r="BZ6173" s="165"/>
      <c r="CA6173" s="165"/>
      <c r="CB6173" s="165"/>
      <c r="CC6173" s="165"/>
      <c r="CD6173" s="165"/>
      <c r="CE6173" s="165"/>
      <c r="CF6173" s="165"/>
      <c r="CG6173" s="165"/>
      <c r="CH6173" s="165"/>
      <c r="CI6173" s="165"/>
      <c r="CJ6173" s="165"/>
      <c r="CK6173" s="165"/>
      <c r="CL6173" s="165"/>
      <c r="CM6173" s="165"/>
      <c r="CN6173" s="165"/>
      <c r="CO6173" s="165"/>
      <c r="CP6173" s="165"/>
      <c r="CQ6173" s="165"/>
      <c r="CR6173" s="165"/>
      <c r="CS6173" s="165"/>
      <c r="CT6173" s="165"/>
      <c r="CU6173" s="165"/>
      <c r="CV6173" s="165"/>
      <c r="CW6173" s="165"/>
      <c r="CX6173" s="165"/>
      <c r="CY6173" s="165"/>
      <c r="CZ6173" s="165"/>
      <c r="DA6173" s="165"/>
      <c r="DB6173" s="165"/>
      <c r="DC6173" s="165"/>
      <c r="DD6173" s="165"/>
      <c r="DE6173" s="165"/>
      <c r="DF6173" s="165"/>
      <c r="DG6173" s="165"/>
      <c r="DH6173" s="165"/>
      <c r="DI6173" s="165"/>
      <c r="DJ6173" s="165"/>
      <c r="DK6173" s="165"/>
      <c r="DL6173" s="165"/>
      <c r="DM6173" s="165"/>
      <c r="DN6173" s="165"/>
      <c r="DO6173" s="165"/>
      <c r="DP6173" s="165"/>
      <c r="DQ6173" s="165"/>
      <c r="DR6173" s="165"/>
      <c r="DS6173" s="165"/>
      <c r="DT6173" s="165"/>
      <c r="DU6173" s="165"/>
      <c r="DV6173" s="165"/>
      <c r="DW6173" s="165"/>
      <c r="DX6173" s="165"/>
      <c r="DY6173" s="165"/>
      <c r="DZ6173" s="165"/>
      <c r="EA6173" s="165"/>
      <c r="EB6173" s="165"/>
      <c r="EC6173" s="165"/>
      <c r="ED6173" s="165"/>
      <c r="EE6173" s="165"/>
      <c r="EF6173" s="165"/>
      <c r="EG6173" s="165"/>
      <c r="EH6173" s="165"/>
      <c r="EI6173" s="165"/>
      <c r="EJ6173" s="165"/>
      <c r="EK6173" s="165"/>
      <c r="EL6173" s="165"/>
      <c r="EM6173" s="165"/>
      <c r="EN6173" s="165"/>
      <c r="EO6173" s="165"/>
      <c r="EP6173" s="165"/>
      <c r="EQ6173" s="165"/>
      <c r="ER6173" s="165"/>
      <c r="ES6173" s="165"/>
    </row>
    <row r="6174" spans="1:149" s="451" customFormat="1" ht="14.15" hidden="1">
      <c r="A6174" s="468">
        <v>45548</v>
      </c>
      <c r="B6174" s="208" t="s">
        <v>5019</v>
      </c>
      <c r="C6174" s="208" t="s">
        <v>269</v>
      </c>
      <c r="D6174" s="211">
        <v>-120000</v>
      </c>
      <c r="E6174" s="212">
        <v>45536</v>
      </c>
      <c r="F6174" s="208" t="s">
        <v>130</v>
      </c>
      <c r="G6174" s="208" t="s">
        <v>130</v>
      </c>
      <c r="H6174" s="208" t="s">
        <v>323</v>
      </c>
      <c r="I6174" s="208"/>
      <c r="J6174" s="209"/>
      <c r="K6174" s="209"/>
      <c r="L6174" s="209"/>
      <c r="M6174" s="209"/>
      <c r="N6174" s="209"/>
      <c r="O6174" s="209"/>
      <c r="P6174" s="209"/>
      <c r="Q6174" s="209"/>
      <c r="R6174" s="209"/>
      <c r="S6174" s="209"/>
      <c r="T6174" s="209"/>
      <c r="U6174" s="165"/>
      <c r="V6174" s="165"/>
      <c r="W6174" s="165"/>
      <c r="X6174" s="165"/>
      <c r="Y6174" s="165"/>
      <c r="Z6174" s="165"/>
      <c r="AA6174" s="165"/>
      <c r="AB6174" s="165"/>
      <c r="AC6174" s="165"/>
      <c r="AD6174" s="165"/>
      <c r="AE6174" s="165"/>
      <c r="AF6174" s="165"/>
      <c r="AG6174" s="165"/>
      <c r="AH6174" s="165"/>
      <c r="AI6174" s="165"/>
      <c r="AJ6174" s="165"/>
      <c r="AK6174" s="165"/>
      <c r="AL6174" s="165"/>
      <c r="AM6174" s="165"/>
      <c r="AN6174" s="165"/>
      <c r="AO6174" s="165"/>
      <c r="AP6174" s="165"/>
      <c r="AQ6174" s="165"/>
      <c r="AR6174" s="165"/>
      <c r="AS6174" s="165"/>
      <c r="AT6174" s="165"/>
      <c r="AU6174" s="165"/>
      <c r="AV6174" s="165"/>
      <c r="AW6174" s="165"/>
      <c r="AX6174" s="165"/>
      <c r="AY6174" s="165"/>
      <c r="AZ6174" s="165"/>
      <c r="BA6174" s="165"/>
      <c r="BB6174" s="165"/>
      <c r="BC6174" s="165"/>
      <c r="BD6174" s="165"/>
      <c r="BE6174" s="165"/>
      <c r="BF6174" s="165"/>
      <c r="BG6174" s="165"/>
      <c r="BH6174" s="165"/>
      <c r="BI6174" s="165"/>
      <c r="BJ6174" s="165"/>
      <c r="BK6174" s="165"/>
      <c r="BL6174" s="165"/>
      <c r="BM6174" s="165"/>
      <c r="BN6174" s="165"/>
      <c r="BO6174" s="165"/>
      <c r="BP6174" s="165"/>
      <c r="BQ6174" s="165"/>
      <c r="BR6174" s="165"/>
      <c r="BS6174" s="165"/>
      <c r="BT6174" s="165"/>
      <c r="BU6174" s="165"/>
      <c r="BV6174" s="165"/>
      <c r="BW6174" s="165"/>
      <c r="BX6174" s="165"/>
      <c r="BY6174" s="165"/>
      <c r="BZ6174" s="165"/>
      <c r="CA6174" s="165"/>
      <c r="CB6174" s="165"/>
      <c r="CC6174" s="165"/>
      <c r="CD6174" s="165"/>
      <c r="CE6174" s="165"/>
      <c r="CF6174" s="165"/>
      <c r="CG6174" s="165"/>
      <c r="CH6174" s="165"/>
      <c r="CI6174" s="165"/>
      <c r="CJ6174" s="165"/>
      <c r="CK6174" s="165"/>
      <c r="CL6174" s="165"/>
      <c r="CM6174" s="165"/>
      <c r="CN6174" s="165"/>
      <c r="CO6174" s="165"/>
      <c r="CP6174" s="165"/>
      <c r="CQ6174" s="165"/>
      <c r="CR6174" s="165"/>
      <c r="CS6174" s="165"/>
      <c r="CT6174" s="165"/>
      <c r="CU6174" s="165"/>
      <c r="CV6174" s="165"/>
      <c r="CW6174" s="165"/>
      <c r="CX6174" s="165"/>
      <c r="CY6174" s="165"/>
      <c r="CZ6174" s="165"/>
      <c r="DA6174" s="165"/>
      <c r="DB6174" s="165"/>
      <c r="DC6174" s="165"/>
      <c r="DD6174" s="165"/>
      <c r="DE6174" s="165"/>
      <c r="DF6174" s="165"/>
      <c r="DG6174" s="165"/>
      <c r="DH6174" s="165"/>
      <c r="DI6174" s="165"/>
      <c r="DJ6174" s="165"/>
      <c r="DK6174" s="165"/>
      <c r="DL6174" s="165"/>
      <c r="DM6174" s="165"/>
      <c r="DN6174" s="165"/>
      <c r="DO6174" s="165"/>
      <c r="DP6174" s="165"/>
      <c r="DQ6174" s="165"/>
      <c r="DR6174" s="165"/>
      <c r="DS6174" s="165"/>
      <c r="DT6174" s="165"/>
      <c r="DU6174" s="165"/>
      <c r="DV6174" s="165"/>
      <c r="DW6174" s="165"/>
      <c r="DX6174" s="165"/>
      <c r="DY6174" s="165"/>
      <c r="DZ6174" s="165"/>
      <c r="EA6174" s="165"/>
      <c r="EB6174" s="165"/>
      <c r="EC6174" s="165"/>
      <c r="ED6174" s="165"/>
      <c r="EE6174" s="165"/>
      <c r="EF6174" s="165"/>
      <c r="EG6174" s="165"/>
      <c r="EH6174" s="165"/>
      <c r="EI6174" s="165"/>
      <c r="EJ6174" s="165"/>
      <c r="EK6174" s="165"/>
      <c r="EL6174" s="165"/>
      <c r="EM6174" s="165"/>
      <c r="EN6174" s="165"/>
      <c r="EO6174" s="165"/>
      <c r="EP6174" s="165"/>
      <c r="EQ6174" s="165"/>
      <c r="ER6174" s="165"/>
      <c r="ES6174" s="165"/>
    </row>
    <row r="6175" spans="1:149" s="451" customFormat="1" ht="14.15" hidden="1">
      <c r="A6175" s="468">
        <v>45548</v>
      </c>
      <c r="B6175" s="208" t="s">
        <v>5020</v>
      </c>
      <c r="C6175" s="208" t="s">
        <v>27</v>
      </c>
      <c r="D6175" s="211">
        <v>-162190</v>
      </c>
      <c r="E6175" s="212">
        <v>45536</v>
      </c>
      <c r="F6175" s="208" t="s">
        <v>130</v>
      </c>
      <c r="G6175" s="208" t="s">
        <v>130</v>
      </c>
      <c r="H6175" s="208" t="s">
        <v>249</v>
      </c>
      <c r="I6175" s="208"/>
      <c r="J6175" s="209"/>
      <c r="K6175" s="209"/>
      <c r="L6175" s="209"/>
      <c r="M6175" s="209"/>
      <c r="N6175" s="209"/>
      <c r="O6175" s="209"/>
      <c r="P6175" s="209"/>
      <c r="Q6175" s="209"/>
      <c r="R6175" s="209"/>
      <c r="S6175" s="209"/>
      <c r="T6175" s="209"/>
    </row>
    <row r="6176" spans="1:149" s="451" customFormat="1" ht="14.15" hidden="1">
      <c r="A6176" s="468">
        <v>45548</v>
      </c>
      <c r="B6176" s="208" t="s">
        <v>4719</v>
      </c>
      <c r="C6176" s="208" t="s">
        <v>27</v>
      </c>
      <c r="D6176" s="211">
        <v>-125800</v>
      </c>
      <c r="E6176" s="212">
        <v>45536</v>
      </c>
      <c r="F6176" s="208" t="s">
        <v>130</v>
      </c>
      <c r="G6176" s="208" t="s">
        <v>130</v>
      </c>
      <c r="H6176" s="208" t="s">
        <v>3939</v>
      </c>
      <c r="I6176" s="208"/>
      <c r="J6176" s="209"/>
      <c r="K6176" s="209"/>
      <c r="L6176" s="209"/>
      <c r="M6176" s="209"/>
      <c r="N6176" s="209"/>
      <c r="O6176" s="209"/>
      <c r="P6176" s="209"/>
      <c r="Q6176" s="209"/>
      <c r="R6176" s="209"/>
      <c r="S6176" s="209"/>
      <c r="T6176" s="209"/>
    </row>
    <row r="6177" spans="1:149" s="451" customFormat="1" ht="14.15" hidden="1">
      <c r="A6177" s="468">
        <v>45548</v>
      </c>
      <c r="B6177" s="208" t="s">
        <v>4387</v>
      </c>
      <c r="C6177" s="208" t="s">
        <v>27</v>
      </c>
      <c r="D6177" s="211">
        <v>-67909029</v>
      </c>
      <c r="E6177" s="212">
        <v>45536</v>
      </c>
      <c r="F6177" s="84" t="s">
        <v>111</v>
      </c>
      <c r="G6177" s="635"/>
      <c r="H6177" s="208"/>
      <c r="I6177" s="208"/>
      <c r="J6177" s="209"/>
      <c r="K6177" s="209"/>
      <c r="L6177" s="209"/>
      <c r="M6177" s="209"/>
      <c r="N6177" s="209"/>
      <c r="O6177" s="209"/>
      <c r="P6177" s="209"/>
      <c r="Q6177" s="209"/>
      <c r="R6177" s="209"/>
      <c r="S6177" s="209"/>
      <c r="T6177" s="209"/>
    </row>
    <row r="6178" spans="1:149" s="451" customFormat="1" ht="14.15" hidden="1">
      <c r="A6178" s="468">
        <v>45548</v>
      </c>
      <c r="B6178" s="208" t="s">
        <v>5021</v>
      </c>
      <c r="C6178" s="208" t="s">
        <v>27</v>
      </c>
      <c r="D6178" s="211">
        <v>-1300000</v>
      </c>
      <c r="E6178" s="212">
        <v>45536</v>
      </c>
      <c r="F6178" s="208" t="s">
        <v>130</v>
      </c>
      <c r="G6178" s="208" t="s">
        <v>130</v>
      </c>
      <c r="H6178" s="208" t="s">
        <v>182</v>
      </c>
      <c r="I6178" s="208"/>
      <c r="J6178" s="209"/>
      <c r="K6178" s="209"/>
      <c r="L6178" s="209"/>
      <c r="M6178" s="209"/>
      <c r="N6178" s="209"/>
      <c r="O6178" s="209"/>
      <c r="P6178" s="209"/>
      <c r="Q6178" s="209"/>
      <c r="R6178" s="209"/>
      <c r="S6178" s="209"/>
      <c r="T6178" s="209"/>
    </row>
    <row r="6179" spans="1:149" s="451" customFormat="1" ht="14.15" hidden="1">
      <c r="A6179" s="468">
        <v>45548</v>
      </c>
      <c r="B6179" s="208" t="s">
        <v>5022</v>
      </c>
      <c r="C6179" s="208" t="s">
        <v>27</v>
      </c>
      <c r="D6179" s="211">
        <v>-690900</v>
      </c>
      <c r="E6179" s="212">
        <v>45536</v>
      </c>
      <c r="F6179" s="208" t="s">
        <v>110</v>
      </c>
      <c r="G6179" s="208" t="s">
        <v>3245</v>
      </c>
      <c r="H6179" s="208" t="s">
        <v>147</v>
      </c>
      <c r="I6179" s="208"/>
      <c r="J6179" s="209"/>
      <c r="K6179" s="209"/>
      <c r="L6179" s="209"/>
      <c r="M6179" s="209"/>
      <c r="N6179" s="209"/>
      <c r="O6179" s="209"/>
      <c r="P6179" s="209"/>
      <c r="Q6179" s="209"/>
      <c r="R6179" s="209"/>
      <c r="S6179" s="209"/>
      <c r="T6179" s="209"/>
    </row>
    <row r="6180" spans="1:149" s="451" customFormat="1" ht="14.6" hidden="1">
      <c r="A6180" s="468">
        <v>45548</v>
      </c>
      <c r="B6180" s="208" t="s">
        <v>5023</v>
      </c>
      <c r="C6180" s="208" t="s">
        <v>27</v>
      </c>
      <c r="D6180" s="211">
        <v>100000000</v>
      </c>
      <c r="E6180" s="212">
        <v>45536</v>
      </c>
      <c r="F6180" s="883" t="s">
        <v>707</v>
      </c>
      <c r="G6180" s="201" t="s">
        <v>583</v>
      </c>
      <c r="H6180" s="208"/>
      <c r="I6180" s="208"/>
      <c r="J6180" s="209"/>
      <c r="K6180" s="209"/>
      <c r="L6180" s="209"/>
      <c r="M6180" s="209"/>
      <c r="N6180" s="209"/>
      <c r="O6180" s="209"/>
      <c r="P6180" s="209"/>
      <c r="Q6180" s="209"/>
      <c r="R6180" s="209"/>
      <c r="S6180" s="209"/>
      <c r="T6180" s="209"/>
      <c r="U6180" s="165"/>
      <c r="V6180" s="165"/>
      <c r="W6180" s="165"/>
      <c r="X6180" s="165"/>
      <c r="Y6180" s="165"/>
      <c r="Z6180" s="165"/>
      <c r="AA6180" s="165"/>
      <c r="AB6180" s="165"/>
      <c r="AC6180" s="165"/>
      <c r="AD6180" s="165"/>
      <c r="AE6180" s="165"/>
      <c r="AF6180" s="165"/>
      <c r="AG6180" s="165"/>
      <c r="AH6180" s="165"/>
      <c r="AI6180" s="165"/>
      <c r="AJ6180" s="165"/>
      <c r="AK6180" s="165"/>
      <c r="AL6180" s="165"/>
      <c r="AM6180" s="165"/>
      <c r="AN6180" s="165"/>
      <c r="AO6180" s="165"/>
      <c r="AP6180" s="165"/>
      <c r="AQ6180" s="165"/>
      <c r="AR6180" s="165"/>
      <c r="AS6180" s="165"/>
      <c r="AT6180" s="165"/>
      <c r="AU6180" s="165"/>
      <c r="AV6180" s="165"/>
      <c r="AW6180" s="165"/>
      <c r="AX6180" s="165"/>
      <c r="AY6180" s="165"/>
      <c r="AZ6180" s="165"/>
      <c r="BA6180" s="165"/>
      <c r="BB6180" s="165"/>
      <c r="BC6180" s="165"/>
      <c r="BD6180" s="165"/>
      <c r="BE6180" s="165"/>
      <c r="BF6180" s="165"/>
      <c r="BG6180" s="165"/>
      <c r="BH6180" s="165"/>
      <c r="BI6180" s="165"/>
      <c r="BJ6180" s="165"/>
      <c r="BK6180" s="165"/>
      <c r="BL6180" s="165"/>
      <c r="BM6180" s="165"/>
      <c r="BN6180" s="165"/>
      <c r="BO6180" s="165"/>
      <c r="BP6180" s="165"/>
      <c r="BQ6180" s="165"/>
      <c r="BR6180" s="165"/>
      <c r="BS6180" s="165"/>
      <c r="BT6180" s="165"/>
      <c r="BU6180" s="165"/>
      <c r="BV6180" s="165"/>
      <c r="BW6180" s="165"/>
      <c r="BX6180" s="165"/>
      <c r="BY6180" s="165"/>
      <c r="BZ6180" s="165"/>
      <c r="CA6180" s="165"/>
      <c r="CB6180" s="165"/>
      <c r="CC6180" s="165"/>
      <c r="CD6180" s="165"/>
      <c r="CE6180" s="165"/>
      <c r="CF6180" s="165"/>
      <c r="CG6180" s="165"/>
      <c r="CH6180" s="165"/>
      <c r="CI6180" s="165"/>
      <c r="CJ6180" s="165"/>
      <c r="CK6180" s="165"/>
      <c r="CL6180" s="165"/>
      <c r="CM6180" s="165"/>
      <c r="CN6180" s="165"/>
      <c r="CO6180" s="165"/>
      <c r="CP6180" s="165"/>
      <c r="CQ6180" s="165"/>
      <c r="CR6180" s="165"/>
      <c r="CS6180" s="165"/>
      <c r="CT6180" s="165"/>
      <c r="CU6180" s="165"/>
      <c r="CV6180" s="165"/>
      <c r="CW6180" s="165"/>
      <c r="CX6180" s="165"/>
      <c r="CY6180" s="165"/>
      <c r="CZ6180" s="165"/>
      <c r="DA6180" s="165"/>
      <c r="DB6180" s="165"/>
      <c r="DC6180" s="165"/>
      <c r="DD6180" s="165"/>
      <c r="DE6180" s="165"/>
      <c r="DF6180" s="165"/>
      <c r="DG6180" s="165"/>
      <c r="DH6180" s="165"/>
      <c r="DI6180" s="165"/>
      <c r="DJ6180" s="165"/>
      <c r="DK6180" s="165"/>
      <c r="DL6180" s="165"/>
      <c r="DM6180" s="165"/>
      <c r="DN6180" s="165"/>
      <c r="DO6180" s="165"/>
      <c r="DP6180" s="165"/>
      <c r="DQ6180" s="165"/>
      <c r="DR6180" s="165"/>
      <c r="DS6180" s="165"/>
      <c r="DT6180" s="165"/>
      <c r="DU6180" s="165"/>
      <c r="DV6180" s="165"/>
      <c r="DW6180" s="165"/>
      <c r="DX6180" s="165"/>
      <c r="DY6180" s="165"/>
      <c r="DZ6180" s="165"/>
      <c r="EA6180" s="165"/>
      <c r="EB6180" s="165"/>
      <c r="EC6180" s="165"/>
      <c r="ED6180" s="165"/>
      <c r="EE6180" s="165"/>
      <c r="EF6180" s="165"/>
      <c r="EG6180" s="165"/>
      <c r="EH6180" s="165"/>
      <c r="EI6180" s="165"/>
      <c r="EJ6180" s="165"/>
      <c r="EK6180" s="165"/>
      <c r="EL6180" s="165"/>
      <c r="EM6180" s="165"/>
      <c r="EN6180" s="165"/>
      <c r="EO6180" s="165"/>
      <c r="EP6180" s="165"/>
      <c r="EQ6180" s="165"/>
      <c r="ER6180" s="165"/>
      <c r="ES6180" s="165"/>
    </row>
    <row r="6181" spans="1:149" s="451" customFormat="1" ht="14.15" hidden="1">
      <c r="A6181" s="468">
        <v>45548</v>
      </c>
      <c r="B6181" s="208" t="s">
        <v>5024</v>
      </c>
      <c r="C6181" s="208" t="s">
        <v>27</v>
      </c>
      <c r="D6181" s="211">
        <v>4942612</v>
      </c>
      <c r="E6181" s="212">
        <v>45536</v>
      </c>
      <c r="F6181" s="208" t="s">
        <v>108</v>
      </c>
      <c r="G6181" s="208"/>
      <c r="H6181" s="208"/>
      <c r="I6181" s="208"/>
      <c r="J6181" s="209"/>
      <c r="K6181" s="209"/>
      <c r="L6181" s="209"/>
      <c r="M6181" s="209"/>
      <c r="N6181" s="209"/>
      <c r="O6181" s="209"/>
      <c r="P6181" s="209"/>
      <c r="Q6181" s="209"/>
      <c r="R6181" s="209"/>
      <c r="S6181" s="209"/>
      <c r="T6181" s="209"/>
      <c r="U6181" s="165"/>
      <c r="V6181" s="165"/>
      <c r="W6181" s="165"/>
      <c r="X6181" s="165"/>
      <c r="Y6181" s="165"/>
      <c r="Z6181" s="165"/>
      <c r="AA6181" s="165"/>
      <c r="AB6181" s="165"/>
      <c r="AC6181" s="165"/>
      <c r="AD6181" s="165"/>
      <c r="AE6181" s="165"/>
      <c r="AF6181" s="165"/>
      <c r="AG6181" s="165"/>
      <c r="AH6181" s="165"/>
      <c r="AI6181" s="165"/>
      <c r="AJ6181" s="165"/>
      <c r="AK6181" s="165"/>
      <c r="AL6181" s="165"/>
      <c r="AM6181" s="165"/>
      <c r="AN6181" s="165"/>
      <c r="AO6181" s="165"/>
      <c r="AP6181" s="165"/>
      <c r="AQ6181" s="165"/>
      <c r="AR6181" s="165"/>
      <c r="AS6181" s="165"/>
      <c r="AT6181" s="165"/>
      <c r="AU6181" s="165"/>
      <c r="AV6181" s="165"/>
      <c r="AW6181" s="165"/>
      <c r="AX6181" s="165"/>
      <c r="AY6181" s="165"/>
      <c r="AZ6181" s="165"/>
      <c r="BA6181" s="165"/>
      <c r="BB6181" s="165"/>
      <c r="BC6181" s="165"/>
      <c r="BD6181" s="165"/>
      <c r="BE6181" s="165"/>
      <c r="BF6181" s="165"/>
      <c r="BG6181" s="165"/>
      <c r="BH6181" s="165"/>
      <c r="BI6181" s="165"/>
      <c r="BJ6181" s="165"/>
      <c r="BK6181" s="165"/>
      <c r="BL6181" s="165"/>
      <c r="BM6181" s="165"/>
      <c r="BN6181" s="165"/>
      <c r="BO6181" s="165"/>
      <c r="BP6181" s="165"/>
      <c r="BQ6181" s="165"/>
      <c r="BR6181" s="165"/>
      <c r="BS6181" s="165"/>
      <c r="BT6181" s="165"/>
      <c r="BU6181" s="165"/>
      <c r="BV6181" s="165"/>
      <c r="BW6181" s="165"/>
      <c r="BX6181" s="165"/>
      <c r="BY6181" s="165"/>
      <c r="BZ6181" s="165"/>
      <c r="CA6181" s="165"/>
      <c r="CB6181" s="165"/>
      <c r="CC6181" s="165"/>
      <c r="CD6181" s="165"/>
      <c r="CE6181" s="165"/>
      <c r="CF6181" s="165"/>
      <c r="CG6181" s="165"/>
      <c r="CH6181" s="165"/>
      <c r="CI6181" s="165"/>
      <c r="CJ6181" s="165"/>
      <c r="CK6181" s="165"/>
      <c r="CL6181" s="165"/>
      <c r="CM6181" s="165"/>
      <c r="CN6181" s="165"/>
      <c r="CO6181" s="165"/>
      <c r="CP6181" s="165"/>
      <c r="CQ6181" s="165"/>
      <c r="CR6181" s="165"/>
      <c r="CS6181" s="165"/>
      <c r="CT6181" s="165"/>
      <c r="CU6181" s="165"/>
      <c r="CV6181" s="165"/>
      <c r="CW6181" s="165"/>
      <c r="CX6181" s="165"/>
      <c r="CY6181" s="165"/>
      <c r="CZ6181" s="165"/>
      <c r="DA6181" s="165"/>
      <c r="DB6181" s="165"/>
      <c r="DC6181" s="165"/>
      <c r="DD6181" s="165"/>
      <c r="DE6181" s="165"/>
      <c r="DF6181" s="165"/>
      <c r="DG6181" s="165"/>
      <c r="DH6181" s="165"/>
      <c r="DI6181" s="165"/>
      <c r="DJ6181" s="165"/>
      <c r="DK6181" s="165"/>
      <c r="DL6181" s="165"/>
      <c r="DM6181" s="165"/>
      <c r="DN6181" s="165"/>
      <c r="DO6181" s="165"/>
      <c r="DP6181" s="165"/>
      <c r="DQ6181" s="165"/>
      <c r="DR6181" s="165"/>
      <c r="DS6181" s="165"/>
      <c r="DT6181" s="165"/>
      <c r="DU6181" s="165"/>
      <c r="DV6181" s="165"/>
      <c r="DW6181" s="165"/>
      <c r="DX6181" s="165"/>
      <c r="DY6181" s="165"/>
      <c r="DZ6181" s="165"/>
      <c r="EA6181" s="165"/>
      <c r="EB6181" s="165"/>
      <c r="EC6181" s="165"/>
      <c r="ED6181" s="165"/>
      <c r="EE6181" s="165"/>
      <c r="EF6181" s="165"/>
      <c r="EG6181" s="165"/>
      <c r="EH6181" s="165"/>
      <c r="EI6181" s="165"/>
      <c r="EJ6181" s="165"/>
      <c r="EK6181" s="165"/>
      <c r="EL6181" s="165"/>
      <c r="EM6181" s="165"/>
      <c r="EN6181" s="165"/>
      <c r="EO6181" s="165"/>
      <c r="EP6181" s="165"/>
      <c r="EQ6181" s="165"/>
      <c r="ER6181" s="165"/>
      <c r="ES6181" s="165"/>
    </row>
    <row r="6182" spans="1:149" s="451" customFormat="1" ht="14.15" hidden="1">
      <c r="A6182" s="468">
        <v>45548</v>
      </c>
      <c r="B6182" s="208" t="s">
        <v>5025</v>
      </c>
      <c r="C6182" s="208" t="s">
        <v>27</v>
      </c>
      <c r="D6182" s="211">
        <v>684750</v>
      </c>
      <c r="E6182" s="212">
        <v>45536</v>
      </c>
      <c r="F6182" s="654" t="s">
        <v>5026</v>
      </c>
      <c r="G6182" s="208" t="s">
        <v>207</v>
      </c>
      <c r="H6182" s="208"/>
      <c r="I6182" s="208"/>
      <c r="J6182" s="209"/>
      <c r="K6182" s="209"/>
      <c r="L6182" s="209"/>
      <c r="M6182" s="209"/>
      <c r="N6182" s="209"/>
      <c r="O6182" s="209"/>
      <c r="P6182" s="209"/>
      <c r="Q6182" s="209"/>
      <c r="R6182" s="209"/>
      <c r="S6182" s="209"/>
      <c r="T6182" s="209"/>
      <c r="U6182" s="165"/>
      <c r="V6182" s="165"/>
      <c r="W6182" s="165"/>
      <c r="X6182" s="165"/>
      <c r="Y6182" s="165"/>
      <c r="Z6182" s="165"/>
      <c r="AA6182" s="165"/>
      <c r="AB6182" s="165"/>
      <c r="AC6182" s="165"/>
      <c r="AD6182" s="165"/>
      <c r="AE6182" s="165"/>
      <c r="AF6182" s="165"/>
      <c r="AG6182" s="165"/>
      <c r="AH6182" s="165"/>
      <c r="AI6182" s="165"/>
      <c r="AJ6182" s="165"/>
      <c r="AK6182" s="165"/>
      <c r="AL6182" s="165"/>
      <c r="AM6182" s="165"/>
      <c r="AN6182" s="165"/>
      <c r="AO6182" s="165"/>
      <c r="AP6182" s="165"/>
      <c r="AQ6182" s="165"/>
      <c r="AR6182" s="165"/>
      <c r="AS6182" s="165"/>
      <c r="AT6182" s="165"/>
      <c r="AU6182" s="165"/>
      <c r="AV6182" s="165"/>
      <c r="AW6182" s="165"/>
      <c r="AX6182" s="165"/>
      <c r="AY6182" s="165"/>
      <c r="AZ6182" s="165"/>
      <c r="BA6182" s="165"/>
      <c r="BB6182" s="165"/>
      <c r="BC6182" s="165"/>
      <c r="BD6182" s="165"/>
      <c r="BE6182" s="165"/>
      <c r="BF6182" s="165"/>
      <c r="BG6182" s="165"/>
      <c r="BH6182" s="165"/>
      <c r="BI6182" s="165"/>
      <c r="BJ6182" s="165"/>
      <c r="BK6182" s="165"/>
      <c r="BL6182" s="165"/>
      <c r="BM6182" s="165"/>
      <c r="BN6182" s="165"/>
      <c r="BO6182" s="165"/>
      <c r="BP6182" s="165"/>
      <c r="BQ6182" s="165"/>
      <c r="BR6182" s="165"/>
      <c r="BS6182" s="165"/>
      <c r="BT6182" s="165"/>
      <c r="BU6182" s="165"/>
      <c r="BV6182" s="165"/>
      <c r="BW6182" s="165"/>
      <c r="BX6182" s="165"/>
      <c r="BY6182" s="165"/>
      <c r="BZ6182" s="165"/>
      <c r="CA6182" s="165"/>
      <c r="CB6182" s="165"/>
      <c r="CC6182" s="165"/>
      <c r="CD6182" s="165"/>
      <c r="CE6182" s="165"/>
      <c r="CF6182" s="165"/>
      <c r="CG6182" s="165"/>
      <c r="CH6182" s="165"/>
      <c r="CI6182" s="165"/>
      <c r="CJ6182" s="165"/>
      <c r="CK6182" s="165"/>
      <c r="CL6182" s="165"/>
      <c r="CM6182" s="165"/>
      <c r="CN6182" s="165"/>
      <c r="CO6182" s="165"/>
      <c r="CP6182" s="165"/>
      <c r="CQ6182" s="165"/>
      <c r="CR6182" s="165"/>
      <c r="CS6182" s="165"/>
      <c r="CT6182" s="165"/>
      <c r="CU6182" s="165"/>
      <c r="CV6182" s="165"/>
      <c r="CW6182" s="165"/>
      <c r="CX6182" s="165"/>
      <c r="CY6182" s="165"/>
      <c r="CZ6182" s="165"/>
      <c r="DA6182" s="165"/>
      <c r="DB6182" s="165"/>
      <c r="DC6182" s="165"/>
      <c r="DD6182" s="165"/>
      <c r="DE6182" s="165"/>
      <c r="DF6182" s="165"/>
      <c r="DG6182" s="165"/>
      <c r="DH6182" s="165"/>
      <c r="DI6182" s="165"/>
      <c r="DJ6182" s="165"/>
      <c r="DK6182" s="165"/>
      <c r="DL6182" s="165"/>
      <c r="DM6182" s="165"/>
      <c r="DN6182" s="165"/>
      <c r="DO6182" s="165"/>
      <c r="DP6182" s="165"/>
      <c r="DQ6182" s="165"/>
      <c r="DR6182" s="165"/>
      <c r="DS6182" s="165"/>
      <c r="DT6182" s="165"/>
      <c r="DU6182" s="165"/>
      <c r="DV6182" s="165"/>
      <c r="DW6182" s="165"/>
      <c r="DX6182" s="165"/>
      <c r="DY6182" s="165"/>
      <c r="DZ6182" s="165"/>
      <c r="EA6182" s="165"/>
      <c r="EB6182" s="165"/>
      <c r="EC6182" s="165"/>
      <c r="ED6182" s="165"/>
      <c r="EE6182" s="165"/>
      <c r="EF6182" s="165"/>
      <c r="EG6182" s="165"/>
      <c r="EH6182" s="165"/>
      <c r="EI6182" s="165"/>
      <c r="EJ6182" s="165"/>
      <c r="EK6182" s="165"/>
      <c r="EL6182" s="165"/>
      <c r="EM6182" s="165"/>
      <c r="EN6182" s="165"/>
      <c r="EO6182" s="165"/>
      <c r="EP6182" s="165"/>
      <c r="EQ6182" s="165"/>
      <c r="ER6182" s="165"/>
      <c r="ES6182" s="165"/>
    </row>
    <row r="6183" spans="1:149" s="451" customFormat="1" ht="14.15" hidden="1">
      <c r="A6183" s="468">
        <v>45548</v>
      </c>
      <c r="B6183" s="208" t="s">
        <v>5027</v>
      </c>
      <c r="C6183" s="208" t="s">
        <v>27</v>
      </c>
      <c r="D6183" s="211">
        <v>3917454</v>
      </c>
      <c r="E6183" s="212">
        <v>45536</v>
      </c>
      <c r="F6183" s="654" t="s">
        <v>5026</v>
      </c>
      <c r="G6183" s="208" t="s">
        <v>207</v>
      </c>
      <c r="H6183" s="208"/>
      <c r="I6183" s="208"/>
      <c r="J6183" s="209"/>
      <c r="K6183" s="209"/>
      <c r="L6183" s="209"/>
      <c r="M6183" s="209"/>
      <c r="N6183" s="209"/>
      <c r="O6183" s="209"/>
      <c r="P6183" s="209"/>
      <c r="Q6183" s="209"/>
      <c r="R6183" s="209"/>
      <c r="S6183" s="209"/>
      <c r="T6183" s="209"/>
      <c r="U6183" s="165"/>
      <c r="V6183" s="165"/>
      <c r="W6183" s="165"/>
      <c r="X6183" s="165"/>
      <c r="Y6183" s="165"/>
      <c r="Z6183" s="165"/>
      <c r="AA6183" s="165"/>
      <c r="AB6183" s="165"/>
      <c r="AC6183" s="165"/>
      <c r="AD6183" s="165"/>
      <c r="AE6183" s="165"/>
      <c r="AF6183" s="165"/>
      <c r="AG6183" s="165"/>
      <c r="AH6183" s="165"/>
      <c r="AI6183" s="165"/>
      <c r="AJ6183" s="165"/>
      <c r="AK6183" s="165"/>
      <c r="AL6183" s="165"/>
      <c r="AM6183" s="165"/>
      <c r="AN6183" s="165"/>
      <c r="AO6183" s="165"/>
      <c r="AP6183" s="165"/>
      <c r="AQ6183" s="165"/>
      <c r="AR6183" s="165"/>
      <c r="AS6183" s="165"/>
      <c r="AT6183" s="165"/>
      <c r="AU6183" s="165"/>
      <c r="AV6183" s="165"/>
      <c r="AW6183" s="165"/>
      <c r="AX6183" s="165"/>
      <c r="AY6183" s="165"/>
      <c r="AZ6183" s="165"/>
      <c r="BA6183" s="165"/>
      <c r="BB6183" s="165"/>
      <c r="BC6183" s="165"/>
      <c r="BD6183" s="165"/>
      <c r="BE6183" s="165"/>
      <c r="BF6183" s="165"/>
      <c r="BG6183" s="165"/>
      <c r="BH6183" s="165"/>
      <c r="BI6183" s="165"/>
      <c r="BJ6183" s="165"/>
      <c r="BK6183" s="165"/>
      <c r="BL6183" s="165"/>
      <c r="BM6183" s="165"/>
      <c r="BN6183" s="165"/>
      <c r="BO6183" s="165"/>
      <c r="BP6183" s="165"/>
      <c r="BQ6183" s="165"/>
      <c r="BR6183" s="165"/>
      <c r="BS6183" s="165"/>
      <c r="BT6183" s="165"/>
      <c r="BU6183" s="165"/>
      <c r="BV6183" s="165"/>
      <c r="BW6183" s="165"/>
      <c r="BX6183" s="165"/>
      <c r="BY6183" s="165"/>
      <c r="BZ6183" s="165"/>
      <c r="CA6183" s="165"/>
      <c r="CB6183" s="165"/>
      <c r="CC6183" s="165"/>
      <c r="CD6183" s="165"/>
      <c r="CE6183" s="165"/>
      <c r="CF6183" s="165"/>
      <c r="CG6183" s="165"/>
      <c r="CH6183" s="165"/>
      <c r="CI6183" s="165"/>
      <c r="CJ6183" s="165"/>
      <c r="CK6183" s="165"/>
      <c r="CL6183" s="165"/>
      <c r="CM6183" s="165"/>
      <c r="CN6183" s="165"/>
      <c r="CO6183" s="165"/>
      <c r="CP6183" s="165"/>
      <c r="CQ6183" s="165"/>
      <c r="CR6183" s="165"/>
      <c r="CS6183" s="165"/>
      <c r="CT6183" s="165"/>
      <c r="CU6183" s="165"/>
      <c r="CV6183" s="165"/>
      <c r="CW6183" s="165"/>
      <c r="CX6183" s="165"/>
      <c r="CY6183" s="165"/>
      <c r="CZ6183" s="165"/>
      <c r="DA6183" s="165"/>
      <c r="DB6183" s="165"/>
      <c r="DC6183" s="165"/>
      <c r="DD6183" s="165"/>
      <c r="DE6183" s="165"/>
      <c r="DF6183" s="165"/>
      <c r="DG6183" s="165"/>
      <c r="DH6183" s="165"/>
      <c r="DI6183" s="165"/>
      <c r="DJ6183" s="165"/>
      <c r="DK6183" s="165"/>
      <c r="DL6183" s="165"/>
      <c r="DM6183" s="165"/>
      <c r="DN6183" s="165"/>
      <c r="DO6183" s="165"/>
      <c r="DP6183" s="165"/>
      <c r="DQ6183" s="165"/>
      <c r="DR6183" s="165"/>
      <c r="DS6183" s="165"/>
      <c r="DT6183" s="165"/>
      <c r="DU6183" s="165"/>
      <c r="DV6183" s="165"/>
      <c r="DW6183" s="165"/>
      <c r="DX6183" s="165"/>
      <c r="DY6183" s="165"/>
      <c r="DZ6183" s="165"/>
      <c r="EA6183" s="165"/>
      <c r="EB6183" s="165"/>
      <c r="EC6183" s="165"/>
      <c r="ED6183" s="165"/>
      <c r="EE6183" s="165"/>
      <c r="EF6183" s="165"/>
      <c r="EG6183" s="165"/>
      <c r="EH6183" s="165"/>
      <c r="EI6183" s="165"/>
      <c r="EJ6183" s="165"/>
      <c r="EK6183" s="165"/>
      <c r="EL6183" s="165"/>
      <c r="EM6183" s="165"/>
      <c r="EN6183" s="165"/>
      <c r="EO6183" s="165"/>
      <c r="EP6183" s="165"/>
      <c r="EQ6183" s="165"/>
      <c r="ER6183" s="165"/>
      <c r="ES6183" s="165"/>
    </row>
    <row r="6184" spans="1:149" s="451" customFormat="1" ht="14.15" hidden="1">
      <c r="A6184" s="468">
        <v>45548</v>
      </c>
      <c r="B6184" s="81" t="s">
        <v>4129</v>
      </c>
      <c r="C6184" s="208" t="s">
        <v>643</v>
      </c>
      <c r="D6184" s="211">
        <v>-77206</v>
      </c>
      <c r="E6184" s="212">
        <v>45536</v>
      </c>
      <c r="F6184" s="208" t="s">
        <v>130</v>
      </c>
      <c r="G6184" s="208" t="s">
        <v>257</v>
      </c>
      <c r="H6184" s="208" t="s">
        <v>1138</v>
      </c>
      <c r="I6184" s="208"/>
      <c r="J6184" s="209"/>
      <c r="K6184" s="209"/>
      <c r="L6184" s="209"/>
      <c r="M6184" s="209"/>
      <c r="N6184" s="209"/>
      <c r="O6184" s="209"/>
      <c r="P6184" s="209"/>
      <c r="Q6184" s="209"/>
      <c r="R6184" s="209"/>
      <c r="S6184" s="209"/>
      <c r="T6184" s="209"/>
      <c r="U6184" s="165"/>
      <c r="V6184" s="165"/>
      <c r="W6184" s="165"/>
      <c r="X6184" s="165"/>
      <c r="Y6184" s="165"/>
      <c r="Z6184" s="165"/>
      <c r="AA6184" s="165"/>
      <c r="AB6184" s="165"/>
      <c r="AC6184" s="165"/>
      <c r="AD6184" s="165"/>
      <c r="AE6184" s="165"/>
      <c r="AF6184" s="165"/>
      <c r="AG6184" s="165"/>
      <c r="AH6184" s="165"/>
      <c r="AI6184" s="165"/>
      <c r="AJ6184" s="165"/>
      <c r="AK6184" s="165"/>
      <c r="AL6184" s="165"/>
      <c r="AM6184" s="165"/>
      <c r="AN6184" s="165"/>
      <c r="AO6184" s="165"/>
      <c r="AP6184" s="165"/>
      <c r="AQ6184" s="165"/>
      <c r="AR6184" s="165"/>
      <c r="AS6184" s="165"/>
      <c r="AT6184" s="165"/>
      <c r="AU6184" s="165"/>
      <c r="AV6184" s="165"/>
      <c r="AW6184" s="165"/>
      <c r="AX6184" s="165"/>
      <c r="AY6184" s="165"/>
      <c r="AZ6184" s="165"/>
      <c r="BA6184" s="165"/>
      <c r="BB6184" s="165"/>
      <c r="BC6184" s="165"/>
      <c r="BD6184" s="165"/>
      <c r="BE6184" s="165"/>
      <c r="BF6184" s="165"/>
      <c r="BG6184" s="165"/>
      <c r="BH6184" s="165"/>
      <c r="BI6184" s="165"/>
      <c r="BJ6184" s="165"/>
      <c r="BK6184" s="165"/>
      <c r="BL6184" s="165"/>
      <c r="BM6184" s="165"/>
      <c r="BN6184" s="165"/>
      <c r="BO6184" s="165"/>
      <c r="BP6184" s="165"/>
      <c r="BQ6184" s="165"/>
      <c r="BR6184" s="165"/>
      <c r="BS6184" s="165"/>
      <c r="BT6184" s="165"/>
      <c r="BU6184" s="165"/>
      <c r="BV6184" s="165"/>
      <c r="BW6184" s="165"/>
      <c r="BX6184" s="165"/>
      <c r="BY6184" s="165"/>
      <c r="BZ6184" s="165"/>
      <c r="CA6184" s="165"/>
      <c r="CB6184" s="165"/>
      <c r="CC6184" s="165"/>
      <c r="CD6184" s="165"/>
      <c r="CE6184" s="165"/>
      <c r="CF6184" s="165"/>
      <c r="CG6184" s="165"/>
      <c r="CH6184" s="165"/>
      <c r="CI6184" s="165"/>
      <c r="CJ6184" s="165"/>
      <c r="CK6184" s="165"/>
      <c r="CL6184" s="165"/>
      <c r="CM6184" s="165"/>
      <c r="CN6184" s="165"/>
      <c r="CO6184" s="165"/>
      <c r="CP6184" s="165"/>
      <c r="CQ6184" s="165"/>
      <c r="CR6184" s="165"/>
      <c r="CS6184" s="165"/>
      <c r="CT6184" s="165"/>
      <c r="CU6184" s="165"/>
      <c r="CV6184" s="165"/>
      <c r="CW6184" s="165"/>
      <c r="CX6184" s="165"/>
      <c r="CY6184" s="165"/>
      <c r="CZ6184" s="165"/>
      <c r="DA6184" s="165"/>
      <c r="DB6184" s="165"/>
      <c r="DC6184" s="165"/>
      <c r="DD6184" s="165"/>
      <c r="DE6184" s="165"/>
      <c r="DF6184" s="165"/>
      <c r="DG6184" s="165"/>
      <c r="DH6184" s="165"/>
      <c r="DI6184" s="165"/>
      <c r="DJ6184" s="165"/>
      <c r="DK6184" s="165"/>
      <c r="DL6184" s="165"/>
      <c r="DM6184" s="165"/>
      <c r="DN6184" s="165"/>
      <c r="DO6184" s="165"/>
      <c r="DP6184" s="165"/>
      <c r="DQ6184" s="165"/>
      <c r="DR6184" s="165"/>
      <c r="DS6184" s="165"/>
      <c r="DT6184" s="165"/>
      <c r="DU6184" s="165"/>
      <c r="DV6184" s="165"/>
      <c r="DW6184" s="165"/>
      <c r="DX6184" s="165"/>
      <c r="DY6184" s="165"/>
      <c r="DZ6184" s="165"/>
      <c r="EA6184" s="165"/>
      <c r="EB6184" s="165"/>
      <c r="EC6184" s="165"/>
      <c r="ED6184" s="165"/>
      <c r="EE6184" s="165"/>
      <c r="EF6184" s="165"/>
      <c r="EG6184" s="165"/>
      <c r="EH6184" s="165"/>
      <c r="EI6184" s="165"/>
      <c r="EJ6184" s="165"/>
      <c r="EK6184" s="165"/>
      <c r="EL6184" s="165"/>
      <c r="EM6184" s="165"/>
      <c r="EN6184" s="165"/>
      <c r="EO6184" s="165"/>
      <c r="EP6184" s="165"/>
      <c r="EQ6184" s="165"/>
      <c r="ER6184" s="165"/>
      <c r="ES6184" s="165"/>
    </row>
    <row r="6185" spans="1:149" s="209" customFormat="1" ht="14.15" hidden="1">
      <c r="A6185" s="468">
        <v>45548</v>
      </c>
      <c r="B6185" s="208" t="s">
        <v>5028</v>
      </c>
      <c r="C6185" s="208" t="s">
        <v>3331</v>
      </c>
      <c r="D6185" s="211">
        <v>1344077</v>
      </c>
      <c r="E6185" s="212">
        <v>45536</v>
      </c>
      <c r="F6185" s="208" t="s">
        <v>108</v>
      </c>
      <c r="G6185" s="208"/>
      <c r="H6185" s="208"/>
      <c r="I6185" s="208"/>
    </row>
    <row r="6186" spans="1:149" s="209" customFormat="1" ht="14.15" hidden="1">
      <c r="A6186" s="468">
        <v>45548</v>
      </c>
      <c r="B6186" s="208" t="s">
        <v>5029</v>
      </c>
      <c r="C6186" s="208" t="s">
        <v>3331</v>
      </c>
      <c r="D6186" s="211">
        <v>602826</v>
      </c>
      <c r="E6186" s="212">
        <v>45536</v>
      </c>
      <c r="F6186" s="208" t="s">
        <v>108</v>
      </c>
      <c r="G6186" s="208"/>
      <c r="H6186" s="208"/>
      <c r="I6186" s="208"/>
    </row>
    <row r="6187" spans="1:149" s="209" customFormat="1" ht="14.15" hidden="1">
      <c r="A6187" s="468">
        <v>45548</v>
      </c>
      <c r="B6187" s="208" t="s">
        <v>5030</v>
      </c>
      <c r="C6187" s="208" t="s">
        <v>3331</v>
      </c>
      <c r="D6187" s="211">
        <v>10000000</v>
      </c>
      <c r="E6187" s="212">
        <v>45536</v>
      </c>
      <c r="F6187" s="208" t="s">
        <v>130</v>
      </c>
      <c r="G6187" s="208" t="s">
        <v>130</v>
      </c>
      <c r="H6187" s="208"/>
      <c r="I6187" s="208"/>
    </row>
    <row r="6188" spans="1:149" s="451" customFormat="1" ht="14.15" hidden="1">
      <c r="A6188" s="468">
        <v>45548</v>
      </c>
      <c r="B6188" s="208" t="s">
        <v>5031</v>
      </c>
      <c r="C6188" s="208" t="s">
        <v>27</v>
      </c>
      <c r="D6188" s="211">
        <v>-96001</v>
      </c>
      <c r="E6188" s="212">
        <v>45536</v>
      </c>
      <c r="F6188" s="208" t="s">
        <v>130</v>
      </c>
      <c r="G6188" s="208" t="s">
        <v>130</v>
      </c>
      <c r="H6188" s="208" t="s">
        <v>406</v>
      </c>
      <c r="I6188" s="208"/>
      <c r="J6188" s="209"/>
      <c r="K6188" s="209"/>
      <c r="L6188" s="209"/>
      <c r="M6188" s="209"/>
      <c r="N6188" s="209"/>
      <c r="O6188" s="209"/>
      <c r="P6188" s="209"/>
      <c r="Q6188" s="209"/>
      <c r="R6188" s="209"/>
      <c r="S6188" s="209"/>
      <c r="T6188" s="209"/>
    </row>
    <row r="6189" spans="1:149" s="451" customFormat="1" ht="14.15" hidden="1">
      <c r="A6189" s="468">
        <v>45548</v>
      </c>
      <c r="B6189" s="208" t="s">
        <v>5032</v>
      </c>
      <c r="C6189" s="208" t="s">
        <v>27</v>
      </c>
      <c r="D6189" s="211">
        <v>3220688</v>
      </c>
      <c r="E6189" s="212">
        <v>45536</v>
      </c>
      <c r="F6189" s="671" t="s">
        <v>118</v>
      </c>
      <c r="G6189" s="208"/>
      <c r="H6189" s="208"/>
      <c r="I6189" s="208"/>
      <c r="J6189" s="209"/>
      <c r="K6189" s="209"/>
      <c r="L6189" s="209"/>
      <c r="M6189" s="209"/>
      <c r="N6189" s="209"/>
      <c r="O6189" s="209"/>
      <c r="P6189" s="209"/>
      <c r="Q6189" s="209"/>
      <c r="R6189" s="209"/>
      <c r="S6189" s="209"/>
      <c r="T6189" s="209"/>
      <c r="U6189" s="165"/>
      <c r="V6189" s="165"/>
      <c r="W6189" s="165"/>
      <c r="X6189" s="165"/>
      <c r="Y6189" s="165"/>
      <c r="Z6189" s="165"/>
      <c r="AA6189" s="165"/>
      <c r="AB6189" s="165"/>
      <c r="AC6189" s="165"/>
      <c r="AD6189" s="165"/>
      <c r="AE6189" s="165"/>
      <c r="AF6189" s="165"/>
      <c r="AG6189" s="165"/>
      <c r="AH6189" s="165"/>
      <c r="AI6189" s="165"/>
      <c r="AJ6189" s="165"/>
      <c r="AK6189" s="165"/>
      <c r="AL6189" s="165"/>
      <c r="AM6189" s="165"/>
      <c r="AN6189" s="165"/>
      <c r="AO6189" s="165"/>
      <c r="AP6189" s="165"/>
      <c r="AQ6189" s="165"/>
      <c r="AR6189" s="165"/>
      <c r="AS6189" s="165"/>
      <c r="AT6189" s="165"/>
      <c r="AU6189" s="165"/>
      <c r="AV6189" s="165"/>
      <c r="AW6189" s="165"/>
      <c r="AX6189" s="165"/>
      <c r="AY6189" s="165"/>
      <c r="AZ6189" s="165"/>
      <c r="BA6189" s="165"/>
      <c r="BB6189" s="165"/>
      <c r="BC6189" s="165"/>
      <c r="BD6189" s="165"/>
      <c r="BE6189" s="165"/>
      <c r="BF6189" s="165"/>
      <c r="BG6189" s="165"/>
      <c r="BH6189" s="165"/>
      <c r="BI6189" s="165"/>
      <c r="BJ6189" s="165"/>
      <c r="BK6189" s="165"/>
      <c r="BL6189" s="165"/>
      <c r="BM6189" s="165"/>
      <c r="BN6189" s="165"/>
      <c r="BO6189" s="165"/>
      <c r="BP6189" s="165"/>
      <c r="BQ6189" s="165"/>
      <c r="BR6189" s="165"/>
      <c r="BS6189" s="165"/>
      <c r="BT6189" s="165"/>
      <c r="BU6189" s="165"/>
      <c r="BV6189" s="165"/>
      <c r="BW6189" s="165"/>
      <c r="BX6189" s="165"/>
      <c r="BY6189" s="165"/>
      <c r="BZ6189" s="165"/>
      <c r="CA6189" s="165"/>
      <c r="CB6189" s="165"/>
      <c r="CC6189" s="165"/>
      <c r="CD6189" s="165"/>
      <c r="CE6189" s="165"/>
      <c r="CF6189" s="165"/>
      <c r="CG6189" s="165"/>
      <c r="CH6189" s="165"/>
      <c r="CI6189" s="165"/>
      <c r="CJ6189" s="165"/>
      <c r="CK6189" s="165"/>
      <c r="CL6189" s="165"/>
      <c r="CM6189" s="165"/>
      <c r="CN6189" s="165"/>
      <c r="CO6189" s="165"/>
      <c r="CP6189" s="165"/>
      <c r="CQ6189" s="165"/>
      <c r="CR6189" s="165"/>
      <c r="CS6189" s="165"/>
      <c r="CT6189" s="165"/>
      <c r="CU6189" s="165"/>
      <c r="CV6189" s="165"/>
      <c r="CW6189" s="165"/>
      <c r="CX6189" s="165"/>
      <c r="CY6189" s="165"/>
      <c r="CZ6189" s="165"/>
      <c r="DA6189" s="165"/>
      <c r="DB6189" s="165"/>
      <c r="DC6189" s="165"/>
      <c r="DD6189" s="165"/>
      <c r="DE6189" s="165"/>
      <c r="DF6189" s="165"/>
      <c r="DG6189" s="165"/>
      <c r="DH6189" s="165"/>
      <c r="DI6189" s="165"/>
      <c r="DJ6189" s="165"/>
      <c r="DK6189" s="165"/>
      <c r="DL6189" s="165"/>
      <c r="DM6189" s="165"/>
      <c r="DN6189" s="165"/>
      <c r="DO6189" s="165"/>
      <c r="DP6189" s="165"/>
      <c r="DQ6189" s="165"/>
      <c r="DR6189" s="165"/>
      <c r="DS6189" s="165"/>
      <c r="DT6189" s="165"/>
      <c r="DU6189" s="165"/>
      <c r="DV6189" s="165"/>
      <c r="DW6189" s="165"/>
      <c r="DX6189" s="165"/>
      <c r="DY6189" s="165"/>
      <c r="DZ6189" s="165"/>
      <c r="EA6189" s="165"/>
      <c r="EB6189" s="165"/>
      <c r="EC6189" s="165"/>
      <c r="ED6189" s="165"/>
      <c r="EE6189" s="165"/>
      <c r="EF6189" s="165"/>
      <c r="EG6189" s="165"/>
      <c r="EH6189" s="165"/>
      <c r="EI6189" s="165"/>
      <c r="EJ6189" s="165"/>
      <c r="EK6189" s="165"/>
      <c r="EL6189" s="165"/>
      <c r="EM6189" s="165"/>
      <c r="EN6189" s="165"/>
      <c r="EO6189" s="165"/>
      <c r="EP6189" s="165"/>
      <c r="EQ6189" s="165"/>
      <c r="ER6189" s="165"/>
      <c r="ES6189" s="165"/>
    </row>
    <row r="6190" spans="1:149" s="451" customFormat="1" ht="14.15" hidden="1">
      <c r="A6190" s="468">
        <v>45548</v>
      </c>
      <c r="B6190" s="208" t="s">
        <v>5033</v>
      </c>
      <c r="C6190" s="208" t="s">
        <v>27</v>
      </c>
      <c r="D6190" s="211">
        <v>2309136</v>
      </c>
      <c r="E6190" s="212">
        <v>45536</v>
      </c>
      <c r="F6190" s="208" t="s">
        <v>108</v>
      </c>
      <c r="G6190" s="208"/>
      <c r="H6190" s="208"/>
      <c r="I6190" s="208"/>
      <c r="J6190" s="209"/>
      <c r="K6190" s="209"/>
      <c r="L6190" s="209"/>
      <c r="M6190" s="209"/>
      <c r="N6190" s="209"/>
      <c r="O6190" s="209"/>
      <c r="P6190" s="209"/>
      <c r="Q6190" s="209"/>
      <c r="R6190" s="209"/>
      <c r="S6190" s="209"/>
      <c r="T6190" s="209"/>
      <c r="U6190" s="165"/>
      <c r="V6190" s="165"/>
      <c r="W6190" s="165"/>
      <c r="X6190" s="165"/>
      <c r="Y6190" s="165"/>
      <c r="Z6190" s="165"/>
      <c r="AA6190" s="165"/>
      <c r="AB6190" s="165"/>
      <c r="AC6190" s="165"/>
      <c r="AD6190" s="165"/>
      <c r="AE6190" s="165"/>
      <c r="AF6190" s="165"/>
      <c r="AG6190" s="165"/>
      <c r="AH6190" s="165"/>
      <c r="AI6190" s="165"/>
      <c r="AJ6190" s="165"/>
      <c r="AK6190" s="165"/>
      <c r="AL6190" s="165"/>
      <c r="AM6190" s="165"/>
      <c r="AN6190" s="165"/>
      <c r="AO6190" s="165"/>
      <c r="AP6190" s="165"/>
      <c r="AQ6190" s="165"/>
      <c r="AR6190" s="165"/>
      <c r="AS6190" s="165"/>
      <c r="AT6190" s="165"/>
      <c r="AU6190" s="165"/>
      <c r="AV6190" s="165"/>
      <c r="AW6190" s="165"/>
      <c r="AX6190" s="165"/>
      <c r="AY6190" s="165"/>
      <c r="AZ6190" s="165"/>
      <c r="BA6190" s="165"/>
      <c r="BB6190" s="165"/>
      <c r="BC6190" s="165"/>
      <c r="BD6190" s="165"/>
      <c r="BE6190" s="165"/>
      <c r="BF6190" s="165"/>
      <c r="BG6190" s="165"/>
      <c r="BH6190" s="165"/>
      <c r="BI6190" s="165"/>
      <c r="BJ6190" s="165"/>
      <c r="BK6190" s="165"/>
      <c r="BL6190" s="165"/>
      <c r="BM6190" s="165"/>
      <c r="BN6190" s="165"/>
      <c r="BO6190" s="165"/>
      <c r="BP6190" s="165"/>
      <c r="BQ6190" s="165"/>
      <c r="BR6190" s="165"/>
      <c r="BS6190" s="165"/>
      <c r="BT6190" s="165"/>
      <c r="BU6190" s="165"/>
      <c r="BV6190" s="165"/>
      <c r="BW6190" s="165"/>
      <c r="BX6190" s="165"/>
      <c r="BY6190" s="165"/>
      <c r="BZ6190" s="165"/>
      <c r="CA6190" s="165"/>
      <c r="CB6190" s="165"/>
      <c r="CC6190" s="165"/>
      <c r="CD6190" s="165"/>
      <c r="CE6190" s="165"/>
      <c r="CF6190" s="165"/>
      <c r="CG6190" s="165"/>
      <c r="CH6190" s="165"/>
      <c r="CI6190" s="165"/>
      <c r="CJ6190" s="165"/>
      <c r="CK6190" s="165"/>
      <c r="CL6190" s="165"/>
      <c r="CM6190" s="165"/>
      <c r="CN6190" s="165"/>
      <c r="CO6190" s="165"/>
      <c r="CP6190" s="165"/>
      <c r="CQ6190" s="165"/>
      <c r="CR6190" s="165"/>
      <c r="CS6190" s="165"/>
      <c r="CT6190" s="165"/>
      <c r="CU6190" s="165"/>
      <c r="CV6190" s="165"/>
      <c r="CW6190" s="165"/>
      <c r="CX6190" s="165"/>
      <c r="CY6190" s="165"/>
      <c r="CZ6190" s="165"/>
      <c r="DA6190" s="165"/>
      <c r="DB6190" s="165"/>
      <c r="DC6190" s="165"/>
      <c r="DD6190" s="165"/>
      <c r="DE6190" s="165"/>
      <c r="DF6190" s="165"/>
      <c r="DG6190" s="165"/>
      <c r="DH6190" s="165"/>
      <c r="DI6190" s="165"/>
      <c r="DJ6190" s="165"/>
      <c r="DK6190" s="165"/>
      <c r="DL6190" s="165"/>
      <c r="DM6190" s="165"/>
      <c r="DN6190" s="165"/>
      <c r="DO6190" s="165"/>
      <c r="DP6190" s="165"/>
      <c r="DQ6190" s="165"/>
      <c r="DR6190" s="165"/>
      <c r="DS6190" s="165"/>
      <c r="DT6190" s="165"/>
      <c r="DU6190" s="165"/>
      <c r="DV6190" s="165"/>
      <c r="DW6190" s="165"/>
      <c r="DX6190" s="165"/>
      <c r="DY6190" s="165"/>
      <c r="DZ6190" s="165"/>
      <c r="EA6190" s="165"/>
      <c r="EB6190" s="165"/>
      <c r="EC6190" s="165"/>
      <c r="ED6190" s="165"/>
      <c r="EE6190" s="165"/>
      <c r="EF6190" s="165"/>
      <c r="EG6190" s="165"/>
      <c r="EH6190" s="165"/>
      <c r="EI6190" s="165"/>
      <c r="EJ6190" s="165"/>
      <c r="EK6190" s="165"/>
      <c r="EL6190" s="165"/>
      <c r="EM6190" s="165"/>
      <c r="EN6190" s="165"/>
      <c r="EO6190" s="165"/>
      <c r="EP6190" s="165"/>
      <c r="EQ6190" s="165"/>
      <c r="ER6190" s="165"/>
      <c r="ES6190" s="165"/>
    </row>
    <row r="6191" spans="1:149" s="451" customFormat="1" ht="14.15" hidden="1">
      <c r="A6191" s="468">
        <v>45548</v>
      </c>
      <c r="B6191" s="208" t="s">
        <v>4575</v>
      </c>
      <c r="C6191" s="208" t="s">
        <v>269</v>
      </c>
      <c r="D6191" s="211">
        <v>-40000</v>
      </c>
      <c r="E6191" s="212">
        <v>45536</v>
      </c>
      <c r="F6191" s="208" t="s">
        <v>109</v>
      </c>
      <c r="G6191" s="201" t="s">
        <v>581</v>
      </c>
      <c r="H6191" s="208"/>
      <c r="I6191" s="208" t="s">
        <v>3364</v>
      </c>
      <c r="J6191" s="209"/>
      <c r="K6191" s="209"/>
      <c r="L6191" s="209"/>
      <c r="M6191" s="209"/>
      <c r="N6191" s="209"/>
      <c r="O6191" s="209"/>
      <c r="P6191" s="209"/>
      <c r="Q6191" s="209"/>
      <c r="R6191" s="209"/>
      <c r="S6191" s="209"/>
      <c r="T6191" s="209"/>
      <c r="U6191" s="165"/>
      <c r="V6191" s="165"/>
      <c r="W6191" s="165"/>
      <c r="X6191" s="165"/>
      <c r="Y6191" s="165"/>
      <c r="Z6191" s="165"/>
      <c r="AA6191" s="165"/>
      <c r="AB6191" s="165"/>
      <c r="AC6191" s="165"/>
      <c r="AD6191" s="165"/>
      <c r="AE6191" s="165"/>
      <c r="AF6191" s="165"/>
      <c r="AG6191" s="165"/>
      <c r="AH6191" s="165"/>
      <c r="AI6191" s="165"/>
      <c r="AJ6191" s="165"/>
      <c r="AK6191" s="165"/>
      <c r="AL6191" s="165"/>
      <c r="AM6191" s="165"/>
      <c r="AN6191" s="165"/>
      <c r="AO6191" s="165"/>
      <c r="AP6191" s="165"/>
      <c r="AQ6191" s="165"/>
      <c r="AR6191" s="165"/>
      <c r="AS6191" s="165"/>
      <c r="AT6191" s="165"/>
      <c r="AU6191" s="165"/>
      <c r="AV6191" s="165"/>
      <c r="AW6191" s="165"/>
      <c r="AX6191" s="165"/>
      <c r="AY6191" s="165"/>
      <c r="AZ6191" s="165"/>
      <c r="BA6191" s="165"/>
      <c r="BB6191" s="165"/>
      <c r="BC6191" s="165"/>
      <c r="BD6191" s="165"/>
      <c r="BE6191" s="165"/>
      <c r="BF6191" s="165"/>
      <c r="BG6191" s="165"/>
      <c r="BH6191" s="165"/>
      <c r="BI6191" s="165"/>
      <c r="BJ6191" s="165"/>
      <c r="BK6191" s="165"/>
      <c r="BL6191" s="165"/>
      <c r="BM6191" s="165"/>
      <c r="BN6191" s="165"/>
      <c r="BO6191" s="165"/>
      <c r="BP6191" s="165"/>
      <c r="BQ6191" s="165"/>
      <c r="BR6191" s="165"/>
      <c r="BS6191" s="165"/>
      <c r="BT6191" s="165"/>
      <c r="BU6191" s="165"/>
      <c r="BV6191" s="165"/>
      <c r="BW6191" s="165"/>
      <c r="BX6191" s="165"/>
      <c r="BY6191" s="165"/>
      <c r="BZ6191" s="165"/>
      <c r="CA6191" s="165"/>
      <c r="CB6191" s="165"/>
      <c r="CC6191" s="165"/>
      <c r="CD6191" s="165"/>
      <c r="CE6191" s="165"/>
      <c r="CF6191" s="165"/>
      <c r="CG6191" s="165"/>
      <c r="CH6191" s="165"/>
      <c r="CI6191" s="165"/>
      <c r="CJ6191" s="165"/>
      <c r="CK6191" s="165"/>
      <c r="CL6191" s="165"/>
      <c r="CM6191" s="165"/>
      <c r="CN6191" s="165"/>
      <c r="CO6191" s="165"/>
      <c r="CP6191" s="165"/>
      <c r="CQ6191" s="165"/>
      <c r="CR6191" s="165"/>
      <c r="CS6191" s="165"/>
      <c r="CT6191" s="165"/>
      <c r="CU6191" s="165"/>
      <c r="CV6191" s="165"/>
      <c r="CW6191" s="165"/>
      <c r="CX6191" s="165"/>
      <c r="CY6191" s="165"/>
      <c r="CZ6191" s="165"/>
      <c r="DA6191" s="165"/>
      <c r="DB6191" s="165"/>
      <c r="DC6191" s="165"/>
      <c r="DD6191" s="165"/>
      <c r="DE6191" s="165"/>
      <c r="DF6191" s="165"/>
      <c r="DG6191" s="165"/>
      <c r="DH6191" s="165"/>
      <c r="DI6191" s="165"/>
      <c r="DJ6191" s="165"/>
      <c r="DK6191" s="165"/>
      <c r="DL6191" s="165"/>
      <c r="DM6191" s="165"/>
      <c r="DN6191" s="165"/>
      <c r="DO6191" s="165"/>
      <c r="DP6191" s="165"/>
      <c r="DQ6191" s="165"/>
      <c r="DR6191" s="165"/>
      <c r="DS6191" s="165"/>
      <c r="DT6191" s="165"/>
      <c r="DU6191" s="165"/>
      <c r="DV6191" s="165"/>
      <c r="DW6191" s="165"/>
      <c r="DX6191" s="165"/>
      <c r="DY6191" s="165"/>
      <c r="DZ6191" s="165"/>
      <c r="EA6191" s="165"/>
      <c r="EB6191" s="165"/>
      <c r="EC6191" s="165"/>
      <c r="ED6191" s="165"/>
      <c r="EE6191" s="165"/>
      <c r="EF6191" s="165"/>
      <c r="EG6191" s="165"/>
      <c r="EH6191" s="165"/>
      <c r="EI6191" s="165"/>
      <c r="EJ6191" s="165"/>
      <c r="EK6191" s="165"/>
      <c r="EL6191" s="165"/>
      <c r="EM6191" s="165"/>
      <c r="EN6191" s="165"/>
      <c r="EO6191" s="165"/>
      <c r="EP6191" s="165"/>
      <c r="EQ6191" s="165"/>
      <c r="ER6191" s="165"/>
      <c r="ES6191" s="165"/>
    </row>
    <row r="6192" spans="1:149" s="451" customFormat="1" ht="14.15" hidden="1">
      <c r="A6192" s="468">
        <v>45548</v>
      </c>
      <c r="B6192" s="208" t="s">
        <v>5034</v>
      </c>
      <c r="C6192" s="208" t="s">
        <v>146</v>
      </c>
      <c r="D6192" s="211">
        <v>-66400</v>
      </c>
      <c r="E6192" s="212">
        <v>45536</v>
      </c>
      <c r="F6192" s="208" t="s">
        <v>2531</v>
      </c>
      <c r="G6192" s="201" t="s">
        <v>1489</v>
      </c>
      <c r="H6192" s="208" t="s">
        <v>2941</v>
      </c>
      <c r="I6192" s="208" t="s">
        <v>173</v>
      </c>
      <c r="J6192" s="209"/>
      <c r="K6192" s="209"/>
      <c r="L6192" s="209"/>
      <c r="M6192" s="209"/>
      <c r="N6192" s="209"/>
      <c r="O6192" s="209"/>
      <c r="P6192" s="209"/>
      <c r="Q6192" s="209"/>
      <c r="R6192" s="209"/>
      <c r="S6192" s="209"/>
      <c r="T6192" s="209"/>
      <c r="U6192" s="165"/>
      <c r="V6192" s="165"/>
      <c r="W6192" s="165"/>
      <c r="X6192" s="165"/>
      <c r="Y6192" s="165"/>
      <c r="Z6192" s="165"/>
      <c r="AA6192" s="165"/>
      <c r="AB6192" s="165"/>
      <c r="AC6192" s="165"/>
      <c r="AD6192" s="165"/>
      <c r="AE6192" s="165"/>
      <c r="AF6192" s="165"/>
      <c r="AG6192" s="165"/>
      <c r="AH6192" s="165"/>
      <c r="AI6192" s="165"/>
      <c r="AJ6192" s="165"/>
      <c r="AK6192" s="165"/>
      <c r="AL6192" s="165"/>
      <c r="AM6192" s="165"/>
      <c r="AN6192" s="165"/>
      <c r="AO6192" s="165"/>
      <c r="AP6192" s="165"/>
      <c r="AQ6192" s="165"/>
      <c r="AR6192" s="165"/>
      <c r="AS6192" s="165"/>
      <c r="AT6192" s="165"/>
      <c r="AU6192" s="165"/>
      <c r="AV6192" s="165"/>
      <c r="AW6192" s="165"/>
      <c r="AX6192" s="165"/>
      <c r="AY6192" s="165"/>
      <c r="AZ6192" s="165"/>
      <c r="BA6192" s="165"/>
      <c r="BB6192" s="165"/>
      <c r="BC6192" s="165"/>
      <c r="BD6192" s="165"/>
      <c r="BE6192" s="165"/>
      <c r="BF6192" s="165"/>
      <c r="BG6192" s="165"/>
      <c r="BH6192" s="165"/>
      <c r="BI6192" s="165"/>
      <c r="BJ6192" s="165"/>
      <c r="BK6192" s="165"/>
      <c r="BL6192" s="165"/>
      <c r="BM6192" s="165"/>
      <c r="BN6192" s="165"/>
      <c r="BO6192" s="165"/>
      <c r="BP6192" s="165"/>
      <c r="BQ6192" s="165"/>
      <c r="BR6192" s="165"/>
      <c r="BS6192" s="165"/>
      <c r="BT6192" s="165"/>
      <c r="BU6192" s="165"/>
      <c r="BV6192" s="165"/>
      <c r="BW6192" s="165"/>
      <c r="BX6192" s="165"/>
      <c r="BY6192" s="165"/>
      <c r="BZ6192" s="165"/>
      <c r="CA6192" s="165"/>
      <c r="CB6192" s="165"/>
      <c r="CC6192" s="165"/>
      <c r="CD6192" s="165"/>
      <c r="CE6192" s="165"/>
      <c r="CF6192" s="165"/>
      <c r="CG6192" s="165"/>
      <c r="CH6192" s="165"/>
      <c r="CI6192" s="165"/>
      <c r="CJ6192" s="165"/>
      <c r="CK6192" s="165"/>
      <c r="CL6192" s="165"/>
      <c r="CM6192" s="165"/>
      <c r="CN6192" s="165"/>
      <c r="CO6192" s="165"/>
      <c r="CP6192" s="165"/>
      <c r="CQ6192" s="165"/>
      <c r="CR6192" s="165"/>
      <c r="CS6192" s="165"/>
      <c r="CT6192" s="165"/>
      <c r="CU6192" s="165"/>
      <c r="CV6192" s="165"/>
      <c r="CW6192" s="165"/>
      <c r="CX6192" s="165"/>
      <c r="CY6192" s="165"/>
      <c r="CZ6192" s="165"/>
      <c r="DA6192" s="165"/>
      <c r="DB6192" s="165"/>
      <c r="DC6192" s="165"/>
      <c r="DD6192" s="165"/>
      <c r="DE6192" s="165"/>
      <c r="DF6192" s="165"/>
      <c r="DG6192" s="165"/>
      <c r="DH6192" s="165"/>
      <c r="DI6192" s="165"/>
      <c r="DJ6192" s="165"/>
      <c r="DK6192" s="165"/>
      <c r="DL6192" s="165"/>
      <c r="DM6192" s="165"/>
      <c r="DN6192" s="165"/>
      <c r="DO6192" s="165"/>
      <c r="DP6192" s="165"/>
      <c r="DQ6192" s="165"/>
      <c r="DR6192" s="165"/>
      <c r="DS6192" s="165"/>
      <c r="DT6192" s="165"/>
      <c r="DU6192" s="165"/>
      <c r="DV6192" s="165"/>
      <c r="DW6192" s="165"/>
      <c r="DX6192" s="165"/>
      <c r="DY6192" s="165"/>
      <c r="DZ6192" s="165"/>
      <c r="EA6192" s="165"/>
      <c r="EB6192" s="165"/>
      <c r="EC6192" s="165"/>
      <c r="ED6192" s="165"/>
      <c r="EE6192" s="165"/>
      <c r="EF6192" s="165"/>
      <c r="EG6192" s="165"/>
      <c r="EH6192" s="165"/>
      <c r="EI6192" s="165"/>
      <c r="EJ6192" s="165"/>
      <c r="EK6192" s="165"/>
      <c r="EL6192" s="165"/>
      <c r="EM6192" s="165"/>
      <c r="EN6192" s="165"/>
      <c r="EO6192" s="165"/>
      <c r="EP6192" s="165"/>
      <c r="EQ6192" s="165"/>
      <c r="ER6192" s="165"/>
      <c r="ES6192" s="165"/>
    </row>
    <row r="6193" spans="1:149" s="451" customFormat="1" ht="14.15" hidden="1">
      <c r="A6193" s="468">
        <v>45548</v>
      </c>
      <c r="B6193" s="208" t="s">
        <v>5035</v>
      </c>
      <c r="C6193" s="208" t="s">
        <v>146</v>
      </c>
      <c r="D6193" s="211">
        <v>-30000</v>
      </c>
      <c r="E6193" s="212">
        <v>45536</v>
      </c>
      <c r="F6193" s="208" t="s">
        <v>2531</v>
      </c>
      <c r="G6193" s="201" t="s">
        <v>1489</v>
      </c>
      <c r="H6193" s="208" t="s">
        <v>2941</v>
      </c>
      <c r="I6193" s="208" t="s">
        <v>173</v>
      </c>
      <c r="J6193" s="209"/>
      <c r="K6193" s="209"/>
      <c r="L6193" s="209"/>
      <c r="M6193" s="209"/>
      <c r="N6193" s="209"/>
      <c r="O6193" s="209"/>
      <c r="P6193" s="209"/>
      <c r="Q6193" s="209"/>
      <c r="R6193" s="209"/>
      <c r="S6193" s="209"/>
      <c r="T6193" s="209"/>
      <c r="U6193" s="165"/>
      <c r="V6193" s="165"/>
      <c r="W6193" s="165"/>
      <c r="X6193" s="165"/>
      <c r="Y6193" s="165"/>
      <c r="Z6193" s="165"/>
      <c r="AA6193" s="165"/>
      <c r="AB6193" s="165"/>
      <c r="AC6193" s="165"/>
      <c r="AD6193" s="165"/>
      <c r="AE6193" s="165"/>
      <c r="AF6193" s="165"/>
      <c r="AG6193" s="165"/>
      <c r="AH6193" s="165"/>
      <c r="AI6193" s="165"/>
      <c r="AJ6193" s="165"/>
      <c r="AK6193" s="165"/>
      <c r="AL6193" s="165"/>
      <c r="AM6193" s="165"/>
      <c r="AN6193" s="165"/>
      <c r="AO6193" s="165"/>
      <c r="AP6193" s="165"/>
      <c r="AQ6193" s="165"/>
      <c r="AR6193" s="165"/>
      <c r="AS6193" s="165"/>
      <c r="AT6193" s="165"/>
      <c r="AU6193" s="165"/>
      <c r="AV6193" s="165"/>
      <c r="AW6193" s="165"/>
      <c r="AX6193" s="165"/>
      <c r="AY6193" s="165"/>
      <c r="AZ6193" s="165"/>
      <c r="BA6193" s="165"/>
      <c r="BB6193" s="165"/>
      <c r="BC6193" s="165"/>
      <c r="BD6193" s="165"/>
      <c r="BE6193" s="165"/>
      <c r="BF6193" s="165"/>
      <c r="BG6193" s="165"/>
      <c r="BH6193" s="165"/>
      <c r="BI6193" s="165"/>
      <c r="BJ6193" s="165"/>
      <c r="BK6193" s="165"/>
      <c r="BL6193" s="165"/>
      <c r="BM6193" s="165"/>
      <c r="BN6193" s="165"/>
      <c r="BO6193" s="165"/>
      <c r="BP6193" s="165"/>
      <c r="BQ6193" s="165"/>
      <c r="BR6193" s="165"/>
      <c r="BS6193" s="165"/>
      <c r="BT6193" s="165"/>
      <c r="BU6193" s="165"/>
      <c r="BV6193" s="165"/>
      <c r="BW6193" s="165"/>
      <c r="BX6193" s="165"/>
      <c r="BY6193" s="165"/>
      <c r="BZ6193" s="165"/>
      <c r="CA6193" s="165"/>
      <c r="CB6193" s="165"/>
      <c r="CC6193" s="165"/>
      <c r="CD6193" s="165"/>
      <c r="CE6193" s="165"/>
      <c r="CF6193" s="165"/>
      <c r="CG6193" s="165"/>
      <c r="CH6193" s="165"/>
      <c r="CI6193" s="165"/>
      <c r="CJ6193" s="165"/>
      <c r="CK6193" s="165"/>
      <c r="CL6193" s="165"/>
      <c r="CM6193" s="165"/>
      <c r="CN6193" s="165"/>
      <c r="CO6193" s="165"/>
      <c r="CP6193" s="165"/>
      <c r="CQ6193" s="165"/>
      <c r="CR6193" s="165"/>
      <c r="CS6193" s="165"/>
      <c r="CT6193" s="165"/>
      <c r="CU6193" s="165"/>
      <c r="CV6193" s="165"/>
      <c r="CW6193" s="165"/>
      <c r="CX6193" s="165"/>
      <c r="CY6193" s="165"/>
      <c r="CZ6193" s="165"/>
      <c r="DA6193" s="165"/>
      <c r="DB6193" s="165"/>
      <c r="DC6193" s="165"/>
      <c r="DD6193" s="165"/>
      <c r="DE6193" s="165"/>
      <c r="DF6193" s="165"/>
      <c r="DG6193" s="165"/>
      <c r="DH6193" s="165"/>
      <c r="DI6193" s="165"/>
      <c r="DJ6193" s="165"/>
      <c r="DK6193" s="165"/>
      <c r="DL6193" s="165"/>
      <c r="DM6193" s="165"/>
      <c r="DN6193" s="165"/>
      <c r="DO6193" s="165"/>
      <c r="DP6193" s="165"/>
      <c r="DQ6193" s="165"/>
      <c r="DR6193" s="165"/>
      <c r="DS6193" s="165"/>
      <c r="DT6193" s="165"/>
      <c r="DU6193" s="165"/>
      <c r="DV6193" s="165"/>
      <c r="DW6193" s="165"/>
      <c r="DX6193" s="165"/>
      <c r="DY6193" s="165"/>
      <c r="DZ6193" s="165"/>
      <c r="EA6193" s="165"/>
      <c r="EB6193" s="165"/>
      <c r="EC6193" s="165"/>
      <c r="ED6193" s="165"/>
      <c r="EE6193" s="165"/>
      <c r="EF6193" s="165"/>
      <c r="EG6193" s="165"/>
      <c r="EH6193" s="165"/>
      <c r="EI6193" s="165"/>
      <c r="EJ6193" s="165"/>
      <c r="EK6193" s="165"/>
      <c r="EL6193" s="165"/>
      <c r="EM6193" s="165"/>
      <c r="EN6193" s="165"/>
      <c r="EO6193" s="165"/>
      <c r="EP6193" s="165"/>
      <c r="EQ6193" s="165"/>
      <c r="ER6193" s="165"/>
      <c r="ES6193" s="165"/>
    </row>
    <row r="6194" spans="1:149" s="451" customFormat="1" ht="14.15" hidden="1">
      <c r="A6194" s="468">
        <v>45548</v>
      </c>
      <c r="B6194" s="208" t="s">
        <v>5036</v>
      </c>
      <c r="C6194" s="208" t="s">
        <v>146</v>
      </c>
      <c r="D6194" s="211">
        <v>-7554</v>
      </c>
      <c r="E6194" s="212">
        <v>45536</v>
      </c>
      <c r="F6194" s="208" t="s">
        <v>2531</v>
      </c>
      <c r="G6194" s="201" t="s">
        <v>1489</v>
      </c>
      <c r="H6194" s="208" t="s">
        <v>2941</v>
      </c>
      <c r="I6194" s="208" t="s">
        <v>173</v>
      </c>
      <c r="J6194" s="209"/>
      <c r="K6194" s="209"/>
      <c r="L6194" s="209"/>
      <c r="M6194" s="209"/>
      <c r="N6194" s="209"/>
      <c r="O6194" s="209"/>
      <c r="P6194" s="209"/>
      <c r="Q6194" s="209"/>
      <c r="R6194" s="209"/>
      <c r="S6194" s="209"/>
      <c r="T6194" s="209"/>
      <c r="U6194" s="165"/>
      <c r="V6194" s="165"/>
      <c r="W6194" s="165"/>
      <c r="X6194" s="165"/>
      <c r="Y6194" s="165"/>
      <c r="Z6194" s="165"/>
      <c r="AA6194" s="165"/>
      <c r="AB6194" s="165"/>
      <c r="AC6194" s="165"/>
      <c r="AD6194" s="165"/>
      <c r="AE6194" s="165"/>
      <c r="AF6194" s="165"/>
      <c r="AG6194" s="165"/>
      <c r="AH6194" s="165"/>
      <c r="AI6194" s="165"/>
      <c r="AJ6194" s="165"/>
      <c r="AK6194" s="165"/>
      <c r="AL6194" s="165"/>
      <c r="AM6194" s="165"/>
      <c r="AN6194" s="165"/>
      <c r="AO6194" s="165"/>
      <c r="AP6194" s="165"/>
      <c r="AQ6194" s="165"/>
      <c r="AR6194" s="165"/>
      <c r="AS6194" s="165"/>
      <c r="AT6194" s="165"/>
      <c r="AU6194" s="165"/>
      <c r="AV6194" s="165"/>
      <c r="AW6194" s="165"/>
      <c r="AX6194" s="165"/>
      <c r="AY6194" s="165"/>
      <c r="AZ6194" s="165"/>
      <c r="BA6194" s="165"/>
      <c r="BB6194" s="165"/>
      <c r="BC6194" s="165"/>
      <c r="BD6194" s="165"/>
      <c r="BE6194" s="165"/>
      <c r="BF6194" s="165"/>
      <c r="BG6194" s="165"/>
      <c r="BH6194" s="165"/>
      <c r="BI6194" s="165"/>
      <c r="BJ6194" s="165"/>
      <c r="BK6194" s="165"/>
      <c r="BL6194" s="165"/>
      <c r="BM6194" s="165"/>
      <c r="BN6194" s="165"/>
      <c r="BO6194" s="165"/>
      <c r="BP6194" s="165"/>
      <c r="BQ6194" s="165"/>
      <c r="BR6194" s="165"/>
      <c r="BS6194" s="165"/>
      <c r="BT6194" s="165"/>
      <c r="BU6194" s="165"/>
      <c r="BV6194" s="165"/>
      <c r="BW6194" s="165"/>
      <c r="BX6194" s="165"/>
      <c r="BY6194" s="165"/>
      <c r="BZ6194" s="165"/>
      <c r="CA6194" s="165"/>
      <c r="CB6194" s="165"/>
      <c r="CC6194" s="165"/>
      <c r="CD6194" s="165"/>
      <c r="CE6194" s="165"/>
      <c r="CF6194" s="165"/>
      <c r="CG6194" s="165"/>
      <c r="CH6194" s="165"/>
      <c r="CI6194" s="165"/>
      <c r="CJ6194" s="165"/>
      <c r="CK6194" s="165"/>
      <c r="CL6194" s="165"/>
      <c r="CM6194" s="165"/>
      <c r="CN6194" s="165"/>
      <c r="CO6194" s="165"/>
      <c r="CP6194" s="165"/>
      <c r="CQ6194" s="165"/>
      <c r="CR6194" s="165"/>
      <c r="CS6194" s="165"/>
      <c r="CT6194" s="165"/>
      <c r="CU6194" s="165"/>
      <c r="CV6194" s="165"/>
      <c r="CW6194" s="165"/>
      <c r="CX6194" s="165"/>
      <c r="CY6194" s="165"/>
      <c r="CZ6194" s="165"/>
      <c r="DA6194" s="165"/>
      <c r="DB6194" s="165"/>
      <c r="DC6194" s="165"/>
      <c r="DD6194" s="165"/>
      <c r="DE6194" s="165"/>
      <c r="DF6194" s="165"/>
      <c r="DG6194" s="165"/>
      <c r="DH6194" s="165"/>
      <c r="DI6194" s="165"/>
      <c r="DJ6194" s="165"/>
      <c r="DK6194" s="165"/>
      <c r="DL6194" s="165"/>
      <c r="DM6194" s="165"/>
      <c r="DN6194" s="165"/>
      <c r="DO6194" s="165"/>
      <c r="DP6194" s="165"/>
      <c r="DQ6194" s="165"/>
      <c r="DR6194" s="165"/>
      <c r="DS6194" s="165"/>
      <c r="DT6194" s="165"/>
      <c r="DU6194" s="165"/>
      <c r="DV6194" s="165"/>
      <c r="DW6194" s="165"/>
      <c r="DX6194" s="165"/>
      <c r="DY6194" s="165"/>
      <c r="DZ6194" s="165"/>
      <c r="EA6194" s="165"/>
      <c r="EB6194" s="165"/>
      <c r="EC6194" s="165"/>
      <c r="ED6194" s="165"/>
      <c r="EE6194" s="165"/>
      <c r="EF6194" s="165"/>
      <c r="EG6194" s="165"/>
      <c r="EH6194" s="165"/>
      <c r="EI6194" s="165"/>
      <c r="EJ6194" s="165"/>
      <c r="EK6194" s="165"/>
      <c r="EL6194" s="165"/>
      <c r="EM6194" s="165"/>
      <c r="EN6194" s="165"/>
      <c r="EO6194" s="165"/>
      <c r="EP6194" s="165"/>
      <c r="EQ6194" s="165"/>
      <c r="ER6194" s="165"/>
      <c r="ES6194" s="165"/>
    </row>
    <row r="6195" spans="1:149" s="451" customFormat="1" ht="14.15" hidden="1">
      <c r="A6195" s="468">
        <v>45548</v>
      </c>
      <c r="B6195" s="208" t="s">
        <v>5037</v>
      </c>
      <c r="C6195" s="208" t="s">
        <v>146</v>
      </c>
      <c r="D6195" s="211">
        <v>-25000</v>
      </c>
      <c r="E6195" s="212">
        <v>45536</v>
      </c>
      <c r="F6195" s="208" t="s">
        <v>130</v>
      </c>
      <c r="G6195" s="208" t="s">
        <v>130</v>
      </c>
      <c r="H6195" s="208" t="s">
        <v>147</v>
      </c>
      <c r="I6195" s="208" t="s">
        <v>173</v>
      </c>
      <c r="J6195" s="209"/>
      <c r="K6195" s="209"/>
      <c r="L6195" s="209"/>
      <c r="M6195" s="209"/>
      <c r="N6195" s="209"/>
      <c r="O6195" s="209"/>
      <c r="P6195" s="209"/>
      <c r="Q6195" s="209"/>
      <c r="R6195" s="209"/>
      <c r="S6195" s="209"/>
      <c r="T6195" s="209"/>
      <c r="U6195" s="165"/>
      <c r="V6195" s="165"/>
      <c r="W6195" s="165"/>
      <c r="X6195" s="165"/>
      <c r="Y6195" s="165"/>
      <c r="Z6195" s="165"/>
      <c r="AA6195" s="165"/>
      <c r="AB6195" s="165"/>
      <c r="AC6195" s="165"/>
      <c r="AD6195" s="165"/>
      <c r="AE6195" s="165"/>
      <c r="AF6195" s="165"/>
      <c r="AG6195" s="165"/>
      <c r="AH6195" s="165"/>
      <c r="AI6195" s="165"/>
      <c r="AJ6195" s="165"/>
      <c r="AK6195" s="165"/>
      <c r="AL6195" s="165"/>
      <c r="AM6195" s="165"/>
      <c r="AN6195" s="165"/>
      <c r="AO6195" s="165"/>
      <c r="AP6195" s="165"/>
      <c r="AQ6195" s="165"/>
      <c r="AR6195" s="165"/>
      <c r="AS6195" s="165"/>
      <c r="AT6195" s="165"/>
      <c r="AU6195" s="165"/>
      <c r="AV6195" s="165"/>
      <c r="AW6195" s="165"/>
      <c r="AX6195" s="165"/>
      <c r="AY6195" s="165"/>
      <c r="AZ6195" s="165"/>
      <c r="BA6195" s="165"/>
      <c r="BB6195" s="165"/>
      <c r="BC6195" s="165"/>
      <c r="BD6195" s="165"/>
      <c r="BE6195" s="165"/>
      <c r="BF6195" s="165"/>
      <c r="BG6195" s="165"/>
      <c r="BH6195" s="165"/>
      <c r="BI6195" s="165"/>
      <c r="BJ6195" s="165"/>
      <c r="BK6195" s="165"/>
      <c r="BL6195" s="165"/>
      <c r="BM6195" s="165"/>
      <c r="BN6195" s="165"/>
      <c r="BO6195" s="165"/>
      <c r="BP6195" s="165"/>
      <c r="BQ6195" s="165"/>
      <c r="BR6195" s="165"/>
      <c r="BS6195" s="165"/>
      <c r="BT6195" s="165"/>
      <c r="BU6195" s="165"/>
      <c r="BV6195" s="165"/>
      <c r="BW6195" s="165"/>
      <c r="BX6195" s="165"/>
      <c r="BY6195" s="165"/>
      <c r="BZ6195" s="165"/>
      <c r="CA6195" s="165"/>
      <c r="CB6195" s="165"/>
      <c r="CC6195" s="165"/>
      <c r="CD6195" s="165"/>
      <c r="CE6195" s="165"/>
      <c r="CF6195" s="165"/>
      <c r="CG6195" s="165"/>
      <c r="CH6195" s="165"/>
      <c r="CI6195" s="165"/>
      <c r="CJ6195" s="165"/>
      <c r="CK6195" s="165"/>
      <c r="CL6195" s="165"/>
      <c r="CM6195" s="165"/>
      <c r="CN6195" s="165"/>
      <c r="CO6195" s="165"/>
      <c r="CP6195" s="165"/>
      <c r="CQ6195" s="165"/>
      <c r="CR6195" s="165"/>
      <c r="CS6195" s="165"/>
      <c r="CT6195" s="165"/>
      <c r="CU6195" s="165"/>
      <c r="CV6195" s="165"/>
      <c r="CW6195" s="165"/>
      <c r="CX6195" s="165"/>
      <c r="CY6195" s="165"/>
      <c r="CZ6195" s="165"/>
      <c r="DA6195" s="165"/>
      <c r="DB6195" s="165"/>
      <c r="DC6195" s="165"/>
      <c r="DD6195" s="165"/>
      <c r="DE6195" s="165"/>
      <c r="DF6195" s="165"/>
      <c r="DG6195" s="165"/>
      <c r="DH6195" s="165"/>
      <c r="DI6195" s="165"/>
      <c r="DJ6195" s="165"/>
      <c r="DK6195" s="165"/>
      <c r="DL6195" s="165"/>
      <c r="DM6195" s="165"/>
      <c r="DN6195" s="165"/>
      <c r="DO6195" s="165"/>
      <c r="DP6195" s="165"/>
      <c r="DQ6195" s="165"/>
      <c r="DR6195" s="165"/>
      <c r="DS6195" s="165"/>
      <c r="DT6195" s="165"/>
      <c r="DU6195" s="165"/>
      <c r="DV6195" s="165"/>
      <c r="DW6195" s="165"/>
      <c r="DX6195" s="165"/>
      <c r="DY6195" s="165"/>
      <c r="DZ6195" s="165"/>
      <c r="EA6195" s="165"/>
      <c r="EB6195" s="165"/>
      <c r="EC6195" s="165"/>
      <c r="ED6195" s="165"/>
      <c r="EE6195" s="165"/>
      <c r="EF6195" s="165"/>
      <c r="EG6195" s="165"/>
      <c r="EH6195" s="165"/>
      <c r="EI6195" s="165"/>
      <c r="EJ6195" s="165"/>
      <c r="EK6195" s="165"/>
      <c r="EL6195" s="165"/>
      <c r="EM6195" s="165"/>
      <c r="EN6195" s="165"/>
      <c r="EO6195" s="165"/>
      <c r="EP6195" s="165"/>
      <c r="EQ6195" s="165"/>
      <c r="ER6195" s="165"/>
      <c r="ES6195" s="165"/>
    </row>
    <row r="6196" spans="1:149" s="451" customFormat="1" ht="14.15" hidden="1">
      <c r="A6196" s="468">
        <v>45548</v>
      </c>
      <c r="B6196" s="208" t="s">
        <v>5038</v>
      </c>
      <c r="C6196" s="208" t="s">
        <v>146</v>
      </c>
      <c r="D6196" s="211">
        <v>-21624</v>
      </c>
      <c r="E6196" s="212">
        <v>45536</v>
      </c>
      <c r="F6196" s="208" t="s">
        <v>2531</v>
      </c>
      <c r="G6196" s="201" t="s">
        <v>1489</v>
      </c>
      <c r="H6196" s="208" t="s">
        <v>2941</v>
      </c>
      <c r="I6196" s="208" t="s">
        <v>173</v>
      </c>
      <c r="J6196" s="209"/>
      <c r="K6196" s="209"/>
      <c r="L6196" s="209"/>
      <c r="M6196" s="209"/>
      <c r="N6196" s="209"/>
      <c r="O6196" s="209"/>
      <c r="P6196" s="209"/>
      <c r="Q6196" s="209"/>
      <c r="R6196" s="209"/>
      <c r="S6196" s="209"/>
      <c r="T6196" s="209"/>
      <c r="U6196" s="165"/>
      <c r="V6196" s="165"/>
      <c r="W6196" s="165"/>
      <c r="X6196" s="165"/>
      <c r="Y6196" s="165"/>
      <c r="Z6196" s="165"/>
      <c r="AA6196" s="165"/>
      <c r="AB6196" s="165"/>
      <c r="AC6196" s="165"/>
      <c r="AD6196" s="165"/>
      <c r="AE6196" s="165"/>
      <c r="AF6196" s="165"/>
      <c r="AG6196" s="165"/>
      <c r="AH6196" s="165"/>
      <c r="AI6196" s="165"/>
      <c r="AJ6196" s="165"/>
      <c r="AK6196" s="165"/>
      <c r="AL6196" s="165"/>
      <c r="AM6196" s="165"/>
      <c r="AN6196" s="165"/>
      <c r="AO6196" s="165"/>
      <c r="AP6196" s="165"/>
      <c r="AQ6196" s="165"/>
      <c r="AR6196" s="165"/>
      <c r="AS6196" s="165"/>
      <c r="AT6196" s="165"/>
      <c r="AU6196" s="165"/>
      <c r="AV6196" s="165"/>
      <c r="AW6196" s="165"/>
      <c r="AX6196" s="165"/>
      <c r="AY6196" s="165"/>
      <c r="AZ6196" s="165"/>
      <c r="BA6196" s="165"/>
      <c r="BB6196" s="165"/>
      <c r="BC6196" s="165"/>
      <c r="BD6196" s="165"/>
      <c r="BE6196" s="165"/>
      <c r="BF6196" s="165"/>
      <c r="BG6196" s="165"/>
      <c r="BH6196" s="165"/>
      <c r="BI6196" s="165"/>
      <c r="BJ6196" s="165"/>
      <c r="BK6196" s="165"/>
      <c r="BL6196" s="165"/>
      <c r="BM6196" s="165"/>
      <c r="BN6196" s="165"/>
      <c r="BO6196" s="165"/>
      <c r="BP6196" s="165"/>
      <c r="BQ6196" s="165"/>
      <c r="BR6196" s="165"/>
      <c r="BS6196" s="165"/>
      <c r="BT6196" s="165"/>
      <c r="BU6196" s="165"/>
      <c r="BV6196" s="165"/>
      <c r="BW6196" s="165"/>
      <c r="BX6196" s="165"/>
      <c r="BY6196" s="165"/>
      <c r="BZ6196" s="165"/>
      <c r="CA6196" s="165"/>
      <c r="CB6196" s="165"/>
      <c r="CC6196" s="165"/>
      <c r="CD6196" s="165"/>
      <c r="CE6196" s="165"/>
      <c r="CF6196" s="165"/>
      <c r="CG6196" s="165"/>
      <c r="CH6196" s="165"/>
      <c r="CI6196" s="165"/>
      <c r="CJ6196" s="165"/>
      <c r="CK6196" s="165"/>
      <c r="CL6196" s="165"/>
      <c r="CM6196" s="165"/>
      <c r="CN6196" s="165"/>
      <c r="CO6196" s="165"/>
      <c r="CP6196" s="165"/>
      <c r="CQ6196" s="165"/>
      <c r="CR6196" s="165"/>
      <c r="CS6196" s="165"/>
      <c r="CT6196" s="165"/>
      <c r="CU6196" s="165"/>
      <c r="CV6196" s="165"/>
      <c r="CW6196" s="165"/>
      <c r="CX6196" s="165"/>
      <c r="CY6196" s="165"/>
      <c r="CZ6196" s="165"/>
      <c r="DA6196" s="165"/>
      <c r="DB6196" s="165"/>
      <c r="DC6196" s="165"/>
      <c r="DD6196" s="165"/>
      <c r="DE6196" s="165"/>
      <c r="DF6196" s="165"/>
      <c r="DG6196" s="165"/>
      <c r="DH6196" s="165"/>
      <c r="DI6196" s="165"/>
      <c r="DJ6196" s="165"/>
      <c r="DK6196" s="165"/>
      <c r="DL6196" s="165"/>
      <c r="DM6196" s="165"/>
      <c r="DN6196" s="165"/>
      <c r="DO6196" s="165"/>
      <c r="DP6196" s="165"/>
      <c r="DQ6196" s="165"/>
      <c r="DR6196" s="165"/>
      <c r="DS6196" s="165"/>
      <c r="DT6196" s="165"/>
      <c r="DU6196" s="165"/>
      <c r="DV6196" s="165"/>
      <c r="DW6196" s="165"/>
      <c r="DX6196" s="165"/>
      <c r="DY6196" s="165"/>
      <c r="DZ6196" s="165"/>
      <c r="EA6196" s="165"/>
      <c r="EB6196" s="165"/>
      <c r="EC6196" s="165"/>
      <c r="ED6196" s="165"/>
      <c r="EE6196" s="165"/>
      <c r="EF6196" s="165"/>
      <c r="EG6196" s="165"/>
      <c r="EH6196" s="165"/>
      <c r="EI6196" s="165"/>
      <c r="EJ6196" s="165"/>
      <c r="EK6196" s="165"/>
      <c r="EL6196" s="165"/>
      <c r="EM6196" s="165"/>
      <c r="EN6196" s="165"/>
      <c r="EO6196" s="165"/>
      <c r="EP6196" s="165"/>
      <c r="EQ6196" s="165"/>
      <c r="ER6196" s="165"/>
      <c r="ES6196" s="165"/>
    </row>
    <row r="6197" spans="1:149" s="451" customFormat="1" ht="14.15" hidden="1">
      <c r="A6197" s="468">
        <v>45548</v>
      </c>
      <c r="B6197" s="208" t="s">
        <v>5039</v>
      </c>
      <c r="C6197" s="208" t="s">
        <v>146</v>
      </c>
      <c r="D6197" s="211">
        <v>-22000</v>
      </c>
      <c r="E6197" s="212">
        <v>45536</v>
      </c>
      <c r="F6197" s="208" t="s">
        <v>109</v>
      </c>
      <c r="G6197" s="201" t="s">
        <v>581</v>
      </c>
      <c r="H6197" s="208"/>
      <c r="I6197" s="208" t="s">
        <v>3364</v>
      </c>
      <c r="J6197" s="209"/>
      <c r="K6197" s="209"/>
      <c r="L6197" s="209"/>
      <c r="M6197" s="209"/>
      <c r="N6197" s="209"/>
      <c r="O6197" s="209"/>
      <c r="P6197" s="209"/>
      <c r="Q6197" s="209"/>
      <c r="R6197" s="209"/>
      <c r="S6197" s="209"/>
      <c r="T6197" s="209"/>
      <c r="U6197" s="165"/>
      <c r="V6197" s="165"/>
      <c r="W6197" s="165"/>
      <c r="X6197" s="165"/>
      <c r="Y6197" s="165"/>
      <c r="Z6197" s="165"/>
      <c r="AA6197" s="165"/>
      <c r="AB6197" s="165"/>
      <c r="AC6197" s="165"/>
      <c r="AD6197" s="165"/>
      <c r="AE6197" s="165"/>
      <c r="AF6197" s="165"/>
      <c r="AG6197" s="165"/>
      <c r="AH6197" s="165"/>
      <c r="AI6197" s="165"/>
      <c r="AJ6197" s="165"/>
      <c r="AK6197" s="165"/>
      <c r="AL6197" s="165"/>
      <c r="AM6197" s="165"/>
      <c r="AN6197" s="165"/>
      <c r="AO6197" s="165"/>
      <c r="AP6197" s="165"/>
      <c r="AQ6197" s="165"/>
      <c r="AR6197" s="165"/>
      <c r="AS6197" s="165"/>
      <c r="AT6197" s="165"/>
      <c r="AU6197" s="165"/>
      <c r="AV6197" s="165"/>
      <c r="AW6197" s="165"/>
      <c r="AX6197" s="165"/>
      <c r="AY6197" s="165"/>
      <c r="AZ6197" s="165"/>
      <c r="BA6197" s="165"/>
      <c r="BB6197" s="165"/>
      <c r="BC6197" s="165"/>
      <c r="BD6197" s="165"/>
      <c r="BE6197" s="165"/>
      <c r="BF6197" s="165"/>
      <c r="BG6197" s="165"/>
      <c r="BH6197" s="165"/>
      <c r="BI6197" s="165"/>
      <c r="BJ6197" s="165"/>
      <c r="BK6197" s="165"/>
      <c r="BL6197" s="165"/>
      <c r="BM6197" s="165"/>
      <c r="BN6197" s="165"/>
      <c r="BO6197" s="165"/>
      <c r="BP6197" s="165"/>
      <c r="BQ6197" s="165"/>
      <c r="BR6197" s="165"/>
      <c r="BS6197" s="165"/>
      <c r="BT6197" s="165"/>
      <c r="BU6197" s="165"/>
      <c r="BV6197" s="165"/>
      <c r="BW6197" s="165"/>
      <c r="BX6197" s="165"/>
      <c r="BY6197" s="165"/>
      <c r="BZ6197" s="165"/>
      <c r="CA6197" s="165"/>
      <c r="CB6197" s="165"/>
      <c r="CC6197" s="165"/>
      <c r="CD6197" s="165"/>
      <c r="CE6197" s="165"/>
      <c r="CF6197" s="165"/>
      <c r="CG6197" s="165"/>
      <c r="CH6197" s="165"/>
      <c r="CI6197" s="165"/>
      <c r="CJ6197" s="165"/>
      <c r="CK6197" s="165"/>
      <c r="CL6197" s="165"/>
      <c r="CM6197" s="165"/>
      <c r="CN6197" s="165"/>
      <c r="CO6197" s="165"/>
      <c r="CP6197" s="165"/>
      <c r="CQ6197" s="165"/>
      <c r="CR6197" s="165"/>
      <c r="CS6197" s="165"/>
      <c r="CT6197" s="165"/>
      <c r="CU6197" s="165"/>
      <c r="CV6197" s="165"/>
      <c r="CW6197" s="165"/>
      <c r="CX6197" s="165"/>
      <c r="CY6197" s="165"/>
      <c r="CZ6197" s="165"/>
      <c r="DA6197" s="165"/>
      <c r="DB6197" s="165"/>
      <c r="DC6197" s="165"/>
      <c r="DD6197" s="165"/>
      <c r="DE6197" s="165"/>
      <c r="DF6197" s="165"/>
      <c r="DG6197" s="165"/>
      <c r="DH6197" s="165"/>
      <c r="DI6197" s="165"/>
      <c r="DJ6197" s="165"/>
      <c r="DK6197" s="165"/>
      <c r="DL6197" s="165"/>
      <c r="DM6197" s="165"/>
      <c r="DN6197" s="165"/>
      <c r="DO6197" s="165"/>
      <c r="DP6197" s="165"/>
      <c r="DQ6197" s="165"/>
      <c r="DR6197" s="165"/>
      <c r="DS6197" s="165"/>
      <c r="DT6197" s="165"/>
      <c r="DU6197" s="165"/>
      <c r="DV6197" s="165"/>
      <c r="DW6197" s="165"/>
      <c r="DX6197" s="165"/>
      <c r="DY6197" s="165"/>
      <c r="DZ6197" s="165"/>
      <c r="EA6197" s="165"/>
      <c r="EB6197" s="165"/>
      <c r="EC6197" s="165"/>
      <c r="ED6197" s="165"/>
      <c r="EE6197" s="165"/>
      <c r="EF6197" s="165"/>
      <c r="EG6197" s="165"/>
      <c r="EH6197" s="165"/>
      <c r="EI6197" s="165"/>
      <c r="EJ6197" s="165"/>
      <c r="EK6197" s="165"/>
      <c r="EL6197" s="165"/>
      <c r="EM6197" s="165"/>
      <c r="EN6197" s="165"/>
      <c r="EO6197" s="165"/>
      <c r="EP6197" s="165"/>
      <c r="EQ6197" s="165"/>
      <c r="ER6197" s="165"/>
      <c r="ES6197" s="165"/>
    </row>
    <row r="6198" spans="1:149" s="451" customFormat="1" ht="14.15" hidden="1">
      <c r="A6198" s="468">
        <v>45548</v>
      </c>
      <c r="B6198" s="208" t="s">
        <v>5040</v>
      </c>
      <c r="C6198" s="208" t="s">
        <v>146</v>
      </c>
      <c r="D6198" s="211">
        <v>-7000</v>
      </c>
      <c r="E6198" s="212">
        <v>45536</v>
      </c>
      <c r="F6198" s="208" t="s">
        <v>109</v>
      </c>
      <c r="G6198" s="201" t="s">
        <v>581</v>
      </c>
      <c r="H6198" s="208"/>
      <c r="I6198" s="208" t="s">
        <v>3364</v>
      </c>
      <c r="J6198" s="209"/>
      <c r="K6198" s="209"/>
      <c r="L6198" s="209"/>
      <c r="M6198" s="209"/>
      <c r="N6198" s="209"/>
      <c r="O6198" s="209"/>
      <c r="P6198" s="209"/>
      <c r="Q6198" s="209"/>
      <c r="R6198" s="209"/>
      <c r="S6198" s="209"/>
      <c r="T6198" s="209"/>
      <c r="U6198" s="165"/>
      <c r="V6198" s="165"/>
      <c r="W6198" s="165"/>
      <c r="X6198" s="165"/>
      <c r="Y6198" s="165"/>
      <c r="Z6198" s="165"/>
      <c r="AA6198" s="165"/>
      <c r="AB6198" s="165"/>
      <c r="AC6198" s="165"/>
      <c r="AD6198" s="165"/>
      <c r="AE6198" s="165"/>
      <c r="AF6198" s="165"/>
      <c r="AG6198" s="165"/>
      <c r="AH6198" s="165"/>
      <c r="AI6198" s="165"/>
      <c r="AJ6198" s="165"/>
      <c r="AK6198" s="165"/>
      <c r="AL6198" s="165"/>
      <c r="AM6198" s="165"/>
      <c r="AN6198" s="165"/>
      <c r="AO6198" s="165"/>
      <c r="AP6198" s="165"/>
      <c r="AQ6198" s="165"/>
      <c r="AR6198" s="165"/>
      <c r="AS6198" s="165"/>
      <c r="AT6198" s="165"/>
      <c r="AU6198" s="165"/>
      <c r="AV6198" s="165"/>
      <c r="AW6198" s="165"/>
      <c r="AX6198" s="165"/>
      <c r="AY6198" s="165"/>
      <c r="AZ6198" s="165"/>
      <c r="BA6198" s="165"/>
      <c r="BB6198" s="165"/>
      <c r="BC6198" s="165"/>
      <c r="BD6198" s="165"/>
      <c r="BE6198" s="165"/>
      <c r="BF6198" s="165"/>
      <c r="BG6198" s="165"/>
      <c r="BH6198" s="165"/>
      <c r="BI6198" s="165"/>
      <c r="BJ6198" s="165"/>
      <c r="BK6198" s="165"/>
      <c r="BL6198" s="165"/>
      <c r="BM6198" s="165"/>
      <c r="BN6198" s="165"/>
      <c r="BO6198" s="165"/>
      <c r="BP6198" s="165"/>
      <c r="BQ6198" s="165"/>
      <c r="BR6198" s="165"/>
      <c r="BS6198" s="165"/>
      <c r="BT6198" s="165"/>
      <c r="BU6198" s="165"/>
      <c r="BV6198" s="165"/>
      <c r="BW6198" s="165"/>
      <c r="BX6198" s="165"/>
      <c r="BY6198" s="165"/>
      <c r="BZ6198" s="165"/>
      <c r="CA6198" s="165"/>
      <c r="CB6198" s="165"/>
      <c r="CC6198" s="165"/>
      <c r="CD6198" s="165"/>
      <c r="CE6198" s="165"/>
      <c r="CF6198" s="165"/>
      <c r="CG6198" s="165"/>
      <c r="CH6198" s="165"/>
      <c r="CI6198" s="165"/>
      <c r="CJ6198" s="165"/>
      <c r="CK6198" s="165"/>
      <c r="CL6198" s="165"/>
      <c r="CM6198" s="165"/>
      <c r="CN6198" s="165"/>
      <c r="CO6198" s="165"/>
      <c r="CP6198" s="165"/>
      <c r="CQ6198" s="165"/>
      <c r="CR6198" s="165"/>
      <c r="CS6198" s="165"/>
      <c r="CT6198" s="165"/>
      <c r="CU6198" s="165"/>
      <c r="CV6198" s="165"/>
      <c r="CW6198" s="165"/>
      <c r="CX6198" s="165"/>
      <c r="CY6198" s="165"/>
      <c r="CZ6198" s="165"/>
      <c r="DA6198" s="165"/>
      <c r="DB6198" s="165"/>
      <c r="DC6198" s="165"/>
      <c r="DD6198" s="165"/>
      <c r="DE6198" s="165"/>
      <c r="DF6198" s="165"/>
      <c r="DG6198" s="165"/>
      <c r="DH6198" s="165"/>
      <c r="DI6198" s="165"/>
      <c r="DJ6198" s="165"/>
      <c r="DK6198" s="165"/>
      <c r="DL6198" s="165"/>
      <c r="DM6198" s="165"/>
      <c r="DN6198" s="165"/>
      <c r="DO6198" s="165"/>
      <c r="DP6198" s="165"/>
      <c r="DQ6198" s="165"/>
      <c r="DR6198" s="165"/>
      <c r="DS6198" s="165"/>
      <c r="DT6198" s="165"/>
      <c r="DU6198" s="165"/>
      <c r="DV6198" s="165"/>
      <c r="DW6198" s="165"/>
      <c r="DX6198" s="165"/>
      <c r="DY6198" s="165"/>
      <c r="DZ6198" s="165"/>
      <c r="EA6198" s="165"/>
      <c r="EB6198" s="165"/>
      <c r="EC6198" s="165"/>
      <c r="ED6198" s="165"/>
      <c r="EE6198" s="165"/>
      <c r="EF6198" s="165"/>
      <c r="EG6198" s="165"/>
      <c r="EH6198" s="165"/>
      <c r="EI6198" s="165"/>
      <c r="EJ6198" s="165"/>
      <c r="EK6198" s="165"/>
      <c r="EL6198" s="165"/>
      <c r="EM6198" s="165"/>
      <c r="EN6198" s="165"/>
      <c r="EO6198" s="165"/>
      <c r="EP6198" s="165"/>
      <c r="EQ6198" s="165"/>
      <c r="ER6198" s="165"/>
      <c r="ES6198" s="165"/>
    </row>
    <row r="6199" spans="1:149" s="451" customFormat="1" ht="14.15" hidden="1">
      <c r="A6199" s="468">
        <v>45548</v>
      </c>
      <c r="B6199" s="208" t="s">
        <v>2709</v>
      </c>
      <c r="C6199" s="208" t="s">
        <v>146</v>
      </c>
      <c r="D6199" s="211">
        <v>-30000</v>
      </c>
      <c r="E6199" s="212">
        <v>45536</v>
      </c>
      <c r="F6199" s="208" t="s">
        <v>109</v>
      </c>
      <c r="G6199" s="201" t="s">
        <v>581</v>
      </c>
      <c r="H6199" s="208"/>
      <c r="I6199" s="208" t="s">
        <v>3364</v>
      </c>
      <c r="J6199" s="209"/>
      <c r="K6199" s="209"/>
      <c r="L6199" s="209"/>
      <c r="M6199" s="209"/>
      <c r="N6199" s="209"/>
      <c r="O6199" s="209"/>
      <c r="P6199" s="209"/>
      <c r="Q6199" s="209"/>
      <c r="R6199" s="209"/>
      <c r="S6199" s="209"/>
      <c r="T6199" s="209"/>
      <c r="U6199" s="165"/>
      <c r="V6199" s="165"/>
      <c r="W6199" s="165"/>
      <c r="X6199" s="165"/>
      <c r="Y6199" s="165"/>
      <c r="Z6199" s="165"/>
      <c r="AA6199" s="165"/>
      <c r="AB6199" s="165"/>
      <c r="AC6199" s="165"/>
      <c r="AD6199" s="165"/>
      <c r="AE6199" s="165"/>
      <c r="AF6199" s="165"/>
      <c r="AG6199" s="165"/>
      <c r="AH6199" s="165"/>
      <c r="AI6199" s="165"/>
      <c r="AJ6199" s="165"/>
      <c r="AK6199" s="165"/>
      <c r="AL6199" s="165"/>
      <c r="AM6199" s="165"/>
      <c r="AN6199" s="165"/>
      <c r="AO6199" s="165"/>
      <c r="AP6199" s="165"/>
      <c r="AQ6199" s="165"/>
      <c r="AR6199" s="165"/>
      <c r="AS6199" s="165"/>
      <c r="AT6199" s="165"/>
      <c r="AU6199" s="165"/>
      <c r="AV6199" s="165"/>
      <c r="AW6199" s="165"/>
      <c r="AX6199" s="165"/>
      <c r="AY6199" s="165"/>
      <c r="AZ6199" s="165"/>
      <c r="BA6199" s="165"/>
      <c r="BB6199" s="165"/>
      <c r="BC6199" s="165"/>
      <c r="BD6199" s="165"/>
      <c r="BE6199" s="165"/>
      <c r="BF6199" s="165"/>
      <c r="BG6199" s="165"/>
      <c r="BH6199" s="165"/>
      <c r="BI6199" s="165"/>
      <c r="BJ6199" s="165"/>
      <c r="BK6199" s="165"/>
      <c r="BL6199" s="165"/>
      <c r="BM6199" s="165"/>
      <c r="BN6199" s="165"/>
      <c r="BO6199" s="165"/>
      <c r="BP6199" s="165"/>
      <c r="BQ6199" s="165"/>
      <c r="BR6199" s="165"/>
      <c r="BS6199" s="165"/>
      <c r="BT6199" s="165"/>
      <c r="BU6199" s="165"/>
      <c r="BV6199" s="165"/>
      <c r="BW6199" s="165"/>
      <c r="BX6199" s="165"/>
      <c r="BY6199" s="165"/>
      <c r="BZ6199" s="165"/>
      <c r="CA6199" s="165"/>
      <c r="CB6199" s="165"/>
      <c r="CC6199" s="165"/>
      <c r="CD6199" s="165"/>
      <c r="CE6199" s="165"/>
      <c r="CF6199" s="165"/>
      <c r="CG6199" s="165"/>
      <c r="CH6199" s="165"/>
      <c r="CI6199" s="165"/>
      <c r="CJ6199" s="165"/>
      <c r="CK6199" s="165"/>
      <c r="CL6199" s="165"/>
      <c r="CM6199" s="165"/>
      <c r="CN6199" s="165"/>
      <c r="CO6199" s="165"/>
      <c r="CP6199" s="165"/>
      <c r="CQ6199" s="165"/>
      <c r="CR6199" s="165"/>
      <c r="CS6199" s="165"/>
      <c r="CT6199" s="165"/>
      <c r="CU6199" s="165"/>
      <c r="CV6199" s="165"/>
      <c r="CW6199" s="165"/>
      <c r="CX6199" s="165"/>
      <c r="CY6199" s="165"/>
      <c r="CZ6199" s="165"/>
      <c r="DA6199" s="165"/>
      <c r="DB6199" s="165"/>
      <c r="DC6199" s="165"/>
      <c r="DD6199" s="165"/>
      <c r="DE6199" s="165"/>
      <c r="DF6199" s="165"/>
      <c r="DG6199" s="165"/>
      <c r="DH6199" s="165"/>
      <c r="DI6199" s="165"/>
      <c r="DJ6199" s="165"/>
      <c r="DK6199" s="165"/>
      <c r="DL6199" s="165"/>
      <c r="DM6199" s="165"/>
      <c r="DN6199" s="165"/>
      <c r="DO6199" s="165"/>
      <c r="DP6199" s="165"/>
      <c r="DQ6199" s="165"/>
      <c r="DR6199" s="165"/>
      <c r="DS6199" s="165"/>
      <c r="DT6199" s="165"/>
      <c r="DU6199" s="165"/>
      <c r="DV6199" s="165"/>
      <c r="DW6199" s="165"/>
      <c r="DX6199" s="165"/>
      <c r="DY6199" s="165"/>
      <c r="DZ6199" s="165"/>
      <c r="EA6199" s="165"/>
      <c r="EB6199" s="165"/>
      <c r="EC6199" s="165"/>
      <c r="ED6199" s="165"/>
      <c r="EE6199" s="165"/>
      <c r="EF6199" s="165"/>
      <c r="EG6199" s="165"/>
      <c r="EH6199" s="165"/>
      <c r="EI6199" s="165"/>
      <c r="EJ6199" s="165"/>
      <c r="EK6199" s="165"/>
      <c r="EL6199" s="165"/>
      <c r="EM6199" s="165"/>
      <c r="EN6199" s="165"/>
      <c r="EO6199" s="165"/>
      <c r="EP6199" s="165"/>
      <c r="EQ6199" s="165"/>
      <c r="ER6199" s="165"/>
      <c r="ES6199" s="165"/>
    </row>
    <row r="6200" spans="1:149" s="451" customFormat="1" ht="14.15" hidden="1">
      <c r="A6200" s="468">
        <v>45548</v>
      </c>
      <c r="B6200" s="208" t="s">
        <v>4866</v>
      </c>
      <c r="C6200" s="208" t="s">
        <v>146</v>
      </c>
      <c r="D6200" s="211">
        <v>-63604</v>
      </c>
      <c r="E6200" s="212">
        <v>45536</v>
      </c>
      <c r="F6200" s="208" t="s">
        <v>110</v>
      </c>
      <c r="G6200" s="208" t="s">
        <v>4399</v>
      </c>
      <c r="H6200" s="208" t="s">
        <v>147</v>
      </c>
      <c r="I6200" s="208" t="s">
        <v>3378</v>
      </c>
      <c r="J6200" s="209"/>
      <c r="K6200" s="209"/>
      <c r="L6200" s="209"/>
      <c r="M6200" s="209"/>
      <c r="N6200" s="209"/>
      <c r="O6200" s="209"/>
      <c r="P6200" s="209"/>
      <c r="Q6200" s="209"/>
      <c r="R6200" s="209"/>
      <c r="S6200" s="209"/>
      <c r="T6200" s="209"/>
      <c r="U6200" s="165"/>
      <c r="V6200" s="165"/>
      <c r="W6200" s="165"/>
      <c r="X6200" s="165"/>
      <c r="Y6200" s="165"/>
      <c r="Z6200" s="165"/>
      <c r="AA6200" s="165"/>
      <c r="AB6200" s="165"/>
      <c r="AC6200" s="165"/>
      <c r="AD6200" s="165"/>
      <c r="AE6200" s="165"/>
      <c r="AF6200" s="165"/>
      <c r="AG6200" s="165"/>
      <c r="AH6200" s="165"/>
      <c r="AI6200" s="165"/>
      <c r="AJ6200" s="165"/>
      <c r="AK6200" s="165"/>
      <c r="AL6200" s="165"/>
      <c r="AM6200" s="165"/>
      <c r="AN6200" s="165"/>
      <c r="AO6200" s="165"/>
      <c r="AP6200" s="165"/>
      <c r="AQ6200" s="165"/>
      <c r="AR6200" s="165"/>
      <c r="AS6200" s="165"/>
      <c r="AT6200" s="165"/>
      <c r="AU6200" s="165"/>
      <c r="AV6200" s="165"/>
      <c r="AW6200" s="165"/>
      <c r="AX6200" s="165"/>
      <c r="AY6200" s="165"/>
      <c r="AZ6200" s="165"/>
      <c r="BA6200" s="165"/>
      <c r="BB6200" s="165"/>
      <c r="BC6200" s="165"/>
      <c r="BD6200" s="165"/>
      <c r="BE6200" s="165"/>
      <c r="BF6200" s="165"/>
      <c r="BG6200" s="165"/>
      <c r="BH6200" s="165"/>
      <c r="BI6200" s="165"/>
      <c r="BJ6200" s="165"/>
      <c r="BK6200" s="165"/>
      <c r="BL6200" s="165"/>
      <c r="BM6200" s="165"/>
      <c r="BN6200" s="165"/>
      <c r="BO6200" s="165"/>
      <c r="BP6200" s="165"/>
      <c r="BQ6200" s="165"/>
      <c r="BR6200" s="165"/>
      <c r="BS6200" s="165"/>
      <c r="BT6200" s="165"/>
      <c r="BU6200" s="165"/>
      <c r="BV6200" s="165"/>
      <c r="BW6200" s="165"/>
      <c r="BX6200" s="165"/>
      <c r="BY6200" s="165"/>
      <c r="BZ6200" s="165"/>
      <c r="CA6200" s="165"/>
      <c r="CB6200" s="165"/>
      <c r="CC6200" s="165"/>
      <c r="CD6200" s="165"/>
      <c r="CE6200" s="165"/>
      <c r="CF6200" s="165"/>
      <c r="CG6200" s="165"/>
      <c r="CH6200" s="165"/>
      <c r="CI6200" s="165"/>
      <c r="CJ6200" s="165"/>
      <c r="CK6200" s="165"/>
      <c r="CL6200" s="165"/>
      <c r="CM6200" s="165"/>
      <c r="CN6200" s="165"/>
      <c r="CO6200" s="165"/>
      <c r="CP6200" s="165"/>
      <c r="CQ6200" s="165"/>
      <c r="CR6200" s="165"/>
      <c r="CS6200" s="165"/>
      <c r="CT6200" s="165"/>
      <c r="CU6200" s="165"/>
      <c r="CV6200" s="165"/>
      <c r="CW6200" s="165"/>
      <c r="CX6200" s="165"/>
      <c r="CY6200" s="165"/>
      <c r="CZ6200" s="165"/>
      <c r="DA6200" s="165"/>
      <c r="DB6200" s="165"/>
      <c r="DC6200" s="165"/>
      <c r="DD6200" s="165"/>
      <c r="DE6200" s="165"/>
      <c r="DF6200" s="165"/>
      <c r="DG6200" s="165"/>
      <c r="DH6200" s="165"/>
      <c r="DI6200" s="165"/>
      <c r="DJ6200" s="165"/>
      <c r="DK6200" s="165"/>
      <c r="DL6200" s="165"/>
      <c r="DM6200" s="165"/>
      <c r="DN6200" s="165"/>
      <c r="DO6200" s="165"/>
      <c r="DP6200" s="165"/>
      <c r="DQ6200" s="165"/>
      <c r="DR6200" s="165"/>
      <c r="DS6200" s="165"/>
      <c r="DT6200" s="165"/>
      <c r="DU6200" s="165"/>
      <c r="DV6200" s="165"/>
      <c r="DW6200" s="165"/>
      <c r="DX6200" s="165"/>
      <c r="DY6200" s="165"/>
      <c r="DZ6200" s="165"/>
      <c r="EA6200" s="165"/>
      <c r="EB6200" s="165"/>
      <c r="EC6200" s="165"/>
      <c r="ED6200" s="165"/>
      <c r="EE6200" s="165"/>
      <c r="EF6200" s="165"/>
      <c r="EG6200" s="165"/>
      <c r="EH6200" s="165"/>
      <c r="EI6200" s="165"/>
      <c r="EJ6200" s="165"/>
      <c r="EK6200" s="165"/>
      <c r="EL6200" s="165"/>
      <c r="EM6200" s="165"/>
      <c r="EN6200" s="165"/>
      <c r="EO6200" s="165"/>
      <c r="EP6200" s="165"/>
      <c r="EQ6200" s="165"/>
      <c r="ER6200" s="165"/>
      <c r="ES6200" s="165"/>
    </row>
    <row r="6201" spans="1:149" s="451" customFormat="1" ht="14.15" hidden="1">
      <c r="A6201" s="468">
        <v>45548</v>
      </c>
      <c r="B6201" s="208" t="s">
        <v>5041</v>
      </c>
      <c r="C6201" s="208" t="s">
        <v>146</v>
      </c>
      <c r="D6201" s="211">
        <v>-175000</v>
      </c>
      <c r="E6201" s="212">
        <v>45536</v>
      </c>
      <c r="F6201" s="208" t="s">
        <v>110</v>
      </c>
      <c r="G6201" s="208" t="s">
        <v>4399</v>
      </c>
      <c r="H6201" s="208" t="s">
        <v>138</v>
      </c>
      <c r="I6201" s="208" t="s">
        <v>3378</v>
      </c>
      <c r="J6201" s="209"/>
      <c r="K6201" s="209"/>
      <c r="L6201" s="209"/>
      <c r="M6201" s="209"/>
      <c r="N6201" s="209"/>
      <c r="O6201" s="209"/>
      <c r="P6201" s="209"/>
      <c r="Q6201" s="209"/>
      <c r="R6201" s="209"/>
      <c r="S6201" s="209"/>
      <c r="T6201" s="209"/>
      <c r="U6201" s="165"/>
      <c r="V6201" s="165"/>
      <c r="W6201" s="165"/>
      <c r="X6201" s="165"/>
      <c r="Y6201" s="165"/>
      <c r="Z6201" s="165"/>
      <c r="AA6201" s="165"/>
      <c r="AB6201" s="165"/>
      <c r="AC6201" s="165"/>
      <c r="AD6201" s="165"/>
      <c r="AE6201" s="165"/>
      <c r="AF6201" s="165"/>
      <c r="AG6201" s="165"/>
      <c r="AH6201" s="165"/>
      <c r="AI6201" s="165"/>
      <c r="AJ6201" s="165"/>
      <c r="AK6201" s="165"/>
      <c r="AL6201" s="165"/>
      <c r="AM6201" s="165"/>
      <c r="AN6201" s="165"/>
      <c r="AO6201" s="165"/>
      <c r="AP6201" s="165"/>
      <c r="AQ6201" s="165"/>
      <c r="AR6201" s="165"/>
      <c r="AS6201" s="165"/>
      <c r="AT6201" s="165"/>
      <c r="AU6201" s="165"/>
      <c r="AV6201" s="165"/>
      <c r="AW6201" s="165"/>
      <c r="AX6201" s="165"/>
      <c r="AY6201" s="165"/>
      <c r="AZ6201" s="165"/>
      <c r="BA6201" s="165"/>
      <c r="BB6201" s="165"/>
      <c r="BC6201" s="165"/>
      <c r="BD6201" s="165"/>
      <c r="BE6201" s="165"/>
      <c r="BF6201" s="165"/>
      <c r="BG6201" s="165"/>
      <c r="BH6201" s="165"/>
      <c r="BI6201" s="165"/>
      <c r="BJ6201" s="165"/>
      <c r="BK6201" s="165"/>
      <c r="BL6201" s="165"/>
      <c r="BM6201" s="165"/>
      <c r="BN6201" s="165"/>
      <c r="BO6201" s="165"/>
      <c r="BP6201" s="165"/>
      <c r="BQ6201" s="165"/>
      <c r="BR6201" s="165"/>
      <c r="BS6201" s="165"/>
      <c r="BT6201" s="165"/>
      <c r="BU6201" s="165"/>
      <c r="BV6201" s="165"/>
      <c r="BW6201" s="165"/>
      <c r="BX6201" s="165"/>
      <c r="BY6201" s="165"/>
      <c r="BZ6201" s="165"/>
      <c r="CA6201" s="165"/>
      <c r="CB6201" s="165"/>
      <c r="CC6201" s="165"/>
      <c r="CD6201" s="165"/>
      <c r="CE6201" s="165"/>
      <c r="CF6201" s="165"/>
      <c r="CG6201" s="165"/>
      <c r="CH6201" s="165"/>
      <c r="CI6201" s="165"/>
      <c r="CJ6201" s="165"/>
      <c r="CK6201" s="165"/>
      <c r="CL6201" s="165"/>
      <c r="CM6201" s="165"/>
      <c r="CN6201" s="165"/>
      <c r="CO6201" s="165"/>
      <c r="CP6201" s="165"/>
      <c r="CQ6201" s="165"/>
      <c r="CR6201" s="165"/>
      <c r="CS6201" s="165"/>
      <c r="CT6201" s="165"/>
      <c r="CU6201" s="165"/>
      <c r="CV6201" s="165"/>
      <c r="CW6201" s="165"/>
      <c r="CX6201" s="165"/>
      <c r="CY6201" s="165"/>
      <c r="CZ6201" s="165"/>
      <c r="DA6201" s="165"/>
      <c r="DB6201" s="165"/>
      <c r="DC6201" s="165"/>
      <c r="DD6201" s="165"/>
      <c r="DE6201" s="165"/>
      <c r="DF6201" s="165"/>
      <c r="DG6201" s="165"/>
      <c r="DH6201" s="165"/>
      <c r="DI6201" s="165"/>
      <c r="DJ6201" s="165"/>
      <c r="DK6201" s="165"/>
      <c r="DL6201" s="165"/>
      <c r="DM6201" s="165"/>
      <c r="DN6201" s="165"/>
      <c r="DO6201" s="165"/>
      <c r="DP6201" s="165"/>
      <c r="DQ6201" s="165"/>
      <c r="DR6201" s="165"/>
      <c r="DS6201" s="165"/>
      <c r="DT6201" s="165"/>
      <c r="DU6201" s="165"/>
      <c r="DV6201" s="165"/>
      <c r="DW6201" s="165"/>
      <c r="DX6201" s="165"/>
      <c r="DY6201" s="165"/>
      <c r="DZ6201" s="165"/>
      <c r="EA6201" s="165"/>
      <c r="EB6201" s="165"/>
      <c r="EC6201" s="165"/>
      <c r="ED6201" s="165"/>
      <c r="EE6201" s="165"/>
      <c r="EF6201" s="165"/>
      <c r="EG6201" s="165"/>
      <c r="EH6201" s="165"/>
      <c r="EI6201" s="165"/>
      <c r="EJ6201" s="165"/>
      <c r="EK6201" s="165"/>
      <c r="EL6201" s="165"/>
      <c r="EM6201" s="165"/>
      <c r="EN6201" s="165"/>
      <c r="EO6201" s="165"/>
      <c r="EP6201" s="165"/>
      <c r="EQ6201" s="165"/>
      <c r="ER6201" s="165"/>
      <c r="ES6201" s="165"/>
    </row>
    <row r="6202" spans="1:149" s="451" customFormat="1" ht="14.15" hidden="1">
      <c r="A6202" s="468">
        <v>45548</v>
      </c>
      <c r="B6202" s="208" t="s">
        <v>5042</v>
      </c>
      <c r="C6202" s="208" t="s">
        <v>146</v>
      </c>
      <c r="D6202" s="211">
        <v>-50000</v>
      </c>
      <c r="E6202" s="212">
        <v>45536</v>
      </c>
      <c r="F6202" s="208" t="s">
        <v>109</v>
      </c>
      <c r="G6202" s="208" t="s">
        <v>3529</v>
      </c>
      <c r="H6202" s="208" t="s">
        <v>175</v>
      </c>
      <c r="I6202" s="208" t="s">
        <v>173</v>
      </c>
      <c r="J6202" s="209"/>
      <c r="K6202" s="209"/>
      <c r="L6202" s="209"/>
      <c r="M6202" s="209"/>
      <c r="N6202" s="209"/>
      <c r="O6202" s="209"/>
      <c r="P6202" s="209"/>
      <c r="Q6202" s="209"/>
      <c r="R6202" s="209"/>
      <c r="S6202" s="209"/>
      <c r="T6202" s="209"/>
      <c r="U6202" s="165"/>
      <c r="V6202" s="165"/>
      <c r="W6202" s="165"/>
      <c r="X6202" s="165"/>
      <c r="Y6202" s="165"/>
      <c r="Z6202" s="165"/>
      <c r="AA6202" s="165"/>
      <c r="AB6202" s="165"/>
      <c r="AC6202" s="165"/>
      <c r="AD6202" s="165"/>
      <c r="AE6202" s="165"/>
      <c r="AF6202" s="165"/>
      <c r="AG6202" s="165"/>
      <c r="AH6202" s="165"/>
      <c r="AI6202" s="165"/>
      <c r="AJ6202" s="165"/>
      <c r="AK6202" s="165"/>
      <c r="AL6202" s="165"/>
      <c r="AM6202" s="165"/>
      <c r="AN6202" s="165"/>
      <c r="AO6202" s="165"/>
      <c r="AP6202" s="165"/>
      <c r="AQ6202" s="165"/>
      <c r="AR6202" s="165"/>
      <c r="AS6202" s="165"/>
      <c r="AT6202" s="165"/>
      <c r="AU6202" s="165"/>
      <c r="AV6202" s="165"/>
      <c r="AW6202" s="165"/>
      <c r="AX6202" s="165"/>
      <c r="AY6202" s="165"/>
      <c r="AZ6202" s="165"/>
      <c r="BA6202" s="165"/>
      <c r="BB6202" s="165"/>
      <c r="BC6202" s="165"/>
      <c r="BD6202" s="165"/>
      <c r="BE6202" s="165"/>
      <c r="BF6202" s="165"/>
      <c r="BG6202" s="165"/>
      <c r="BH6202" s="165"/>
      <c r="BI6202" s="165"/>
      <c r="BJ6202" s="165"/>
      <c r="BK6202" s="165"/>
      <c r="BL6202" s="165"/>
      <c r="BM6202" s="165"/>
      <c r="BN6202" s="165"/>
      <c r="BO6202" s="165"/>
      <c r="BP6202" s="165"/>
      <c r="BQ6202" s="165"/>
      <c r="BR6202" s="165"/>
      <c r="BS6202" s="165"/>
      <c r="BT6202" s="165"/>
      <c r="BU6202" s="165"/>
      <c r="BV6202" s="165"/>
      <c r="BW6202" s="165"/>
      <c r="BX6202" s="165"/>
      <c r="BY6202" s="165"/>
      <c r="BZ6202" s="165"/>
      <c r="CA6202" s="165"/>
      <c r="CB6202" s="165"/>
      <c r="CC6202" s="165"/>
      <c r="CD6202" s="165"/>
      <c r="CE6202" s="165"/>
      <c r="CF6202" s="165"/>
      <c r="CG6202" s="165"/>
      <c r="CH6202" s="165"/>
      <c r="CI6202" s="165"/>
      <c r="CJ6202" s="165"/>
      <c r="CK6202" s="165"/>
      <c r="CL6202" s="165"/>
      <c r="CM6202" s="165"/>
      <c r="CN6202" s="165"/>
      <c r="CO6202" s="165"/>
      <c r="CP6202" s="165"/>
      <c r="CQ6202" s="165"/>
      <c r="CR6202" s="165"/>
      <c r="CS6202" s="165"/>
      <c r="CT6202" s="165"/>
      <c r="CU6202" s="165"/>
      <c r="CV6202" s="165"/>
      <c r="CW6202" s="165"/>
      <c r="CX6202" s="165"/>
      <c r="CY6202" s="165"/>
      <c r="CZ6202" s="165"/>
      <c r="DA6202" s="165"/>
      <c r="DB6202" s="165"/>
      <c r="DC6202" s="165"/>
      <c r="DD6202" s="165"/>
      <c r="DE6202" s="165"/>
      <c r="DF6202" s="165"/>
      <c r="DG6202" s="165"/>
      <c r="DH6202" s="165"/>
      <c r="DI6202" s="165"/>
      <c r="DJ6202" s="165"/>
      <c r="DK6202" s="165"/>
      <c r="DL6202" s="165"/>
      <c r="DM6202" s="165"/>
      <c r="DN6202" s="165"/>
      <c r="DO6202" s="165"/>
      <c r="DP6202" s="165"/>
      <c r="DQ6202" s="165"/>
      <c r="DR6202" s="165"/>
      <c r="DS6202" s="165"/>
      <c r="DT6202" s="165"/>
      <c r="DU6202" s="165"/>
      <c r="DV6202" s="165"/>
      <c r="DW6202" s="165"/>
      <c r="DX6202" s="165"/>
      <c r="DY6202" s="165"/>
      <c r="DZ6202" s="165"/>
      <c r="EA6202" s="165"/>
      <c r="EB6202" s="165"/>
      <c r="EC6202" s="165"/>
      <c r="ED6202" s="165"/>
      <c r="EE6202" s="165"/>
      <c r="EF6202" s="165"/>
      <c r="EG6202" s="165"/>
      <c r="EH6202" s="165"/>
      <c r="EI6202" s="165"/>
      <c r="EJ6202" s="165"/>
      <c r="EK6202" s="165"/>
      <c r="EL6202" s="165"/>
      <c r="EM6202" s="165"/>
      <c r="EN6202" s="165"/>
      <c r="EO6202" s="165"/>
      <c r="EP6202" s="165"/>
      <c r="EQ6202" s="165"/>
      <c r="ER6202" s="165"/>
      <c r="ES6202" s="165"/>
    </row>
    <row r="6203" spans="1:149" s="451" customFormat="1" ht="14.15" hidden="1">
      <c r="A6203" s="468">
        <v>45548</v>
      </c>
      <c r="B6203" s="208" t="s">
        <v>5043</v>
      </c>
      <c r="C6203" s="208" t="s">
        <v>146</v>
      </c>
      <c r="D6203" s="211">
        <v>-105000</v>
      </c>
      <c r="E6203" s="212">
        <v>45536</v>
      </c>
      <c r="F6203" s="208" t="s">
        <v>109</v>
      </c>
      <c r="G6203" s="208" t="s">
        <v>3529</v>
      </c>
      <c r="H6203" s="208" t="s">
        <v>175</v>
      </c>
      <c r="I6203" s="208" t="s">
        <v>173</v>
      </c>
      <c r="J6203" s="209"/>
      <c r="K6203" s="209"/>
      <c r="L6203" s="209"/>
      <c r="M6203" s="209"/>
      <c r="N6203" s="209"/>
      <c r="O6203" s="209"/>
      <c r="P6203" s="209"/>
      <c r="Q6203" s="209"/>
      <c r="R6203" s="209"/>
      <c r="S6203" s="209"/>
      <c r="T6203" s="209"/>
      <c r="U6203" s="165"/>
      <c r="V6203" s="165"/>
      <c r="W6203" s="165"/>
      <c r="X6203" s="165"/>
      <c r="Y6203" s="165"/>
      <c r="Z6203" s="165"/>
      <c r="AA6203" s="165"/>
      <c r="AB6203" s="165"/>
      <c r="AC6203" s="165"/>
      <c r="AD6203" s="165"/>
      <c r="AE6203" s="165"/>
      <c r="AF6203" s="165"/>
      <c r="AG6203" s="165"/>
      <c r="AH6203" s="165"/>
      <c r="AI6203" s="165"/>
      <c r="AJ6203" s="165"/>
      <c r="AK6203" s="165"/>
      <c r="AL6203" s="165"/>
      <c r="AM6203" s="165"/>
      <c r="AN6203" s="165"/>
      <c r="AO6203" s="165"/>
      <c r="AP6203" s="165"/>
      <c r="AQ6203" s="165"/>
      <c r="AR6203" s="165"/>
      <c r="AS6203" s="165"/>
      <c r="AT6203" s="165"/>
      <c r="AU6203" s="165"/>
      <c r="AV6203" s="165"/>
      <c r="AW6203" s="165"/>
      <c r="AX6203" s="165"/>
      <c r="AY6203" s="165"/>
      <c r="AZ6203" s="165"/>
      <c r="BA6203" s="165"/>
      <c r="BB6203" s="165"/>
      <c r="BC6203" s="165"/>
      <c r="BD6203" s="165"/>
      <c r="BE6203" s="165"/>
      <c r="BF6203" s="165"/>
      <c r="BG6203" s="165"/>
      <c r="BH6203" s="165"/>
      <c r="BI6203" s="165"/>
      <c r="BJ6203" s="165"/>
      <c r="BK6203" s="165"/>
      <c r="BL6203" s="165"/>
      <c r="BM6203" s="165"/>
      <c r="BN6203" s="165"/>
      <c r="BO6203" s="165"/>
      <c r="BP6203" s="165"/>
      <c r="BQ6203" s="165"/>
      <c r="BR6203" s="165"/>
      <c r="BS6203" s="165"/>
      <c r="BT6203" s="165"/>
      <c r="BU6203" s="165"/>
      <c r="BV6203" s="165"/>
      <c r="BW6203" s="165"/>
      <c r="BX6203" s="165"/>
      <c r="BY6203" s="165"/>
      <c r="BZ6203" s="165"/>
      <c r="CA6203" s="165"/>
      <c r="CB6203" s="165"/>
      <c r="CC6203" s="165"/>
      <c r="CD6203" s="165"/>
      <c r="CE6203" s="165"/>
      <c r="CF6203" s="165"/>
      <c r="CG6203" s="165"/>
      <c r="CH6203" s="165"/>
      <c r="CI6203" s="165"/>
      <c r="CJ6203" s="165"/>
      <c r="CK6203" s="165"/>
      <c r="CL6203" s="165"/>
      <c r="CM6203" s="165"/>
      <c r="CN6203" s="165"/>
      <c r="CO6203" s="165"/>
      <c r="CP6203" s="165"/>
      <c r="CQ6203" s="165"/>
      <c r="CR6203" s="165"/>
      <c r="CS6203" s="165"/>
      <c r="CT6203" s="165"/>
      <c r="CU6203" s="165"/>
      <c r="CV6203" s="165"/>
      <c r="CW6203" s="165"/>
      <c r="CX6203" s="165"/>
      <c r="CY6203" s="165"/>
      <c r="CZ6203" s="165"/>
      <c r="DA6203" s="165"/>
      <c r="DB6203" s="165"/>
      <c r="DC6203" s="165"/>
      <c r="DD6203" s="165"/>
      <c r="DE6203" s="165"/>
      <c r="DF6203" s="165"/>
      <c r="DG6203" s="165"/>
      <c r="DH6203" s="165"/>
      <c r="DI6203" s="165"/>
      <c r="DJ6203" s="165"/>
      <c r="DK6203" s="165"/>
      <c r="DL6203" s="165"/>
      <c r="DM6203" s="165"/>
      <c r="DN6203" s="165"/>
      <c r="DO6203" s="165"/>
      <c r="DP6203" s="165"/>
      <c r="DQ6203" s="165"/>
      <c r="DR6203" s="165"/>
      <c r="DS6203" s="165"/>
      <c r="DT6203" s="165"/>
      <c r="DU6203" s="165"/>
      <c r="DV6203" s="165"/>
      <c r="DW6203" s="165"/>
      <c r="DX6203" s="165"/>
      <c r="DY6203" s="165"/>
      <c r="DZ6203" s="165"/>
      <c r="EA6203" s="165"/>
      <c r="EB6203" s="165"/>
      <c r="EC6203" s="165"/>
      <c r="ED6203" s="165"/>
      <c r="EE6203" s="165"/>
      <c r="EF6203" s="165"/>
      <c r="EG6203" s="165"/>
      <c r="EH6203" s="165"/>
      <c r="EI6203" s="165"/>
      <c r="EJ6203" s="165"/>
      <c r="EK6203" s="165"/>
      <c r="EL6203" s="165"/>
      <c r="EM6203" s="165"/>
      <c r="EN6203" s="165"/>
      <c r="EO6203" s="165"/>
      <c r="EP6203" s="165"/>
      <c r="EQ6203" s="165"/>
      <c r="ER6203" s="165"/>
      <c r="ES6203" s="165"/>
    </row>
    <row r="6204" spans="1:149" s="451" customFormat="1" ht="14.15" hidden="1">
      <c r="A6204" s="468">
        <v>45548</v>
      </c>
      <c r="B6204" s="208" t="s">
        <v>5044</v>
      </c>
      <c r="C6204" s="208" t="s">
        <v>146</v>
      </c>
      <c r="D6204" s="211">
        <v>-16500</v>
      </c>
      <c r="E6204" s="212">
        <v>45536</v>
      </c>
      <c r="F6204" s="208" t="s">
        <v>110</v>
      </c>
      <c r="G6204" s="201" t="s">
        <v>1489</v>
      </c>
      <c r="H6204" s="208" t="s">
        <v>2941</v>
      </c>
      <c r="I6204" s="208" t="s">
        <v>173</v>
      </c>
      <c r="J6204" s="209"/>
      <c r="K6204" s="209"/>
      <c r="L6204" s="209"/>
      <c r="M6204" s="209"/>
      <c r="N6204" s="209"/>
      <c r="O6204" s="209"/>
      <c r="P6204" s="209"/>
      <c r="Q6204" s="209"/>
      <c r="R6204" s="209"/>
      <c r="S6204" s="209"/>
      <c r="T6204" s="209"/>
      <c r="U6204" s="165"/>
      <c r="V6204" s="165"/>
      <c r="W6204" s="165"/>
      <c r="X6204" s="165"/>
      <c r="Y6204" s="165"/>
      <c r="Z6204" s="165"/>
      <c r="AA6204" s="165"/>
      <c r="AB6204" s="165"/>
      <c r="AC6204" s="165"/>
      <c r="AD6204" s="165"/>
      <c r="AE6204" s="165"/>
      <c r="AF6204" s="165"/>
      <c r="AG6204" s="165"/>
      <c r="AH6204" s="165"/>
      <c r="AI6204" s="165"/>
      <c r="AJ6204" s="165"/>
      <c r="AK6204" s="165"/>
      <c r="AL6204" s="165"/>
      <c r="AM6204" s="165"/>
      <c r="AN6204" s="165"/>
      <c r="AO6204" s="165"/>
      <c r="AP6204" s="165"/>
      <c r="AQ6204" s="165"/>
      <c r="AR6204" s="165"/>
      <c r="AS6204" s="165"/>
      <c r="AT6204" s="165"/>
      <c r="AU6204" s="165"/>
      <c r="AV6204" s="165"/>
      <c r="AW6204" s="165"/>
      <c r="AX6204" s="165"/>
      <c r="AY6204" s="165"/>
      <c r="AZ6204" s="165"/>
      <c r="BA6204" s="165"/>
      <c r="BB6204" s="165"/>
      <c r="BC6204" s="165"/>
      <c r="BD6204" s="165"/>
      <c r="BE6204" s="165"/>
      <c r="BF6204" s="165"/>
      <c r="BG6204" s="165"/>
      <c r="BH6204" s="165"/>
      <c r="BI6204" s="165"/>
      <c r="BJ6204" s="165"/>
      <c r="BK6204" s="165"/>
      <c r="BL6204" s="165"/>
      <c r="BM6204" s="165"/>
      <c r="BN6204" s="165"/>
      <c r="BO6204" s="165"/>
      <c r="BP6204" s="165"/>
      <c r="BQ6204" s="165"/>
      <c r="BR6204" s="165"/>
      <c r="BS6204" s="165"/>
      <c r="BT6204" s="165"/>
      <c r="BU6204" s="165"/>
      <c r="BV6204" s="165"/>
      <c r="BW6204" s="165"/>
      <c r="BX6204" s="165"/>
      <c r="BY6204" s="165"/>
      <c r="BZ6204" s="165"/>
      <c r="CA6204" s="165"/>
      <c r="CB6204" s="165"/>
      <c r="CC6204" s="165"/>
      <c r="CD6204" s="165"/>
      <c r="CE6204" s="165"/>
      <c r="CF6204" s="165"/>
      <c r="CG6204" s="165"/>
      <c r="CH6204" s="165"/>
      <c r="CI6204" s="165"/>
      <c r="CJ6204" s="165"/>
      <c r="CK6204" s="165"/>
      <c r="CL6204" s="165"/>
      <c r="CM6204" s="165"/>
      <c r="CN6204" s="165"/>
      <c r="CO6204" s="165"/>
      <c r="CP6204" s="165"/>
      <c r="CQ6204" s="165"/>
      <c r="CR6204" s="165"/>
      <c r="CS6204" s="165"/>
      <c r="CT6204" s="165"/>
      <c r="CU6204" s="165"/>
      <c r="CV6204" s="165"/>
      <c r="CW6204" s="165"/>
      <c r="CX6204" s="165"/>
      <c r="CY6204" s="165"/>
      <c r="CZ6204" s="165"/>
      <c r="DA6204" s="165"/>
      <c r="DB6204" s="165"/>
      <c r="DC6204" s="165"/>
      <c r="DD6204" s="165"/>
      <c r="DE6204" s="165"/>
      <c r="DF6204" s="165"/>
      <c r="DG6204" s="165"/>
      <c r="DH6204" s="165"/>
      <c r="DI6204" s="165"/>
      <c r="DJ6204" s="165"/>
      <c r="DK6204" s="165"/>
      <c r="DL6204" s="165"/>
      <c r="DM6204" s="165"/>
      <c r="DN6204" s="165"/>
      <c r="DO6204" s="165"/>
      <c r="DP6204" s="165"/>
      <c r="DQ6204" s="165"/>
      <c r="DR6204" s="165"/>
      <c r="DS6204" s="165"/>
      <c r="DT6204" s="165"/>
      <c r="DU6204" s="165"/>
      <c r="DV6204" s="165"/>
      <c r="DW6204" s="165"/>
      <c r="DX6204" s="165"/>
      <c r="DY6204" s="165"/>
      <c r="DZ6204" s="165"/>
      <c r="EA6204" s="165"/>
      <c r="EB6204" s="165"/>
      <c r="EC6204" s="165"/>
      <c r="ED6204" s="165"/>
      <c r="EE6204" s="165"/>
      <c r="EF6204" s="165"/>
      <c r="EG6204" s="165"/>
      <c r="EH6204" s="165"/>
      <c r="EI6204" s="165"/>
      <c r="EJ6204" s="165"/>
      <c r="EK6204" s="165"/>
      <c r="EL6204" s="165"/>
      <c r="EM6204" s="165"/>
      <c r="EN6204" s="165"/>
      <c r="EO6204" s="165"/>
      <c r="EP6204" s="165"/>
      <c r="EQ6204" s="165"/>
      <c r="ER6204" s="165"/>
      <c r="ES6204" s="165"/>
    </row>
    <row r="6205" spans="1:149" s="451" customFormat="1" ht="14.15" hidden="1">
      <c r="A6205" s="468">
        <v>45548</v>
      </c>
      <c r="B6205" s="208" t="s">
        <v>5045</v>
      </c>
      <c r="C6205" s="208" t="s">
        <v>146</v>
      </c>
      <c r="D6205" s="211">
        <v>-105000</v>
      </c>
      <c r="E6205" s="212">
        <v>45536</v>
      </c>
      <c r="F6205" s="208" t="s">
        <v>130</v>
      </c>
      <c r="G6205" s="208" t="s">
        <v>130</v>
      </c>
      <c r="H6205" s="208" t="s">
        <v>2444</v>
      </c>
      <c r="I6205" s="208" t="s">
        <v>173</v>
      </c>
      <c r="J6205" s="209"/>
      <c r="K6205" s="209"/>
      <c r="L6205" s="209"/>
      <c r="M6205" s="209"/>
      <c r="N6205" s="209"/>
      <c r="O6205" s="209"/>
      <c r="P6205" s="209"/>
      <c r="Q6205" s="209"/>
      <c r="R6205" s="209"/>
      <c r="S6205" s="209"/>
      <c r="T6205" s="209"/>
      <c r="U6205" s="165"/>
      <c r="V6205" s="165"/>
      <c r="W6205" s="165"/>
      <c r="X6205" s="165"/>
      <c r="Y6205" s="165"/>
      <c r="Z6205" s="165"/>
      <c r="AA6205" s="165"/>
      <c r="AB6205" s="165"/>
      <c r="AC6205" s="165"/>
      <c r="AD6205" s="165"/>
      <c r="AE6205" s="165"/>
      <c r="AF6205" s="165"/>
      <c r="AG6205" s="165"/>
      <c r="AH6205" s="165"/>
      <c r="AI6205" s="165"/>
      <c r="AJ6205" s="165"/>
      <c r="AK6205" s="165"/>
      <c r="AL6205" s="165"/>
      <c r="AM6205" s="165"/>
      <c r="AN6205" s="165"/>
      <c r="AO6205" s="165"/>
      <c r="AP6205" s="165"/>
      <c r="AQ6205" s="165"/>
      <c r="AR6205" s="165"/>
      <c r="AS6205" s="165"/>
      <c r="AT6205" s="165"/>
      <c r="AU6205" s="165"/>
      <c r="AV6205" s="165"/>
      <c r="AW6205" s="165"/>
      <c r="AX6205" s="165"/>
      <c r="AY6205" s="165"/>
      <c r="AZ6205" s="165"/>
      <c r="BA6205" s="165"/>
      <c r="BB6205" s="165"/>
      <c r="BC6205" s="165"/>
      <c r="BD6205" s="165"/>
      <c r="BE6205" s="165"/>
      <c r="BF6205" s="165"/>
      <c r="BG6205" s="165"/>
      <c r="BH6205" s="165"/>
      <c r="BI6205" s="165"/>
      <c r="BJ6205" s="165"/>
      <c r="BK6205" s="165"/>
      <c r="BL6205" s="165"/>
      <c r="BM6205" s="165"/>
      <c r="BN6205" s="165"/>
      <c r="BO6205" s="165"/>
      <c r="BP6205" s="165"/>
      <c r="BQ6205" s="165"/>
      <c r="BR6205" s="165"/>
      <c r="BS6205" s="165"/>
      <c r="BT6205" s="165"/>
      <c r="BU6205" s="165"/>
      <c r="BV6205" s="165"/>
      <c r="BW6205" s="165"/>
      <c r="BX6205" s="165"/>
      <c r="BY6205" s="165"/>
      <c r="BZ6205" s="165"/>
      <c r="CA6205" s="165"/>
      <c r="CB6205" s="165"/>
      <c r="CC6205" s="165"/>
      <c r="CD6205" s="165"/>
      <c r="CE6205" s="165"/>
      <c r="CF6205" s="165"/>
      <c r="CG6205" s="165"/>
      <c r="CH6205" s="165"/>
      <c r="CI6205" s="165"/>
      <c r="CJ6205" s="165"/>
      <c r="CK6205" s="165"/>
      <c r="CL6205" s="165"/>
      <c r="CM6205" s="165"/>
      <c r="CN6205" s="165"/>
      <c r="CO6205" s="165"/>
      <c r="CP6205" s="165"/>
      <c r="CQ6205" s="165"/>
      <c r="CR6205" s="165"/>
      <c r="CS6205" s="165"/>
      <c r="CT6205" s="165"/>
      <c r="CU6205" s="165"/>
      <c r="CV6205" s="165"/>
      <c r="CW6205" s="165"/>
      <c r="CX6205" s="165"/>
      <c r="CY6205" s="165"/>
      <c r="CZ6205" s="165"/>
      <c r="DA6205" s="165"/>
      <c r="DB6205" s="165"/>
      <c r="DC6205" s="165"/>
      <c r="DD6205" s="165"/>
      <c r="DE6205" s="165"/>
      <c r="DF6205" s="165"/>
      <c r="DG6205" s="165"/>
      <c r="DH6205" s="165"/>
      <c r="DI6205" s="165"/>
      <c r="DJ6205" s="165"/>
      <c r="DK6205" s="165"/>
      <c r="DL6205" s="165"/>
      <c r="DM6205" s="165"/>
      <c r="DN6205" s="165"/>
      <c r="DO6205" s="165"/>
      <c r="DP6205" s="165"/>
      <c r="DQ6205" s="165"/>
      <c r="DR6205" s="165"/>
      <c r="DS6205" s="165"/>
      <c r="DT6205" s="165"/>
      <c r="DU6205" s="165"/>
      <c r="DV6205" s="165"/>
      <c r="DW6205" s="165"/>
      <c r="DX6205" s="165"/>
      <c r="DY6205" s="165"/>
      <c r="DZ6205" s="165"/>
      <c r="EA6205" s="165"/>
      <c r="EB6205" s="165"/>
      <c r="EC6205" s="165"/>
      <c r="ED6205" s="165"/>
      <c r="EE6205" s="165"/>
      <c r="EF6205" s="165"/>
      <c r="EG6205" s="165"/>
      <c r="EH6205" s="165"/>
      <c r="EI6205" s="165"/>
      <c r="EJ6205" s="165"/>
      <c r="EK6205" s="165"/>
      <c r="EL6205" s="165"/>
      <c r="EM6205" s="165"/>
      <c r="EN6205" s="165"/>
      <c r="EO6205" s="165"/>
      <c r="EP6205" s="165"/>
      <c r="EQ6205" s="165"/>
      <c r="ER6205" s="165"/>
      <c r="ES6205" s="165"/>
    </row>
    <row r="6206" spans="1:149" ht="14.15" hidden="1">
      <c r="A6206" s="468">
        <v>45548</v>
      </c>
      <c r="B6206" s="208" t="s">
        <v>4539</v>
      </c>
      <c r="C6206" s="208" t="s">
        <v>146</v>
      </c>
      <c r="D6206" s="211">
        <v>-80000</v>
      </c>
      <c r="E6206" s="212">
        <v>45536</v>
      </c>
      <c r="F6206" s="208" t="s">
        <v>109</v>
      </c>
      <c r="G6206" s="201" t="s">
        <v>581</v>
      </c>
      <c r="H6206" s="208"/>
      <c r="I6206" s="208" t="s">
        <v>173</v>
      </c>
      <c r="J6206" s="209"/>
      <c r="K6206" s="209"/>
      <c r="L6206" s="209"/>
      <c r="M6206" s="209"/>
      <c r="N6206" s="209"/>
      <c r="O6206" s="209"/>
      <c r="P6206" s="209"/>
      <c r="Q6206" s="209"/>
      <c r="R6206" s="209"/>
      <c r="S6206" s="209"/>
      <c r="T6206" s="209"/>
    </row>
    <row r="6207" spans="1:149" s="451" customFormat="1" ht="14.15" hidden="1">
      <c r="A6207" s="468">
        <v>45548</v>
      </c>
      <c r="B6207" s="208" t="s">
        <v>5046</v>
      </c>
      <c r="C6207" s="208" t="s">
        <v>146</v>
      </c>
      <c r="D6207" s="211">
        <v>-10000</v>
      </c>
      <c r="E6207" s="212">
        <v>45536</v>
      </c>
      <c r="F6207" s="208" t="s">
        <v>109</v>
      </c>
      <c r="G6207" s="201" t="s">
        <v>581</v>
      </c>
      <c r="H6207" s="208"/>
      <c r="I6207" s="208" t="s">
        <v>173</v>
      </c>
      <c r="J6207" s="209"/>
      <c r="K6207" s="209"/>
      <c r="L6207" s="209"/>
      <c r="M6207" s="209"/>
      <c r="N6207" s="209"/>
      <c r="O6207" s="209"/>
      <c r="P6207" s="209"/>
      <c r="Q6207" s="209"/>
      <c r="R6207" s="209"/>
      <c r="S6207" s="209"/>
      <c r="T6207" s="209"/>
      <c r="U6207" s="165"/>
      <c r="V6207" s="165"/>
      <c r="W6207" s="165"/>
      <c r="X6207" s="165"/>
      <c r="Y6207" s="165"/>
      <c r="Z6207" s="165"/>
      <c r="AA6207" s="165"/>
      <c r="AB6207" s="165"/>
      <c r="AC6207" s="165"/>
      <c r="AD6207" s="165"/>
      <c r="AE6207" s="165"/>
      <c r="AF6207" s="165"/>
      <c r="AG6207" s="165"/>
      <c r="AH6207" s="165"/>
      <c r="AI6207" s="165"/>
      <c r="AJ6207" s="165"/>
      <c r="AK6207" s="165"/>
      <c r="AL6207" s="165"/>
      <c r="AM6207" s="165"/>
      <c r="AN6207" s="165"/>
      <c r="AO6207" s="165"/>
      <c r="AP6207" s="165"/>
      <c r="AQ6207" s="165"/>
      <c r="AR6207" s="165"/>
      <c r="AS6207" s="165"/>
      <c r="AT6207" s="165"/>
      <c r="AU6207" s="165"/>
      <c r="AV6207" s="165"/>
      <c r="AW6207" s="165"/>
      <c r="AX6207" s="165"/>
      <c r="AY6207" s="165"/>
      <c r="AZ6207" s="165"/>
      <c r="BA6207" s="165"/>
      <c r="BB6207" s="165"/>
      <c r="BC6207" s="165"/>
      <c r="BD6207" s="165"/>
      <c r="BE6207" s="165"/>
      <c r="BF6207" s="165"/>
      <c r="BG6207" s="165"/>
      <c r="BH6207" s="165"/>
      <c r="BI6207" s="165"/>
      <c r="BJ6207" s="165"/>
      <c r="BK6207" s="165"/>
      <c r="BL6207" s="165"/>
      <c r="BM6207" s="165"/>
      <c r="BN6207" s="165"/>
      <c r="BO6207" s="165"/>
      <c r="BP6207" s="165"/>
      <c r="BQ6207" s="165"/>
      <c r="BR6207" s="165"/>
      <c r="BS6207" s="165"/>
      <c r="BT6207" s="165"/>
      <c r="BU6207" s="165"/>
      <c r="BV6207" s="165"/>
      <c r="BW6207" s="165"/>
      <c r="BX6207" s="165"/>
      <c r="BY6207" s="165"/>
      <c r="BZ6207" s="165"/>
      <c r="CA6207" s="165"/>
      <c r="CB6207" s="165"/>
      <c r="CC6207" s="165"/>
      <c r="CD6207" s="165"/>
      <c r="CE6207" s="165"/>
      <c r="CF6207" s="165"/>
      <c r="CG6207" s="165"/>
      <c r="CH6207" s="165"/>
      <c r="CI6207" s="165"/>
      <c r="CJ6207" s="165"/>
      <c r="CK6207" s="165"/>
      <c r="CL6207" s="165"/>
      <c r="CM6207" s="165"/>
      <c r="CN6207" s="165"/>
      <c r="CO6207" s="165"/>
      <c r="CP6207" s="165"/>
      <c r="CQ6207" s="165"/>
      <c r="CR6207" s="165"/>
      <c r="CS6207" s="165"/>
      <c r="CT6207" s="165"/>
      <c r="CU6207" s="165"/>
      <c r="CV6207" s="165"/>
      <c r="CW6207" s="165"/>
      <c r="CX6207" s="165"/>
      <c r="CY6207" s="165"/>
      <c r="CZ6207" s="165"/>
      <c r="DA6207" s="165"/>
      <c r="DB6207" s="165"/>
      <c r="DC6207" s="165"/>
      <c r="DD6207" s="165"/>
      <c r="DE6207" s="165"/>
      <c r="DF6207" s="165"/>
      <c r="DG6207" s="165"/>
      <c r="DH6207" s="165"/>
      <c r="DI6207" s="165"/>
      <c r="DJ6207" s="165"/>
      <c r="DK6207" s="165"/>
      <c r="DL6207" s="165"/>
      <c r="DM6207" s="165"/>
      <c r="DN6207" s="165"/>
      <c r="DO6207" s="165"/>
      <c r="DP6207" s="165"/>
      <c r="DQ6207" s="165"/>
      <c r="DR6207" s="165"/>
      <c r="DS6207" s="165"/>
      <c r="DT6207" s="165"/>
      <c r="DU6207" s="165"/>
      <c r="DV6207" s="165"/>
      <c r="DW6207" s="165"/>
      <c r="DX6207" s="165"/>
      <c r="DY6207" s="165"/>
      <c r="DZ6207" s="165"/>
      <c r="EA6207" s="165"/>
      <c r="EB6207" s="165"/>
      <c r="EC6207" s="165"/>
      <c r="ED6207" s="165"/>
      <c r="EE6207" s="165"/>
      <c r="EF6207" s="165"/>
      <c r="EG6207" s="165"/>
      <c r="EH6207" s="165"/>
      <c r="EI6207" s="165"/>
      <c r="EJ6207" s="165"/>
      <c r="EK6207" s="165"/>
      <c r="EL6207" s="165"/>
      <c r="EM6207" s="165"/>
      <c r="EN6207" s="165"/>
      <c r="EO6207" s="165"/>
      <c r="EP6207" s="165"/>
      <c r="EQ6207" s="165"/>
      <c r="ER6207" s="165"/>
      <c r="ES6207" s="165"/>
    </row>
    <row r="6208" spans="1:149" ht="14.15" hidden="1">
      <c r="A6208" s="468">
        <v>45548</v>
      </c>
      <c r="B6208" s="208" t="s">
        <v>5047</v>
      </c>
      <c r="C6208" s="208" t="s">
        <v>146</v>
      </c>
      <c r="D6208" s="211">
        <v>-295000</v>
      </c>
      <c r="E6208" s="212">
        <v>45536</v>
      </c>
      <c r="F6208" s="208" t="s">
        <v>110</v>
      </c>
      <c r="G6208" s="208" t="s">
        <v>774</v>
      </c>
      <c r="H6208" s="208" t="s">
        <v>175</v>
      </c>
      <c r="I6208" s="208"/>
      <c r="J6208" s="209"/>
      <c r="K6208" s="209"/>
      <c r="L6208" s="209"/>
      <c r="M6208" s="209"/>
      <c r="N6208" s="209"/>
      <c r="O6208" s="209"/>
      <c r="P6208" s="209"/>
      <c r="Q6208" s="209"/>
      <c r="R6208" s="209"/>
      <c r="S6208" s="209"/>
      <c r="T6208" s="209"/>
    </row>
    <row r="6209" spans="1:149" s="451" customFormat="1" ht="14.15" hidden="1">
      <c r="A6209" s="468">
        <v>45549</v>
      </c>
      <c r="B6209" s="208" t="s">
        <v>5048</v>
      </c>
      <c r="C6209" s="208" t="s">
        <v>146</v>
      </c>
      <c r="D6209" s="211">
        <v>-40000</v>
      </c>
      <c r="E6209" s="212">
        <v>45536</v>
      </c>
      <c r="F6209" s="208" t="s">
        <v>109</v>
      </c>
      <c r="G6209" s="201" t="s">
        <v>581</v>
      </c>
      <c r="H6209" s="208"/>
      <c r="I6209" s="208" t="s">
        <v>3364</v>
      </c>
      <c r="J6209" s="209"/>
      <c r="K6209" s="209"/>
      <c r="L6209" s="209"/>
      <c r="M6209" s="209"/>
      <c r="N6209" s="209"/>
      <c r="O6209" s="209"/>
      <c r="P6209" s="209"/>
      <c r="Q6209" s="209"/>
      <c r="R6209" s="209"/>
      <c r="S6209" s="209"/>
      <c r="T6209" s="209"/>
      <c r="U6209" s="165"/>
      <c r="V6209" s="165"/>
      <c r="W6209" s="165"/>
      <c r="X6209" s="165"/>
      <c r="Y6209" s="165"/>
      <c r="Z6209" s="165"/>
      <c r="AA6209" s="165"/>
      <c r="AB6209" s="165"/>
      <c r="AC6209" s="165"/>
      <c r="AD6209" s="165"/>
      <c r="AE6209" s="165"/>
      <c r="AF6209" s="165"/>
      <c r="AG6209" s="165"/>
      <c r="AH6209" s="165"/>
      <c r="AI6209" s="165"/>
      <c r="AJ6209" s="165"/>
      <c r="AK6209" s="165"/>
      <c r="AL6209" s="165"/>
      <c r="AM6209" s="165"/>
      <c r="AN6209" s="165"/>
      <c r="AO6209" s="165"/>
      <c r="AP6209" s="165"/>
      <c r="AQ6209" s="165"/>
      <c r="AR6209" s="165"/>
      <c r="AS6209" s="165"/>
      <c r="AT6209" s="165"/>
      <c r="AU6209" s="165"/>
      <c r="AV6209" s="165"/>
      <c r="AW6209" s="165"/>
      <c r="AX6209" s="165"/>
      <c r="AY6209" s="165"/>
      <c r="AZ6209" s="165"/>
      <c r="BA6209" s="165"/>
      <c r="BB6209" s="165"/>
      <c r="BC6209" s="165"/>
      <c r="BD6209" s="165"/>
      <c r="BE6209" s="165"/>
      <c r="BF6209" s="165"/>
      <c r="BG6209" s="165"/>
      <c r="BH6209" s="165"/>
      <c r="BI6209" s="165"/>
      <c r="BJ6209" s="165"/>
      <c r="BK6209" s="165"/>
      <c r="BL6209" s="165"/>
      <c r="BM6209" s="165"/>
      <c r="BN6209" s="165"/>
      <c r="BO6209" s="165"/>
      <c r="BP6209" s="165"/>
      <c r="BQ6209" s="165"/>
      <c r="BR6209" s="165"/>
      <c r="BS6209" s="165"/>
      <c r="BT6209" s="165"/>
      <c r="BU6209" s="165"/>
      <c r="BV6209" s="165"/>
      <c r="BW6209" s="165"/>
      <c r="BX6209" s="165"/>
      <c r="BY6209" s="165"/>
      <c r="BZ6209" s="165"/>
      <c r="CA6209" s="165"/>
      <c r="CB6209" s="165"/>
      <c r="CC6209" s="165"/>
      <c r="CD6209" s="165"/>
      <c r="CE6209" s="165"/>
      <c r="CF6209" s="165"/>
      <c r="CG6209" s="165"/>
      <c r="CH6209" s="165"/>
      <c r="CI6209" s="165"/>
      <c r="CJ6209" s="165"/>
      <c r="CK6209" s="165"/>
      <c r="CL6209" s="165"/>
      <c r="CM6209" s="165"/>
      <c r="CN6209" s="165"/>
      <c r="CO6209" s="165"/>
      <c r="CP6209" s="165"/>
      <c r="CQ6209" s="165"/>
      <c r="CR6209" s="165"/>
      <c r="CS6209" s="165"/>
      <c r="CT6209" s="165"/>
      <c r="CU6209" s="165"/>
      <c r="CV6209" s="165"/>
      <c r="CW6209" s="165"/>
      <c r="CX6209" s="165"/>
      <c r="CY6209" s="165"/>
      <c r="CZ6209" s="165"/>
      <c r="DA6209" s="165"/>
      <c r="DB6209" s="165"/>
      <c r="DC6209" s="165"/>
      <c r="DD6209" s="165"/>
      <c r="DE6209" s="165"/>
      <c r="DF6209" s="165"/>
      <c r="DG6209" s="165"/>
      <c r="DH6209" s="165"/>
      <c r="DI6209" s="165"/>
      <c r="DJ6209" s="165"/>
      <c r="DK6209" s="165"/>
      <c r="DL6209" s="165"/>
      <c r="DM6209" s="165"/>
      <c r="DN6209" s="165"/>
      <c r="DO6209" s="165"/>
      <c r="DP6209" s="165"/>
      <c r="DQ6209" s="165"/>
      <c r="DR6209" s="165"/>
      <c r="DS6209" s="165"/>
      <c r="DT6209" s="165"/>
      <c r="DU6209" s="165"/>
      <c r="DV6209" s="165"/>
      <c r="DW6209" s="165"/>
      <c r="DX6209" s="165"/>
      <c r="DY6209" s="165"/>
      <c r="DZ6209" s="165"/>
      <c r="EA6209" s="165"/>
      <c r="EB6209" s="165"/>
      <c r="EC6209" s="165"/>
      <c r="ED6209" s="165"/>
      <c r="EE6209" s="165"/>
      <c r="EF6209" s="165"/>
      <c r="EG6209" s="165"/>
      <c r="EH6209" s="165"/>
      <c r="EI6209" s="165"/>
      <c r="EJ6209" s="165"/>
      <c r="EK6209" s="165"/>
      <c r="EL6209" s="165"/>
      <c r="EM6209" s="165"/>
      <c r="EN6209" s="165"/>
      <c r="EO6209" s="165"/>
      <c r="EP6209" s="165"/>
      <c r="EQ6209" s="165"/>
      <c r="ER6209" s="165"/>
      <c r="ES6209" s="165"/>
    </row>
    <row r="6210" spans="1:149" s="451" customFormat="1" ht="14.15" hidden="1">
      <c r="A6210" s="468">
        <v>45549</v>
      </c>
      <c r="B6210" s="208" t="s">
        <v>4909</v>
      </c>
      <c r="C6210" s="208" t="s">
        <v>146</v>
      </c>
      <c r="D6210" s="211">
        <v>-60200</v>
      </c>
      <c r="E6210" s="212">
        <v>45536</v>
      </c>
      <c r="F6210" s="208" t="s">
        <v>110</v>
      </c>
      <c r="G6210" s="208" t="s">
        <v>4399</v>
      </c>
      <c r="H6210" s="208" t="s">
        <v>147</v>
      </c>
      <c r="I6210" s="208" t="s">
        <v>3378</v>
      </c>
      <c r="J6210" s="209"/>
      <c r="K6210" s="209"/>
      <c r="L6210" s="209"/>
      <c r="M6210" s="209"/>
      <c r="N6210" s="209"/>
      <c r="O6210" s="209"/>
      <c r="P6210" s="209"/>
      <c r="Q6210" s="209"/>
      <c r="R6210" s="209"/>
      <c r="S6210" s="209"/>
      <c r="T6210" s="209"/>
      <c r="U6210" s="165"/>
      <c r="V6210" s="165"/>
      <c r="W6210" s="165"/>
      <c r="X6210" s="165"/>
      <c r="Y6210" s="165"/>
      <c r="Z6210" s="165"/>
      <c r="AA6210" s="165"/>
      <c r="AB6210" s="165"/>
      <c r="AC6210" s="165"/>
      <c r="AD6210" s="165"/>
      <c r="AE6210" s="165"/>
      <c r="AF6210" s="165"/>
      <c r="AG6210" s="165"/>
      <c r="AH6210" s="165"/>
      <c r="AI6210" s="165"/>
      <c r="AJ6210" s="165"/>
      <c r="AK6210" s="165"/>
      <c r="AL6210" s="165"/>
      <c r="AM6210" s="165"/>
      <c r="AN6210" s="165"/>
      <c r="AO6210" s="165"/>
      <c r="AP6210" s="165"/>
      <c r="AQ6210" s="165"/>
      <c r="AR6210" s="165"/>
      <c r="AS6210" s="165"/>
      <c r="AT6210" s="165"/>
      <c r="AU6210" s="165"/>
      <c r="AV6210" s="165"/>
      <c r="AW6210" s="165"/>
      <c r="AX6210" s="165"/>
      <c r="AY6210" s="165"/>
      <c r="AZ6210" s="165"/>
      <c r="BA6210" s="165"/>
      <c r="BB6210" s="165"/>
      <c r="BC6210" s="165"/>
      <c r="BD6210" s="165"/>
      <c r="BE6210" s="165"/>
      <c r="BF6210" s="165"/>
      <c r="BG6210" s="165"/>
      <c r="BH6210" s="165"/>
      <c r="BI6210" s="165"/>
      <c r="BJ6210" s="165"/>
      <c r="BK6210" s="165"/>
      <c r="BL6210" s="165"/>
      <c r="BM6210" s="165"/>
      <c r="BN6210" s="165"/>
      <c r="BO6210" s="165"/>
      <c r="BP6210" s="165"/>
      <c r="BQ6210" s="165"/>
      <c r="BR6210" s="165"/>
      <c r="BS6210" s="165"/>
      <c r="BT6210" s="165"/>
      <c r="BU6210" s="165"/>
      <c r="BV6210" s="165"/>
      <c r="BW6210" s="165"/>
      <c r="BX6210" s="165"/>
      <c r="BY6210" s="165"/>
      <c r="BZ6210" s="165"/>
      <c r="CA6210" s="165"/>
      <c r="CB6210" s="165"/>
      <c r="CC6210" s="165"/>
      <c r="CD6210" s="165"/>
      <c r="CE6210" s="165"/>
      <c r="CF6210" s="165"/>
      <c r="CG6210" s="165"/>
      <c r="CH6210" s="165"/>
      <c r="CI6210" s="165"/>
      <c r="CJ6210" s="165"/>
      <c r="CK6210" s="165"/>
      <c r="CL6210" s="165"/>
      <c r="CM6210" s="165"/>
      <c r="CN6210" s="165"/>
      <c r="CO6210" s="165"/>
      <c r="CP6210" s="165"/>
      <c r="CQ6210" s="165"/>
      <c r="CR6210" s="165"/>
      <c r="CS6210" s="165"/>
      <c r="CT6210" s="165"/>
      <c r="CU6210" s="165"/>
      <c r="CV6210" s="165"/>
      <c r="CW6210" s="165"/>
      <c r="CX6210" s="165"/>
      <c r="CY6210" s="165"/>
      <c r="CZ6210" s="165"/>
      <c r="DA6210" s="165"/>
      <c r="DB6210" s="165"/>
      <c r="DC6210" s="165"/>
      <c r="DD6210" s="165"/>
      <c r="DE6210" s="165"/>
      <c r="DF6210" s="165"/>
      <c r="DG6210" s="165"/>
      <c r="DH6210" s="165"/>
      <c r="DI6210" s="165"/>
      <c r="DJ6210" s="165"/>
      <c r="DK6210" s="165"/>
      <c r="DL6210" s="165"/>
      <c r="DM6210" s="165"/>
      <c r="DN6210" s="165"/>
      <c r="DO6210" s="165"/>
      <c r="DP6210" s="165"/>
      <c r="DQ6210" s="165"/>
      <c r="DR6210" s="165"/>
      <c r="DS6210" s="165"/>
      <c r="DT6210" s="165"/>
      <c r="DU6210" s="165"/>
      <c r="DV6210" s="165"/>
      <c r="DW6210" s="165"/>
      <c r="DX6210" s="165"/>
      <c r="DY6210" s="165"/>
      <c r="DZ6210" s="165"/>
      <c r="EA6210" s="165"/>
      <c r="EB6210" s="165"/>
      <c r="EC6210" s="165"/>
      <c r="ED6210" s="165"/>
      <c r="EE6210" s="165"/>
      <c r="EF6210" s="165"/>
      <c r="EG6210" s="165"/>
      <c r="EH6210" s="165"/>
      <c r="EI6210" s="165"/>
      <c r="EJ6210" s="165"/>
      <c r="EK6210" s="165"/>
      <c r="EL6210" s="165"/>
      <c r="EM6210" s="165"/>
      <c r="EN6210" s="165"/>
      <c r="EO6210" s="165"/>
      <c r="EP6210" s="165"/>
      <c r="EQ6210" s="165"/>
      <c r="ER6210" s="165"/>
      <c r="ES6210" s="165"/>
    </row>
    <row r="6211" spans="1:149" s="451" customFormat="1" ht="14.15" hidden="1">
      <c r="A6211" s="468">
        <v>45549</v>
      </c>
      <c r="B6211" s="208" t="s">
        <v>4910</v>
      </c>
      <c r="C6211" s="208" t="s">
        <v>146</v>
      </c>
      <c r="D6211" s="211">
        <v>-43500</v>
      </c>
      <c r="E6211" s="212">
        <v>45536</v>
      </c>
      <c r="F6211" s="208" t="s">
        <v>110</v>
      </c>
      <c r="G6211" s="208" t="s">
        <v>4399</v>
      </c>
      <c r="H6211" s="208" t="s">
        <v>147</v>
      </c>
      <c r="I6211" s="208" t="s">
        <v>3378</v>
      </c>
      <c r="J6211" s="209"/>
      <c r="K6211" s="209"/>
      <c r="L6211" s="209"/>
      <c r="M6211" s="209"/>
      <c r="N6211" s="209"/>
      <c r="O6211" s="209"/>
      <c r="P6211" s="209"/>
      <c r="Q6211" s="209"/>
      <c r="R6211" s="209"/>
      <c r="S6211" s="209"/>
      <c r="T6211" s="209"/>
      <c r="U6211" s="165"/>
      <c r="V6211" s="165"/>
      <c r="W6211" s="165"/>
      <c r="X6211" s="165"/>
      <c r="Y6211" s="165"/>
      <c r="Z6211" s="165"/>
      <c r="AA6211" s="165"/>
      <c r="AB6211" s="165"/>
      <c r="AC6211" s="165"/>
      <c r="AD6211" s="165"/>
      <c r="AE6211" s="165"/>
      <c r="AF6211" s="165"/>
      <c r="AG6211" s="165"/>
      <c r="AH6211" s="165"/>
      <c r="AI6211" s="165"/>
      <c r="AJ6211" s="165"/>
      <c r="AK6211" s="165"/>
      <c r="AL6211" s="165"/>
      <c r="AM6211" s="165"/>
      <c r="AN6211" s="165"/>
      <c r="AO6211" s="165"/>
      <c r="AP6211" s="165"/>
      <c r="AQ6211" s="165"/>
      <c r="AR6211" s="165"/>
      <c r="AS6211" s="165"/>
      <c r="AT6211" s="165"/>
      <c r="AU6211" s="165"/>
      <c r="AV6211" s="165"/>
      <c r="AW6211" s="165"/>
      <c r="AX6211" s="165"/>
      <c r="AY6211" s="165"/>
      <c r="AZ6211" s="165"/>
      <c r="BA6211" s="165"/>
      <c r="BB6211" s="165"/>
      <c r="BC6211" s="165"/>
      <c r="BD6211" s="165"/>
      <c r="BE6211" s="165"/>
      <c r="BF6211" s="165"/>
      <c r="BG6211" s="165"/>
      <c r="BH6211" s="165"/>
      <c r="BI6211" s="165"/>
      <c r="BJ6211" s="165"/>
      <c r="BK6211" s="165"/>
      <c r="BL6211" s="165"/>
      <c r="BM6211" s="165"/>
      <c r="BN6211" s="165"/>
      <c r="BO6211" s="165"/>
      <c r="BP6211" s="165"/>
      <c r="BQ6211" s="165"/>
      <c r="BR6211" s="165"/>
      <c r="BS6211" s="165"/>
      <c r="BT6211" s="165"/>
      <c r="BU6211" s="165"/>
      <c r="BV6211" s="165"/>
      <c r="BW6211" s="165"/>
      <c r="BX6211" s="165"/>
      <c r="BY6211" s="165"/>
      <c r="BZ6211" s="165"/>
      <c r="CA6211" s="165"/>
      <c r="CB6211" s="165"/>
      <c r="CC6211" s="165"/>
      <c r="CD6211" s="165"/>
      <c r="CE6211" s="165"/>
      <c r="CF6211" s="165"/>
      <c r="CG6211" s="165"/>
      <c r="CH6211" s="165"/>
      <c r="CI6211" s="165"/>
      <c r="CJ6211" s="165"/>
      <c r="CK6211" s="165"/>
      <c r="CL6211" s="165"/>
      <c r="CM6211" s="165"/>
      <c r="CN6211" s="165"/>
      <c r="CO6211" s="165"/>
      <c r="CP6211" s="165"/>
      <c r="CQ6211" s="165"/>
      <c r="CR6211" s="165"/>
      <c r="CS6211" s="165"/>
      <c r="CT6211" s="165"/>
      <c r="CU6211" s="165"/>
      <c r="CV6211" s="165"/>
      <c r="CW6211" s="165"/>
      <c r="CX6211" s="165"/>
      <c r="CY6211" s="165"/>
      <c r="CZ6211" s="165"/>
      <c r="DA6211" s="165"/>
      <c r="DB6211" s="165"/>
      <c r="DC6211" s="165"/>
      <c r="DD6211" s="165"/>
      <c r="DE6211" s="165"/>
      <c r="DF6211" s="165"/>
      <c r="DG6211" s="165"/>
      <c r="DH6211" s="165"/>
      <c r="DI6211" s="165"/>
      <c r="DJ6211" s="165"/>
      <c r="DK6211" s="165"/>
      <c r="DL6211" s="165"/>
      <c r="DM6211" s="165"/>
      <c r="DN6211" s="165"/>
      <c r="DO6211" s="165"/>
      <c r="DP6211" s="165"/>
      <c r="DQ6211" s="165"/>
      <c r="DR6211" s="165"/>
      <c r="DS6211" s="165"/>
      <c r="DT6211" s="165"/>
      <c r="DU6211" s="165"/>
      <c r="DV6211" s="165"/>
      <c r="DW6211" s="165"/>
      <c r="DX6211" s="165"/>
      <c r="DY6211" s="165"/>
      <c r="DZ6211" s="165"/>
      <c r="EA6211" s="165"/>
      <c r="EB6211" s="165"/>
      <c r="EC6211" s="165"/>
      <c r="ED6211" s="165"/>
      <c r="EE6211" s="165"/>
      <c r="EF6211" s="165"/>
      <c r="EG6211" s="165"/>
      <c r="EH6211" s="165"/>
      <c r="EI6211" s="165"/>
      <c r="EJ6211" s="165"/>
      <c r="EK6211" s="165"/>
      <c r="EL6211" s="165"/>
      <c r="EM6211" s="165"/>
      <c r="EN6211" s="165"/>
      <c r="EO6211" s="165"/>
      <c r="EP6211" s="165"/>
      <c r="EQ6211" s="165"/>
      <c r="ER6211" s="165"/>
      <c r="ES6211" s="165"/>
    </row>
    <row r="6212" spans="1:149" s="451" customFormat="1" ht="14.15" hidden="1">
      <c r="A6212" s="468">
        <v>45550</v>
      </c>
      <c r="B6212" s="208" t="s">
        <v>3142</v>
      </c>
      <c r="C6212" s="208" t="s">
        <v>643</v>
      </c>
      <c r="D6212" s="211">
        <v>-123500</v>
      </c>
      <c r="E6212" s="212">
        <v>45536</v>
      </c>
      <c r="F6212" s="208" t="s">
        <v>130</v>
      </c>
      <c r="G6212" s="208" t="s">
        <v>130</v>
      </c>
      <c r="H6212" s="208" t="s">
        <v>1245</v>
      </c>
      <c r="I6212" s="208"/>
      <c r="J6212" s="209"/>
      <c r="K6212" s="209"/>
      <c r="L6212" s="209"/>
      <c r="M6212" s="209"/>
      <c r="N6212" s="209"/>
      <c r="O6212" s="209"/>
      <c r="P6212" s="209"/>
      <c r="Q6212" s="209"/>
      <c r="R6212" s="209"/>
      <c r="S6212" s="209"/>
      <c r="T6212" s="209"/>
      <c r="U6212" s="165"/>
      <c r="V6212" s="165"/>
      <c r="W6212" s="165"/>
      <c r="X6212" s="165"/>
      <c r="Y6212" s="165"/>
      <c r="Z6212" s="165"/>
      <c r="AA6212" s="165"/>
      <c r="AB6212" s="165"/>
      <c r="AC6212" s="165"/>
      <c r="AD6212" s="165"/>
      <c r="AE6212" s="165"/>
      <c r="AF6212" s="165"/>
      <c r="AG6212" s="165"/>
      <c r="AH6212" s="165"/>
      <c r="AI6212" s="165"/>
      <c r="AJ6212" s="165"/>
      <c r="AK6212" s="165"/>
      <c r="AL6212" s="165"/>
      <c r="AM6212" s="165"/>
      <c r="AN6212" s="165"/>
      <c r="AO6212" s="165"/>
      <c r="AP6212" s="165"/>
      <c r="AQ6212" s="165"/>
      <c r="AR6212" s="165"/>
      <c r="AS6212" s="165"/>
      <c r="AT6212" s="165"/>
      <c r="AU6212" s="165"/>
      <c r="AV6212" s="165"/>
      <c r="AW6212" s="165"/>
      <c r="AX6212" s="165"/>
      <c r="AY6212" s="165"/>
      <c r="AZ6212" s="165"/>
      <c r="BA6212" s="165"/>
      <c r="BB6212" s="165"/>
      <c r="BC6212" s="165"/>
      <c r="BD6212" s="165"/>
      <c r="BE6212" s="165"/>
      <c r="BF6212" s="165"/>
      <c r="BG6212" s="165"/>
      <c r="BH6212" s="165"/>
      <c r="BI6212" s="165"/>
      <c r="BJ6212" s="165"/>
      <c r="BK6212" s="165"/>
      <c r="BL6212" s="165"/>
      <c r="BM6212" s="165"/>
      <c r="BN6212" s="165"/>
      <c r="BO6212" s="165"/>
      <c r="BP6212" s="165"/>
      <c r="BQ6212" s="165"/>
      <c r="BR6212" s="165"/>
      <c r="BS6212" s="165"/>
      <c r="BT6212" s="165"/>
      <c r="BU6212" s="165"/>
      <c r="BV6212" s="165"/>
      <c r="BW6212" s="165"/>
      <c r="BX6212" s="165"/>
      <c r="BY6212" s="165"/>
      <c r="BZ6212" s="165"/>
      <c r="CA6212" s="165"/>
      <c r="CB6212" s="165"/>
      <c r="CC6212" s="165"/>
      <c r="CD6212" s="165"/>
      <c r="CE6212" s="165"/>
      <c r="CF6212" s="165"/>
      <c r="CG6212" s="165"/>
      <c r="CH6212" s="165"/>
      <c r="CI6212" s="165"/>
      <c r="CJ6212" s="165"/>
      <c r="CK6212" s="165"/>
      <c r="CL6212" s="165"/>
      <c r="CM6212" s="165"/>
      <c r="CN6212" s="165"/>
      <c r="CO6212" s="165"/>
      <c r="CP6212" s="165"/>
      <c r="CQ6212" s="165"/>
      <c r="CR6212" s="165"/>
      <c r="CS6212" s="165"/>
      <c r="CT6212" s="165"/>
      <c r="CU6212" s="165"/>
      <c r="CV6212" s="165"/>
      <c r="CW6212" s="165"/>
      <c r="CX6212" s="165"/>
      <c r="CY6212" s="165"/>
      <c r="CZ6212" s="165"/>
      <c r="DA6212" s="165"/>
      <c r="DB6212" s="165"/>
      <c r="DC6212" s="165"/>
      <c r="DD6212" s="165"/>
      <c r="DE6212" s="165"/>
      <c r="DF6212" s="165"/>
      <c r="DG6212" s="165"/>
      <c r="DH6212" s="165"/>
      <c r="DI6212" s="165"/>
      <c r="DJ6212" s="165"/>
      <c r="DK6212" s="165"/>
      <c r="DL6212" s="165"/>
      <c r="DM6212" s="165"/>
      <c r="DN6212" s="165"/>
      <c r="DO6212" s="165"/>
      <c r="DP6212" s="165"/>
      <c r="DQ6212" s="165"/>
      <c r="DR6212" s="165"/>
      <c r="DS6212" s="165"/>
      <c r="DT6212" s="165"/>
      <c r="DU6212" s="165"/>
      <c r="DV6212" s="165"/>
      <c r="DW6212" s="165"/>
      <c r="DX6212" s="165"/>
      <c r="DY6212" s="165"/>
      <c r="DZ6212" s="165"/>
      <c r="EA6212" s="165"/>
      <c r="EB6212" s="165"/>
      <c r="EC6212" s="165"/>
      <c r="ED6212" s="165"/>
      <c r="EE6212" s="165"/>
      <c r="EF6212" s="165"/>
      <c r="EG6212" s="165"/>
      <c r="EH6212" s="165"/>
      <c r="EI6212" s="165"/>
      <c r="EJ6212" s="165"/>
      <c r="EK6212" s="165"/>
      <c r="EL6212" s="165"/>
      <c r="EM6212" s="165"/>
      <c r="EN6212" s="165"/>
      <c r="EO6212" s="165"/>
      <c r="EP6212" s="165"/>
      <c r="EQ6212" s="165"/>
      <c r="ER6212" s="165"/>
      <c r="ES6212" s="165"/>
    </row>
    <row r="6213" spans="1:149" s="451" customFormat="1" ht="14.15" hidden="1">
      <c r="A6213" s="468">
        <v>45550</v>
      </c>
      <c r="B6213" s="208" t="s">
        <v>5049</v>
      </c>
      <c r="C6213" s="208" t="s">
        <v>643</v>
      </c>
      <c r="D6213" s="211">
        <v>-312400</v>
      </c>
      <c r="E6213" s="212">
        <v>45536</v>
      </c>
      <c r="F6213" s="208" t="s">
        <v>130</v>
      </c>
      <c r="G6213" s="208" t="s">
        <v>257</v>
      </c>
      <c r="H6213" s="208" t="s">
        <v>1138</v>
      </c>
      <c r="I6213" s="208"/>
      <c r="J6213" s="209"/>
      <c r="K6213" s="209"/>
      <c r="L6213" s="209"/>
      <c r="M6213" s="209"/>
      <c r="N6213" s="209"/>
      <c r="O6213" s="209"/>
      <c r="P6213" s="209"/>
      <c r="Q6213" s="209"/>
      <c r="R6213" s="209"/>
      <c r="S6213" s="209"/>
      <c r="T6213" s="209"/>
      <c r="U6213" s="165"/>
      <c r="V6213" s="165"/>
      <c r="W6213" s="165"/>
      <c r="X6213" s="165"/>
      <c r="Y6213" s="165"/>
      <c r="Z6213" s="165"/>
      <c r="AA6213" s="165"/>
      <c r="AB6213" s="165"/>
      <c r="AC6213" s="165"/>
      <c r="AD6213" s="165"/>
      <c r="AE6213" s="165"/>
      <c r="AF6213" s="165"/>
      <c r="AG6213" s="165"/>
      <c r="AH6213" s="165"/>
      <c r="AI6213" s="165"/>
      <c r="AJ6213" s="165"/>
      <c r="AK6213" s="165"/>
      <c r="AL6213" s="165"/>
      <c r="AM6213" s="165"/>
      <c r="AN6213" s="165"/>
      <c r="AO6213" s="165"/>
      <c r="AP6213" s="165"/>
      <c r="AQ6213" s="165"/>
      <c r="AR6213" s="165"/>
      <c r="AS6213" s="165"/>
      <c r="AT6213" s="165"/>
      <c r="AU6213" s="165"/>
      <c r="AV6213" s="165"/>
      <c r="AW6213" s="165"/>
      <c r="AX6213" s="165"/>
      <c r="AY6213" s="165"/>
      <c r="AZ6213" s="165"/>
      <c r="BA6213" s="165"/>
      <c r="BB6213" s="165"/>
      <c r="BC6213" s="165"/>
      <c r="BD6213" s="165"/>
      <c r="BE6213" s="165"/>
      <c r="BF6213" s="165"/>
      <c r="BG6213" s="165"/>
      <c r="BH6213" s="165"/>
      <c r="BI6213" s="165"/>
      <c r="BJ6213" s="165"/>
      <c r="BK6213" s="165"/>
      <c r="BL6213" s="165"/>
      <c r="BM6213" s="165"/>
      <c r="BN6213" s="165"/>
      <c r="BO6213" s="165"/>
      <c r="BP6213" s="165"/>
      <c r="BQ6213" s="165"/>
      <c r="BR6213" s="165"/>
      <c r="BS6213" s="165"/>
      <c r="BT6213" s="165"/>
      <c r="BU6213" s="165"/>
      <c r="BV6213" s="165"/>
      <c r="BW6213" s="165"/>
      <c r="BX6213" s="165"/>
      <c r="BY6213" s="165"/>
      <c r="BZ6213" s="165"/>
      <c r="CA6213" s="165"/>
      <c r="CB6213" s="165"/>
      <c r="CC6213" s="165"/>
      <c r="CD6213" s="165"/>
      <c r="CE6213" s="165"/>
      <c r="CF6213" s="165"/>
      <c r="CG6213" s="165"/>
      <c r="CH6213" s="165"/>
      <c r="CI6213" s="165"/>
      <c r="CJ6213" s="165"/>
      <c r="CK6213" s="165"/>
      <c r="CL6213" s="165"/>
      <c r="CM6213" s="165"/>
      <c r="CN6213" s="165"/>
      <c r="CO6213" s="165"/>
      <c r="CP6213" s="165"/>
      <c r="CQ6213" s="165"/>
      <c r="CR6213" s="165"/>
      <c r="CS6213" s="165"/>
      <c r="CT6213" s="165"/>
      <c r="CU6213" s="165"/>
      <c r="CV6213" s="165"/>
      <c r="CW6213" s="165"/>
      <c r="CX6213" s="165"/>
      <c r="CY6213" s="165"/>
      <c r="CZ6213" s="165"/>
      <c r="DA6213" s="165"/>
      <c r="DB6213" s="165"/>
      <c r="DC6213" s="165"/>
      <c r="DD6213" s="165"/>
      <c r="DE6213" s="165"/>
      <c r="DF6213" s="165"/>
      <c r="DG6213" s="165"/>
      <c r="DH6213" s="165"/>
      <c r="DI6213" s="165"/>
      <c r="DJ6213" s="165"/>
      <c r="DK6213" s="165"/>
      <c r="DL6213" s="165"/>
      <c r="DM6213" s="165"/>
      <c r="DN6213" s="165"/>
      <c r="DO6213" s="165"/>
      <c r="DP6213" s="165"/>
      <c r="DQ6213" s="165"/>
      <c r="DR6213" s="165"/>
      <c r="DS6213" s="165"/>
      <c r="DT6213" s="165"/>
      <c r="DU6213" s="165"/>
      <c r="DV6213" s="165"/>
      <c r="DW6213" s="165"/>
      <c r="DX6213" s="165"/>
      <c r="DY6213" s="165"/>
      <c r="DZ6213" s="165"/>
      <c r="EA6213" s="165"/>
      <c r="EB6213" s="165"/>
      <c r="EC6213" s="165"/>
      <c r="ED6213" s="165"/>
      <c r="EE6213" s="165"/>
      <c r="EF6213" s="165"/>
      <c r="EG6213" s="165"/>
      <c r="EH6213" s="165"/>
      <c r="EI6213" s="165"/>
      <c r="EJ6213" s="165"/>
      <c r="EK6213" s="165"/>
      <c r="EL6213" s="165"/>
      <c r="EM6213" s="165"/>
      <c r="EN6213" s="165"/>
      <c r="EO6213" s="165"/>
      <c r="EP6213" s="165"/>
      <c r="EQ6213" s="165"/>
      <c r="ER6213" s="165"/>
      <c r="ES6213" s="165"/>
    </row>
    <row r="6214" spans="1:149" ht="14.15" hidden="1">
      <c r="A6214" s="468">
        <v>45550</v>
      </c>
      <c r="B6214" s="208" t="s">
        <v>1830</v>
      </c>
      <c r="C6214" s="208" t="s">
        <v>643</v>
      </c>
      <c r="D6214" s="211">
        <v>-131766</v>
      </c>
      <c r="E6214" s="212">
        <v>45536</v>
      </c>
      <c r="F6214" s="208" t="s">
        <v>130</v>
      </c>
      <c r="G6214" s="208" t="s">
        <v>130</v>
      </c>
      <c r="H6214" s="208" t="s">
        <v>1245</v>
      </c>
      <c r="I6214" s="208"/>
      <c r="J6214" s="209"/>
      <c r="K6214" s="209"/>
      <c r="L6214" s="209"/>
      <c r="M6214" s="209"/>
      <c r="N6214" s="209"/>
      <c r="O6214" s="209"/>
      <c r="P6214" s="209"/>
      <c r="Q6214" s="209"/>
      <c r="R6214" s="209"/>
      <c r="S6214" s="209"/>
      <c r="T6214" s="209"/>
    </row>
    <row r="6215" spans="1:149" s="451" customFormat="1" ht="14.15" hidden="1">
      <c r="A6215" s="468">
        <v>45550</v>
      </c>
      <c r="B6215" s="208" t="s">
        <v>5050</v>
      </c>
      <c r="C6215" s="208" t="s">
        <v>643</v>
      </c>
      <c r="D6215" s="211">
        <v>-176000</v>
      </c>
      <c r="E6215" s="212">
        <v>45536</v>
      </c>
      <c r="F6215" s="208" t="s">
        <v>130</v>
      </c>
      <c r="G6215" s="208" t="s">
        <v>257</v>
      </c>
      <c r="H6215" s="208" t="s">
        <v>1138</v>
      </c>
      <c r="I6215" s="208"/>
      <c r="J6215" s="209"/>
      <c r="K6215" s="209"/>
      <c r="L6215" s="209"/>
      <c r="M6215" s="209"/>
      <c r="N6215" s="209"/>
      <c r="O6215" s="209"/>
      <c r="P6215" s="209"/>
      <c r="Q6215" s="209"/>
      <c r="R6215" s="209"/>
      <c r="S6215" s="209"/>
      <c r="T6215" s="209"/>
      <c r="U6215" s="165"/>
      <c r="V6215" s="165"/>
      <c r="W6215" s="165"/>
      <c r="X6215" s="165"/>
      <c r="Y6215" s="165"/>
      <c r="Z6215" s="165"/>
      <c r="AA6215" s="165"/>
      <c r="AB6215" s="165"/>
      <c r="AC6215" s="165"/>
      <c r="AD6215" s="165"/>
      <c r="AE6215" s="165"/>
      <c r="AF6215" s="165"/>
      <c r="AG6215" s="165"/>
      <c r="AH6215" s="165"/>
      <c r="AI6215" s="165"/>
      <c r="AJ6215" s="165"/>
      <c r="AK6215" s="165"/>
      <c r="AL6215" s="165"/>
      <c r="AM6215" s="165"/>
      <c r="AN6215" s="165"/>
      <c r="AO6215" s="165"/>
      <c r="AP6215" s="165"/>
      <c r="AQ6215" s="165"/>
      <c r="AR6215" s="165"/>
      <c r="AS6215" s="165"/>
      <c r="AT6215" s="165"/>
      <c r="AU6215" s="165"/>
      <c r="AV6215" s="165"/>
      <c r="AW6215" s="165"/>
      <c r="AX6215" s="165"/>
      <c r="AY6215" s="165"/>
      <c r="AZ6215" s="165"/>
      <c r="BA6215" s="165"/>
      <c r="BB6215" s="165"/>
      <c r="BC6215" s="165"/>
      <c r="BD6215" s="165"/>
      <c r="BE6215" s="165"/>
      <c r="BF6215" s="165"/>
      <c r="BG6215" s="165"/>
      <c r="BH6215" s="165"/>
      <c r="BI6215" s="165"/>
      <c r="BJ6215" s="165"/>
      <c r="BK6215" s="165"/>
      <c r="BL6215" s="165"/>
      <c r="BM6215" s="165"/>
      <c r="BN6215" s="165"/>
      <c r="BO6215" s="165"/>
      <c r="BP6215" s="165"/>
      <c r="BQ6215" s="165"/>
      <c r="BR6215" s="165"/>
      <c r="BS6215" s="165"/>
      <c r="BT6215" s="165"/>
      <c r="BU6215" s="165"/>
      <c r="BV6215" s="165"/>
      <c r="BW6215" s="165"/>
      <c r="BX6215" s="165"/>
      <c r="BY6215" s="165"/>
      <c r="BZ6215" s="165"/>
      <c r="CA6215" s="165"/>
      <c r="CB6215" s="165"/>
      <c r="CC6215" s="165"/>
      <c r="CD6215" s="165"/>
      <c r="CE6215" s="165"/>
      <c r="CF6215" s="165"/>
      <c r="CG6215" s="165"/>
      <c r="CH6215" s="165"/>
      <c r="CI6215" s="165"/>
      <c r="CJ6215" s="165"/>
      <c r="CK6215" s="165"/>
      <c r="CL6215" s="165"/>
      <c r="CM6215" s="165"/>
      <c r="CN6215" s="165"/>
      <c r="CO6215" s="165"/>
      <c r="CP6215" s="165"/>
      <c r="CQ6215" s="165"/>
      <c r="CR6215" s="165"/>
      <c r="CS6215" s="165"/>
      <c r="CT6215" s="165"/>
      <c r="CU6215" s="165"/>
      <c r="CV6215" s="165"/>
      <c r="CW6215" s="165"/>
      <c r="CX6215" s="165"/>
      <c r="CY6215" s="165"/>
      <c r="CZ6215" s="165"/>
      <c r="DA6215" s="165"/>
      <c r="DB6215" s="165"/>
      <c r="DC6215" s="165"/>
      <c r="DD6215" s="165"/>
      <c r="DE6215" s="165"/>
      <c r="DF6215" s="165"/>
      <c r="DG6215" s="165"/>
      <c r="DH6215" s="165"/>
      <c r="DI6215" s="165"/>
      <c r="DJ6215" s="165"/>
      <c r="DK6215" s="165"/>
      <c r="DL6215" s="165"/>
      <c r="DM6215" s="165"/>
      <c r="DN6215" s="165"/>
      <c r="DO6215" s="165"/>
      <c r="DP6215" s="165"/>
      <c r="DQ6215" s="165"/>
      <c r="DR6215" s="165"/>
      <c r="DS6215" s="165"/>
      <c r="DT6215" s="165"/>
      <c r="DU6215" s="165"/>
      <c r="DV6215" s="165"/>
      <c r="DW6215" s="165"/>
      <c r="DX6215" s="165"/>
      <c r="DY6215" s="165"/>
      <c r="DZ6215" s="165"/>
      <c r="EA6215" s="165"/>
      <c r="EB6215" s="165"/>
      <c r="EC6215" s="165"/>
      <c r="ED6215" s="165"/>
      <c r="EE6215" s="165"/>
      <c r="EF6215" s="165"/>
      <c r="EG6215" s="165"/>
      <c r="EH6215" s="165"/>
      <c r="EI6215" s="165"/>
      <c r="EJ6215" s="165"/>
      <c r="EK6215" s="165"/>
      <c r="EL6215" s="165"/>
      <c r="EM6215" s="165"/>
      <c r="EN6215" s="165"/>
      <c r="EO6215" s="165"/>
      <c r="EP6215" s="165"/>
      <c r="EQ6215" s="165"/>
      <c r="ER6215" s="165"/>
      <c r="ES6215" s="165"/>
    </row>
    <row r="6216" spans="1:149" ht="14.15" hidden="1">
      <c r="A6216" s="468">
        <v>45550</v>
      </c>
      <c r="B6216" s="208" t="s">
        <v>5050</v>
      </c>
      <c r="C6216" s="208" t="s">
        <v>643</v>
      </c>
      <c r="D6216" s="211">
        <v>-15400</v>
      </c>
      <c r="E6216" s="212">
        <v>45536</v>
      </c>
      <c r="F6216" s="208" t="s">
        <v>130</v>
      </c>
      <c r="G6216" s="208" t="s">
        <v>257</v>
      </c>
      <c r="H6216" s="208" t="s">
        <v>1138</v>
      </c>
      <c r="I6216" s="208"/>
      <c r="J6216" s="209"/>
      <c r="K6216" s="209"/>
      <c r="L6216" s="209"/>
      <c r="M6216" s="209"/>
      <c r="N6216" s="209"/>
      <c r="O6216" s="209"/>
      <c r="P6216" s="209"/>
      <c r="Q6216" s="209"/>
      <c r="R6216" s="209"/>
      <c r="S6216" s="209"/>
      <c r="T6216" s="209"/>
    </row>
    <row r="6217" spans="1:149" s="451" customFormat="1" ht="14.15" hidden="1">
      <c r="A6217" s="468">
        <v>45550</v>
      </c>
      <c r="B6217" s="208" t="s">
        <v>4909</v>
      </c>
      <c r="C6217" s="208" t="s">
        <v>146</v>
      </c>
      <c r="D6217" s="211">
        <v>-56000</v>
      </c>
      <c r="E6217" s="212">
        <v>45536</v>
      </c>
      <c r="F6217" s="208" t="s">
        <v>110</v>
      </c>
      <c r="G6217" s="208" t="s">
        <v>4399</v>
      </c>
      <c r="H6217" s="208" t="s">
        <v>147</v>
      </c>
      <c r="I6217" s="208" t="s">
        <v>3378</v>
      </c>
      <c r="J6217" s="209"/>
      <c r="K6217" s="209"/>
      <c r="L6217" s="209"/>
      <c r="M6217" s="209"/>
      <c r="N6217" s="209"/>
      <c r="O6217" s="209"/>
      <c r="P6217" s="209"/>
      <c r="Q6217" s="209"/>
      <c r="R6217" s="209"/>
      <c r="S6217" s="209"/>
      <c r="T6217" s="209"/>
      <c r="U6217" s="165"/>
      <c r="V6217" s="165"/>
      <c r="W6217" s="165"/>
      <c r="X6217" s="165"/>
      <c r="Y6217" s="165"/>
      <c r="Z6217" s="165"/>
      <c r="AA6217" s="165"/>
      <c r="AB6217" s="165"/>
      <c r="AC6217" s="165"/>
      <c r="AD6217" s="165"/>
      <c r="AE6217" s="165"/>
      <c r="AF6217" s="165"/>
      <c r="AG6217" s="165"/>
      <c r="AH6217" s="165"/>
      <c r="AI6217" s="165"/>
      <c r="AJ6217" s="165"/>
      <c r="AK6217" s="165"/>
      <c r="AL6217" s="165"/>
      <c r="AM6217" s="165"/>
      <c r="AN6217" s="165"/>
      <c r="AO6217" s="165"/>
      <c r="AP6217" s="165"/>
      <c r="AQ6217" s="165"/>
      <c r="AR6217" s="165"/>
      <c r="AS6217" s="165"/>
      <c r="AT6217" s="165"/>
      <c r="AU6217" s="165"/>
      <c r="AV6217" s="165"/>
      <c r="AW6217" s="165"/>
      <c r="AX6217" s="165"/>
      <c r="AY6217" s="165"/>
      <c r="AZ6217" s="165"/>
      <c r="BA6217" s="165"/>
      <c r="BB6217" s="165"/>
      <c r="BC6217" s="165"/>
      <c r="BD6217" s="165"/>
      <c r="BE6217" s="165"/>
      <c r="BF6217" s="165"/>
      <c r="BG6217" s="165"/>
      <c r="BH6217" s="165"/>
      <c r="BI6217" s="165"/>
      <c r="BJ6217" s="165"/>
      <c r="BK6217" s="165"/>
      <c r="BL6217" s="165"/>
      <c r="BM6217" s="165"/>
      <c r="BN6217" s="165"/>
      <c r="BO6217" s="165"/>
      <c r="BP6217" s="165"/>
      <c r="BQ6217" s="165"/>
      <c r="BR6217" s="165"/>
      <c r="BS6217" s="165"/>
      <c r="BT6217" s="165"/>
      <c r="BU6217" s="165"/>
      <c r="BV6217" s="165"/>
      <c r="BW6217" s="165"/>
      <c r="BX6217" s="165"/>
      <c r="BY6217" s="165"/>
      <c r="BZ6217" s="165"/>
      <c r="CA6217" s="165"/>
      <c r="CB6217" s="165"/>
      <c r="CC6217" s="165"/>
      <c r="CD6217" s="165"/>
      <c r="CE6217" s="165"/>
      <c r="CF6217" s="165"/>
      <c r="CG6217" s="165"/>
      <c r="CH6217" s="165"/>
      <c r="CI6217" s="165"/>
      <c r="CJ6217" s="165"/>
      <c r="CK6217" s="165"/>
      <c r="CL6217" s="165"/>
      <c r="CM6217" s="165"/>
      <c r="CN6217" s="165"/>
      <c r="CO6217" s="165"/>
      <c r="CP6217" s="165"/>
      <c r="CQ6217" s="165"/>
      <c r="CR6217" s="165"/>
      <c r="CS6217" s="165"/>
      <c r="CT6217" s="165"/>
      <c r="CU6217" s="165"/>
      <c r="CV6217" s="165"/>
      <c r="CW6217" s="165"/>
      <c r="CX6217" s="165"/>
      <c r="CY6217" s="165"/>
      <c r="CZ6217" s="165"/>
      <c r="DA6217" s="165"/>
      <c r="DB6217" s="165"/>
      <c r="DC6217" s="165"/>
      <c r="DD6217" s="165"/>
      <c r="DE6217" s="165"/>
      <c r="DF6217" s="165"/>
      <c r="DG6217" s="165"/>
      <c r="DH6217" s="165"/>
      <c r="DI6217" s="165"/>
      <c r="DJ6217" s="165"/>
      <c r="DK6217" s="165"/>
      <c r="DL6217" s="165"/>
      <c r="DM6217" s="165"/>
      <c r="DN6217" s="165"/>
      <c r="DO6217" s="165"/>
      <c r="DP6217" s="165"/>
      <c r="DQ6217" s="165"/>
      <c r="DR6217" s="165"/>
      <c r="DS6217" s="165"/>
      <c r="DT6217" s="165"/>
      <c r="DU6217" s="165"/>
      <c r="DV6217" s="165"/>
      <c r="DW6217" s="165"/>
      <c r="DX6217" s="165"/>
      <c r="DY6217" s="165"/>
      <c r="DZ6217" s="165"/>
      <c r="EA6217" s="165"/>
      <c r="EB6217" s="165"/>
      <c r="EC6217" s="165"/>
      <c r="ED6217" s="165"/>
      <c r="EE6217" s="165"/>
      <c r="EF6217" s="165"/>
      <c r="EG6217" s="165"/>
      <c r="EH6217" s="165"/>
      <c r="EI6217" s="165"/>
      <c r="EJ6217" s="165"/>
      <c r="EK6217" s="165"/>
      <c r="EL6217" s="165"/>
      <c r="EM6217" s="165"/>
      <c r="EN6217" s="165"/>
      <c r="EO6217" s="165"/>
      <c r="EP6217" s="165"/>
      <c r="EQ6217" s="165"/>
      <c r="ER6217" s="165"/>
      <c r="ES6217" s="165"/>
    </row>
    <row r="6218" spans="1:149" s="451" customFormat="1" ht="14.15" hidden="1">
      <c r="A6218" s="468">
        <v>45550</v>
      </c>
      <c r="B6218" s="208" t="s">
        <v>4912</v>
      </c>
      <c r="C6218" s="208" t="s">
        <v>146</v>
      </c>
      <c r="D6218" s="211">
        <v>-49800</v>
      </c>
      <c r="E6218" s="212">
        <v>45536</v>
      </c>
      <c r="F6218" s="208" t="s">
        <v>110</v>
      </c>
      <c r="G6218" s="208" t="s">
        <v>4399</v>
      </c>
      <c r="H6218" s="208" t="s">
        <v>147</v>
      </c>
      <c r="I6218" s="208" t="s">
        <v>3378</v>
      </c>
      <c r="J6218" s="209"/>
      <c r="K6218" s="209"/>
      <c r="L6218" s="209"/>
      <c r="M6218" s="209"/>
      <c r="N6218" s="209"/>
      <c r="O6218" s="209"/>
      <c r="P6218" s="209"/>
      <c r="Q6218" s="209"/>
      <c r="R6218" s="209"/>
      <c r="S6218" s="209"/>
      <c r="T6218" s="209"/>
      <c r="U6218" s="165"/>
      <c r="V6218" s="165"/>
      <c r="W6218" s="165"/>
      <c r="X6218" s="165"/>
      <c r="Y6218" s="165"/>
      <c r="Z6218" s="165"/>
      <c r="AA6218" s="165"/>
      <c r="AB6218" s="165"/>
      <c r="AC6218" s="165"/>
      <c r="AD6218" s="165"/>
      <c r="AE6218" s="165"/>
      <c r="AF6218" s="165"/>
      <c r="AG6218" s="165"/>
      <c r="AH6218" s="165"/>
      <c r="AI6218" s="165"/>
      <c r="AJ6218" s="165"/>
      <c r="AK6218" s="165"/>
      <c r="AL6218" s="165"/>
      <c r="AM6218" s="165"/>
      <c r="AN6218" s="165"/>
      <c r="AO6218" s="165"/>
      <c r="AP6218" s="165"/>
      <c r="AQ6218" s="165"/>
      <c r="AR6218" s="165"/>
      <c r="AS6218" s="165"/>
      <c r="AT6218" s="165"/>
      <c r="AU6218" s="165"/>
      <c r="AV6218" s="165"/>
      <c r="AW6218" s="165"/>
      <c r="AX6218" s="165"/>
      <c r="AY6218" s="165"/>
      <c r="AZ6218" s="165"/>
      <c r="BA6218" s="165"/>
      <c r="BB6218" s="165"/>
      <c r="BC6218" s="165"/>
      <c r="BD6218" s="165"/>
      <c r="BE6218" s="165"/>
      <c r="BF6218" s="165"/>
      <c r="BG6218" s="165"/>
      <c r="BH6218" s="165"/>
      <c r="BI6218" s="165"/>
      <c r="BJ6218" s="165"/>
      <c r="BK6218" s="165"/>
      <c r="BL6218" s="165"/>
      <c r="BM6218" s="165"/>
      <c r="BN6218" s="165"/>
      <c r="BO6218" s="165"/>
      <c r="BP6218" s="165"/>
      <c r="BQ6218" s="165"/>
      <c r="BR6218" s="165"/>
      <c r="BS6218" s="165"/>
      <c r="BT6218" s="165"/>
      <c r="BU6218" s="165"/>
      <c r="BV6218" s="165"/>
      <c r="BW6218" s="165"/>
      <c r="BX6218" s="165"/>
      <c r="BY6218" s="165"/>
      <c r="BZ6218" s="165"/>
      <c r="CA6218" s="165"/>
      <c r="CB6218" s="165"/>
      <c r="CC6218" s="165"/>
      <c r="CD6218" s="165"/>
      <c r="CE6218" s="165"/>
      <c r="CF6218" s="165"/>
      <c r="CG6218" s="165"/>
      <c r="CH6218" s="165"/>
      <c r="CI6218" s="165"/>
      <c r="CJ6218" s="165"/>
      <c r="CK6218" s="165"/>
      <c r="CL6218" s="165"/>
      <c r="CM6218" s="165"/>
      <c r="CN6218" s="165"/>
      <c r="CO6218" s="165"/>
      <c r="CP6218" s="165"/>
      <c r="CQ6218" s="165"/>
      <c r="CR6218" s="165"/>
      <c r="CS6218" s="165"/>
      <c r="CT6218" s="165"/>
      <c r="CU6218" s="165"/>
      <c r="CV6218" s="165"/>
      <c r="CW6218" s="165"/>
      <c r="CX6218" s="165"/>
      <c r="CY6218" s="165"/>
      <c r="CZ6218" s="165"/>
      <c r="DA6218" s="165"/>
      <c r="DB6218" s="165"/>
      <c r="DC6218" s="165"/>
      <c r="DD6218" s="165"/>
      <c r="DE6218" s="165"/>
      <c r="DF6218" s="165"/>
      <c r="DG6218" s="165"/>
      <c r="DH6218" s="165"/>
      <c r="DI6218" s="165"/>
      <c r="DJ6218" s="165"/>
      <c r="DK6218" s="165"/>
      <c r="DL6218" s="165"/>
      <c r="DM6218" s="165"/>
      <c r="DN6218" s="165"/>
      <c r="DO6218" s="165"/>
      <c r="DP6218" s="165"/>
      <c r="DQ6218" s="165"/>
      <c r="DR6218" s="165"/>
      <c r="DS6218" s="165"/>
      <c r="DT6218" s="165"/>
      <c r="DU6218" s="165"/>
      <c r="DV6218" s="165"/>
      <c r="DW6218" s="165"/>
      <c r="DX6218" s="165"/>
      <c r="DY6218" s="165"/>
      <c r="DZ6218" s="165"/>
      <c r="EA6218" s="165"/>
      <c r="EB6218" s="165"/>
      <c r="EC6218" s="165"/>
      <c r="ED6218" s="165"/>
      <c r="EE6218" s="165"/>
      <c r="EF6218" s="165"/>
      <c r="EG6218" s="165"/>
      <c r="EH6218" s="165"/>
      <c r="EI6218" s="165"/>
      <c r="EJ6218" s="165"/>
      <c r="EK6218" s="165"/>
      <c r="EL6218" s="165"/>
      <c r="EM6218" s="165"/>
      <c r="EN6218" s="165"/>
      <c r="EO6218" s="165"/>
      <c r="EP6218" s="165"/>
      <c r="EQ6218" s="165"/>
      <c r="ER6218" s="165"/>
      <c r="ES6218" s="165"/>
    </row>
    <row r="6219" spans="1:149" s="451" customFormat="1" ht="14.15" hidden="1">
      <c r="A6219" s="468">
        <v>45551</v>
      </c>
      <c r="B6219" s="208" t="s">
        <v>5051</v>
      </c>
      <c r="C6219" s="208" t="s">
        <v>4314</v>
      </c>
      <c r="D6219" s="211">
        <v>-6240</v>
      </c>
      <c r="E6219" s="212">
        <v>45536</v>
      </c>
      <c r="F6219" s="208" t="s">
        <v>2531</v>
      </c>
      <c r="G6219" s="201" t="s">
        <v>1489</v>
      </c>
      <c r="H6219" s="208" t="s">
        <v>138</v>
      </c>
      <c r="I6219" s="208"/>
      <c r="J6219" s="209"/>
      <c r="K6219" s="209"/>
      <c r="L6219" s="209"/>
      <c r="M6219" s="209"/>
      <c r="N6219" s="209"/>
      <c r="O6219" s="209"/>
      <c r="P6219" s="209"/>
      <c r="Q6219" s="209"/>
      <c r="R6219" s="209"/>
      <c r="S6219" s="209"/>
      <c r="T6219" s="209"/>
      <c r="U6219" s="165"/>
      <c r="V6219" s="165"/>
      <c r="W6219" s="165"/>
      <c r="X6219" s="165"/>
      <c r="Y6219" s="165"/>
      <c r="Z6219" s="165"/>
      <c r="AA6219" s="165"/>
      <c r="AB6219" s="165"/>
      <c r="AC6219" s="165"/>
      <c r="AD6219" s="165"/>
      <c r="AE6219" s="165"/>
      <c r="AF6219" s="165"/>
      <c r="AG6219" s="165"/>
      <c r="AH6219" s="165"/>
      <c r="AI6219" s="165"/>
      <c r="AJ6219" s="165"/>
      <c r="AK6219" s="165"/>
      <c r="AL6219" s="165"/>
      <c r="AM6219" s="165"/>
      <c r="AN6219" s="165"/>
      <c r="AO6219" s="165"/>
      <c r="AP6219" s="165"/>
      <c r="AQ6219" s="165"/>
      <c r="AR6219" s="165"/>
      <c r="AS6219" s="165"/>
      <c r="AT6219" s="165"/>
      <c r="AU6219" s="165"/>
      <c r="AV6219" s="165"/>
      <c r="AW6219" s="165"/>
      <c r="AX6219" s="165"/>
      <c r="AY6219" s="165"/>
      <c r="AZ6219" s="165"/>
      <c r="BA6219" s="165"/>
      <c r="BB6219" s="165"/>
      <c r="BC6219" s="165"/>
      <c r="BD6219" s="165"/>
      <c r="BE6219" s="165"/>
      <c r="BF6219" s="165"/>
      <c r="BG6219" s="165"/>
      <c r="BH6219" s="165"/>
      <c r="BI6219" s="165"/>
      <c r="BJ6219" s="165"/>
      <c r="BK6219" s="165"/>
      <c r="BL6219" s="165"/>
      <c r="BM6219" s="165"/>
      <c r="BN6219" s="165"/>
      <c r="BO6219" s="165"/>
      <c r="BP6219" s="165"/>
      <c r="BQ6219" s="165"/>
      <c r="BR6219" s="165"/>
      <c r="BS6219" s="165"/>
      <c r="BT6219" s="165"/>
      <c r="BU6219" s="165"/>
      <c r="BV6219" s="165"/>
      <c r="BW6219" s="165"/>
      <c r="BX6219" s="165"/>
      <c r="BY6219" s="165"/>
      <c r="BZ6219" s="165"/>
      <c r="CA6219" s="165"/>
      <c r="CB6219" s="165"/>
      <c r="CC6219" s="165"/>
      <c r="CD6219" s="165"/>
      <c r="CE6219" s="165"/>
      <c r="CF6219" s="165"/>
      <c r="CG6219" s="165"/>
      <c r="CH6219" s="165"/>
      <c r="CI6219" s="165"/>
      <c r="CJ6219" s="165"/>
      <c r="CK6219" s="165"/>
      <c r="CL6219" s="165"/>
      <c r="CM6219" s="165"/>
      <c r="CN6219" s="165"/>
      <c r="CO6219" s="165"/>
      <c r="CP6219" s="165"/>
      <c r="CQ6219" s="165"/>
      <c r="CR6219" s="165"/>
      <c r="CS6219" s="165"/>
      <c r="CT6219" s="165"/>
      <c r="CU6219" s="165"/>
      <c r="CV6219" s="165"/>
      <c r="CW6219" s="165"/>
      <c r="CX6219" s="165"/>
      <c r="CY6219" s="165"/>
      <c r="CZ6219" s="165"/>
      <c r="DA6219" s="165"/>
      <c r="DB6219" s="165"/>
      <c r="DC6219" s="165"/>
      <c r="DD6219" s="165"/>
      <c r="DE6219" s="165"/>
      <c r="DF6219" s="165"/>
      <c r="DG6219" s="165"/>
      <c r="DH6219" s="165"/>
      <c r="DI6219" s="165"/>
      <c r="DJ6219" s="165"/>
      <c r="DK6219" s="165"/>
      <c r="DL6219" s="165"/>
      <c r="DM6219" s="165"/>
      <c r="DN6219" s="165"/>
      <c r="DO6219" s="165"/>
      <c r="DP6219" s="165"/>
      <c r="DQ6219" s="165"/>
      <c r="DR6219" s="165"/>
      <c r="DS6219" s="165"/>
      <c r="DT6219" s="165"/>
      <c r="DU6219" s="165"/>
      <c r="DV6219" s="165"/>
      <c r="DW6219" s="165"/>
      <c r="DX6219" s="165"/>
      <c r="DY6219" s="165"/>
      <c r="DZ6219" s="165"/>
      <c r="EA6219" s="165"/>
      <c r="EB6219" s="165"/>
      <c r="EC6219" s="165"/>
      <c r="ED6219" s="165"/>
      <c r="EE6219" s="165"/>
      <c r="EF6219" s="165"/>
      <c r="EG6219" s="165"/>
      <c r="EH6219" s="165"/>
      <c r="EI6219" s="165"/>
      <c r="EJ6219" s="165"/>
      <c r="EK6219" s="165"/>
      <c r="EL6219" s="165"/>
      <c r="EM6219" s="165"/>
      <c r="EN6219" s="165"/>
      <c r="EO6219" s="165"/>
      <c r="EP6219" s="165"/>
      <c r="EQ6219" s="165"/>
      <c r="ER6219" s="165"/>
      <c r="ES6219" s="165"/>
    </row>
    <row r="6220" spans="1:149" s="451" customFormat="1" ht="14.15" hidden="1">
      <c r="A6220" s="468">
        <v>45551</v>
      </c>
      <c r="B6220" s="208" t="s">
        <v>5052</v>
      </c>
      <c r="C6220" s="208" t="s">
        <v>4314</v>
      </c>
      <c r="D6220" s="211">
        <v>-3740</v>
      </c>
      <c r="E6220" s="212">
        <v>45536</v>
      </c>
      <c r="F6220" s="208" t="s">
        <v>2531</v>
      </c>
      <c r="G6220" s="201" t="s">
        <v>1489</v>
      </c>
      <c r="H6220" s="208" t="s">
        <v>138</v>
      </c>
      <c r="I6220" s="208"/>
      <c r="J6220" s="209"/>
      <c r="K6220" s="209"/>
      <c r="L6220" s="209"/>
      <c r="M6220" s="209"/>
      <c r="N6220" s="209"/>
      <c r="O6220" s="209"/>
      <c r="P6220" s="209"/>
      <c r="Q6220" s="209"/>
      <c r="R6220" s="209"/>
      <c r="S6220" s="209"/>
      <c r="T6220" s="209"/>
      <c r="U6220" s="165"/>
      <c r="V6220" s="165"/>
      <c r="W6220" s="165"/>
      <c r="X6220" s="165"/>
      <c r="Y6220" s="165"/>
      <c r="Z6220" s="165"/>
      <c r="AA6220" s="165"/>
      <c r="AB6220" s="165"/>
      <c r="AC6220" s="165"/>
      <c r="AD6220" s="165"/>
      <c r="AE6220" s="165"/>
      <c r="AF6220" s="165"/>
      <c r="AG6220" s="165"/>
      <c r="AH6220" s="165"/>
      <c r="AI6220" s="165"/>
      <c r="AJ6220" s="165"/>
      <c r="AK6220" s="165"/>
      <c r="AL6220" s="165"/>
      <c r="AM6220" s="165"/>
      <c r="AN6220" s="165"/>
      <c r="AO6220" s="165"/>
      <c r="AP6220" s="165"/>
      <c r="AQ6220" s="165"/>
      <c r="AR6220" s="165"/>
      <c r="AS6220" s="165"/>
      <c r="AT6220" s="165"/>
      <c r="AU6220" s="165"/>
      <c r="AV6220" s="165"/>
      <c r="AW6220" s="165"/>
      <c r="AX6220" s="165"/>
      <c r="AY6220" s="165"/>
      <c r="AZ6220" s="165"/>
      <c r="BA6220" s="165"/>
      <c r="BB6220" s="165"/>
      <c r="BC6220" s="165"/>
      <c r="BD6220" s="165"/>
      <c r="BE6220" s="165"/>
      <c r="BF6220" s="165"/>
      <c r="BG6220" s="165"/>
      <c r="BH6220" s="165"/>
      <c r="BI6220" s="165"/>
      <c r="BJ6220" s="165"/>
      <c r="BK6220" s="165"/>
      <c r="BL6220" s="165"/>
      <c r="BM6220" s="165"/>
      <c r="BN6220" s="165"/>
      <c r="BO6220" s="165"/>
      <c r="BP6220" s="165"/>
      <c r="BQ6220" s="165"/>
      <c r="BR6220" s="165"/>
      <c r="BS6220" s="165"/>
      <c r="BT6220" s="165"/>
      <c r="BU6220" s="165"/>
      <c r="BV6220" s="165"/>
      <c r="BW6220" s="165"/>
      <c r="BX6220" s="165"/>
      <c r="BY6220" s="165"/>
      <c r="BZ6220" s="165"/>
      <c r="CA6220" s="165"/>
      <c r="CB6220" s="165"/>
      <c r="CC6220" s="165"/>
      <c r="CD6220" s="165"/>
      <c r="CE6220" s="165"/>
      <c r="CF6220" s="165"/>
      <c r="CG6220" s="165"/>
      <c r="CH6220" s="165"/>
      <c r="CI6220" s="165"/>
      <c r="CJ6220" s="165"/>
      <c r="CK6220" s="165"/>
      <c r="CL6220" s="165"/>
      <c r="CM6220" s="165"/>
      <c r="CN6220" s="165"/>
      <c r="CO6220" s="165"/>
      <c r="CP6220" s="165"/>
      <c r="CQ6220" s="165"/>
      <c r="CR6220" s="165"/>
      <c r="CS6220" s="165"/>
      <c r="CT6220" s="165"/>
      <c r="CU6220" s="165"/>
      <c r="CV6220" s="165"/>
      <c r="CW6220" s="165"/>
      <c r="CX6220" s="165"/>
      <c r="CY6220" s="165"/>
      <c r="CZ6220" s="165"/>
      <c r="DA6220" s="165"/>
      <c r="DB6220" s="165"/>
      <c r="DC6220" s="165"/>
      <c r="DD6220" s="165"/>
      <c r="DE6220" s="165"/>
      <c r="DF6220" s="165"/>
      <c r="DG6220" s="165"/>
      <c r="DH6220" s="165"/>
      <c r="DI6220" s="165"/>
      <c r="DJ6220" s="165"/>
      <c r="DK6220" s="165"/>
      <c r="DL6220" s="165"/>
      <c r="DM6220" s="165"/>
      <c r="DN6220" s="165"/>
      <c r="DO6220" s="165"/>
      <c r="DP6220" s="165"/>
      <c r="DQ6220" s="165"/>
      <c r="DR6220" s="165"/>
      <c r="DS6220" s="165"/>
      <c r="DT6220" s="165"/>
      <c r="DU6220" s="165"/>
      <c r="DV6220" s="165"/>
      <c r="DW6220" s="165"/>
      <c r="DX6220" s="165"/>
      <c r="DY6220" s="165"/>
      <c r="DZ6220" s="165"/>
      <c r="EA6220" s="165"/>
      <c r="EB6220" s="165"/>
      <c r="EC6220" s="165"/>
      <c r="ED6220" s="165"/>
      <c r="EE6220" s="165"/>
      <c r="EF6220" s="165"/>
      <c r="EG6220" s="165"/>
      <c r="EH6220" s="165"/>
      <c r="EI6220" s="165"/>
      <c r="EJ6220" s="165"/>
      <c r="EK6220" s="165"/>
      <c r="EL6220" s="165"/>
      <c r="EM6220" s="165"/>
      <c r="EN6220" s="165"/>
      <c r="EO6220" s="165"/>
      <c r="EP6220" s="165"/>
      <c r="EQ6220" s="165"/>
      <c r="ER6220" s="165"/>
      <c r="ES6220" s="165"/>
    </row>
    <row r="6221" spans="1:149" s="451" customFormat="1" ht="14.15" hidden="1">
      <c r="A6221" s="468">
        <v>45551</v>
      </c>
      <c r="B6221" s="208" t="s">
        <v>5053</v>
      </c>
      <c r="C6221" s="208" t="s">
        <v>269</v>
      </c>
      <c r="D6221" s="211">
        <v>-170000</v>
      </c>
      <c r="E6221" s="212">
        <v>45536</v>
      </c>
      <c r="F6221" s="208" t="s">
        <v>130</v>
      </c>
      <c r="G6221" s="208" t="s">
        <v>130</v>
      </c>
      <c r="H6221" s="208" t="s">
        <v>1156</v>
      </c>
      <c r="I6221" s="208"/>
      <c r="J6221" s="209"/>
      <c r="K6221" s="209"/>
      <c r="L6221" s="209"/>
      <c r="M6221" s="209"/>
      <c r="N6221" s="209"/>
      <c r="O6221" s="209"/>
      <c r="P6221" s="209"/>
      <c r="Q6221" s="209"/>
      <c r="R6221" s="209"/>
      <c r="S6221" s="209"/>
      <c r="T6221" s="209"/>
      <c r="U6221" s="165"/>
      <c r="V6221" s="165"/>
      <c r="W6221" s="165"/>
      <c r="X6221" s="165"/>
      <c r="Y6221" s="165"/>
      <c r="Z6221" s="165"/>
      <c r="AA6221" s="165"/>
      <c r="AB6221" s="165"/>
      <c r="AC6221" s="165"/>
      <c r="AD6221" s="165"/>
      <c r="AE6221" s="165"/>
      <c r="AF6221" s="165"/>
      <c r="AG6221" s="165"/>
      <c r="AH6221" s="165"/>
      <c r="AI6221" s="165"/>
      <c r="AJ6221" s="165"/>
      <c r="AK6221" s="165"/>
      <c r="AL6221" s="165"/>
      <c r="AM6221" s="165"/>
      <c r="AN6221" s="165"/>
      <c r="AO6221" s="165"/>
      <c r="AP6221" s="165"/>
      <c r="AQ6221" s="165"/>
      <c r="AR6221" s="165"/>
      <c r="AS6221" s="165"/>
      <c r="AT6221" s="165"/>
      <c r="AU6221" s="165"/>
      <c r="AV6221" s="165"/>
      <c r="AW6221" s="165"/>
      <c r="AX6221" s="165"/>
      <c r="AY6221" s="165"/>
      <c r="AZ6221" s="165"/>
      <c r="BA6221" s="165"/>
      <c r="BB6221" s="165"/>
      <c r="BC6221" s="165"/>
      <c r="BD6221" s="165"/>
      <c r="BE6221" s="165"/>
      <c r="BF6221" s="165"/>
      <c r="BG6221" s="165"/>
      <c r="BH6221" s="165"/>
      <c r="BI6221" s="165"/>
      <c r="BJ6221" s="165"/>
      <c r="BK6221" s="165"/>
      <c r="BL6221" s="165"/>
      <c r="BM6221" s="165"/>
      <c r="BN6221" s="165"/>
      <c r="BO6221" s="165"/>
      <c r="BP6221" s="165"/>
      <c r="BQ6221" s="165"/>
      <c r="BR6221" s="165"/>
      <c r="BS6221" s="165"/>
      <c r="BT6221" s="165"/>
      <c r="BU6221" s="165"/>
      <c r="BV6221" s="165"/>
      <c r="BW6221" s="165"/>
      <c r="BX6221" s="165"/>
      <c r="BY6221" s="165"/>
      <c r="BZ6221" s="165"/>
      <c r="CA6221" s="165"/>
      <c r="CB6221" s="165"/>
      <c r="CC6221" s="165"/>
      <c r="CD6221" s="165"/>
      <c r="CE6221" s="165"/>
      <c r="CF6221" s="165"/>
      <c r="CG6221" s="165"/>
      <c r="CH6221" s="165"/>
      <c r="CI6221" s="165"/>
      <c r="CJ6221" s="165"/>
      <c r="CK6221" s="165"/>
      <c r="CL6221" s="165"/>
      <c r="CM6221" s="165"/>
      <c r="CN6221" s="165"/>
      <c r="CO6221" s="165"/>
      <c r="CP6221" s="165"/>
      <c r="CQ6221" s="165"/>
      <c r="CR6221" s="165"/>
      <c r="CS6221" s="165"/>
      <c r="CT6221" s="165"/>
      <c r="CU6221" s="165"/>
      <c r="CV6221" s="165"/>
      <c r="CW6221" s="165"/>
      <c r="CX6221" s="165"/>
      <c r="CY6221" s="165"/>
      <c r="CZ6221" s="165"/>
      <c r="DA6221" s="165"/>
      <c r="DB6221" s="165"/>
      <c r="DC6221" s="165"/>
      <c r="DD6221" s="165"/>
      <c r="DE6221" s="165"/>
      <c r="DF6221" s="165"/>
      <c r="DG6221" s="165"/>
      <c r="DH6221" s="165"/>
      <c r="DI6221" s="165"/>
      <c r="DJ6221" s="165"/>
      <c r="DK6221" s="165"/>
      <c r="DL6221" s="165"/>
      <c r="DM6221" s="165"/>
      <c r="DN6221" s="165"/>
      <c r="DO6221" s="165"/>
      <c r="DP6221" s="165"/>
      <c r="DQ6221" s="165"/>
      <c r="DR6221" s="165"/>
      <c r="DS6221" s="165"/>
      <c r="DT6221" s="165"/>
      <c r="DU6221" s="165"/>
      <c r="DV6221" s="165"/>
      <c r="DW6221" s="165"/>
      <c r="DX6221" s="165"/>
      <c r="DY6221" s="165"/>
      <c r="DZ6221" s="165"/>
      <c r="EA6221" s="165"/>
      <c r="EB6221" s="165"/>
      <c r="EC6221" s="165"/>
      <c r="ED6221" s="165"/>
      <c r="EE6221" s="165"/>
      <c r="EF6221" s="165"/>
      <c r="EG6221" s="165"/>
      <c r="EH6221" s="165"/>
      <c r="EI6221" s="165"/>
      <c r="EJ6221" s="165"/>
      <c r="EK6221" s="165"/>
      <c r="EL6221" s="165"/>
      <c r="EM6221" s="165"/>
      <c r="EN6221" s="165"/>
      <c r="EO6221" s="165"/>
      <c r="EP6221" s="165"/>
      <c r="EQ6221" s="165"/>
      <c r="ER6221" s="165"/>
      <c r="ES6221" s="165"/>
    </row>
    <row r="6222" spans="1:149" s="451" customFormat="1" ht="14.15" hidden="1">
      <c r="A6222" s="468">
        <v>45551</v>
      </c>
      <c r="B6222" s="208" t="s">
        <v>3189</v>
      </c>
      <c r="C6222" s="208" t="s">
        <v>146</v>
      </c>
      <c r="D6222" s="211">
        <v>-116000</v>
      </c>
      <c r="E6222" s="212">
        <v>45536</v>
      </c>
      <c r="F6222" s="208" t="s">
        <v>2531</v>
      </c>
      <c r="G6222" s="201" t="s">
        <v>1489</v>
      </c>
      <c r="H6222" s="208" t="s">
        <v>138</v>
      </c>
      <c r="I6222" s="208"/>
      <c r="J6222" s="209"/>
      <c r="K6222" s="209"/>
      <c r="L6222" s="209"/>
      <c r="M6222" s="209"/>
      <c r="N6222" s="209"/>
      <c r="O6222" s="209"/>
      <c r="P6222" s="209"/>
      <c r="Q6222" s="209"/>
      <c r="R6222" s="209"/>
      <c r="S6222" s="209"/>
      <c r="T6222" s="209"/>
      <c r="U6222" s="165"/>
      <c r="V6222" s="165"/>
      <c r="W6222" s="165"/>
      <c r="X6222" s="165"/>
      <c r="Y6222" s="165"/>
      <c r="Z6222" s="165"/>
      <c r="AA6222" s="165"/>
      <c r="AB6222" s="165"/>
      <c r="AC6222" s="165"/>
      <c r="AD6222" s="165"/>
      <c r="AE6222" s="165"/>
      <c r="AF6222" s="165"/>
      <c r="AG6222" s="165"/>
      <c r="AH6222" s="165"/>
      <c r="AI6222" s="165"/>
      <c r="AJ6222" s="165"/>
      <c r="AK6222" s="165"/>
      <c r="AL6222" s="165"/>
      <c r="AM6222" s="165"/>
      <c r="AN6222" s="165"/>
      <c r="AO6222" s="165"/>
      <c r="AP6222" s="165"/>
      <c r="AQ6222" s="165"/>
      <c r="AR6222" s="165"/>
      <c r="AS6222" s="165"/>
      <c r="AT6222" s="165"/>
      <c r="AU6222" s="165"/>
      <c r="AV6222" s="165"/>
      <c r="AW6222" s="165"/>
      <c r="AX6222" s="165"/>
      <c r="AY6222" s="165"/>
      <c r="AZ6222" s="165"/>
      <c r="BA6222" s="165"/>
      <c r="BB6222" s="165"/>
      <c r="BC6222" s="165"/>
      <c r="BD6222" s="165"/>
      <c r="BE6222" s="165"/>
      <c r="BF6222" s="165"/>
      <c r="BG6222" s="165"/>
      <c r="BH6222" s="165"/>
      <c r="BI6222" s="165"/>
      <c r="BJ6222" s="165"/>
      <c r="BK6222" s="165"/>
      <c r="BL6222" s="165"/>
      <c r="BM6222" s="165"/>
      <c r="BN6222" s="165"/>
      <c r="BO6222" s="165"/>
      <c r="BP6222" s="165"/>
      <c r="BQ6222" s="165"/>
      <c r="BR6222" s="165"/>
      <c r="BS6222" s="165"/>
      <c r="BT6222" s="165"/>
      <c r="BU6222" s="165"/>
      <c r="BV6222" s="165"/>
      <c r="BW6222" s="165"/>
      <c r="BX6222" s="165"/>
      <c r="BY6222" s="165"/>
      <c r="BZ6222" s="165"/>
      <c r="CA6222" s="165"/>
      <c r="CB6222" s="165"/>
      <c r="CC6222" s="165"/>
      <c r="CD6222" s="165"/>
      <c r="CE6222" s="165"/>
      <c r="CF6222" s="165"/>
      <c r="CG6222" s="165"/>
      <c r="CH6222" s="165"/>
      <c r="CI6222" s="165"/>
      <c r="CJ6222" s="165"/>
      <c r="CK6222" s="165"/>
      <c r="CL6222" s="165"/>
      <c r="CM6222" s="165"/>
      <c r="CN6222" s="165"/>
      <c r="CO6222" s="165"/>
      <c r="CP6222" s="165"/>
      <c r="CQ6222" s="165"/>
      <c r="CR6222" s="165"/>
      <c r="CS6222" s="165"/>
      <c r="CT6222" s="165"/>
      <c r="CU6222" s="165"/>
      <c r="CV6222" s="165"/>
      <c r="CW6222" s="165"/>
      <c r="CX6222" s="165"/>
      <c r="CY6222" s="165"/>
      <c r="CZ6222" s="165"/>
      <c r="DA6222" s="165"/>
      <c r="DB6222" s="165"/>
      <c r="DC6222" s="165"/>
      <c r="DD6222" s="165"/>
      <c r="DE6222" s="165"/>
      <c r="DF6222" s="165"/>
      <c r="DG6222" s="165"/>
      <c r="DH6222" s="165"/>
      <c r="DI6222" s="165"/>
      <c r="DJ6222" s="165"/>
      <c r="DK6222" s="165"/>
      <c r="DL6222" s="165"/>
      <c r="DM6222" s="165"/>
      <c r="DN6222" s="165"/>
      <c r="DO6222" s="165"/>
      <c r="DP6222" s="165"/>
      <c r="DQ6222" s="165"/>
      <c r="DR6222" s="165"/>
      <c r="DS6222" s="165"/>
      <c r="DT6222" s="165"/>
      <c r="DU6222" s="165"/>
      <c r="DV6222" s="165"/>
      <c r="DW6222" s="165"/>
      <c r="DX6222" s="165"/>
      <c r="DY6222" s="165"/>
      <c r="DZ6222" s="165"/>
      <c r="EA6222" s="165"/>
      <c r="EB6222" s="165"/>
      <c r="EC6222" s="165"/>
      <c r="ED6222" s="165"/>
      <c r="EE6222" s="165"/>
      <c r="EF6222" s="165"/>
      <c r="EG6222" s="165"/>
      <c r="EH6222" s="165"/>
      <c r="EI6222" s="165"/>
      <c r="EJ6222" s="165"/>
      <c r="EK6222" s="165"/>
      <c r="EL6222" s="165"/>
      <c r="EM6222" s="165"/>
      <c r="EN6222" s="165"/>
      <c r="EO6222" s="165"/>
      <c r="EP6222" s="165"/>
      <c r="EQ6222" s="165"/>
      <c r="ER6222" s="165"/>
      <c r="ES6222" s="165"/>
    </row>
    <row r="6223" spans="1:149" s="451" customFormat="1" ht="14.15" hidden="1">
      <c r="A6223" s="468">
        <v>45551</v>
      </c>
      <c r="B6223" s="208" t="s">
        <v>3189</v>
      </c>
      <c r="C6223" s="208" t="s">
        <v>146</v>
      </c>
      <c r="D6223" s="211">
        <v>-73000</v>
      </c>
      <c r="E6223" s="212">
        <v>45536</v>
      </c>
      <c r="F6223" s="208" t="s">
        <v>109</v>
      </c>
      <c r="G6223" s="201" t="s">
        <v>581</v>
      </c>
      <c r="H6223" s="208"/>
      <c r="I6223" s="208"/>
      <c r="J6223" s="209"/>
      <c r="K6223" s="209"/>
      <c r="L6223" s="209"/>
      <c r="M6223" s="209"/>
      <c r="N6223" s="209"/>
      <c r="O6223" s="209"/>
      <c r="P6223" s="209"/>
      <c r="Q6223" s="209"/>
      <c r="R6223" s="209"/>
      <c r="S6223" s="209"/>
      <c r="T6223" s="209"/>
      <c r="U6223" s="165"/>
      <c r="V6223" s="165"/>
      <c r="W6223" s="165"/>
      <c r="X6223" s="165"/>
      <c r="Y6223" s="165"/>
      <c r="Z6223" s="165"/>
      <c r="AA6223" s="165"/>
      <c r="AB6223" s="165"/>
      <c r="AC6223" s="165"/>
      <c r="AD6223" s="165"/>
      <c r="AE6223" s="165"/>
      <c r="AF6223" s="165"/>
      <c r="AG6223" s="165"/>
      <c r="AH6223" s="165"/>
      <c r="AI6223" s="165"/>
      <c r="AJ6223" s="165"/>
      <c r="AK6223" s="165"/>
      <c r="AL6223" s="165"/>
      <c r="AM6223" s="165"/>
      <c r="AN6223" s="165"/>
      <c r="AO6223" s="165"/>
      <c r="AP6223" s="165"/>
      <c r="AQ6223" s="165"/>
      <c r="AR6223" s="165"/>
      <c r="AS6223" s="165"/>
      <c r="AT6223" s="165"/>
      <c r="AU6223" s="165"/>
      <c r="AV6223" s="165"/>
      <c r="AW6223" s="165"/>
      <c r="AX6223" s="165"/>
      <c r="AY6223" s="165"/>
      <c r="AZ6223" s="165"/>
      <c r="BA6223" s="165"/>
      <c r="BB6223" s="165"/>
      <c r="BC6223" s="165"/>
      <c r="BD6223" s="165"/>
      <c r="BE6223" s="165"/>
      <c r="BF6223" s="165"/>
      <c r="BG6223" s="165"/>
      <c r="BH6223" s="165"/>
      <c r="BI6223" s="165"/>
      <c r="BJ6223" s="165"/>
      <c r="BK6223" s="165"/>
      <c r="BL6223" s="165"/>
      <c r="BM6223" s="165"/>
      <c r="BN6223" s="165"/>
      <c r="BO6223" s="165"/>
      <c r="BP6223" s="165"/>
      <c r="BQ6223" s="165"/>
      <c r="BR6223" s="165"/>
      <c r="BS6223" s="165"/>
      <c r="BT6223" s="165"/>
      <c r="BU6223" s="165"/>
      <c r="BV6223" s="165"/>
      <c r="BW6223" s="165"/>
      <c r="BX6223" s="165"/>
      <c r="BY6223" s="165"/>
      <c r="BZ6223" s="165"/>
      <c r="CA6223" s="165"/>
      <c r="CB6223" s="165"/>
      <c r="CC6223" s="165"/>
      <c r="CD6223" s="165"/>
      <c r="CE6223" s="165"/>
      <c r="CF6223" s="165"/>
      <c r="CG6223" s="165"/>
      <c r="CH6223" s="165"/>
      <c r="CI6223" s="165"/>
      <c r="CJ6223" s="165"/>
      <c r="CK6223" s="165"/>
      <c r="CL6223" s="165"/>
      <c r="CM6223" s="165"/>
      <c r="CN6223" s="165"/>
      <c r="CO6223" s="165"/>
      <c r="CP6223" s="165"/>
      <c r="CQ6223" s="165"/>
      <c r="CR6223" s="165"/>
      <c r="CS6223" s="165"/>
      <c r="CT6223" s="165"/>
      <c r="CU6223" s="165"/>
      <c r="CV6223" s="165"/>
      <c r="CW6223" s="165"/>
      <c r="CX6223" s="165"/>
      <c r="CY6223" s="165"/>
      <c r="CZ6223" s="165"/>
      <c r="DA6223" s="165"/>
      <c r="DB6223" s="165"/>
      <c r="DC6223" s="165"/>
      <c r="DD6223" s="165"/>
      <c r="DE6223" s="165"/>
      <c r="DF6223" s="165"/>
      <c r="DG6223" s="165"/>
      <c r="DH6223" s="165"/>
      <c r="DI6223" s="165"/>
      <c r="DJ6223" s="165"/>
      <c r="DK6223" s="165"/>
      <c r="DL6223" s="165"/>
      <c r="DM6223" s="165"/>
      <c r="DN6223" s="165"/>
      <c r="DO6223" s="165"/>
      <c r="DP6223" s="165"/>
      <c r="DQ6223" s="165"/>
      <c r="DR6223" s="165"/>
      <c r="DS6223" s="165"/>
      <c r="DT6223" s="165"/>
      <c r="DU6223" s="165"/>
      <c r="DV6223" s="165"/>
      <c r="DW6223" s="165"/>
      <c r="DX6223" s="165"/>
      <c r="DY6223" s="165"/>
      <c r="DZ6223" s="165"/>
      <c r="EA6223" s="165"/>
      <c r="EB6223" s="165"/>
      <c r="EC6223" s="165"/>
      <c r="ED6223" s="165"/>
      <c r="EE6223" s="165"/>
      <c r="EF6223" s="165"/>
      <c r="EG6223" s="165"/>
      <c r="EH6223" s="165"/>
      <c r="EI6223" s="165"/>
      <c r="EJ6223" s="165"/>
      <c r="EK6223" s="165"/>
      <c r="EL6223" s="165"/>
      <c r="EM6223" s="165"/>
      <c r="EN6223" s="165"/>
      <c r="EO6223" s="165"/>
      <c r="EP6223" s="165"/>
      <c r="EQ6223" s="165"/>
      <c r="ER6223" s="165"/>
      <c r="ES6223" s="165"/>
    </row>
    <row r="6224" spans="1:149" ht="14.15" hidden="1">
      <c r="A6224" s="468">
        <v>45551</v>
      </c>
      <c r="B6224" s="208" t="s">
        <v>3189</v>
      </c>
      <c r="C6224" s="208" t="s">
        <v>146</v>
      </c>
      <c r="D6224" s="211">
        <v>-92000</v>
      </c>
      <c r="E6224" s="212">
        <v>45536</v>
      </c>
      <c r="F6224" s="208" t="s">
        <v>109</v>
      </c>
      <c r="G6224" s="208" t="s">
        <v>3529</v>
      </c>
      <c r="H6224" s="208" t="s">
        <v>138</v>
      </c>
      <c r="I6224" s="208"/>
      <c r="J6224" s="209"/>
      <c r="K6224" s="209"/>
      <c r="L6224" s="209"/>
      <c r="M6224" s="209"/>
      <c r="N6224" s="209"/>
      <c r="O6224" s="209"/>
      <c r="P6224" s="209"/>
      <c r="Q6224" s="209"/>
      <c r="R6224" s="209"/>
      <c r="S6224" s="209"/>
      <c r="T6224" s="209"/>
    </row>
    <row r="6225" spans="1:149" s="451" customFormat="1" ht="14.15" hidden="1">
      <c r="A6225" s="468">
        <v>45551</v>
      </c>
      <c r="B6225" s="208" t="s">
        <v>3189</v>
      </c>
      <c r="C6225" s="208" t="s">
        <v>146</v>
      </c>
      <c r="D6225" s="211">
        <v>-312016</v>
      </c>
      <c r="E6225" s="212">
        <v>45536</v>
      </c>
      <c r="F6225" s="208" t="s">
        <v>2531</v>
      </c>
      <c r="G6225" s="208" t="s">
        <v>4294</v>
      </c>
      <c r="H6225" s="208" t="s">
        <v>138</v>
      </c>
      <c r="I6225" s="208"/>
      <c r="J6225" s="209"/>
      <c r="K6225" s="209"/>
      <c r="L6225" s="209"/>
      <c r="M6225" s="209"/>
      <c r="N6225" s="209"/>
      <c r="O6225" s="209"/>
      <c r="P6225" s="209"/>
      <c r="Q6225" s="209"/>
      <c r="R6225" s="209"/>
      <c r="S6225" s="209"/>
      <c r="T6225" s="209"/>
      <c r="U6225" s="165"/>
      <c r="V6225" s="165"/>
      <c r="W6225" s="165"/>
      <c r="X6225" s="165"/>
      <c r="Y6225" s="165"/>
      <c r="Z6225" s="165"/>
      <c r="AA6225" s="165"/>
      <c r="AB6225" s="165"/>
      <c r="AC6225" s="165"/>
      <c r="AD6225" s="165"/>
      <c r="AE6225" s="165"/>
      <c r="AF6225" s="165"/>
      <c r="AG6225" s="165"/>
      <c r="AH6225" s="165"/>
      <c r="AI6225" s="165"/>
      <c r="AJ6225" s="165"/>
      <c r="AK6225" s="165"/>
      <c r="AL6225" s="165"/>
      <c r="AM6225" s="165"/>
      <c r="AN6225" s="165"/>
      <c r="AO6225" s="165"/>
      <c r="AP6225" s="165"/>
      <c r="AQ6225" s="165"/>
      <c r="AR6225" s="165"/>
      <c r="AS6225" s="165"/>
      <c r="AT6225" s="165"/>
      <c r="AU6225" s="165"/>
      <c r="AV6225" s="165"/>
      <c r="AW6225" s="165"/>
      <c r="AX6225" s="165"/>
      <c r="AY6225" s="165"/>
      <c r="AZ6225" s="165"/>
      <c r="BA6225" s="165"/>
      <c r="BB6225" s="165"/>
      <c r="BC6225" s="165"/>
      <c r="BD6225" s="165"/>
      <c r="BE6225" s="165"/>
      <c r="BF6225" s="165"/>
      <c r="BG6225" s="165"/>
      <c r="BH6225" s="165"/>
      <c r="BI6225" s="165"/>
      <c r="BJ6225" s="165"/>
      <c r="BK6225" s="165"/>
      <c r="BL6225" s="165"/>
      <c r="BM6225" s="165"/>
      <c r="BN6225" s="165"/>
      <c r="BO6225" s="165"/>
      <c r="BP6225" s="165"/>
      <c r="BQ6225" s="165"/>
      <c r="BR6225" s="165"/>
      <c r="BS6225" s="165"/>
      <c r="BT6225" s="165"/>
      <c r="BU6225" s="165"/>
      <c r="BV6225" s="165"/>
      <c r="BW6225" s="165"/>
      <c r="BX6225" s="165"/>
      <c r="BY6225" s="165"/>
      <c r="BZ6225" s="165"/>
      <c r="CA6225" s="165"/>
      <c r="CB6225" s="165"/>
      <c r="CC6225" s="165"/>
      <c r="CD6225" s="165"/>
      <c r="CE6225" s="165"/>
      <c r="CF6225" s="165"/>
      <c r="CG6225" s="165"/>
      <c r="CH6225" s="165"/>
      <c r="CI6225" s="165"/>
      <c r="CJ6225" s="165"/>
      <c r="CK6225" s="165"/>
      <c r="CL6225" s="165"/>
      <c r="CM6225" s="165"/>
      <c r="CN6225" s="165"/>
      <c r="CO6225" s="165"/>
      <c r="CP6225" s="165"/>
      <c r="CQ6225" s="165"/>
      <c r="CR6225" s="165"/>
      <c r="CS6225" s="165"/>
      <c r="CT6225" s="165"/>
      <c r="CU6225" s="165"/>
      <c r="CV6225" s="165"/>
      <c r="CW6225" s="165"/>
      <c r="CX6225" s="165"/>
      <c r="CY6225" s="165"/>
      <c r="CZ6225" s="165"/>
      <c r="DA6225" s="165"/>
      <c r="DB6225" s="165"/>
      <c r="DC6225" s="165"/>
      <c r="DD6225" s="165"/>
      <c r="DE6225" s="165"/>
      <c r="DF6225" s="165"/>
      <c r="DG6225" s="165"/>
      <c r="DH6225" s="165"/>
      <c r="DI6225" s="165"/>
      <c r="DJ6225" s="165"/>
      <c r="DK6225" s="165"/>
      <c r="DL6225" s="165"/>
      <c r="DM6225" s="165"/>
      <c r="DN6225" s="165"/>
      <c r="DO6225" s="165"/>
      <c r="DP6225" s="165"/>
      <c r="DQ6225" s="165"/>
      <c r="DR6225" s="165"/>
      <c r="DS6225" s="165"/>
      <c r="DT6225" s="165"/>
      <c r="DU6225" s="165"/>
      <c r="DV6225" s="165"/>
      <c r="DW6225" s="165"/>
      <c r="DX6225" s="165"/>
      <c r="DY6225" s="165"/>
      <c r="DZ6225" s="165"/>
      <c r="EA6225" s="165"/>
      <c r="EB6225" s="165"/>
      <c r="EC6225" s="165"/>
      <c r="ED6225" s="165"/>
      <c r="EE6225" s="165"/>
      <c r="EF6225" s="165"/>
      <c r="EG6225" s="165"/>
      <c r="EH6225" s="165"/>
      <c r="EI6225" s="165"/>
      <c r="EJ6225" s="165"/>
      <c r="EK6225" s="165"/>
      <c r="EL6225" s="165"/>
      <c r="EM6225" s="165"/>
      <c r="EN6225" s="165"/>
      <c r="EO6225" s="165"/>
      <c r="EP6225" s="165"/>
      <c r="EQ6225" s="165"/>
      <c r="ER6225" s="165"/>
      <c r="ES6225" s="165"/>
    </row>
    <row r="6226" spans="1:149" s="451" customFormat="1" ht="14.15" hidden="1">
      <c r="A6226" s="468">
        <v>45551</v>
      </c>
      <c r="B6226" s="208" t="s">
        <v>3189</v>
      </c>
      <c r="C6226" s="208" t="s">
        <v>146</v>
      </c>
      <c r="D6226" s="211">
        <v>-21000</v>
      </c>
      <c r="E6226" s="212">
        <v>45536</v>
      </c>
      <c r="F6226" s="208" t="s">
        <v>130</v>
      </c>
      <c r="G6226" s="208" t="s">
        <v>130</v>
      </c>
      <c r="H6226" s="208" t="s">
        <v>138</v>
      </c>
      <c r="I6226" s="208"/>
      <c r="J6226" s="209"/>
      <c r="K6226" s="209"/>
      <c r="L6226" s="209"/>
      <c r="M6226" s="209"/>
      <c r="N6226" s="209"/>
      <c r="O6226" s="209"/>
      <c r="P6226" s="209"/>
      <c r="Q6226" s="209"/>
      <c r="R6226" s="209"/>
      <c r="S6226" s="209"/>
      <c r="T6226" s="209"/>
      <c r="U6226" s="165"/>
      <c r="V6226" s="165"/>
      <c r="W6226" s="165"/>
      <c r="X6226" s="165"/>
      <c r="Y6226" s="165"/>
      <c r="Z6226" s="165"/>
      <c r="AA6226" s="165"/>
      <c r="AB6226" s="165"/>
      <c r="AC6226" s="165"/>
      <c r="AD6226" s="165"/>
      <c r="AE6226" s="165"/>
      <c r="AF6226" s="165"/>
      <c r="AG6226" s="165"/>
      <c r="AH6226" s="165"/>
      <c r="AI6226" s="165"/>
      <c r="AJ6226" s="165"/>
      <c r="AK6226" s="165"/>
      <c r="AL6226" s="165"/>
      <c r="AM6226" s="165"/>
      <c r="AN6226" s="165"/>
      <c r="AO6226" s="165"/>
      <c r="AP6226" s="165"/>
      <c r="AQ6226" s="165"/>
      <c r="AR6226" s="165"/>
      <c r="AS6226" s="165"/>
      <c r="AT6226" s="165"/>
      <c r="AU6226" s="165"/>
      <c r="AV6226" s="165"/>
      <c r="AW6226" s="165"/>
      <c r="AX6226" s="165"/>
      <c r="AY6226" s="165"/>
      <c r="AZ6226" s="165"/>
      <c r="BA6226" s="165"/>
      <c r="BB6226" s="165"/>
      <c r="BC6226" s="165"/>
      <c r="BD6226" s="165"/>
      <c r="BE6226" s="165"/>
      <c r="BF6226" s="165"/>
      <c r="BG6226" s="165"/>
      <c r="BH6226" s="165"/>
      <c r="BI6226" s="165"/>
      <c r="BJ6226" s="165"/>
      <c r="BK6226" s="165"/>
      <c r="BL6226" s="165"/>
      <c r="BM6226" s="165"/>
      <c r="BN6226" s="165"/>
      <c r="BO6226" s="165"/>
      <c r="BP6226" s="165"/>
      <c r="BQ6226" s="165"/>
      <c r="BR6226" s="165"/>
      <c r="BS6226" s="165"/>
      <c r="BT6226" s="165"/>
      <c r="BU6226" s="165"/>
      <c r="BV6226" s="165"/>
      <c r="BW6226" s="165"/>
      <c r="BX6226" s="165"/>
      <c r="BY6226" s="165"/>
      <c r="BZ6226" s="165"/>
      <c r="CA6226" s="165"/>
      <c r="CB6226" s="165"/>
      <c r="CC6226" s="165"/>
      <c r="CD6226" s="165"/>
      <c r="CE6226" s="165"/>
      <c r="CF6226" s="165"/>
      <c r="CG6226" s="165"/>
      <c r="CH6226" s="165"/>
      <c r="CI6226" s="165"/>
      <c r="CJ6226" s="165"/>
      <c r="CK6226" s="165"/>
      <c r="CL6226" s="165"/>
      <c r="CM6226" s="165"/>
      <c r="CN6226" s="165"/>
      <c r="CO6226" s="165"/>
      <c r="CP6226" s="165"/>
      <c r="CQ6226" s="165"/>
      <c r="CR6226" s="165"/>
      <c r="CS6226" s="165"/>
      <c r="CT6226" s="165"/>
      <c r="CU6226" s="165"/>
      <c r="CV6226" s="165"/>
      <c r="CW6226" s="165"/>
      <c r="CX6226" s="165"/>
      <c r="CY6226" s="165"/>
      <c r="CZ6226" s="165"/>
      <c r="DA6226" s="165"/>
      <c r="DB6226" s="165"/>
      <c r="DC6226" s="165"/>
      <c r="DD6226" s="165"/>
      <c r="DE6226" s="165"/>
      <c r="DF6226" s="165"/>
      <c r="DG6226" s="165"/>
      <c r="DH6226" s="165"/>
      <c r="DI6226" s="165"/>
      <c r="DJ6226" s="165"/>
      <c r="DK6226" s="165"/>
      <c r="DL6226" s="165"/>
      <c r="DM6226" s="165"/>
      <c r="DN6226" s="165"/>
      <c r="DO6226" s="165"/>
      <c r="DP6226" s="165"/>
      <c r="DQ6226" s="165"/>
      <c r="DR6226" s="165"/>
      <c r="DS6226" s="165"/>
      <c r="DT6226" s="165"/>
      <c r="DU6226" s="165"/>
      <c r="DV6226" s="165"/>
      <c r="DW6226" s="165"/>
      <c r="DX6226" s="165"/>
      <c r="DY6226" s="165"/>
      <c r="DZ6226" s="165"/>
      <c r="EA6226" s="165"/>
      <c r="EB6226" s="165"/>
      <c r="EC6226" s="165"/>
      <c r="ED6226" s="165"/>
      <c r="EE6226" s="165"/>
      <c r="EF6226" s="165"/>
      <c r="EG6226" s="165"/>
      <c r="EH6226" s="165"/>
      <c r="EI6226" s="165"/>
      <c r="EJ6226" s="165"/>
      <c r="EK6226" s="165"/>
      <c r="EL6226" s="165"/>
      <c r="EM6226" s="165"/>
      <c r="EN6226" s="165"/>
      <c r="EO6226" s="165"/>
      <c r="EP6226" s="165"/>
      <c r="EQ6226" s="165"/>
      <c r="ER6226" s="165"/>
      <c r="ES6226" s="165"/>
    </row>
    <row r="6227" spans="1:149" s="451" customFormat="1" ht="14.15" hidden="1">
      <c r="A6227" s="468">
        <v>45551</v>
      </c>
      <c r="B6227" s="208" t="s">
        <v>3190</v>
      </c>
      <c r="C6227" s="208" t="s">
        <v>4314</v>
      </c>
      <c r="D6227" s="211">
        <v>-6240</v>
      </c>
      <c r="E6227" s="212">
        <v>45536</v>
      </c>
      <c r="F6227" s="208" t="s">
        <v>2531</v>
      </c>
      <c r="G6227" s="208" t="s">
        <v>4294</v>
      </c>
      <c r="H6227" s="208"/>
      <c r="I6227" s="208"/>
      <c r="J6227" s="209"/>
      <c r="K6227" s="209"/>
      <c r="L6227" s="209"/>
      <c r="M6227" s="209"/>
      <c r="N6227" s="209"/>
      <c r="O6227" s="209"/>
      <c r="P6227" s="209"/>
      <c r="Q6227" s="209"/>
      <c r="R6227" s="209"/>
      <c r="S6227" s="209"/>
      <c r="T6227" s="209"/>
      <c r="U6227" s="165"/>
      <c r="V6227" s="165"/>
      <c r="W6227" s="165"/>
      <c r="X6227" s="165"/>
      <c r="Y6227" s="165"/>
      <c r="Z6227" s="165"/>
      <c r="AA6227" s="165"/>
      <c r="AB6227" s="165"/>
      <c r="AC6227" s="165"/>
      <c r="AD6227" s="165"/>
      <c r="AE6227" s="165"/>
      <c r="AF6227" s="165"/>
      <c r="AG6227" s="165"/>
      <c r="AH6227" s="165"/>
      <c r="AI6227" s="165"/>
      <c r="AJ6227" s="165"/>
      <c r="AK6227" s="165"/>
      <c r="AL6227" s="165"/>
      <c r="AM6227" s="165"/>
      <c r="AN6227" s="165"/>
      <c r="AO6227" s="165"/>
      <c r="AP6227" s="165"/>
      <c r="AQ6227" s="165"/>
      <c r="AR6227" s="165"/>
      <c r="AS6227" s="165"/>
      <c r="AT6227" s="165"/>
      <c r="AU6227" s="165"/>
      <c r="AV6227" s="165"/>
      <c r="AW6227" s="165"/>
      <c r="AX6227" s="165"/>
      <c r="AY6227" s="165"/>
      <c r="AZ6227" s="165"/>
      <c r="BA6227" s="165"/>
      <c r="BB6227" s="165"/>
      <c r="BC6227" s="165"/>
      <c r="BD6227" s="165"/>
      <c r="BE6227" s="165"/>
      <c r="BF6227" s="165"/>
      <c r="BG6227" s="165"/>
      <c r="BH6227" s="165"/>
      <c r="BI6227" s="165"/>
      <c r="BJ6227" s="165"/>
      <c r="BK6227" s="165"/>
      <c r="BL6227" s="165"/>
      <c r="BM6227" s="165"/>
      <c r="BN6227" s="165"/>
      <c r="BO6227" s="165"/>
      <c r="BP6227" s="165"/>
      <c r="BQ6227" s="165"/>
      <c r="BR6227" s="165"/>
      <c r="BS6227" s="165"/>
      <c r="BT6227" s="165"/>
      <c r="BU6227" s="165"/>
      <c r="BV6227" s="165"/>
      <c r="BW6227" s="165"/>
      <c r="BX6227" s="165"/>
      <c r="BY6227" s="165"/>
      <c r="BZ6227" s="165"/>
      <c r="CA6227" s="165"/>
      <c r="CB6227" s="165"/>
      <c r="CC6227" s="165"/>
      <c r="CD6227" s="165"/>
      <c r="CE6227" s="165"/>
      <c r="CF6227" s="165"/>
      <c r="CG6227" s="165"/>
      <c r="CH6227" s="165"/>
      <c r="CI6227" s="165"/>
      <c r="CJ6227" s="165"/>
      <c r="CK6227" s="165"/>
      <c r="CL6227" s="165"/>
      <c r="CM6227" s="165"/>
      <c r="CN6227" s="165"/>
      <c r="CO6227" s="165"/>
      <c r="CP6227" s="165"/>
      <c r="CQ6227" s="165"/>
      <c r="CR6227" s="165"/>
      <c r="CS6227" s="165"/>
      <c r="CT6227" s="165"/>
      <c r="CU6227" s="165"/>
      <c r="CV6227" s="165"/>
      <c r="CW6227" s="165"/>
      <c r="CX6227" s="165"/>
      <c r="CY6227" s="165"/>
      <c r="CZ6227" s="165"/>
      <c r="DA6227" s="165"/>
      <c r="DB6227" s="165"/>
      <c r="DC6227" s="165"/>
      <c r="DD6227" s="165"/>
      <c r="DE6227" s="165"/>
      <c r="DF6227" s="165"/>
      <c r="DG6227" s="165"/>
      <c r="DH6227" s="165"/>
      <c r="DI6227" s="165"/>
      <c r="DJ6227" s="165"/>
      <c r="DK6227" s="165"/>
      <c r="DL6227" s="165"/>
      <c r="DM6227" s="165"/>
      <c r="DN6227" s="165"/>
      <c r="DO6227" s="165"/>
      <c r="DP6227" s="165"/>
      <c r="DQ6227" s="165"/>
      <c r="DR6227" s="165"/>
      <c r="DS6227" s="165"/>
      <c r="DT6227" s="165"/>
      <c r="DU6227" s="165"/>
      <c r="DV6227" s="165"/>
      <c r="DW6227" s="165"/>
      <c r="DX6227" s="165"/>
      <c r="DY6227" s="165"/>
      <c r="DZ6227" s="165"/>
      <c r="EA6227" s="165"/>
      <c r="EB6227" s="165"/>
      <c r="EC6227" s="165"/>
      <c r="ED6227" s="165"/>
      <c r="EE6227" s="165"/>
      <c r="EF6227" s="165"/>
      <c r="EG6227" s="165"/>
      <c r="EH6227" s="165"/>
      <c r="EI6227" s="165"/>
      <c r="EJ6227" s="165"/>
      <c r="EK6227" s="165"/>
      <c r="EL6227" s="165"/>
      <c r="EM6227" s="165"/>
      <c r="EN6227" s="165"/>
      <c r="EO6227" s="165"/>
      <c r="EP6227" s="165"/>
      <c r="EQ6227" s="165"/>
      <c r="ER6227" s="165"/>
      <c r="ES6227" s="165"/>
    </row>
    <row r="6228" spans="1:149" s="451" customFormat="1" ht="14.15" hidden="1">
      <c r="A6228" s="468">
        <v>45551</v>
      </c>
      <c r="B6228" s="208" t="s">
        <v>4133</v>
      </c>
      <c r="C6228" s="208" t="s">
        <v>4314</v>
      </c>
      <c r="D6228" s="211">
        <v>-3744</v>
      </c>
      <c r="E6228" s="212">
        <v>45536</v>
      </c>
      <c r="F6228" s="208" t="s">
        <v>2531</v>
      </c>
      <c r="G6228" s="208" t="s">
        <v>4294</v>
      </c>
      <c r="H6228" s="208"/>
      <c r="I6228" s="208"/>
      <c r="J6228" s="209"/>
      <c r="K6228" s="209"/>
      <c r="L6228" s="209"/>
      <c r="M6228" s="209"/>
      <c r="N6228" s="209"/>
      <c r="O6228" s="209"/>
      <c r="P6228" s="209"/>
      <c r="Q6228" s="209"/>
      <c r="R6228" s="209"/>
      <c r="S6228" s="209"/>
      <c r="T6228" s="209"/>
      <c r="U6228" s="165"/>
      <c r="V6228" s="165"/>
      <c r="W6228" s="165"/>
      <c r="X6228" s="165"/>
      <c r="Y6228" s="165"/>
      <c r="Z6228" s="165"/>
      <c r="AA6228" s="165"/>
      <c r="AB6228" s="165"/>
      <c r="AC6228" s="165"/>
      <c r="AD6228" s="165"/>
      <c r="AE6228" s="165"/>
      <c r="AF6228" s="165"/>
      <c r="AG6228" s="165"/>
      <c r="AH6228" s="165"/>
      <c r="AI6228" s="165"/>
      <c r="AJ6228" s="165"/>
      <c r="AK6228" s="165"/>
      <c r="AL6228" s="165"/>
      <c r="AM6228" s="165"/>
      <c r="AN6228" s="165"/>
      <c r="AO6228" s="165"/>
      <c r="AP6228" s="165"/>
      <c r="AQ6228" s="165"/>
      <c r="AR6228" s="165"/>
      <c r="AS6228" s="165"/>
      <c r="AT6228" s="165"/>
      <c r="AU6228" s="165"/>
      <c r="AV6228" s="165"/>
      <c r="AW6228" s="165"/>
      <c r="AX6228" s="165"/>
      <c r="AY6228" s="165"/>
      <c r="AZ6228" s="165"/>
      <c r="BA6228" s="165"/>
      <c r="BB6228" s="165"/>
      <c r="BC6228" s="165"/>
      <c r="BD6228" s="165"/>
      <c r="BE6228" s="165"/>
      <c r="BF6228" s="165"/>
      <c r="BG6228" s="165"/>
      <c r="BH6228" s="165"/>
      <c r="BI6228" s="165"/>
      <c r="BJ6228" s="165"/>
      <c r="BK6228" s="165"/>
      <c r="BL6228" s="165"/>
      <c r="BM6228" s="165"/>
      <c r="BN6228" s="165"/>
      <c r="BO6228" s="165"/>
      <c r="BP6228" s="165"/>
      <c r="BQ6228" s="165"/>
      <c r="BR6228" s="165"/>
      <c r="BS6228" s="165"/>
      <c r="BT6228" s="165"/>
      <c r="BU6228" s="165"/>
      <c r="BV6228" s="165"/>
      <c r="BW6228" s="165"/>
      <c r="BX6228" s="165"/>
      <c r="BY6228" s="165"/>
      <c r="BZ6228" s="165"/>
      <c r="CA6228" s="165"/>
      <c r="CB6228" s="165"/>
      <c r="CC6228" s="165"/>
      <c r="CD6228" s="165"/>
      <c r="CE6228" s="165"/>
      <c r="CF6228" s="165"/>
      <c r="CG6228" s="165"/>
      <c r="CH6228" s="165"/>
      <c r="CI6228" s="165"/>
      <c r="CJ6228" s="165"/>
      <c r="CK6228" s="165"/>
      <c r="CL6228" s="165"/>
      <c r="CM6228" s="165"/>
      <c r="CN6228" s="165"/>
      <c r="CO6228" s="165"/>
      <c r="CP6228" s="165"/>
      <c r="CQ6228" s="165"/>
      <c r="CR6228" s="165"/>
      <c r="CS6228" s="165"/>
      <c r="CT6228" s="165"/>
      <c r="CU6228" s="165"/>
      <c r="CV6228" s="165"/>
      <c r="CW6228" s="165"/>
      <c r="CX6228" s="165"/>
      <c r="CY6228" s="165"/>
      <c r="CZ6228" s="165"/>
      <c r="DA6228" s="165"/>
      <c r="DB6228" s="165"/>
      <c r="DC6228" s="165"/>
      <c r="DD6228" s="165"/>
      <c r="DE6228" s="165"/>
      <c r="DF6228" s="165"/>
      <c r="DG6228" s="165"/>
      <c r="DH6228" s="165"/>
      <c r="DI6228" s="165"/>
      <c r="DJ6228" s="165"/>
      <c r="DK6228" s="165"/>
      <c r="DL6228" s="165"/>
      <c r="DM6228" s="165"/>
      <c r="DN6228" s="165"/>
      <c r="DO6228" s="165"/>
      <c r="DP6228" s="165"/>
      <c r="DQ6228" s="165"/>
      <c r="DR6228" s="165"/>
      <c r="DS6228" s="165"/>
      <c r="DT6228" s="165"/>
      <c r="DU6228" s="165"/>
      <c r="DV6228" s="165"/>
      <c r="DW6228" s="165"/>
      <c r="DX6228" s="165"/>
      <c r="DY6228" s="165"/>
      <c r="DZ6228" s="165"/>
      <c r="EA6228" s="165"/>
      <c r="EB6228" s="165"/>
      <c r="EC6228" s="165"/>
      <c r="ED6228" s="165"/>
      <c r="EE6228" s="165"/>
      <c r="EF6228" s="165"/>
      <c r="EG6228" s="165"/>
      <c r="EH6228" s="165"/>
      <c r="EI6228" s="165"/>
      <c r="EJ6228" s="165"/>
      <c r="EK6228" s="165"/>
      <c r="EL6228" s="165"/>
      <c r="EM6228" s="165"/>
      <c r="EN6228" s="165"/>
      <c r="EO6228" s="165"/>
      <c r="EP6228" s="165"/>
      <c r="EQ6228" s="165"/>
      <c r="ER6228" s="165"/>
      <c r="ES6228" s="165"/>
    </row>
    <row r="6229" spans="1:149" s="451" customFormat="1" ht="14.15" hidden="1">
      <c r="A6229" s="468">
        <v>45551</v>
      </c>
      <c r="B6229" s="208" t="s">
        <v>5054</v>
      </c>
      <c r="C6229" s="208" t="s">
        <v>146</v>
      </c>
      <c r="D6229" s="211">
        <v>-16000</v>
      </c>
      <c r="E6229" s="212">
        <v>45536</v>
      </c>
      <c r="F6229" s="208" t="s">
        <v>109</v>
      </c>
      <c r="G6229" s="201" t="s">
        <v>581</v>
      </c>
      <c r="H6229" s="208"/>
      <c r="I6229" s="208" t="s">
        <v>3364</v>
      </c>
      <c r="J6229" s="209"/>
      <c r="K6229" s="209"/>
      <c r="L6229" s="209"/>
      <c r="M6229" s="209"/>
      <c r="N6229" s="209"/>
      <c r="O6229" s="209"/>
      <c r="P6229" s="209"/>
      <c r="Q6229" s="209"/>
      <c r="R6229" s="209"/>
      <c r="S6229" s="209"/>
      <c r="T6229" s="209"/>
      <c r="U6229" s="165"/>
      <c r="V6229" s="165"/>
      <c r="W6229" s="165"/>
      <c r="X6229" s="165"/>
      <c r="Y6229" s="165"/>
      <c r="Z6229" s="165"/>
      <c r="AA6229" s="165"/>
      <c r="AB6229" s="165"/>
      <c r="AC6229" s="165"/>
      <c r="AD6229" s="165"/>
      <c r="AE6229" s="165"/>
      <c r="AF6229" s="165"/>
      <c r="AG6229" s="165"/>
      <c r="AH6229" s="165"/>
      <c r="AI6229" s="165"/>
      <c r="AJ6229" s="165"/>
      <c r="AK6229" s="165"/>
      <c r="AL6229" s="165"/>
      <c r="AM6229" s="165"/>
      <c r="AN6229" s="165"/>
      <c r="AO6229" s="165"/>
      <c r="AP6229" s="165"/>
      <c r="AQ6229" s="165"/>
      <c r="AR6229" s="165"/>
      <c r="AS6229" s="165"/>
      <c r="AT6229" s="165"/>
      <c r="AU6229" s="165"/>
      <c r="AV6229" s="165"/>
      <c r="AW6229" s="165"/>
      <c r="AX6229" s="165"/>
      <c r="AY6229" s="165"/>
      <c r="AZ6229" s="165"/>
      <c r="BA6229" s="165"/>
      <c r="BB6229" s="165"/>
      <c r="BC6229" s="165"/>
      <c r="BD6229" s="165"/>
      <c r="BE6229" s="165"/>
      <c r="BF6229" s="165"/>
      <c r="BG6229" s="165"/>
      <c r="BH6229" s="165"/>
      <c r="BI6229" s="165"/>
      <c r="BJ6229" s="165"/>
      <c r="BK6229" s="165"/>
      <c r="BL6229" s="165"/>
      <c r="BM6229" s="165"/>
      <c r="BN6229" s="165"/>
      <c r="BO6229" s="165"/>
      <c r="BP6229" s="165"/>
      <c r="BQ6229" s="165"/>
      <c r="BR6229" s="165"/>
      <c r="BS6229" s="165"/>
      <c r="BT6229" s="165"/>
      <c r="BU6229" s="165"/>
      <c r="BV6229" s="165"/>
      <c r="BW6229" s="165"/>
      <c r="BX6229" s="165"/>
      <c r="BY6229" s="165"/>
      <c r="BZ6229" s="165"/>
      <c r="CA6229" s="165"/>
      <c r="CB6229" s="165"/>
      <c r="CC6229" s="165"/>
      <c r="CD6229" s="165"/>
      <c r="CE6229" s="165"/>
      <c r="CF6229" s="165"/>
      <c r="CG6229" s="165"/>
      <c r="CH6229" s="165"/>
      <c r="CI6229" s="165"/>
      <c r="CJ6229" s="165"/>
      <c r="CK6229" s="165"/>
      <c r="CL6229" s="165"/>
      <c r="CM6229" s="165"/>
      <c r="CN6229" s="165"/>
      <c r="CO6229" s="165"/>
      <c r="CP6229" s="165"/>
      <c r="CQ6229" s="165"/>
      <c r="CR6229" s="165"/>
      <c r="CS6229" s="165"/>
      <c r="CT6229" s="165"/>
      <c r="CU6229" s="165"/>
      <c r="CV6229" s="165"/>
      <c r="CW6229" s="165"/>
      <c r="CX6229" s="165"/>
      <c r="CY6229" s="165"/>
      <c r="CZ6229" s="165"/>
      <c r="DA6229" s="165"/>
      <c r="DB6229" s="165"/>
      <c r="DC6229" s="165"/>
      <c r="DD6229" s="165"/>
      <c r="DE6229" s="165"/>
      <c r="DF6229" s="165"/>
      <c r="DG6229" s="165"/>
      <c r="DH6229" s="165"/>
      <c r="DI6229" s="165"/>
      <c r="DJ6229" s="165"/>
      <c r="DK6229" s="165"/>
      <c r="DL6229" s="165"/>
      <c r="DM6229" s="165"/>
      <c r="DN6229" s="165"/>
      <c r="DO6229" s="165"/>
      <c r="DP6229" s="165"/>
      <c r="DQ6229" s="165"/>
      <c r="DR6229" s="165"/>
      <c r="DS6229" s="165"/>
      <c r="DT6229" s="165"/>
      <c r="DU6229" s="165"/>
      <c r="DV6229" s="165"/>
      <c r="DW6229" s="165"/>
      <c r="DX6229" s="165"/>
      <c r="DY6229" s="165"/>
      <c r="DZ6229" s="165"/>
      <c r="EA6229" s="165"/>
      <c r="EB6229" s="165"/>
      <c r="EC6229" s="165"/>
      <c r="ED6229" s="165"/>
      <c r="EE6229" s="165"/>
      <c r="EF6229" s="165"/>
      <c r="EG6229" s="165"/>
      <c r="EH6229" s="165"/>
      <c r="EI6229" s="165"/>
      <c r="EJ6229" s="165"/>
      <c r="EK6229" s="165"/>
      <c r="EL6229" s="165"/>
      <c r="EM6229" s="165"/>
      <c r="EN6229" s="165"/>
      <c r="EO6229" s="165"/>
      <c r="EP6229" s="165"/>
      <c r="EQ6229" s="165"/>
      <c r="ER6229" s="165"/>
      <c r="ES6229" s="165"/>
    </row>
    <row r="6230" spans="1:149" ht="14.15" hidden="1">
      <c r="A6230" s="468">
        <v>45551</v>
      </c>
      <c r="B6230" s="208" t="s">
        <v>5055</v>
      </c>
      <c r="C6230" s="208" t="s">
        <v>146</v>
      </c>
      <c r="D6230" s="211">
        <v>-75000</v>
      </c>
      <c r="E6230" s="212">
        <v>45536</v>
      </c>
      <c r="F6230" s="208" t="s">
        <v>109</v>
      </c>
      <c r="G6230" s="201" t="s">
        <v>581</v>
      </c>
      <c r="H6230" s="208"/>
      <c r="I6230" s="208" t="s">
        <v>3364</v>
      </c>
      <c r="J6230" s="209"/>
      <c r="K6230" s="209"/>
      <c r="L6230" s="209"/>
      <c r="M6230" s="209"/>
      <c r="N6230" s="209"/>
      <c r="O6230" s="209"/>
      <c r="P6230" s="209"/>
      <c r="Q6230" s="209"/>
      <c r="R6230" s="209"/>
      <c r="S6230" s="209"/>
      <c r="T6230" s="209"/>
    </row>
    <row r="6231" spans="1:149" ht="14.15" hidden="1">
      <c r="A6231" s="468">
        <v>45551</v>
      </c>
      <c r="B6231" s="208" t="s">
        <v>5056</v>
      </c>
      <c r="C6231" s="208" t="s">
        <v>146</v>
      </c>
      <c r="D6231" s="211">
        <v>-73800</v>
      </c>
      <c r="E6231" s="212">
        <v>45536</v>
      </c>
      <c r="F6231" s="208" t="s">
        <v>109</v>
      </c>
      <c r="G6231" s="201" t="s">
        <v>581</v>
      </c>
      <c r="H6231" s="208"/>
      <c r="I6231" s="208" t="s">
        <v>3364</v>
      </c>
      <c r="J6231" s="209"/>
      <c r="K6231" s="209"/>
      <c r="L6231" s="209"/>
      <c r="M6231" s="209"/>
      <c r="N6231" s="209"/>
      <c r="O6231" s="209"/>
      <c r="P6231" s="209"/>
      <c r="Q6231" s="209"/>
      <c r="R6231" s="209"/>
      <c r="S6231" s="209"/>
      <c r="T6231" s="209"/>
    </row>
    <row r="6232" spans="1:149" s="451" customFormat="1" ht="14.15" hidden="1">
      <c r="A6232" s="468">
        <v>45551</v>
      </c>
      <c r="B6232" s="208" t="s">
        <v>5057</v>
      </c>
      <c r="C6232" s="208" t="s">
        <v>146</v>
      </c>
      <c r="D6232" s="211">
        <v>-20000</v>
      </c>
      <c r="E6232" s="212">
        <v>45536</v>
      </c>
      <c r="F6232" s="208" t="s">
        <v>109</v>
      </c>
      <c r="G6232" s="201" t="s">
        <v>581</v>
      </c>
      <c r="H6232" s="208"/>
      <c r="I6232" s="208" t="s">
        <v>3364</v>
      </c>
      <c r="J6232" s="209"/>
      <c r="K6232" s="209"/>
      <c r="L6232" s="209"/>
      <c r="M6232" s="209"/>
      <c r="N6232" s="209"/>
      <c r="O6232" s="209"/>
      <c r="P6232" s="209"/>
      <c r="Q6232" s="209"/>
      <c r="R6232" s="209"/>
      <c r="S6232" s="209"/>
      <c r="T6232" s="209"/>
      <c r="U6232" s="165"/>
      <c r="V6232" s="165"/>
      <c r="W6232" s="165"/>
      <c r="X6232" s="165"/>
      <c r="Y6232" s="165"/>
      <c r="Z6232" s="165"/>
      <c r="AA6232" s="165"/>
      <c r="AB6232" s="165"/>
      <c r="AC6232" s="165"/>
      <c r="AD6232" s="165"/>
      <c r="AE6232" s="165"/>
      <c r="AF6232" s="165"/>
      <c r="AG6232" s="165"/>
      <c r="AH6232" s="165"/>
      <c r="AI6232" s="165"/>
      <c r="AJ6232" s="165"/>
      <c r="AK6232" s="165"/>
      <c r="AL6232" s="165"/>
      <c r="AM6232" s="165"/>
      <c r="AN6232" s="165"/>
      <c r="AO6232" s="165"/>
      <c r="AP6232" s="165"/>
      <c r="AQ6232" s="165"/>
      <c r="AR6232" s="165"/>
      <c r="AS6232" s="165"/>
      <c r="AT6232" s="165"/>
      <c r="AU6232" s="165"/>
      <c r="AV6232" s="165"/>
      <c r="AW6232" s="165"/>
      <c r="AX6232" s="165"/>
      <c r="AY6232" s="165"/>
      <c r="AZ6232" s="165"/>
      <c r="BA6232" s="165"/>
      <c r="BB6232" s="165"/>
      <c r="BC6232" s="165"/>
      <c r="BD6232" s="165"/>
      <c r="BE6232" s="165"/>
      <c r="BF6232" s="165"/>
      <c r="BG6232" s="165"/>
      <c r="BH6232" s="165"/>
      <c r="BI6232" s="165"/>
      <c r="BJ6232" s="165"/>
      <c r="BK6232" s="165"/>
      <c r="BL6232" s="165"/>
      <c r="BM6232" s="165"/>
      <c r="BN6232" s="165"/>
      <c r="BO6232" s="165"/>
      <c r="BP6232" s="165"/>
      <c r="BQ6232" s="165"/>
      <c r="BR6232" s="165"/>
      <c r="BS6232" s="165"/>
      <c r="BT6232" s="165"/>
      <c r="BU6232" s="165"/>
      <c r="BV6232" s="165"/>
      <c r="BW6232" s="165"/>
      <c r="BX6232" s="165"/>
      <c r="BY6232" s="165"/>
      <c r="BZ6232" s="165"/>
      <c r="CA6232" s="165"/>
      <c r="CB6232" s="165"/>
      <c r="CC6232" s="165"/>
      <c r="CD6232" s="165"/>
      <c r="CE6232" s="165"/>
      <c r="CF6232" s="165"/>
      <c r="CG6232" s="165"/>
      <c r="CH6232" s="165"/>
      <c r="CI6232" s="165"/>
      <c r="CJ6232" s="165"/>
      <c r="CK6232" s="165"/>
      <c r="CL6232" s="165"/>
      <c r="CM6232" s="165"/>
      <c r="CN6232" s="165"/>
      <c r="CO6232" s="165"/>
      <c r="CP6232" s="165"/>
      <c r="CQ6232" s="165"/>
      <c r="CR6232" s="165"/>
      <c r="CS6232" s="165"/>
      <c r="CT6232" s="165"/>
      <c r="CU6232" s="165"/>
      <c r="CV6232" s="165"/>
      <c r="CW6232" s="165"/>
      <c r="CX6232" s="165"/>
      <c r="CY6232" s="165"/>
      <c r="CZ6232" s="165"/>
      <c r="DA6232" s="165"/>
      <c r="DB6232" s="165"/>
      <c r="DC6232" s="165"/>
      <c r="DD6232" s="165"/>
      <c r="DE6232" s="165"/>
      <c r="DF6232" s="165"/>
      <c r="DG6232" s="165"/>
      <c r="DH6232" s="165"/>
      <c r="DI6232" s="165"/>
      <c r="DJ6232" s="165"/>
      <c r="DK6232" s="165"/>
      <c r="DL6232" s="165"/>
      <c r="DM6232" s="165"/>
      <c r="DN6232" s="165"/>
      <c r="DO6232" s="165"/>
      <c r="DP6232" s="165"/>
      <c r="DQ6232" s="165"/>
      <c r="DR6232" s="165"/>
      <c r="DS6232" s="165"/>
      <c r="DT6232" s="165"/>
      <c r="DU6232" s="165"/>
      <c r="DV6232" s="165"/>
      <c r="DW6232" s="165"/>
      <c r="DX6232" s="165"/>
      <c r="DY6232" s="165"/>
      <c r="DZ6232" s="165"/>
      <c r="EA6232" s="165"/>
      <c r="EB6232" s="165"/>
      <c r="EC6232" s="165"/>
      <c r="ED6232" s="165"/>
      <c r="EE6232" s="165"/>
      <c r="EF6232" s="165"/>
      <c r="EG6232" s="165"/>
      <c r="EH6232" s="165"/>
      <c r="EI6232" s="165"/>
      <c r="EJ6232" s="165"/>
      <c r="EK6232" s="165"/>
      <c r="EL6232" s="165"/>
      <c r="EM6232" s="165"/>
      <c r="EN6232" s="165"/>
      <c r="EO6232" s="165"/>
      <c r="EP6232" s="165"/>
      <c r="EQ6232" s="165"/>
      <c r="ER6232" s="165"/>
      <c r="ES6232" s="165"/>
    </row>
    <row r="6233" spans="1:149" s="451" customFormat="1" ht="14.15" hidden="1">
      <c r="A6233" s="468">
        <v>45551</v>
      </c>
      <c r="B6233" s="208" t="s">
        <v>5058</v>
      </c>
      <c r="C6233" s="208" t="s">
        <v>146</v>
      </c>
      <c r="D6233" s="211">
        <v>-120000</v>
      </c>
      <c r="E6233" s="212">
        <v>45536</v>
      </c>
      <c r="F6233" s="208" t="s">
        <v>109</v>
      </c>
      <c r="G6233" s="201" t="s">
        <v>581</v>
      </c>
      <c r="H6233" s="208"/>
      <c r="I6233" s="208" t="s">
        <v>3364</v>
      </c>
      <c r="J6233" s="209"/>
      <c r="K6233" s="209"/>
      <c r="L6233" s="209"/>
      <c r="M6233" s="209"/>
      <c r="N6233" s="209"/>
      <c r="O6233" s="209"/>
      <c r="P6233" s="209"/>
      <c r="Q6233" s="209"/>
      <c r="R6233" s="209"/>
      <c r="S6233" s="209"/>
      <c r="T6233" s="209"/>
      <c r="U6233" s="165"/>
      <c r="V6233" s="165"/>
      <c r="W6233" s="165"/>
      <c r="X6233" s="165"/>
      <c r="Y6233" s="165"/>
      <c r="Z6233" s="165"/>
      <c r="AA6233" s="165"/>
      <c r="AB6233" s="165"/>
      <c r="AC6233" s="165"/>
      <c r="AD6233" s="165"/>
      <c r="AE6233" s="165"/>
      <c r="AF6233" s="165"/>
      <c r="AG6233" s="165"/>
      <c r="AH6233" s="165"/>
      <c r="AI6233" s="165"/>
      <c r="AJ6233" s="165"/>
      <c r="AK6233" s="165"/>
      <c r="AL6233" s="165"/>
      <c r="AM6233" s="165"/>
      <c r="AN6233" s="165"/>
      <c r="AO6233" s="165"/>
      <c r="AP6233" s="165"/>
      <c r="AQ6233" s="165"/>
      <c r="AR6233" s="165"/>
      <c r="AS6233" s="165"/>
      <c r="AT6233" s="165"/>
      <c r="AU6233" s="165"/>
      <c r="AV6233" s="165"/>
      <c r="AW6233" s="165"/>
      <c r="AX6233" s="165"/>
      <c r="AY6233" s="165"/>
      <c r="AZ6233" s="165"/>
      <c r="BA6233" s="165"/>
      <c r="BB6233" s="165"/>
      <c r="BC6233" s="165"/>
      <c r="BD6233" s="165"/>
      <c r="BE6233" s="165"/>
      <c r="BF6233" s="165"/>
      <c r="BG6233" s="165"/>
      <c r="BH6233" s="165"/>
      <c r="BI6233" s="165"/>
      <c r="BJ6233" s="165"/>
      <c r="BK6233" s="165"/>
      <c r="BL6233" s="165"/>
      <c r="BM6233" s="165"/>
      <c r="BN6233" s="165"/>
      <c r="BO6233" s="165"/>
      <c r="BP6233" s="165"/>
      <c r="BQ6233" s="165"/>
      <c r="BR6233" s="165"/>
      <c r="BS6233" s="165"/>
      <c r="BT6233" s="165"/>
      <c r="BU6233" s="165"/>
      <c r="BV6233" s="165"/>
      <c r="BW6233" s="165"/>
      <c r="BX6233" s="165"/>
      <c r="BY6233" s="165"/>
      <c r="BZ6233" s="165"/>
      <c r="CA6233" s="165"/>
      <c r="CB6233" s="165"/>
      <c r="CC6233" s="165"/>
      <c r="CD6233" s="165"/>
      <c r="CE6233" s="165"/>
      <c r="CF6233" s="165"/>
      <c r="CG6233" s="165"/>
      <c r="CH6233" s="165"/>
      <c r="CI6233" s="165"/>
      <c r="CJ6233" s="165"/>
      <c r="CK6233" s="165"/>
      <c r="CL6233" s="165"/>
      <c r="CM6233" s="165"/>
      <c r="CN6233" s="165"/>
      <c r="CO6233" s="165"/>
      <c r="CP6233" s="165"/>
      <c r="CQ6233" s="165"/>
      <c r="CR6233" s="165"/>
      <c r="CS6233" s="165"/>
      <c r="CT6233" s="165"/>
      <c r="CU6233" s="165"/>
      <c r="CV6233" s="165"/>
      <c r="CW6233" s="165"/>
      <c r="CX6233" s="165"/>
      <c r="CY6233" s="165"/>
      <c r="CZ6233" s="165"/>
      <c r="DA6233" s="165"/>
      <c r="DB6233" s="165"/>
      <c r="DC6233" s="165"/>
      <c r="DD6233" s="165"/>
      <c r="DE6233" s="165"/>
      <c r="DF6233" s="165"/>
      <c r="DG6233" s="165"/>
      <c r="DH6233" s="165"/>
      <c r="DI6233" s="165"/>
      <c r="DJ6233" s="165"/>
      <c r="DK6233" s="165"/>
      <c r="DL6233" s="165"/>
      <c r="DM6233" s="165"/>
      <c r="DN6233" s="165"/>
      <c r="DO6233" s="165"/>
      <c r="DP6233" s="165"/>
      <c r="DQ6233" s="165"/>
      <c r="DR6233" s="165"/>
      <c r="DS6233" s="165"/>
      <c r="DT6233" s="165"/>
      <c r="DU6233" s="165"/>
      <c r="DV6233" s="165"/>
      <c r="DW6233" s="165"/>
      <c r="DX6233" s="165"/>
      <c r="DY6233" s="165"/>
      <c r="DZ6233" s="165"/>
      <c r="EA6233" s="165"/>
      <c r="EB6233" s="165"/>
      <c r="EC6233" s="165"/>
      <c r="ED6233" s="165"/>
      <c r="EE6233" s="165"/>
      <c r="EF6233" s="165"/>
      <c r="EG6233" s="165"/>
      <c r="EH6233" s="165"/>
      <c r="EI6233" s="165"/>
      <c r="EJ6233" s="165"/>
      <c r="EK6233" s="165"/>
      <c r="EL6233" s="165"/>
      <c r="EM6233" s="165"/>
      <c r="EN6233" s="165"/>
      <c r="EO6233" s="165"/>
      <c r="EP6233" s="165"/>
      <c r="EQ6233" s="165"/>
      <c r="ER6233" s="165"/>
      <c r="ES6233" s="165"/>
    </row>
    <row r="6234" spans="1:149" s="451" customFormat="1" ht="14.15" hidden="1">
      <c r="A6234" s="468">
        <v>45551</v>
      </c>
      <c r="B6234" s="208" t="s">
        <v>4866</v>
      </c>
      <c r="C6234" s="208" t="s">
        <v>146</v>
      </c>
      <c r="D6234" s="211">
        <v>-63604</v>
      </c>
      <c r="E6234" s="212">
        <v>45536</v>
      </c>
      <c r="F6234" s="208" t="s">
        <v>110</v>
      </c>
      <c r="G6234" s="208" t="s">
        <v>4399</v>
      </c>
      <c r="H6234" s="208" t="s">
        <v>147</v>
      </c>
      <c r="I6234" s="208" t="s">
        <v>3378</v>
      </c>
      <c r="J6234" s="209"/>
      <c r="K6234" s="209"/>
      <c r="L6234" s="209"/>
      <c r="M6234" s="209"/>
      <c r="N6234" s="209"/>
      <c r="O6234" s="209"/>
      <c r="P6234" s="209"/>
      <c r="Q6234" s="209"/>
      <c r="R6234" s="209"/>
      <c r="S6234" s="209"/>
      <c r="T6234" s="209"/>
      <c r="U6234" s="165"/>
      <c r="V6234" s="165"/>
      <c r="W6234" s="165"/>
      <c r="X6234" s="165"/>
      <c r="Y6234" s="165"/>
      <c r="Z6234" s="165"/>
      <c r="AA6234" s="165"/>
      <c r="AB6234" s="165"/>
      <c r="AC6234" s="165"/>
      <c r="AD6234" s="165"/>
      <c r="AE6234" s="165"/>
      <c r="AF6234" s="165"/>
      <c r="AG6234" s="165"/>
      <c r="AH6234" s="165"/>
      <c r="AI6234" s="165"/>
      <c r="AJ6234" s="165"/>
      <c r="AK6234" s="165"/>
      <c r="AL6234" s="165"/>
      <c r="AM6234" s="165"/>
      <c r="AN6234" s="165"/>
      <c r="AO6234" s="165"/>
      <c r="AP6234" s="165"/>
      <c r="AQ6234" s="165"/>
      <c r="AR6234" s="165"/>
      <c r="AS6234" s="165"/>
      <c r="AT6234" s="165"/>
      <c r="AU6234" s="165"/>
      <c r="AV6234" s="165"/>
      <c r="AW6234" s="165"/>
      <c r="AX6234" s="165"/>
      <c r="AY6234" s="165"/>
      <c r="AZ6234" s="165"/>
      <c r="BA6234" s="165"/>
      <c r="BB6234" s="165"/>
      <c r="BC6234" s="165"/>
      <c r="BD6234" s="165"/>
      <c r="BE6234" s="165"/>
      <c r="BF6234" s="165"/>
      <c r="BG6234" s="165"/>
      <c r="BH6234" s="165"/>
      <c r="BI6234" s="165"/>
      <c r="BJ6234" s="165"/>
      <c r="BK6234" s="165"/>
      <c r="BL6234" s="165"/>
      <c r="BM6234" s="165"/>
      <c r="BN6234" s="165"/>
      <c r="BO6234" s="165"/>
      <c r="BP6234" s="165"/>
      <c r="BQ6234" s="165"/>
      <c r="BR6234" s="165"/>
      <c r="BS6234" s="165"/>
      <c r="BT6234" s="165"/>
      <c r="BU6234" s="165"/>
      <c r="BV6234" s="165"/>
      <c r="BW6234" s="165"/>
      <c r="BX6234" s="165"/>
      <c r="BY6234" s="165"/>
      <c r="BZ6234" s="165"/>
      <c r="CA6234" s="165"/>
      <c r="CB6234" s="165"/>
      <c r="CC6234" s="165"/>
      <c r="CD6234" s="165"/>
      <c r="CE6234" s="165"/>
      <c r="CF6234" s="165"/>
      <c r="CG6234" s="165"/>
      <c r="CH6234" s="165"/>
      <c r="CI6234" s="165"/>
      <c r="CJ6234" s="165"/>
      <c r="CK6234" s="165"/>
      <c r="CL6234" s="165"/>
      <c r="CM6234" s="165"/>
      <c r="CN6234" s="165"/>
      <c r="CO6234" s="165"/>
      <c r="CP6234" s="165"/>
      <c r="CQ6234" s="165"/>
      <c r="CR6234" s="165"/>
      <c r="CS6234" s="165"/>
      <c r="CT6234" s="165"/>
      <c r="CU6234" s="165"/>
      <c r="CV6234" s="165"/>
      <c r="CW6234" s="165"/>
      <c r="CX6234" s="165"/>
      <c r="CY6234" s="165"/>
      <c r="CZ6234" s="165"/>
      <c r="DA6234" s="165"/>
      <c r="DB6234" s="165"/>
      <c r="DC6234" s="165"/>
      <c r="DD6234" s="165"/>
      <c r="DE6234" s="165"/>
      <c r="DF6234" s="165"/>
      <c r="DG6234" s="165"/>
      <c r="DH6234" s="165"/>
      <c r="DI6234" s="165"/>
      <c r="DJ6234" s="165"/>
      <c r="DK6234" s="165"/>
      <c r="DL6234" s="165"/>
      <c r="DM6234" s="165"/>
      <c r="DN6234" s="165"/>
      <c r="DO6234" s="165"/>
      <c r="DP6234" s="165"/>
      <c r="DQ6234" s="165"/>
      <c r="DR6234" s="165"/>
      <c r="DS6234" s="165"/>
      <c r="DT6234" s="165"/>
      <c r="DU6234" s="165"/>
      <c r="DV6234" s="165"/>
      <c r="DW6234" s="165"/>
      <c r="DX6234" s="165"/>
      <c r="DY6234" s="165"/>
      <c r="DZ6234" s="165"/>
      <c r="EA6234" s="165"/>
      <c r="EB6234" s="165"/>
      <c r="EC6234" s="165"/>
      <c r="ED6234" s="165"/>
      <c r="EE6234" s="165"/>
      <c r="EF6234" s="165"/>
      <c r="EG6234" s="165"/>
      <c r="EH6234" s="165"/>
      <c r="EI6234" s="165"/>
      <c r="EJ6234" s="165"/>
      <c r="EK6234" s="165"/>
      <c r="EL6234" s="165"/>
      <c r="EM6234" s="165"/>
      <c r="EN6234" s="165"/>
      <c r="EO6234" s="165"/>
      <c r="EP6234" s="165"/>
      <c r="EQ6234" s="165"/>
      <c r="ER6234" s="165"/>
      <c r="ES6234" s="165"/>
    </row>
    <row r="6235" spans="1:149" s="451" customFormat="1" ht="14.15" hidden="1">
      <c r="A6235" s="468">
        <v>45551</v>
      </c>
      <c r="B6235" s="208" t="s">
        <v>4786</v>
      </c>
      <c r="C6235" s="208" t="s">
        <v>146</v>
      </c>
      <c r="D6235" s="211">
        <v>-139361</v>
      </c>
      <c r="E6235" s="212">
        <v>45536</v>
      </c>
      <c r="F6235" s="208" t="s">
        <v>110</v>
      </c>
      <c r="G6235" s="208" t="s">
        <v>4399</v>
      </c>
      <c r="H6235" s="208" t="s">
        <v>147</v>
      </c>
      <c r="I6235" s="208" t="s">
        <v>3378</v>
      </c>
      <c r="J6235" s="209"/>
      <c r="K6235" s="209"/>
      <c r="L6235" s="209"/>
      <c r="M6235" s="209"/>
      <c r="N6235" s="209"/>
      <c r="O6235" s="209"/>
      <c r="P6235" s="209"/>
      <c r="Q6235" s="209"/>
      <c r="R6235" s="209"/>
      <c r="S6235" s="209"/>
      <c r="T6235" s="209"/>
      <c r="U6235" s="165"/>
      <c r="V6235" s="165"/>
      <c r="W6235" s="165"/>
      <c r="X6235" s="165"/>
      <c r="Y6235" s="165"/>
      <c r="Z6235" s="165"/>
      <c r="AA6235" s="165"/>
      <c r="AB6235" s="165"/>
      <c r="AC6235" s="165"/>
      <c r="AD6235" s="165"/>
      <c r="AE6235" s="165"/>
      <c r="AF6235" s="165"/>
      <c r="AG6235" s="165"/>
      <c r="AH6235" s="165"/>
      <c r="AI6235" s="165"/>
      <c r="AJ6235" s="165"/>
      <c r="AK6235" s="165"/>
      <c r="AL6235" s="165"/>
      <c r="AM6235" s="165"/>
      <c r="AN6235" s="165"/>
      <c r="AO6235" s="165"/>
      <c r="AP6235" s="165"/>
      <c r="AQ6235" s="165"/>
      <c r="AR6235" s="165"/>
      <c r="AS6235" s="165"/>
      <c r="AT6235" s="165"/>
      <c r="AU6235" s="165"/>
      <c r="AV6235" s="165"/>
      <c r="AW6235" s="165"/>
      <c r="AX6235" s="165"/>
      <c r="AY6235" s="165"/>
      <c r="AZ6235" s="165"/>
      <c r="BA6235" s="165"/>
      <c r="BB6235" s="165"/>
      <c r="BC6235" s="165"/>
      <c r="BD6235" s="165"/>
      <c r="BE6235" s="165"/>
      <c r="BF6235" s="165"/>
      <c r="BG6235" s="165"/>
      <c r="BH6235" s="165"/>
      <c r="BI6235" s="165"/>
      <c r="BJ6235" s="165"/>
      <c r="BK6235" s="165"/>
      <c r="BL6235" s="165"/>
      <c r="BM6235" s="165"/>
      <c r="BN6235" s="165"/>
      <c r="BO6235" s="165"/>
      <c r="BP6235" s="165"/>
      <c r="BQ6235" s="165"/>
      <c r="BR6235" s="165"/>
      <c r="BS6235" s="165"/>
      <c r="BT6235" s="165"/>
      <c r="BU6235" s="165"/>
      <c r="BV6235" s="165"/>
      <c r="BW6235" s="165"/>
      <c r="BX6235" s="165"/>
      <c r="BY6235" s="165"/>
      <c r="BZ6235" s="165"/>
      <c r="CA6235" s="165"/>
      <c r="CB6235" s="165"/>
      <c r="CC6235" s="165"/>
      <c r="CD6235" s="165"/>
      <c r="CE6235" s="165"/>
      <c r="CF6235" s="165"/>
      <c r="CG6235" s="165"/>
      <c r="CH6235" s="165"/>
      <c r="CI6235" s="165"/>
      <c r="CJ6235" s="165"/>
      <c r="CK6235" s="165"/>
      <c r="CL6235" s="165"/>
      <c r="CM6235" s="165"/>
      <c r="CN6235" s="165"/>
      <c r="CO6235" s="165"/>
      <c r="CP6235" s="165"/>
      <c r="CQ6235" s="165"/>
      <c r="CR6235" s="165"/>
      <c r="CS6235" s="165"/>
      <c r="CT6235" s="165"/>
      <c r="CU6235" s="165"/>
      <c r="CV6235" s="165"/>
      <c r="CW6235" s="165"/>
      <c r="CX6235" s="165"/>
      <c r="CY6235" s="165"/>
      <c r="CZ6235" s="165"/>
      <c r="DA6235" s="165"/>
      <c r="DB6235" s="165"/>
      <c r="DC6235" s="165"/>
      <c r="DD6235" s="165"/>
      <c r="DE6235" s="165"/>
      <c r="DF6235" s="165"/>
      <c r="DG6235" s="165"/>
      <c r="DH6235" s="165"/>
      <c r="DI6235" s="165"/>
      <c r="DJ6235" s="165"/>
      <c r="DK6235" s="165"/>
      <c r="DL6235" s="165"/>
      <c r="DM6235" s="165"/>
      <c r="DN6235" s="165"/>
      <c r="DO6235" s="165"/>
      <c r="DP6235" s="165"/>
      <c r="DQ6235" s="165"/>
      <c r="DR6235" s="165"/>
      <c r="DS6235" s="165"/>
      <c r="DT6235" s="165"/>
      <c r="DU6235" s="165"/>
      <c r="DV6235" s="165"/>
      <c r="DW6235" s="165"/>
      <c r="DX6235" s="165"/>
      <c r="DY6235" s="165"/>
      <c r="DZ6235" s="165"/>
      <c r="EA6235" s="165"/>
      <c r="EB6235" s="165"/>
      <c r="EC6235" s="165"/>
      <c r="ED6235" s="165"/>
      <c r="EE6235" s="165"/>
      <c r="EF6235" s="165"/>
      <c r="EG6235" s="165"/>
      <c r="EH6235" s="165"/>
      <c r="EI6235" s="165"/>
      <c r="EJ6235" s="165"/>
      <c r="EK6235" s="165"/>
      <c r="EL6235" s="165"/>
      <c r="EM6235" s="165"/>
      <c r="EN6235" s="165"/>
      <c r="EO6235" s="165"/>
      <c r="EP6235" s="165"/>
      <c r="EQ6235" s="165"/>
      <c r="ER6235" s="165"/>
      <c r="ES6235" s="165"/>
    </row>
    <row r="6236" spans="1:149" ht="14.15" hidden="1">
      <c r="A6236" s="468">
        <v>45552</v>
      </c>
      <c r="B6236" s="208" t="s">
        <v>72</v>
      </c>
      <c r="C6236" s="208" t="s">
        <v>27</v>
      </c>
      <c r="D6236" s="211">
        <v>-7900</v>
      </c>
      <c r="E6236" s="212">
        <v>45536</v>
      </c>
      <c r="F6236" s="208" t="s">
        <v>109</v>
      </c>
      <c r="G6236" s="208" t="s">
        <v>2809</v>
      </c>
      <c r="H6236" s="208" t="s">
        <v>5059</v>
      </c>
      <c r="I6236" s="208"/>
      <c r="J6236" s="209"/>
      <c r="K6236" s="209"/>
      <c r="L6236" s="209"/>
      <c r="M6236" s="209"/>
      <c r="N6236" s="209"/>
      <c r="O6236" s="209"/>
      <c r="P6236" s="209"/>
      <c r="Q6236" s="209"/>
      <c r="R6236" s="209"/>
      <c r="S6236" s="209"/>
      <c r="T6236" s="209"/>
      <c r="U6236" s="451"/>
      <c r="V6236" s="451"/>
      <c r="W6236" s="451"/>
      <c r="X6236" s="451"/>
      <c r="Y6236" s="451"/>
      <c r="Z6236" s="451"/>
      <c r="AA6236" s="451"/>
      <c r="AB6236" s="451"/>
      <c r="AC6236" s="451"/>
      <c r="AD6236" s="451"/>
      <c r="AE6236" s="451"/>
      <c r="AF6236" s="451"/>
      <c r="AG6236" s="451"/>
      <c r="AH6236" s="451"/>
      <c r="AI6236" s="451"/>
      <c r="AJ6236" s="451"/>
      <c r="AK6236" s="451"/>
      <c r="AL6236" s="451"/>
      <c r="AM6236" s="451"/>
      <c r="AN6236" s="451"/>
      <c r="AO6236" s="451"/>
      <c r="AP6236" s="451"/>
      <c r="AQ6236" s="451"/>
      <c r="AR6236" s="451"/>
      <c r="AS6236" s="451"/>
      <c r="AT6236" s="451"/>
      <c r="AU6236" s="451"/>
      <c r="AV6236" s="451"/>
      <c r="AW6236" s="451"/>
      <c r="AX6236" s="451"/>
      <c r="AY6236" s="451"/>
      <c r="AZ6236" s="451"/>
      <c r="BA6236" s="451"/>
      <c r="BB6236" s="451"/>
      <c r="BC6236" s="451"/>
      <c r="BD6236" s="451"/>
      <c r="BE6236" s="451"/>
      <c r="BF6236" s="451"/>
      <c r="BG6236" s="451"/>
      <c r="BH6236" s="451"/>
      <c r="BI6236" s="451"/>
      <c r="BJ6236" s="451"/>
      <c r="BK6236" s="451"/>
      <c r="BL6236" s="451"/>
      <c r="BM6236" s="451"/>
      <c r="BN6236" s="451"/>
      <c r="BO6236" s="451"/>
      <c r="BP6236" s="451"/>
      <c r="BQ6236" s="451"/>
      <c r="BR6236" s="451"/>
      <c r="BS6236" s="451"/>
      <c r="BT6236" s="451"/>
      <c r="BU6236" s="451"/>
      <c r="BV6236" s="451"/>
      <c r="BW6236" s="451"/>
      <c r="BX6236" s="451"/>
      <c r="BY6236" s="451"/>
      <c r="BZ6236" s="451"/>
      <c r="CA6236" s="451"/>
      <c r="CB6236" s="451"/>
      <c r="CC6236" s="451"/>
      <c r="CD6236" s="451"/>
      <c r="CE6236" s="451"/>
      <c r="CF6236" s="451"/>
      <c r="CG6236" s="451"/>
      <c r="CH6236" s="451"/>
      <c r="CI6236" s="451"/>
      <c r="CJ6236" s="451"/>
      <c r="CK6236" s="451"/>
      <c r="CL6236" s="451"/>
      <c r="CM6236" s="451"/>
      <c r="CN6236" s="451"/>
      <c r="CO6236" s="451"/>
      <c r="CP6236" s="451"/>
      <c r="CQ6236" s="451"/>
      <c r="CR6236" s="451"/>
      <c r="CS6236" s="451"/>
      <c r="CT6236" s="451"/>
      <c r="CU6236" s="451"/>
      <c r="CV6236" s="451"/>
      <c r="CW6236" s="451"/>
      <c r="CX6236" s="451"/>
      <c r="CY6236" s="451"/>
      <c r="CZ6236" s="451"/>
      <c r="DA6236" s="451"/>
      <c r="DB6236" s="451"/>
      <c r="DC6236" s="451"/>
      <c r="DD6236" s="451"/>
      <c r="DE6236" s="451"/>
      <c r="DF6236" s="451"/>
      <c r="DG6236" s="451"/>
      <c r="DH6236" s="451"/>
      <c r="DI6236" s="451"/>
      <c r="DJ6236" s="451"/>
      <c r="DK6236" s="451"/>
      <c r="DL6236" s="451"/>
      <c r="DM6236" s="451"/>
      <c r="DN6236" s="451"/>
      <c r="DO6236" s="451"/>
      <c r="DP6236" s="451"/>
      <c r="DQ6236" s="451"/>
      <c r="DR6236" s="451"/>
      <c r="DS6236" s="451"/>
      <c r="DT6236" s="451"/>
      <c r="DU6236" s="451"/>
      <c r="DV6236" s="451"/>
      <c r="DW6236" s="451"/>
      <c r="DX6236" s="451"/>
      <c r="DY6236" s="451"/>
      <c r="DZ6236" s="451"/>
      <c r="EA6236" s="451"/>
      <c r="EB6236" s="451"/>
      <c r="EC6236" s="451"/>
      <c r="ED6236" s="451"/>
      <c r="EE6236" s="451"/>
      <c r="EF6236" s="451"/>
      <c r="EG6236" s="451"/>
      <c r="EH6236" s="451"/>
      <c r="EI6236" s="451"/>
      <c r="EJ6236" s="451"/>
      <c r="EK6236" s="451"/>
      <c r="EL6236" s="451"/>
      <c r="EM6236" s="451"/>
      <c r="EN6236" s="451"/>
      <c r="EO6236" s="451"/>
      <c r="EP6236" s="451"/>
      <c r="EQ6236" s="451"/>
      <c r="ER6236" s="451"/>
      <c r="ES6236" s="451"/>
    </row>
    <row r="6237" spans="1:149" ht="14.15" hidden="1">
      <c r="A6237" s="468">
        <v>45552</v>
      </c>
      <c r="B6237" s="208" t="s">
        <v>5060</v>
      </c>
      <c r="C6237" s="208" t="s">
        <v>27</v>
      </c>
      <c r="D6237" s="211">
        <v>-291980</v>
      </c>
      <c r="E6237" s="212">
        <v>45536</v>
      </c>
      <c r="F6237" s="208" t="s">
        <v>109</v>
      </c>
      <c r="G6237" s="208" t="s">
        <v>2809</v>
      </c>
      <c r="H6237" s="208" t="s">
        <v>4814</v>
      </c>
      <c r="I6237" s="208"/>
      <c r="J6237" s="209"/>
      <c r="K6237" s="209"/>
      <c r="L6237" s="209"/>
      <c r="M6237" s="209"/>
      <c r="N6237" s="209"/>
      <c r="O6237" s="209"/>
      <c r="P6237" s="209"/>
      <c r="Q6237" s="209"/>
      <c r="R6237" s="209"/>
      <c r="S6237" s="209"/>
      <c r="T6237" s="209"/>
      <c r="U6237" s="451"/>
      <c r="V6237" s="451"/>
      <c r="W6237" s="451"/>
      <c r="X6237" s="451"/>
      <c r="Y6237" s="451"/>
      <c r="Z6237" s="451"/>
      <c r="AA6237" s="451"/>
      <c r="AB6237" s="451"/>
      <c r="AC6237" s="451"/>
      <c r="AD6237" s="451"/>
      <c r="AE6237" s="451"/>
      <c r="AF6237" s="451"/>
      <c r="AG6237" s="451"/>
      <c r="AH6237" s="451"/>
      <c r="AI6237" s="451"/>
      <c r="AJ6237" s="451"/>
      <c r="AK6237" s="451"/>
      <c r="AL6237" s="451"/>
      <c r="AM6237" s="451"/>
      <c r="AN6237" s="451"/>
      <c r="AO6237" s="451"/>
      <c r="AP6237" s="451"/>
      <c r="AQ6237" s="451"/>
      <c r="AR6237" s="451"/>
      <c r="AS6237" s="451"/>
      <c r="AT6237" s="451"/>
      <c r="AU6237" s="451"/>
      <c r="AV6237" s="451"/>
      <c r="AW6237" s="451"/>
      <c r="AX6237" s="451"/>
      <c r="AY6237" s="451"/>
      <c r="AZ6237" s="451"/>
      <c r="BA6237" s="451"/>
      <c r="BB6237" s="451"/>
      <c r="BC6237" s="451"/>
      <c r="BD6237" s="451"/>
      <c r="BE6237" s="451"/>
      <c r="BF6237" s="451"/>
      <c r="BG6237" s="451"/>
      <c r="BH6237" s="451"/>
      <c r="BI6237" s="451"/>
      <c r="BJ6237" s="451"/>
      <c r="BK6237" s="451"/>
      <c r="BL6237" s="451"/>
      <c r="BM6237" s="451"/>
      <c r="BN6237" s="451"/>
      <c r="BO6237" s="451"/>
      <c r="BP6237" s="451"/>
      <c r="BQ6237" s="451"/>
      <c r="BR6237" s="451"/>
      <c r="BS6237" s="451"/>
      <c r="BT6237" s="451"/>
      <c r="BU6237" s="451"/>
      <c r="BV6237" s="451"/>
      <c r="BW6237" s="451"/>
      <c r="BX6237" s="451"/>
      <c r="BY6237" s="451"/>
      <c r="BZ6237" s="451"/>
      <c r="CA6237" s="451"/>
      <c r="CB6237" s="451"/>
      <c r="CC6237" s="451"/>
      <c r="CD6237" s="451"/>
      <c r="CE6237" s="451"/>
      <c r="CF6237" s="451"/>
      <c r="CG6237" s="451"/>
      <c r="CH6237" s="451"/>
      <c r="CI6237" s="451"/>
      <c r="CJ6237" s="451"/>
      <c r="CK6237" s="451"/>
      <c r="CL6237" s="451"/>
      <c r="CM6237" s="451"/>
      <c r="CN6237" s="451"/>
      <c r="CO6237" s="451"/>
      <c r="CP6237" s="451"/>
      <c r="CQ6237" s="451"/>
      <c r="CR6237" s="451"/>
      <c r="CS6237" s="451"/>
      <c r="CT6237" s="451"/>
      <c r="CU6237" s="451"/>
      <c r="CV6237" s="451"/>
      <c r="CW6237" s="451"/>
      <c r="CX6237" s="451"/>
      <c r="CY6237" s="451"/>
      <c r="CZ6237" s="451"/>
      <c r="DA6237" s="451"/>
      <c r="DB6237" s="451"/>
      <c r="DC6237" s="451"/>
      <c r="DD6237" s="451"/>
      <c r="DE6237" s="451"/>
      <c r="DF6237" s="451"/>
      <c r="DG6237" s="451"/>
      <c r="DH6237" s="451"/>
      <c r="DI6237" s="451"/>
      <c r="DJ6237" s="451"/>
      <c r="DK6237" s="451"/>
      <c r="DL6237" s="451"/>
      <c r="DM6237" s="451"/>
      <c r="DN6237" s="451"/>
      <c r="DO6237" s="451"/>
      <c r="DP6237" s="451"/>
      <c r="DQ6237" s="451"/>
      <c r="DR6237" s="451"/>
      <c r="DS6237" s="451"/>
      <c r="DT6237" s="451"/>
      <c r="DU6237" s="451"/>
      <c r="DV6237" s="451"/>
      <c r="DW6237" s="451"/>
      <c r="DX6237" s="451"/>
      <c r="DY6237" s="451"/>
      <c r="DZ6237" s="451"/>
      <c r="EA6237" s="451"/>
      <c r="EB6237" s="451"/>
      <c r="EC6237" s="451"/>
      <c r="ED6237" s="451"/>
      <c r="EE6237" s="451"/>
      <c r="EF6237" s="451"/>
      <c r="EG6237" s="451"/>
      <c r="EH6237" s="451"/>
      <c r="EI6237" s="451"/>
      <c r="EJ6237" s="451"/>
      <c r="EK6237" s="451"/>
      <c r="EL6237" s="451"/>
      <c r="EM6237" s="451"/>
      <c r="EN6237" s="451"/>
      <c r="EO6237" s="451"/>
      <c r="EP6237" s="451"/>
      <c r="EQ6237" s="451"/>
      <c r="ER6237" s="451"/>
      <c r="ES6237" s="451"/>
    </row>
    <row r="6238" spans="1:149" s="451" customFormat="1" ht="15" hidden="1" customHeight="1">
      <c r="A6238" s="468">
        <v>45552</v>
      </c>
      <c r="B6238" s="208" t="s">
        <v>5061</v>
      </c>
      <c r="C6238" s="208" t="s">
        <v>27</v>
      </c>
      <c r="D6238" s="211">
        <v>-1700000</v>
      </c>
      <c r="E6238" s="212">
        <v>45536</v>
      </c>
      <c r="F6238" s="208" t="s">
        <v>109</v>
      </c>
      <c r="G6238" s="201" t="s">
        <v>581</v>
      </c>
      <c r="H6238" s="208"/>
      <c r="I6238" s="208"/>
      <c r="J6238" s="209"/>
      <c r="K6238" s="209"/>
      <c r="L6238" s="209"/>
      <c r="M6238" s="209"/>
      <c r="N6238" s="209"/>
      <c r="O6238" s="209"/>
      <c r="P6238" s="209"/>
      <c r="Q6238" s="209"/>
      <c r="R6238" s="209"/>
      <c r="S6238" s="209"/>
      <c r="T6238" s="209"/>
    </row>
    <row r="6239" spans="1:149" s="451" customFormat="1" ht="15" hidden="1" customHeight="1">
      <c r="A6239" s="468">
        <v>45552</v>
      </c>
      <c r="B6239" s="208" t="s">
        <v>5062</v>
      </c>
      <c r="C6239" s="208" t="s">
        <v>27</v>
      </c>
      <c r="D6239" s="211">
        <v>-204300</v>
      </c>
      <c r="E6239" s="212">
        <v>45536</v>
      </c>
      <c r="F6239" s="208" t="s">
        <v>109</v>
      </c>
      <c r="G6239" s="208" t="s">
        <v>2809</v>
      </c>
      <c r="H6239" s="208" t="s">
        <v>4814</v>
      </c>
      <c r="I6239" s="208"/>
      <c r="J6239" s="209"/>
      <c r="K6239" s="209"/>
      <c r="L6239" s="209"/>
      <c r="M6239" s="209"/>
      <c r="N6239" s="209"/>
      <c r="O6239" s="209"/>
      <c r="P6239" s="209"/>
      <c r="Q6239" s="209"/>
      <c r="R6239" s="209"/>
      <c r="S6239" s="209"/>
      <c r="T6239" s="209"/>
    </row>
    <row r="6240" spans="1:149" s="451" customFormat="1" ht="15" hidden="1" customHeight="1">
      <c r="A6240" s="468">
        <v>45552</v>
      </c>
      <c r="B6240" s="208" t="s">
        <v>5063</v>
      </c>
      <c r="C6240" s="208" t="s">
        <v>27</v>
      </c>
      <c r="D6240" s="211">
        <v>-550000</v>
      </c>
      <c r="E6240" s="212">
        <v>45536</v>
      </c>
      <c r="F6240" s="208" t="s">
        <v>109</v>
      </c>
      <c r="G6240" s="208" t="s">
        <v>5064</v>
      </c>
      <c r="H6240" s="208" t="s">
        <v>175</v>
      </c>
      <c r="I6240" s="208"/>
      <c r="J6240" s="209"/>
      <c r="K6240" s="209"/>
      <c r="L6240" s="209"/>
      <c r="M6240" s="209"/>
      <c r="N6240" s="209"/>
      <c r="O6240" s="209"/>
      <c r="P6240" s="209"/>
      <c r="Q6240" s="209"/>
      <c r="R6240" s="209"/>
      <c r="S6240" s="209"/>
      <c r="T6240" s="209"/>
    </row>
    <row r="6241" spans="1:149" s="451" customFormat="1" ht="15" hidden="1" customHeight="1">
      <c r="A6241" s="468">
        <v>45552</v>
      </c>
      <c r="B6241" s="208" t="s">
        <v>5065</v>
      </c>
      <c r="C6241" s="208" t="s">
        <v>27</v>
      </c>
      <c r="D6241" s="211">
        <v>-500000</v>
      </c>
      <c r="E6241" s="212">
        <v>45536</v>
      </c>
      <c r="F6241" s="208" t="s">
        <v>109</v>
      </c>
      <c r="G6241" s="208" t="s">
        <v>2809</v>
      </c>
      <c r="H6241" s="208" t="s">
        <v>5066</v>
      </c>
      <c r="I6241" s="208"/>
      <c r="J6241" s="209"/>
      <c r="K6241" s="209"/>
      <c r="L6241" s="209"/>
      <c r="M6241" s="209"/>
      <c r="N6241" s="209"/>
      <c r="O6241" s="209"/>
      <c r="P6241" s="209"/>
      <c r="Q6241" s="209"/>
      <c r="R6241" s="209"/>
      <c r="S6241" s="209"/>
      <c r="T6241" s="209"/>
    </row>
    <row r="6242" spans="1:149" s="451" customFormat="1" ht="15" hidden="1" customHeight="1">
      <c r="A6242" s="468">
        <v>45552</v>
      </c>
      <c r="B6242" s="208" t="s">
        <v>5067</v>
      </c>
      <c r="C6242" s="208" t="s">
        <v>27</v>
      </c>
      <c r="D6242" s="211">
        <v>-298000</v>
      </c>
      <c r="E6242" s="212">
        <v>45536</v>
      </c>
      <c r="F6242" s="208" t="s">
        <v>2531</v>
      </c>
      <c r="G6242" s="201" t="s">
        <v>1489</v>
      </c>
      <c r="H6242" s="208" t="s">
        <v>2941</v>
      </c>
      <c r="I6242" s="208"/>
      <c r="J6242" s="209"/>
      <c r="K6242" s="209"/>
      <c r="L6242" s="209"/>
      <c r="M6242" s="209"/>
      <c r="N6242" s="209"/>
      <c r="O6242" s="209"/>
      <c r="P6242" s="209"/>
      <c r="Q6242" s="209"/>
      <c r="R6242" s="209"/>
      <c r="S6242" s="209"/>
      <c r="T6242" s="209"/>
    </row>
    <row r="6243" spans="1:149" ht="15" hidden="1" customHeight="1">
      <c r="A6243" s="468">
        <v>45552</v>
      </c>
      <c r="B6243" s="208" t="s">
        <v>5068</v>
      </c>
      <c r="C6243" s="208" t="s">
        <v>27</v>
      </c>
      <c r="D6243" s="211">
        <v>-1828323</v>
      </c>
      <c r="E6243" s="212">
        <v>45536</v>
      </c>
      <c r="F6243" s="208" t="s">
        <v>2531</v>
      </c>
      <c r="G6243" s="208" t="s">
        <v>3245</v>
      </c>
      <c r="H6243" s="208" t="s">
        <v>3637</v>
      </c>
      <c r="I6243" s="208"/>
      <c r="J6243" s="209"/>
      <c r="K6243" s="209"/>
      <c r="L6243" s="209"/>
      <c r="M6243" s="209"/>
      <c r="N6243" s="209"/>
      <c r="O6243" s="209"/>
      <c r="P6243" s="209"/>
      <c r="Q6243" s="209"/>
      <c r="R6243" s="209"/>
      <c r="S6243" s="209"/>
      <c r="T6243" s="209"/>
      <c r="U6243" s="451"/>
      <c r="V6243" s="451"/>
      <c r="W6243" s="451"/>
      <c r="X6243" s="451"/>
      <c r="Y6243" s="451"/>
      <c r="Z6243" s="451"/>
      <c r="AA6243" s="451"/>
      <c r="AB6243" s="451"/>
      <c r="AC6243" s="451"/>
      <c r="AD6243" s="451"/>
      <c r="AE6243" s="451"/>
      <c r="AF6243" s="451"/>
      <c r="AG6243" s="451"/>
      <c r="AH6243" s="451"/>
      <c r="AI6243" s="451"/>
      <c r="AJ6243" s="451"/>
      <c r="AK6243" s="451"/>
      <c r="AL6243" s="451"/>
      <c r="AM6243" s="451"/>
      <c r="AN6243" s="451"/>
      <c r="AO6243" s="451"/>
      <c r="AP6243" s="451"/>
      <c r="AQ6243" s="451"/>
      <c r="AR6243" s="451"/>
      <c r="AS6243" s="451"/>
      <c r="AT6243" s="451"/>
      <c r="AU6243" s="451"/>
      <c r="AV6243" s="451"/>
      <c r="AW6243" s="451"/>
      <c r="AX6243" s="451"/>
      <c r="AY6243" s="451"/>
      <c r="AZ6243" s="451"/>
      <c r="BA6243" s="451"/>
      <c r="BB6243" s="451"/>
      <c r="BC6243" s="451"/>
      <c r="BD6243" s="451"/>
      <c r="BE6243" s="451"/>
      <c r="BF6243" s="451"/>
      <c r="BG6243" s="451"/>
      <c r="BH6243" s="451"/>
      <c r="BI6243" s="451"/>
      <c r="BJ6243" s="451"/>
      <c r="BK6243" s="451"/>
      <c r="BL6243" s="451"/>
      <c r="BM6243" s="451"/>
      <c r="BN6243" s="451"/>
      <c r="BO6243" s="451"/>
      <c r="BP6243" s="451"/>
      <c r="BQ6243" s="451"/>
      <c r="BR6243" s="451"/>
      <c r="BS6243" s="451"/>
      <c r="BT6243" s="451"/>
      <c r="BU6243" s="451"/>
      <c r="BV6243" s="451"/>
      <c r="BW6243" s="451"/>
      <c r="BX6243" s="451"/>
      <c r="BY6243" s="451"/>
      <c r="BZ6243" s="451"/>
      <c r="CA6243" s="451"/>
      <c r="CB6243" s="451"/>
      <c r="CC6243" s="451"/>
      <c r="CD6243" s="451"/>
      <c r="CE6243" s="451"/>
      <c r="CF6243" s="451"/>
      <c r="CG6243" s="451"/>
      <c r="CH6243" s="451"/>
      <c r="CI6243" s="451"/>
      <c r="CJ6243" s="451"/>
      <c r="CK6243" s="451"/>
      <c r="CL6243" s="451"/>
      <c r="CM6243" s="451"/>
      <c r="CN6243" s="451"/>
      <c r="CO6243" s="451"/>
      <c r="CP6243" s="451"/>
      <c r="CQ6243" s="451"/>
      <c r="CR6243" s="451"/>
      <c r="CS6243" s="451"/>
      <c r="CT6243" s="451"/>
      <c r="CU6243" s="451"/>
      <c r="CV6243" s="451"/>
      <c r="CW6243" s="451"/>
      <c r="CX6243" s="451"/>
      <c r="CY6243" s="451"/>
      <c r="CZ6243" s="451"/>
      <c r="DA6243" s="451"/>
      <c r="DB6243" s="451"/>
      <c r="DC6243" s="451"/>
      <c r="DD6243" s="451"/>
      <c r="DE6243" s="451"/>
      <c r="DF6243" s="451"/>
      <c r="DG6243" s="451"/>
      <c r="DH6243" s="451"/>
      <c r="DI6243" s="451"/>
      <c r="DJ6243" s="451"/>
      <c r="DK6243" s="451"/>
      <c r="DL6243" s="451"/>
      <c r="DM6243" s="451"/>
      <c r="DN6243" s="451"/>
      <c r="DO6243" s="451"/>
      <c r="DP6243" s="451"/>
      <c r="DQ6243" s="451"/>
      <c r="DR6243" s="451"/>
      <c r="DS6243" s="451"/>
      <c r="DT6243" s="451"/>
      <c r="DU6243" s="451"/>
      <c r="DV6243" s="451"/>
      <c r="DW6243" s="451"/>
      <c r="DX6243" s="451"/>
      <c r="DY6243" s="451"/>
      <c r="DZ6243" s="451"/>
      <c r="EA6243" s="451"/>
      <c r="EB6243" s="451"/>
      <c r="EC6243" s="451"/>
      <c r="ED6243" s="451"/>
      <c r="EE6243" s="451"/>
      <c r="EF6243" s="451"/>
      <c r="EG6243" s="451"/>
      <c r="EH6243" s="451"/>
      <c r="EI6243" s="451"/>
      <c r="EJ6243" s="451"/>
      <c r="EK6243" s="451"/>
      <c r="EL6243" s="451"/>
      <c r="EM6243" s="451"/>
      <c r="EN6243" s="451"/>
      <c r="EO6243" s="451"/>
      <c r="EP6243" s="451"/>
      <c r="EQ6243" s="451"/>
      <c r="ER6243" s="451"/>
      <c r="ES6243" s="451"/>
    </row>
    <row r="6244" spans="1:149" s="451" customFormat="1" ht="15" hidden="1" customHeight="1">
      <c r="A6244" s="468">
        <v>45552</v>
      </c>
      <c r="B6244" s="208" t="s">
        <v>5069</v>
      </c>
      <c r="C6244" s="208" t="s">
        <v>27</v>
      </c>
      <c r="D6244" s="211">
        <v>-609900</v>
      </c>
      <c r="E6244" s="212">
        <v>45536</v>
      </c>
      <c r="F6244" s="208" t="s">
        <v>130</v>
      </c>
      <c r="G6244" s="208" t="s">
        <v>130</v>
      </c>
      <c r="H6244" s="208" t="s">
        <v>323</v>
      </c>
      <c r="I6244" s="208"/>
      <c r="J6244" s="209"/>
      <c r="K6244" s="209"/>
      <c r="L6244" s="209"/>
      <c r="M6244" s="209"/>
      <c r="N6244" s="209"/>
      <c r="O6244" s="209"/>
      <c r="P6244" s="209"/>
      <c r="Q6244" s="209"/>
      <c r="R6244" s="209"/>
      <c r="S6244" s="209"/>
      <c r="T6244" s="209"/>
    </row>
    <row r="6245" spans="1:149" s="451" customFormat="1" ht="15" hidden="1" customHeight="1">
      <c r="A6245" s="468">
        <v>45552</v>
      </c>
      <c r="B6245" s="208" t="s">
        <v>5070</v>
      </c>
      <c r="C6245" s="208" t="s">
        <v>27</v>
      </c>
      <c r="D6245" s="211">
        <v>-196350</v>
      </c>
      <c r="E6245" s="212">
        <v>45536</v>
      </c>
      <c r="F6245" s="208" t="s">
        <v>2531</v>
      </c>
      <c r="G6245" s="208" t="s">
        <v>3245</v>
      </c>
      <c r="H6245" s="208" t="s">
        <v>175</v>
      </c>
      <c r="I6245" s="208"/>
      <c r="J6245" s="209"/>
      <c r="K6245" s="209"/>
      <c r="L6245" s="209"/>
      <c r="M6245" s="209"/>
      <c r="N6245" s="209"/>
      <c r="O6245" s="209"/>
      <c r="P6245" s="209"/>
      <c r="Q6245" s="209"/>
      <c r="R6245" s="209"/>
      <c r="S6245" s="209"/>
      <c r="T6245" s="209"/>
    </row>
    <row r="6246" spans="1:149" s="451" customFormat="1" ht="15" hidden="1" customHeight="1">
      <c r="A6246" s="468">
        <v>45552</v>
      </c>
      <c r="B6246" s="208" t="s">
        <v>5071</v>
      </c>
      <c r="C6246" s="208" t="s">
        <v>27</v>
      </c>
      <c r="D6246" s="211">
        <v>-4867700</v>
      </c>
      <c r="E6246" s="212">
        <v>45536</v>
      </c>
      <c r="F6246" s="208" t="s">
        <v>109</v>
      </c>
      <c r="G6246" s="201" t="s">
        <v>583</v>
      </c>
      <c r="H6246" s="208"/>
      <c r="I6246" s="208"/>
      <c r="J6246" s="209"/>
      <c r="K6246" s="209"/>
      <c r="L6246" s="209"/>
      <c r="M6246" s="209"/>
      <c r="N6246" s="209"/>
      <c r="O6246" s="209"/>
      <c r="P6246" s="209"/>
      <c r="Q6246" s="209"/>
      <c r="R6246" s="209"/>
      <c r="S6246" s="209"/>
      <c r="T6246" s="209"/>
    </row>
    <row r="6247" spans="1:149" s="451" customFormat="1" ht="15" hidden="1" customHeight="1">
      <c r="A6247" s="468">
        <v>45552</v>
      </c>
      <c r="B6247" s="208" t="s">
        <v>5072</v>
      </c>
      <c r="C6247" s="208" t="s">
        <v>27</v>
      </c>
      <c r="D6247" s="211">
        <v>-910000</v>
      </c>
      <c r="E6247" s="212">
        <v>45536</v>
      </c>
      <c r="F6247" s="208" t="s">
        <v>109</v>
      </c>
      <c r="G6247" s="201" t="s">
        <v>583</v>
      </c>
      <c r="H6247" s="208" t="s">
        <v>212</v>
      </c>
      <c r="I6247" s="208"/>
      <c r="J6247" s="209"/>
      <c r="K6247" s="209"/>
      <c r="L6247" s="209"/>
      <c r="M6247" s="209"/>
      <c r="N6247" s="209"/>
      <c r="O6247" s="209"/>
      <c r="P6247" s="209"/>
      <c r="Q6247" s="209"/>
      <c r="R6247" s="209"/>
      <c r="S6247" s="209"/>
      <c r="T6247" s="209"/>
    </row>
    <row r="6248" spans="1:149" s="451" customFormat="1" ht="15" hidden="1" customHeight="1">
      <c r="A6248" s="468">
        <v>45552</v>
      </c>
      <c r="B6248" s="208" t="s">
        <v>5073</v>
      </c>
      <c r="C6248" s="208" t="s">
        <v>27</v>
      </c>
      <c r="D6248" s="211">
        <v>-1428873</v>
      </c>
      <c r="E6248" s="212">
        <v>45536</v>
      </c>
      <c r="F6248" s="208" t="s">
        <v>109</v>
      </c>
      <c r="G6248" s="208" t="s">
        <v>4294</v>
      </c>
      <c r="H6248" s="208" t="s">
        <v>175</v>
      </c>
      <c r="I6248" s="208"/>
      <c r="J6248" s="209"/>
      <c r="K6248" s="209"/>
      <c r="L6248" s="209"/>
      <c r="M6248" s="209"/>
      <c r="N6248" s="209"/>
      <c r="O6248" s="209"/>
      <c r="P6248" s="209"/>
      <c r="Q6248" s="209"/>
      <c r="R6248" s="209"/>
      <c r="S6248" s="209"/>
      <c r="T6248" s="209"/>
    </row>
    <row r="6249" spans="1:149" s="451" customFormat="1" ht="15" hidden="1" customHeight="1">
      <c r="A6249" s="468">
        <v>45552</v>
      </c>
      <c r="B6249" s="208" t="s">
        <v>5074</v>
      </c>
      <c r="C6249" s="208" t="s">
        <v>27</v>
      </c>
      <c r="D6249" s="211">
        <v>-1428873</v>
      </c>
      <c r="E6249" s="212">
        <v>45536</v>
      </c>
      <c r="F6249" s="208" t="s">
        <v>2531</v>
      </c>
      <c r="G6249" s="201" t="s">
        <v>1489</v>
      </c>
      <c r="H6249" s="208" t="s">
        <v>2941</v>
      </c>
      <c r="I6249" s="208"/>
      <c r="J6249" s="209"/>
      <c r="K6249" s="209"/>
      <c r="L6249" s="209"/>
      <c r="M6249" s="209"/>
      <c r="N6249" s="209"/>
      <c r="O6249" s="209"/>
      <c r="P6249" s="209"/>
      <c r="Q6249" s="209"/>
      <c r="R6249" s="209"/>
      <c r="S6249" s="209"/>
      <c r="T6249" s="209"/>
    </row>
    <row r="6250" spans="1:149" s="451" customFormat="1" ht="15" hidden="1" customHeight="1">
      <c r="A6250" s="468">
        <v>45552</v>
      </c>
      <c r="B6250" s="208" t="s">
        <v>5075</v>
      </c>
      <c r="C6250" s="208" t="s">
        <v>27</v>
      </c>
      <c r="D6250" s="211">
        <v>-1428873</v>
      </c>
      <c r="E6250" s="212">
        <v>45536</v>
      </c>
      <c r="F6250" s="208" t="s">
        <v>2531</v>
      </c>
      <c r="G6250" s="208" t="s">
        <v>4990</v>
      </c>
      <c r="H6250" s="208" t="s">
        <v>175</v>
      </c>
      <c r="I6250" s="208"/>
      <c r="J6250" s="209"/>
      <c r="K6250" s="209"/>
      <c r="L6250" s="209"/>
      <c r="M6250" s="209"/>
      <c r="N6250" s="209"/>
      <c r="O6250" s="209"/>
      <c r="P6250" s="209"/>
      <c r="Q6250" s="209"/>
      <c r="R6250" s="209"/>
      <c r="S6250" s="209"/>
      <c r="T6250" s="209"/>
    </row>
    <row r="6251" spans="1:149" s="451" customFormat="1" ht="15" hidden="1" customHeight="1">
      <c r="A6251" s="468">
        <v>45552</v>
      </c>
      <c r="B6251" s="208" t="s">
        <v>5076</v>
      </c>
      <c r="C6251" s="208" t="s">
        <v>27</v>
      </c>
      <c r="D6251" s="211">
        <v>-858600</v>
      </c>
      <c r="E6251" s="212">
        <v>45536</v>
      </c>
      <c r="F6251" s="208" t="s">
        <v>130</v>
      </c>
      <c r="G6251" s="208" t="s">
        <v>130</v>
      </c>
      <c r="H6251" s="208" t="s">
        <v>3939</v>
      </c>
      <c r="I6251" s="208"/>
      <c r="J6251" s="209"/>
      <c r="K6251" s="209"/>
      <c r="L6251" s="209"/>
      <c r="M6251" s="209"/>
      <c r="N6251" s="209"/>
      <c r="O6251" s="209"/>
      <c r="P6251" s="209"/>
      <c r="Q6251" s="209"/>
      <c r="R6251" s="209"/>
      <c r="S6251" s="209"/>
      <c r="T6251" s="209"/>
    </row>
    <row r="6252" spans="1:149" s="451" customFormat="1" ht="15" hidden="1" customHeight="1">
      <c r="A6252" s="468">
        <v>45552</v>
      </c>
      <c r="B6252" s="208" t="s">
        <v>5077</v>
      </c>
      <c r="C6252" s="208" t="s">
        <v>27</v>
      </c>
      <c r="D6252" s="211">
        <v>-1240000</v>
      </c>
      <c r="E6252" s="212">
        <v>45536</v>
      </c>
      <c r="F6252" s="208" t="s">
        <v>109</v>
      </c>
      <c r="G6252" s="201" t="s">
        <v>581</v>
      </c>
      <c r="H6252" s="208"/>
      <c r="I6252" s="208"/>
      <c r="J6252" s="209"/>
      <c r="K6252" s="209"/>
      <c r="L6252" s="209"/>
      <c r="M6252" s="209"/>
      <c r="N6252" s="209"/>
      <c r="O6252" s="209"/>
      <c r="P6252" s="209"/>
      <c r="Q6252" s="209"/>
      <c r="R6252" s="209"/>
      <c r="S6252" s="209"/>
      <c r="T6252" s="209"/>
    </row>
    <row r="6253" spans="1:149" s="451" customFormat="1" ht="15" hidden="1" customHeight="1">
      <c r="A6253" s="468">
        <v>45552</v>
      </c>
      <c r="B6253" s="208" t="s">
        <v>5078</v>
      </c>
      <c r="C6253" s="208" t="s">
        <v>27</v>
      </c>
      <c r="D6253" s="211">
        <v>200000000</v>
      </c>
      <c r="E6253" s="212">
        <v>45536</v>
      </c>
      <c r="F6253" s="883" t="s">
        <v>707</v>
      </c>
      <c r="G6253" s="201" t="s">
        <v>583</v>
      </c>
      <c r="H6253" s="208"/>
      <c r="I6253" s="208"/>
      <c r="J6253" s="209"/>
      <c r="K6253" s="209"/>
      <c r="L6253" s="209"/>
      <c r="M6253" s="209"/>
      <c r="N6253" s="209"/>
      <c r="O6253" s="209"/>
      <c r="P6253" s="209"/>
      <c r="Q6253" s="209"/>
      <c r="R6253" s="209"/>
      <c r="S6253" s="209"/>
      <c r="T6253" s="209"/>
      <c r="U6253" s="165"/>
      <c r="V6253" s="165"/>
      <c r="W6253" s="165"/>
      <c r="X6253" s="165"/>
      <c r="Y6253" s="165"/>
      <c r="Z6253" s="165"/>
      <c r="AA6253" s="165"/>
      <c r="AB6253" s="165"/>
      <c r="AC6253" s="165"/>
      <c r="AD6253" s="165"/>
      <c r="AE6253" s="165"/>
      <c r="AF6253" s="165"/>
      <c r="AG6253" s="165"/>
      <c r="AH6253" s="165"/>
      <c r="AI6253" s="165"/>
      <c r="AJ6253" s="165"/>
      <c r="AK6253" s="165"/>
      <c r="AL6253" s="165"/>
      <c r="AM6253" s="165"/>
      <c r="AN6253" s="165"/>
      <c r="AO6253" s="165"/>
      <c r="AP6253" s="165"/>
      <c r="AQ6253" s="165"/>
      <c r="AR6253" s="165"/>
      <c r="AS6253" s="165"/>
      <c r="AT6253" s="165"/>
      <c r="AU6253" s="165"/>
      <c r="AV6253" s="165"/>
      <c r="AW6253" s="165"/>
      <c r="AX6253" s="165"/>
      <c r="AY6253" s="165"/>
      <c r="AZ6253" s="165"/>
      <c r="BA6253" s="165"/>
      <c r="BB6253" s="165"/>
      <c r="BC6253" s="165"/>
      <c r="BD6253" s="165"/>
      <c r="BE6253" s="165"/>
      <c r="BF6253" s="165"/>
      <c r="BG6253" s="165"/>
      <c r="BH6253" s="165"/>
      <c r="BI6253" s="165"/>
      <c r="BJ6253" s="165"/>
      <c r="BK6253" s="165"/>
      <c r="BL6253" s="165"/>
      <c r="BM6253" s="165"/>
      <c r="BN6253" s="165"/>
      <c r="BO6253" s="165"/>
      <c r="BP6253" s="165"/>
      <c r="BQ6253" s="165"/>
      <c r="BR6253" s="165"/>
      <c r="BS6253" s="165"/>
      <c r="BT6253" s="165"/>
      <c r="BU6253" s="165"/>
      <c r="BV6253" s="165"/>
      <c r="BW6253" s="165"/>
      <c r="BX6253" s="165"/>
      <c r="BY6253" s="165"/>
      <c r="BZ6253" s="165"/>
      <c r="CA6253" s="165"/>
      <c r="CB6253" s="165"/>
      <c r="CC6253" s="165"/>
      <c r="CD6253" s="165"/>
      <c r="CE6253" s="165"/>
      <c r="CF6253" s="165"/>
      <c r="CG6253" s="165"/>
      <c r="CH6253" s="165"/>
      <c r="CI6253" s="165"/>
      <c r="CJ6253" s="165"/>
      <c r="CK6253" s="165"/>
      <c r="CL6253" s="165"/>
      <c r="CM6253" s="165"/>
      <c r="CN6253" s="165"/>
      <c r="CO6253" s="165"/>
      <c r="CP6253" s="165"/>
      <c r="CQ6253" s="165"/>
      <c r="CR6253" s="165"/>
      <c r="CS6253" s="165"/>
      <c r="CT6253" s="165"/>
      <c r="CU6253" s="165"/>
      <c r="CV6253" s="165"/>
      <c r="CW6253" s="165"/>
      <c r="CX6253" s="165"/>
      <c r="CY6253" s="165"/>
      <c r="CZ6253" s="165"/>
      <c r="DA6253" s="165"/>
      <c r="DB6253" s="165"/>
      <c r="DC6253" s="165"/>
      <c r="DD6253" s="165"/>
      <c r="DE6253" s="165"/>
      <c r="DF6253" s="165"/>
      <c r="DG6253" s="165"/>
      <c r="DH6253" s="165"/>
      <c r="DI6253" s="165"/>
      <c r="DJ6253" s="165"/>
      <c r="DK6253" s="165"/>
      <c r="DL6253" s="165"/>
      <c r="DM6253" s="165"/>
      <c r="DN6253" s="165"/>
      <c r="DO6253" s="165"/>
      <c r="DP6253" s="165"/>
      <c r="DQ6253" s="165"/>
      <c r="DR6253" s="165"/>
      <c r="DS6253" s="165"/>
      <c r="DT6253" s="165"/>
      <c r="DU6253" s="165"/>
      <c r="DV6253" s="165"/>
      <c r="DW6253" s="165"/>
      <c r="DX6253" s="165"/>
      <c r="DY6253" s="165"/>
      <c r="DZ6253" s="165"/>
      <c r="EA6253" s="165"/>
      <c r="EB6253" s="165"/>
      <c r="EC6253" s="165"/>
      <c r="ED6253" s="165"/>
      <c r="EE6253" s="165"/>
      <c r="EF6253" s="165"/>
      <c r="EG6253" s="165"/>
      <c r="EH6253" s="165"/>
      <c r="EI6253" s="165"/>
      <c r="EJ6253" s="165"/>
      <c r="EK6253" s="165"/>
      <c r="EL6253" s="165"/>
      <c r="EM6253" s="165"/>
      <c r="EN6253" s="165"/>
      <c r="EO6253" s="165"/>
      <c r="EP6253" s="165"/>
      <c r="EQ6253" s="165"/>
      <c r="ER6253" s="165"/>
      <c r="ES6253" s="165"/>
    </row>
    <row r="6254" spans="1:149" s="451" customFormat="1" ht="15" hidden="1" customHeight="1">
      <c r="A6254" s="468">
        <v>45552</v>
      </c>
      <c r="B6254" s="208" t="s">
        <v>5079</v>
      </c>
      <c r="C6254" s="208" t="s">
        <v>27</v>
      </c>
      <c r="D6254" s="211">
        <v>264820</v>
      </c>
      <c r="E6254" s="212">
        <v>45536</v>
      </c>
      <c r="F6254" s="208" t="s">
        <v>130</v>
      </c>
      <c r="G6254" s="208" t="s">
        <v>130</v>
      </c>
      <c r="H6254" s="208"/>
      <c r="I6254" s="208"/>
      <c r="J6254" s="209"/>
      <c r="K6254" s="209"/>
      <c r="L6254" s="209"/>
      <c r="M6254" s="209"/>
      <c r="N6254" s="209"/>
      <c r="O6254" s="209"/>
      <c r="P6254" s="209"/>
      <c r="Q6254" s="209"/>
      <c r="R6254" s="209"/>
      <c r="S6254" s="209"/>
      <c r="T6254" s="209"/>
      <c r="U6254" s="165"/>
      <c r="V6254" s="165"/>
      <c r="W6254" s="165"/>
      <c r="X6254" s="165"/>
      <c r="Y6254" s="165"/>
      <c r="Z6254" s="165"/>
      <c r="AA6254" s="165"/>
      <c r="AB6254" s="165"/>
      <c r="AC6254" s="165"/>
      <c r="AD6254" s="165"/>
      <c r="AE6254" s="165"/>
      <c r="AF6254" s="165"/>
      <c r="AG6254" s="165"/>
      <c r="AH6254" s="165"/>
      <c r="AI6254" s="165"/>
      <c r="AJ6254" s="165"/>
      <c r="AK6254" s="165"/>
      <c r="AL6254" s="165"/>
      <c r="AM6254" s="165"/>
      <c r="AN6254" s="165"/>
      <c r="AO6254" s="165"/>
      <c r="AP6254" s="165"/>
      <c r="AQ6254" s="165"/>
      <c r="AR6254" s="165"/>
      <c r="AS6254" s="165"/>
      <c r="AT6254" s="165"/>
      <c r="AU6254" s="165"/>
      <c r="AV6254" s="165"/>
      <c r="AW6254" s="165"/>
      <c r="AX6254" s="165"/>
      <c r="AY6254" s="165"/>
      <c r="AZ6254" s="165"/>
      <c r="BA6254" s="165"/>
      <c r="BB6254" s="165"/>
      <c r="BC6254" s="165"/>
      <c r="BD6254" s="165"/>
      <c r="BE6254" s="165"/>
      <c r="BF6254" s="165"/>
      <c r="BG6254" s="165"/>
      <c r="BH6254" s="165"/>
      <c r="BI6254" s="165"/>
      <c r="BJ6254" s="165"/>
      <c r="BK6254" s="165"/>
      <c r="BL6254" s="165"/>
      <c r="BM6254" s="165"/>
      <c r="BN6254" s="165"/>
      <c r="BO6254" s="165"/>
      <c r="BP6254" s="165"/>
      <c r="BQ6254" s="165"/>
      <c r="BR6254" s="165"/>
      <c r="BS6254" s="165"/>
      <c r="BT6254" s="165"/>
      <c r="BU6254" s="165"/>
      <c r="BV6254" s="165"/>
      <c r="BW6254" s="165"/>
      <c r="BX6254" s="165"/>
      <c r="BY6254" s="165"/>
      <c r="BZ6254" s="165"/>
      <c r="CA6254" s="165"/>
      <c r="CB6254" s="165"/>
      <c r="CC6254" s="165"/>
      <c r="CD6254" s="165"/>
      <c r="CE6254" s="165"/>
      <c r="CF6254" s="165"/>
      <c r="CG6254" s="165"/>
      <c r="CH6254" s="165"/>
      <c r="CI6254" s="165"/>
      <c r="CJ6254" s="165"/>
      <c r="CK6254" s="165"/>
      <c r="CL6254" s="165"/>
      <c r="CM6254" s="165"/>
      <c r="CN6254" s="165"/>
      <c r="CO6254" s="165"/>
      <c r="CP6254" s="165"/>
      <c r="CQ6254" s="165"/>
      <c r="CR6254" s="165"/>
      <c r="CS6254" s="165"/>
      <c r="CT6254" s="165"/>
      <c r="CU6254" s="165"/>
      <c r="CV6254" s="165"/>
      <c r="CW6254" s="165"/>
      <c r="CX6254" s="165"/>
      <c r="CY6254" s="165"/>
      <c r="CZ6254" s="165"/>
      <c r="DA6254" s="165"/>
      <c r="DB6254" s="165"/>
      <c r="DC6254" s="165"/>
      <c r="DD6254" s="165"/>
      <c r="DE6254" s="165"/>
      <c r="DF6254" s="165"/>
      <c r="DG6254" s="165"/>
      <c r="DH6254" s="165"/>
      <c r="DI6254" s="165"/>
      <c r="DJ6254" s="165"/>
      <c r="DK6254" s="165"/>
      <c r="DL6254" s="165"/>
      <c r="DM6254" s="165"/>
      <c r="DN6254" s="165"/>
      <c r="DO6254" s="165"/>
      <c r="DP6254" s="165"/>
      <c r="DQ6254" s="165"/>
      <c r="DR6254" s="165"/>
      <c r="DS6254" s="165"/>
      <c r="DT6254" s="165"/>
      <c r="DU6254" s="165"/>
      <c r="DV6254" s="165"/>
      <c r="DW6254" s="165"/>
      <c r="DX6254" s="165"/>
      <c r="DY6254" s="165"/>
      <c r="DZ6254" s="165"/>
      <c r="EA6254" s="165"/>
      <c r="EB6254" s="165"/>
      <c r="EC6254" s="165"/>
      <c r="ED6254" s="165"/>
      <c r="EE6254" s="165"/>
      <c r="EF6254" s="165"/>
      <c r="EG6254" s="165"/>
      <c r="EH6254" s="165"/>
      <c r="EI6254" s="165"/>
      <c r="EJ6254" s="165"/>
      <c r="EK6254" s="165"/>
      <c r="EL6254" s="165"/>
      <c r="EM6254" s="165"/>
      <c r="EN6254" s="165"/>
      <c r="EO6254" s="165"/>
      <c r="EP6254" s="165"/>
      <c r="EQ6254" s="165"/>
      <c r="ER6254" s="165"/>
      <c r="ES6254" s="165"/>
    </row>
    <row r="6255" spans="1:149" s="451" customFormat="1" ht="15" hidden="1" customHeight="1">
      <c r="A6255" s="468">
        <v>45552</v>
      </c>
      <c r="B6255" s="208" t="s">
        <v>5080</v>
      </c>
      <c r="C6255" s="208" t="s">
        <v>643</v>
      </c>
      <c r="D6255" s="211">
        <v>-288000</v>
      </c>
      <c r="E6255" s="212">
        <v>45536</v>
      </c>
      <c r="F6255" s="208" t="s">
        <v>130</v>
      </c>
      <c r="G6255" s="208" t="s">
        <v>257</v>
      </c>
      <c r="H6255" s="208" t="s">
        <v>1138</v>
      </c>
      <c r="I6255" s="208"/>
      <c r="J6255" s="209"/>
      <c r="K6255" s="209"/>
      <c r="L6255" s="209"/>
      <c r="M6255" s="209"/>
      <c r="N6255" s="209"/>
      <c r="O6255" s="209"/>
      <c r="P6255" s="209"/>
      <c r="Q6255" s="209"/>
      <c r="R6255" s="209"/>
      <c r="S6255" s="209"/>
      <c r="T6255" s="209"/>
      <c r="U6255" s="165"/>
      <c r="V6255" s="165"/>
      <c r="W6255" s="165"/>
      <c r="X6255" s="165"/>
      <c r="Y6255" s="165"/>
      <c r="Z6255" s="165"/>
      <c r="AA6255" s="165"/>
      <c r="AB6255" s="165"/>
      <c r="AC6255" s="165"/>
      <c r="AD6255" s="165"/>
      <c r="AE6255" s="165"/>
      <c r="AF6255" s="165"/>
      <c r="AG6255" s="165"/>
      <c r="AH6255" s="165"/>
      <c r="AI6255" s="165"/>
      <c r="AJ6255" s="165"/>
      <c r="AK6255" s="165"/>
      <c r="AL6255" s="165"/>
      <c r="AM6255" s="165"/>
      <c r="AN6255" s="165"/>
      <c r="AO6255" s="165"/>
      <c r="AP6255" s="165"/>
      <c r="AQ6255" s="165"/>
      <c r="AR6255" s="165"/>
      <c r="AS6255" s="165"/>
      <c r="AT6255" s="165"/>
      <c r="AU6255" s="165"/>
      <c r="AV6255" s="165"/>
      <c r="AW6255" s="165"/>
      <c r="AX6255" s="165"/>
      <c r="AY6255" s="165"/>
      <c r="AZ6255" s="165"/>
      <c r="BA6255" s="165"/>
      <c r="BB6255" s="165"/>
      <c r="BC6255" s="165"/>
      <c r="BD6255" s="165"/>
      <c r="BE6255" s="165"/>
      <c r="BF6255" s="165"/>
      <c r="BG6255" s="165"/>
      <c r="BH6255" s="165"/>
      <c r="BI6255" s="165"/>
      <c r="BJ6255" s="165"/>
      <c r="BK6255" s="165"/>
      <c r="BL6255" s="165"/>
      <c r="BM6255" s="165"/>
      <c r="BN6255" s="165"/>
      <c r="BO6255" s="165"/>
      <c r="BP6255" s="165"/>
      <c r="BQ6255" s="165"/>
      <c r="BR6255" s="165"/>
      <c r="BS6255" s="165"/>
      <c r="BT6255" s="165"/>
      <c r="BU6255" s="165"/>
      <c r="BV6255" s="165"/>
      <c r="BW6255" s="165"/>
      <c r="BX6255" s="165"/>
      <c r="BY6255" s="165"/>
      <c r="BZ6255" s="165"/>
      <c r="CA6255" s="165"/>
      <c r="CB6255" s="165"/>
      <c r="CC6255" s="165"/>
      <c r="CD6255" s="165"/>
      <c r="CE6255" s="165"/>
      <c r="CF6255" s="165"/>
      <c r="CG6255" s="165"/>
      <c r="CH6255" s="165"/>
      <c r="CI6255" s="165"/>
      <c r="CJ6255" s="165"/>
      <c r="CK6255" s="165"/>
      <c r="CL6255" s="165"/>
      <c r="CM6255" s="165"/>
      <c r="CN6255" s="165"/>
      <c r="CO6255" s="165"/>
      <c r="CP6255" s="165"/>
      <c r="CQ6255" s="165"/>
      <c r="CR6255" s="165"/>
      <c r="CS6255" s="165"/>
      <c r="CT6255" s="165"/>
      <c r="CU6255" s="165"/>
      <c r="CV6255" s="165"/>
      <c r="CW6255" s="165"/>
      <c r="CX6255" s="165"/>
      <c r="CY6255" s="165"/>
      <c r="CZ6255" s="165"/>
      <c r="DA6255" s="165"/>
      <c r="DB6255" s="165"/>
      <c r="DC6255" s="165"/>
      <c r="DD6255" s="165"/>
      <c r="DE6255" s="165"/>
      <c r="DF6255" s="165"/>
      <c r="DG6255" s="165"/>
      <c r="DH6255" s="165"/>
      <c r="DI6255" s="165"/>
      <c r="DJ6255" s="165"/>
      <c r="DK6255" s="165"/>
      <c r="DL6255" s="165"/>
      <c r="DM6255" s="165"/>
      <c r="DN6255" s="165"/>
      <c r="DO6255" s="165"/>
      <c r="DP6255" s="165"/>
      <c r="DQ6255" s="165"/>
      <c r="DR6255" s="165"/>
      <c r="DS6255" s="165"/>
      <c r="DT6255" s="165"/>
      <c r="DU6255" s="165"/>
      <c r="DV6255" s="165"/>
      <c r="DW6255" s="165"/>
      <c r="DX6255" s="165"/>
      <c r="DY6255" s="165"/>
      <c r="DZ6255" s="165"/>
      <c r="EA6255" s="165"/>
      <c r="EB6255" s="165"/>
      <c r="EC6255" s="165"/>
      <c r="ED6255" s="165"/>
      <c r="EE6255" s="165"/>
      <c r="EF6255" s="165"/>
      <c r="EG6255" s="165"/>
      <c r="EH6255" s="165"/>
      <c r="EI6255" s="165"/>
      <c r="EJ6255" s="165"/>
      <c r="EK6255" s="165"/>
      <c r="EL6255" s="165"/>
      <c r="EM6255" s="165"/>
      <c r="EN6255" s="165"/>
      <c r="EO6255" s="165"/>
      <c r="EP6255" s="165"/>
      <c r="EQ6255" s="165"/>
      <c r="ER6255" s="165"/>
      <c r="ES6255" s="165"/>
    </row>
    <row r="6256" spans="1:149" s="451" customFormat="1" ht="15" hidden="1" customHeight="1">
      <c r="A6256" s="468">
        <v>45552</v>
      </c>
      <c r="B6256" s="208" t="s">
        <v>5081</v>
      </c>
      <c r="C6256" s="208" t="s">
        <v>27</v>
      </c>
      <c r="D6256" s="211">
        <v>-199000</v>
      </c>
      <c r="E6256" s="212">
        <v>45536</v>
      </c>
      <c r="F6256" s="208" t="s">
        <v>109</v>
      </c>
      <c r="G6256" s="208" t="s">
        <v>4294</v>
      </c>
      <c r="H6256" s="208" t="s">
        <v>147</v>
      </c>
      <c r="I6256" s="475" t="s">
        <v>3475</v>
      </c>
      <c r="J6256" s="209"/>
      <c r="K6256" s="209"/>
      <c r="L6256" s="209"/>
      <c r="M6256" s="209"/>
      <c r="N6256" s="209"/>
      <c r="O6256" s="209"/>
      <c r="P6256" s="209"/>
      <c r="Q6256" s="209"/>
      <c r="R6256" s="209"/>
      <c r="S6256" s="209"/>
      <c r="T6256" s="209"/>
    </row>
    <row r="6257" spans="1:149" s="451" customFormat="1" ht="15" hidden="1" customHeight="1">
      <c r="A6257" s="468">
        <v>45552</v>
      </c>
      <c r="B6257" s="208" t="s">
        <v>5082</v>
      </c>
      <c r="C6257" s="208" t="s">
        <v>269</v>
      </c>
      <c r="D6257" s="211">
        <v>-12400</v>
      </c>
      <c r="E6257" s="212">
        <v>45536</v>
      </c>
      <c r="F6257" s="208" t="s">
        <v>109</v>
      </c>
      <c r="G6257" s="208" t="s">
        <v>5064</v>
      </c>
      <c r="H6257" s="208"/>
      <c r="I6257" s="208"/>
      <c r="J6257" s="209"/>
      <c r="K6257" s="209"/>
      <c r="L6257" s="209"/>
      <c r="M6257" s="209"/>
      <c r="N6257" s="209"/>
      <c r="O6257" s="209"/>
      <c r="P6257" s="209"/>
      <c r="Q6257" s="209"/>
      <c r="R6257" s="209"/>
      <c r="S6257" s="209"/>
      <c r="T6257" s="209"/>
      <c r="U6257" s="165"/>
      <c r="V6257" s="165"/>
      <c r="W6257" s="165"/>
      <c r="X6257" s="165"/>
      <c r="Y6257" s="165"/>
      <c r="Z6257" s="165"/>
      <c r="AA6257" s="165"/>
      <c r="AB6257" s="165"/>
      <c r="AC6257" s="165"/>
      <c r="AD6257" s="165"/>
      <c r="AE6257" s="165"/>
      <c r="AF6257" s="165"/>
      <c r="AG6257" s="165"/>
      <c r="AH6257" s="165"/>
      <c r="AI6257" s="165"/>
      <c r="AJ6257" s="165"/>
      <c r="AK6257" s="165"/>
      <c r="AL6257" s="165"/>
      <c r="AM6257" s="165"/>
      <c r="AN6257" s="165"/>
      <c r="AO6257" s="165"/>
      <c r="AP6257" s="165"/>
      <c r="AQ6257" s="165"/>
      <c r="AR6257" s="165"/>
      <c r="AS6257" s="165"/>
      <c r="AT6257" s="165"/>
      <c r="AU6257" s="165"/>
      <c r="AV6257" s="165"/>
      <c r="AW6257" s="165"/>
      <c r="AX6257" s="165"/>
      <c r="AY6257" s="165"/>
      <c r="AZ6257" s="165"/>
      <c r="BA6257" s="165"/>
      <c r="BB6257" s="165"/>
      <c r="BC6257" s="165"/>
      <c r="BD6257" s="165"/>
      <c r="BE6257" s="165"/>
      <c r="BF6257" s="165"/>
      <c r="BG6257" s="165"/>
      <c r="BH6257" s="165"/>
      <c r="BI6257" s="165"/>
      <c r="BJ6257" s="165"/>
      <c r="BK6257" s="165"/>
      <c r="BL6257" s="165"/>
      <c r="BM6257" s="165"/>
      <c r="BN6257" s="165"/>
      <c r="BO6257" s="165"/>
      <c r="BP6257" s="165"/>
      <c r="BQ6257" s="165"/>
      <c r="BR6257" s="165"/>
      <c r="BS6257" s="165"/>
      <c r="BT6257" s="165"/>
      <c r="BU6257" s="165"/>
      <c r="BV6257" s="165"/>
      <c r="BW6257" s="165"/>
      <c r="BX6257" s="165"/>
      <c r="BY6257" s="165"/>
      <c r="BZ6257" s="165"/>
      <c r="CA6257" s="165"/>
      <c r="CB6257" s="165"/>
      <c r="CC6257" s="165"/>
      <c r="CD6257" s="165"/>
      <c r="CE6257" s="165"/>
      <c r="CF6257" s="165"/>
      <c r="CG6257" s="165"/>
      <c r="CH6257" s="165"/>
      <c r="CI6257" s="165"/>
      <c r="CJ6257" s="165"/>
      <c r="CK6257" s="165"/>
      <c r="CL6257" s="165"/>
      <c r="CM6257" s="165"/>
      <c r="CN6257" s="165"/>
      <c r="CO6257" s="165"/>
      <c r="CP6257" s="165"/>
      <c r="CQ6257" s="165"/>
      <c r="CR6257" s="165"/>
      <c r="CS6257" s="165"/>
      <c r="CT6257" s="165"/>
      <c r="CU6257" s="165"/>
      <c r="CV6257" s="165"/>
      <c r="CW6257" s="165"/>
      <c r="CX6257" s="165"/>
      <c r="CY6257" s="165"/>
      <c r="CZ6257" s="165"/>
      <c r="DA6257" s="165"/>
      <c r="DB6257" s="165"/>
      <c r="DC6257" s="165"/>
      <c r="DD6257" s="165"/>
      <c r="DE6257" s="165"/>
      <c r="DF6257" s="165"/>
      <c r="DG6257" s="165"/>
      <c r="DH6257" s="165"/>
      <c r="DI6257" s="165"/>
      <c r="DJ6257" s="165"/>
      <c r="DK6257" s="165"/>
      <c r="DL6257" s="165"/>
      <c r="DM6257" s="165"/>
      <c r="DN6257" s="165"/>
      <c r="DO6257" s="165"/>
      <c r="DP6257" s="165"/>
      <c r="DQ6257" s="165"/>
      <c r="DR6257" s="165"/>
      <c r="DS6257" s="165"/>
      <c r="DT6257" s="165"/>
      <c r="DU6257" s="165"/>
      <c r="DV6257" s="165"/>
      <c r="DW6257" s="165"/>
      <c r="DX6257" s="165"/>
      <c r="DY6257" s="165"/>
      <c r="DZ6257" s="165"/>
      <c r="EA6257" s="165"/>
      <c r="EB6257" s="165"/>
      <c r="EC6257" s="165"/>
      <c r="ED6257" s="165"/>
      <c r="EE6257" s="165"/>
      <c r="EF6257" s="165"/>
      <c r="EG6257" s="165"/>
      <c r="EH6257" s="165"/>
      <c r="EI6257" s="165"/>
      <c r="EJ6257" s="165"/>
      <c r="EK6257" s="165"/>
      <c r="EL6257" s="165"/>
      <c r="EM6257" s="165"/>
      <c r="EN6257" s="165"/>
      <c r="EO6257" s="165"/>
      <c r="EP6257" s="165"/>
      <c r="EQ6257" s="165"/>
      <c r="ER6257" s="165"/>
      <c r="ES6257" s="165"/>
    </row>
    <row r="6258" spans="1:149" ht="15" hidden="1" customHeight="1">
      <c r="A6258" s="468">
        <v>45552</v>
      </c>
      <c r="B6258" s="208" t="s">
        <v>5083</v>
      </c>
      <c r="C6258" s="208" t="s">
        <v>146</v>
      </c>
      <c r="D6258" s="211">
        <v>-35000</v>
      </c>
      <c r="E6258" s="212">
        <v>45536</v>
      </c>
      <c r="F6258" s="208" t="s">
        <v>109</v>
      </c>
      <c r="G6258" s="201" t="s">
        <v>581</v>
      </c>
      <c r="H6258" s="208"/>
      <c r="I6258" s="208" t="s">
        <v>3364</v>
      </c>
      <c r="J6258" s="209"/>
      <c r="K6258" s="209"/>
      <c r="L6258" s="209"/>
      <c r="M6258" s="209"/>
      <c r="N6258" s="209"/>
      <c r="O6258" s="209"/>
      <c r="P6258" s="209"/>
      <c r="Q6258" s="209"/>
      <c r="R6258" s="209"/>
      <c r="S6258" s="209"/>
      <c r="T6258" s="209"/>
    </row>
    <row r="6259" spans="1:149" ht="15" hidden="1" customHeight="1">
      <c r="A6259" s="468">
        <v>45552</v>
      </c>
      <c r="B6259" s="208" t="s">
        <v>5084</v>
      </c>
      <c r="C6259" s="208" t="s">
        <v>146</v>
      </c>
      <c r="D6259" s="211">
        <v>-33600</v>
      </c>
      <c r="E6259" s="212">
        <v>45536</v>
      </c>
      <c r="F6259" s="208" t="s">
        <v>109</v>
      </c>
      <c r="G6259" s="201" t="s">
        <v>581</v>
      </c>
      <c r="H6259" s="208"/>
      <c r="I6259" s="208" t="s">
        <v>3364</v>
      </c>
      <c r="J6259" s="209"/>
      <c r="K6259" s="209"/>
      <c r="L6259" s="209"/>
      <c r="M6259" s="209"/>
      <c r="N6259" s="209"/>
      <c r="O6259" s="209"/>
      <c r="P6259" s="209"/>
      <c r="Q6259" s="209"/>
      <c r="R6259" s="209"/>
      <c r="S6259" s="209"/>
      <c r="T6259" s="209"/>
    </row>
    <row r="6260" spans="1:149" ht="15" hidden="1" customHeight="1">
      <c r="A6260" s="468">
        <v>45552</v>
      </c>
      <c r="B6260" s="208" t="s">
        <v>5085</v>
      </c>
      <c r="C6260" s="208" t="s">
        <v>146</v>
      </c>
      <c r="D6260" s="211">
        <v>-24000</v>
      </c>
      <c r="E6260" s="212">
        <v>45536</v>
      </c>
      <c r="F6260" s="208" t="s">
        <v>109</v>
      </c>
      <c r="G6260" s="201" t="s">
        <v>581</v>
      </c>
      <c r="H6260" s="208"/>
      <c r="I6260" s="208" t="s">
        <v>3364</v>
      </c>
      <c r="J6260" s="209"/>
      <c r="K6260" s="209"/>
      <c r="L6260" s="209"/>
      <c r="M6260" s="209"/>
      <c r="N6260" s="209"/>
      <c r="O6260" s="209"/>
      <c r="P6260" s="209"/>
      <c r="Q6260" s="209"/>
      <c r="R6260" s="209"/>
      <c r="S6260" s="209"/>
      <c r="T6260" s="209"/>
    </row>
    <row r="6261" spans="1:149" ht="15" hidden="1" customHeight="1">
      <c r="A6261" s="468">
        <v>45552</v>
      </c>
      <c r="B6261" s="208" t="s">
        <v>5086</v>
      </c>
      <c r="C6261" s="208" t="s">
        <v>146</v>
      </c>
      <c r="D6261" s="211">
        <v>-21500</v>
      </c>
      <c r="E6261" s="212">
        <v>45536</v>
      </c>
      <c r="F6261" s="208" t="s">
        <v>109</v>
      </c>
      <c r="G6261" s="201" t="s">
        <v>581</v>
      </c>
      <c r="H6261" s="208" t="s">
        <v>147</v>
      </c>
      <c r="I6261" s="208" t="s">
        <v>4766</v>
      </c>
      <c r="J6261" s="209"/>
      <c r="K6261" s="209"/>
      <c r="L6261" s="209"/>
      <c r="M6261" s="209"/>
      <c r="N6261" s="209"/>
      <c r="O6261" s="209"/>
      <c r="P6261" s="209"/>
      <c r="Q6261" s="209"/>
      <c r="R6261" s="209"/>
      <c r="S6261" s="209"/>
      <c r="T6261" s="209"/>
    </row>
    <row r="6262" spans="1:149" ht="15" hidden="1" customHeight="1">
      <c r="A6262" s="468">
        <v>45552</v>
      </c>
      <c r="B6262" s="208" t="s">
        <v>4910</v>
      </c>
      <c r="C6262" s="208" t="s">
        <v>146</v>
      </c>
      <c r="D6262" s="211">
        <v>-58000</v>
      </c>
      <c r="E6262" s="212">
        <v>45536</v>
      </c>
      <c r="F6262" s="208" t="s">
        <v>110</v>
      </c>
      <c r="G6262" s="208" t="s">
        <v>4399</v>
      </c>
      <c r="H6262" s="208" t="s">
        <v>147</v>
      </c>
      <c r="I6262" s="208" t="s">
        <v>3378</v>
      </c>
      <c r="J6262" s="209"/>
      <c r="K6262" s="209"/>
      <c r="L6262" s="209"/>
      <c r="M6262" s="209"/>
      <c r="N6262" s="209"/>
      <c r="O6262" s="209"/>
      <c r="P6262" s="209"/>
      <c r="Q6262" s="209"/>
      <c r="R6262" s="209"/>
      <c r="S6262" s="209"/>
      <c r="T6262" s="209"/>
    </row>
    <row r="6263" spans="1:149" ht="15" hidden="1" customHeight="1">
      <c r="A6263" s="468">
        <v>45552</v>
      </c>
      <c r="B6263" s="208" t="s">
        <v>5087</v>
      </c>
      <c r="C6263" s="684" t="s">
        <v>146</v>
      </c>
      <c r="D6263" s="526">
        <v>-30000</v>
      </c>
      <c r="E6263" s="212">
        <v>45536</v>
      </c>
      <c r="F6263" s="208" t="s">
        <v>109</v>
      </c>
      <c r="G6263" s="201" t="s">
        <v>581</v>
      </c>
      <c r="H6263" s="208"/>
      <c r="I6263" s="208" t="s">
        <v>173</v>
      </c>
      <c r="J6263" s="209"/>
      <c r="K6263" s="209"/>
      <c r="L6263" s="209"/>
      <c r="M6263" s="209"/>
      <c r="N6263" s="209"/>
      <c r="O6263" s="209"/>
      <c r="P6263" s="209"/>
      <c r="Q6263" s="209"/>
      <c r="R6263" s="209"/>
      <c r="S6263" s="209"/>
      <c r="T6263" s="209"/>
    </row>
    <row r="6264" spans="1:149" ht="15" hidden="1" customHeight="1">
      <c r="A6264" s="468">
        <v>45552</v>
      </c>
      <c r="B6264" s="208" t="s">
        <v>5088</v>
      </c>
      <c r="C6264" s="208" t="s">
        <v>146</v>
      </c>
      <c r="D6264" s="211">
        <v>-7000</v>
      </c>
      <c r="E6264" s="212">
        <v>45536</v>
      </c>
      <c r="F6264" s="208" t="s">
        <v>109</v>
      </c>
      <c r="G6264" s="201" t="s">
        <v>581</v>
      </c>
      <c r="H6264" s="208"/>
      <c r="I6264" s="208" t="s">
        <v>173</v>
      </c>
      <c r="J6264" s="209"/>
      <c r="K6264" s="209"/>
      <c r="L6264" s="209"/>
      <c r="M6264" s="209"/>
      <c r="N6264" s="209"/>
      <c r="O6264" s="209"/>
      <c r="P6264" s="209"/>
      <c r="Q6264" s="209"/>
      <c r="R6264" s="209"/>
      <c r="S6264" s="209"/>
      <c r="T6264" s="209"/>
    </row>
    <row r="6265" spans="1:149" s="451" customFormat="1" ht="15" hidden="1" customHeight="1">
      <c r="A6265" s="468">
        <v>45552</v>
      </c>
      <c r="B6265" s="208" t="s">
        <v>5089</v>
      </c>
      <c r="C6265" s="208" t="s">
        <v>146</v>
      </c>
      <c r="D6265" s="211">
        <v>-15000</v>
      </c>
      <c r="E6265" s="212">
        <v>45536</v>
      </c>
      <c r="F6265" s="208" t="s">
        <v>109</v>
      </c>
      <c r="G6265" s="208" t="s">
        <v>3529</v>
      </c>
      <c r="H6265" s="208" t="s">
        <v>138</v>
      </c>
      <c r="I6265" s="208" t="s">
        <v>173</v>
      </c>
      <c r="J6265" s="209"/>
      <c r="K6265" s="209"/>
      <c r="L6265" s="209"/>
      <c r="M6265" s="209"/>
      <c r="N6265" s="209"/>
      <c r="O6265" s="209"/>
      <c r="P6265" s="209"/>
      <c r="Q6265" s="209"/>
      <c r="R6265" s="209"/>
      <c r="S6265" s="209"/>
      <c r="T6265" s="209"/>
      <c r="U6265" s="165"/>
      <c r="V6265" s="165"/>
      <c r="W6265" s="165"/>
      <c r="X6265" s="165"/>
      <c r="Y6265" s="165"/>
      <c r="Z6265" s="165"/>
      <c r="AA6265" s="165"/>
      <c r="AB6265" s="165"/>
      <c r="AC6265" s="165"/>
      <c r="AD6265" s="165"/>
      <c r="AE6265" s="165"/>
      <c r="AF6265" s="165"/>
      <c r="AG6265" s="165"/>
      <c r="AH6265" s="165"/>
      <c r="AI6265" s="165"/>
      <c r="AJ6265" s="165"/>
      <c r="AK6265" s="165"/>
      <c r="AL6265" s="165"/>
      <c r="AM6265" s="165"/>
      <c r="AN6265" s="165"/>
      <c r="AO6265" s="165"/>
      <c r="AP6265" s="165"/>
      <c r="AQ6265" s="165"/>
      <c r="AR6265" s="165"/>
      <c r="AS6265" s="165"/>
      <c r="AT6265" s="165"/>
      <c r="AU6265" s="165"/>
      <c r="AV6265" s="165"/>
      <c r="AW6265" s="165"/>
      <c r="AX6265" s="165"/>
      <c r="AY6265" s="165"/>
      <c r="AZ6265" s="165"/>
      <c r="BA6265" s="165"/>
      <c r="BB6265" s="165"/>
      <c r="BC6265" s="165"/>
      <c r="BD6265" s="165"/>
      <c r="BE6265" s="165"/>
      <c r="BF6265" s="165"/>
      <c r="BG6265" s="165"/>
      <c r="BH6265" s="165"/>
      <c r="BI6265" s="165"/>
      <c r="BJ6265" s="165"/>
      <c r="BK6265" s="165"/>
      <c r="BL6265" s="165"/>
      <c r="BM6265" s="165"/>
      <c r="BN6265" s="165"/>
      <c r="BO6265" s="165"/>
      <c r="BP6265" s="165"/>
      <c r="BQ6265" s="165"/>
      <c r="BR6265" s="165"/>
      <c r="BS6265" s="165"/>
      <c r="BT6265" s="165"/>
      <c r="BU6265" s="165"/>
      <c r="BV6265" s="165"/>
      <c r="BW6265" s="165"/>
      <c r="BX6265" s="165"/>
      <c r="BY6265" s="165"/>
      <c r="BZ6265" s="165"/>
      <c r="CA6265" s="165"/>
      <c r="CB6265" s="165"/>
      <c r="CC6265" s="165"/>
      <c r="CD6265" s="165"/>
      <c r="CE6265" s="165"/>
      <c r="CF6265" s="165"/>
      <c r="CG6265" s="165"/>
      <c r="CH6265" s="165"/>
      <c r="CI6265" s="165"/>
      <c r="CJ6265" s="165"/>
      <c r="CK6265" s="165"/>
      <c r="CL6265" s="165"/>
      <c r="CM6265" s="165"/>
      <c r="CN6265" s="165"/>
      <c r="CO6265" s="165"/>
      <c r="CP6265" s="165"/>
      <c r="CQ6265" s="165"/>
      <c r="CR6265" s="165"/>
      <c r="CS6265" s="165"/>
      <c r="CT6265" s="165"/>
      <c r="CU6265" s="165"/>
      <c r="CV6265" s="165"/>
      <c r="CW6265" s="165"/>
      <c r="CX6265" s="165"/>
      <c r="CY6265" s="165"/>
      <c r="CZ6265" s="165"/>
      <c r="DA6265" s="165"/>
      <c r="DB6265" s="165"/>
      <c r="DC6265" s="165"/>
      <c r="DD6265" s="165"/>
      <c r="DE6265" s="165"/>
      <c r="DF6265" s="165"/>
      <c r="DG6265" s="165"/>
      <c r="DH6265" s="165"/>
      <c r="DI6265" s="165"/>
      <c r="DJ6265" s="165"/>
      <c r="DK6265" s="165"/>
      <c r="DL6265" s="165"/>
      <c r="DM6265" s="165"/>
      <c r="DN6265" s="165"/>
      <c r="DO6265" s="165"/>
      <c r="DP6265" s="165"/>
      <c r="DQ6265" s="165"/>
      <c r="DR6265" s="165"/>
      <c r="DS6265" s="165"/>
      <c r="DT6265" s="165"/>
      <c r="DU6265" s="165"/>
      <c r="DV6265" s="165"/>
      <c r="DW6265" s="165"/>
      <c r="DX6265" s="165"/>
      <c r="DY6265" s="165"/>
      <c r="DZ6265" s="165"/>
      <c r="EA6265" s="165"/>
      <c r="EB6265" s="165"/>
      <c r="EC6265" s="165"/>
      <c r="ED6265" s="165"/>
      <c r="EE6265" s="165"/>
      <c r="EF6265" s="165"/>
      <c r="EG6265" s="165"/>
      <c r="EH6265" s="165"/>
      <c r="EI6265" s="165"/>
      <c r="EJ6265" s="165"/>
      <c r="EK6265" s="165"/>
      <c r="EL6265" s="165"/>
      <c r="EM6265" s="165"/>
      <c r="EN6265" s="165"/>
      <c r="EO6265" s="165"/>
      <c r="EP6265" s="165"/>
      <c r="EQ6265" s="165"/>
      <c r="ER6265" s="165"/>
      <c r="ES6265" s="165"/>
    </row>
    <row r="6266" spans="1:149" s="451" customFormat="1" ht="15" hidden="1" customHeight="1">
      <c r="A6266" s="468">
        <v>45552</v>
      </c>
      <c r="B6266" s="208" t="s">
        <v>5090</v>
      </c>
      <c r="C6266" s="208" t="s">
        <v>146</v>
      </c>
      <c r="D6266" s="211">
        <v>-30000</v>
      </c>
      <c r="E6266" s="212">
        <v>45536</v>
      </c>
      <c r="F6266" s="208" t="s">
        <v>110</v>
      </c>
      <c r="G6266" s="201" t="s">
        <v>1489</v>
      </c>
      <c r="H6266" s="208" t="s">
        <v>138</v>
      </c>
      <c r="I6266" s="208" t="s">
        <v>173</v>
      </c>
      <c r="J6266" s="209"/>
      <c r="K6266" s="209"/>
      <c r="L6266" s="209"/>
      <c r="M6266" s="209"/>
      <c r="N6266" s="209"/>
      <c r="O6266" s="209"/>
      <c r="P6266" s="209"/>
      <c r="Q6266" s="209"/>
      <c r="R6266" s="209"/>
      <c r="S6266" s="209"/>
      <c r="T6266" s="209"/>
      <c r="U6266" s="165"/>
      <c r="V6266" s="165"/>
      <c r="W6266" s="165"/>
      <c r="X6266" s="165"/>
      <c r="Y6266" s="165"/>
      <c r="Z6266" s="165"/>
      <c r="AA6266" s="165"/>
      <c r="AB6266" s="165"/>
      <c r="AC6266" s="165"/>
      <c r="AD6266" s="165"/>
      <c r="AE6266" s="165"/>
      <c r="AF6266" s="165"/>
      <c r="AG6266" s="165"/>
      <c r="AH6266" s="165"/>
      <c r="AI6266" s="165"/>
      <c r="AJ6266" s="165"/>
      <c r="AK6266" s="165"/>
      <c r="AL6266" s="165"/>
      <c r="AM6266" s="165"/>
      <c r="AN6266" s="165"/>
      <c r="AO6266" s="165"/>
      <c r="AP6266" s="165"/>
      <c r="AQ6266" s="165"/>
      <c r="AR6266" s="165"/>
      <c r="AS6266" s="165"/>
      <c r="AT6266" s="165"/>
      <c r="AU6266" s="165"/>
      <c r="AV6266" s="165"/>
      <c r="AW6266" s="165"/>
      <c r="AX6266" s="165"/>
      <c r="AY6266" s="165"/>
      <c r="AZ6266" s="165"/>
      <c r="BA6266" s="165"/>
      <c r="BB6266" s="165"/>
      <c r="BC6266" s="165"/>
      <c r="BD6266" s="165"/>
      <c r="BE6266" s="165"/>
      <c r="BF6266" s="165"/>
      <c r="BG6266" s="165"/>
      <c r="BH6266" s="165"/>
      <c r="BI6266" s="165"/>
      <c r="BJ6266" s="165"/>
      <c r="BK6266" s="165"/>
      <c r="BL6266" s="165"/>
      <c r="BM6266" s="165"/>
      <c r="BN6266" s="165"/>
      <c r="BO6266" s="165"/>
      <c r="BP6266" s="165"/>
      <c r="BQ6266" s="165"/>
      <c r="BR6266" s="165"/>
      <c r="BS6266" s="165"/>
      <c r="BT6266" s="165"/>
      <c r="BU6266" s="165"/>
      <c r="BV6266" s="165"/>
      <c r="BW6266" s="165"/>
      <c r="BX6266" s="165"/>
      <c r="BY6266" s="165"/>
      <c r="BZ6266" s="165"/>
      <c r="CA6266" s="165"/>
      <c r="CB6266" s="165"/>
      <c r="CC6266" s="165"/>
      <c r="CD6266" s="165"/>
      <c r="CE6266" s="165"/>
      <c r="CF6266" s="165"/>
      <c r="CG6266" s="165"/>
      <c r="CH6266" s="165"/>
      <c r="CI6266" s="165"/>
      <c r="CJ6266" s="165"/>
      <c r="CK6266" s="165"/>
      <c r="CL6266" s="165"/>
      <c r="CM6266" s="165"/>
      <c r="CN6266" s="165"/>
      <c r="CO6266" s="165"/>
      <c r="CP6266" s="165"/>
      <c r="CQ6266" s="165"/>
      <c r="CR6266" s="165"/>
      <c r="CS6266" s="165"/>
      <c r="CT6266" s="165"/>
      <c r="CU6266" s="165"/>
      <c r="CV6266" s="165"/>
      <c r="CW6266" s="165"/>
      <c r="CX6266" s="165"/>
      <c r="CY6266" s="165"/>
      <c r="CZ6266" s="165"/>
      <c r="DA6266" s="165"/>
      <c r="DB6266" s="165"/>
      <c r="DC6266" s="165"/>
      <c r="DD6266" s="165"/>
      <c r="DE6266" s="165"/>
      <c r="DF6266" s="165"/>
      <c r="DG6266" s="165"/>
      <c r="DH6266" s="165"/>
      <c r="DI6266" s="165"/>
      <c r="DJ6266" s="165"/>
      <c r="DK6266" s="165"/>
      <c r="DL6266" s="165"/>
      <c r="DM6266" s="165"/>
      <c r="DN6266" s="165"/>
      <c r="DO6266" s="165"/>
      <c r="DP6266" s="165"/>
      <c r="DQ6266" s="165"/>
      <c r="DR6266" s="165"/>
      <c r="DS6266" s="165"/>
      <c r="DT6266" s="165"/>
      <c r="DU6266" s="165"/>
      <c r="DV6266" s="165"/>
      <c r="DW6266" s="165"/>
      <c r="DX6266" s="165"/>
      <c r="DY6266" s="165"/>
      <c r="DZ6266" s="165"/>
      <c r="EA6266" s="165"/>
      <c r="EB6266" s="165"/>
      <c r="EC6266" s="165"/>
      <c r="ED6266" s="165"/>
      <c r="EE6266" s="165"/>
      <c r="EF6266" s="165"/>
      <c r="EG6266" s="165"/>
      <c r="EH6266" s="165"/>
      <c r="EI6266" s="165"/>
      <c r="EJ6266" s="165"/>
      <c r="EK6266" s="165"/>
      <c r="EL6266" s="165"/>
      <c r="EM6266" s="165"/>
      <c r="EN6266" s="165"/>
      <c r="EO6266" s="165"/>
      <c r="EP6266" s="165"/>
      <c r="EQ6266" s="165"/>
      <c r="ER6266" s="165"/>
      <c r="ES6266" s="165"/>
    </row>
    <row r="6267" spans="1:149" s="451" customFormat="1" ht="15" hidden="1" customHeight="1">
      <c r="A6267" s="468">
        <v>45552</v>
      </c>
      <c r="B6267" s="208" t="s">
        <v>5091</v>
      </c>
      <c r="C6267" s="208" t="s">
        <v>146</v>
      </c>
      <c r="D6267" s="211">
        <v>-16500</v>
      </c>
      <c r="E6267" s="212">
        <v>45536</v>
      </c>
      <c r="F6267" s="208" t="s">
        <v>109</v>
      </c>
      <c r="G6267" s="208" t="s">
        <v>414</v>
      </c>
      <c r="H6267" s="208" t="s">
        <v>416</v>
      </c>
      <c r="I6267" s="208" t="s">
        <v>173</v>
      </c>
      <c r="J6267" s="209"/>
      <c r="K6267" s="209"/>
      <c r="L6267" s="209"/>
      <c r="M6267" s="209"/>
      <c r="N6267" s="209"/>
      <c r="O6267" s="209"/>
      <c r="P6267" s="209"/>
      <c r="Q6267" s="209"/>
      <c r="R6267" s="209"/>
      <c r="S6267" s="209"/>
      <c r="T6267" s="209"/>
      <c r="U6267" s="165"/>
      <c r="V6267" s="165"/>
      <c r="W6267" s="165"/>
      <c r="X6267" s="165"/>
      <c r="Y6267" s="165"/>
      <c r="Z6267" s="165"/>
      <c r="AA6267" s="165"/>
      <c r="AB6267" s="165"/>
      <c r="AC6267" s="165"/>
      <c r="AD6267" s="165"/>
      <c r="AE6267" s="165"/>
      <c r="AF6267" s="165"/>
      <c r="AG6267" s="165"/>
      <c r="AH6267" s="165"/>
      <c r="AI6267" s="165"/>
      <c r="AJ6267" s="165"/>
      <c r="AK6267" s="165"/>
      <c r="AL6267" s="165"/>
      <c r="AM6267" s="165"/>
      <c r="AN6267" s="165"/>
      <c r="AO6267" s="165"/>
      <c r="AP6267" s="165"/>
      <c r="AQ6267" s="165"/>
      <c r="AR6267" s="165"/>
      <c r="AS6267" s="165"/>
      <c r="AT6267" s="165"/>
      <c r="AU6267" s="165"/>
      <c r="AV6267" s="165"/>
      <c r="AW6267" s="165"/>
      <c r="AX6267" s="165"/>
      <c r="AY6267" s="165"/>
      <c r="AZ6267" s="165"/>
      <c r="BA6267" s="165"/>
      <c r="BB6267" s="165"/>
      <c r="BC6267" s="165"/>
      <c r="BD6267" s="165"/>
      <c r="BE6267" s="165"/>
      <c r="BF6267" s="165"/>
      <c r="BG6267" s="165"/>
      <c r="BH6267" s="165"/>
      <c r="BI6267" s="165"/>
      <c r="BJ6267" s="165"/>
      <c r="BK6267" s="165"/>
      <c r="BL6267" s="165"/>
      <c r="BM6267" s="165"/>
      <c r="BN6267" s="165"/>
      <c r="BO6267" s="165"/>
      <c r="BP6267" s="165"/>
      <c r="BQ6267" s="165"/>
      <c r="BR6267" s="165"/>
      <c r="BS6267" s="165"/>
      <c r="BT6267" s="165"/>
      <c r="BU6267" s="165"/>
      <c r="BV6267" s="165"/>
      <c r="BW6267" s="165"/>
      <c r="BX6267" s="165"/>
      <c r="BY6267" s="165"/>
      <c r="BZ6267" s="165"/>
      <c r="CA6267" s="165"/>
      <c r="CB6267" s="165"/>
      <c r="CC6267" s="165"/>
      <c r="CD6267" s="165"/>
      <c r="CE6267" s="165"/>
      <c r="CF6267" s="165"/>
      <c r="CG6267" s="165"/>
      <c r="CH6267" s="165"/>
      <c r="CI6267" s="165"/>
      <c r="CJ6267" s="165"/>
      <c r="CK6267" s="165"/>
      <c r="CL6267" s="165"/>
      <c r="CM6267" s="165"/>
      <c r="CN6267" s="165"/>
      <c r="CO6267" s="165"/>
      <c r="CP6267" s="165"/>
      <c r="CQ6267" s="165"/>
      <c r="CR6267" s="165"/>
      <c r="CS6267" s="165"/>
      <c r="CT6267" s="165"/>
      <c r="CU6267" s="165"/>
      <c r="CV6267" s="165"/>
      <c r="CW6267" s="165"/>
      <c r="CX6267" s="165"/>
      <c r="CY6267" s="165"/>
      <c r="CZ6267" s="165"/>
      <c r="DA6267" s="165"/>
      <c r="DB6267" s="165"/>
      <c r="DC6267" s="165"/>
      <c r="DD6267" s="165"/>
      <c r="DE6267" s="165"/>
      <c r="DF6267" s="165"/>
      <c r="DG6267" s="165"/>
      <c r="DH6267" s="165"/>
      <c r="DI6267" s="165"/>
      <c r="DJ6267" s="165"/>
      <c r="DK6267" s="165"/>
      <c r="DL6267" s="165"/>
      <c r="DM6267" s="165"/>
      <c r="DN6267" s="165"/>
      <c r="DO6267" s="165"/>
      <c r="DP6267" s="165"/>
      <c r="DQ6267" s="165"/>
      <c r="DR6267" s="165"/>
      <c r="DS6267" s="165"/>
      <c r="DT6267" s="165"/>
      <c r="DU6267" s="165"/>
      <c r="DV6267" s="165"/>
      <c r="DW6267" s="165"/>
      <c r="DX6267" s="165"/>
      <c r="DY6267" s="165"/>
      <c r="DZ6267" s="165"/>
      <c r="EA6267" s="165"/>
      <c r="EB6267" s="165"/>
      <c r="EC6267" s="165"/>
      <c r="ED6267" s="165"/>
      <c r="EE6267" s="165"/>
      <c r="EF6267" s="165"/>
      <c r="EG6267" s="165"/>
      <c r="EH6267" s="165"/>
      <c r="EI6267" s="165"/>
      <c r="EJ6267" s="165"/>
      <c r="EK6267" s="165"/>
      <c r="EL6267" s="165"/>
      <c r="EM6267" s="165"/>
      <c r="EN6267" s="165"/>
      <c r="EO6267" s="165"/>
      <c r="EP6267" s="165"/>
      <c r="EQ6267" s="165"/>
      <c r="ER6267" s="165"/>
      <c r="ES6267" s="165"/>
    </row>
    <row r="6268" spans="1:149" s="451" customFormat="1" ht="15" hidden="1" customHeight="1">
      <c r="A6268" s="468">
        <v>45553</v>
      </c>
      <c r="B6268" s="208" t="s">
        <v>5092</v>
      </c>
      <c r="C6268" s="208" t="s">
        <v>27</v>
      </c>
      <c r="D6268" s="211">
        <v>-6800</v>
      </c>
      <c r="E6268" s="212">
        <v>45536</v>
      </c>
      <c r="F6268" s="208" t="s">
        <v>130</v>
      </c>
      <c r="G6268" s="208" t="s">
        <v>130</v>
      </c>
      <c r="H6268" s="208" t="s">
        <v>2421</v>
      </c>
      <c r="I6268" s="208"/>
      <c r="J6268" s="209"/>
      <c r="K6268" s="209"/>
      <c r="L6268" s="209"/>
      <c r="M6268" s="209"/>
      <c r="N6268" s="209"/>
      <c r="O6268" s="209"/>
      <c r="P6268" s="209"/>
      <c r="Q6268" s="209"/>
      <c r="R6268" s="209"/>
      <c r="S6268" s="209"/>
      <c r="T6268" s="209"/>
    </row>
    <row r="6269" spans="1:149" s="451" customFormat="1" ht="15" hidden="1" customHeight="1">
      <c r="A6269" s="468">
        <v>45553</v>
      </c>
      <c r="B6269" s="208" t="s">
        <v>5093</v>
      </c>
      <c r="C6269" s="208" t="s">
        <v>27</v>
      </c>
      <c r="D6269" s="211">
        <v>-224212</v>
      </c>
      <c r="E6269" s="212">
        <v>45536</v>
      </c>
      <c r="F6269" s="208" t="s">
        <v>109</v>
      </c>
      <c r="G6269" s="208" t="s">
        <v>3529</v>
      </c>
      <c r="H6269" s="208" t="s">
        <v>175</v>
      </c>
      <c r="I6269" s="208"/>
      <c r="J6269" s="209"/>
      <c r="K6269" s="209"/>
      <c r="L6269" s="209"/>
      <c r="M6269" s="209"/>
      <c r="N6269" s="209"/>
      <c r="O6269" s="209"/>
      <c r="P6269" s="209"/>
      <c r="Q6269" s="209"/>
      <c r="R6269" s="209"/>
      <c r="S6269" s="209"/>
      <c r="T6269" s="209"/>
    </row>
    <row r="6270" spans="1:149" s="209" customFormat="1" ht="15" hidden="1" customHeight="1">
      <c r="A6270" s="468">
        <v>45553</v>
      </c>
      <c r="B6270" s="208" t="s">
        <v>5094</v>
      </c>
      <c r="C6270" s="208" t="s">
        <v>3331</v>
      </c>
      <c r="D6270" s="211">
        <v>1441037</v>
      </c>
      <c r="E6270" s="212">
        <v>45536</v>
      </c>
      <c r="F6270" s="208" t="s">
        <v>108</v>
      </c>
      <c r="G6270" s="208"/>
      <c r="H6270" s="208"/>
      <c r="I6270" s="208"/>
    </row>
    <row r="6271" spans="1:149" s="209" customFormat="1" ht="15" hidden="1" customHeight="1">
      <c r="A6271" s="468">
        <v>45553</v>
      </c>
      <c r="B6271" s="208" t="s">
        <v>5095</v>
      </c>
      <c r="C6271" s="208" t="s">
        <v>3331</v>
      </c>
      <c r="D6271" s="211">
        <v>1006251</v>
      </c>
      <c r="E6271" s="212">
        <v>45536</v>
      </c>
      <c r="F6271" s="208" t="s">
        <v>108</v>
      </c>
      <c r="G6271" s="208"/>
      <c r="H6271" s="208"/>
      <c r="I6271" s="208"/>
    </row>
    <row r="6272" spans="1:149" s="451" customFormat="1" ht="15" hidden="1" customHeight="1">
      <c r="A6272" s="468">
        <v>45553</v>
      </c>
      <c r="B6272" s="208" t="s">
        <v>5096</v>
      </c>
      <c r="C6272" s="208" t="s">
        <v>27</v>
      </c>
      <c r="D6272" s="211">
        <v>99559337</v>
      </c>
      <c r="E6272" s="212">
        <v>45536</v>
      </c>
      <c r="F6272" s="208" t="s">
        <v>109</v>
      </c>
      <c r="G6272" s="685" t="s">
        <v>5097</v>
      </c>
      <c r="H6272" s="208"/>
      <c r="I6272" s="208"/>
      <c r="J6272" s="209"/>
      <c r="K6272" s="209"/>
      <c r="L6272" s="209"/>
      <c r="M6272" s="209"/>
      <c r="N6272" s="209"/>
      <c r="O6272" s="209"/>
      <c r="P6272" s="209"/>
      <c r="Q6272" s="209"/>
      <c r="R6272" s="209"/>
      <c r="S6272" s="209"/>
      <c r="T6272" s="209"/>
      <c r="U6272" s="165"/>
      <c r="V6272" s="165"/>
      <c r="W6272" s="165"/>
      <c r="X6272" s="165"/>
      <c r="Y6272" s="165"/>
      <c r="Z6272" s="165"/>
      <c r="AA6272" s="165"/>
      <c r="AB6272" s="165"/>
      <c r="AC6272" s="165"/>
      <c r="AD6272" s="165"/>
      <c r="AE6272" s="165"/>
      <c r="AF6272" s="165"/>
      <c r="AG6272" s="165"/>
      <c r="AH6272" s="165"/>
      <c r="AI6272" s="165"/>
      <c r="AJ6272" s="165"/>
      <c r="AK6272" s="165"/>
      <c r="AL6272" s="165"/>
      <c r="AM6272" s="165"/>
      <c r="AN6272" s="165"/>
      <c r="AO6272" s="165"/>
      <c r="AP6272" s="165"/>
      <c r="AQ6272" s="165"/>
      <c r="AR6272" s="165"/>
      <c r="AS6272" s="165"/>
      <c r="AT6272" s="165"/>
      <c r="AU6272" s="165"/>
      <c r="AV6272" s="165"/>
      <c r="AW6272" s="165"/>
      <c r="AX6272" s="165"/>
      <c r="AY6272" s="165"/>
      <c r="AZ6272" s="165"/>
      <c r="BA6272" s="165"/>
      <c r="BB6272" s="165"/>
      <c r="BC6272" s="165"/>
      <c r="BD6272" s="165"/>
      <c r="BE6272" s="165"/>
      <c r="BF6272" s="165"/>
      <c r="BG6272" s="165"/>
      <c r="BH6272" s="165"/>
      <c r="BI6272" s="165"/>
      <c r="BJ6272" s="165"/>
      <c r="BK6272" s="165"/>
      <c r="BL6272" s="165"/>
      <c r="BM6272" s="165"/>
      <c r="BN6272" s="165"/>
      <c r="BO6272" s="165"/>
      <c r="BP6272" s="165"/>
      <c r="BQ6272" s="165"/>
      <c r="BR6272" s="165"/>
      <c r="BS6272" s="165"/>
      <c r="BT6272" s="165"/>
      <c r="BU6272" s="165"/>
      <c r="BV6272" s="165"/>
      <c r="BW6272" s="165"/>
      <c r="BX6272" s="165"/>
      <c r="BY6272" s="165"/>
      <c r="BZ6272" s="165"/>
      <c r="CA6272" s="165"/>
      <c r="CB6272" s="165"/>
      <c r="CC6272" s="165"/>
      <c r="CD6272" s="165"/>
      <c r="CE6272" s="165"/>
      <c r="CF6272" s="165"/>
      <c r="CG6272" s="165"/>
      <c r="CH6272" s="165"/>
      <c r="CI6272" s="165"/>
      <c r="CJ6272" s="165"/>
      <c r="CK6272" s="165"/>
      <c r="CL6272" s="165"/>
      <c r="CM6272" s="165"/>
      <c r="CN6272" s="165"/>
      <c r="CO6272" s="165"/>
      <c r="CP6272" s="165"/>
      <c r="CQ6272" s="165"/>
      <c r="CR6272" s="165"/>
      <c r="CS6272" s="165"/>
      <c r="CT6272" s="165"/>
      <c r="CU6272" s="165"/>
      <c r="CV6272" s="165"/>
      <c r="CW6272" s="165"/>
      <c r="CX6272" s="165"/>
      <c r="CY6272" s="165"/>
      <c r="CZ6272" s="165"/>
      <c r="DA6272" s="165"/>
      <c r="DB6272" s="165"/>
      <c r="DC6272" s="165"/>
      <c r="DD6272" s="165"/>
      <c r="DE6272" s="165"/>
      <c r="DF6272" s="165"/>
      <c r="DG6272" s="165"/>
      <c r="DH6272" s="165"/>
      <c r="DI6272" s="165"/>
      <c r="DJ6272" s="165"/>
      <c r="DK6272" s="165"/>
      <c r="DL6272" s="165"/>
      <c r="DM6272" s="165"/>
      <c r="DN6272" s="165"/>
      <c r="DO6272" s="165"/>
      <c r="DP6272" s="165"/>
      <c r="DQ6272" s="165"/>
      <c r="DR6272" s="165"/>
      <c r="DS6272" s="165"/>
      <c r="DT6272" s="165"/>
      <c r="DU6272" s="165"/>
      <c r="DV6272" s="165"/>
      <c r="DW6272" s="165"/>
      <c r="DX6272" s="165"/>
      <c r="DY6272" s="165"/>
      <c r="DZ6272" s="165"/>
      <c r="EA6272" s="165"/>
      <c r="EB6272" s="165"/>
      <c r="EC6272" s="165"/>
      <c r="ED6272" s="165"/>
      <c r="EE6272" s="165"/>
      <c r="EF6272" s="165"/>
      <c r="EG6272" s="165"/>
      <c r="EH6272" s="165"/>
      <c r="EI6272" s="165"/>
      <c r="EJ6272" s="165"/>
      <c r="EK6272" s="165"/>
      <c r="EL6272" s="165"/>
      <c r="EM6272" s="165"/>
      <c r="EN6272" s="165"/>
      <c r="EO6272" s="165"/>
      <c r="EP6272" s="165"/>
      <c r="EQ6272" s="165"/>
      <c r="ER6272" s="165"/>
      <c r="ES6272" s="165"/>
    </row>
    <row r="6273" spans="1:20" s="451" customFormat="1" ht="15" hidden="1" customHeight="1">
      <c r="A6273" s="468">
        <v>45553</v>
      </c>
      <c r="B6273" s="208" t="s">
        <v>5098</v>
      </c>
      <c r="C6273" s="208" t="s">
        <v>27</v>
      </c>
      <c r="D6273" s="211">
        <v>-586800</v>
      </c>
      <c r="E6273" s="212">
        <v>45536</v>
      </c>
      <c r="F6273" s="208" t="s">
        <v>2531</v>
      </c>
      <c r="G6273" s="201" t="s">
        <v>1489</v>
      </c>
      <c r="H6273" s="208" t="s">
        <v>147</v>
      </c>
      <c r="I6273" s="208"/>
      <c r="J6273" s="209"/>
      <c r="K6273" s="209"/>
      <c r="L6273" s="209"/>
      <c r="M6273" s="209"/>
      <c r="N6273" s="209"/>
      <c r="O6273" s="209"/>
      <c r="P6273" s="209"/>
      <c r="Q6273" s="209"/>
      <c r="R6273" s="209"/>
      <c r="S6273" s="209"/>
      <c r="T6273" s="209"/>
    </row>
    <row r="6274" spans="1:20" s="451" customFormat="1" ht="15" hidden="1" customHeight="1">
      <c r="A6274" s="468">
        <v>45553</v>
      </c>
      <c r="B6274" s="208" t="s">
        <v>5099</v>
      </c>
      <c r="C6274" s="208" t="s">
        <v>27</v>
      </c>
      <c r="D6274" s="211">
        <v>-396200</v>
      </c>
      <c r="E6274" s="212">
        <v>45536</v>
      </c>
      <c r="F6274" s="208" t="s">
        <v>2531</v>
      </c>
      <c r="G6274" s="201" t="s">
        <v>1489</v>
      </c>
      <c r="H6274" s="208" t="s">
        <v>147</v>
      </c>
      <c r="I6274" s="208"/>
      <c r="J6274" s="209"/>
      <c r="K6274" s="209"/>
      <c r="L6274" s="209"/>
      <c r="M6274" s="209"/>
      <c r="N6274" s="209"/>
      <c r="O6274" s="209"/>
      <c r="P6274" s="209"/>
      <c r="Q6274" s="209"/>
      <c r="R6274" s="209"/>
      <c r="S6274" s="209"/>
      <c r="T6274" s="209"/>
    </row>
    <row r="6275" spans="1:20" s="451" customFormat="1" ht="15" hidden="1" customHeight="1">
      <c r="A6275" s="468">
        <v>45553</v>
      </c>
      <c r="B6275" s="208" t="s">
        <v>5100</v>
      </c>
      <c r="C6275" s="208" t="s">
        <v>27</v>
      </c>
      <c r="D6275" s="211">
        <v>-100625</v>
      </c>
      <c r="E6275" s="212">
        <v>45536</v>
      </c>
      <c r="F6275" s="208" t="s">
        <v>2531</v>
      </c>
      <c r="G6275" s="201" t="s">
        <v>1489</v>
      </c>
      <c r="H6275" s="208" t="s">
        <v>147</v>
      </c>
      <c r="I6275" s="208"/>
      <c r="J6275" s="209"/>
      <c r="K6275" s="209"/>
      <c r="L6275" s="209"/>
      <c r="M6275" s="209"/>
      <c r="N6275" s="209"/>
      <c r="O6275" s="209"/>
      <c r="P6275" s="209"/>
      <c r="Q6275" s="209"/>
      <c r="R6275" s="209"/>
      <c r="S6275" s="209"/>
      <c r="T6275" s="209"/>
    </row>
    <row r="6276" spans="1:20" s="451" customFormat="1" ht="15" hidden="1" customHeight="1">
      <c r="A6276" s="468">
        <v>45553</v>
      </c>
      <c r="B6276" s="208" t="s">
        <v>5081</v>
      </c>
      <c r="C6276" s="208" t="s">
        <v>27</v>
      </c>
      <c r="D6276" s="211">
        <v>-39800</v>
      </c>
      <c r="E6276" s="212">
        <v>45536</v>
      </c>
      <c r="F6276" s="208" t="s">
        <v>2531</v>
      </c>
      <c r="G6276" s="201" t="s">
        <v>1489</v>
      </c>
      <c r="H6276" s="208" t="s">
        <v>147</v>
      </c>
      <c r="I6276" s="208"/>
      <c r="J6276" s="209"/>
      <c r="K6276" s="209"/>
      <c r="L6276" s="209"/>
      <c r="M6276" s="209"/>
      <c r="N6276" s="209"/>
      <c r="O6276" s="209"/>
      <c r="P6276" s="209"/>
      <c r="Q6276" s="209"/>
      <c r="R6276" s="209"/>
      <c r="S6276" s="209"/>
      <c r="T6276" s="209"/>
    </row>
    <row r="6277" spans="1:20" s="451" customFormat="1" ht="15" hidden="1" customHeight="1">
      <c r="A6277" s="468">
        <v>45553</v>
      </c>
      <c r="B6277" s="208" t="s">
        <v>5101</v>
      </c>
      <c r="C6277" s="208" t="s">
        <v>27</v>
      </c>
      <c r="D6277" s="211">
        <v>-421100</v>
      </c>
      <c r="E6277" s="212">
        <v>45536</v>
      </c>
      <c r="F6277" s="208" t="s">
        <v>2531</v>
      </c>
      <c r="G6277" s="201" t="s">
        <v>1489</v>
      </c>
      <c r="H6277" s="208" t="s">
        <v>147</v>
      </c>
      <c r="I6277" s="208"/>
      <c r="J6277" s="209"/>
      <c r="K6277" s="209"/>
      <c r="L6277" s="209"/>
      <c r="M6277" s="209"/>
      <c r="N6277" s="209"/>
      <c r="O6277" s="209"/>
      <c r="P6277" s="209"/>
      <c r="Q6277" s="209"/>
      <c r="R6277" s="209"/>
      <c r="S6277" s="209"/>
      <c r="T6277" s="209"/>
    </row>
    <row r="6278" spans="1:20" s="451" customFormat="1" ht="15" hidden="1" customHeight="1">
      <c r="A6278" s="468">
        <v>45553</v>
      </c>
      <c r="B6278" s="208" t="s">
        <v>5102</v>
      </c>
      <c r="C6278" s="208" t="s">
        <v>27</v>
      </c>
      <c r="D6278" s="211">
        <v>-103725</v>
      </c>
      <c r="E6278" s="212">
        <v>45536</v>
      </c>
      <c r="F6278" s="208" t="s">
        <v>2531</v>
      </c>
      <c r="G6278" s="201" t="s">
        <v>1489</v>
      </c>
      <c r="H6278" s="208" t="s">
        <v>147</v>
      </c>
      <c r="I6278" s="208"/>
      <c r="J6278" s="209"/>
      <c r="K6278" s="209"/>
      <c r="L6278" s="209"/>
      <c r="M6278" s="209"/>
      <c r="N6278" s="209"/>
      <c r="O6278" s="209"/>
      <c r="P6278" s="209"/>
      <c r="Q6278" s="209"/>
      <c r="R6278" s="209"/>
      <c r="S6278" s="209"/>
      <c r="T6278" s="209"/>
    </row>
    <row r="6279" spans="1:20" s="451" customFormat="1" ht="15" hidden="1" customHeight="1">
      <c r="A6279" s="468">
        <v>45553</v>
      </c>
      <c r="B6279" s="208" t="s">
        <v>5103</v>
      </c>
      <c r="C6279" s="208" t="s">
        <v>27</v>
      </c>
      <c r="D6279" s="211">
        <v>-402500</v>
      </c>
      <c r="E6279" s="212">
        <v>45536</v>
      </c>
      <c r="F6279" s="208" t="s">
        <v>2531</v>
      </c>
      <c r="G6279" s="201" t="s">
        <v>1489</v>
      </c>
      <c r="H6279" s="208" t="s">
        <v>147</v>
      </c>
      <c r="I6279" s="208"/>
      <c r="J6279" s="209"/>
      <c r="K6279" s="209"/>
      <c r="L6279" s="209"/>
      <c r="M6279" s="209"/>
      <c r="N6279" s="209"/>
      <c r="O6279" s="209"/>
      <c r="P6279" s="209"/>
      <c r="Q6279" s="209"/>
      <c r="R6279" s="209"/>
      <c r="S6279" s="209"/>
      <c r="T6279" s="209"/>
    </row>
    <row r="6280" spans="1:20" s="451" customFormat="1" ht="15" hidden="1" customHeight="1">
      <c r="A6280" s="468">
        <v>45553</v>
      </c>
      <c r="B6280" s="208" t="s">
        <v>5104</v>
      </c>
      <c r="C6280" s="208" t="s">
        <v>27</v>
      </c>
      <c r="D6280" s="211">
        <v>-83925</v>
      </c>
      <c r="E6280" s="212">
        <v>45536</v>
      </c>
      <c r="F6280" s="208" t="s">
        <v>2531</v>
      </c>
      <c r="G6280" s="201" t="s">
        <v>1489</v>
      </c>
      <c r="H6280" s="208" t="s">
        <v>147</v>
      </c>
      <c r="I6280" s="208"/>
      <c r="J6280" s="209"/>
      <c r="K6280" s="209"/>
      <c r="L6280" s="209"/>
      <c r="M6280" s="209"/>
      <c r="N6280" s="209"/>
      <c r="O6280" s="209"/>
      <c r="P6280" s="209"/>
      <c r="Q6280" s="209"/>
      <c r="R6280" s="209"/>
      <c r="S6280" s="209"/>
      <c r="T6280" s="209"/>
    </row>
    <row r="6281" spans="1:20" s="451" customFormat="1" ht="15" hidden="1" customHeight="1">
      <c r="A6281" s="468">
        <v>45553</v>
      </c>
      <c r="B6281" s="208" t="s">
        <v>5105</v>
      </c>
      <c r="C6281" s="208" t="s">
        <v>27</v>
      </c>
      <c r="D6281" s="211">
        <v>-193125</v>
      </c>
      <c r="E6281" s="212">
        <v>45536</v>
      </c>
      <c r="F6281" s="208" t="s">
        <v>2531</v>
      </c>
      <c r="G6281" s="201" t="s">
        <v>1489</v>
      </c>
      <c r="H6281" s="208" t="s">
        <v>147</v>
      </c>
      <c r="I6281" s="475" t="s">
        <v>3475</v>
      </c>
      <c r="J6281" s="209"/>
      <c r="K6281" s="209"/>
      <c r="L6281" s="209"/>
      <c r="M6281" s="209"/>
      <c r="N6281" s="209"/>
      <c r="O6281" s="209"/>
      <c r="P6281" s="209"/>
      <c r="Q6281" s="209"/>
      <c r="R6281" s="209"/>
      <c r="S6281" s="209"/>
      <c r="T6281" s="209"/>
    </row>
    <row r="6282" spans="1:20" s="451" customFormat="1" ht="15" hidden="1" customHeight="1">
      <c r="A6282" s="468">
        <v>45553</v>
      </c>
      <c r="B6282" s="208" t="s">
        <v>5100</v>
      </c>
      <c r="C6282" s="208" t="s">
        <v>27</v>
      </c>
      <c r="D6282" s="211">
        <v>-100625</v>
      </c>
      <c r="E6282" s="212">
        <v>45536</v>
      </c>
      <c r="F6282" s="208" t="s">
        <v>207</v>
      </c>
      <c r="G6282" s="208" t="s">
        <v>207</v>
      </c>
      <c r="H6282" s="208"/>
      <c r="I6282" s="208"/>
      <c r="J6282" s="209"/>
      <c r="K6282" s="209"/>
      <c r="L6282" s="209"/>
      <c r="M6282" s="209"/>
      <c r="N6282" s="209"/>
      <c r="O6282" s="209"/>
      <c r="P6282" s="209"/>
      <c r="Q6282" s="209"/>
      <c r="R6282" s="209"/>
      <c r="S6282" s="209"/>
      <c r="T6282" s="209"/>
    </row>
    <row r="6283" spans="1:20" s="451" customFormat="1" ht="15" hidden="1" customHeight="1">
      <c r="A6283" s="468">
        <v>45553</v>
      </c>
      <c r="B6283" s="208" t="s">
        <v>5104</v>
      </c>
      <c r="C6283" s="208" t="s">
        <v>27</v>
      </c>
      <c r="D6283" s="211">
        <v>-83925</v>
      </c>
      <c r="E6283" s="212">
        <v>45536</v>
      </c>
      <c r="F6283" s="208" t="s">
        <v>207</v>
      </c>
      <c r="G6283" s="208" t="s">
        <v>207</v>
      </c>
      <c r="H6283" s="208"/>
      <c r="I6283" s="208"/>
      <c r="J6283" s="209"/>
      <c r="K6283" s="209"/>
      <c r="L6283" s="209"/>
      <c r="M6283" s="209"/>
      <c r="N6283" s="209"/>
      <c r="O6283" s="209"/>
      <c r="P6283" s="209"/>
      <c r="Q6283" s="209"/>
      <c r="R6283" s="209"/>
      <c r="S6283" s="209"/>
      <c r="T6283" s="209"/>
    </row>
    <row r="6284" spans="1:20" s="451" customFormat="1" ht="15" hidden="1" customHeight="1">
      <c r="A6284" s="468">
        <v>45553</v>
      </c>
      <c r="B6284" s="208" t="s">
        <v>5100</v>
      </c>
      <c r="C6284" s="208" t="s">
        <v>27</v>
      </c>
      <c r="D6284" s="211">
        <v>-100625</v>
      </c>
      <c r="E6284" s="212">
        <v>45536</v>
      </c>
      <c r="F6284" s="208" t="s">
        <v>130</v>
      </c>
      <c r="G6284" s="208" t="s">
        <v>130</v>
      </c>
      <c r="H6284" s="208" t="s">
        <v>2421</v>
      </c>
      <c r="I6284" s="208"/>
      <c r="J6284" s="209"/>
      <c r="K6284" s="209"/>
      <c r="L6284" s="209"/>
      <c r="M6284" s="209"/>
      <c r="N6284" s="209"/>
      <c r="O6284" s="209"/>
      <c r="P6284" s="209"/>
      <c r="Q6284" s="209"/>
      <c r="R6284" s="209"/>
      <c r="S6284" s="209"/>
      <c r="T6284" s="209"/>
    </row>
    <row r="6285" spans="1:20" s="451" customFormat="1" ht="15" hidden="1" customHeight="1">
      <c r="A6285" s="468">
        <v>45553</v>
      </c>
      <c r="B6285" s="208" t="s">
        <v>5104</v>
      </c>
      <c r="C6285" s="208" t="s">
        <v>27</v>
      </c>
      <c r="D6285" s="211">
        <v>-83925</v>
      </c>
      <c r="E6285" s="212">
        <v>45536</v>
      </c>
      <c r="F6285" s="208" t="s">
        <v>130</v>
      </c>
      <c r="G6285" s="208" t="s">
        <v>130</v>
      </c>
      <c r="H6285" s="208" t="s">
        <v>2421</v>
      </c>
      <c r="I6285" s="208"/>
      <c r="J6285" s="209"/>
      <c r="K6285" s="209"/>
      <c r="L6285" s="209"/>
      <c r="M6285" s="209"/>
      <c r="N6285" s="209"/>
      <c r="O6285" s="209"/>
      <c r="P6285" s="209"/>
      <c r="Q6285" s="209"/>
      <c r="R6285" s="209"/>
      <c r="S6285" s="209"/>
      <c r="T6285" s="209"/>
    </row>
    <row r="6286" spans="1:20" s="451" customFormat="1" ht="15" hidden="1" customHeight="1">
      <c r="A6286" s="468">
        <v>45553</v>
      </c>
      <c r="B6286" s="208" t="s">
        <v>5100</v>
      </c>
      <c r="C6286" s="208" t="s">
        <v>27</v>
      </c>
      <c r="D6286" s="211">
        <v>-100625</v>
      </c>
      <c r="E6286" s="212">
        <v>45536</v>
      </c>
      <c r="F6286" s="208" t="s">
        <v>2531</v>
      </c>
      <c r="G6286" s="208" t="s">
        <v>774</v>
      </c>
      <c r="H6286" s="208" t="s">
        <v>147</v>
      </c>
      <c r="I6286" s="208"/>
      <c r="J6286" s="209"/>
      <c r="K6286" s="209"/>
      <c r="L6286" s="209"/>
      <c r="M6286" s="209"/>
      <c r="N6286" s="209"/>
      <c r="O6286" s="209"/>
      <c r="P6286" s="209"/>
      <c r="Q6286" s="209"/>
      <c r="R6286" s="209"/>
      <c r="S6286" s="209"/>
      <c r="T6286" s="209"/>
    </row>
    <row r="6287" spans="1:20" s="451" customFormat="1" ht="15" hidden="1" customHeight="1">
      <c r="A6287" s="468">
        <v>45553</v>
      </c>
      <c r="B6287" s="208" t="s">
        <v>5104</v>
      </c>
      <c r="C6287" s="208" t="s">
        <v>27</v>
      </c>
      <c r="D6287" s="211">
        <v>-83925</v>
      </c>
      <c r="E6287" s="212">
        <v>45536</v>
      </c>
      <c r="F6287" s="208" t="s">
        <v>2531</v>
      </c>
      <c r="G6287" s="208" t="s">
        <v>774</v>
      </c>
      <c r="H6287" s="208" t="s">
        <v>147</v>
      </c>
      <c r="I6287" s="208"/>
      <c r="J6287" s="209"/>
      <c r="K6287" s="209"/>
      <c r="L6287" s="209"/>
      <c r="M6287" s="209"/>
      <c r="N6287" s="209"/>
      <c r="O6287" s="209"/>
      <c r="P6287" s="209"/>
      <c r="Q6287" s="209"/>
      <c r="R6287" s="209"/>
      <c r="S6287" s="209"/>
      <c r="T6287" s="209"/>
    </row>
    <row r="6288" spans="1:20" s="451" customFormat="1" ht="15" hidden="1" customHeight="1">
      <c r="A6288" s="468">
        <v>45553</v>
      </c>
      <c r="B6288" s="208" t="s">
        <v>5106</v>
      </c>
      <c r="C6288" s="208" t="s">
        <v>27</v>
      </c>
      <c r="D6288" s="211">
        <v>-126075</v>
      </c>
      <c r="E6288" s="212">
        <v>45536</v>
      </c>
      <c r="F6288" s="208" t="s">
        <v>130</v>
      </c>
      <c r="G6288" s="208" t="s">
        <v>130</v>
      </c>
      <c r="H6288" s="208" t="s">
        <v>2421</v>
      </c>
      <c r="I6288" s="208"/>
      <c r="J6288" s="209"/>
      <c r="K6288" s="209"/>
      <c r="L6288" s="209"/>
      <c r="M6288" s="209"/>
      <c r="N6288" s="209"/>
      <c r="O6288" s="209"/>
      <c r="P6288" s="209"/>
      <c r="Q6288" s="209"/>
      <c r="R6288" s="209"/>
      <c r="S6288" s="209"/>
      <c r="T6288" s="209"/>
    </row>
    <row r="6289" spans="1:20" s="451" customFormat="1" ht="15" hidden="1" customHeight="1">
      <c r="A6289" s="468">
        <v>45553</v>
      </c>
      <c r="B6289" s="208" t="s">
        <v>5081</v>
      </c>
      <c r="C6289" s="208" t="s">
        <v>27</v>
      </c>
      <c r="D6289" s="211">
        <v>-159200</v>
      </c>
      <c r="E6289" s="212">
        <v>45536</v>
      </c>
      <c r="F6289" s="208" t="s">
        <v>130</v>
      </c>
      <c r="G6289" s="208" t="s">
        <v>130</v>
      </c>
      <c r="H6289" s="208" t="s">
        <v>2421</v>
      </c>
      <c r="I6289" s="208"/>
      <c r="J6289" s="209"/>
      <c r="K6289" s="209"/>
      <c r="L6289" s="209"/>
      <c r="M6289" s="209"/>
      <c r="N6289" s="209"/>
      <c r="O6289" s="209"/>
      <c r="P6289" s="209"/>
      <c r="Q6289" s="209"/>
      <c r="R6289" s="209"/>
      <c r="S6289" s="209"/>
      <c r="T6289" s="209"/>
    </row>
    <row r="6290" spans="1:20" s="451" customFormat="1" ht="15" hidden="1" customHeight="1">
      <c r="A6290" s="468">
        <v>45553</v>
      </c>
      <c r="B6290" s="208" t="s">
        <v>5107</v>
      </c>
      <c r="C6290" s="208" t="s">
        <v>27</v>
      </c>
      <c r="D6290" s="211">
        <v>-168750</v>
      </c>
      <c r="E6290" s="212">
        <v>45536</v>
      </c>
      <c r="F6290" s="208" t="s">
        <v>130</v>
      </c>
      <c r="G6290" s="208" t="s">
        <v>130</v>
      </c>
      <c r="H6290" s="208" t="s">
        <v>2421</v>
      </c>
      <c r="I6290" s="208"/>
      <c r="J6290" s="209"/>
      <c r="K6290" s="209"/>
      <c r="L6290" s="209"/>
      <c r="M6290" s="209"/>
      <c r="N6290" s="209"/>
      <c r="O6290" s="209"/>
      <c r="P6290" s="209"/>
      <c r="Q6290" s="209"/>
      <c r="R6290" s="209"/>
      <c r="S6290" s="209"/>
      <c r="T6290" s="209"/>
    </row>
    <row r="6291" spans="1:20" s="451" customFormat="1" ht="15" hidden="1" customHeight="1">
      <c r="A6291" s="468">
        <v>45553</v>
      </c>
      <c r="B6291" s="208" t="s">
        <v>5102</v>
      </c>
      <c r="C6291" s="208" t="s">
        <v>27</v>
      </c>
      <c r="D6291" s="211">
        <v>-103725</v>
      </c>
      <c r="E6291" s="212">
        <v>45536</v>
      </c>
      <c r="F6291" s="208" t="s">
        <v>130</v>
      </c>
      <c r="G6291" s="208" t="s">
        <v>130</v>
      </c>
      <c r="H6291" s="208" t="s">
        <v>2421</v>
      </c>
      <c r="I6291" s="208"/>
      <c r="J6291" s="209"/>
      <c r="K6291" s="209"/>
      <c r="L6291" s="209"/>
      <c r="M6291" s="209"/>
      <c r="N6291" s="209"/>
      <c r="O6291" s="209"/>
      <c r="P6291" s="209"/>
      <c r="Q6291" s="209"/>
      <c r="R6291" s="209"/>
      <c r="S6291" s="209"/>
      <c r="T6291" s="209"/>
    </row>
    <row r="6292" spans="1:20" s="451" customFormat="1" ht="15" hidden="1" customHeight="1">
      <c r="A6292" s="468">
        <v>45553</v>
      </c>
      <c r="B6292" s="208" t="s">
        <v>5108</v>
      </c>
      <c r="C6292" s="208" t="s">
        <v>27</v>
      </c>
      <c r="D6292" s="211">
        <v>-100625</v>
      </c>
      <c r="E6292" s="212">
        <v>45536</v>
      </c>
      <c r="F6292" s="208" t="s">
        <v>130</v>
      </c>
      <c r="G6292" s="208" t="s">
        <v>130</v>
      </c>
      <c r="H6292" s="208" t="s">
        <v>2421</v>
      </c>
      <c r="I6292" s="208"/>
      <c r="J6292" s="209"/>
      <c r="K6292" s="209"/>
      <c r="L6292" s="209"/>
      <c r="M6292" s="209"/>
      <c r="N6292" s="209"/>
      <c r="O6292" s="209"/>
      <c r="P6292" s="209"/>
      <c r="Q6292" s="209"/>
      <c r="R6292" s="209"/>
      <c r="S6292" s="209"/>
      <c r="T6292" s="209"/>
    </row>
    <row r="6293" spans="1:20" s="451" customFormat="1" ht="15" hidden="1" customHeight="1">
      <c r="A6293" s="468">
        <v>45553</v>
      </c>
      <c r="B6293" s="208" t="s">
        <v>5107</v>
      </c>
      <c r="C6293" s="208" t="s">
        <v>27</v>
      </c>
      <c r="D6293" s="211">
        <v>-506250</v>
      </c>
      <c r="E6293" s="212">
        <v>45536</v>
      </c>
      <c r="F6293" s="208" t="s">
        <v>2531</v>
      </c>
      <c r="G6293" s="208" t="s">
        <v>4249</v>
      </c>
      <c r="H6293" s="208" t="s">
        <v>147</v>
      </c>
      <c r="I6293" s="208"/>
      <c r="J6293" s="209"/>
      <c r="K6293" s="209"/>
      <c r="L6293" s="209"/>
      <c r="M6293" s="209"/>
      <c r="N6293" s="209"/>
      <c r="O6293" s="209"/>
      <c r="P6293" s="209"/>
      <c r="Q6293" s="209"/>
      <c r="R6293" s="209"/>
      <c r="S6293" s="209"/>
      <c r="T6293" s="209"/>
    </row>
    <row r="6294" spans="1:20" s="451" customFormat="1" ht="15" hidden="1" customHeight="1">
      <c r="A6294" s="468">
        <v>45553</v>
      </c>
      <c r="B6294" s="208" t="s">
        <v>5102</v>
      </c>
      <c r="C6294" s="208" t="s">
        <v>27</v>
      </c>
      <c r="D6294" s="211">
        <v>-207450</v>
      </c>
      <c r="E6294" s="212">
        <v>45536</v>
      </c>
      <c r="F6294" s="208" t="s">
        <v>2531</v>
      </c>
      <c r="G6294" s="208" t="s">
        <v>4249</v>
      </c>
      <c r="H6294" s="208" t="s">
        <v>147</v>
      </c>
      <c r="I6294" s="208"/>
      <c r="J6294" s="209"/>
      <c r="K6294" s="209"/>
      <c r="L6294" s="209"/>
      <c r="M6294" s="209"/>
      <c r="N6294" s="209"/>
      <c r="O6294" s="209"/>
      <c r="P6294" s="209"/>
      <c r="Q6294" s="209"/>
      <c r="R6294" s="209"/>
      <c r="S6294" s="209"/>
      <c r="T6294" s="209"/>
    </row>
    <row r="6295" spans="1:20" s="451" customFormat="1" ht="15" hidden="1" customHeight="1">
      <c r="A6295" s="468">
        <v>45553</v>
      </c>
      <c r="B6295" s="208" t="s">
        <v>5108</v>
      </c>
      <c r="C6295" s="208" t="s">
        <v>27</v>
      </c>
      <c r="D6295" s="211">
        <v>-301875</v>
      </c>
      <c r="E6295" s="212">
        <v>45536</v>
      </c>
      <c r="F6295" s="208" t="s">
        <v>2531</v>
      </c>
      <c r="G6295" s="208" t="s">
        <v>4249</v>
      </c>
      <c r="H6295" s="208" t="s">
        <v>147</v>
      </c>
      <c r="I6295" s="475" t="s">
        <v>3475</v>
      </c>
      <c r="J6295" s="209"/>
      <c r="K6295" s="209"/>
      <c r="L6295" s="209"/>
      <c r="M6295" s="209"/>
      <c r="N6295" s="209"/>
      <c r="O6295" s="209"/>
      <c r="P6295" s="209"/>
      <c r="Q6295" s="209"/>
      <c r="R6295" s="209"/>
      <c r="S6295" s="209"/>
      <c r="T6295" s="209"/>
    </row>
    <row r="6296" spans="1:20" s="451" customFormat="1" ht="15" hidden="1" customHeight="1">
      <c r="A6296" s="468">
        <v>45553</v>
      </c>
      <c r="B6296" s="208" t="s">
        <v>5109</v>
      </c>
      <c r="C6296" s="208" t="s">
        <v>27</v>
      </c>
      <c r="D6296" s="211">
        <v>-659200</v>
      </c>
      <c r="E6296" s="212">
        <v>45536</v>
      </c>
      <c r="F6296" s="208" t="s">
        <v>109</v>
      </c>
      <c r="G6296" s="654" t="s">
        <v>2585</v>
      </c>
      <c r="H6296" s="208" t="s">
        <v>147</v>
      </c>
      <c r="I6296" s="208"/>
      <c r="J6296" s="209"/>
      <c r="K6296" s="209"/>
      <c r="L6296" s="209"/>
      <c r="M6296" s="209"/>
      <c r="N6296" s="209"/>
      <c r="O6296" s="209"/>
      <c r="P6296" s="209"/>
      <c r="Q6296" s="209"/>
      <c r="R6296" s="209"/>
      <c r="S6296" s="209"/>
      <c r="T6296" s="209"/>
    </row>
    <row r="6297" spans="1:20" s="451" customFormat="1" ht="15" hidden="1" customHeight="1">
      <c r="A6297" s="468">
        <v>45553</v>
      </c>
      <c r="B6297" s="208" t="s">
        <v>5110</v>
      </c>
      <c r="C6297" s="208" t="s">
        <v>27</v>
      </c>
      <c r="D6297" s="211">
        <v>-402500</v>
      </c>
      <c r="E6297" s="212">
        <v>45536</v>
      </c>
      <c r="F6297" s="208" t="s">
        <v>109</v>
      </c>
      <c r="G6297" s="654" t="s">
        <v>2585</v>
      </c>
      <c r="H6297" s="208" t="s">
        <v>147</v>
      </c>
      <c r="I6297" s="208"/>
      <c r="J6297" s="209"/>
      <c r="K6297" s="209"/>
      <c r="L6297" s="209"/>
      <c r="M6297" s="209"/>
      <c r="N6297" s="209"/>
      <c r="O6297" s="209"/>
      <c r="P6297" s="209"/>
      <c r="Q6297" s="209"/>
      <c r="R6297" s="209"/>
      <c r="S6297" s="209"/>
      <c r="T6297" s="209"/>
    </row>
    <row r="6298" spans="1:20" s="451" customFormat="1" ht="15" hidden="1" customHeight="1">
      <c r="A6298" s="468">
        <v>45553</v>
      </c>
      <c r="B6298" s="208" t="s">
        <v>5111</v>
      </c>
      <c r="C6298" s="208" t="s">
        <v>27</v>
      </c>
      <c r="D6298" s="211">
        <v>-402500</v>
      </c>
      <c r="E6298" s="212">
        <v>45536</v>
      </c>
      <c r="F6298" s="208" t="s">
        <v>109</v>
      </c>
      <c r="G6298" s="654" t="s">
        <v>2585</v>
      </c>
      <c r="H6298" s="208" t="s">
        <v>147</v>
      </c>
      <c r="I6298" s="208"/>
      <c r="J6298" s="209"/>
      <c r="K6298" s="209"/>
      <c r="L6298" s="209"/>
      <c r="M6298" s="209"/>
      <c r="N6298" s="209"/>
      <c r="O6298" s="209"/>
      <c r="P6298" s="209"/>
      <c r="Q6298" s="209"/>
      <c r="R6298" s="209"/>
      <c r="S6298" s="209"/>
      <c r="T6298" s="209"/>
    </row>
    <row r="6299" spans="1:20" s="451" customFormat="1" ht="15" hidden="1" customHeight="1">
      <c r="A6299" s="468">
        <v>45553</v>
      </c>
      <c r="B6299" s="208" t="s">
        <v>5112</v>
      </c>
      <c r="C6299" s="208" t="s">
        <v>27</v>
      </c>
      <c r="D6299" s="211">
        <v>-416300</v>
      </c>
      <c r="E6299" s="212">
        <v>45536</v>
      </c>
      <c r="F6299" s="208" t="s">
        <v>109</v>
      </c>
      <c r="G6299" s="654" t="s">
        <v>2585</v>
      </c>
      <c r="H6299" s="208" t="s">
        <v>147</v>
      </c>
      <c r="I6299" s="208"/>
      <c r="J6299" s="209"/>
      <c r="K6299" s="209"/>
      <c r="L6299" s="209"/>
      <c r="M6299" s="209"/>
      <c r="N6299" s="209"/>
      <c r="O6299" s="209"/>
      <c r="P6299" s="209"/>
      <c r="Q6299" s="209"/>
      <c r="R6299" s="209"/>
      <c r="S6299" s="209"/>
      <c r="T6299" s="209"/>
    </row>
    <row r="6300" spans="1:20" s="451" customFormat="1" ht="15" hidden="1" customHeight="1">
      <c r="A6300" s="468">
        <v>45553</v>
      </c>
      <c r="B6300" s="208" t="s">
        <v>5105</v>
      </c>
      <c r="C6300" s="208" t="s">
        <v>27</v>
      </c>
      <c r="D6300" s="211">
        <v>-579375</v>
      </c>
      <c r="E6300" s="212">
        <v>45536</v>
      </c>
      <c r="F6300" s="208" t="s">
        <v>2531</v>
      </c>
      <c r="G6300" s="208" t="s">
        <v>774</v>
      </c>
      <c r="H6300" s="208" t="s">
        <v>147</v>
      </c>
      <c r="I6300" s="208"/>
      <c r="J6300" s="209"/>
      <c r="K6300" s="209"/>
      <c r="L6300" s="209"/>
      <c r="M6300" s="209"/>
      <c r="N6300" s="209"/>
      <c r="O6300" s="209"/>
      <c r="P6300" s="209"/>
      <c r="Q6300" s="209"/>
      <c r="R6300" s="209"/>
      <c r="S6300" s="209"/>
      <c r="T6300" s="209"/>
    </row>
    <row r="6301" spans="1:20" s="451" customFormat="1" ht="15" hidden="1" customHeight="1">
      <c r="A6301" s="468">
        <v>45553</v>
      </c>
      <c r="B6301" s="208" t="s">
        <v>5106</v>
      </c>
      <c r="C6301" s="208" t="s">
        <v>27</v>
      </c>
      <c r="D6301" s="211">
        <v>-378225</v>
      </c>
      <c r="E6301" s="212">
        <v>45536</v>
      </c>
      <c r="F6301" s="208" t="s">
        <v>2531</v>
      </c>
      <c r="G6301" s="208" t="s">
        <v>774</v>
      </c>
      <c r="H6301" s="208" t="s">
        <v>147</v>
      </c>
      <c r="I6301" s="208"/>
      <c r="J6301" s="209"/>
      <c r="K6301" s="209"/>
      <c r="L6301" s="209"/>
      <c r="M6301" s="209"/>
      <c r="N6301" s="209"/>
      <c r="O6301" s="209"/>
      <c r="P6301" s="209"/>
      <c r="Q6301" s="209"/>
      <c r="R6301" s="209"/>
      <c r="S6301" s="209"/>
      <c r="T6301" s="209"/>
    </row>
    <row r="6302" spans="1:20" s="451" customFormat="1" ht="15" hidden="1" customHeight="1">
      <c r="A6302" s="468">
        <v>45553</v>
      </c>
      <c r="B6302" s="208" t="s">
        <v>5113</v>
      </c>
      <c r="C6302" s="208" t="s">
        <v>27</v>
      </c>
      <c r="D6302" s="211">
        <v>-416300</v>
      </c>
      <c r="E6302" s="212">
        <v>45536</v>
      </c>
      <c r="F6302" s="208" t="s">
        <v>130</v>
      </c>
      <c r="G6302" s="208" t="s">
        <v>130</v>
      </c>
      <c r="H6302" s="208" t="s">
        <v>2421</v>
      </c>
      <c r="I6302" s="208"/>
      <c r="J6302" s="209"/>
      <c r="K6302" s="209"/>
      <c r="L6302" s="209"/>
      <c r="M6302" s="209"/>
      <c r="N6302" s="209"/>
      <c r="O6302" s="209"/>
      <c r="P6302" s="209"/>
      <c r="Q6302" s="209"/>
      <c r="R6302" s="209"/>
      <c r="S6302" s="209"/>
      <c r="T6302" s="209"/>
    </row>
    <row r="6303" spans="1:20" s="451" customFormat="1" ht="15" hidden="1" customHeight="1">
      <c r="A6303" s="468">
        <v>45553</v>
      </c>
      <c r="B6303" s="208" t="s">
        <v>5114</v>
      </c>
      <c r="C6303" s="208" t="s">
        <v>27</v>
      </c>
      <c r="D6303" s="211">
        <v>-451900</v>
      </c>
      <c r="E6303" s="212">
        <v>45536</v>
      </c>
      <c r="F6303" s="208" t="s">
        <v>130</v>
      </c>
      <c r="G6303" s="208" t="s">
        <v>130</v>
      </c>
      <c r="H6303" s="208" t="s">
        <v>2421</v>
      </c>
      <c r="I6303" s="208"/>
      <c r="J6303" s="209"/>
      <c r="K6303" s="209"/>
      <c r="L6303" s="209"/>
      <c r="M6303" s="209"/>
      <c r="N6303" s="209"/>
      <c r="O6303" s="209"/>
      <c r="P6303" s="209"/>
      <c r="Q6303" s="209"/>
      <c r="R6303" s="209"/>
      <c r="S6303" s="209"/>
      <c r="T6303" s="209"/>
    </row>
    <row r="6304" spans="1:20" s="451" customFormat="1" ht="15" hidden="1" customHeight="1">
      <c r="A6304" s="468">
        <v>45553</v>
      </c>
      <c r="B6304" s="208" t="s">
        <v>5115</v>
      </c>
      <c r="C6304" s="208" t="s">
        <v>27</v>
      </c>
      <c r="D6304" s="211">
        <v>-1079000</v>
      </c>
      <c r="E6304" s="212">
        <v>45536</v>
      </c>
      <c r="F6304" s="208" t="s">
        <v>130</v>
      </c>
      <c r="G6304" s="208" t="s">
        <v>130</v>
      </c>
      <c r="H6304" s="208" t="s">
        <v>2421</v>
      </c>
      <c r="I6304" s="208"/>
      <c r="J6304" s="209"/>
      <c r="K6304" s="209"/>
      <c r="L6304" s="209"/>
      <c r="M6304" s="209"/>
      <c r="N6304" s="209"/>
      <c r="O6304" s="209"/>
      <c r="P6304" s="209"/>
      <c r="Q6304" s="209"/>
      <c r="R6304" s="209"/>
      <c r="S6304" s="209"/>
      <c r="T6304" s="209"/>
    </row>
    <row r="6305" spans="1:20" s="451" customFormat="1" ht="15" hidden="1" customHeight="1">
      <c r="A6305" s="468">
        <v>45553</v>
      </c>
      <c r="B6305" s="208" t="s">
        <v>5116</v>
      </c>
      <c r="C6305" s="208" t="s">
        <v>27</v>
      </c>
      <c r="D6305" s="211">
        <v>-1741200</v>
      </c>
      <c r="E6305" s="212">
        <v>45536</v>
      </c>
      <c r="F6305" s="208" t="s">
        <v>130</v>
      </c>
      <c r="G6305" s="208" t="s">
        <v>257</v>
      </c>
      <c r="H6305" s="208" t="s">
        <v>2421</v>
      </c>
      <c r="I6305" s="208"/>
      <c r="J6305" s="209"/>
      <c r="K6305" s="209"/>
      <c r="L6305" s="209"/>
      <c r="M6305" s="209"/>
      <c r="N6305" s="209"/>
      <c r="O6305" s="209"/>
      <c r="P6305" s="209"/>
      <c r="Q6305" s="209"/>
      <c r="R6305" s="209"/>
      <c r="S6305" s="209"/>
      <c r="T6305" s="209"/>
    </row>
    <row r="6306" spans="1:20" s="451" customFormat="1" ht="15" hidden="1" customHeight="1">
      <c r="A6306" s="468">
        <v>45553</v>
      </c>
      <c r="B6306" s="208" t="s">
        <v>5117</v>
      </c>
      <c r="C6306" s="208" t="s">
        <v>27</v>
      </c>
      <c r="D6306" s="211">
        <v>-318800</v>
      </c>
      <c r="E6306" s="212">
        <v>45536</v>
      </c>
      <c r="F6306" s="208" t="s">
        <v>130</v>
      </c>
      <c r="G6306" s="208" t="s">
        <v>130</v>
      </c>
      <c r="H6306" s="208" t="s">
        <v>2421</v>
      </c>
      <c r="I6306" s="208"/>
      <c r="J6306" s="209"/>
      <c r="K6306" s="209"/>
      <c r="L6306" s="209"/>
      <c r="M6306" s="209"/>
      <c r="N6306" s="209"/>
      <c r="O6306" s="209"/>
      <c r="P6306" s="209"/>
      <c r="Q6306" s="209"/>
      <c r="R6306" s="209"/>
      <c r="S6306" s="209"/>
      <c r="T6306" s="209"/>
    </row>
    <row r="6307" spans="1:20" s="451" customFormat="1" ht="15" hidden="1" customHeight="1">
      <c r="A6307" s="468">
        <v>45553</v>
      </c>
      <c r="B6307" s="208" t="s">
        <v>5118</v>
      </c>
      <c r="C6307" s="208" t="s">
        <v>27</v>
      </c>
      <c r="D6307" s="211">
        <v>-392400</v>
      </c>
      <c r="E6307" s="212">
        <v>45536</v>
      </c>
      <c r="F6307" s="208" t="s">
        <v>130</v>
      </c>
      <c r="G6307" s="208" t="s">
        <v>130</v>
      </c>
      <c r="H6307" s="208" t="s">
        <v>2421</v>
      </c>
      <c r="I6307" s="208"/>
      <c r="J6307" s="209"/>
      <c r="K6307" s="209"/>
      <c r="L6307" s="209"/>
      <c r="M6307" s="209"/>
      <c r="N6307" s="209"/>
      <c r="O6307" s="209"/>
      <c r="P6307" s="209"/>
      <c r="Q6307" s="209"/>
      <c r="R6307" s="209"/>
      <c r="S6307" s="209"/>
      <c r="T6307" s="209"/>
    </row>
    <row r="6308" spans="1:20" s="451" customFormat="1" ht="15" hidden="1" customHeight="1">
      <c r="A6308" s="468">
        <v>45553</v>
      </c>
      <c r="B6308" s="208" t="s">
        <v>5119</v>
      </c>
      <c r="C6308" s="208" t="s">
        <v>27</v>
      </c>
      <c r="D6308" s="211">
        <v>-1023100</v>
      </c>
      <c r="E6308" s="212">
        <v>45536</v>
      </c>
      <c r="F6308" s="208" t="s">
        <v>130</v>
      </c>
      <c r="G6308" s="208" t="s">
        <v>257</v>
      </c>
      <c r="H6308" s="208" t="s">
        <v>2421</v>
      </c>
      <c r="I6308" s="208"/>
      <c r="J6308" s="209"/>
      <c r="K6308" s="209"/>
      <c r="L6308" s="209"/>
      <c r="M6308" s="209"/>
      <c r="N6308" s="209"/>
      <c r="O6308" s="209"/>
      <c r="P6308" s="209"/>
      <c r="Q6308" s="209"/>
      <c r="R6308" s="209"/>
      <c r="S6308" s="209"/>
      <c r="T6308" s="209"/>
    </row>
    <row r="6309" spans="1:20" s="451" customFormat="1" ht="15" hidden="1" customHeight="1">
      <c r="A6309" s="468">
        <v>45553</v>
      </c>
      <c r="B6309" s="208" t="s">
        <v>5120</v>
      </c>
      <c r="C6309" s="208" t="s">
        <v>27</v>
      </c>
      <c r="D6309" s="211">
        <v>-2679900</v>
      </c>
      <c r="E6309" s="212">
        <v>45536</v>
      </c>
      <c r="F6309" s="208" t="s">
        <v>130</v>
      </c>
      <c r="G6309" s="208" t="s">
        <v>130</v>
      </c>
      <c r="H6309" s="208" t="s">
        <v>2421</v>
      </c>
      <c r="I6309" s="208"/>
      <c r="J6309" s="209"/>
      <c r="K6309" s="209"/>
      <c r="L6309" s="209"/>
      <c r="M6309" s="209"/>
      <c r="N6309" s="209"/>
      <c r="O6309" s="209"/>
      <c r="P6309" s="209"/>
      <c r="Q6309" s="209"/>
      <c r="R6309" s="209"/>
      <c r="S6309" s="209"/>
      <c r="T6309" s="209"/>
    </row>
    <row r="6310" spans="1:20" s="451" customFormat="1" ht="15" hidden="1" customHeight="1">
      <c r="A6310" s="468">
        <v>45553</v>
      </c>
      <c r="B6310" s="208" t="s">
        <v>5121</v>
      </c>
      <c r="C6310" s="208" t="s">
        <v>27</v>
      </c>
      <c r="D6310" s="211">
        <v>-763100</v>
      </c>
      <c r="E6310" s="212">
        <v>45536</v>
      </c>
      <c r="F6310" s="208" t="s">
        <v>130</v>
      </c>
      <c r="G6310" s="208" t="s">
        <v>130</v>
      </c>
      <c r="H6310" s="208" t="s">
        <v>2421</v>
      </c>
      <c r="I6310" s="208"/>
      <c r="J6310" s="209"/>
      <c r="K6310" s="209"/>
      <c r="L6310" s="209"/>
      <c r="M6310" s="209"/>
      <c r="N6310" s="209"/>
      <c r="O6310" s="209"/>
      <c r="P6310" s="209"/>
      <c r="Q6310" s="209"/>
      <c r="R6310" s="209"/>
      <c r="S6310" s="209"/>
      <c r="T6310" s="209"/>
    </row>
    <row r="6311" spans="1:20" s="451" customFormat="1" ht="15" hidden="1" customHeight="1">
      <c r="A6311" s="468">
        <v>45553</v>
      </c>
      <c r="B6311" s="208" t="s">
        <v>5122</v>
      </c>
      <c r="C6311" s="208" t="s">
        <v>27</v>
      </c>
      <c r="D6311" s="211">
        <v>-897900</v>
      </c>
      <c r="E6311" s="212">
        <v>45536</v>
      </c>
      <c r="F6311" s="208" t="s">
        <v>130</v>
      </c>
      <c r="G6311" s="208" t="s">
        <v>257</v>
      </c>
      <c r="H6311" s="208" t="s">
        <v>2421</v>
      </c>
      <c r="I6311" s="208"/>
      <c r="J6311" s="209"/>
      <c r="K6311" s="209"/>
      <c r="L6311" s="209"/>
      <c r="M6311" s="209"/>
      <c r="N6311" s="209"/>
      <c r="O6311" s="209"/>
      <c r="P6311" s="209"/>
      <c r="Q6311" s="209"/>
      <c r="R6311" s="209"/>
      <c r="S6311" s="209"/>
      <c r="T6311" s="209"/>
    </row>
    <row r="6312" spans="1:20" s="451" customFormat="1" ht="15" hidden="1" customHeight="1">
      <c r="A6312" s="468">
        <v>45553</v>
      </c>
      <c r="B6312" s="208" t="s">
        <v>5123</v>
      </c>
      <c r="C6312" s="208" t="s">
        <v>27</v>
      </c>
      <c r="D6312" s="211">
        <v>-2679900</v>
      </c>
      <c r="E6312" s="212">
        <v>45536</v>
      </c>
      <c r="F6312" s="208" t="s">
        <v>130</v>
      </c>
      <c r="G6312" s="208" t="s">
        <v>130</v>
      </c>
      <c r="H6312" s="208" t="s">
        <v>2421</v>
      </c>
      <c r="I6312" s="208"/>
      <c r="J6312" s="209"/>
      <c r="K6312" s="209"/>
      <c r="L6312" s="209"/>
      <c r="M6312" s="209"/>
      <c r="N6312" s="209"/>
      <c r="O6312" s="209"/>
      <c r="P6312" s="209"/>
      <c r="Q6312" s="209"/>
      <c r="R6312" s="209"/>
      <c r="S6312" s="209"/>
      <c r="T6312" s="209"/>
    </row>
    <row r="6313" spans="1:20" s="451" customFormat="1" ht="15" hidden="1" customHeight="1">
      <c r="A6313" s="468">
        <v>45553</v>
      </c>
      <c r="B6313" s="208" t="s">
        <v>5124</v>
      </c>
      <c r="C6313" s="208" t="s">
        <v>27</v>
      </c>
      <c r="D6313" s="211">
        <v>-402500</v>
      </c>
      <c r="E6313" s="212">
        <v>45536</v>
      </c>
      <c r="F6313" s="208" t="s">
        <v>130</v>
      </c>
      <c r="G6313" s="208" t="s">
        <v>130</v>
      </c>
      <c r="H6313" s="208" t="s">
        <v>2421</v>
      </c>
      <c r="I6313" s="208"/>
      <c r="J6313" s="209"/>
      <c r="K6313" s="209"/>
      <c r="L6313" s="209"/>
      <c r="M6313" s="209"/>
      <c r="N6313" s="209"/>
      <c r="O6313" s="209"/>
      <c r="P6313" s="209"/>
      <c r="Q6313" s="209"/>
      <c r="R6313" s="209"/>
      <c r="S6313" s="209"/>
      <c r="T6313" s="209"/>
    </row>
    <row r="6314" spans="1:20" s="451" customFormat="1" ht="15" hidden="1" customHeight="1">
      <c r="A6314" s="468">
        <v>45553</v>
      </c>
      <c r="B6314" s="208" t="s">
        <v>5125</v>
      </c>
      <c r="C6314" s="208" t="s">
        <v>27</v>
      </c>
      <c r="D6314" s="211">
        <v>-551800</v>
      </c>
      <c r="E6314" s="212">
        <v>45536</v>
      </c>
      <c r="F6314" s="208" t="s">
        <v>130</v>
      </c>
      <c r="G6314" s="208" t="s">
        <v>130</v>
      </c>
      <c r="H6314" s="208" t="s">
        <v>2421</v>
      </c>
      <c r="I6314" s="208"/>
      <c r="J6314" s="209"/>
      <c r="K6314" s="209"/>
      <c r="L6314" s="209"/>
      <c r="M6314" s="209"/>
      <c r="N6314" s="209"/>
      <c r="O6314" s="209"/>
      <c r="P6314" s="209"/>
      <c r="Q6314" s="209"/>
      <c r="R6314" s="209"/>
      <c r="S6314" s="209"/>
      <c r="T6314" s="209"/>
    </row>
    <row r="6315" spans="1:20" s="451" customFormat="1" ht="15" hidden="1" customHeight="1">
      <c r="A6315" s="468">
        <v>45553</v>
      </c>
      <c r="B6315" s="208" t="s">
        <v>5126</v>
      </c>
      <c r="C6315" s="208" t="s">
        <v>27</v>
      </c>
      <c r="D6315" s="211">
        <v>-169300</v>
      </c>
      <c r="E6315" s="212">
        <v>45536</v>
      </c>
      <c r="F6315" s="208" t="s">
        <v>130</v>
      </c>
      <c r="G6315" s="208" t="s">
        <v>130</v>
      </c>
      <c r="H6315" s="208" t="s">
        <v>2421</v>
      </c>
      <c r="I6315" s="208"/>
      <c r="J6315" s="209"/>
      <c r="K6315" s="209"/>
      <c r="L6315" s="209"/>
      <c r="M6315" s="209"/>
      <c r="N6315" s="209"/>
      <c r="O6315" s="209"/>
      <c r="P6315" s="209"/>
      <c r="Q6315" s="209"/>
      <c r="R6315" s="209"/>
      <c r="S6315" s="209"/>
      <c r="T6315" s="209"/>
    </row>
    <row r="6316" spans="1:20" s="451" customFormat="1" ht="15" hidden="1" customHeight="1">
      <c r="A6316" s="468">
        <v>45553</v>
      </c>
      <c r="B6316" s="208" t="s">
        <v>5127</v>
      </c>
      <c r="C6316" s="208" t="s">
        <v>27</v>
      </c>
      <c r="D6316" s="211">
        <v>-305900</v>
      </c>
      <c r="E6316" s="212">
        <v>45536</v>
      </c>
      <c r="F6316" s="208" t="s">
        <v>130</v>
      </c>
      <c r="G6316" s="208" t="s">
        <v>257</v>
      </c>
      <c r="H6316" s="208" t="s">
        <v>2421</v>
      </c>
      <c r="I6316" s="208"/>
      <c r="J6316" s="209"/>
      <c r="K6316" s="209"/>
      <c r="L6316" s="209"/>
      <c r="M6316" s="209"/>
      <c r="N6316" s="209"/>
      <c r="O6316" s="209"/>
      <c r="P6316" s="209"/>
      <c r="Q6316" s="209"/>
      <c r="R6316" s="209"/>
      <c r="S6316" s="209"/>
      <c r="T6316" s="209"/>
    </row>
    <row r="6317" spans="1:20" s="451" customFormat="1" ht="15" hidden="1" customHeight="1">
      <c r="A6317" s="468">
        <v>45553</v>
      </c>
      <c r="B6317" s="208" t="s">
        <v>5128</v>
      </c>
      <c r="C6317" s="208" t="s">
        <v>27</v>
      </c>
      <c r="D6317" s="211">
        <v>-315800</v>
      </c>
      <c r="E6317" s="212">
        <v>45536</v>
      </c>
      <c r="F6317" s="208" t="s">
        <v>207</v>
      </c>
      <c r="G6317" s="208" t="s">
        <v>207</v>
      </c>
      <c r="H6317" s="208"/>
      <c r="I6317" s="208"/>
      <c r="J6317" s="209"/>
      <c r="K6317" s="209"/>
      <c r="L6317" s="209"/>
      <c r="M6317" s="209"/>
      <c r="N6317" s="209"/>
      <c r="O6317" s="209"/>
      <c r="P6317" s="209"/>
      <c r="Q6317" s="209"/>
      <c r="R6317" s="209"/>
      <c r="S6317" s="209"/>
      <c r="T6317" s="209"/>
    </row>
    <row r="6318" spans="1:20" s="451" customFormat="1" ht="15" hidden="1" customHeight="1">
      <c r="A6318" s="468">
        <v>45553</v>
      </c>
      <c r="B6318" s="208" t="s">
        <v>5128</v>
      </c>
      <c r="C6318" s="208" t="s">
        <v>27</v>
      </c>
      <c r="D6318" s="211">
        <v>-315800</v>
      </c>
      <c r="E6318" s="212">
        <v>45536</v>
      </c>
      <c r="F6318" s="208" t="s">
        <v>2531</v>
      </c>
      <c r="G6318" s="208" t="s">
        <v>774</v>
      </c>
      <c r="H6318" s="208" t="s">
        <v>147</v>
      </c>
      <c r="I6318" s="208"/>
      <c r="J6318" s="209"/>
      <c r="K6318" s="209"/>
      <c r="L6318" s="209"/>
      <c r="M6318" s="209"/>
      <c r="N6318" s="209"/>
      <c r="O6318" s="209"/>
      <c r="P6318" s="209"/>
      <c r="Q6318" s="209"/>
      <c r="R6318" s="209"/>
      <c r="S6318" s="209"/>
      <c r="T6318" s="209"/>
    </row>
    <row r="6319" spans="1:20" s="451" customFormat="1" ht="15" hidden="1" customHeight="1">
      <c r="A6319" s="468">
        <v>45553</v>
      </c>
      <c r="B6319" s="208" t="s">
        <v>5128</v>
      </c>
      <c r="C6319" s="208" t="s">
        <v>27</v>
      </c>
      <c r="D6319" s="211">
        <v>-315800</v>
      </c>
      <c r="E6319" s="212">
        <v>45536</v>
      </c>
      <c r="F6319" s="208" t="s">
        <v>109</v>
      </c>
      <c r="G6319" s="654" t="s">
        <v>2585</v>
      </c>
      <c r="H6319" s="208" t="s">
        <v>147</v>
      </c>
      <c r="I6319" s="475" t="s">
        <v>3475</v>
      </c>
      <c r="J6319" s="209"/>
      <c r="K6319" s="209"/>
      <c r="L6319" s="209"/>
      <c r="M6319" s="209"/>
      <c r="N6319" s="209"/>
      <c r="O6319" s="209"/>
      <c r="P6319" s="209"/>
      <c r="Q6319" s="209"/>
      <c r="R6319" s="209"/>
      <c r="S6319" s="209"/>
      <c r="T6319" s="209"/>
    </row>
    <row r="6320" spans="1:20" s="451" customFormat="1" ht="15" hidden="1" customHeight="1">
      <c r="A6320" s="468">
        <v>45553</v>
      </c>
      <c r="B6320" s="208" t="s">
        <v>5129</v>
      </c>
      <c r="C6320" s="208" t="s">
        <v>27</v>
      </c>
      <c r="D6320" s="211">
        <v>-538800</v>
      </c>
      <c r="E6320" s="212">
        <v>45536</v>
      </c>
      <c r="F6320" s="208" t="s">
        <v>207</v>
      </c>
      <c r="G6320" s="208" t="s">
        <v>207</v>
      </c>
      <c r="H6320" s="208"/>
      <c r="I6320" s="208"/>
      <c r="J6320" s="209"/>
      <c r="K6320" s="209"/>
      <c r="L6320" s="209"/>
      <c r="M6320" s="209"/>
      <c r="N6320" s="209"/>
      <c r="O6320" s="209"/>
      <c r="P6320" s="209"/>
      <c r="Q6320" s="209"/>
      <c r="R6320" s="209"/>
      <c r="S6320" s="209"/>
      <c r="T6320" s="209"/>
    </row>
    <row r="6321" spans="1:149" s="451" customFormat="1" ht="15" hidden="1" customHeight="1">
      <c r="A6321" s="468">
        <v>45553</v>
      </c>
      <c r="B6321" s="208" t="s">
        <v>5130</v>
      </c>
      <c r="C6321" s="208" t="s">
        <v>27</v>
      </c>
      <c r="D6321" s="211">
        <f>-2051900/3</f>
        <v>-683966.66666666663</v>
      </c>
      <c r="E6321" s="212">
        <v>45536</v>
      </c>
      <c r="F6321" s="208" t="s">
        <v>109</v>
      </c>
      <c r="G6321" s="201" t="s">
        <v>581</v>
      </c>
      <c r="H6321" s="208"/>
      <c r="I6321" s="208"/>
      <c r="J6321" s="209"/>
      <c r="K6321" s="209"/>
      <c r="L6321" s="209"/>
      <c r="M6321" s="209"/>
      <c r="N6321" s="209"/>
      <c r="O6321" s="209"/>
      <c r="P6321" s="209"/>
      <c r="Q6321" s="209"/>
      <c r="R6321" s="209"/>
      <c r="S6321" s="209"/>
      <c r="T6321" s="209"/>
    </row>
    <row r="6322" spans="1:149" s="451" customFormat="1" ht="15" hidden="1" customHeight="1">
      <c r="A6322" s="468">
        <v>45553</v>
      </c>
      <c r="B6322" s="208" t="s">
        <v>5130</v>
      </c>
      <c r="C6322" s="208" t="s">
        <v>27</v>
      </c>
      <c r="D6322" s="211">
        <f>-2051900/3</f>
        <v>-683966.66666666663</v>
      </c>
      <c r="E6322" s="212">
        <v>45536</v>
      </c>
      <c r="F6322" s="208" t="s">
        <v>109</v>
      </c>
      <c r="G6322" s="201" t="s">
        <v>583</v>
      </c>
      <c r="H6322" s="208"/>
      <c r="I6322" s="208"/>
      <c r="J6322" s="209"/>
      <c r="K6322" s="209"/>
      <c r="L6322" s="209"/>
      <c r="M6322" s="209"/>
      <c r="N6322" s="209"/>
      <c r="O6322" s="209"/>
      <c r="P6322" s="209"/>
      <c r="Q6322" s="209"/>
      <c r="R6322" s="209"/>
      <c r="S6322" s="209"/>
      <c r="T6322" s="209"/>
    </row>
    <row r="6323" spans="1:149" s="451" customFormat="1" ht="15" hidden="1" customHeight="1">
      <c r="A6323" s="468">
        <v>45553</v>
      </c>
      <c r="B6323" s="208" t="s">
        <v>5130</v>
      </c>
      <c r="C6323" s="208" t="s">
        <v>27</v>
      </c>
      <c r="D6323" s="211">
        <f>-2051900/3</f>
        <v>-683966.66666666663</v>
      </c>
      <c r="E6323" s="212">
        <v>45536</v>
      </c>
      <c r="F6323" s="208" t="s">
        <v>109</v>
      </c>
      <c r="G6323" s="208" t="s">
        <v>3529</v>
      </c>
      <c r="H6323" s="208" t="s">
        <v>147</v>
      </c>
      <c r="I6323" s="208"/>
      <c r="J6323" s="209"/>
      <c r="K6323" s="209"/>
      <c r="L6323" s="209"/>
      <c r="M6323" s="209"/>
      <c r="N6323" s="209"/>
      <c r="O6323" s="209"/>
      <c r="P6323" s="209"/>
      <c r="Q6323" s="209"/>
      <c r="R6323" s="209"/>
      <c r="S6323" s="209"/>
      <c r="T6323" s="209"/>
    </row>
    <row r="6324" spans="1:149" s="451" customFormat="1" ht="15" hidden="1" customHeight="1">
      <c r="A6324" s="468">
        <v>45553</v>
      </c>
      <c r="B6324" s="208" t="s">
        <v>5131</v>
      </c>
      <c r="C6324" s="208" t="s">
        <v>27</v>
      </c>
      <c r="D6324" s="211">
        <f>-1021700/2</f>
        <v>-510850</v>
      </c>
      <c r="E6324" s="212">
        <v>45536</v>
      </c>
      <c r="F6324" s="208" t="s">
        <v>2531</v>
      </c>
      <c r="G6324" s="208" t="s">
        <v>3245</v>
      </c>
      <c r="H6324" s="208" t="s">
        <v>147</v>
      </c>
      <c r="I6324" s="475" t="s">
        <v>3475</v>
      </c>
      <c r="J6324" s="209"/>
      <c r="K6324" s="209"/>
      <c r="L6324" s="209"/>
      <c r="M6324" s="209"/>
      <c r="N6324" s="209"/>
      <c r="O6324" s="209"/>
      <c r="P6324" s="209"/>
      <c r="Q6324" s="209"/>
      <c r="R6324" s="209"/>
      <c r="S6324" s="209"/>
      <c r="T6324" s="209"/>
    </row>
    <row r="6325" spans="1:149" s="451" customFormat="1" ht="15" hidden="1" customHeight="1">
      <c r="A6325" s="468">
        <v>45553</v>
      </c>
      <c r="B6325" s="208" t="s">
        <v>5131</v>
      </c>
      <c r="C6325" s="208" t="s">
        <v>27</v>
      </c>
      <c r="D6325" s="211">
        <f>-1021700/2</f>
        <v>-510850</v>
      </c>
      <c r="E6325" s="212">
        <v>45536</v>
      </c>
      <c r="F6325" s="208" t="s">
        <v>110</v>
      </c>
      <c r="G6325" s="208" t="s">
        <v>4399</v>
      </c>
      <c r="H6325" s="208" t="s">
        <v>147</v>
      </c>
      <c r="I6325" s="208"/>
      <c r="J6325" s="209"/>
      <c r="K6325" s="209"/>
      <c r="L6325" s="209"/>
      <c r="M6325" s="209"/>
      <c r="N6325" s="209"/>
      <c r="O6325" s="209"/>
      <c r="P6325" s="209"/>
      <c r="Q6325" s="209"/>
      <c r="R6325" s="209"/>
      <c r="S6325" s="209"/>
      <c r="T6325" s="209"/>
    </row>
    <row r="6326" spans="1:149" s="451" customFormat="1" ht="15" hidden="1" customHeight="1">
      <c r="A6326" s="468">
        <v>45553</v>
      </c>
      <c r="B6326" s="208" t="s">
        <v>5132</v>
      </c>
      <c r="C6326" s="208" t="s">
        <v>27</v>
      </c>
      <c r="D6326" s="718">
        <v>-774000</v>
      </c>
      <c r="E6326" s="212">
        <v>45536</v>
      </c>
      <c r="F6326" s="208" t="s">
        <v>109</v>
      </c>
      <c r="G6326" s="201" t="s">
        <v>581</v>
      </c>
      <c r="H6326" s="208" t="s">
        <v>147</v>
      </c>
      <c r="I6326" s="475" t="s">
        <v>3475</v>
      </c>
      <c r="J6326" s="209"/>
      <c r="K6326" s="209"/>
      <c r="L6326" s="209"/>
      <c r="M6326" s="209"/>
      <c r="N6326" s="209"/>
      <c r="O6326" s="209"/>
      <c r="P6326" s="209"/>
      <c r="Q6326" s="209"/>
      <c r="R6326" s="209"/>
      <c r="S6326" s="209"/>
      <c r="T6326" s="209"/>
    </row>
    <row r="6327" spans="1:149" s="451" customFormat="1" ht="15" hidden="1" customHeight="1">
      <c r="A6327" s="468">
        <v>45553</v>
      </c>
      <c r="B6327" s="208" t="s">
        <v>5133</v>
      </c>
      <c r="C6327" s="208" t="s">
        <v>27</v>
      </c>
      <c r="D6327" s="211">
        <v>-619200</v>
      </c>
      <c r="E6327" s="212">
        <v>45536</v>
      </c>
      <c r="F6327" s="208" t="s">
        <v>207</v>
      </c>
      <c r="G6327" s="208" t="s">
        <v>207</v>
      </c>
      <c r="H6327" s="208"/>
      <c r="I6327" s="208"/>
      <c r="J6327" s="209"/>
      <c r="K6327" s="209"/>
      <c r="L6327" s="209"/>
      <c r="M6327" s="209"/>
      <c r="N6327" s="209"/>
      <c r="O6327" s="209"/>
      <c r="P6327" s="209"/>
      <c r="Q6327" s="209"/>
      <c r="R6327" s="209"/>
      <c r="S6327" s="209"/>
      <c r="T6327" s="209"/>
    </row>
    <row r="6328" spans="1:149" s="451" customFormat="1" ht="15" hidden="1" customHeight="1">
      <c r="A6328" s="468">
        <v>45553</v>
      </c>
      <c r="B6328" s="208" t="s">
        <v>5134</v>
      </c>
      <c r="C6328" s="208" t="s">
        <v>27</v>
      </c>
      <c r="D6328" s="211">
        <v>-774000</v>
      </c>
      <c r="E6328" s="212">
        <v>45536</v>
      </c>
      <c r="F6328" s="208" t="s">
        <v>109</v>
      </c>
      <c r="G6328" s="208" t="s">
        <v>3529</v>
      </c>
      <c r="H6328" s="208" t="s">
        <v>147</v>
      </c>
      <c r="I6328" s="208"/>
      <c r="J6328" s="209"/>
      <c r="K6328" s="209"/>
      <c r="L6328" s="209"/>
      <c r="M6328" s="209"/>
      <c r="N6328" s="209"/>
      <c r="O6328" s="209"/>
      <c r="P6328" s="209"/>
      <c r="Q6328" s="209"/>
      <c r="R6328" s="209"/>
      <c r="S6328" s="209"/>
      <c r="T6328" s="209"/>
    </row>
    <row r="6329" spans="1:149" s="451" customFormat="1" ht="15" hidden="1" customHeight="1">
      <c r="A6329" s="468">
        <v>45553</v>
      </c>
      <c r="B6329" s="208" t="s">
        <v>5135</v>
      </c>
      <c r="C6329" s="208" t="s">
        <v>27</v>
      </c>
      <c r="D6329" s="211">
        <f>-774000/3</f>
        <v>-258000</v>
      </c>
      <c r="E6329" s="212">
        <v>45536</v>
      </c>
      <c r="F6329" s="208" t="s">
        <v>2531</v>
      </c>
      <c r="G6329" s="208" t="s">
        <v>774</v>
      </c>
      <c r="H6329" s="208" t="s">
        <v>147</v>
      </c>
      <c r="I6329" s="208"/>
      <c r="J6329" s="209"/>
      <c r="K6329" s="209"/>
      <c r="L6329" s="209"/>
      <c r="M6329" s="209"/>
      <c r="N6329" s="209"/>
      <c r="O6329" s="209"/>
      <c r="P6329" s="209"/>
      <c r="Q6329" s="209"/>
      <c r="R6329" s="209"/>
      <c r="S6329" s="209"/>
      <c r="T6329" s="209"/>
    </row>
    <row r="6330" spans="1:149" s="451" customFormat="1" ht="15" hidden="1" customHeight="1">
      <c r="A6330" s="468">
        <v>45553</v>
      </c>
      <c r="B6330" s="208" t="s">
        <v>5135</v>
      </c>
      <c r="C6330" s="208" t="s">
        <v>27</v>
      </c>
      <c r="D6330" s="211">
        <f>-774000/3</f>
        <v>-258000</v>
      </c>
      <c r="E6330" s="212">
        <v>45536</v>
      </c>
      <c r="F6330" s="208" t="s">
        <v>109</v>
      </c>
      <c r="G6330" s="208" t="s">
        <v>3529</v>
      </c>
      <c r="H6330" s="208" t="s">
        <v>147</v>
      </c>
      <c r="I6330" s="208"/>
      <c r="J6330" s="209"/>
      <c r="K6330" s="209"/>
      <c r="L6330" s="209"/>
      <c r="M6330" s="209"/>
      <c r="N6330" s="209"/>
      <c r="O6330" s="209"/>
      <c r="P6330" s="209"/>
      <c r="Q6330" s="209"/>
      <c r="R6330" s="209"/>
      <c r="S6330" s="209"/>
      <c r="T6330" s="209"/>
    </row>
    <row r="6331" spans="1:149" s="451" customFormat="1" ht="15" hidden="1" customHeight="1">
      <c r="A6331" s="468">
        <v>45553</v>
      </c>
      <c r="B6331" s="208" t="s">
        <v>5135</v>
      </c>
      <c r="C6331" s="208" t="s">
        <v>27</v>
      </c>
      <c r="D6331" s="211">
        <f>-774000/3</f>
        <v>-258000</v>
      </c>
      <c r="E6331" s="212">
        <v>45536</v>
      </c>
      <c r="F6331" s="208" t="s">
        <v>110</v>
      </c>
      <c r="G6331" s="208" t="s">
        <v>4399</v>
      </c>
      <c r="H6331" s="208" t="s">
        <v>147</v>
      </c>
      <c r="I6331" s="475" t="s">
        <v>3475</v>
      </c>
      <c r="J6331" s="209"/>
      <c r="K6331" s="209"/>
      <c r="L6331" s="209"/>
      <c r="M6331" s="209"/>
      <c r="N6331" s="209"/>
      <c r="O6331" s="209"/>
      <c r="P6331" s="209"/>
      <c r="Q6331" s="209"/>
      <c r="R6331" s="209"/>
      <c r="S6331" s="209"/>
      <c r="T6331" s="209"/>
    </row>
    <row r="6332" spans="1:149" s="451" customFormat="1" ht="15" hidden="1" customHeight="1">
      <c r="A6332" s="468">
        <v>45553</v>
      </c>
      <c r="B6332" s="208" t="s">
        <v>5136</v>
      </c>
      <c r="C6332" s="208" t="s">
        <v>27</v>
      </c>
      <c r="D6332" s="211">
        <f>-402500/3</f>
        <v>-134166.66666666666</v>
      </c>
      <c r="E6332" s="212">
        <v>45536</v>
      </c>
      <c r="F6332" s="208" t="s">
        <v>207</v>
      </c>
      <c r="G6332" s="208" t="s">
        <v>207</v>
      </c>
      <c r="H6332" s="208"/>
      <c r="I6332" s="208"/>
      <c r="J6332" s="209"/>
      <c r="K6332" s="209"/>
      <c r="L6332" s="209"/>
      <c r="M6332" s="209"/>
      <c r="N6332" s="209"/>
      <c r="O6332" s="209"/>
      <c r="P6332" s="209"/>
      <c r="Q6332" s="209"/>
      <c r="R6332" s="209"/>
      <c r="S6332" s="209"/>
      <c r="T6332" s="209"/>
    </row>
    <row r="6333" spans="1:149" s="451" customFormat="1" ht="15" hidden="1" customHeight="1">
      <c r="A6333" s="468">
        <v>45553</v>
      </c>
      <c r="B6333" s="208" t="s">
        <v>5136</v>
      </c>
      <c r="C6333" s="208" t="s">
        <v>27</v>
      </c>
      <c r="D6333" s="211">
        <f>-402500/3</f>
        <v>-134166.66666666666</v>
      </c>
      <c r="E6333" s="212">
        <v>45536</v>
      </c>
      <c r="F6333" s="208" t="s">
        <v>2531</v>
      </c>
      <c r="G6333" s="208" t="s">
        <v>774</v>
      </c>
      <c r="H6333" s="208" t="s">
        <v>147</v>
      </c>
      <c r="I6333" s="475" t="s">
        <v>3475</v>
      </c>
      <c r="J6333" s="209"/>
      <c r="K6333" s="209"/>
      <c r="L6333" s="209"/>
      <c r="M6333" s="209"/>
      <c r="N6333" s="209"/>
      <c r="O6333" s="209"/>
      <c r="P6333" s="209"/>
      <c r="Q6333" s="209"/>
      <c r="R6333" s="209"/>
      <c r="S6333" s="209"/>
      <c r="T6333" s="209"/>
    </row>
    <row r="6334" spans="1:149" s="451" customFormat="1" ht="15" hidden="1" customHeight="1">
      <c r="A6334" s="468">
        <v>45553</v>
      </c>
      <c r="B6334" s="208" t="s">
        <v>5136</v>
      </c>
      <c r="C6334" s="208" t="s">
        <v>27</v>
      </c>
      <c r="D6334" s="211">
        <f>-402500/3</f>
        <v>-134166.66666666666</v>
      </c>
      <c r="E6334" s="212">
        <v>45536</v>
      </c>
      <c r="F6334" s="208" t="s">
        <v>109</v>
      </c>
      <c r="G6334" s="208" t="s">
        <v>3529</v>
      </c>
      <c r="H6334" s="208" t="s">
        <v>147</v>
      </c>
      <c r="I6334" s="475" t="s">
        <v>3475</v>
      </c>
      <c r="J6334" s="209"/>
      <c r="K6334" s="209"/>
      <c r="L6334" s="209"/>
      <c r="M6334" s="209"/>
      <c r="N6334" s="209"/>
      <c r="O6334" s="209"/>
      <c r="P6334" s="209"/>
      <c r="Q6334" s="209"/>
      <c r="R6334" s="209"/>
      <c r="S6334" s="209"/>
      <c r="T6334" s="209"/>
    </row>
    <row r="6335" spans="1:149" s="451" customFormat="1" ht="15" hidden="1" customHeight="1">
      <c r="A6335" s="468">
        <v>45553</v>
      </c>
      <c r="B6335" s="208" t="s">
        <v>5137</v>
      </c>
      <c r="C6335" s="208" t="s">
        <v>146</v>
      </c>
      <c r="D6335" s="211">
        <v>-137500</v>
      </c>
      <c r="E6335" s="212">
        <v>45536</v>
      </c>
      <c r="F6335" s="208" t="s">
        <v>109</v>
      </c>
      <c r="G6335" s="201" t="s">
        <v>581</v>
      </c>
      <c r="H6335" s="208"/>
      <c r="I6335" s="208" t="s">
        <v>3364</v>
      </c>
      <c r="J6335" s="209"/>
      <c r="K6335" s="209"/>
      <c r="L6335" s="209"/>
      <c r="M6335" s="209"/>
      <c r="N6335" s="209"/>
      <c r="O6335" s="209"/>
      <c r="P6335" s="209"/>
      <c r="Q6335" s="209"/>
      <c r="R6335" s="209"/>
      <c r="S6335" s="209"/>
      <c r="T6335" s="209"/>
      <c r="U6335" s="165"/>
      <c r="V6335" s="165"/>
      <c r="W6335" s="165"/>
      <c r="X6335" s="165"/>
      <c r="Y6335" s="165"/>
      <c r="Z6335" s="165"/>
      <c r="AA6335" s="165"/>
      <c r="AB6335" s="165"/>
      <c r="AC6335" s="165"/>
      <c r="AD6335" s="165"/>
      <c r="AE6335" s="165"/>
      <c r="AF6335" s="165"/>
      <c r="AG6335" s="165"/>
      <c r="AH6335" s="165"/>
      <c r="AI6335" s="165"/>
      <c r="AJ6335" s="165"/>
      <c r="AK6335" s="165"/>
      <c r="AL6335" s="165"/>
      <c r="AM6335" s="165"/>
      <c r="AN6335" s="165"/>
      <c r="AO6335" s="165"/>
      <c r="AP6335" s="165"/>
      <c r="AQ6335" s="165"/>
      <c r="AR6335" s="165"/>
      <c r="AS6335" s="165"/>
      <c r="AT6335" s="165"/>
      <c r="AU6335" s="165"/>
      <c r="AV6335" s="165"/>
      <c r="AW6335" s="165"/>
      <c r="AX6335" s="165"/>
      <c r="AY6335" s="165"/>
      <c r="AZ6335" s="165"/>
      <c r="BA6335" s="165"/>
      <c r="BB6335" s="165"/>
      <c r="BC6335" s="165"/>
      <c r="BD6335" s="165"/>
      <c r="BE6335" s="165"/>
      <c r="BF6335" s="165"/>
      <c r="BG6335" s="165"/>
      <c r="BH6335" s="165"/>
      <c r="BI6335" s="165"/>
      <c r="BJ6335" s="165"/>
      <c r="BK6335" s="165"/>
      <c r="BL6335" s="165"/>
      <c r="BM6335" s="165"/>
      <c r="BN6335" s="165"/>
      <c r="BO6335" s="165"/>
      <c r="BP6335" s="165"/>
      <c r="BQ6335" s="165"/>
      <c r="BR6335" s="165"/>
      <c r="BS6335" s="165"/>
      <c r="BT6335" s="165"/>
      <c r="BU6335" s="165"/>
      <c r="BV6335" s="165"/>
      <c r="BW6335" s="165"/>
      <c r="BX6335" s="165"/>
      <c r="BY6335" s="165"/>
      <c r="BZ6335" s="165"/>
      <c r="CA6335" s="165"/>
      <c r="CB6335" s="165"/>
      <c r="CC6335" s="165"/>
      <c r="CD6335" s="165"/>
      <c r="CE6335" s="165"/>
      <c r="CF6335" s="165"/>
      <c r="CG6335" s="165"/>
      <c r="CH6335" s="165"/>
      <c r="CI6335" s="165"/>
      <c r="CJ6335" s="165"/>
      <c r="CK6335" s="165"/>
      <c r="CL6335" s="165"/>
      <c r="CM6335" s="165"/>
      <c r="CN6335" s="165"/>
      <c r="CO6335" s="165"/>
      <c r="CP6335" s="165"/>
      <c r="CQ6335" s="165"/>
      <c r="CR6335" s="165"/>
      <c r="CS6335" s="165"/>
      <c r="CT6335" s="165"/>
      <c r="CU6335" s="165"/>
      <c r="CV6335" s="165"/>
      <c r="CW6335" s="165"/>
      <c r="CX6335" s="165"/>
      <c r="CY6335" s="165"/>
      <c r="CZ6335" s="165"/>
      <c r="DA6335" s="165"/>
      <c r="DB6335" s="165"/>
      <c r="DC6335" s="165"/>
      <c r="DD6335" s="165"/>
      <c r="DE6335" s="165"/>
      <c r="DF6335" s="165"/>
      <c r="DG6335" s="165"/>
      <c r="DH6335" s="165"/>
      <c r="DI6335" s="165"/>
      <c r="DJ6335" s="165"/>
      <c r="DK6335" s="165"/>
      <c r="DL6335" s="165"/>
      <c r="DM6335" s="165"/>
      <c r="DN6335" s="165"/>
      <c r="DO6335" s="165"/>
      <c r="DP6335" s="165"/>
      <c r="DQ6335" s="165"/>
      <c r="DR6335" s="165"/>
      <c r="DS6335" s="165"/>
      <c r="DT6335" s="165"/>
      <c r="DU6335" s="165"/>
      <c r="DV6335" s="165"/>
      <c r="DW6335" s="165"/>
      <c r="DX6335" s="165"/>
      <c r="DY6335" s="165"/>
      <c r="DZ6335" s="165"/>
      <c r="EA6335" s="165"/>
      <c r="EB6335" s="165"/>
      <c r="EC6335" s="165"/>
      <c r="ED6335" s="165"/>
      <c r="EE6335" s="165"/>
      <c r="EF6335" s="165"/>
      <c r="EG6335" s="165"/>
      <c r="EH6335" s="165"/>
      <c r="EI6335" s="165"/>
      <c r="EJ6335" s="165"/>
      <c r="EK6335" s="165"/>
      <c r="EL6335" s="165"/>
      <c r="EM6335" s="165"/>
      <c r="EN6335" s="165"/>
      <c r="EO6335" s="165"/>
      <c r="EP6335" s="165"/>
      <c r="EQ6335" s="165"/>
      <c r="ER6335" s="165"/>
      <c r="ES6335" s="165"/>
    </row>
    <row r="6336" spans="1:149" s="451" customFormat="1" ht="15" hidden="1" customHeight="1">
      <c r="A6336" s="468">
        <v>45553</v>
      </c>
      <c r="B6336" s="208" t="s">
        <v>5138</v>
      </c>
      <c r="C6336" s="208" t="s">
        <v>146</v>
      </c>
      <c r="D6336" s="211">
        <v>-140000</v>
      </c>
      <c r="E6336" s="212">
        <v>45536</v>
      </c>
      <c r="F6336" s="208" t="s">
        <v>109</v>
      </c>
      <c r="G6336" s="201" t="s">
        <v>581</v>
      </c>
      <c r="H6336" s="208"/>
      <c r="I6336" s="208" t="s">
        <v>3364</v>
      </c>
      <c r="J6336" s="209"/>
      <c r="K6336" s="209"/>
      <c r="L6336" s="209"/>
      <c r="M6336" s="209"/>
      <c r="N6336" s="209"/>
      <c r="O6336" s="209"/>
      <c r="P6336" s="209"/>
      <c r="Q6336" s="209"/>
      <c r="R6336" s="209"/>
      <c r="S6336" s="209"/>
      <c r="T6336" s="209"/>
      <c r="U6336" s="165"/>
      <c r="V6336" s="165"/>
      <c r="W6336" s="165"/>
      <c r="X6336" s="165"/>
      <c r="Y6336" s="165"/>
      <c r="Z6336" s="165"/>
      <c r="AA6336" s="165"/>
      <c r="AB6336" s="165"/>
      <c r="AC6336" s="165"/>
      <c r="AD6336" s="165"/>
      <c r="AE6336" s="165"/>
      <c r="AF6336" s="165"/>
      <c r="AG6336" s="165"/>
      <c r="AH6336" s="165"/>
      <c r="AI6336" s="165"/>
      <c r="AJ6336" s="165"/>
      <c r="AK6336" s="165"/>
      <c r="AL6336" s="165"/>
      <c r="AM6336" s="165"/>
      <c r="AN6336" s="165"/>
      <c r="AO6336" s="165"/>
      <c r="AP6336" s="165"/>
      <c r="AQ6336" s="165"/>
      <c r="AR6336" s="165"/>
      <c r="AS6336" s="165"/>
      <c r="AT6336" s="165"/>
      <c r="AU6336" s="165"/>
      <c r="AV6336" s="165"/>
      <c r="AW6336" s="165"/>
      <c r="AX6336" s="165"/>
      <c r="AY6336" s="165"/>
      <c r="AZ6336" s="165"/>
      <c r="BA6336" s="165"/>
      <c r="BB6336" s="165"/>
      <c r="BC6336" s="165"/>
      <c r="BD6336" s="165"/>
      <c r="BE6336" s="165"/>
      <c r="BF6336" s="165"/>
      <c r="BG6336" s="165"/>
      <c r="BH6336" s="165"/>
      <c r="BI6336" s="165"/>
      <c r="BJ6336" s="165"/>
      <c r="BK6336" s="165"/>
      <c r="BL6336" s="165"/>
      <c r="BM6336" s="165"/>
      <c r="BN6336" s="165"/>
      <c r="BO6336" s="165"/>
      <c r="BP6336" s="165"/>
      <c r="BQ6336" s="165"/>
      <c r="BR6336" s="165"/>
      <c r="BS6336" s="165"/>
      <c r="BT6336" s="165"/>
      <c r="BU6336" s="165"/>
      <c r="BV6336" s="165"/>
      <c r="BW6336" s="165"/>
      <c r="BX6336" s="165"/>
      <c r="BY6336" s="165"/>
      <c r="BZ6336" s="165"/>
      <c r="CA6336" s="165"/>
      <c r="CB6336" s="165"/>
      <c r="CC6336" s="165"/>
      <c r="CD6336" s="165"/>
      <c r="CE6336" s="165"/>
      <c r="CF6336" s="165"/>
      <c r="CG6336" s="165"/>
      <c r="CH6336" s="165"/>
      <c r="CI6336" s="165"/>
      <c r="CJ6336" s="165"/>
      <c r="CK6336" s="165"/>
      <c r="CL6336" s="165"/>
      <c r="CM6336" s="165"/>
      <c r="CN6336" s="165"/>
      <c r="CO6336" s="165"/>
      <c r="CP6336" s="165"/>
      <c r="CQ6336" s="165"/>
      <c r="CR6336" s="165"/>
      <c r="CS6336" s="165"/>
      <c r="CT6336" s="165"/>
      <c r="CU6336" s="165"/>
      <c r="CV6336" s="165"/>
      <c r="CW6336" s="165"/>
      <c r="CX6336" s="165"/>
      <c r="CY6336" s="165"/>
      <c r="CZ6336" s="165"/>
      <c r="DA6336" s="165"/>
      <c r="DB6336" s="165"/>
      <c r="DC6336" s="165"/>
      <c r="DD6336" s="165"/>
      <c r="DE6336" s="165"/>
      <c r="DF6336" s="165"/>
      <c r="DG6336" s="165"/>
      <c r="DH6336" s="165"/>
      <c r="DI6336" s="165"/>
      <c r="DJ6336" s="165"/>
      <c r="DK6336" s="165"/>
      <c r="DL6336" s="165"/>
      <c r="DM6336" s="165"/>
      <c r="DN6336" s="165"/>
      <c r="DO6336" s="165"/>
      <c r="DP6336" s="165"/>
      <c r="DQ6336" s="165"/>
      <c r="DR6336" s="165"/>
      <c r="DS6336" s="165"/>
      <c r="DT6336" s="165"/>
      <c r="DU6336" s="165"/>
      <c r="DV6336" s="165"/>
      <c r="DW6336" s="165"/>
      <c r="DX6336" s="165"/>
      <c r="DY6336" s="165"/>
      <c r="DZ6336" s="165"/>
      <c r="EA6336" s="165"/>
      <c r="EB6336" s="165"/>
      <c r="EC6336" s="165"/>
      <c r="ED6336" s="165"/>
      <c r="EE6336" s="165"/>
      <c r="EF6336" s="165"/>
      <c r="EG6336" s="165"/>
      <c r="EH6336" s="165"/>
      <c r="EI6336" s="165"/>
      <c r="EJ6336" s="165"/>
      <c r="EK6336" s="165"/>
      <c r="EL6336" s="165"/>
      <c r="EM6336" s="165"/>
      <c r="EN6336" s="165"/>
      <c r="EO6336" s="165"/>
      <c r="EP6336" s="165"/>
      <c r="EQ6336" s="165"/>
      <c r="ER6336" s="165"/>
      <c r="ES6336" s="165"/>
    </row>
    <row r="6337" spans="1:149" s="451" customFormat="1" ht="15" hidden="1" customHeight="1">
      <c r="A6337" s="468">
        <v>45553</v>
      </c>
      <c r="B6337" s="208" t="s">
        <v>5139</v>
      </c>
      <c r="C6337" s="208" t="s">
        <v>146</v>
      </c>
      <c r="D6337" s="211">
        <v>-717000</v>
      </c>
      <c r="E6337" s="212">
        <v>45536</v>
      </c>
      <c r="F6337" s="208" t="s">
        <v>110</v>
      </c>
      <c r="G6337" s="208" t="s">
        <v>4399</v>
      </c>
      <c r="H6337" s="208" t="s">
        <v>147</v>
      </c>
      <c r="I6337" s="208" t="s">
        <v>3378</v>
      </c>
      <c r="J6337" s="209"/>
      <c r="K6337" s="209"/>
      <c r="L6337" s="209"/>
      <c r="M6337" s="209"/>
      <c r="N6337" s="209"/>
      <c r="O6337" s="209"/>
      <c r="P6337" s="209"/>
      <c r="Q6337" s="209"/>
      <c r="R6337" s="209"/>
      <c r="S6337" s="209"/>
      <c r="T6337" s="209"/>
      <c r="U6337" s="165"/>
      <c r="V6337" s="165"/>
      <c r="W6337" s="165"/>
      <c r="X6337" s="165"/>
      <c r="Y6337" s="165"/>
      <c r="Z6337" s="165"/>
      <c r="AA6337" s="165"/>
      <c r="AB6337" s="165"/>
      <c r="AC6337" s="165"/>
      <c r="AD6337" s="165"/>
      <c r="AE6337" s="165"/>
      <c r="AF6337" s="165"/>
      <c r="AG6337" s="165"/>
      <c r="AH6337" s="165"/>
      <c r="AI6337" s="165"/>
      <c r="AJ6337" s="165"/>
      <c r="AK6337" s="165"/>
      <c r="AL6337" s="165"/>
      <c r="AM6337" s="165"/>
      <c r="AN6337" s="165"/>
      <c r="AO6337" s="165"/>
      <c r="AP6337" s="165"/>
      <c r="AQ6337" s="165"/>
      <c r="AR6337" s="165"/>
      <c r="AS6337" s="165"/>
      <c r="AT6337" s="165"/>
      <c r="AU6337" s="165"/>
      <c r="AV6337" s="165"/>
      <c r="AW6337" s="165"/>
      <c r="AX6337" s="165"/>
      <c r="AY6337" s="165"/>
      <c r="AZ6337" s="165"/>
      <c r="BA6337" s="165"/>
      <c r="BB6337" s="165"/>
      <c r="BC6337" s="165"/>
      <c r="BD6337" s="165"/>
      <c r="BE6337" s="165"/>
      <c r="BF6337" s="165"/>
      <c r="BG6337" s="165"/>
      <c r="BH6337" s="165"/>
      <c r="BI6337" s="165"/>
      <c r="BJ6337" s="165"/>
      <c r="BK6337" s="165"/>
      <c r="BL6337" s="165"/>
      <c r="BM6337" s="165"/>
      <c r="BN6337" s="165"/>
      <c r="BO6337" s="165"/>
      <c r="BP6337" s="165"/>
      <c r="BQ6337" s="165"/>
      <c r="BR6337" s="165"/>
      <c r="BS6337" s="165"/>
      <c r="BT6337" s="165"/>
      <c r="BU6337" s="165"/>
      <c r="BV6337" s="165"/>
      <c r="BW6337" s="165"/>
      <c r="BX6337" s="165"/>
      <c r="BY6337" s="165"/>
      <c r="BZ6337" s="165"/>
      <c r="CA6337" s="165"/>
      <c r="CB6337" s="165"/>
      <c r="CC6337" s="165"/>
      <c r="CD6337" s="165"/>
      <c r="CE6337" s="165"/>
      <c r="CF6337" s="165"/>
      <c r="CG6337" s="165"/>
      <c r="CH6337" s="165"/>
      <c r="CI6337" s="165"/>
      <c r="CJ6337" s="165"/>
      <c r="CK6337" s="165"/>
      <c r="CL6337" s="165"/>
      <c r="CM6337" s="165"/>
      <c r="CN6337" s="165"/>
      <c r="CO6337" s="165"/>
      <c r="CP6337" s="165"/>
      <c r="CQ6337" s="165"/>
      <c r="CR6337" s="165"/>
      <c r="CS6337" s="165"/>
      <c r="CT6337" s="165"/>
      <c r="CU6337" s="165"/>
      <c r="CV6337" s="165"/>
      <c r="CW6337" s="165"/>
      <c r="CX6337" s="165"/>
      <c r="CY6337" s="165"/>
      <c r="CZ6337" s="165"/>
      <c r="DA6337" s="165"/>
      <c r="DB6337" s="165"/>
      <c r="DC6337" s="165"/>
      <c r="DD6337" s="165"/>
      <c r="DE6337" s="165"/>
      <c r="DF6337" s="165"/>
      <c r="DG6337" s="165"/>
      <c r="DH6337" s="165"/>
      <c r="DI6337" s="165"/>
      <c r="DJ6337" s="165"/>
      <c r="DK6337" s="165"/>
      <c r="DL6337" s="165"/>
      <c r="DM6337" s="165"/>
      <c r="DN6337" s="165"/>
      <c r="DO6337" s="165"/>
      <c r="DP6337" s="165"/>
      <c r="DQ6337" s="165"/>
      <c r="DR6337" s="165"/>
      <c r="DS6337" s="165"/>
      <c r="DT6337" s="165"/>
      <c r="DU6337" s="165"/>
      <c r="DV6337" s="165"/>
      <c r="DW6337" s="165"/>
      <c r="DX6337" s="165"/>
      <c r="DY6337" s="165"/>
      <c r="DZ6337" s="165"/>
      <c r="EA6337" s="165"/>
      <c r="EB6337" s="165"/>
      <c r="EC6337" s="165"/>
      <c r="ED6337" s="165"/>
      <c r="EE6337" s="165"/>
      <c r="EF6337" s="165"/>
      <c r="EG6337" s="165"/>
      <c r="EH6337" s="165"/>
      <c r="EI6337" s="165"/>
      <c r="EJ6337" s="165"/>
      <c r="EK6337" s="165"/>
      <c r="EL6337" s="165"/>
      <c r="EM6337" s="165"/>
      <c r="EN6337" s="165"/>
      <c r="EO6337" s="165"/>
      <c r="EP6337" s="165"/>
      <c r="EQ6337" s="165"/>
      <c r="ER6337" s="165"/>
      <c r="ES6337" s="165"/>
    </row>
    <row r="6338" spans="1:149" s="451" customFormat="1" ht="15" hidden="1" customHeight="1">
      <c r="A6338" s="468">
        <v>45553</v>
      </c>
      <c r="B6338" s="208" t="s">
        <v>5140</v>
      </c>
      <c r="C6338" s="208" t="s">
        <v>146</v>
      </c>
      <c r="D6338" s="211">
        <v>-62000</v>
      </c>
      <c r="E6338" s="212">
        <v>45536</v>
      </c>
      <c r="F6338" s="208" t="s">
        <v>109</v>
      </c>
      <c r="G6338" s="654" t="s">
        <v>2585</v>
      </c>
      <c r="H6338" s="208" t="s">
        <v>175</v>
      </c>
      <c r="I6338" s="208" t="s">
        <v>173</v>
      </c>
      <c r="J6338" s="209"/>
      <c r="K6338" s="209"/>
      <c r="L6338" s="209"/>
      <c r="M6338" s="209"/>
      <c r="N6338" s="209"/>
      <c r="O6338" s="209"/>
      <c r="P6338" s="209"/>
      <c r="Q6338" s="209"/>
      <c r="R6338" s="209"/>
      <c r="S6338" s="209"/>
      <c r="T6338" s="209"/>
      <c r="U6338" s="165"/>
      <c r="V6338" s="165"/>
      <c r="W6338" s="165"/>
      <c r="X6338" s="165"/>
      <c r="Y6338" s="165"/>
      <c r="Z6338" s="165"/>
      <c r="AA6338" s="165"/>
      <c r="AB6338" s="165"/>
      <c r="AC6338" s="165"/>
      <c r="AD6338" s="165"/>
      <c r="AE6338" s="165"/>
      <c r="AF6338" s="165"/>
      <c r="AG6338" s="165"/>
      <c r="AH6338" s="165"/>
      <c r="AI6338" s="165"/>
      <c r="AJ6338" s="165"/>
      <c r="AK6338" s="165"/>
      <c r="AL6338" s="165"/>
      <c r="AM6338" s="165"/>
      <c r="AN6338" s="165"/>
      <c r="AO6338" s="165"/>
      <c r="AP6338" s="165"/>
      <c r="AQ6338" s="165"/>
      <c r="AR6338" s="165"/>
      <c r="AS6338" s="165"/>
      <c r="AT6338" s="165"/>
      <c r="AU6338" s="165"/>
      <c r="AV6338" s="165"/>
      <c r="AW6338" s="165"/>
      <c r="AX6338" s="165"/>
      <c r="AY6338" s="165"/>
      <c r="AZ6338" s="165"/>
      <c r="BA6338" s="165"/>
      <c r="BB6338" s="165"/>
      <c r="BC6338" s="165"/>
      <c r="BD6338" s="165"/>
      <c r="BE6338" s="165"/>
      <c r="BF6338" s="165"/>
      <c r="BG6338" s="165"/>
      <c r="BH6338" s="165"/>
      <c r="BI6338" s="165"/>
      <c r="BJ6338" s="165"/>
      <c r="BK6338" s="165"/>
      <c r="BL6338" s="165"/>
      <c r="BM6338" s="165"/>
      <c r="BN6338" s="165"/>
      <c r="BO6338" s="165"/>
      <c r="BP6338" s="165"/>
      <c r="BQ6338" s="165"/>
      <c r="BR6338" s="165"/>
      <c r="BS6338" s="165"/>
      <c r="BT6338" s="165"/>
      <c r="BU6338" s="165"/>
      <c r="BV6338" s="165"/>
      <c r="BW6338" s="165"/>
      <c r="BX6338" s="165"/>
      <c r="BY6338" s="165"/>
      <c r="BZ6338" s="165"/>
      <c r="CA6338" s="165"/>
      <c r="CB6338" s="165"/>
      <c r="CC6338" s="165"/>
      <c r="CD6338" s="165"/>
      <c r="CE6338" s="165"/>
      <c r="CF6338" s="165"/>
      <c r="CG6338" s="165"/>
      <c r="CH6338" s="165"/>
      <c r="CI6338" s="165"/>
      <c r="CJ6338" s="165"/>
      <c r="CK6338" s="165"/>
      <c r="CL6338" s="165"/>
      <c r="CM6338" s="165"/>
      <c r="CN6338" s="165"/>
      <c r="CO6338" s="165"/>
      <c r="CP6338" s="165"/>
      <c r="CQ6338" s="165"/>
      <c r="CR6338" s="165"/>
      <c r="CS6338" s="165"/>
      <c r="CT6338" s="165"/>
      <c r="CU6338" s="165"/>
      <c r="CV6338" s="165"/>
      <c r="CW6338" s="165"/>
      <c r="CX6338" s="165"/>
      <c r="CY6338" s="165"/>
      <c r="CZ6338" s="165"/>
      <c r="DA6338" s="165"/>
      <c r="DB6338" s="165"/>
      <c r="DC6338" s="165"/>
      <c r="DD6338" s="165"/>
      <c r="DE6338" s="165"/>
      <c r="DF6338" s="165"/>
      <c r="DG6338" s="165"/>
      <c r="DH6338" s="165"/>
      <c r="DI6338" s="165"/>
      <c r="DJ6338" s="165"/>
      <c r="DK6338" s="165"/>
      <c r="DL6338" s="165"/>
      <c r="DM6338" s="165"/>
      <c r="DN6338" s="165"/>
      <c r="DO6338" s="165"/>
      <c r="DP6338" s="165"/>
      <c r="DQ6338" s="165"/>
      <c r="DR6338" s="165"/>
      <c r="DS6338" s="165"/>
      <c r="DT6338" s="165"/>
      <c r="DU6338" s="165"/>
      <c r="DV6338" s="165"/>
      <c r="DW6338" s="165"/>
      <c r="DX6338" s="165"/>
      <c r="DY6338" s="165"/>
      <c r="DZ6338" s="165"/>
      <c r="EA6338" s="165"/>
      <c r="EB6338" s="165"/>
      <c r="EC6338" s="165"/>
      <c r="ED6338" s="165"/>
      <c r="EE6338" s="165"/>
      <c r="EF6338" s="165"/>
      <c r="EG6338" s="165"/>
      <c r="EH6338" s="165"/>
      <c r="EI6338" s="165"/>
      <c r="EJ6338" s="165"/>
      <c r="EK6338" s="165"/>
      <c r="EL6338" s="165"/>
      <c r="EM6338" s="165"/>
      <c r="EN6338" s="165"/>
      <c r="EO6338" s="165"/>
      <c r="EP6338" s="165"/>
      <c r="EQ6338" s="165"/>
      <c r="ER6338" s="165"/>
      <c r="ES6338" s="165"/>
    </row>
    <row r="6339" spans="1:149" s="451" customFormat="1" ht="15" hidden="1" customHeight="1">
      <c r="A6339" s="468">
        <v>45553</v>
      </c>
      <c r="B6339" s="208" t="s">
        <v>5141</v>
      </c>
      <c r="C6339" s="208" t="s">
        <v>146</v>
      </c>
      <c r="D6339" s="211">
        <v>-1000</v>
      </c>
      <c r="E6339" s="212">
        <v>45536</v>
      </c>
      <c r="F6339" s="208" t="s">
        <v>109</v>
      </c>
      <c r="G6339" s="654" t="s">
        <v>2585</v>
      </c>
      <c r="H6339" s="208" t="s">
        <v>175</v>
      </c>
      <c r="I6339" s="208" t="s">
        <v>173</v>
      </c>
      <c r="J6339" s="209"/>
      <c r="K6339" s="209"/>
      <c r="L6339" s="209"/>
      <c r="M6339" s="209"/>
      <c r="N6339" s="209"/>
      <c r="O6339" s="209"/>
      <c r="P6339" s="209"/>
      <c r="Q6339" s="209"/>
      <c r="R6339" s="209"/>
      <c r="S6339" s="209"/>
      <c r="T6339" s="209"/>
      <c r="U6339" s="165"/>
      <c r="V6339" s="165"/>
      <c r="W6339" s="165"/>
      <c r="X6339" s="165"/>
      <c r="Y6339" s="165"/>
      <c r="Z6339" s="165"/>
      <c r="AA6339" s="165"/>
      <c r="AB6339" s="165"/>
      <c r="AC6339" s="165"/>
      <c r="AD6339" s="165"/>
      <c r="AE6339" s="165"/>
      <c r="AF6339" s="165"/>
      <c r="AG6339" s="165"/>
      <c r="AH6339" s="165"/>
      <c r="AI6339" s="165"/>
      <c r="AJ6339" s="165"/>
      <c r="AK6339" s="165"/>
      <c r="AL6339" s="165"/>
      <c r="AM6339" s="165"/>
      <c r="AN6339" s="165"/>
      <c r="AO6339" s="165"/>
      <c r="AP6339" s="165"/>
      <c r="AQ6339" s="165"/>
      <c r="AR6339" s="165"/>
      <c r="AS6339" s="165"/>
      <c r="AT6339" s="165"/>
      <c r="AU6339" s="165"/>
      <c r="AV6339" s="165"/>
      <c r="AW6339" s="165"/>
      <c r="AX6339" s="165"/>
      <c r="AY6339" s="165"/>
      <c r="AZ6339" s="165"/>
      <c r="BA6339" s="165"/>
      <c r="BB6339" s="165"/>
      <c r="BC6339" s="165"/>
      <c r="BD6339" s="165"/>
      <c r="BE6339" s="165"/>
      <c r="BF6339" s="165"/>
      <c r="BG6339" s="165"/>
      <c r="BH6339" s="165"/>
      <c r="BI6339" s="165"/>
      <c r="BJ6339" s="165"/>
      <c r="BK6339" s="165"/>
      <c r="BL6339" s="165"/>
      <c r="BM6339" s="165"/>
      <c r="BN6339" s="165"/>
      <c r="BO6339" s="165"/>
      <c r="BP6339" s="165"/>
      <c r="BQ6339" s="165"/>
      <c r="BR6339" s="165"/>
      <c r="BS6339" s="165"/>
      <c r="BT6339" s="165"/>
      <c r="BU6339" s="165"/>
      <c r="BV6339" s="165"/>
      <c r="BW6339" s="165"/>
      <c r="BX6339" s="165"/>
      <c r="BY6339" s="165"/>
      <c r="BZ6339" s="165"/>
      <c r="CA6339" s="165"/>
      <c r="CB6339" s="165"/>
      <c r="CC6339" s="165"/>
      <c r="CD6339" s="165"/>
      <c r="CE6339" s="165"/>
      <c r="CF6339" s="165"/>
      <c r="CG6339" s="165"/>
      <c r="CH6339" s="165"/>
      <c r="CI6339" s="165"/>
      <c r="CJ6339" s="165"/>
      <c r="CK6339" s="165"/>
      <c r="CL6339" s="165"/>
      <c r="CM6339" s="165"/>
      <c r="CN6339" s="165"/>
      <c r="CO6339" s="165"/>
      <c r="CP6339" s="165"/>
      <c r="CQ6339" s="165"/>
      <c r="CR6339" s="165"/>
      <c r="CS6339" s="165"/>
      <c r="CT6339" s="165"/>
      <c r="CU6339" s="165"/>
      <c r="CV6339" s="165"/>
      <c r="CW6339" s="165"/>
      <c r="CX6339" s="165"/>
      <c r="CY6339" s="165"/>
      <c r="CZ6339" s="165"/>
      <c r="DA6339" s="165"/>
      <c r="DB6339" s="165"/>
      <c r="DC6339" s="165"/>
      <c r="DD6339" s="165"/>
      <c r="DE6339" s="165"/>
      <c r="DF6339" s="165"/>
      <c r="DG6339" s="165"/>
      <c r="DH6339" s="165"/>
      <c r="DI6339" s="165"/>
      <c r="DJ6339" s="165"/>
      <c r="DK6339" s="165"/>
      <c r="DL6339" s="165"/>
      <c r="DM6339" s="165"/>
      <c r="DN6339" s="165"/>
      <c r="DO6339" s="165"/>
      <c r="DP6339" s="165"/>
      <c r="DQ6339" s="165"/>
      <c r="DR6339" s="165"/>
      <c r="DS6339" s="165"/>
      <c r="DT6339" s="165"/>
      <c r="DU6339" s="165"/>
      <c r="DV6339" s="165"/>
      <c r="DW6339" s="165"/>
      <c r="DX6339" s="165"/>
      <c r="DY6339" s="165"/>
      <c r="DZ6339" s="165"/>
      <c r="EA6339" s="165"/>
      <c r="EB6339" s="165"/>
      <c r="EC6339" s="165"/>
      <c r="ED6339" s="165"/>
      <c r="EE6339" s="165"/>
      <c r="EF6339" s="165"/>
      <c r="EG6339" s="165"/>
      <c r="EH6339" s="165"/>
      <c r="EI6339" s="165"/>
      <c r="EJ6339" s="165"/>
      <c r="EK6339" s="165"/>
      <c r="EL6339" s="165"/>
      <c r="EM6339" s="165"/>
      <c r="EN6339" s="165"/>
      <c r="EO6339" s="165"/>
      <c r="EP6339" s="165"/>
      <c r="EQ6339" s="165"/>
      <c r="ER6339" s="165"/>
      <c r="ES6339" s="165"/>
    </row>
    <row r="6340" spans="1:149" s="451" customFormat="1" ht="15" hidden="1" customHeight="1">
      <c r="A6340" s="468">
        <v>45553</v>
      </c>
      <c r="B6340" s="208" t="s">
        <v>5142</v>
      </c>
      <c r="C6340" s="208" t="s">
        <v>146</v>
      </c>
      <c r="D6340" s="211">
        <v>-9500</v>
      </c>
      <c r="E6340" s="212">
        <v>45536</v>
      </c>
      <c r="F6340" s="208" t="s">
        <v>109</v>
      </c>
      <c r="G6340" s="654" t="s">
        <v>2585</v>
      </c>
      <c r="H6340" s="208" t="s">
        <v>175</v>
      </c>
      <c r="I6340" s="208" t="s">
        <v>173</v>
      </c>
      <c r="J6340" s="209"/>
      <c r="K6340" s="209"/>
      <c r="L6340" s="209"/>
      <c r="M6340" s="209"/>
      <c r="N6340" s="209"/>
      <c r="O6340" s="209"/>
      <c r="P6340" s="209"/>
      <c r="Q6340" s="209"/>
      <c r="R6340" s="209"/>
      <c r="S6340" s="209"/>
      <c r="T6340" s="209"/>
      <c r="U6340" s="165"/>
      <c r="V6340" s="165"/>
      <c r="W6340" s="165"/>
      <c r="X6340" s="165"/>
      <c r="Y6340" s="165"/>
      <c r="Z6340" s="165"/>
      <c r="AA6340" s="165"/>
      <c r="AB6340" s="165"/>
      <c r="AC6340" s="165"/>
      <c r="AD6340" s="165"/>
      <c r="AE6340" s="165"/>
      <c r="AF6340" s="165"/>
      <c r="AG6340" s="165"/>
      <c r="AH6340" s="165"/>
      <c r="AI6340" s="165"/>
      <c r="AJ6340" s="165"/>
      <c r="AK6340" s="165"/>
      <c r="AL6340" s="165"/>
      <c r="AM6340" s="165"/>
      <c r="AN6340" s="165"/>
      <c r="AO6340" s="165"/>
      <c r="AP6340" s="165"/>
      <c r="AQ6340" s="165"/>
      <c r="AR6340" s="165"/>
      <c r="AS6340" s="165"/>
      <c r="AT6340" s="165"/>
      <c r="AU6340" s="165"/>
      <c r="AV6340" s="165"/>
      <c r="AW6340" s="165"/>
      <c r="AX6340" s="165"/>
      <c r="AY6340" s="165"/>
      <c r="AZ6340" s="165"/>
      <c r="BA6340" s="165"/>
      <c r="BB6340" s="165"/>
      <c r="BC6340" s="165"/>
      <c r="BD6340" s="165"/>
      <c r="BE6340" s="165"/>
      <c r="BF6340" s="165"/>
      <c r="BG6340" s="165"/>
      <c r="BH6340" s="165"/>
      <c r="BI6340" s="165"/>
      <c r="BJ6340" s="165"/>
      <c r="BK6340" s="165"/>
      <c r="BL6340" s="165"/>
      <c r="BM6340" s="165"/>
      <c r="BN6340" s="165"/>
      <c r="BO6340" s="165"/>
      <c r="BP6340" s="165"/>
      <c r="BQ6340" s="165"/>
      <c r="BR6340" s="165"/>
      <c r="BS6340" s="165"/>
      <c r="BT6340" s="165"/>
      <c r="BU6340" s="165"/>
      <c r="BV6340" s="165"/>
      <c r="BW6340" s="165"/>
      <c r="BX6340" s="165"/>
      <c r="BY6340" s="165"/>
      <c r="BZ6340" s="165"/>
      <c r="CA6340" s="165"/>
      <c r="CB6340" s="165"/>
      <c r="CC6340" s="165"/>
      <c r="CD6340" s="165"/>
      <c r="CE6340" s="165"/>
      <c r="CF6340" s="165"/>
      <c r="CG6340" s="165"/>
      <c r="CH6340" s="165"/>
      <c r="CI6340" s="165"/>
      <c r="CJ6340" s="165"/>
      <c r="CK6340" s="165"/>
      <c r="CL6340" s="165"/>
      <c r="CM6340" s="165"/>
      <c r="CN6340" s="165"/>
      <c r="CO6340" s="165"/>
      <c r="CP6340" s="165"/>
      <c r="CQ6340" s="165"/>
      <c r="CR6340" s="165"/>
      <c r="CS6340" s="165"/>
      <c r="CT6340" s="165"/>
      <c r="CU6340" s="165"/>
      <c r="CV6340" s="165"/>
      <c r="CW6340" s="165"/>
      <c r="CX6340" s="165"/>
      <c r="CY6340" s="165"/>
      <c r="CZ6340" s="165"/>
      <c r="DA6340" s="165"/>
      <c r="DB6340" s="165"/>
      <c r="DC6340" s="165"/>
      <c r="DD6340" s="165"/>
      <c r="DE6340" s="165"/>
      <c r="DF6340" s="165"/>
      <c r="DG6340" s="165"/>
      <c r="DH6340" s="165"/>
      <c r="DI6340" s="165"/>
      <c r="DJ6340" s="165"/>
      <c r="DK6340" s="165"/>
      <c r="DL6340" s="165"/>
      <c r="DM6340" s="165"/>
      <c r="DN6340" s="165"/>
      <c r="DO6340" s="165"/>
      <c r="DP6340" s="165"/>
      <c r="DQ6340" s="165"/>
      <c r="DR6340" s="165"/>
      <c r="DS6340" s="165"/>
      <c r="DT6340" s="165"/>
      <c r="DU6340" s="165"/>
      <c r="DV6340" s="165"/>
      <c r="DW6340" s="165"/>
      <c r="DX6340" s="165"/>
      <c r="DY6340" s="165"/>
      <c r="DZ6340" s="165"/>
      <c r="EA6340" s="165"/>
      <c r="EB6340" s="165"/>
      <c r="EC6340" s="165"/>
      <c r="ED6340" s="165"/>
      <c r="EE6340" s="165"/>
      <c r="EF6340" s="165"/>
      <c r="EG6340" s="165"/>
      <c r="EH6340" s="165"/>
      <c r="EI6340" s="165"/>
      <c r="EJ6340" s="165"/>
      <c r="EK6340" s="165"/>
      <c r="EL6340" s="165"/>
      <c r="EM6340" s="165"/>
      <c r="EN6340" s="165"/>
      <c r="EO6340" s="165"/>
      <c r="EP6340" s="165"/>
      <c r="EQ6340" s="165"/>
      <c r="ER6340" s="165"/>
      <c r="ES6340" s="165"/>
    </row>
    <row r="6341" spans="1:149" s="451" customFormat="1" ht="15" hidden="1" customHeight="1">
      <c r="A6341" s="468">
        <v>45553</v>
      </c>
      <c r="B6341" s="208" t="s">
        <v>5143</v>
      </c>
      <c r="C6341" s="208" t="s">
        <v>146</v>
      </c>
      <c r="D6341" s="211">
        <v>-14000</v>
      </c>
      <c r="E6341" s="212">
        <v>45536</v>
      </c>
      <c r="F6341" s="208" t="s">
        <v>110</v>
      </c>
      <c r="G6341" s="201" t="s">
        <v>1489</v>
      </c>
      <c r="H6341" s="208" t="s">
        <v>2941</v>
      </c>
      <c r="I6341" s="208" t="s">
        <v>173</v>
      </c>
      <c r="J6341" s="209"/>
      <c r="K6341" s="209"/>
      <c r="L6341" s="209"/>
      <c r="M6341" s="209"/>
      <c r="N6341" s="209"/>
      <c r="O6341" s="209"/>
      <c r="P6341" s="209"/>
      <c r="Q6341" s="209"/>
      <c r="R6341" s="209"/>
      <c r="S6341" s="209"/>
      <c r="T6341" s="209"/>
      <c r="U6341" s="165"/>
      <c r="V6341" s="165"/>
      <c r="W6341" s="165"/>
      <c r="X6341" s="165"/>
      <c r="Y6341" s="165"/>
      <c r="Z6341" s="165"/>
      <c r="AA6341" s="165"/>
      <c r="AB6341" s="165"/>
      <c r="AC6341" s="165"/>
      <c r="AD6341" s="165"/>
      <c r="AE6341" s="165"/>
      <c r="AF6341" s="165"/>
      <c r="AG6341" s="165"/>
      <c r="AH6341" s="165"/>
      <c r="AI6341" s="165"/>
      <c r="AJ6341" s="165"/>
      <c r="AK6341" s="165"/>
      <c r="AL6341" s="165"/>
      <c r="AM6341" s="165"/>
      <c r="AN6341" s="165"/>
      <c r="AO6341" s="165"/>
      <c r="AP6341" s="165"/>
      <c r="AQ6341" s="165"/>
      <c r="AR6341" s="165"/>
      <c r="AS6341" s="165"/>
      <c r="AT6341" s="165"/>
      <c r="AU6341" s="165"/>
      <c r="AV6341" s="165"/>
      <c r="AW6341" s="165"/>
      <c r="AX6341" s="165"/>
      <c r="AY6341" s="165"/>
      <c r="AZ6341" s="165"/>
      <c r="BA6341" s="165"/>
      <c r="BB6341" s="165"/>
      <c r="BC6341" s="165"/>
      <c r="BD6341" s="165"/>
      <c r="BE6341" s="165"/>
      <c r="BF6341" s="165"/>
      <c r="BG6341" s="165"/>
      <c r="BH6341" s="165"/>
      <c r="BI6341" s="165"/>
      <c r="BJ6341" s="165"/>
      <c r="BK6341" s="165"/>
      <c r="BL6341" s="165"/>
      <c r="BM6341" s="165"/>
      <c r="BN6341" s="165"/>
      <c r="BO6341" s="165"/>
      <c r="BP6341" s="165"/>
      <c r="BQ6341" s="165"/>
      <c r="BR6341" s="165"/>
      <c r="BS6341" s="165"/>
      <c r="BT6341" s="165"/>
      <c r="BU6341" s="165"/>
      <c r="BV6341" s="165"/>
      <c r="BW6341" s="165"/>
      <c r="BX6341" s="165"/>
      <c r="BY6341" s="165"/>
      <c r="BZ6341" s="165"/>
      <c r="CA6341" s="165"/>
      <c r="CB6341" s="165"/>
      <c r="CC6341" s="165"/>
      <c r="CD6341" s="165"/>
      <c r="CE6341" s="165"/>
      <c r="CF6341" s="165"/>
      <c r="CG6341" s="165"/>
      <c r="CH6341" s="165"/>
      <c r="CI6341" s="165"/>
      <c r="CJ6341" s="165"/>
      <c r="CK6341" s="165"/>
      <c r="CL6341" s="165"/>
      <c r="CM6341" s="165"/>
      <c r="CN6341" s="165"/>
      <c r="CO6341" s="165"/>
      <c r="CP6341" s="165"/>
      <c r="CQ6341" s="165"/>
      <c r="CR6341" s="165"/>
      <c r="CS6341" s="165"/>
      <c r="CT6341" s="165"/>
      <c r="CU6341" s="165"/>
      <c r="CV6341" s="165"/>
      <c r="CW6341" s="165"/>
      <c r="CX6341" s="165"/>
      <c r="CY6341" s="165"/>
      <c r="CZ6341" s="165"/>
      <c r="DA6341" s="165"/>
      <c r="DB6341" s="165"/>
      <c r="DC6341" s="165"/>
      <c r="DD6341" s="165"/>
      <c r="DE6341" s="165"/>
      <c r="DF6341" s="165"/>
      <c r="DG6341" s="165"/>
      <c r="DH6341" s="165"/>
      <c r="DI6341" s="165"/>
      <c r="DJ6341" s="165"/>
      <c r="DK6341" s="165"/>
      <c r="DL6341" s="165"/>
      <c r="DM6341" s="165"/>
      <c r="DN6341" s="165"/>
      <c r="DO6341" s="165"/>
      <c r="DP6341" s="165"/>
      <c r="DQ6341" s="165"/>
      <c r="DR6341" s="165"/>
      <c r="DS6341" s="165"/>
      <c r="DT6341" s="165"/>
      <c r="DU6341" s="165"/>
      <c r="DV6341" s="165"/>
      <c r="DW6341" s="165"/>
      <c r="DX6341" s="165"/>
      <c r="DY6341" s="165"/>
      <c r="DZ6341" s="165"/>
      <c r="EA6341" s="165"/>
      <c r="EB6341" s="165"/>
      <c r="EC6341" s="165"/>
      <c r="ED6341" s="165"/>
      <c r="EE6341" s="165"/>
      <c r="EF6341" s="165"/>
      <c r="EG6341" s="165"/>
      <c r="EH6341" s="165"/>
      <c r="EI6341" s="165"/>
      <c r="EJ6341" s="165"/>
      <c r="EK6341" s="165"/>
      <c r="EL6341" s="165"/>
      <c r="EM6341" s="165"/>
      <c r="EN6341" s="165"/>
      <c r="EO6341" s="165"/>
      <c r="EP6341" s="165"/>
      <c r="EQ6341" s="165"/>
      <c r="ER6341" s="165"/>
      <c r="ES6341" s="165"/>
    </row>
    <row r="6342" spans="1:149" s="451" customFormat="1" ht="15" hidden="1" customHeight="1">
      <c r="A6342" s="468">
        <v>45553</v>
      </c>
      <c r="B6342" s="208" t="s">
        <v>5144</v>
      </c>
      <c r="C6342" s="208" t="s">
        <v>146</v>
      </c>
      <c r="D6342" s="211">
        <v>-15600</v>
      </c>
      <c r="E6342" s="212">
        <v>45536</v>
      </c>
      <c r="F6342" s="208" t="s">
        <v>110</v>
      </c>
      <c r="G6342" s="208" t="s">
        <v>4294</v>
      </c>
      <c r="H6342" s="208" t="s">
        <v>175</v>
      </c>
      <c r="I6342" s="208" t="s">
        <v>173</v>
      </c>
      <c r="J6342" s="209"/>
      <c r="K6342" s="209"/>
      <c r="L6342" s="209"/>
      <c r="M6342" s="209"/>
      <c r="N6342" s="209"/>
      <c r="O6342" s="209"/>
      <c r="P6342" s="209"/>
      <c r="Q6342" s="209"/>
      <c r="R6342" s="209"/>
      <c r="S6342" s="209"/>
      <c r="T6342" s="209"/>
      <c r="U6342" s="165"/>
      <c r="V6342" s="165"/>
      <c r="W6342" s="165"/>
      <c r="X6342" s="165"/>
      <c r="Y6342" s="165"/>
      <c r="Z6342" s="165"/>
      <c r="AA6342" s="165"/>
      <c r="AB6342" s="165"/>
      <c r="AC6342" s="165"/>
      <c r="AD6342" s="165"/>
      <c r="AE6342" s="165"/>
      <c r="AF6342" s="165"/>
      <c r="AG6342" s="165"/>
      <c r="AH6342" s="165"/>
      <c r="AI6342" s="165"/>
      <c r="AJ6342" s="165"/>
      <c r="AK6342" s="165"/>
      <c r="AL6342" s="165"/>
      <c r="AM6342" s="165"/>
      <c r="AN6342" s="165"/>
      <c r="AO6342" s="165"/>
      <c r="AP6342" s="165"/>
      <c r="AQ6342" s="165"/>
      <c r="AR6342" s="165"/>
      <c r="AS6342" s="165"/>
      <c r="AT6342" s="165"/>
      <c r="AU6342" s="165"/>
      <c r="AV6342" s="165"/>
      <c r="AW6342" s="165"/>
      <c r="AX6342" s="165"/>
      <c r="AY6342" s="165"/>
      <c r="AZ6342" s="165"/>
      <c r="BA6342" s="165"/>
      <c r="BB6342" s="165"/>
      <c r="BC6342" s="165"/>
      <c r="BD6342" s="165"/>
      <c r="BE6342" s="165"/>
      <c r="BF6342" s="165"/>
      <c r="BG6342" s="165"/>
      <c r="BH6342" s="165"/>
      <c r="BI6342" s="165"/>
      <c r="BJ6342" s="165"/>
      <c r="BK6342" s="165"/>
      <c r="BL6342" s="165"/>
      <c r="BM6342" s="165"/>
      <c r="BN6342" s="165"/>
      <c r="BO6342" s="165"/>
      <c r="BP6342" s="165"/>
      <c r="BQ6342" s="165"/>
      <c r="BR6342" s="165"/>
      <c r="BS6342" s="165"/>
      <c r="BT6342" s="165"/>
      <c r="BU6342" s="165"/>
      <c r="BV6342" s="165"/>
      <c r="BW6342" s="165"/>
      <c r="BX6342" s="165"/>
      <c r="BY6342" s="165"/>
      <c r="BZ6342" s="165"/>
      <c r="CA6342" s="165"/>
      <c r="CB6342" s="165"/>
      <c r="CC6342" s="165"/>
      <c r="CD6342" s="165"/>
      <c r="CE6342" s="165"/>
      <c r="CF6342" s="165"/>
      <c r="CG6342" s="165"/>
      <c r="CH6342" s="165"/>
      <c r="CI6342" s="165"/>
      <c r="CJ6342" s="165"/>
      <c r="CK6342" s="165"/>
      <c r="CL6342" s="165"/>
      <c r="CM6342" s="165"/>
      <c r="CN6342" s="165"/>
      <c r="CO6342" s="165"/>
      <c r="CP6342" s="165"/>
      <c r="CQ6342" s="165"/>
      <c r="CR6342" s="165"/>
      <c r="CS6342" s="165"/>
      <c r="CT6342" s="165"/>
      <c r="CU6342" s="165"/>
      <c r="CV6342" s="165"/>
      <c r="CW6342" s="165"/>
      <c r="CX6342" s="165"/>
      <c r="CY6342" s="165"/>
      <c r="CZ6342" s="165"/>
      <c r="DA6342" s="165"/>
      <c r="DB6342" s="165"/>
      <c r="DC6342" s="165"/>
      <c r="DD6342" s="165"/>
      <c r="DE6342" s="165"/>
      <c r="DF6342" s="165"/>
      <c r="DG6342" s="165"/>
      <c r="DH6342" s="165"/>
      <c r="DI6342" s="165"/>
      <c r="DJ6342" s="165"/>
      <c r="DK6342" s="165"/>
      <c r="DL6342" s="165"/>
      <c r="DM6342" s="165"/>
      <c r="DN6342" s="165"/>
      <c r="DO6342" s="165"/>
      <c r="DP6342" s="165"/>
      <c r="DQ6342" s="165"/>
      <c r="DR6342" s="165"/>
      <c r="DS6342" s="165"/>
      <c r="DT6342" s="165"/>
      <c r="DU6342" s="165"/>
      <c r="DV6342" s="165"/>
      <c r="DW6342" s="165"/>
      <c r="DX6342" s="165"/>
      <c r="DY6342" s="165"/>
      <c r="DZ6342" s="165"/>
      <c r="EA6342" s="165"/>
      <c r="EB6342" s="165"/>
      <c r="EC6342" s="165"/>
      <c r="ED6342" s="165"/>
      <c r="EE6342" s="165"/>
      <c r="EF6342" s="165"/>
      <c r="EG6342" s="165"/>
      <c r="EH6342" s="165"/>
      <c r="EI6342" s="165"/>
      <c r="EJ6342" s="165"/>
      <c r="EK6342" s="165"/>
      <c r="EL6342" s="165"/>
      <c r="EM6342" s="165"/>
      <c r="EN6342" s="165"/>
      <c r="EO6342" s="165"/>
      <c r="EP6342" s="165"/>
      <c r="EQ6342" s="165"/>
      <c r="ER6342" s="165"/>
      <c r="ES6342" s="165"/>
    </row>
    <row r="6343" spans="1:149" s="451" customFormat="1" ht="15" hidden="1" customHeight="1">
      <c r="A6343" s="468">
        <v>45553</v>
      </c>
      <c r="B6343" s="208" t="s">
        <v>5143</v>
      </c>
      <c r="C6343" s="208" t="s">
        <v>146</v>
      </c>
      <c r="D6343" s="211">
        <v>-14000</v>
      </c>
      <c r="E6343" s="212">
        <v>45536</v>
      </c>
      <c r="F6343" s="208" t="s">
        <v>130</v>
      </c>
      <c r="G6343" s="208" t="s">
        <v>130</v>
      </c>
      <c r="H6343" s="208" t="s">
        <v>175</v>
      </c>
      <c r="I6343" s="208" t="s">
        <v>173</v>
      </c>
      <c r="J6343" s="209"/>
      <c r="K6343" s="209"/>
      <c r="L6343" s="209"/>
      <c r="M6343" s="209"/>
      <c r="N6343" s="209"/>
      <c r="O6343" s="209"/>
      <c r="P6343" s="209"/>
      <c r="Q6343" s="209"/>
      <c r="R6343" s="209"/>
      <c r="S6343" s="209"/>
      <c r="T6343" s="209"/>
      <c r="U6343" s="165"/>
      <c r="V6343" s="165"/>
      <c r="W6343" s="165"/>
      <c r="X6343" s="165"/>
      <c r="Y6343" s="165"/>
      <c r="Z6343" s="165"/>
      <c r="AA6343" s="165"/>
      <c r="AB6343" s="165"/>
      <c r="AC6343" s="165"/>
      <c r="AD6343" s="165"/>
      <c r="AE6343" s="165"/>
      <c r="AF6343" s="165"/>
      <c r="AG6343" s="165"/>
      <c r="AH6343" s="165"/>
      <c r="AI6343" s="165"/>
      <c r="AJ6343" s="165"/>
      <c r="AK6343" s="165"/>
      <c r="AL6343" s="165"/>
      <c r="AM6343" s="165"/>
      <c r="AN6343" s="165"/>
      <c r="AO6343" s="165"/>
      <c r="AP6343" s="165"/>
      <c r="AQ6343" s="165"/>
      <c r="AR6343" s="165"/>
      <c r="AS6343" s="165"/>
      <c r="AT6343" s="165"/>
      <c r="AU6343" s="165"/>
      <c r="AV6343" s="165"/>
      <c r="AW6343" s="165"/>
      <c r="AX6343" s="165"/>
      <c r="AY6343" s="165"/>
      <c r="AZ6343" s="165"/>
      <c r="BA6343" s="165"/>
      <c r="BB6343" s="165"/>
      <c r="BC6343" s="165"/>
      <c r="BD6343" s="165"/>
      <c r="BE6343" s="165"/>
      <c r="BF6343" s="165"/>
      <c r="BG6343" s="165"/>
      <c r="BH6343" s="165"/>
      <c r="BI6343" s="165"/>
      <c r="BJ6343" s="165"/>
      <c r="BK6343" s="165"/>
      <c r="BL6343" s="165"/>
      <c r="BM6343" s="165"/>
      <c r="BN6343" s="165"/>
      <c r="BO6343" s="165"/>
      <c r="BP6343" s="165"/>
      <c r="BQ6343" s="165"/>
      <c r="BR6343" s="165"/>
      <c r="BS6343" s="165"/>
      <c r="BT6343" s="165"/>
      <c r="BU6343" s="165"/>
      <c r="BV6343" s="165"/>
      <c r="BW6343" s="165"/>
      <c r="BX6343" s="165"/>
      <c r="BY6343" s="165"/>
      <c r="BZ6343" s="165"/>
      <c r="CA6343" s="165"/>
      <c r="CB6343" s="165"/>
      <c r="CC6343" s="165"/>
      <c r="CD6343" s="165"/>
      <c r="CE6343" s="165"/>
      <c r="CF6343" s="165"/>
      <c r="CG6343" s="165"/>
      <c r="CH6343" s="165"/>
      <c r="CI6343" s="165"/>
      <c r="CJ6343" s="165"/>
      <c r="CK6343" s="165"/>
      <c r="CL6343" s="165"/>
      <c r="CM6343" s="165"/>
      <c r="CN6343" s="165"/>
      <c r="CO6343" s="165"/>
      <c r="CP6343" s="165"/>
      <c r="CQ6343" s="165"/>
      <c r="CR6343" s="165"/>
      <c r="CS6343" s="165"/>
      <c r="CT6343" s="165"/>
      <c r="CU6343" s="165"/>
      <c r="CV6343" s="165"/>
      <c r="CW6343" s="165"/>
      <c r="CX6343" s="165"/>
      <c r="CY6343" s="165"/>
      <c r="CZ6343" s="165"/>
      <c r="DA6343" s="165"/>
      <c r="DB6343" s="165"/>
      <c r="DC6343" s="165"/>
      <c r="DD6343" s="165"/>
      <c r="DE6343" s="165"/>
      <c r="DF6343" s="165"/>
      <c r="DG6343" s="165"/>
      <c r="DH6343" s="165"/>
      <c r="DI6343" s="165"/>
      <c r="DJ6343" s="165"/>
      <c r="DK6343" s="165"/>
      <c r="DL6343" s="165"/>
      <c r="DM6343" s="165"/>
      <c r="DN6343" s="165"/>
      <c r="DO6343" s="165"/>
      <c r="DP6343" s="165"/>
      <c r="DQ6343" s="165"/>
      <c r="DR6343" s="165"/>
      <c r="DS6343" s="165"/>
      <c r="DT6343" s="165"/>
      <c r="DU6343" s="165"/>
      <c r="DV6343" s="165"/>
      <c r="DW6343" s="165"/>
      <c r="DX6343" s="165"/>
      <c r="DY6343" s="165"/>
      <c r="DZ6343" s="165"/>
      <c r="EA6343" s="165"/>
      <c r="EB6343" s="165"/>
      <c r="EC6343" s="165"/>
      <c r="ED6343" s="165"/>
      <c r="EE6343" s="165"/>
      <c r="EF6343" s="165"/>
      <c r="EG6343" s="165"/>
      <c r="EH6343" s="165"/>
      <c r="EI6343" s="165"/>
      <c r="EJ6343" s="165"/>
      <c r="EK6343" s="165"/>
      <c r="EL6343" s="165"/>
      <c r="EM6343" s="165"/>
      <c r="EN6343" s="165"/>
      <c r="EO6343" s="165"/>
      <c r="EP6343" s="165"/>
      <c r="EQ6343" s="165"/>
      <c r="ER6343" s="165"/>
      <c r="ES6343" s="165"/>
    </row>
    <row r="6344" spans="1:149" s="451" customFormat="1" ht="15" hidden="1" customHeight="1">
      <c r="A6344" s="468">
        <v>45553</v>
      </c>
      <c r="B6344" s="208" t="s">
        <v>5145</v>
      </c>
      <c r="C6344" s="208" t="s">
        <v>146</v>
      </c>
      <c r="D6344" s="211">
        <v>-24000</v>
      </c>
      <c r="E6344" s="212">
        <v>45536</v>
      </c>
      <c r="F6344" s="208" t="s">
        <v>130</v>
      </c>
      <c r="G6344" s="208" t="s">
        <v>130</v>
      </c>
      <c r="H6344" s="208" t="s">
        <v>175</v>
      </c>
      <c r="I6344" s="208" t="s">
        <v>173</v>
      </c>
      <c r="J6344" s="209"/>
      <c r="K6344" s="209"/>
      <c r="L6344" s="209"/>
      <c r="M6344" s="209"/>
      <c r="N6344" s="209"/>
      <c r="O6344" s="209"/>
      <c r="P6344" s="209"/>
      <c r="Q6344" s="209"/>
      <c r="R6344" s="209"/>
      <c r="S6344" s="209"/>
      <c r="T6344" s="209"/>
      <c r="U6344" s="165"/>
      <c r="V6344" s="165"/>
      <c r="W6344" s="165"/>
      <c r="X6344" s="165"/>
      <c r="Y6344" s="165"/>
      <c r="Z6344" s="165"/>
      <c r="AA6344" s="165"/>
      <c r="AB6344" s="165"/>
      <c r="AC6344" s="165"/>
      <c r="AD6344" s="165"/>
      <c r="AE6344" s="165"/>
      <c r="AF6344" s="165"/>
      <c r="AG6344" s="165"/>
      <c r="AH6344" s="165"/>
      <c r="AI6344" s="165"/>
      <c r="AJ6344" s="165"/>
      <c r="AK6344" s="165"/>
      <c r="AL6344" s="165"/>
      <c r="AM6344" s="165"/>
      <c r="AN6344" s="165"/>
      <c r="AO6344" s="165"/>
      <c r="AP6344" s="165"/>
      <c r="AQ6344" s="165"/>
      <c r="AR6344" s="165"/>
      <c r="AS6344" s="165"/>
      <c r="AT6344" s="165"/>
      <c r="AU6344" s="165"/>
      <c r="AV6344" s="165"/>
      <c r="AW6344" s="165"/>
      <c r="AX6344" s="165"/>
      <c r="AY6344" s="165"/>
      <c r="AZ6344" s="165"/>
      <c r="BA6344" s="165"/>
      <c r="BB6344" s="165"/>
      <c r="BC6344" s="165"/>
      <c r="BD6344" s="165"/>
      <c r="BE6344" s="165"/>
      <c r="BF6344" s="165"/>
      <c r="BG6344" s="165"/>
      <c r="BH6344" s="165"/>
      <c r="BI6344" s="165"/>
      <c r="BJ6344" s="165"/>
      <c r="BK6344" s="165"/>
      <c r="BL6344" s="165"/>
      <c r="BM6344" s="165"/>
      <c r="BN6344" s="165"/>
      <c r="BO6344" s="165"/>
      <c r="BP6344" s="165"/>
      <c r="BQ6344" s="165"/>
      <c r="BR6344" s="165"/>
      <c r="BS6344" s="165"/>
      <c r="BT6344" s="165"/>
      <c r="BU6344" s="165"/>
      <c r="BV6344" s="165"/>
      <c r="BW6344" s="165"/>
      <c r="BX6344" s="165"/>
      <c r="BY6344" s="165"/>
      <c r="BZ6344" s="165"/>
      <c r="CA6344" s="165"/>
      <c r="CB6344" s="165"/>
      <c r="CC6344" s="165"/>
      <c r="CD6344" s="165"/>
      <c r="CE6344" s="165"/>
      <c r="CF6344" s="165"/>
      <c r="CG6344" s="165"/>
      <c r="CH6344" s="165"/>
      <c r="CI6344" s="165"/>
      <c r="CJ6344" s="165"/>
      <c r="CK6344" s="165"/>
      <c r="CL6344" s="165"/>
      <c r="CM6344" s="165"/>
      <c r="CN6344" s="165"/>
      <c r="CO6344" s="165"/>
      <c r="CP6344" s="165"/>
      <c r="CQ6344" s="165"/>
      <c r="CR6344" s="165"/>
      <c r="CS6344" s="165"/>
      <c r="CT6344" s="165"/>
      <c r="CU6344" s="165"/>
      <c r="CV6344" s="165"/>
      <c r="CW6344" s="165"/>
      <c r="CX6344" s="165"/>
      <c r="CY6344" s="165"/>
      <c r="CZ6344" s="165"/>
      <c r="DA6344" s="165"/>
      <c r="DB6344" s="165"/>
      <c r="DC6344" s="165"/>
      <c r="DD6344" s="165"/>
      <c r="DE6344" s="165"/>
      <c r="DF6344" s="165"/>
      <c r="DG6344" s="165"/>
      <c r="DH6344" s="165"/>
      <c r="DI6344" s="165"/>
      <c r="DJ6344" s="165"/>
      <c r="DK6344" s="165"/>
      <c r="DL6344" s="165"/>
      <c r="DM6344" s="165"/>
      <c r="DN6344" s="165"/>
      <c r="DO6344" s="165"/>
      <c r="DP6344" s="165"/>
      <c r="DQ6344" s="165"/>
      <c r="DR6344" s="165"/>
      <c r="DS6344" s="165"/>
      <c r="DT6344" s="165"/>
      <c r="DU6344" s="165"/>
      <c r="DV6344" s="165"/>
      <c r="DW6344" s="165"/>
      <c r="DX6344" s="165"/>
      <c r="DY6344" s="165"/>
      <c r="DZ6344" s="165"/>
      <c r="EA6344" s="165"/>
      <c r="EB6344" s="165"/>
      <c r="EC6344" s="165"/>
      <c r="ED6344" s="165"/>
      <c r="EE6344" s="165"/>
      <c r="EF6344" s="165"/>
      <c r="EG6344" s="165"/>
      <c r="EH6344" s="165"/>
      <c r="EI6344" s="165"/>
      <c r="EJ6344" s="165"/>
      <c r="EK6344" s="165"/>
      <c r="EL6344" s="165"/>
      <c r="EM6344" s="165"/>
      <c r="EN6344" s="165"/>
      <c r="EO6344" s="165"/>
      <c r="EP6344" s="165"/>
      <c r="EQ6344" s="165"/>
      <c r="ER6344" s="165"/>
      <c r="ES6344" s="165"/>
    </row>
    <row r="6345" spans="1:149" s="451" customFormat="1" ht="15" hidden="1" customHeight="1">
      <c r="A6345" s="468">
        <v>45554</v>
      </c>
      <c r="B6345" s="208" t="s">
        <v>5146</v>
      </c>
      <c r="C6345" s="208" t="s">
        <v>27</v>
      </c>
      <c r="D6345" s="211">
        <v>-163540</v>
      </c>
      <c r="E6345" s="212">
        <v>45536</v>
      </c>
      <c r="F6345" s="208" t="s">
        <v>130</v>
      </c>
      <c r="G6345" s="208" t="s">
        <v>130</v>
      </c>
      <c r="H6345" s="208" t="s">
        <v>2444</v>
      </c>
      <c r="I6345" s="208"/>
      <c r="J6345" s="209"/>
      <c r="K6345" s="209"/>
      <c r="L6345" s="209"/>
      <c r="M6345" s="209"/>
      <c r="N6345" s="209"/>
      <c r="O6345" s="209"/>
      <c r="P6345" s="209"/>
      <c r="Q6345" s="209"/>
      <c r="R6345" s="209"/>
      <c r="S6345" s="209"/>
      <c r="T6345" s="209"/>
    </row>
    <row r="6346" spans="1:149" s="451" customFormat="1" ht="15" hidden="1" customHeight="1">
      <c r="A6346" s="468">
        <v>45554</v>
      </c>
      <c r="B6346" s="208" t="s">
        <v>5147</v>
      </c>
      <c r="C6346" s="208" t="s">
        <v>27</v>
      </c>
      <c r="D6346" s="211">
        <v>-39075</v>
      </c>
      <c r="E6346" s="212">
        <v>45536</v>
      </c>
      <c r="F6346" s="208" t="s">
        <v>109</v>
      </c>
      <c r="G6346" s="208" t="s">
        <v>3529</v>
      </c>
      <c r="H6346" s="208" t="s">
        <v>175</v>
      </c>
      <c r="I6346" s="208"/>
      <c r="J6346" s="209"/>
      <c r="K6346" s="209"/>
      <c r="L6346" s="209"/>
      <c r="M6346" s="209"/>
      <c r="N6346" s="209"/>
      <c r="O6346" s="209"/>
      <c r="P6346" s="209"/>
      <c r="Q6346" s="209"/>
      <c r="R6346" s="209"/>
      <c r="S6346" s="209"/>
      <c r="T6346" s="209"/>
    </row>
    <row r="6347" spans="1:149" s="451" customFormat="1" ht="15" hidden="1" customHeight="1">
      <c r="A6347" s="468">
        <v>45554</v>
      </c>
      <c r="B6347" s="208" t="s">
        <v>5148</v>
      </c>
      <c r="C6347" s="208" t="s">
        <v>27</v>
      </c>
      <c r="D6347" s="211">
        <v>-1907000</v>
      </c>
      <c r="E6347" s="212">
        <v>45536</v>
      </c>
      <c r="F6347" s="654" t="s">
        <v>207</v>
      </c>
      <c r="G6347" s="208" t="s">
        <v>207</v>
      </c>
      <c r="H6347" s="208"/>
      <c r="I6347" s="208"/>
      <c r="J6347" s="209"/>
      <c r="K6347" s="209"/>
      <c r="L6347" s="209"/>
      <c r="M6347" s="209"/>
      <c r="N6347" s="209"/>
      <c r="O6347" s="209"/>
      <c r="P6347" s="209"/>
      <c r="Q6347" s="209"/>
      <c r="R6347" s="209"/>
      <c r="S6347" s="209"/>
      <c r="T6347" s="209"/>
    </row>
    <row r="6348" spans="1:149" s="451" customFormat="1" ht="15" hidden="1" customHeight="1">
      <c r="A6348" s="468">
        <v>45554</v>
      </c>
      <c r="B6348" s="208" t="s">
        <v>5149</v>
      </c>
      <c r="C6348" s="208" t="s">
        <v>27</v>
      </c>
      <c r="D6348" s="211">
        <v>-416131</v>
      </c>
      <c r="E6348" s="212">
        <v>45536</v>
      </c>
      <c r="F6348" s="208" t="s">
        <v>2531</v>
      </c>
      <c r="G6348" s="201" t="s">
        <v>1489</v>
      </c>
      <c r="H6348" s="208" t="s">
        <v>2941</v>
      </c>
      <c r="I6348" s="208"/>
      <c r="J6348" s="209"/>
      <c r="K6348" s="209"/>
      <c r="L6348" s="209"/>
      <c r="M6348" s="209"/>
      <c r="N6348" s="209"/>
      <c r="O6348" s="209"/>
      <c r="P6348" s="209"/>
      <c r="Q6348" s="209"/>
      <c r="R6348" s="209"/>
      <c r="S6348" s="209"/>
      <c r="T6348" s="209"/>
    </row>
    <row r="6349" spans="1:149" s="451" customFormat="1" ht="15" hidden="1" customHeight="1">
      <c r="A6349" s="468">
        <v>45554</v>
      </c>
      <c r="B6349" s="208" t="s">
        <v>5149</v>
      </c>
      <c r="C6349" s="208" t="s">
        <v>27</v>
      </c>
      <c r="D6349" s="211">
        <v>-241339</v>
      </c>
      <c r="E6349" s="212">
        <v>45536</v>
      </c>
      <c r="F6349" s="208" t="s">
        <v>109</v>
      </c>
      <c r="G6349" s="208" t="s">
        <v>3529</v>
      </c>
      <c r="H6349" s="208" t="s">
        <v>175</v>
      </c>
      <c r="I6349" s="208"/>
      <c r="J6349" s="209"/>
      <c r="K6349" s="209"/>
      <c r="L6349" s="209"/>
      <c r="M6349" s="209"/>
      <c r="N6349" s="209"/>
      <c r="O6349" s="209"/>
      <c r="P6349" s="209"/>
      <c r="Q6349" s="209"/>
      <c r="R6349" s="209"/>
      <c r="S6349" s="209"/>
      <c r="T6349" s="209"/>
    </row>
    <row r="6350" spans="1:149" s="451" customFormat="1" ht="15" hidden="1" customHeight="1">
      <c r="A6350" s="468">
        <v>45554</v>
      </c>
      <c r="B6350" s="208" t="s">
        <v>5150</v>
      </c>
      <c r="C6350" s="208" t="s">
        <v>27</v>
      </c>
      <c r="D6350" s="211">
        <v>-372945</v>
      </c>
      <c r="E6350" s="212">
        <v>45536</v>
      </c>
      <c r="F6350" s="208" t="s">
        <v>130</v>
      </c>
      <c r="G6350" s="208" t="s">
        <v>130</v>
      </c>
      <c r="H6350" s="208" t="s">
        <v>2444</v>
      </c>
      <c r="I6350" s="208"/>
      <c r="J6350" s="209"/>
      <c r="K6350" s="209"/>
      <c r="L6350" s="209"/>
      <c r="M6350" s="209"/>
      <c r="N6350" s="209"/>
      <c r="O6350" s="209"/>
      <c r="P6350" s="209"/>
      <c r="Q6350" s="209"/>
      <c r="R6350" s="209"/>
      <c r="S6350" s="209"/>
      <c r="T6350" s="209"/>
    </row>
    <row r="6351" spans="1:149" s="451" customFormat="1" ht="15" hidden="1" customHeight="1">
      <c r="A6351" s="468">
        <v>45554</v>
      </c>
      <c r="B6351" s="208" t="s">
        <v>5151</v>
      </c>
      <c r="C6351" s="208" t="s">
        <v>27</v>
      </c>
      <c r="D6351" s="211">
        <v>-1782000</v>
      </c>
      <c r="E6351" s="212">
        <v>45536</v>
      </c>
      <c r="F6351" s="208" t="s">
        <v>110</v>
      </c>
      <c r="G6351" s="208" t="s">
        <v>4399</v>
      </c>
      <c r="H6351" s="208" t="s">
        <v>631</v>
      </c>
      <c r="I6351" s="208"/>
      <c r="J6351" s="209"/>
      <c r="K6351" s="209"/>
      <c r="L6351" s="209"/>
      <c r="M6351" s="209"/>
      <c r="N6351" s="209"/>
      <c r="O6351" s="209"/>
      <c r="P6351" s="209"/>
      <c r="Q6351" s="209"/>
      <c r="R6351" s="209"/>
      <c r="S6351" s="209"/>
      <c r="T6351" s="209"/>
    </row>
    <row r="6352" spans="1:149" s="451" customFormat="1" ht="15" hidden="1" customHeight="1">
      <c r="A6352" s="468">
        <v>45554</v>
      </c>
      <c r="B6352" s="208" t="s">
        <v>5152</v>
      </c>
      <c r="C6352" s="208" t="s">
        <v>27</v>
      </c>
      <c r="D6352" s="211">
        <v>-1668542</v>
      </c>
      <c r="E6352" s="212">
        <v>45536</v>
      </c>
      <c r="F6352" s="208" t="s">
        <v>2531</v>
      </c>
      <c r="G6352" s="201" t="s">
        <v>1489</v>
      </c>
      <c r="H6352" s="208" t="s">
        <v>2941</v>
      </c>
      <c r="I6352" s="208"/>
      <c r="J6352" s="209"/>
      <c r="K6352" s="209"/>
      <c r="L6352" s="209"/>
      <c r="M6352" s="209"/>
      <c r="N6352" s="209"/>
      <c r="O6352" s="209"/>
      <c r="P6352" s="209"/>
      <c r="Q6352" s="209"/>
      <c r="R6352" s="209"/>
      <c r="S6352" s="209"/>
      <c r="T6352" s="209"/>
    </row>
    <row r="6353" spans="1:149" s="451" customFormat="1" ht="15" hidden="1" customHeight="1">
      <c r="A6353" s="468">
        <v>45554</v>
      </c>
      <c r="B6353" s="208" t="s">
        <v>5153</v>
      </c>
      <c r="C6353" s="208" t="s">
        <v>4314</v>
      </c>
      <c r="D6353" s="211">
        <v>-1785</v>
      </c>
      <c r="E6353" s="212">
        <v>45536</v>
      </c>
      <c r="F6353" s="208" t="s">
        <v>2531</v>
      </c>
      <c r="G6353" s="201" t="s">
        <v>1489</v>
      </c>
      <c r="H6353" s="208" t="s">
        <v>2941</v>
      </c>
      <c r="I6353" s="208"/>
      <c r="J6353" s="209"/>
      <c r="K6353" s="209"/>
      <c r="L6353" s="209"/>
      <c r="M6353" s="209"/>
      <c r="N6353" s="209"/>
      <c r="O6353" s="209"/>
      <c r="P6353" s="209"/>
      <c r="Q6353" s="209"/>
      <c r="R6353" s="209"/>
      <c r="S6353" s="209"/>
      <c r="T6353" s="209"/>
      <c r="U6353" s="165"/>
      <c r="V6353" s="165"/>
      <c r="W6353" s="165"/>
      <c r="X6353" s="165"/>
      <c r="Y6353" s="165"/>
      <c r="Z6353" s="165"/>
      <c r="AA6353" s="165"/>
      <c r="AB6353" s="165"/>
      <c r="AC6353" s="165"/>
      <c r="AD6353" s="165"/>
      <c r="AE6353" s="165"/>
      <c r="AF6353" s="165"/>
      <c r="AG6353" s="165"/>
      <c r="AH6353" s="165"/>
      <c r="AI6353" s="165"/>
      <c r="AJ6353" s="165"/>
      <c r="AK6353" s="165"/>
      <c r="AL6353" s="165"/>
      <c r="AM6353" s="165"/>
      <c r="AN6353" s="165"/>
      <c r="AO6353" s="165"/>
      <c r="AP6353" s="165"/>
      <c r="AQ6353" s="165"/>
      <c r="AR6353" s="165"/>
      <c r="AS6353" s="165"/>
      <c r="AT6353" s="165"/>
      <c r="AU6353" s="165"/>
      <c r="AV6353" s="165"/>
      <c r="AW6353" s="165"/>
      <c r="AX6353" s="165"/>
      <c r="AY6353" s="165"/>
      <c r="AZ6353" s="165"/>
      <c r="BA6353" s="165"/>
      <c r="BB6353" s="165"/>
      <c r="BC6353" s="165"/>
      <c r="BD6353" s="165"/>
      <c r="BE6353" s="165"/>
      <c r="BF6353" s="165"/>
      <c r="BG6353" s="165"/>
      <c r="BH6353" s="165"/>
      <c r="BI6353" s="165"/>
      <c r="BJ6353" s="165"/>
      <c r="BK6353" s="165"/>
      <c r="BL6353" s="165"/>
      <c r="BM6353" s="165"/>
      <c r="BN6353" s="165"/>
      <c r="BO6353" s="165"/>
      <c r="BP6353" s="165"/>
      <c r="BQ6353" s="165"/>
      <c r="BR6353" s="165"/>
      <c r="BS6353" s="165"/>
      <c r="BT6353" s="165"/>
      <c r="BU6353" s="165"/>
      <c r="BV6353" s="165"/>
      <c r="BW6353" s="165"/>
      <c r="BX6353" s="165"/>
      <c r="BY6353" s="165"/>
      <c r="BZ6353" s="165"/>
      <c r="CA6353" s="165"/>
      <c r="CB6353" s="165"/>
      <c r="CC6353" s="165"/>
      <c r="CD6353" s="165"/>
      <c r="CE6353" s="165"/>
      <c r="CF6353" s="165"/>
      <c r="CG6353" s="165"/>
      <c r="CH6353" s="165"/>
      <c r="CI6353" s="165"/>
      <c r="CJ6353" s="165"/>
      <c r="CK6353" s="165"/>
      <c r="CL6353" s="165"/>
      <c r="CM6353" s="165"/>
      <c r="CN6353" s="165"/>
      <c r="CO6353" s="165"/>
      <c r="CP6353" s="165"/>
      <c r="CQ6353" s="165"/>
      <c r="CR6353" s="165"/>
      <c r="CS6353" s="165"/>
      <c r="CT6353" s="165"/>
      <c r="CU6353" s="165"/>
      <c r="CV6353" s="165"/>
      <c r="CW6353" s="165"/>
      <c r="CX6353" s="165"/>
      <c r="CY6353" s="165"/>
      <c r="CZ6353" s="165"/>
      <c r="DA6353" s="165"/>
      <c r="DB6353" s="165"/>
      <c r="DC6353" s="165"/>
      <c r="DD6353" s="165"/>
      <c r="DE6353" s="165"/>
      <c r="DF6353" s="165"/>
      <c r="DG6353" s="165"/>
      <c r="DH6353" s="165"/>
      <c r="DI6353" s="165"/>
      <c r="DJ6353" s="165"/>
      <c r="DK6353" s="165"/>
      <c r="DL6353" s="165"/>
      <c r="DM6353" s="165"/>
      <c r="DN6353" s="165"/>
      <c r="DO6353" s="165"/>
      <c r="DP6353" s="165"/>
      <c r="DQ6353" s="165"/>
      <c r="DR6353" s="165"/>
      <c r="DS6353" s="165"/>
      <c r="DT6353" s="165"/>
      <c r="DU6353" s="165"/>
      <c r="DV6353" s="165"/>
      <c r="DW6353" s="165"/>
      <c r="DX6353" s="165"/>
      <c r="DY6353" s="165"/>
      <c r="DZ6353" s="165"/>
      <c r="EA6353" s="165"/>
      <c r="EB6353" s="165"/>
      <c r="EC6353" s="165"/>
      <c r="ED6353" s="165"/>
      <c r="EE6353" s="165"/>
      <c r="EF6353" s="165"/>
      <c r="EG6353" s="165"/>
      <c r="EH6353" s="165"/>
      <c r="EI6353" s="165"/>
      <c r="EJ6353" s="165"/>
      <c r="EK6353" s="165"/>
      <c r="EL6353" s="165"/>
      <c r="EM6353" s="165"/>
      <c r="EN6353" s="165"/>
      <c r="EO6353" s="165"/>
      <c r="EP6353" s="165"/>
      <c r="EQ6353" s="165"/>
      <c r="ER6353" s="165"/>
      <c r="ES6353" s="165"/>
    </row>
    <row r="6354" spans="1:149" s="451" customFormat="1" ht="15" hidden="1" customHeight="1">
      <c r="A6354" s="468">
        <v>45554</v>
      </c>
      <c r="B6354" s="208" t="s">
        <v>5152</v>
      </c>
      <c r="C6354" s="208" t="s">
        <v>27</v>
      </c>
      <c r="D6354" s="211">
        <v>-445536</v>
      </c>
      <c r="E6354" s="212">
        <v>45536</v>
      </c>
      <c r="F6354" s="208" t="s">
        <v>109</v>
      </c>
      <c r="G6354" s="654" t="s">
        <v>2585</v>
      </c>
      <c r="H6354" s="208" t="s">
        <v>175</v>
      </c>
      <c r="I6354" s="208"/>
      <c r="J6354" s="209"/>
      <c r="K6354" s="209"/>
      <c r="L6354" s="209"/>
      <c r="M6354" s="209"/>
      <c r="N6354" s="209"/>
      <c r="O6354" s="209"/>
      <c r="P6354" s="209"/>
      <c r="Q6354" s="209"/>
      <c r="R6354" s="209"/>
      <c r="S6354" s="209"/>
      <c r="T6354" s="209"/>
    </row>
    <row r="6355" spans="1:149" s="451" customFormat="1" ht="15" hidden="1" customHeight="1">
      <c r="A6355" s="468">
        <v>45554</v>
      </c>
      <c r="B6355" s="208" t="s">
        <v>5152</v>
      </c>
      <c r="C6355" s="208" t="s">
        <v>27</v>
      </c>
      <c r="D6355" s="211">
        <v>-176482</v>
      </c>
      <c r="E6355" s="212">
        <v>45536</v>
      </c>
      <c r="F6355" s="208" t="s">
        <v>109</v>
      </c>
      <c r="G6355" s="208" t="s">
        <v>3529</v>
      </c>
      <c r="H6355" s="208" t="s">
        <v>175</v>
      </c>
      <c r="I6355" s="208"/>
      <c r="J6355" s="209"/>
      <c r="K6355" s="209"/>
      <c r="L6355" s="209"/>
      <c r="M6355" s="209"/>
      <c r="N6355" s="209"/>
      <c r="O6355" s="209"/>
      <c r="P6355" s="209"/>
      <c r="Q6355" s="209"/>
      <c r="R6355" s="209"/>
      <c r="S6355" s="209"/>
      <c r="T6355" s="209"/>
    </row>
    <row r="6356" spans="1:149" ht="15" hidden="1" customHeight="1">
      <c r="A6356" s="468">
        <v>45554</v>
      </c>
      <c r="B6356" s="208" t="s">
        <v>5154</v>
      </c>
      <c r="C6356" s="208" t="s">
        <v>27</v>
      </c>
      <c r="D6356" s="211">
        <v>-221500</v>
      </c>
      <c r="E6356" s="212">
        <v>45536</v>
      </c>
      <c r="F6356" s="208" t="s">
        <v>109</v>
      </c>
      <c r="G6356" s="208" t="s">
        <v>3529</v>
      </c>
      <c r="H6356" s="208" t="s">
        <v>175</v>
      </c>
      <c r="I6356" s="208"/>
      <c r="J6356" s="209"/>
      <c r="K6356" s="209"/>
      <c r="L6356" s="209"/>
      <c r="M6356" s="209"/>
      <c r="N6356" s="209"/>
      <c r="O6356" s="209"/>
      <c r="P6356" s="209"/>
      <c r="Q6356" s="209"/>
      <c r="R6356" s="209"/>
      <c r="S6356" s="209"/>
      <c r="T6356" s="209"/>
      <c r="U6356" s="451"/>
      <c r="V6356" s="451"/>
      <c r="W6356" s="451"/>
      <c r="X6356" s="451"/>
      <c r="Y6356" s="451"/>
      <c r="Z6356" s="451"/>
      <c r="AA6356" s="451"/>
      <c r="AB6356" s="451"/>
      <c r="AC6356" s="451"/>
      <c r="AD6356" s="451"/>
      <c r="AE6356" s="451"/>
      <c r="AF6356" s="451"/>
      <c r="AG6356" s="451"/>
      <c r="AH6356" s="451"/>
      <c r="AI6356" s="451"/>
      <c r="AJ6356" s="451"/>
      <c r="AK6356" s="451"/>
      <c r="AL6356" s="451"/>
      <c r="AM6356" s="451"/>
      <c r="AN6356" s="451"/>
      <c r="AO6356" s="451"/>
      <c r="AP6356" s="451"/>
      <c r="AQ6356" s="451"/>
      <c r="AR6356" s="451"/>
      <c r="AS6356" s="451"/>
      <c r="AT6356" s="451"/>
      <c r="AU6356" s="451"/>
      <c r="AV6356" s="451"/>
      <c r="AW6356" s="451"/>
      <c r="AX6356" s="451"/>
      <c r="AY6356" s="451"/>
      <c r="AZ6356" s="451"/>
      <c r="BA6356" s="451"/>
      <c r="BB6356" s="451"/>
      <c r="BC6356" s="451"/>
      <c r="BD6356" s="451"/>
      <c r="BE6356" s="451"/>
      <c r="BF6356" s="451"/>
      <c r="BG6356" s="451"/>
      <c r="BH6356" s="451"/>
      <c r="BI6356" s="451"/>
      <c r="BJ6356" s="451"/>
      <c r="BK6356" s="451"/>
      <c r="BL6356" s="451"/>
      <c r="BM6356" s="451"/>
      <c r="BN6356" s="451"/>
      <c r="BO6356" s="451"/>
      <c r="BP6356" s="451"/>
      <c r="BQ6356" s="451"/>
      <c r="BR6356" s="451"/>
      <c r="BS6356" s="451"/>
      <c r="BT6356" s="451"/>
      <c r="BU6356" s="451"/>
      <c r="BV6356" s="451"/>
      <c r="BW6356" s="451"/>
      <c r="BX6356" s="451"/>
      <c r="BY6356" s="451"/>
      <c r="BZ6356" s="451"/>
      <c r="CA6356" s="451"/>
      <c r="CB6356" s="451"/>
      <c r="CC6356" s="451"/>
      <c r="CD6356" s="451"/>
      <c r="CE6356" s="451"/>
      <c r="CF6356" s="451"/>
      <c r="CG6356" s="451"/>
      <c r="CH6356" s="451"/>
      <c r="CI6356" s="451"/>
      <c r="CJ6356" s="451"/>
      <c r="CK6356" s="451"/>
      <c r="CL6356" s="451"/>
      <c r="CM6356" s="451"/>
      <c r="CN6356" s="451"/>
      <c r="CO6356" s="451"/>
      <c r="CP6356" s="451"/>
      <c r="CQ6356" s="451"/>
      <c r="CR6356" s="451"/>
      <c r="CS6356" s="451"/>
      <c r="CT6356" s="451"/>
      <c r="CU6356" s="451"/>
      <c r="CV6356" s="451"/>
      <c r="CW6356" s="451"/>
      <c r="CX6356" s="451"/>
      <c r="CY6356" s="451"/>
      <c r="CZ6356" s="451"/>
      <c r="DA6356" s="451"/>
      <c r="DB6356" s="451"/>
      <c r="DC6356" s="451"/>
      <c r="DD6356" s="451"/>
      <c r="DE6356" s="451"/>
      <c r="DF6356" s="451"/>
      <c r="DG6356" s="451"/>
      <c r="DH6356" s="451"/>
      <c r="DI6356" s="451"/>
      <c r="DJ6356" s="451"/>
      <c r="DK6356" s="451"/>
      <c r="DL6356" s="451"/>
      <c r="DM6356" s="451"/>
      <c r="DN6356" s="451"/>
      <c r="DO6356" s="451"/>
      <c r="DP6356" s="451"/>
      <c r="DQ6356" s="451"/>
      <c r="DR6356" s="451"/>
      <c r="DS6356" s="451"/>
      <c r="DT6356" s="451"/>
      <c r="DU6356" s="451"/>
      <c r="DV6356" s="451"/>
      <c r="DW6356" s="451"/>
      <c r="DX6356" s="451"/>
      <c r="DY6356" s="451"/>
      <c r="DZ6356" s="451"/>
      <c r="EA6356" s="451"/>
      <c r="EB6356" s="451"/>
      <c r="EC6356" s="451"/>
      <c r="ED6356" s="451"/>
      <c r="EE6356" s="451"/>
      <c r="EF6356" s="451"/>
      <c r="EG6356" s="451"/>
      <c r="EH6356" s="451"/>
      <c r="EI6356" s="451"/>
      <c r="EJ6356" s="451"/>
      <c r="EK6356" s="451"/>
      <c r="EL6356" s="451"/>
      <c r="EM6356" s="451"/>
      <c r="EN6356" s="451"/>
      <c r="EO6356" s="451"/>
      <c r="EP6356" s="451"/>
      <c r="EQ6356" s="451"/>
      <c r="ER6356" s="451"/>
      <c r="ES6356" s="451"/>
    </row>
    <row r="6357" spans="1:149" ht="15" hidden="1" customHeight="1">
      <c r="A6357" s="468">
        <v>45554</v>
      </c>
      <c r="B6357" s="208" t="s">
        <v>5155</v>
      </c>
      <c r="C6357" s="208" t="s">
        <v>27</v>
      </c>
      <c r="D6357" s="211">
        <v>-221500</v>
      </c>
      <c r="E6357" s="212">
        <v>45536</v>
      </c>
      <c r="F6357" s="208" t="s">
        <v>110</v>
      </c>
      <c r="G6357" s="208" t="s">
        <v>4399</v>
      </c>
      <c r="H6357" s="208" t="s">
        <v>175</v>
      </c>
      <c r="I6357" s="208"/>
      <c r="J6357" s="209"/>
      <c r="K6357" s="209"/>
      <c r="L6357" s="209"/>
      <c r="M6357" s="209"/>
      <c r="N6357" s="209"/>
      <c r="O6357" s="209"/>
      <c r="P6357" s="209"/>
      <c r="Q6357" s="209"/>
      <c r="R6357" s="209"/>
      <c r="S6357" s="209"/>
      <c r="T6357" s="209"/>
      <c r="U6357" s="451"/>
      <c r="V6357" s="451"/>
      <c r="W6357" s="451"/>
      <c r="X6357" s="451"/>
      <c r="Y6357" s="451"/>
      <c r="Z6357" s="451"/>
      <c r="AA6357" s="451"/>
      <c r="AB6357" s="451"/>
      <c r="AC6357" s="451"/>
      <c r="AD6357" s="451"/>
      <c r="AE6357" s="451"/>
      <c r="AF6357" s="451"/>
      <c r="AG6357" s="451"/>
      <c r="AH6357" s="451"/>
      <c r="AI6357" s="451"/>
      <c r="AJ6357" s="451"/>
      <c r="AK6357" s="451"/>
      <c r="AL6357" s="451"/>
      <c r="AM6357" s="451"/>
      <c r="AN6357" s="451"/>
      <c r="AO6357" s="451"/>
      <c r="AP6357" s="451"/>
      <c r="AQ6357" s="451"/>
      <c r="AR6357" s="451"/>
      <c r="AS6357" s="451"/>
      <c r="AT6357" s="451"/>
      <c r="AU6357" s="451"/>
      <c r="AV6357" s="451"/>
      <c r="AW6357" s="451"/>
      <c r="AX6357" s="451"/>
      <c r="AY6357" s="451"/>
      <c r="AZ6357" s="451"/>
      <c r="BA6357" s="451"/>
      <c r="BB6357" s="451"/>
      <c r="BC6357" s="451"/>
      <c r="BD6357" s="451"/>
      <c r="BE6357" s="451"/>
      <c r="BF6357" s="451"/>
      <c r="BG6357" s="451"/>
      <c r="BH6357" s="451"/>
      <c r="BI6357" s="451"/>
      <c r="BJ6357" s="451"/>
      <c r="BK6357" s="451"/>
      <c r="BL6357" s="451"/>
      <c r="BM6357" s="451"/>
      <c r="BN6357" s="451"/>
      <c r="BO6357" s="451"/>
      <c r="BP6357" s="451"/>
      <c r="BQ6357" s="451"/>
      <c r="BR6357" s="451"/>
      <c r="BS6357" s="451"/>
      <c r="BT6357" s="451"/>
      <c r="BU6357" s="451"/>
      <c r="BV6357" s="451"/>
      <c r="BW6357" s="451"/>
      <c r="BX6357" s="451"/>
      <c r="BY6357" s="451"/>
      <c r="BZ6357" s="451"/>
      <c r="CA6357" s="451"/>
      <c r="CB6357" s="451"/>
      <c r="CC6357" s="451"/>
      <c r="CD6357" s="451"/>
      <c r="CE6357" s="451"/>
      <c r="CF6357" s="451"/>
      <c r="CG6357" s="451"/>
      <c r="CH6357" s="451"/>
      <c r="CI6357" s="451"/>
      <c r="CJ6357" s="451"/>
      <c r="CK6357" s="451"/>
      <c r="CL6357" s="451"/>
      <c r="CM6357" s="451"/>
      <c r="CN6357" s="451"/>
      <c r="CO6357" s="451"/>
      <c r="CP6357" s="451"/>
      <c r="CQ6357" s="451"/>
      <c r="CR6357" s="451"/>
      <c r="CS6357" s="451"/>
      <c r="CT6357" s="451"/>
      <c r="CU6357" s="451"/>
      <c r="CV6357" s="451"/>
      <c r="CW6357" s="451"/>
      <c r="CX6357" s="451"/>
      <c r="CY6357" s="451"/>
      <c r="CZ6357" s="451"/>
      <c r="DA6357" s="451"/>
      <c r="DB6357" s="451"/>
      <c r="DC6357" s="451"/>
      <c r="DD6357" s="451"/>
      <c r="DE6357" s="451"/>
      <c r="DF6357" s="451"/>
      <c r="DG6357" s="451"/>
      <c r="DH6357" s="451"/>
      <c r="DI6357" s="451"/>
      <c r="DJ6357" s="451"/>
      <c r="DK6357" s="451"/>
      <c r="DL6357" s="451"/>
      <c r="DM6357" s="451"/>
      <c r="DN6357" s="451"/>
      <c r="DO6357" s="451"/>
      <c r="DP6357" s="451"/>
      <c r="DQ6357" s="451"/>
      <c r="DR6357" s="451"/>
      <c r="DS6357" s="451"/>
      <c r="DT6357" s="451"/>
      <c r="DU6357" s="451"/>
      <c r="DV6357" s="451"/>
      <c r="DW6357" s="451"/>
      <c r="DX6357" s="451"/>
      <c r="DY6357" s="451"/>
      <c r="DZ6357" s="451"/>
      <c r="EA6357" s="451"/>
      <c r="EB6357" s="451"/>
      <c r="EC6357" s="451"/>
      <c r="ED6357" s="451"/>
      <c r="EE6357" s="451"/>
      <c r="EF6357" s="451"/>
      <c r="EG6357" s="451"/>
      <c r="EH6357" s="451"/>
      <c r="EI6357" s="451"/>
      <c r="EJ6357" s="451"/>
      <c r="EK6357" s="451"/>
      <c r="EL6357" s="451"/>
      <c r="EM6357" s="451"/>
      <c r="EN6357" s="451"/>
      <c r="EO6357" s="451"/>
      <c r="EP6357" s="451"/>
      <c r="EQ6357" s="451"/>
      <c r="ER6357" s="451"/>
      <c r="ES6357" s="451"/>
    </row>
    <row r="6358" spans="1:149" ht="15" hidden="1" customHeight="1">
      <c r="A6358" s="468">
        <v>45554</v>
      </c>
      <c r="B6358" s="208" t="s">
        <v>5156</v>
      </c>
      <c r="C6358" s="208" t="s">
        <v>27</v>
      </c>
      <c r="D6358" s="211">
        <v>-4000000</v>
      </c>
      <c r="E6358" s="212">
        <v>45536</v>
      </c>
      <c r="F6358" s="208" t="s">
        <v>109</v>
      </c>
      <c r="G6358" s="201" t="s">
        <v>581</v>
      </c>
      <c r="H6358" s="208"/>
      <c r="I6358" s="208"/>
      <c r="J6358" s="209"/>
      <c r="K6358" s="209"/>
      <c r="L6358" s="209"/>
      <c r="M6358" s="209"/>
      <c r="N6358" s="209"/>
      <c r="O6358" s="209"/>
      <c r="P6358" s="209"/>
      <c r="Q6358" s="209"/>
      <c r="R6358" s="209"/>
      <c r="S6358" s="209"/>
      <c r="T6358" s="209"/>
      <c r="U6358" s="451"/>
      <c r="V6358" s="451"/>
      <c r="W6358" s="451"/>
      <c r="X6358" s="451"/>
      <c r="Y6358" s="451"/>
      <c r="Z6358" s="451"/>
      <c r="AA6358" s="451"/>
      <c r="AB6358" s="451"/>
      <c r="AC6358" s="451"/>
      <c r="AD6358" s="451"/>
      <c r="AE6358" s="451"/>
      <c r="AF6358" s="451"/>
      <c r="AG6358" s="451"/>
      <c r="AH6358" s="451"/>
      <c r="AI6358" s="451"/>
      <c r="AJ6358" s="451"/>
      <c r="AK6358" s="451"/>
      <c r="AL6358" s="451"/>
      <c r="AM6358" s="451"/>
      <c r="AN6358" s="451"/>
      <c r="AO6358" s="451"/>
      <c r="AP6358" s="451"/>
      <c r="AQ6358" s="451"/>
      <c r="AR6358" s="451"/>
      <c r="AS6358" s="451"/>
      <c r="AT6358" s="451"/>
      <c r="AU6358" s="451"/>
      <c r="AV6358" s="451"/>
      <c r="AW6358" s="451"/>
      <c r="AX6358" s="451"/>
      <c r="AY6358" s="451"/>
      <c r="AZ6358" s="451"/>
      <c r="BA6358" s="451"/>
      <c r="BB6358" s="451"/>
      <c r="BC6358" s="451"/>
      <c r="BD6358" s="451"/>
      <c r="BE6358" s="451"/>
      <c r="BF6358" s="451"/>
      <c r="BG6358" s="451"/>
      <c r="BH6358" s="451"/>
      <c r="BI6358" s="451"/>
      <c r="BJ6358" s="451"/>
      <c r="BK6358" s="451"/>
      <c r="BL6358" s="451"/>
      <c r="BM6358" s="451"/>
      <c r="BN6358" s="451"/>
      <c r="BO6358" s="451"/>
      <c r="BP6358" s="451"/>
      <c r="BQ6358" s="451"/>
      <c r="BR6358" s="451"/>
      <c r="BS6358" s="451"/>
      <c r="BT6358" s="451"/>
      <c r="BU6358" s="451"/>
      <c r="BV6358" s="451"/>
      <c r="BW6358" s="451"/>
      <c r="BX6358" s="451"/>
      <c r="BY6358" s="451"/>
      <c r="BZ6358" s="451"/>
      <c r="CA6358" s="451"/>
      <c r="CB6358" s="451"/>
      <c r="CC6358" s="451"/>
      <c r="CD6358" s="451"/>
      <c r="CE6358" s="451"/>
      <c r="CF6358" s="451"/>
      <c r="CG6358" s="451"/>
      <c r="CH6358" s="451"/>
      <c r="CI6358" s="451"/>
      <c r="CJ6358" s="451"/>
      <c r="CK6358" s="451"/>
      <c r="CL6358" s="451"/>
      <c r="CM6358" s="451"/>
      <c r="CN6358" s="451"/>
      <c r="CO6358" s="451"/>
      <c r="CP6358" s="451"/>
      <c r="CQ6358" s="451"/>
      <c r="CR6358" s="451"/>
      <c r="CS6358" s="451"/>
      <c r="CT6358" s="451"/>
      <c r="CU6358" s="451"/>
      <c r="CV6358" s="451"/>
      <c r="CW6358" s="451"/>
      <c r="CX6358" s="451"/>
      <c r="CY6358" s="451"/>
      <c r="CZ6358" s="451"/>
      <c r="DA6358" s="451"/>
      <c r="DB6358" s="451"/>
      <c r="DC6358" s="451"/>
      <c r="DD6358" s="451"/>
      <c r="DE6358" s="451"/>
      <c r="DF6358" s="451"/>
      <c r="DG6358" s="451"/>
      <c r="DH6358" s="451"/>
      <c r="DI6358" s="451"/>
      <c r="DJ6358" s="451"/>
      <c r="DK6358" s="451"/>
      <c r="DL6358" s="451"/>
      <c r="DM6358" s="451"/>
      <c r="DN6358" s="451"/>
      <c r="DO6358" s="451"/>
      <c r="DP6358" s="451"/>
      <c r="DQ6358" s="451"/>
      <c r="DR6358" s="451"/>
      <c r="DS6358" s="451"/>
      <c r="DT6358" s="451"/>
      <c r="DU6358" s="451"/>
      <c r="DV6358" s="451"/>
      <c r="DW6358" s="451"/>
      <c r="DX6358" s="451"/>
      <c r="DY6358" s="451"/>
      <c r="DZ6358" s="451"/>
      <c r="EA6358" s="451"/>
      <c r="EB6358" s="451"/>
      <c r="EC6358" s="451"/>
      <c r="ED6358" s="451"/>
      <c r="EE6358" s="451"/>
      <c r="EF6358" s="451"/>
      <c r="EG6358" s="451"/>
      <c r="EH6358" s="451"/>
      <c r="EI6358" s="451"/>
      <c r="EJ6358" s="451"/>
      <c r="EK6358" s="451"/>
      <c r="EL6358" s="451"/>
      <c r="EM6358" s="451"/>
      <c r="EN6358" s="451"/>
      <c r="EO6358" s="451"/>
      <c r="EP6358" s="451"/>
      <c r="EQ6358" s="451"/>
      <c r="ER6358" s="451"/>
      <c r="ES6358" s="451"/>
    </row>
    <row r="6359" spans="1:149" ht="15" hidden="1" customHeight="1">
      <c r="A6359" s="468">
        <v>45554</v>
      </c>
      <c r="B6359" s="208" t="s">
        <v>5157</v>
      </c>
      <c r="C6359" s="208" t="s">
        <v>27</v>
      </c>
      <c r="D6359" s="211">
        <v>-1237500</v>
      </c>
      <c r="E6359" s="212">
        <v>45536</v>
      </c>
      <c r="F6359" s="208" t="s">
        <v>109</v>
      </c>
      <c r="G6359" s="201" t="s">
        <v>581</v>
      </c>
      <c r="H6359" s="208"/>
      <c r="I6359" s="208"/>
      <c r="J6359" s="209"/>
      <c r="K6359" s="209"/>
      <c r="L6359" s="209"/>
      <c r="M6359" s="209"/>
      <c r="N6359" s="209"/>
      <c r="O6359" s="209"/>
      <c r="P6359" s="209"/>
      <c r="Q6359" s="209"/>
      <c r="R6359" s="209"/>
      <c r="S6359" s="209"/>
      <c r="T6359" s="209"/>
      <c r="U6359" s="451"/>
      <c r="V6359" s="451"/>
      <c r="W6359" s="451"/>
      <c r="X6359" s="451"/>
      <c r="Y6359" s="451"/>
      <c r="Z6359" s="451"/>
      <c r="AA6359" s="451"/>
      <c r="AB6359" s="451"/>
      <c r="AC6359" s="451"/>
      <c r="AD6359" s="451"/>
      <c r="AE6359" s="451"/>
      <c r="AF6359" s="451"/>
      <c r="AG6359" s="451"/>
      <c r="AH6359" s="451"/>
      <c r="AI6359" s="451"/>
      <c r="AJ6359" s="451"/>
      <c r="AK6359" s="451"/>
      <c r="AL6359" s="451"/>
      <c r="AM6359" s="451"/>
      <c r="AN6359" s="451"/>
      <c r="AO6359" s="451"/>
      <c r="AP6359" s="451"/>
      <c r="AQ6359" s="451"/>
      <c r="AR6359" s="451"/>
      <c r="AS6359" s="451"/>
      <c r="AT6359" s="451"/>
      <c r="AU6359" s="451"/>
      <c r="AV6359" s="451"/>
      <c r="AW6359" s="451"/>
      <c r="AX6359" s="451"/>
      <c r="AY6359" s="451"/>
      <c r="AZ6359" s="451"/>
      <c r="BA6359" s="451"/>
      <c r="BB6359" s="451"/>
      <c r="BC6359" s="451"/>
      <c r="BD6359" s="451"/>
      <c r="BE6359" s="451"/>
      <c r="BF6359" s="451"/>
      <c r="BG6359" s="451"/>
      <c r="BH6359" s="451"/>
      <c r="BI6359" s="451"/>
      <c r="BJ6359" s="451"/>
      <c r="BK6359" s="451"/>
      <c r="BL6359" s="451"/>
      <c r="BM6359" s="451"/>
      <c r="BN6359" s="451"/>
      <c r="BO6359" s="451"/>
      <c r="BP6359" s="451"/>
      <c r="BQ6359" s="451"/>
      <c r="BR6359" s="451"/>
      <c r="BS6359" s="451"/>
      <c r="BT6359" s="451"/>
      <c r="BU6359" s="451"/>
      <c r="BV6359" s="451"/>
      <c r="BW6359" s="451"/>
      <c r="BX6359" s="451"/>
      <c r="BY6359" s="451"/>
      <c r="BZ6359" s="451"/>
      <c r="CA6359" s="451"/>
      <c r="CB6359" s="451"/>
      <c r="CC6359" s="451"/>
      <c r="CD6359" s="451"/>
      <c r="CE6359" s="451"/>
      <c r="CF6359" s="451"/>
      <c r="CG6359" s="451"/>
      <c r="CH6359" s="451"/>
      <c r="CI6359" s="451"/>
      <c r="CJ6359" s="451"/>
      <c r="CK6359" s="451"/>
      <c r="CL6359" s="451"/>
      <c r="CM6359" s="451"/>
      <c r="CN6359" s="451"/>
      <c r="CO6359" s="451"/>
      <c r="CP6359" s="451"/>
      <c r="CQ6359" s="451"/>
      <c r="CR6359" s="451"/>
      <c r="CS6359" s="451"/>
      <c r="CT6359" s="451"/>
      <c r="CU6359" s="451"/>
      <c r="CV6359" s="451"/>
      <c r="CW6359" s="451"/>
      <c r="CX6359" s="451"/>
      <c r="CY6359" s="451"/>
      <c r="CZ6359" s="451"/>
      <c r="DA6359" s="451"/>
      <c r="DB6359" s="451"/>
      <c r="DC6359" s="451"/>
      <c r="DD6359" s="451"/>
      <c r="DE6359" s="451"/>
      <c r="DF6359" s="451"/>
      <c r="DG6359" s="451"/>
      <c r="DH6359" s="451"/>
      <c r="DI6359" s="451"/>
      <c r="DJ6359" s="451"/>
      <c r="DK6359" s="451"/>
      <c r="DL6359" s="451"/>
      <c r="DM6359" s="451"/>
      <c r="DN6359" s="451"/>
      <c r="DO6359" s="451"/>
      <c r="DP6359" s="451"/>
      <c r="DQ6359" s="451"/>
      <c r="DR6359" s="451"/>
      <c r="DS6359" s="451"/>
      <c r="DT6359" s="451"/>
      <c r="DU6359" s="451"/>
      <c r="DV6359" s="451"/>
      <c r="DW6359" s="451"/>
      <c r="DX6359" s="451"/>
      <c r="DY6359" s="451"/>
      <c r="DZ6359" s="451"/>
      <c r="EA6359" s="451"/>
      <c r="EB6359" s="451"/>
      <c r="EC6359" s="451"/>
      <c r="ED6359" s="451"/>
      <c r="EE6359" s="451"/>
      <c r="EF6359" s="451"/>
      <c r="EG6359" s="451"/>
      <c r="EH6359" s="451"/>
      <c r="EI6359" s="451"/>
      <c r="EJ6359" s="451"/>
      <c r="EK6359" s="451"/>
      <c r="EL6359" s="451"/>
      <c r="EM6359" s="451"/>
      <c r="EN6359" s="451"/>
      <c r="EO6359" s="451"/>
      <c r="EP6359" s="451"/>
      <c r="EQ6359" s="451"/>
      <c r="ER6359" s="451"/>
      <c r="ES6359" s="451"/>
    </row>
    <row r="6360" spans="1:149" ht="15" hidden="1" customHeight="1">
      <c r="A6360" s="468">
        <v>45554</v>
      </c>
      <c r="B6360" s="208" t="s">
        <v>5158</v>
      </c>
      <c r="C6360" s="208" t="s">
        <v>27</v>
      </c>
      <c r="D6360" s="211">
        <v>-3800550</v>
      </c>
      <c r="E6360" s="212">
        <v>45536</v>
      </c>
      <c r="F6360" s="208" t="s">
        <v>109</v>
      </c>
      <c r="G6360" s="201" t="s">
        <v>583</v>
      </c>
      <c r="H6360" s="208"/>
      <c r="I6360" s="208"/>
      <c r="J6360" s="209"/>
      <c r="K6360" s="209"/>
      <c r="L6360" s="209"/>
      <c r="M6360" s="209"/>
      <c r="N6360" s="209"/>
      <c r="O6360" s="209"/>
      <c r="P6360" s="209"/>
      <c r="Q6360" s="209"/>
      <c r="R6360" s="209"/>
      <c r="S6360" s="209"/>
      <c r="T6360" s="209"/>
      <c r="U6360" s="451"/>
      <c r="V6360" s="451"/>
      <c r="W6360" s="451"/>
      <c r="X6360" s="451"/>
      <c r="Y6360" s="451"/>
      <c r="Z6360" s="451"/>
      <c r="AA6360" s="451"/>
      <c r="AB6360" s="451"/>
      <c r="AC6360" s="451"/>
      <c r="AD6360" s="451"/>
      <c r="AE6360" s="451"/>
      <c r="AF6360" s="451"/>
      <c r="AG6360" s="451"/>
      <c r="AH6360" s="451"/>
      <c r="AI6360" s="451"/>
      <c r="AJ6360" s="451"/>
      <c r="AK6360" s="451"/>
      <c r="AL6360" s="451"/>
      <c r="AM6360" s="451"/>
      <c r="AN6360" s="451"/>
      <c r="AO6360" s="451"/>
      <c r="AP6360" s="451"/>
      <c r="AQ6360" s="451"/>
      <c r="AR6360" s="451"/>
      <c r="AS6360" s="451"/>
      <c r="AT6360" s="451"/>
      <c r="AU6360" s="451"/>
      <c r="AV6360" s="451"/>
      <c r="AW6360" s="451"/>
      <c r="AX6360" s="451"/>
      <c r="AY6360" s="451"/>
      <c r="AZ6360" s="451"/>
      <c r="BA6360" s="451"/>
      <c r="BB6360" s="451"/>
      <c r="BC6360" s="451"/>
      <c r="BD6360" s="451"/>
      <c r="BE6360" s="451"/>
      <c r="BF6360" s="451"/>
      <c r="BG6360" s="451"/>
      <c r="BH6360" s="451"/>
      <c r="BI6360" s="451"/>
      <c r="BJ6360" s="451"/>
      <c r="BK6360" s="451"/>
      <c r="BL6360" s="451"/>
      <c r="BM6360" s="451"/>
      <c r="BN6360" s="451"/>
      <c r="BO6360" s="451"/>
      <c r="BP6360" s="451"/>
      <c r="BQ6360" s="451"/>
      <c r="BR6360" s="451"/>
      <c r="BS6360" s="451"/>
      <c r="BT6360" s="451"/>
      <c r="BU6360" s="451"/>
      <c r="BV6360" s="451"/>
      <c r="BW6360" s="451"/>
      <c r="BX6360" s="451"/>
      <c r="BY6360" s="451"/>
      <c r="BZ6360" s="451"/>
      <c r="CA6360" s="451"/>
      <c r="CB6360" s="451"/>
      <c r="CC6360" s="451"/>
      <c r="CD6360" s="451"/>
      <c r="CE6360" s="451"/>
      <c r="CF6360" s="451"/>
      <c r="CG6360" s="451"/>
      <c r="CH6360" s="451"/>
      <c r="CI6360" s="451"/>
      <c r="CJ6360" s="451"/>
      <c r="CK6360" s="451"/>
      <c r="CL6360" s="451"/>
      <c r="CM6360" s="451"/>
      <c r="CN6360" s="451"/>
      <c r="CO6360" s="451"/>
      <c r="CP6360" s="451"/>
      <c r="CQ6360" s="451"/>
      <c r="CR6360" s="451"/>
      <c r="CS6360" s="451"/>
      <c r="CT6360" s="451"/>
      <c r="CU6360" s="451"/>
      <c r="CV6360" s="451"/>
      <c r="CW6360" s="451"/>
      <c r="CX6360" s="451"/>
      <c r="CY6360" s="451"/>
      <c r="CZ6360" s="451"/>
      <c r="DA6360" s="451"/>
      <c r="DB6360" s="451"/>
      <c r="DC6360" s="451"/>
      <c r="DD6360" s="451"/>
      <c r="DE6360" s="451"/>
      <c r="DF6360" s="451"/>
      <c r="DG6360" s="451"/>
      <c r="DH6360" s="451"/>
      <c r="DI6360" s="451"/>
      <c r="DJ6360" s="451"/>
      <c r="DK6360" s="451"/>
      <c r="DL6360" s="451"/>
      <c r="DM6360" s="451"/>
      <c r="DN6360" s="451"/>
      <c r="DO6360" s="451"/>
      <c r="DP6360" s="451"/>
      <c r="DQ6360" s="451"/>
      <c r="DR6360" s="451"/>
      <c r="DS6360" s="451"/>
      <c r="DT6360" s="451"/>
      <c r="DU6360" s="451"/>
      <c r="DV6360" s="451"/>
      <c r="DW6360" s="451"/>
      <c r="DX6360" s="451"/>
      <c r="DY6360" s="451"/>
      <c r="DZ6360" s="451"/>
      <c r="EA6360" s="451"/>
      <c r="EB6360" s="451"/>
      <c r="EC6360" s="451"/>
      <c r="ED6360" s="451"/>
      <c r="EE6360" s="451"/>
      <c r="EF6360" s="451"/>
      <c r="EG6360" s="451"/>
      <c r="EH6360" s="451"/>
      <c r="EI6360" s="451"/>
      <c r="EJ6360" s="451"/>
      <c r="EK6360" s="451"/>
      <c r="EL6360" s="451"/>
      <c r="EM6360" s="451"/>
      <c r="EN6360" s="451"/>
      <c r="EO6360" s="451"/>
      <c r="EP6360" s="451"/>
      <c r="EQ6360" s="451"/>
      <c r="ER6360" s="451"/>
      <c r="ES6360" s="451"/>
    </row>
    <row r="6361" spans="1:149" ht="15" hidden="1" customHeight="1">
      <c r="A6361" s="468">
        <v>45554</v>
      </c>
      <c r="B6361" s="208" t="s">
        <v>5159</v>
      </c>
      <c r="C6361" s="208" t="s">
        <v>27</v>
      </c>
      <c r="D6361" s="211">
        <v>-1240000</v>
      </c>
      <c r="E6361" s="212">
        <v>45536</v>
      </c>
      <c r="F6361" s="208" t="s">
        <v>109</v>
      </c>
      <c r="G6361" s="201" t="s">
        <v>581</v>
      </c>
      <c r="H6361" s="208"/>
      <c r="I6361" s="208"/>
      <c r="J6361" s="209"/>
      <c r="K6361" s="209"/>
      <c r="L6361" s="209"/>
      <c r="M6361" s="209"/>
      <c r="N6361" s="209"/>
      <c r="O6361" s="209"/>
      <c r="P6361" s="209"/>
      <c r="Q6361" s="209"/>
      <c r="R6361" s="209"/>
      <c r="S6361" s="209"/>
      <c r="T6361" s="209"/>
      <c r="U6361" s="451"/>
      <c r="V6361" s="451"/>
      <c r="W6361" s="451"/>
      <c r="X6361" s="451"/>
      <c r="Y6361" s="451"/>
      <c r="Z6361" s="451"/>
      <c r="AA6361" s="451"/>
      <c r="AB6361" s="451"/>
      <c r="AC6361" s="451"/>
      <c r="AD6361" s="451"/>
      <c r="AE6361" s="451"/>
      <c r="AF6361" s="451"/>
      <c r="AG6361" s="451"/>
      <c r="AH6361" s="451"/>
      <c r="AI6361" s="451"/>
      <c r="AJ6361" s="451"/>
      <c r="AK6361" s="451"/>
      <c r="AL6361" s="451"/>
      <c r="AM6361" s="451"/>
      <c r="AN6361" s="451"/>
      <c r="AO6361" s="451"/>
      <c r="AP6361" s="451"/>
      <c r="AQ6361" s="451"/>
      <c r="AR6361" s="451"/>
      <c r="AS6361" s="451"/>
      <c r="AT6361" s="451"/>
      <c r="AU6361" s="451"/>
      <c r="AV6361" s="451"/>
      <c r="AW6361" s="451"/>
      <c r="AX6361" s="451"/>
      <c r="AY6361" s="451"/>
      <c r="AZ6361" s="451"/>
      <c r="BA6361" s="451"/>
      <c r="BB6361" s="451"/>
      <c r="BC6361" s="451"/>
      <c r="BD6361" s="451"/>
      <c r="BE6361" s="451"/>
      <c r="BF6361" s="451"/>
      <c r="BG6361" s="451"/>
      <c r="BH6361" s="451"/>
      <c r="BI6361" s="451"/>
      <c r="BJ6361" s="451"/>
      <c r="BK6361" s="451"/>
      <c r="BL6361" s="451"/>
      <c r="BM6361" s="451"/>
      <c r="BN6361" s="451"/>
      <c r="BO6361" s="451"/>
      <c r="BP6361" s="451"/>
      <c r="BQ6361" s="451"/>
      <c r="BR6361" s="451"/>
      <c r="BS6361" s="451"/>
      <c r="BT6361" s="451"/>
      <c r="BU6361" s="451"/>
      <c r="BV6361" s="451"/>
      <c r="BW6361" s="451"/>
      <c r="BX6361" s="451"/>
      <c r="BY6361" s="451"/>
      <c r="BZ6361" s="451"/>
      <c r="CA6361" s="451"/>
      <c r="CB6361" s="451"/>
      <c r="CC6361" s="451"/>
      <c r="CD6361" s="451"/>
      <c r="CE6361" s="451"/>
      <c r="CF6361" s="451"/>
      <c r="CG6361" s="451"/>
      <c r="CH6361" s="451"/>
      <c r="CI6361" s="451"/>
      <c r="CJ6361" s="451"/>
      <c r="CK6361" s="451"/>
      <c r="CL6361" s="451"/>
      <c r="CM6361" s="451"/>
      <c r="CN6361" s="451"/>
      <c r="CO6361" s="451"/>
      <c r="CP6361" s="451"/>
      <c r="CQ6361" s="451"/>
      <c r="CR6361" s="451"/>
      <c r="CS6361" s="451"/>
      <c r="CT6361" s="451"/>
      <c r="CU6361" s="451"/>
      <c r="CV6361" s="451"/>
      <c r="CW6361" s="451"/>
      <c r="CX6361" s="451"/>
      <c r="CY6361" s="451"/>
      <c r="CZ6361" s="451"/>
      <c r="DA6361" s="451"/>
      <c r="DB6361" s="451"/>
      <c r="DC6361" s="451"/>
      <c r="DD6361" s="451"/>
      <c r="DE6361" s="451"/>
      <c r="DF6361" s="451"/>
      <c r="DG6361" s="451"/>
      <c r="DH6361" s="451"/>
      <c r="DI6361" s="451"/>
      <c r="DJ6361" s="451"/>
      <c r="DK6361" s="451"/>
      <c r="DL6361" s="451"/>
      <c r="DM6361" s="451"/>
      <c r="DN6361" s="451"/>
      <c r="DO6361" s="451"/>
      <c r="DP6361" s="451"/>
      <c r="DQ6361" s="451"/>
      <c r="DR6361" s="451"/>
      <c r="DS6361" s="451"/>
      <c r="DT6361" s="451"/>
      <c r="DU6361" s="451"/>
      <c r="DV6361" s="451"/>
      <c r="DW6361" s="451"/>
      <c r="DX6361" s="451"/>
      <c r="DY6361" s="451"/>
      <c r="DZ6361" s="451"/>
      <c r="EA6361" s="451"/>
      <c r="EB6361" s="451"/>
      <c r="EC6361" s="451"/>
      <c r="ED6361" s="451"/>
      <c r="EE6361" s="451"/>
      <c r="EF6361" s="451"/>
      <c r="EG6361" s="451"/>
      <c r="EH6361" s="451"/>
      <c r="EI6361" s="451"/>
      <c r="EJ6361" s="451"/>
      <c r="EK6361" s="451"/>
      <c r="EL6361" s="451"/>
      <c r="EM6361" s="451"/>
      <c r="EN6361" s="451"/>
      <c r="EO6361" s="451"/>
      <c r="EP6361" s="451"/>
      <c r="EQ6361" s="451"/>
      <c r="ER6361" s="451"/>
      <c r="ES6361" s="451"/>
    </row>
    <row r="6362" spans="1:149" ht="15" hidden="1" customHeight="1">
      <c r="A6362" s="468">
        <v>45554</v>
      </c>
      <c r="B6362" s="208" t="s">
        <v>5160</v>
      </c>
      <c r="C6362" s="208" t="s">
        <v>27</v>
      </c>
      <c r="D6362" s="211">
        <v>-655320</v>
      </c>
      <c r="E6362" s="212">
        <v>45536</v>
      </c>
      <c r="F6362" s="208" t="s">
        <v>109</v>
      </c>
      <c r="G6362" s="208" t="s">
        <v>2809</v>
      </c>
      <c r="H6362" s="208" t="s">
        <v>4814</v>
      </c>
      <c r="I6362" s="208"/>
      <c r="J6362" s="209"/>
      <c r="K6362" s="209"/>
      <c r="L6362" s="209"/>
      <c r="M6362" s="209"/>
      <c r="N6362" s="209"/>
      <c r="O6362" s="209"/>
      <c r="P6362" s="209"/>
      <c r="Q6362" s="209"/>
      <c r="R6362" s="209"/>
      <c r="S6362" s="209"/>
      <c r="T6362" s="209"/>
      <c r="U6362" s="451"/>
      <c r="V6362" s="451"/>
      <c r="W6362" s="451"/>
      <c r="X6362" s="451"/>
      <c r="Y6362" s="451"/>
      <c r="Z6362" s="451"/>
      <c r="AA6362" s="451"/>
      <c r="AB6362" s="451"/>
      <c r="AC6362" s="451"/>
      <c r="AD6362" s="451"/>
      <c r="AE6362" s="451"/>
      <c r="AF6362" s="451"/>
      <c r="AG6362" s="451"/>
      <c r="AH6362" s="451"/>
      <c r="AI6362" s="451"/>
      <c r="AJ6362" s="451"/>
      <c r="AK6362" s="451"/>
      <c r="AL6362" s="451"/>
      <c r="AM6362" s="451"/>
      <c r="AN6362" s="451"/>
      <c r="AO6362" s="451"/>
      <c r="AP6362" s="451"/>
      <c r="AQ6362" s="451"/>
      <c r="AR6362" s="451"/>
      <c r="AS6362" s="451"/>
      <c r="AT6362" s="451"/>
      <c r="AU6362" s="451"/>
      <c r="AV6362" s="451"/>
      <c r="AW6362" s="451"/>
      <c r="AX6362" s="451"/>
      <c r="AY6362" s="451"/>
      <c r="AZ6362" s="451"/>
      <c r="BA6362" s="451"/>
      <c r="BB6362" s="451"/>
      <c r="BC6362" s="451"/>
      <c r="BD6362" s="451"/>
      <c r="BE6362" s="451"/>
      <c r="BF6362" s="451"/>
      <c r="BG6362" s="451"/>
      <c r="BH6362" s="451"/>
      <c r="BI6362" s="451"/>
      <c r="BJ6362" s="451"/>
      <c r="BK6362" s="451"/>
      <c r="BL6362" s="451"/>
      <c r="BM6362" s="451"/>
      <c r="BN6362" s="451"/>
      <c r="BO6362" s="451"/>
      <c r="BP6362" s="451"/>
      <c r="BQ6362" s="451"/>
      <c r="BR6362" s="451"/>
      <c r="BS6362" s="451"/>
      <c r="BT6362" s="451"/>
      <c r="BU6362" s="451"/>
      <c r="BV6362" s="451"/>
      <c r="BW6362" s="451"/>
      <c r="BX6362" s="451"/>
      <c r="BY6362" s="451"/>
      <c r="BZ6362" s="451"/>
      <c r="CA6362" s="451"/>
      <c r="CB6362" s="451"/>
      <c r="CC6362" s="451"/>
      <c r="CD6362" s="451"/>
      <c r="CE6362" s="451"/>
      <c r="CF6362" s="451"/>
      <c r="CG6362" s="451"/>
      <c r="CH6362" s="451"/>
      <c r="CI6362" s="451"/>
      <c r="CJ6362" s="451"/>
      <c r="CK6362" s="451"/>
      <c r="CL6362" s="451"/>
      <c r="CM6362" s="451"/>
      <c r="CN6362" s="451"/>
      <c r="CO6362" s="451"/>
      <c r="CP6362" s="451"/>
      <c r="CQ6362" s="451"/>
      <c r="CR6362" s="451"/>
      <c r="CS6362" s="451"/>
      <c r="CT6362" s="451"/>
      <c r="CU6362" s="451"/>
      <c r="CV6362" s="451"/>
      <c r="CW6362" s="451"/>
      <c r="CX6362" s="451"/>
      <c r="CY6362" s="451"/>
      <c r="CZ6362" s="451"/>
      <c r="DA6362" s="451"/>
      <c r="DB6362" s="451"/>
      <c r="DC6362" s="451"/>
      <c r="DD6362" s="451"/>
      <c r="DE6362" s="451"/>
      <c r="DF6362" s="451"/>
      <c r="DG6362" s="451"/>
      <c r="DH6362" s="451"/>
      <c r="DI6362" s="451"/>
      <c r="DJ6362" s="451"/>
      <c r="DK6362" s="451"/>
      <c r="DL6362" s="451"/>
      <c r="DM6362" s="451"/>
      <c r="DN6362" s="451"/>
      <c r="DO6362" s="451"/>
      <c r="DP6362" s="451"/>
      <c r="DQ6362" s="451"/>
      <c r="DR6362" s="451"/>
      <c r="DS6362" s="451"/>
      <c r="DT6362" s="451"/>
      <c r="DU6362" s="451"/>
      <c r="DV6362" s="451"/>
      <c r="DW6362" s="451"/>
      <c r="DX6362" s="451"/>
      <c r="DY6362" s="451"/>
      <c r="DZ6362" s="451"/>
      <c r="EA6362" s="451"/>
      <c r="EB6362" s="451"/>
      <c r="EC6362" s="451"/>
      <c r="ED6362" s="451"/>
      <c r="EE6362" s="451"/>
      <c r="EF6362" s="451"/>
      <c r="EG6362" s="451"/>
      <c r="EH6362" s="451"/>
      <c r="EI6362" s="451"/>
      <c r="EJ6362" s="451"/>
      <c r="EK6362" s="451"/>
      <c r="EL6362" s="451"/>
      <c r="EM6362" s="451"/>
      <c r="EN6362" s="451"/>
      <c r="EO6362" s="451"/>
      <c r="EP6362" s="451"/>
      <c r="EQ6362" s="451"/>
      <c r="ER6362" s="451"/>
      <c r="ES6362" s="451"/>
    </row>
    <row r="6363" spans="1:149" ht="15" hidden="1" customHeight="1">
      <c r="A6363" s="468">
        <v>45554</v>
      </c>
      <c r="B6363" s="208" t="s">
        <v>5161</v>
      </c>
      <c r="C6363" s="208" t="s">
        <v>27</v>
      </c>
      <c r="D6363" s="211">
        <v>-3243600</v>
      </c>
      <c r="E6363" s="212">
        <v>45536</v>
      </c>
      <c r="F6363" s="208" t="s">
        <v>109</v>
      </c>
      <c r="G6363" s="201" t="s">
        <v>583</v>
      </c>
      <c r="H6363" s="208"/>
      <c r="I6363" s="208"/>
      <c r="J6363" s="209"/>
      <c r="K6363" s="209"/>
      <c r="L6363" s="209"/>
      <c r="M6363" s="209"/>
      <c r="N6363" s="209"/>
      <c r="O6363" s="209"/>
      <c r="P6363" s="209"/>
      <c r="Q6363" s="209"/>
      <c r="R6363" s="209"/>
      <c r="S6363" s="209"/>
      <c r="T6363" s="209"/>
      <c r="U6363" s="451"/>
      <c r="V6363" s="451"/>
      <c r="W6363" s="451"/>
      <c r="X6363" s="451"/>
      <c r="Y6363" s="451"/>
      <c r="Z6363" s="451"/>
      <c r="AA6363" s="451"/>
      <c r="AB6363" s="451"/>
      <c r="AC6363" s="451"/>
      <c r="AD6363" s="451"/>
      <c r="AE6363" s="451"/>
      <c r="AF6363" s="451"/>
      <c r="AG6363" s="451"/>
      <c r="AH6363" s="451"/>
      <c r="AI6363" s="451"/>
      <c r="AJ6363" s="451"/>
      <c r="AK6363" s="451"/>
      <c r="AL6363" s="451"/>
      <c r="AM6363" s="451"/>
      <c r="AN6363" s="451"/>
      <c r="AO6363" s="451"/>
      <c r="AP6363" s="451"/>
      <c r="AQ6363" s="451"/>
      <c r="AR6363" s="451"/>
      <c r="AS6363" s="451"/>
      <c r="AT6363" s="451"/>
      <c r="AU6363" s="451"/>
      <c r="AV6363" s="451"/>
      <c r="AW6363" s="451"/>
      <c r="AX6363" s="451"/>
      <c r="AY6363" s="451"/>
      <c r="AZ6363" s="451"/>
      <c r="BA6363" s="451"/>
      <c r="BB6363" s="451"/>
      <c r="BC6363" s="451"/>
      <c r="BD6363" s="451"/>
      <c r="BE6363" s="451"/>
      <c r="BF6363" s="451"/>
      <c r="BG6363" s="451"/>
      <c r="BH6363" s="451"/>
      <c r="BI6363" s="451"/>
      <c r="BJ6363" s="451"/>
      <c r="BK6363" s="451"/>
      <c r="BL6363" s="451"/>
      <c r="BM6363" s="451"/>
      <c r="BN6363" s="451"/>
      <c r="BO6363" s="451"/>
      <c r="BP6363" s="451"/>
      <c r="BQ6363" s="451"/>
      <c r="BR6363" s="451"/>
      <c r="BS6363" s="451"/>
      <c r="BT6363" s="451"/>
      <c r="BU6363" s="451"/>
      <c r="BV6363" s="451"/>
      <c r="BW6363" s="451"/>
      <c r="BX6363" s="451"/>
      <c r="BY6363" s="451"/>
      <c r="BZ6363" s="451"/>
      <c r="CA6363" s="451"/>
      <c r="CB6363" s="451"/>
      <c r="CC6363" s="451"/>
      <c r="CD6363" s="451"/>
      <c r="CE6363" s="451"/>
      <c r="CF6363" s="451"/>
      <c r="CG6363" s="451"/>
      <c r="CH6363" s="451"/>
      <c r="CI6363" s="451"/>
      <c r="CJ6363" s="451"/>
      <c r="CK6363" s="451"/>
      <c r="CL6363" s="451"/>
      <c r="CM6363" s="451"/>
      <c r="CN6363" s="451"/>
      <c r="CO6363" s="451"/>
      <c r="CP6363" s="451"/>
      <c r="CQ6363" s="451"/>
      <c r="CR6363" s="451"/>
      <c r="CS6363" s="451"/>
      <c r="CT6363" s="451"/>
      <c r="CU6363" s="451"/>
      <c r="CV6363" s="451"/>
      <c r="CW6363" s="451"/>
      <c r="CX6363" s="451"/>
      <c r="CY6363" s="451"/>
      <c r="CZ6363" s="451"/>
      <c r="DA6363" s="451"/>
      <c r="DB6363" s="451"/>
      <c r="DC6363" s="451"/>
      <c r="DD6363" s="451"/>
      <c r="DE6363" s="451"/>
      <c r="DF6363" s="451"/>
      <c r="DG6363" s="451"/>
      <c r="DH6363" s="451"/>
      <c r="DI6363" s="451"/>
      <c r="DJ6363" s="451"/>
      <c r="DK6363" s="451"/>
      <c r="DL6363" s="451"/>
      <c r="DM6363" s="451"/>
      <c r="DN6363" s="451"/>
      <c r="DO6363" s="451"/>
      <c r="DP6363" s="451"/>
      <c r="DQ6363" s="451"/>
      <c r="DR6363" s="451"/>
      <c r="DS6363" s="451"/>
      <c r="DT6363" s="451"/>
      <c r="DU6363" s="451"/>
      <c r="DV6363" s="451"/>
      <c r="DW6363" s="451"/>
      <c r="DX6363" s="451"/>
      <c r="DY6363" s="451"/>
      <c r="DZ6363" s="451"/>
      <c r="EA6363" s="451"/>
      <c r="EB6363" s="451"/>
      <c r="EC6363" s="451"/>
      <c r="ED6363" s="451"/>
      <c r="EE6363" s="451"/>
      <c r="EF6363" s="451"/>
      <c r="EG6363" s="451"/>
      <c r="EH6363" s="451"/>
      <c r="EI6363" s="451"/>
      <c r="EJ6363" s="451"/>
      <c r="EK6363" s="451"/>
      <c r="EL6363" s="451"/>
      <c r="EM6363" s="451"/>
      <c r="EN6363" s="451"/>
      <c r="EO6363" s="451"/>
      <c r="EP6363" s="451"/>
      <c r="EQ6363" s="451"/>
      <c r="ER6363" s="451"/>
      <c r="ES6363" s="451"/>
    </row>
    <row r="6364" spans="1:149" ht="15" hidden="1" customHeight="1">
      <c r="A6364" s="468">
        <v>45554</v>
      </c>
      <c r="B6364" s="208" t="s">
        <v>5162</v>
      </c>
      <c r="C6364" s="208" t="s">
        <v>27</v>
      </c>
      <c r="D6364" s="211">
        <v>-1543600</v>
      </c>
      <c r="E6364" s="212">
        <v>45536</v>
      </c>
      <c r="F6364" s="208" t="s">
        <v>109</v>
      </c>
      <c r="G6364" s="201" t="s">
        <v>581</v>
      </c>
      <c r="H6364" s="208"/>
      <c r="I6364" s="208"/>
      <c r="J6364" s="209"/>
      <c r="K6364" s="209"/>
      <c r="L6364" s="209"/>
      <c r="M6364" s="209"/>
      <c r="N6364" s="209"/>
      <c r="O6364" s="209"/>
      <c r="P6364" s="209"/>
      <c r="Q6364" s="209"/>
      <c r="R6364" s="209"/>
      <c r="S6364" s="209"/>
      <c r="T6364" s="209"/>
      <c r="U6364" s="451"/>
      <c r="V6364" s="451"/>
      <c r="W6364" s="451"/>
      <c r="X6364" s="451"/>
      <c r="Y6364" s="451"/>
      <c r="Z6364" s="451"/>
      <c r="AA6364" s="451"/>
      <c r="AB6364" s="451"/>
      <c r="AC6364" s="451"/>
      <c r="AD6364" s="451"/>
      <c r="AE6364" s="451"/>
      <c r="AF6364" s="451"/>
      <c r="AG6364" s="451"/>
      <c r="AH6364" s="451"/>
      <c r="AI6364" s="451"/>
      <c r="AJ6364" s="451"/>
      <c r="AK6364" s="451"/>
      <c r="AL6364" s="451"/>
      <c r="AM6364" s="451"/>
      <c r="AN6364" s="451"/>
      <c r="AO6364" s="451"/>
      <c r="AP6364" s="451"/>
      <c r="AQ6364" s="451"/>
      <c r="AR6364" s="451"/>
      <c r="AS6364" s="451"/>
      <c r="AT6364" s="451"/>
      <c r="AU6364" s="451"/>
      <c r="AV6364" s="451"/>
      <c r="AW6364" s="451"/>
      <c r="AX6364" s="451"/>
      <c r="AY6364" s="451"/>
      <c r="AZ6364" s="451"/>
      <c r="BA6364" s="451"/>
      <c r="BB6364" s="451"/>
      <c r="BC6364" s="451"/>
      <c r="BD6364" s="451"/>
      <c r="BE6364" s="451"/>
      <c r="BF6364" s="451"/>
      <c r="BG6364" s="451"/>
      <c r="BH6364" s="451"/>
      <c r="BI6364" s="451"/>
      <c r="BJ6364" s="451"/>
      <c r="BK6364" s="451"/>
      <c r="BL6364" s="451"/>
      <c r="BM6364" s="451"/>
      <c r="BN6364" s="451"/>
      <c r="BO6364" s="451"/>
      <c r="BP6364" s="451"/>
      <c r="BQ6364" s="451"/>
      <c r="BR6364" s="451"/>
      <c r="BS6364" s="451"/>
      <c r="BT6364" s="451"/>
      <c r="BU6364" s="451"/>
      <c r="BV6364" s="451"/>
      <c r="BW6364" s="451"/>
      <c r="BX6364" s="451"/>
      <c r="BY6364" s="451"/>
      <c r="BZ6364" s="451"/>
      <c r="CA6364" s="451"/>
      <c r="CB6364" s="451"/>
      <c r="CC6364" s="451"/>
      <c r="CD6364" s="451"/>
      <c r="CE6364" s="451"/>
      <c r="CF6364" s="451"/>
      <c r="CG6364" s="451"/>
      <c r="CH6364" s="451"/>
      <c r="CI6364" s="451"/>
      <c r="CJ6364" s="451"/>
      <c r="CK6364" s="451"/>
      <c r="CL6364" s="451"/>
      <c r="CM6364" s="451"/>
      <c r="CN6364" s="451"/>
      <c r="CO6364" s="451"/>
      <c r="CP6364" s="451"/>
      <c r="CQ6364" s="451"/>
      <c r="CR6364" s="451"/>
      <c r="CS6364" s="451"/>
      <c r="CT6364" s="451"/>
      <c r="CU6364" s="451"/>
      <c r="CV6364" s="451"/>
      <c r="CW6364" s="451"/>
      <c r="CX6364" s="451"/>
      <c r="CY6364" s="451"/>
      <c r="CZ6364" s="451"/>
      <c r="DA6364" s="451"/>
      <c r="DB6364" s="451"/>
      <c r="DC6364" s="451"/>
      <c r="DD6364" s="451"/>
      <c r="DE6364" s="451"/>
      <c r="DF6364" s="451"/>
      <c r="DG6364" s="451"/>
      <c r="DH6364" s="451"/>
      <c r="DI6364" s="451"/>
      <c r="DJ6364" s="451"/>
      <c r="DK6364" s="451"/>
      <c r="DL6364" s="451"/>
      <c r="DM6364" s="451"/>
      <c r="DN6364" s="451"/>
      <c r="DO6364" s="451"/>
      <c r="DP6364" s="451"/>
      <c r="DQ6364" s="451"/>
      <c r="DR6364" s="451"/>
      <c r="DS6364" s="451"/>
      <c r="DT6364" s="451"/>
      <c r="DU6364" s="451"/>
      <c r="DV6364" s="451"/>
      <c r="DW6364" s="451"/>
      <c r="DX6364" s="451"/>
      <c r="DY6364" s="451"/>
      <c r="DZ6364" s="451"/>
      <c r="EA6364" s="451"/>
      <c r="EB6364" s="451"/>
      <c r="EC6364" s="451"/>
      <c r="ED6364" s="451"/>
      <c r="EE6364" s="451"/>
      <c r="EF6364" s="451"/>
      <c r="EG6364" s="451"/>
      <c r="EH6364" s="451"/>
      <c r="EI6364" s="451"/>
      <c r="EJ6364" s="451"/>
      <c r="EK6364" s="451"/>
      <c r="EL6364" s="451"/>
      <c r="EM6364" s="451"/>
      <c r="EN6364" s="451"/>
      <c r="EO6364" s="451"/>
      <c r="EP6364" s="451"/>
      <c r="EQ6364" s="451"/>
      <c r="ER6364" s="451"/>
      <c r="ES6364" s="451"/>
    </row>
    <row r="6365" spans="1:149" ht="15" hidden="1" customHeight="1">
      <c r="A6365" s="468">
        <v>45554</v>
      </c>
      <c r="B6365" s="208" t="s">
        <v>5163</v>
      </c>
      <c r="C6365" s="208" t="s">
        <v>27</v>
      </c>
      <c r="D6365" s="211">
        <v>-831300</v>
      </c>
      <c r="E6365" s="212">
        <v>45536</v>
      </c>
      <c r="F6365" s="208" t="s">
        <v>109</v>
      </c>
      <c r="G6365" s="208" t="s">
        <v>2809</v>
      </c>
      <c r="H6365" s="208" t="s">
        <v>2421</v>
      </c>
      <c r="I6365" s="208"/>
      <c r="J6365" s="209"/>
      <c r="K6365" s="209"/>
      <c r="L6365" s="209"/>
      <c r="M6365" s="209"/>
      <c r="N6365" s="209"/>
      <c r="O6365" s="209"/>
      <c r="P6365" s="209"/>
      <c r="Q6365" s="209"/>
      <c r="R6365" s="209"/>
      <c r="S6365" s="209"/>
      <c r="T6365" s="209"/>
      <c r="U6365" s="451"/>
      <c r="V6365" s="451"/>
      <c r="W6365" s="451"/>
      <c r="X6365" s="451"/>
      <c r="Y6365" s="451"/>
      <c r="Z6365" s="451"/>
      <c r="AA6365" s="451"/>
      <c r="AB6365" s="451"/>
      <c r="AC6365" s="451"/>
      <c r="AD6365" s="451"/>
      <c r="AE6365" s="451"/>
      <c r="AF6365" s="451"/>
      <c r="AG6365" s="451"/>
      <c r="AH6365" s="451"/>
      <c r="AI6365" s="451"/>
      <c r="AJ6365" s="451"/>
      <c r="AK6365" s="451"/>
      <c r="AL6365" s="451"/>
      <c r="AM6365" s="451"/>
      <c r="AN6365" s="451"/>
      <c r="AO6365" s="451"/>
      <c r="AP6365" s="451"/>
      <c r="AQ6365" s="451"/>
      <c r="AR6365" s="451"/>
      <c r="AS6365" s="451"/>
      <c r="AT6365" s="451"/>
      <c r="AU6365" s="451"/>
      <c r="AV6365" s="451"/>
      <c r="AW6365" s="451"/>
      <c r="AX6365" s="451"/>
      <c r="AY6365" s="451"/>
      <c r="AZ6365" s="451"/>
      <c r="BA6365" s="451"/>
      <c r="BB6365" s="451"/>
      <c r="BC6365" s="451"/>
      <c r="BD6365" s="451"/>
      <c r="BE6365" s="451"/>
      <c r="BF6365" s="451"/>
      <c r="BG6365" s="451"/>
      <c r="BH6365" s="451"/>
      <c r="BI6365" s="451"/>
      <c r="BJ6365" s="451"/>
      <c r="BK6365" s="451"/>
      <c r="BL6365" s="451"/>
      <c r="BM6365" s="451"/>
      <c r="BN6365" s="451"/>
      <c r="BO6365" s="451"/>
      <c r="BP6365" s="451"/>
      <c r="BQ6365" s="451"/>
      <c r="BR6365" s="451"/>
      <c r="BS6365" s="451"/>
      <c r="BT6365" s="451"/>
      <c r="BU6365" s="451"/>
      <c r="BV6365" s="451"/>
      <c r="BW6365" s="451"/>
      <c r="BX6365" s="451"/>
      <c r="BY6365" s="451"/>
      <c r="BZ6365" s="451"/>
      <c r="CA6365" s="451"/>
      <c r="CB6365" s="451"/>
      <c r="CC6365" s="451"/>
      <c r="CD6365" s="451"/>
      <c r="CE6365" s="451"/>
      <c r="CF6365" s="451"/>
      <c r="CG6365" s="451"/>
      <c r="CH6365" s="451"/>
      <c r="CI6365" s="451"/>
      <c r="CJ6365" s="451"/>
      <c r="CK6365" s="451"/>
      <c r="CL6365" s="451"/>
      <c r="CM6365" s="451"/>
      <c r="CN6365" s="451"/>
      <c r="CO6365" s="451"/>
      <c r="CP6365" s="451"/>
      <c r="CQ6365" s="451"/>
      <c r="CR6365" s="451"/>
      <c r="CS6365" s="451"/>
      <c r="CT6365" s="451"/>
      <c r="CU6365" s="451"/>
      <c r="CV6365" s="451"/>
      <c r="CW6365" s="451"/>
      <c r="CX6365" s="451"/>
      <c r="CY6365" s="451"/>
      <c r="CZ6365" s="451"/>
      <c r="DA6365" s="451"/>
      <c r="DB6365" s="451"/>
      <c r="DC6365" s="451"/>
      <c r="DD6365" s="451"/>
      <c r="DE6365" s="451"/>
      <c r="DF6365" s="451"/>
      <c r="DG6365" s="451"/>
      <c r="DH6365" s="451"/>
      <c r="DI6365" s="451"/>
      <c r="DJ6365" s="451"/>
      <c r="DK6365" s="451"/>
      <c r="DL6365" s="451"/>
      <c r="DM6365" s="451"/>
      <c r="DN6365" s="451"/>
      <c r="DO6365" s="451"/>
      <c r="DP6365" s="451"/>
      <c r="DQ6365" s="451"/>
      <c r="DR6365" s="451"/>
      <c r="DS6365" s="451"/>
      <c r="DT6365" s="451"/>
      <c r="DU6365" s="451"/>
      <c r="DV6365" s="451"/>
      <c r="DW6365" s="451"/>
      <c r="DX6365" s="451"/>
      <c r="DY6365" s="451"/>
      <c r="DZ6365" s="451"/>
      <c r="EA6365" s="451"/>
      <c r="EB6365" s="451"/>
      <c r="EC6365" s="451"/>
      <c r="ED6365" s="451"/>
      <c r="EE6365" s="451"/>
      <c r="EF6365" s="451"/>
      <c r="EG6365" s="451"/>
      <c r="EH6365" s="451"/>
      <c r="EI6365" s="451"/>
      <c r="EJ6365" s="451"/>
      <c r="EK6365" s="451"/>
      <c r="EL6365" s="451"/>
      <c r="EM6365" s="451"/>
      <c r="EN6365" s="451"/>
      <c r="EO6365" s="451"/>
      <c r="EP6365" s="451"/>
      <c r="EQ6365" s="451"/>
      <c r="ER6365" s="451"/>
      <c r="ES6365" s="451"/>
    </row>
    <row r="6366" spans="1:149" s="451" customFormat="1" ht="15" hidden="1" customHeight="1">
      <c r="A6366" s="468">
        <v>45554</v>
      </c>
      <c r="B6366" s="208" t="s">
        <v>5164</v>
      </c>
      <c r="C6366" s="208" t="s">
        <v>27</v>
      </c>
      <c r="D6366" s="211">
        <v>-809300</v>
      </c>
      <c r="E6366" s="212">
        <v>45536</v>
      </c>
      <c r="F6366" s="208" t="s">
        <v>109</v>
      </c>
      <c r="G6366" s="208" t="s">
        <v>2809</v>
      </c>
      <c r="H6366" s="208" t="s">
        <v>2421</v>
      </c>
      <c r="I6366" s="208"/>
      <c r="J6366" s="209"/>
      <c r="K6366" s="209"/>
      <c r="L6366" s="209"/>
      <c r="M6366" s="209"/>
      <c r="N6366" s="209"/>
      <c r="O6366" s="209"/>
      <c r="P6366" s="209"/>
      <c r="Q6366" s="209"/>
      <c r="R6366" s="209"/>
      <c r="S6366" s="209"/>
      <c r="T6366" s="209"/>
    </row>
    <row r="6367" spans="1:149" s="451" customFormat="1" ht="15" hidden="1" customHeight="1">
      <c r="A6367" s="468">
        <v>45554</v>
      </c>
      <c r="B6367" s="208" t="s">
        <v>5165</v>
      </c>
      <c r="C6367" s="208" t="s">
        <v>27</v>
      </c>
      <c r="D6367" s="211">
        <v>-1562000</v>
      </c>
      <c r="E6367" s="212">
        <v>45536</v>
      </c>
      <c r="F6367" s="208" t="s">
        <v>109</v>
      </c>
      <c r="G6367" s="208" t="s">
        <v>2809</v>
      </c>
      <c r="H6367" s="208" t="s">
        <v>2421</v>
      </c>
      <c r="I6367" s="208"/>
      <c r="J6367" s="209"/>
      <c r="K6367" s="209"/>
      <c r="L6367" s="209"/>
      <c r="M6367" s="209"/>
      <c r="N6367" s="209"/>
      <c r="O6367" s="209"/>
      <c r="P6367" s="209"/>
      <c r="Q6367" s="209"/>
      <c r="R6367" s="209"/>
      <c r="S6367" s="209"/>
      <c r="T6367" s="209"/>
    </row>
    <row r="6368" spans="1:149" ht="15" hidden="1" customHeight="1">
      <c r="A6368" s="468">
        <v>45554</v>
      </c>
      <c r="B6368" s="208" t="s">
        <v>5166</v>
      </c>
      <c r="C6368" s="208" t="s">
        <v>27</v>
      </c>
      <c r="D6368" s="211">
        <v>-613100</v>
      </c>
      <c r="E6368" s="212">
        <v>45536</v>
      </c>
      <c r="F6368" s="208" t="s">
        <v>109</v>
      </c>
      <c r="G6368" s="208" t="s">
        <v>2809</v>
      </c>
      <c r="H6368" s="208" t="s">
        <v>2421</v>
      </c>
      <c r="I6368" s="208"/>
      <c r="J6368" s="209"/>
      <c r="K6368" s="209"/>
      <c r="L6368" s="209"/>
      <c r="M6368" s="209"/>
      <c r="N6368" s="209"/>
      <c r="O6368" s="209"/>
      <c r="P6368" s="209"/>
      <c r="Q6368" s="209"/>
      <c r="R6368" s="209"/>
      <c r="S6368" s="209"/>
      <c r="T6368" s="209"/>
      <c r="U6368" s="451"/>
      <c r="V6368" s="451"/>
      <c r="W6368" s="451"/>
      <c r="X6368" s="451"/>
      <c r="Y6368" s="451"/>
      <c r="Z6368" s="451"/>
      <c r="AA6368" s="451"/>
      <c r="AB6368" s="451"/>
      <c r="AC6368" s="451"/>
      <c r="AD6368" s="451"/>
      <c r="AE6368" s="451"/>
      <c r="AF6368" s="451"/>
      <c r="AG6368" s="451"/>
      <c r="AH6368" s="451"/>
      <c r="AI6368" s="451"/>
      <c r="AJ6368" s="451"/>
      <c r="AK6368" s="451"/>
      <c r="AL6368" s="451"/>
      <c r="AM6368" s="451"/>
      <c r="AN6368" s="451"/>
      <c r="AO6368" s="451"/>
      <c r="AP6368" s="451"/>
      <c r="AQ6368" s="451"/>
      <c r="AR6368" s="451"/>
      <c r="AS6368" s="451"/>
      <c r="AT6368" s="451"/>
      <c r="AU6368" s="451"/>
      <c r="AV6368" s="451"/>
      <c r="AW6368" s="451"/>
      <c r="AX6368" s="451"/>
      <c r="AY6368" s="451"/>
      <c r="AZ6368" s="451"/>
      <c r="BA6368" s="451"/>
      <c r="BB6368" s="451"/>
      <c r="BC6368" s="451"/>
      <c r="BD6368" s="451"/>
      <c r="BE6368" s="451"/>
      <c r="BF6368" s="451"/>
      <c r="BG6368" s="451"/>
      <c r="BH6368" s="451"/>
      <c r="BI6368" s="451"/>
      <c r="BJ6368" s="451"/>
      <c r="BK6368" s="451"/>
      <c r="BL6368" s="451"/>
      <c r="BM6368" s="451"/>
      <c r="BN6368" s="451"/>
      <c r="BO6368" s="451"/>
      <c r="BP6368" s="451"/>
      <c r="BQ6368" s="451"/>
      <c r="BR6368" s="451"/>
      <c r="BS6368" s="451"/>
      <c r="BT6368" s="451"/>
      <c r="BU6368" s="451"/>
      <c r="BV6368" s="451"/>
      <c r="BW6368" s="451"/>
      <c r="BX6368" s="451"/>
      <c r="BY6368" s="451"/>
      <c r="BZ6368" s="451"/>
      <c r="CA6368" s="451"/>
      <c r="CB6368" s="451"/>
      <c r="CC6368" s="451"/>
      <c r="CD6368" s="451"/>
      <c r="CE6368" s="451"/>
      <c r="CF6368" s="451"/>
      <c r="CG6368" s="451"/>
      <c r="CH6368" s="451"/>
      <c r="CI6368" s="451"/>
      <c r="CJ6368" s="451"/>
      <c r="CK6368" s="451"/>
      <c r="CL6368" s="451"/>
      <c r="CM6368" s="451"/>
      <c r="CN6368" s="451"/>
      <c r="CO6368" s="451"/>
      <c r="CP6368" s="451"/>
      <c r="CQ6368" s="451"/>
      <c r="CR6368" s="451"/>
      <c r="CS6368" s="451"/>
      <c r="CT6368" s="451"/>
      <c r="CU6368" s="451"/>
      <c r="CV6368" s="451"/>
      <c r="CW6368" s="451"/>
      <c r="CX6368" s="451"/>
      <c r="CY6368" s="451"/>
      <c r="CZ6368" s="451"/>
      <c r="DA6368" s="451"/>
      <c r="DB6368" s="451"/>
      <c r="DC6368" s="451"/>
      <c r="DD6368" s="451"/>
      <c r="DE6368" s="451"/>
      <c r="DF6368" s="451"/>
      <c r="DG6368" s="451"/>
      <c r="DH6368" s="451"/>
      <c r="DI6368" s="451"/>
      <c r="DJ6368" s="451"/>
      <c r="DK6368" s="451"/>
      <c r="DL6368" s="451"/>
      <c r="DM6368" s="451"/>
      <c r="DN6368" s="451"/>
      <c r="DO6368" s="451"/>
      <c r="DP6368" s="451"/>
      <c r="DQ6368" s="451"/>
      <c r="DR6368" s="451"/>
      <c r="DS6368" s="451"/>
      <c r="DT6368" s="451"/>
      <c r="DU6368" s="451"/>
      <c r="DV6368" s="451"/>
      <c r="DW6368" s="451"/>
      <c r="DX6368" s="451"/>
      <c r="DY6368" s="451"/>
      <c r="DZ6368" s="451"/>
      <c r="EA6368" s="451"/>
      <c r="EB6368" s="451"/>
      <c r="EC6368" s="451"/>
      <c r="ED6368" s="451"/>
      <c r="EE6368" s="451"/>
      <c r="EF6368" s="451"/>
      <c r="EG6368" s="451"/>
      <c r="EH6368" s="451"/>
      <c r="EI6368" s="451"/>
      <c r="EJ6368" s="451"/>
      <c r="EK6368" s="451"/>
      <c r="EL6368" s="451"/>
      <c r="EM6368" s="451"/>
      <c r="EN6368" s="451"/>
      <c r="EO6368" s="451"/>
      <c r="EP6368" s="451"/>
      <c r="EQ6368" s="451"/>
      <c r="ER6368" s="451"/>
      <c r="ES6368" s="451"/>
    </row>
    <row r="6369" spans="1:149" ht="15" hidden="1" customHeight="1">
      <c r="A6369" s="468">
        <v>45554</v>
      </c>
      <c r="B6369" s="208" t="s">
        <v>5167</v>
      </c>
      <c r="C6369" s="208" t="s">
        <v>27</v>
      </c>
      <c r="D6369" s="211">
        <v>-404800</v>
      </c>
      <c r="E6369" s="212">
        <v>45536</v>
      </c>
      <c r="F6369" s="208" t="s">
        <v>109</v>
      </c>
      <c r="G6369" s="201" t="s">
        <v>581</v>
      </c>
      <c r="H6369" s="208"/>
      <c r="I6369" s="208"/>
      <c r="J6369" s="209"/>
      <c r="K6369" s="209"/>
      <c r="L6369" s="209"/>
      <c r="M6369" s="209"/>
      <c r="N6369" s="209"/>
      <c r="O6369" s="209"/>
      <c r="P6369" s="209"/>
      <c r="Q6369" s="209"/>
      <c r="R6369" s="209"/>
      <c r="S6369" s="209"/>
      <c r="T6369" s="209"/>
      <c r="U6369" s="451"/>
      <c r="V6369" s="451"/>
      <c r="W6369" s="451"/>
      <c r="X6369" s="451"/>
      <c r="Y6369" s="451"/>
      <c r="Z6369" s="451"/>
      <c r="AA6369" s="451"/>
      <c r="AB6369" s="451"/>
      <c r="AC6369" s="451"/>
      <c r="AD6369" s="451"/>
      <c r="AE6369" s="451"/>
      <c r="AF6369" s="451"/>
      <c r="AG6369" s="451"/>
      <c r="AH6369" s="451"/>
      <c r="AI6369" s="451"/>
      <c r="AJ6369" s="451"/>
      <c r="AK6369" s="451"/>
      <c r="AL6369" s="451"/>
      <c r="AM6369" s="451"/>
      <c r="AN6369" s="451"/>
      <c r="AO6369" s="451"/>
      <c r="AP6369" s="451"/>
      <c r="AQ6369" s="451"/>
      <c r="AR6369" s="451"/>
      <c r="AS6369" s="451"/>
      <c r="AT6369" s="451"/>
      <c r="AU6369" s="451"/>
      <c r="AV6369" s="451"/>
      <c r="AW6369" s="451"/>
      <c r="AX6369" s="451"/>
      <c r="AY6369" s="451"/>
      <c r="AZ6369" s="451"/>
      <c r="BA6369" s="451"/>
      <c r="BB6369" s="451"/>
      <c r="BC6369" s="451"/>
      <c r="BD6369" s="451"/>
      <c r="BE6369" s="451"/>
      <c r="BF6369" s="451"/>
      <c r="BG6369" s="451"/>
      <c r="BH6369" s="451"/>
      <c r="BI6369" s="451"/>
      <c r="BJ6369" s="451"/>
      <c r="BK6369" s="451"/>
      <c r="BL6369" s="451"/>
      <c r="BM6369" s="451"/>
      <c r="BN6369" s="451"/>
      <c r="BO6369" s="451"/>
      <c r="BP6369" s="451"/>
      <c r="BQ6369" s="451"/>
      <c r="BR6369" s="451"/>
      <c r="BS6369" s="451"/>
      <c r="BT6369" s="451"/>
      <c r="BU6369" s="451"/>
      <c r="BV6369" s="451"/>
      <c r="BW6369" s="451"/>
      <c r="BX6369" s="451"/>
      <c r="BY6369" s="451"/>
      <c r="BZ6369" s="451"/>
      <c r="CA6369" s="451"/>
      <c r="CB6369" s="451"/>
      <c r="CC6369" s="451"/>
      <c r="CD6369" s="451"/>
      <c r="CE6369" s="451"/>
      <c r="CF6369" s="451"/>
      <c r="CG6369" s="451"/>
      <c r="CH6369" s="451"/>
      <c r="CI6369" s="451"/>
      <c r="CJ6369" s="451"/>
      <c r="CK6369" s="451"/>
      <c r="CL6369" s="451"/>
      <c r="CM6369" s="451"/>
      <c r="CN6369" s="451"/>
      <c r="CO6369" s="451"/>
      <c r="CP6369" s="451"/>
      <c r="CQ6369" s="451"/>
      <c r="CR6369" s="451"/>
      <c r="CS6369" s="451"/>
      <c r="CT6369" s="451"/>
      <c r="CU6369" s="451"/>
      <c r="CV6369" s="451"/>
      <c r="CW6369" s="451"/>
      <c r="CX6369" s="451"/>
      <c r="CY6369" s="451"/>
      <c r="CZ6369" s="451"/>
      <c r="DA6369" s="451"/>
      <c r="DB6369" s="451"/>
      <c r="DC6369" s="451"/>
      <c r="DD6369" s="451"/>
      <c r="DE6369" s="451"/>
      <c r="DF6369" s="451"/>
      <c r="DG6369" s="451"/>
      <c r="DH6369" s="451"/>
      <c r="DI6369" s="451"/>
      <c r="DJ6369" s="451"/>
      <c r="DK6369" s="451"/>
      <c r="DL6369" s="451"/>
      <c r="DM6369" s="451"/>
      <c r="DN6369" s="451"/>
      <c r="DO6369" s="451"/>
      <c r="DP6369" s="451"/>
      <c r="DQ6369" s="451"/>
      <c r="DR6369" s="451"/>
      <c r="DS6369" s="451"/>
      <c r="DT6369" s="451"/>
      <c r="DU6369" s="451"/>
      <c r="DV6369" s="451"/>
      <c r="DW6369" s="451"/>
      <c r="DX6369" s="451"/>
      <c r="DY6369" s="451"/>
      <c r="DZ6369" s="451"/>
      <c r="EA6369" s="451"/>
      <c r="EB6369" s="451"/>
      <c r="EC6369" s="451"/>
      <c r="ED6369" s="451"/>
      <c r="EE6369" s="451"/>
      <c r="EF6369" s="451"/>
      <c r="EG6369" s="451"/>
      <c r="EH6369" s="451"/>
      <c r="EI6369" s="451"/>
      <c r="EJ6369" s="451"/>
      <c r="EK6369" s="451"/>
      <c r="EL6369" s="451"/>
      <c r="EM6369" s="451"/>
      <c r="EN6369" s="451"/>
      <c r="EO6369" s="451"/>
      <c r="EP6369" s="451"/>
      <c r="EQ6369" s="451"/>
      <c r="ER6369" s="451"/>
      <c r="ES6369" s="451"/>
    </row>
    <row r="6370" spans="1:149" ht="15" hidden="1" customHeight="1">
      <c r="A6370" s="468">
        <v>45554</v>
      </c>
      <c r="B6370" s="208" t="s">
        <v>5168</v>
      </c>
      <c r="C6370" s="208" t="s">
        <v>27</v>
      </c>
      <c r="D6370" s="211">
        <v>-789400</v>
      </c>
      <c r="E6370" s="212">
        <v>45536</v>
      </c>
      <c r="F6370" s="208" t="s">
        <v>109</v>
      </c>
      <c r="G6370" s="201" t="s">
        <v>581</v>
      </c>
      <c r="H6370" s="208"/>
      <c r="I6370" s="208"/>
      <c r="J6370" s="209"/>
      <c r="K6370" s="209"/>
      <c r="L6370" s="209"/>
      <c r="M6370" s="209"/>
      <c r="N6370" s="209"/>
      <c r="O6370" s="209"/>
      <c r="P6370" s="209"/>
      <c r="Q6370" s="209"/>
      <c r="R6370" s="209"/>
      <c r="S6370" s="209"/>
      <c r="T6370" s="209"/>
      <c r="U6370" s="451"/>
      <c r="V6370" s="451"/>
      <c r="W6370" s="451"/>
      <c r="X6370" s="451"/>
      <c r="Y6370" s="451"/>
      <c r="Z6370" s="451"/>
      <c r="AA6370" s="451"/>
      <c r="AB6370" s="451"/>
      <c r="AC6370" s="451"/>
      <c r="AD6370" s="451"/>
      <c r="AE6370" s="451"/>
      <c r="AF6370" s="451"/>
      <c r="AG6370" s="451"/>
      <c r="AH6370" s="451"/>
      <c r="AI6370" s="451"/>
      <c r="AJ6370" s="451"/>
      <c r="AK6370" s="451"/>
      <c r="AL6370" s="451"/>
      <c r="AM6370" s="451"/>
      <c r="AN6370" s="451"/>
      <c r="AO6370" s="451"/>
      <c r="AP6370" s="451"/>
      <c r="AQ6370" s="451"/>
      <c r="AR6370" s="451"/>
      <c r="AS6370" s="451"/>
      <c r="AT6370" s="451"/>
      <c r="AU6370" s="451"/>
      <c r="AV6370" s="451"/>
      <c r="AW6370" s="451"/>
      <c r="AX6370" s="451"/>
      <c r="AY6370" s="451"/>
      <c r="AZ6370" s="451"/>
      <c r="BA6370" s="451"/>
      <c r="BB6370" s="451"/>
      <c r="BC6370" s="451"/>
      <c r="BD6370" s="451"/>
      <c r="BE6370" s="451"/>
      <c r="BF6370" s="451"/>
      <c r="BG6370" s="451"/>
      <c r="BH6370" s="451"/>
      <c r="BI6370" s="451"/>
      <c r="BJ6370" s="451"/>
      <c r="BK6370" s="451"/>
      <c r="BL6370" s="451"/>
      <c r="BM6370" s="451"/>
      <c r="BN6370" s="451"/>
      <c r="BO6370" s="451"/>
      <c r="BP6370" s="451"/>
      <c r="BQ6370" s="451"/>
      <c r="BR6370" s="451"/>
      <c r="BS6370" s="451"/>
      <c r="BT6370" s="451"/>
      <c r="BU6370" s="451"/>
      <c r="BV6370" s="451"/>
      <c r="BW6370" s="451"/>
      <c r="BX6370" s="451"/>
      <c r="BY6370" s="451"/>
      <c r="BZ6370" s="451"/>
      <c r="CA6370" s="451"/>
      <c r="CB6370" s="451"/>
      <c r="CC6370" s="451"/>
      <c r="CD6370" s="451"/>
      <c r="CE6370" s="451"/>
      <c r="CF6370" s="451"/>
      <c r="CG6370" s="451"/>
      <c r="CH6370" s="451"/>
      <c r="CI6370" s="451"/>
      <c r="CJ6370" s="451"/>
      <c r="CK6370" s="451"/>
      <c r="CL6370" s="451"/>
      <c r="CM6370" s="451"/>
      <c r="CN6370" s="451"/>
      <c r="CO6370" s="451"/>
      <c r="CP6370" s="451"/>
      <c r="CQ6370" s="451"/>
      <c r="CR6370" s="451"/>
      <c r="CS6370" s="451"/>
      <c r="CT6370" s="451"/>
      <c r="CU6370" s="451"/>
      <c r="CV6370" s="451"/>
      <c r="CW6370" s="451"/>
      <c r="CX6370" s="451"/>
      <c r="CY6370" s="451"/>
      <c r="CZ6370" s="451"/>
      <c r="DA6370" s="451"/>
      <c r="DB6370" s="451"/>
      <c r="DC6370" s="451"/>
      <c r="DD6370" s="451"/>
      <c r="DE6370" s="451"/>
      <c r="DF6370" s="451"/>
      <c r="DG6370" s="451"/>
      <c r="DH6370" s="451"/>
      <c r="DI6370" s="451"/>
      <c r="DJ6370" s="451"/>
      <c r="DK6370" s="451"/>
      <c r="DL6370" s="451"/>
      <c r="DM6370" s="451"/>
      <c r="DN6370" s="451"/>
      <c r="DO6370" s="451"/>
      <c r="DP6370" s="451"/>
      <c r="DQ6370" s="451"/>
      <c r="DR6370" s="451"/>
      <c r="DS6370" s="451"/>
      <c r="DT6370" s="451"/>
      <c r="DU6370" s="451"/>
      <c r="DV6370" s="451"/>
      <c r="DW6370" s="451"/>
      <c r="DX6370" s="451"/>
      <c r="DY6370" s="451"/>
      <c r="DZ6370" s="451"/>
      <c r="EA6370" s="451"/>
      <c r="EB6370" s="451"/>
      <c r="EC6370" s="451"/>
      <c r="ED6370" s="451"/>
      <c r="EE6370" s="451"/>
      <c r="EF6370" s="451"/>
      <c r="EG6370" s="451"/>
      <c r="EH6370" s="451"/>
      <c r="EI6370" s="451"/>
      <c r="EJ6370" s="451"/>
      <c r="EK6370" s="451"/>
      <c r="EL6370" s="451"/>
      <c r="EM6370" s="451"/>
      <c r="EN6370" s="451"/>
      <c r="EO6370" s="451"/>
      <c r="EP6370" s="451"/>
      <c r="EQ6370" s="451"/>
      <c r="ER6370" s="451"/>
      <c r="ES6370" s="451"/>
    </row>
    <row r="6371" spans="1:149" ht="15" hidden="1" customHeight="1">
      <c r="A6371" s="468">
        <v>45554</v>
      </c>
      <c r="B6371" s="208" t="s">
        <v>5169</v>
      </c>
      <c r="C6371" s="208" t="s">
        <v>27</v>
      </c>
      <c r="D6371" s="211">
        <v>-370400</v>
      </c>
      <c r="E6371" s="212">
        <v>45536</v>
      </c>
      <c r="F6371" s="208" t="s">
        <v>109</v>
      </c>
      <c r="G6371" s="201" t="s">
        <v>581</v>
      </c>
      <c r="H6371" s="208"/>
      <c r="I6371" s="208"/>
      <c r="J6371" s="209"/>
      <c r="K6371" s="209"/>
      <c r="L6371" s="209"/>
      <c r="M6371" s="209"/>
      <c r="N6371" s="209"/>
      <c r="O6371" s="209"/>
      <c r="P6371" s="209"/>
      <c r="Q6371" s="209"/>
      <c r="R6371" s="209"/>
      <c r="S6371" s="209"/>
      <c r="T6371" s="209"/>
      <c r="U6371" s="451"/>
      <c r="V6371" s="451"/>
      <c r="W6371" s="451"/>
      <c r="X6371" s="451"/>
      <c r="Y6371" s="451"/>
      <c r="Z6371" s="451"/>
      <c r="AA6371" s="451"/>
      <c r="AB6371" s="451"/>
      <c r="AC6371" s="451"/>
      <c r="AD6371" s="451"/>
      <c r="AE6371" s="451"/>
      <c r="AF6371" s="451"/>
      <c r="AG6371" s="451"/>
      <c r="AH6371" s="451"/>
      <c r="AI6371" s="451"/>
      <c r="AJ6371" s="451"/>
      <c r="AK6371" s="451"/>
      <c r="AL6371" s="451"/>
      <c r="AM6371" s="451"/>
      <c r="AN6371" s="451"/>
      <c r="AO6371" s="451"/>
      <c r="AP6371" s="451"/>
      <c r="AQ6371" s="451"/>
      <c r="AR6371" s="451"/>
      <c r="AS6371" s="451"/>
      <c r="AT6371" s="451"/>
      <c r="AU6371" s="451"/>
      <c r="AV6371" s="451"/>
      <c r="AW6371" s="451"/>
      <c r="AX6371" s="451"/>
      <c r="AY6371" s="451"/>
      <c r="AZ6371" s="451"/>
      <c r="BA6371" s="451"/>
      <c r="BB6371" s="451"/>
      <c r="BC6371" s="451"/>
      <c r="BD6371" s="451"/>
      <c r="BE6371" s="451"/>
      <c r="BF6371" s="451"/>
      <c r="BG6371" s="451"/>
      <c r="BH6371" s="451"/>
      <c r="BI6371" s="451"/>
      <c r="BJ6371" s="451"/>
      <c r="BK6371" s="451"/>
      <c r="BL6371" s="451"/>
      <c r="BM6371" s="451"/>
      <c r="BN6371" s="451"/>
      <c r="BO6371" s="451"/>
      <c r="BP6371" s="451"/>
      <c r="BQ6371" s="451"/>
      <c r="BR6371" s="451"/>
      <c r="BS6371" s="451"/>
      <c r="BT6371" s="451"/>
      <c r="BU6371" s="451"/>
      <c r="BV6371" s="451"/>
      <c r="BW6371" s="451"/>
      <c r="BX6371" s="451"/>
      <c r="BY6371" s="451"/>
      <c r="BZ6371" s="451"/>
      <c r="CA6371" s="451"/>
      <c r="CB6371" s="451"/>
      <c r="CC6371" s="451"/>
      <c r="CD6371" s="451"/>
      <c r="CE6371" s="451"/>
      <c r="CF6371" s="451"/>
      <c r="CG6371" s="451"/>
      <c r="CH6371" s="451"/>
      <c r="CI6371" s="451"/>
      <c r="CJ6371" s="451"/>
      <c r="CK6371" s="451"/>
      <c r="CL6371" s="451"/>
      <c r="CM6371" s="451"/>
      <c r="CN6371" s="451"/>
      <c r="CO6371" s="451"/>
      <c r="CP6371" s="451"/>
      <c r="CQ6371" s="451"/>
      <c r="CR6371" s="451"/>
      <c r="CS6371" s="451"/>
      <c r="CT6371" s="451"/>
      <c r="CU6371" s="451"/>
      <c r="CV6371" s="451"/>
      <c r="CW6371" s="451"/>
      <c r="CX6371" s="451"/>
      <c r="CY6371" s="451"/>
      <c r="CZ6371" s="451"/>
      <c r="DA6371" s="451"/>
      <c r="DB6371" s="451"/>
      <c r="DC6371" s="451"/>
      <c r="DD6371" s="451"/>
      <c r="DE6371" s="451"/>
      <c r="DF6371" s="451"/>
      <c r="DG6371" s="451"/>
      <c r="DH6371" s="451"/>
      <c r="DI6371" s="451"/>
      <c r="DJ6371" s="451"/>
      <c r="DK6371" s="451"/>
      <c r="DL6371" s="451"/>
      <c r="DM6371" s="451"/>
      <c r="DN6371" s="451"/>
      <c r="DO6371" s="451"/>
      <c r="DP6371" s="451"/>
      <c r="DQ6371" s="451"/>
      <c r="DR6371" s="451"/>
      <c r="DS6371" s="451"/>
      <c r="DT6371" s="451"/>
      <c r="DU6371" s="451"/>
      <c r="DV6371" s="451"/>
      <c r="DW6371" s="451"/>
      <c r="DX6371" s="451"/>
      <c r="DY6371" s="451"/>
      <c r="DZ6371" s="451"/>
      <c r="EA6371" s="451"/>
      <c r="EB6371" s="451"/>
      <c r="EC6371" s="451"/>
      <c r="ED6371" s="451"/>
      <c r="EE6371" s="451"/>
      <c r="EF6371" s="451"/>
      <c r="EG6371" s="451"/>
      <c r="EH6371" s="451"/>
      <c r="EI6371" s="451"/>
      <c r="EJ6371" s="451"/>
      <c r="EK6371" s="451"/>
      <c r="EL6371" s="451"/>
      <c r="EM6371" s="451"/>
      <c r="EN6371" s="451"/>
      <c r="EO6371" s="451"/>
      <c r="EP6371" s="451"/>
      <c r="EQ6371" s="451"/>
      <c r="ER6371" s="451"/>
      <c r="ES6371" s="451"/>
    </row>
    <row r="6372" spans="1:149" ht="15" hidden="1" customHeight="1">
      <c r="A6372" s="468">
        <v>45554</v>
      </c>
      <c r="B6372" s="208" t="s">
        <v>5170</v>
      </c>
      <c r="C6372" s="208" t="s">
        <v>27</v>
      </c>
      <c r="D6372" s="718">
        <v>-402500</v>
      </c>
      <c r="E6372" s="212">
        <v>45536</v>
      </c>
      <c r="F6372" s="208" t="s">
        <v>109</v>
      </c>
      <c r="G6372" s="201" t="s">
        <v>581</v>
      </c>
      <c r="H6372" s="208"/>
      <c r="I6372" s="208"/>
      <c r="J6372" s="209"/>
      <c r="K6372" s="209"/>
      <c r="L6372" s="209"/>
      <c r="M6372" s="209"/>
      <c r="N6372" s="209"/>
      <c r="O6372" s="209"/>
      <c r="P6372" s="209"/>
      <c r="Q6372" s="209"/>
      <c r="R6372" s="209"/>
      <c r="S6372" s="209"/>
      <c r="T6372" s="209"/>
      <c r="U6372" s="451"/>
      <c r="V6372" s="451"/>
      <c r="W6372" s="451"/>
      <c r="X6372" s="451"/>
      <c r="Y6372" s="451"/>
      <c r="Z6372" s="451"/>
      <c r="AA6372" s="451"/>
      <c r="AB6372" s="451"/>
      <c r="AC6372" s="451"/>
      <c r="AD6372" s="451"/>
      <c r="AE6372" s="451"/>
      <c r="AF6372" s="451"/>
      <c r="AG6372" s="451"/>
      <c r="AH6372" s="451"/>
      <c r="AI6372" s="451"/>
      <c r="AJ6372" s="451"/>
      <c r="AK6372" s="451"/>
      <c r="AL6372" s="451"/>
      <c r="AM6372" s="451"/>
      <c r="AN6372" s="451"/>
      <c r="AO6372" s="451"/>
      <c r="AP6372" s="451"/>
      <c r="AQ6372" s="451"/>
      <c r="AR6372" s="451"/>
      <c r="AS6372" s="451"/>
      <c r="AT6372" s="451"/>
      <c r="AU6372" s="451"/>
      <c r="AV6372" s="451"/>
      <c r="AW6372" s="451"/>
      <c r="AX6372" s="451"/>
      <c r="AY6372" s="451"/>
      <c r="AZ6372" s="451"/>
      <c r="BA6372" s="451"/>
      <c r="BB6372" s="451"/>
      <c r="BC6372" s="451"/>
      <c r="BD6372" s="451"/>
      <c r="BE6372" s="451"/>
      <c r="BF6372" s="451"/>
      <c r="BG6372" s="451"/>
      <c r="BH6372" s="451"/>
      <c r="BI6372" s="451"/>
      <c r="BJ6372" s="451"/>
      <c r="BK6372" s="451"/>
      <c r="BL6372" s="451"/>
      <c r="BM6372" s="451"/>
      <c r="BN6372" s="451"/>
      <c r="BO6372" s="451"/>
      <c r="BP6372" s="451"/>
      <c r="BQ6372" s="451"/>
      <c r="BR6372" s="451"/>
      <c r="BS6372" s="451"/>
      <c r="BT6372" s="451"/>
      <c r="BU6372" s="451"/>
      <c r="BV6372" s="451"/>
      <c r="BW6372" s="451"/>
      <c r="BX6372" s="451"/>
      <c r="BY6372" s="451"/>
      <c r="BZ6372" s="451"/>
      <c r="CA6372" s="451"/>
      <c r="CB6372" s="451"/>
      <c r="CC6372" s="451"/>
      <c r="CD6372" s="451"/>
      <c r="CE6372" s="451"/>
      <c r="CF6372" s="451"/>
      <c r="CG6372" s="451"/>
      <c r="CH6372" s="451"/>
      <c r="CI6372" s="451"/>
      <c r="CJ6372" s="451"/>
      <c r="CK6372" s="451"/>
      <c r="CL6372" s="451"/>
      <c r="CM6372" s="451"/>
      <c r="CN6372" s="451"/>
      <c r="CO6372" s="451"/>
      <c r="CP6372" s="451"/>
      <c r="CQ6372" s="451"/>
      <c r="CR6372" s="451"/>
      <c r="CS6372" s="451"/>
      <c r="CT6372" s="451"/>
      <c r="CU6372" s="451"/>
      <c r="CV6372" s="451"/>
      <c r="CW6372" s="451"/>
      <c r="CX6372" s="451"/>
      <c r="CY6372" s="451"/>
      <c r="CZ6372" s="451"/>
      <c r="DA6372" s="451"/>
      <c r="DB6372" s="451"/>
      <c r="DC6372" s="451"/>
      <c r="DD6372" s="451"/>
      <c r="DE6372" s="451"/>
      <c r="DF6372" s="451"/>
      <c r="DG6372" s="451"/>
      <c r="DH6372" s="451"/>
      <c r="DI6372" s="451"/>
      <c r="DJ6372" s="451"/>
      <c r="DK6372" s="451"/>
      <c r="DL6372" s="451"/>
      <c r="DM6372" s="451"/>
      <c r="DN6372" s="451"/>
      <c r="DO6372" s="451"/>
      <c r="DP6372" s="451"/>
      <c r="DQ6372" s="451"/>
      <c r="DR6372" s="451"/>
      <c r="DS6372" s="451"/>
      <c r="DT6372" s="451"/>
      <c r="DU6372" s="451"/>
      <c r="DV6372" s="451"/>
      <c r="DW6372" s="451"/>
      <c r="DX6372" s="451"/>
      <c r="DY6372" s="451"/>
      <c r="DZ6372" s="451"/>
      <c r="EA6372" s="451"/>
      <c r="EB6372" s="451"/>
      <c r="EC6372" s="451"/>
      <c r="ED6372" s="451"/>
      <c r="EE6372" s="451"/>
      <c r="EF6372" s="451"/>
      <c r="EG6372" s="451"/>
      <c r="EH6372" s="451"/>
      <c r="EI6372" s="451"/>
      <c r="EJ6372" s="451"/>
      <c r="EK6372" s="451"/>
      <c r="EL6372" s="451"/>
      <c r="EM6372" s="451"/>
      <c r="EN6372" s="451"/>
      <c r="EO6372" s="451"/>
      <c r="EP6372" s="451"/>
      <c r="EQ6372" s="451"/>
      <c r="ER6372" s="451"/>
      <c r="ES6372" s="451"/>
    </row>
    <row r="6373" spans="1:149" ht="15" hidden="1" customHeight="1">
      <c r="A6373" s="468">
        <v>45554</v>
      </c>
      <c r="B6373" s="208" t="s">
        <v>5171</v>
      </c>
      <c r="C6373" s="208" t="s">
        <v>27</v>
      </c>
      <c r="D6373" s="718">
        <v>-402500</v>
      </c>
      <c r="E6373" s="212">
        <v>45536</v>
      </c>
      <c r="F6373" s="208" t="s">
        <v>109</v>
      </c>
      <c r="G6373" s="201" t="s">
        <v>581</v>
      </c>
      <c r="H6373" s="208"/>
      <c r="I6373" s="208"/>
      <c r="J6373" s="209"/>
      <c r="K6373" s="209"/>
      <c r="L6373" s="209"/>
      <c r="M6373" s="209"/>
      <c r="N6373" s="209"/>
      <c r="O6373" s="209"/>
      <c r="P6373" s="209"/>
      <c r="Q6373" s="209"/>
      <c r="R6373" s="209"/>
      <c r="S6373" s="209"/>
      <c r="T6373" s="209"/>
      <c r="U6373" s="451"/>
      <c r="V6373" s="451"/>
      <c r="W6373" s="451"/>
      <c r="X6373" s="451"/>
      <c r="Y6373" s="451"/>
      <c r="Z6373" s="451"/>
      <c r="AA6373" s="451"/>
      <c r="AB6373" s="451"/>
      <c r="AC6373" s="451"/>
      <c r="AD6373" s="451"/>
      <c r="AE6373" s="451"/>
      <c r="AF6373" s="451"/>
      <c r="AG6373" s="451"/>
      <c r="AH6373" s="451"/>
      <c r="AI6373" s="451"/>
      <c r="AJ6373" s="451"/>
      <c r="AK6373" s="451"/>
      <c r="AL6373" s="451"/>
      <c r="AM6373" s="451"/>
      <c r="AN6373" s="451"/>
      <c r="AO6373" s="451"/>
      <c r="AP6373" s="451"/>
      <c r="AQ6373" s="451"/>
      <c r="AR6373" s="451"/>
      <c r="AS6373" s="451"/>
      <c r="AT6373" s="451"/>
      <c r="AU6373" s="451"/>
      <c r="AV6373" s="451"/>
      <c r="AW6373" s="451"/>
      <c r="AX6373" s="451"/>
      <c r="AY6373" s="451"/>
      <c r="AZ6373" s="451"/>
      <c r="BA6373" s="451"/>
      <c r="BB6373" s="451"/>
      <c r="BC6373" s="451"/>
      <c r="BD6373" s="451"/>
      <c r="BE6373" s="451"/>
      <c r="BF6373" s="451"/>
      <c r="BG6373" s="451"/>
      <c r="BH6373" s="451"/>
      <c r="BI6373" s="451"/>
      <c r="BJ6373" s="451"/>
      <c r="BK6373" s="451"/>
      <c r="BL6373" s="451"/>
      <c r="BM6373" s="451"/>
      <c r="BN6373" s="451"/>
      <c r="BO6373" s="451"/>
      <c r="BP6373" s="451"/>
      <c r="BQ6373" s="451"/>
      <c r="BR6373" s="451"/>
      <c r="BS6373" s="451"/>
      <c r="BT6373" s="451"/>
      <c r="BU6373" s="451"/>
      <c r="BV6373" s="451"/>
      <c r="BW6373" s="451"/>
      <c r="BX6373" s="451"/>
      <c r="BY6373" s="451"/>
      <c r="BZ6373" s="451"/>
      <c r="CA6373" s="451"/>
      <c r="CB6373" s="451"/>
      <c r="CC6373" s="451"/>
      <c r="CD6373" s="451"/>
      <c r="CE6373" s="451"/>
      <c r="CF6373" s="451"/>
      <c r="CG6373" s="451"/>
      <c r="CH6373" s="451"/>
      <c r="CI6373" s="451"/>
      <c r="CJ6373" s="451"/>
      <c r="CK6373" s="451"/>
      <c r="CL6373" s="451"/>
      <c r="CM6373" s="451"/>
      <c r="CN6373" s="451"/>
      <c r="CO6373" s="451"/>
      <c r="CP6373" s="451"/>
      <c r="CQ6373" s="451"/>
      <c r="CR6373" s="451"/>
      <c r="CS6373" s="451"/>
      <c r="CT6373" s="451"/>
      <c r="CU6373" s="451"/>
      <c r="CV6373" s="451"/>
      <c r="CW6373" s="451"/>
      <c r="CX6373" s="451"/>
      <c r="CY6373" s="451"/>
      <c r="CZ6373" s="451"/>
      <c r="DA6373" s="451"/>
      <c r="DB6373" s="451"/>
      <c r="DC6373" s="451"/>
      <c r="DD6373" s="451"/>
      <c r="DE6373" s="451"/>
      <c r="DF6373" s="451"/>
      <c r="DG6373" s="451"/>
      <c r="DH6373" s="451"/>
      <c r="DI6373" s="451"/>
      <c r="DJ6373" s="451"/>
      <c r="DK6373" s="451"/>
      <c r="DL6373" s="451"/>
      <c r="DM6373" s="451"/>
      <c r="DN6373" s="451"/>
      <c r="DO6373" s="451"/>
      <c r="DP6373" s="451"/>
      <c r="DQ6373" s="451"/>
      <c r="DR6373" s="451"/>
      <c r="DS6373" s="451"/>
      <c r="DT6373" s="451"/>
      <c r="DU6373" s="451"/>
      <c r="DV6373" s="451"/>
      <c r="DW6373" s="451"/>
      <c r="DX6373" s="451"/>
      <c r="DY6373" s="451"/>
      <c r="DZ6373" s="451"/>
      <c r="EA6373" s="451"/>
      <c r="EB6373" s="451"/>
      <c r="EC6373" s="451"/>
      <c r="ED6373" s="451"/>
      <c r="EE6373" s="451"/>
      <c r="EF6373" s="451"/>
      <c r="EG6373" s="451"/>
      <c r="EH6373" s="451"/>
      <c r="EI6373" s="451"/>
      <c r="EJ6373" s="451"/>
      <c r="EK6373" s="451"/>
      <c r="EL6373" s="451"/>
      <c r="EM6373" s="451"/>
      <c r="EN6373" s="451"/>
      <c r="EO6373" s="451"/>
      <c r="EP6373" s="451"/>
      <c r="EQ6373" s="451"/>
      <c r="ER6373" s="451"/>
      <c r="ES6373" s="451"/>
    </row>
    <row r="6374" spans="1:149" ht="15" hidden="1" customHeight="1">
      <c r="A6374" s="468">
        <v>45554</v>
      </c>
      <c r="B6374" s="208" t="s">
        <v>5172</v>
      </c>
      <c r="C6374" s="208" t="s">
        <v>27</v>
      </c>
      <c r="D6374" s="211">
        <v>-370400</v>
      </c>
      <c r="E6374" s="212">
        <v>45536</v>
      </c>
      <c r="F6374" s="208" t="s">
        <v>109</v>
      </c>
      <c r="G6374" s="201" t="s">
        <v>581</v>
      </c>
      <c r="H6374" s="208"/>
      <c r="I6374" s="208"/>
      <c r="J6374" s="209"/>
      <c r="K6374" s="209"/>
      <c r="L6374" s="209"/>
      <c r="M6374" s="209"/>
      <c r="N6374" s="209"/>
      <c r="O6374" s="209"/>
      <c r="P6374" s="209"/>
      <c r="Q6374" s="209"/>
      <c r="R6374" s="209"/>
      <c r="S6374" s="209"/>
      <c r="T6374" s="209"/>
      <c r="U6374" s="451"/>
      <c r="V6374" s="451"/>
      <c r="W6374" s="451"/>
      <c r="X6374" s="451"/>
      <c r="Y6374" s="451"/>
      <c r="Z6374" s="451"/>
      <c r="AA6374" s="451"/>
      <c r="AB6374" s="451"/>
      <c r="AC6374" s="451"/>
      <c r="AD6374" s="451"/>
      <c r="AE6374" s="451"/>
      <c r="AF6374" s="451"/>
      <c r="AG6374" s="451"/>
      <c r="AH6374" s="451"/>
      <c r="AI6374" s="451"/>
      <c r="AJ6374" s="451"/>
      <c r="AK6374" s="451"/>
      <c r="AL6374" s="451"/>
      <c r="AM6374" s="451"/>
      <c r="AN6374" s="451"/>
      <c r="AO6374" s="451"/>
      <c r="AP6374" s="451"/>
      <c r="AQ6374" s="451"/>
      <c r="AR6374" s="451"/>
      <c r="AS6374" s="451"/>
      <c r="AT6374" s="451"/>
      <c r="AU6374" s="451"/>
      <c r="AV6374" s="451"/>
      <c r="AW6374" s="451"/>
      <c r="AX6374" s="451"/>
      <c r="AY6374" s="451"/>
      <c r="AZ6374" s="451"/>
      <c r="BA6374" s="451"/>
      <c r="BB6374" s="451"/>
      <c r="BC6374" s="451"/>
      <c r="BD6374" s="451"/>
      <c r="BE6374" s="451"/>
      <c r="BF6374" s="451"/>
      <c r="BG6374" s="451"/>
      <c r="BH6374" s="451"/>
      <c r="BI6374" s="451"/>
      <c r="BJ6374" s="451"/>
      <c r="BK6374" s="451"/>
      <c r="BL6374" s="451"/>
      <c r="BM6374" s="451"/>
      <c r="BN6374" s="451"/>
      <c r="BO6374" s="451"/>
      <c r="BP6374" s="451"/>
      <c r="BQ6374" s="451"/>
      <c r="BR6374" s="451"/>
      <c r="BS6374" s="451"/>
      <c r="BT6374" s="451"/>
      <c r="BU6374" s="451"/>
      <c r="BV6374" s="451"/>
      <c r="BW6374" s="451"/>
      <c r="BX6374" s="451"/>
      <c r="BY6374" s="451"/>
      <c r="BZ6374" s="451"/>
      <c r="CA6374" s="451"/>
      <c r="CB6374" s="451"/>
      <c r="CC6374" s="451"/>
      <c r="CD6374" s="451"/>
      <c r="CE6374" s="451"/>
      <c r="CF6374" s="451"/>
      <c r="CG6374" s="451"/>
      <c r="CH6374" s="451"/>
      <c r="CI6374" s="451"/>
      <c r="CJ6374" s="451"/>
      <c r="CK6374" s="451"/>
      <c r="CL6374" s="451"/>
      <c r="CM6374" s="451"/>
      <c r="CN6374" s="451"/>
      <c r="CO6374" s="451"/>
      <c r="CP6374" s="451"/>
      <c r="CQ6374" s="451"/>
      <c r="CR6374" s="451"/>
      <c r="CS6374" s="451"/>
      <c r="CT6374" s="451"/>
      <c r="CU6374" s="451"/>
      <c r="CV6374" s="451"/>
      <c r="CW6374" s="451"/>
      <c r="CX6374" s="451"/>
      <c r="CY6374" s="451"/>
      <c r="CZ6374" s="451"/>
      <c r="DA6374" s="451"/>
      <c r="DB6374" s="451"/>
      <c r="DC6374" s="451"/>
      <c r="DD6374" s="451"/>
      <c r="DE6374" s="451"/>
      <c r="DF6374" s="451"/>
      <c r="DG6374" s="451"/>
      <c r="DH6374" s="451"/>
      <c r="DI6374" s="451"/>
      <c r="DJ6374" s="451"/>
      <c r="DK6374" s="451"/>
      <c r="DL6374" s="451"/>
      <c r="DM6374" s="451"/>
      <c r="DN6374" s="451"/>
      <c r="DO6374" s="451"/>
      <c r="DP6374" s="451"/>
      <c r="DQ6374" s="451"/>
      <c r="DR6374" s="451"/>
      <c r="DS6374" s="451"/>
      <c r="DT6374" s="451"/>
      <c r="DU6374" s="451"/>
      <c r="DV6374" s="451"/>
      <c r="DW6374" s="451"/>
      <c r="DX6374" s="451"/>
      <c r="DY6374" s="451"/>
      <c r="DZ6374" s="451"/>
      <c r="EA6374" s="451"/>
      <c r="EB6374" s="451"/>
      <c r="EC6374" s="451"/>
      <c r="ED6374" s="451"/>
      <c r="EE6374" s="451"/>
      <c r="EF6374" s="451"/>
      <c r="EG6374" s="451"/>
      <c r="EH6374" s="451"/>
      <c r="EI6374" s="451"/>
      <c r="EJ6374" s="451"/>
      <c r="EK6374" s="451"/>
      <c r="EL6374" s="451"/>
      <c r="EM6374" s="451"/>
      <c r="EN6374" s="451"/>
      <c r="EO6374" s="451"/>
      <c r="EP6374" s="451"/>
      <c r="EQ6374" s="451"/>
      <c r="ER6374" s="451"/>
      <c r="ES6374" s="451"/>
    </row>
    <row r="6375" spans="1:149" ht="15" hidden="1" customHeight="1">
      <c r="A6375" s="468">
        <v>45554</v>
      </c>
      <c r="B6375" s="208" t="s">
        <v>5173</v>
      </c>
      <c r="C6375" s="208" t="s">
        <v>27</v>
      </c>
      <c r="D6375" s="211">
        <v>-644500</v>
      </c>
      <c r="E6375" s="212">
        <v>45536</v>
      </c>
      <c r="F6375" s="208" t="s">
        <v>109</v>
      </c>
      <c r="G6375" s="201" t="s">
        <v>581</v>
      </c>
      <c r="H6375" s="208"/>
      <c r="I6375" s="208"/>
      <c r="J6375" s="209"/>
      <c r="K6375" s="209"/>
      <c r="L6375" s="209"/>
      <c r="M6375" s="209"/>
      <c r="N6375" s="209"/>
      <c r="O6375" s="209"/>
      <c r="P6375" s="209"/>
      <c r="Q6375" s="209"/>
      <c r="R6375" s="209"/>
      <c r="S6375" s="209"/>
      <c r="T6375" s="209"/>
      <c r="U6375" s="451"/>
      <c r="V6375" s="451"/>
      <c r="W6375" s="451"/>
      <c r="X6375" s="451"/>
      <c r="Y6375" s="451"/>
      <c r="Z6375" s="451"/>
      <c r="AA6375" s="451"/>
      <c r="AB6375" s="451"/>
      <c r="AC6375" s="451"/>
      <c r="AD6375" s="451"/>
      <c r="AE6375" s="451"/>
      <c r="AF6375" s="451"/>
      <c r="AG6375" s="451"/>
      <c r="AH6375" s="451"/>
      <c r="AI6375" s="451"/>
      <c r="AJ6375" s="451"/>
      <c r="AK6375" s="451"/>
      <c r="AL6375" s="451"/>
      <c r="AM6375" s="451"/>
      <c r="AN6375" s="451"/>
      <c r="AO6375" s="451"/>
      <c r="AP6375" s="451"/>
      <c r="AQ6375" s="451"/>
      <c r="AR6375" s="451"/>
      <c r="AS6375" s="451"/>
      <c r="AT6375" s="451"/>
      <c r="AU6375" s="451"/>
      <c r="AV6375" s="451"/>
      <c r="AW6375" s="451"/>
      <c r="AX6375" s="451"/>
      <c r="AY6375" s="451"/>
      <c r="AZ6375" s="451"/>
      <c r="BA6375" s="451"/>
      <c r="BB6375" s="451"/>
      <c r="BC6375" s="451"/>
      <c r="BD6375" s="451"/>
      <c r="BE6375" s="451"/>
      <c r="BF6375" s="451"/>
      <c r="BG6375" s="451"/>
      <c r="BH6375" s="451"/>
      <c r="BI6375" s="451"/>
      <c r="BJ6375" s="451"/>
      <c r="BK6375" s="451"/>
      <c r="BL6375" s="451"/>
      <c r="BM6375" s="451"/>
      <c r="BN6375" s="451"/>
      <c r="BO6375" s="451"/>
      <c r="BP6375" s="451"/>
      <c r="BQ6375" s="451"/>
      <c r="BR6375" s="451"/>
      <c r="BS6375" s="451"/>
      <c r="BT6375" s="451"/>
      <c r="BU6375" s="451"/>
      <c r="BV6375" s="451"/>
      <c r="BW6375" s="451"/>
      <c r="BX6375" s="451"/>
      <c r="BY6375" s="451"/>
      <c r="BZ6375" s="451"/>
      <c r="CA6375" s="451"/>
      <c r="CB6375" s="451"/>
      <c r="CC6375" s="451"/>
      <c r="CD6375" s="451"/>
      <c r="CE6375" s="451"/>
      <c r="CF6375" s="451"/>
      <c r="CG6375" s="451"/>
      <c r="CH6375" s="451"/>
      <c r="CI6375" s="451"/>
      <c r="CJ6375" s="451"/>
      <c r="CK6375" s="451"/>
      <c r="CL6375" s="451"/>
      <c r="CM6375" s="451"/>
      <c r="CN6375" s="451"/>
      <c r="CO6375" s="451"/>
      <c r="CP6375" s="451"/>
      <c r="CQ6375" s="451"/>
      <c r="CR6375" s="451"/>
      <c r="CS6375" s="451"/>
      <c r="CT6375" s="451"/>
      <c r="CU6375" s="451"/>
      <c r="CV6375" s="451"/>
      <c r="CW6375" s="451"/>
      <c r="CX6375" s="451"/>
      <c r="CY6375" s="451"/>
      <c r="CZ6375" s="451"/>
      <c r="DA6375" s="451"/>
      <c r="DB6375" s="451"/>
      <c r="DC6375" s="451"/>
      <c r="DD6375" s="451"/>
      <c r="DE6375" s="451"/>
      <c r="DF6375" s="451"/>
      <c r="DG6375" s="451"/>
      <c r="DH6375" s="451"/>
      <c r="DI6375" s="451"/>
      <c r="DJ6375" s="451"/>
      <c r="DK6375" s="451"/>
      <c r="DL6375" s="451"/>
      <c r="DM6375" s="451"/>
      <c r="DN6375" s="451"/>
      <c r="DO6375" s="451"/>
      <c r="DP6375" s="451"/>
      <c r="DQ6375" s="451"/>
      <c r="DR6375" s="451"/>
      <c r="DS6375" s="451"/>
      <c r="DT6375" s="451"/>
      <c r="DU6375" s="451"/>
      <c r="DV6375" s="451"/>
      <c r="DW6375" s="451"/>
      <c r="DX6375" s="451"/>
      <c r="DY6375" s="451"/>
      <c r="DZ6375" s="451"/>
      <c r="EA6375" s="451"/>
      <c r="EB6375" s="451"/>
      <c r="EC6375" s="451"/>
      <c r="ED6375" s="451"/>
      <c r="EE6375" s="451"/>
      <c r="EF6375" s="451"/>
      <c r="EG6375" s="451"/>
      <c r="EH6375" s="451"/>
      <c r="EI6375" s="451"/>
      <c r="EJ6375" s="451"/>
      <c r="EK6375" s="451"/>
      <c r="EL6375" s="451"/>
      <c r="EM6375" s="451"/>
      <c r="EN6375" s="451"/>
      <c r="EO6375" s="451"/>
      <c r="EP6375" s="451"/>
      <c r="EQ6375" s="451"/>
      <c r="ER6375" s="451"/>
      <c r="ES6375" s="451"/>
    </row>
    <row r="6376" spans="1:149" ht="15" hidden="1" customHeight="1">
      <c r="A6376" s="468">
        <v>45554</v>
      </c>
      <c r="B6376" s="208" t="s">
        <v>5174</v>
      </c>
      <c r="C6376" s="208" t="s">
        <v>27</v>
      </c>
      <c r="D6376" s="211">
        <v>-404800</v>
      </c>
      <c r="E6376" s="212">
        <v>45536</v>
      </c>
      <c r="F6376" s="208" t="s">
        <v>109</v>
      </c>
      <c r="G6376" s="201" t="s">
        <v>581</v>
      </c>
      <c r="H6376" s="208"/>
      <c r="I6376" s="208"/>
      <c r="J6376" s="209"/>
      <c r="K6376" s="209"/>
      <c r="L6376" s="209"/>
      <c r="M6376" s="209"/>
      <c r="N6376" s="209"/>
      <c r="O6376" s="209"/>
      <c r="P6376" s="209"/>
      <c r="Q6376" s="209"/>
      <c r="R6376" s="209"/>
      <c r="S6376" s="209"/>
      <c r="T6376" s="209"/>
      <c r="U6376" s="451"/>
      <c r="V6376" s="451"/>
      <c r="W6376" s="451"/>
      <c r="X6376" s="451"/>
      <c r="Y6376" s="451"/>
      <c r="Z6376" s="451"/>
      <c r="AA6376" s="451"/>
      <c r="AB6376" s="451"/>
      <c r="AC6376" s="451"/>
      <c r="AD6376" s="451"/>
      <c r="AE6376" s="451"/>
      <c r="AF6376" s="451"/>
      <c r="AG6376" s="451"/>
      <c r="AH6376" s="451"/>
      <c r="AI6376" s="451"/>
      <c r="AJ6376" s="451"/>
      <c r="AK6376" s="451"/>
      <c r="AL6376" s="451"/>
      <c r="AM6376" s="451"/>
      <c r="AN6376" s="451"/>
      <c r="AO6376" s="451"/>
      <c r="AP6376" s="451"/>
      <c r="AQ6376" s="451"/>
      <c r="AR6376" s="451"/>
      <c r="AS6376" s="451"/>
      <c r="AT6376" s="451"/>
      <c r="AU6376" s="451"/>
      <c r="AV6376" s="451"/>
      <c r="AW6376" s="451"/>
      <c r="AX6376" s="451"/>
      <c r="AY6376" s="451"/>
      <c r="AZ6376" s="451"/>
      <c r="BA6376" s="451"/>
      <c r="BB6376" s="451"/>
      <c r="BC6376" s="451"/>
      <c r="BD6376" s="451"/>
      <c r="BE6376" s="451"/>
      <c r="BF6376" s="451"/>
      <c r="BG6376" s="451"/>
      <c r="BH6376" s="451"/>
      <c r="BI6376" s="451"/>
      <c r="BJ6376" s="451"/>
      <c r="BK6376" s="451"/>
      <c r="BL6376" s="451"/>
      <c r="BM6376" s="451"/>
      <c r="BN6376" s="451"/>
      <c r="BO6376" s="451"/>
      <c r="BP6376" s="451"/>
      <c r="BQ6376" s="451"/>
      <c r="BR6376" s="451"/>
      <c r="BS6376" s="451"/>
      <c r="BT6376" s="451"/>
      <c r="BU6376" s="451"/>
      <c r="BV6376" s="451"/>
      <c r="BW6376" s="451"/>
      <c r="BX6376" s="451"/>
      <c r="BY6376" s="451"/>
      <c r="BZ6376" s="451"/>
      <c r="CA6376" s="451"/>
      <c r="CB6376" s="451"/>
      <c r="CC6376" s="451"/>
      <c r="CD6376" s="451"/>
      <c r="CE6376" s="451"/>
      <c r="CF6376" s="451"/>
      <c r="CG6376" s="451"/>
      <c r="CH6376" s="451"/>
      <c r="CI6376" s="451"/>
      <c r="CJ6376" s="451"/>
      <c r="CK6376" s="451"/>
      <c r="CL6376" s="451"/>
      <c r="CM6376" s="451"/>
      <c r="CN6376" s="451"/>
      <c r="CO6376" s="451"/>
      <c r="CP6376" s="451"/>
      <c r="CQ6376" s="451"/>
      <c r="CR6376" s="451"/>
      <c r="CS6376" s="451"/>
      <c r="CT6376" s="451"/>
      <c r="CU6376" s="451"/>
      <c r="CV6376" s="451"/>
      <c r="CW6376" s="451"/>
      <c r="CX6376" s="451"/>
      <c r="CY6376" s="451"/>
      <c r="CZ6376" s="451"/>
      <c r="DA6376" s="451"/>
      <c r="DB6376" s="451"/>
      <c r="DC6376" s="451"/>
      <c r="DD6376" s="451"/>
      <c r="DE6376" s="451"/>
      <c r="DF6376" s="451"/>
      <c r="DG6376" s="451"/>
      <c r="DH6376" s="451"/>
      <c r="DI6376" s="451"/>
      <c r="DJ6376" s="451"/>
      <c r="DK6376" s="451"/>
      <c r="DL6376" s="451"/>
      <c r="DM6376" s="451"/>
      <c r="DN6376" s="451"/>
      <c r="DO6376" s="451"/>
      <c r="DP6376" s="451"/>
      <c r="DQ6376" s="451"/>
      <c r="DR6376" s="451"/>
      <c r="DS6376" s="451"/>
      <c r="DT6376" s="451"/>
      <c r="DU6376" s="451"/>
      <c r="DV6376" s="451"/>
      <c r="DW6376" s="451"/>
      <c r="DX6376" s="451"/>
      <c r="DY6376" s="451"/>
      <c r="DZ6376" s="451"/>
      <c r="EA6376" s="451"/>
      <c r="EB6376" s="451"/>
      <c r="EC6376" s="451"/>
      <c r="ED6376" s="451"/>
      <c r="EE6376" s="451"/>
      <c r="EF6376" s="451"/>
      <c r="EG6376" s="451"/>
      <c r="EH6376" s="451"/>
      <c r="EI6376" s="451"/>
      <c r="EJ6376" s="451"/>
      <c r="EK6376" s="451"/>
      <c r="EL6376" s="451"/>
      <c r="EM6376" s="451"/>
      <c r="EN6376" s="451"/>
      <c r="EO6376" s="451"/>
      <c r="EP6376" s="451"/>
      <c r="EQ6376" s="451"/>
      <c r="ER6376" s="451"/>
      <c r="ES6376" s="451"/>
    </row>
    <row r="6377" spans="1:149" ht="15" hidden="1" customHeight="1">
      <c r="A6377" s="468">
        <v>45554</v>
      </c>
      <c r="B6377" s="208" t="s">
        <v>5175</v>
      </c>
      <c r="C6377" s="208" t="s">
        <v>27</v>
      </c>
      <c r="D6377" s="211">
        <v>-433500</v>
      </c>
      <c r="E6377" s="212">
        <v>45536</v>
      </c>
      <c r="F6377" s="208" t="s">
        <v>109</v>
      </c>
      <c r="G6377" s="201" t="s">
        <v>581</v>
      </c>
      <c r="H6377" s="208"/>
      <c r="I6377" s="208"/>
      <c r="J6377" s="209"/>
      <c r="K6377" s="209"/>
      <c r="L6377" s="209"/>
      <c r="M6377" s="209"/>
      <c r="N6377" s="209"/>
      <c r="O6377" s="209"/>
      <c r="P6377" s="209"/>
      <c r="Q6377" s="209"/>
      <c r="R6377" s="209"/>
      <c r="S6377" s="209"/>
      <c r="T6377" s="209"/>
      <c r="U6377" s="451"/>
      <c r="V6377" s="451"/>
      <c r="W6377" s="451"/>
      <c r="X6377" s="451"/>
      <c r="Y6377" s="451"/>
      <c r="Z6377" s="451"/>
      <c r="AA6377" s="451"/>
      <c r="AB6377" s="451"/>
      <c r="AC6377" s="451"/>
      <c r="AD6377" s="451"/>
      <c r="AE6377" s="451"/>
      <c r="AF6377" s="451"/>
      <c r="AG6377" s="451"/>
      <c r="AH6377" s="451"/>
      <c r="AI6377" s="451"/>
      <c r="AJ6377" s="451"/>
      <c r="AK6377" s="451"/>
      <c r="AL6377" s="451"/>
      <c r="AM6377" s="451"/>
      <c r="AN6377" s="451"/>
      <c r="AO6377" s="451"/>
      <c r="AP6377" s="451"/>
      <c r="AQ6377" s="451"/>
      <c r="AR6377" s="451"/>
      <c r="AS6377" s="451"/>
      <c r="AT6377" s="451"/>
      <c r="AU6377" s="451"/>
      <c r="AV6377" s="451"/>
      <c r="AW6377" s="451"/>
      <c r="AX6377" s="451"/>
      <c r="AY6377" s="451"/>
      <c r="AZ6377" s="451"/>
      <c r="BA6377" s="451"/>
      <c r="BB6377" s="451"/>
      <c r="BC6377" s="451"/>
      <c r="BD6377" s="451"/>
      <c r="BE6377" s="451"/>
      <c r="BF6377" s="451"/>
      <c r="BG6377" s="451"/>
      <c r="BH6377" s="451"/>
      <c r="BI6377" s="451"/>
      <c r="BJ6377" s="451"/>
      <c r="BK6377" s="451"/>
      <c r="BL6377" s="451"/>
      <c r="BM6377" s="451"/>
      <c r="BN6377" s="451"/>
      <c r="BO6377" s="451"/>
      <c r="BP6377" s="451"/>
      <c r="BQ6377" s="451"/>
      <c r="BR6377" s="451"/>
      <c r="BS6377" s="451"/>
      <c r="BT6377" s="451"/>
      <c r="BU6377" s="451"/>
      <c r="BV6377" s="451"/>
      <c r="BW6377" s="451"/>
      <c r="BX6377" s="451"/>
      <c r="BY6377" s="451"/>
      <c r="BZ6377" s="451"/>
      <c r="CA6377" s="451"/>
      <c r="CB6377" s="451"/>
      <c r="CC6377" s="451"/>
      <c r="CD6377" s="451"/>
      <c r="CE6377" s="451"/>
      <c r="CF6377" s="451"/>
      <c r="CG6377" s="451"/>
      <c r="CH6377" s="451"/>
      <c r="CI6377" s="451"/>
      <c r="CJ6377" s="451"/>
      <c r="CK6377" s="451"/>
      <c r="CL6377" s="451"/>
      <c r="CM6377" s="451"/>
      <c r="CN6377" s="451"/>
      <c r="CO6377" s="451"/>
      <c r="CP6377" s="451"/>
      <c r="CQ6377" s="451"/>
      <c r="CR6377" s="451"/>
      <c r="CS6377" s="451"/>
      <c r="CT6377" s="451"/>
      <c r="CU6377" s="451"/>
      <c r="CV6377" s="451"/>
      <c r="CW6377" s="451"/>
      <c r="CX6377" s="451"/>
      <c r="CY6377" s="451"/>
      <c r="CZ6377" s="451"/>
      <c r="DA6377" s="451"/>
      <c r="DB6377" s="451"/>
      <c r="DC6377" s="451"/>
      <c r="DD6377" s="451"/>
      <c r="DE6377" s="451"/>
      <c r="DF6377" s="451"/>
      <c r="DG6377" s="451"/>
      <c r="DH6377" s="451"/>
      <c r="DI6377" s="451"/>
      <c r="DJ6377" s="451"/>
      <c r="DK6377" s="451"/>
      <c r="DL6377" s="451"/>
      <c r="DM6377" s="451"/>
      <c r="DN6377" s="451"/>
      <c r="DO6377" s="451"/>
      <c r="DP6377" s="451"/>
      <c r="DQ6377" s="451"/>
      <c r="DR6377" s="451"/>
      <c r="DS6377" s="451"/>
      <c r="DT6377" s="451"/>
      <c r="DU6377" s="451"/>
      <c r="DV6377" s="451"/>
      <c r="DW6377" s="451"/>
      <c r="DX6377" s="451"/>
      <c r="DY6377" s="451"/>
      <c r="DZ6377" s="451"/>
      <c r="EA6377" s="451"/>
      <c r="EB6377" s="451"/>
      <c r="EC6377" s="451"/>
      <c r="ED6377" s="451"/>
      <c r="EE6377" s="451"/>
      <c r="EF6377" s="451"/>
      <c r="EG6377" s="451"/>
      <c r="EH6377" s="451"/>
      <c r="EI6377" s="451"/>
      <c r="EJ6377" s="451"/>
      <c r="EK6377" s="451"/>
      <c r="EL6377" s="451"/>
      <c r="EM6377" s="451"/>
      <c r="EN6377" s="451"/>
      <c r="EO6377" s="451"/>
      <c r="EP6377" s="451"/>
      <c r="EQ6377" s="451"/>
      <c r="ER6377" s="451"/>
      <c r="ES6377" s="451"/>
    </row>
    <row r="6378" spans="1:149" ht="15" hidden="1" customHeight="1">
      <c r="A6378" s="468">
        <v>45554</v>
      </c>
      <c r="B6378" s="208" t="s">
        <v>5176</v>
      </c>
      <c r="C6378" s="208" t="s">
        <v>27</v>
      </c>
      <c r="D6378" s="718">
        <v>-402500</v>
      </c>
      <c r="E6378" s="212">
        <v>45536</v>
      </c>
      <c r="F6378" s="208" t="s">
        <v>109</v>
      </c>
      <c r="G6378" s="201" t="s">
        <v>581</v>
      </c>
      <c r="H6378" s="208"/>
      <c r="I6378" s="208"/>
      <c r="J6378" s="209"/>
      <c r="K6378" s="209"/>
      <c r="L6378" s="209"/>
      <c r="M6378" s="209"/>
      <c r="N6378" s="209"/>
      <c r="O6378" s="209"/>
      <c r="P6378" s="209"/>
      <c r="Q6378" s="209"/>
      <c r="R6378" s="209"/>
      <c r="S6378" s="209"/>
      <c r="T6378" s="209"/>
      <c r="U6378" s="451"/>
      <c r="V6378" s="451"/>
      <c r="W6378" s="451"/>
      <c r="X6378" s="451"/>
      <c r="Y6378" s="451"/>
      <c r="Z6378" s="451"/>
      <c r="AA6378" s="451"/>
      <c r="AB6378" s="451"/>
      <c r="AC6378" s="451"/>
      <c r="AD6378" s="451"/>
      <c r="AE6378" s="451"/>
      <c r="AF6378" s="451"/>
      <c r="AG6378" s="451"/>
      <c r="AH6378" s="451"/>
      <c r="AI6378" s="451"/>
      <c r="AJ6378" s="451"/>
      <c r="AK6378" s="451"/>
      <c r="AL6378" s="451"/>
      <c r="AM6378" s="451"/>
      <c r="AN6378" s="451"/>
      <c r="AO6378" s="451"/>
      <c r="AP6378" s="451"/>
      <c r="AQ6378" s="451"/>
      <c r="AR6378" s="451"/>
      <c r="AS6378" s="451"/>
      <c r="AT6378" s="451"/>
      <c r="AU6378" s="451"/>
      <c r="AV6378" s="451"/>
      <c r="AW6378" s="451"/>
      <c r="AX6378" s="451"/>
      <c r="AY6378" s="451"/>
      <c r="AZ6378" s="451"/>
      <c r="BA6378" s="451"/>
      <c r="BB6378" s="451"/>
      <c r="BC6378" s="451"/>
      <c r="BD6378" s="451"/>
      <c r="BE6378" s="451"/>
      <c r="BF6378" s="451"/>
      <c r="BG6378" s="451"/>
      <c r="BH6378" s="451"/>
      <c r="BI6378" s="451"/>
      <c r="BJ6378" s="451"/>
      <c r="BK6378" s="451"/>
      <c r="BL6378" s="451"/>
      <c r="BM6378" s="451"/>
      <c r="BN6378" s="451"/>
      <c r="BO6378" s="451"/>
      <c r="BP6378" s="451"/>
      <c r="BQ6378" s="451"/>
      <c r="BR6378" s="451"/>
      <c r="BS6378" s="451"/>
      <c r="BT6378" s="451"/>
      <c r="BU6378" s="451"/>
      <c r="BV6378" s="451"/>
      <c r="BW6378" s="451"/>
      <c r="BX6378" s="451"/>
      <c r="BY6378" s="451"/>
      <c r="BZ6378" s="451"/>
      <c r="CA6378" s="451"/>
      <c r="CB6378" s="451"/>
      <c r="CC6378" s="451"/>
      <c r="CD6378" s="451"/>
      <c r="CE6378" s="451"/>
      <c r="CF6378" s="451"/>
      <c r="CG6378" s="451"/>
      <c r="CH6378" s="451"/>
      <c r="CI6378" s="451"/>
      <c r="CJ6378" s="451"/>
      <c r="CK6378" s="451"/>
      <c r="CL6378" s="451"/>
      <c r="CM6378" s="451"/>
      <c r="CN6378" s="451"/>
      <c r="CO6378" s="451"/>
      <c r="CP6378" s="451"/>
      <c r="CQ6378" s="451"/>
      <c r="CR6378" s="451"/>
      <c r="CS6378" s="451"/>
      <c r="CT6378" s="451"/>
      <c r="CU6378" s="451"/>
      <c r="CV6378" s="451"/>
      <c r="CW6378" s="451"/>
      <c r="CX6378" s="451"/>
      <c r="CY6378" s="451"/>
      <c r="CZ6378" s="451"/>
      <c r="DA6378" s="451"/>
      <c r="DB6378" s="451"/>
      <c r="DC6378" s="451"/>
      <c r="DD6378" s="451"/>
      <c r="DE6378" s="451"/>
      <c r="DF6378" s="451"/>
      <c r="DG6378" s="451"/>
      <c r="DH6378" s="451"/>
      <c r="DI6378" s="451"/>
      <c r="DJ6378" s="451"/>
      <c r="DK6378" s="451"/>
      <c r="DL6378" s="451"/>
      <c r="DM6378" s="451"/>
      <c r="DN6378" s="451"/>
      <c r="DO6378" s="451"/>
      <c r="DP6378" s="451"/>
      <c r="DQ6378" s="451"/>
      <c r="DR6378" s="451"/>
      <c r="DS6378" s="451"/>
      <c r="DT6378" s="451"/>
      <c r="DU6378" s="451"/>
      <c r="DV6378" s="451"/>
      <c r="DW6378" s="451"/>
      <c r="DX6378" s="451"/>
      <c r="DY6378" s="451"/>
      <c r="DZ6378" s="451"/>
      <c r="EA6378" s="451"/>
      <c r="EB6378" s="451"/>
      <c r="EC6378" s="451"/>
      <c r="ED6378" s="451"/>
      <c r="EE6378" s="451"/>
      <c r="EF6378" s="451"/>
      <c r="EG6378" s="451"/>
      <c r="EH6378" s="451"/>
      <c r="EI6378" s="451"/>
      <c r="EJ6378" s="451"/>
      <c r="EK6378" s="451"/>
      <c r="EL6378" s="451"/>
      <c r="EM6378" s="451"/>
      <c r="EN6378" s="451"/>
      <c r="EO6378" s="451"/>
      <c r="EP6378" s="451"/>
      <c r="EQ6378" s="451"/>
      <c r="ER6378" s="451"/>
      <c r="ES6378" s="451"/>
    </row>
    <row r="6379" spans="1:149" ht="15" hidden="1" customHeight="1">
      <c r="A6379" s="468">
        <v>45554</v>
      </c>
      <c r="B6379" s="208" t="s">
        <v>5177</v>
      </c>
      <c r="C6379" s="208" t="s">
        <v>27</v>
      </c>
      <c r="D6379" s="211">
        <v>-1238400</v>
      </c>
      <c r="E6379" s="212">
        <v>45536</v>
      </c>
      <c r="F6379" s="208" t="s">
        <v>109</v>
      </c>
      <c r="G6379" s="201" t="s">
        <v>581</v>
      </c>
      <c r="H6379" s="208"/>
      <c r="I6379" s="208"/>
      <c r="J6379" s="209"/>
      <c r="K6379" s="209"/>
      <c r="L6379" s="209"/>
      <c r="M6379" s="209"/>
      <c r="N6379" s="209"/>
      <c r="O6379" s="209"/>
      <c r="P6379" s="209"/>
      <c r="Q6379" s="209"/>
      <c r="R6379" s="209"/>
      <c r="S6379" s="209"/>
      <c r="T6379" s="209"/>
      <c r="U6379" s="451"/>
      <c r="V6379" s="451"/>
      <c r="W6379" s="451"/>
      <c r="X6379" s="451"/>
      <c r="Y6379" s="451"/>
      <c r="Z6379" s="451"/>
      <c r="AA6379" s="451"/>
      <c r="AB6379" s="451"/>
      <c r="AC6379" s="451"/>
      <c r="AD6379" s="451"/>
      <c r="AE6379" s="451"/>
      <c r="AF6379" s="451"/>
      <c r="AG6379" s="451"/>
      <c r="AH6379" s="451"/>
      <c r="AI6379" s="451"/>
      <c r="AJ6379" s="451"/>
      <c r="AK6379" s="451"/>
      <c r="AL6379" s="451"/>
      <c r="AM6379" s="451"/>
      <c r="AN6379" s="451"/>
      <c r="AO6379" s="451"/>
      <c r="AP6379" s="451"/>
      <c r="AQ6379" s="451"/>
      <c r="AR6379" s="451"/>
      <c r="AS6379" s="451"/>
      <c r="AT6379" s="451"/>
      <c r="AU6379" s="451"/>
      <c r="AV6379" s="451"/>
      <c r="AW6379" s="451"/>
      <c r="AX6379" s="451"/>
      <c r="AY6379" s="451"/>
      <c r="AZ6379" s="451"/>
      <c r="BA6379" s="451"/>
      <c r="BB6379" s="451"/>
      <c r="BC6379" s="451"/>
      <c r="BD6379" s="451"/>
      <c r="BE6379" s="451"/>
      <c r="BF6379" s="451"/>
      <c r="BG6379" s="451"/>
      <c r="BH6379" s="451"/>
      <c r="BI6379" s="451"/>
      <c r="BJ6379" s="451"/>
      <c r="BK6379" s="451"/>
      <c r="BL6379" s="451"/>
      <c r="BM6379" s="451"/>
      <c r="BN6379" s="451"/>
      <c r="BO6379" s="451"/>
      <c r="BP6379" s="451"/>
      <c r="BQ6379" s="451"/>
      <c r="BR6379" s="451"/>
      <c r="BS6379" s="451"/>
      <c r="BT6379" s="451"/>
      <c r="BU6379" s="451"/>
      <c r="BV6379" s="451"/>
      <c r="BW6379" s="451"/>
      <c r="BX6379" s="451"/>
      <c r="BY6379" s="451"/>
      <c r="BZ6379" s="451"/>
      <c r="CA6379" s="451"/>
      <c r="CB6379" s="451"/>
      <c r="CC6379" s="451"/>
      <c r="CD6379" s="451"/>
      <c r="CE6379" s="451"/>
      <c r="CF6379" s="451"/>
      <c r="CG6379" s="451"/>
      <c r="CH6379" s="451"/>
      <c r="CI6379" s="451"/>
      <c r="CJ6379" s="451"/>
      <c r="CK6379" s="451"/>
      <c r="CL6379" s="451"/>
      <c r="CM6379" s="451"/>
      <c r="CN6379" s="451"/>
      <c r="CO6379" s="451"/>
      <c r="CP6379" s="451"/>
      <c r="CQ6379" s="451"/>
      <c r="CR6379" s="451"/>
      <c r="CS6379" s="451"/>
      <c r="CT6379" s="451"/>
      <c r="CU6379" s="451"/>
      <c r="CV6379" s="451"/>
      <c r="CW6379" s="451"/>
      <c r="CX6379" s="451"/>
      <c r="CY6379" s="451"/>
      <c r="CZ6379" s="451"/>
      <c r="DA6379" s="451"/>
      <c r="DB6379" s="451"/>
      <c r="DC6379" s="451"/>
      <c r="DD6379" s="451"/>
      <c r="DE6379" s="451"/>
      <c r="DF6379" s="451"/>
      <c r="DG6379" s="451"/>
      <c r="DH6379" s="451"/>
      <c r="DI6379" s="451"/>
      <c r="DJ6379" s="451"/>
      <c r="DK6379" s="451"/>
      <c r="DL6379" s="451"/>
      <c r="DM6379" s="451"/>
      <c r="DN6379" s="451"/>
      <c r="DO6379" s="451"/>
      <c r="DP6379" s="451"/>
      <c r="DQ6379" s="451"/>
      <c r="DR6379" s="451"/>
      <c r="DS6379" s="451"/>
      <c r="DT6379" s="451"/>
      <c r="DU6379" s="451"/>
      <c r="DV6379" s="451"/>
      <c r="DW6379" s="451"/>
      <c r="DX6379" s="451"/>
      <c r="DY6379" s="451"/>
      <c r="DZ6379" s="451"/>
      <c r="EA6379" s="451"/>
      <c r="EB6379" s="451"/>
      <c r="EC6379" s="451"/>
      <c r="ED6379" s="451"/>
      <c r="EE6379" s="451"/>
      <c r="EF6379" s="451"/>
      <c r="EG6379" s="451"/>
      <c r="EH6379" s="451"/>
      <c r="EI6379" s="451"/>
      <c r="EJ6379" s="451"/>
      <c r="EK6379" s="451"/>
      <c r="EL6379" s="451"/>
      <c r="EM6379" s="451"/>
      <c r="EN6379" s="451"/>
      <c r="EO6379" s="451"/>
      <c r="EP6379" s="451"/>
      <c r="EQ6379" s="451"/>
      <c r="ER6379" s="451"/>
      <c r="ES6379" s="451"/>
    </row>
    <row r="6380" spans="1:149" ht="15" hidden="1" customHeight="1">
      <c r="A6380" s="468">
        <v>45554</v>
      </c>
      <c r="B6380" s="208" t="s">
        <v>5178</v>
      </c>
      <c r="C6380" s="208" t="s">
        <v>27</v>
      </c>
      <c r="D6380" s="718">
        <v>-402500</v>
      </c>
      <c r="E6380" s="212">
        <v>45536</v>
      </c>
      <c r="F6380" s="208" t="s">
        <v>109</v>
      </c>
      <c r="G6380" s="201" t="s">
        <v>581</v>
      </c>
      <c r="H6380" s="208"/>
      <c r="I6380" s="208"/>
      <c r="J6380" s="209"/>
      <c r="K6380" s="209"/>
      <c r="L6380" s="209"/>
      <c r="M6380" s="209"/>
      <c r="N6380" s="209"/>
      <c r="O6380" s="209"/>
      <c r="P6380" s="209"/>
      <c r="Q6380" s="209"/>
      <c r="R6380" s="209"/>
      <c r="S6380" s="209"/>
      <c r="T6380" s="209"/>
      <c r="U6380" s="451"/>
      <c r="V6380" s="451"/>
      <c r="W6380" s="451"/>
      <c r="X6380" s="451"/>
      <c r="Y6380" s="451"/>
      <c r="Z6380" s="451"/>
      <c r="AA6380" s="451"/>
      <c r="AB6380" s="451"/>
      <c r="AC6380" s="451"/>
      <c r="AD6380" s="451"/>
      <c r="AE6380" s="451"/>
      <c r="AF6380" s="451"/>
      <c r="AG6380" s="451"/>
      <c r="AH6380" s="451"/>
      <c r="AI6380" s="451"/>
      <c r="AJ6380" s="451"/>
      <c r="AK6380" s="451"/>
      <c r="AL6380" s="451"/>
      <c r="AM6380" s="451"/>
      <c r="AN6380" s="451"/>
      <c r="AO6380" s="451"/>
      <c r="AP6380" s="451"/>
      <c r="AQ6380" s="451"/>
      <c r="AR6380" s="451"/>
      <c r="AS6380" s="451"/>
      <c r="AT6380" s="451"/>
      <c r="AU6380" s="451"/>
      <c r="AV6380" s="451"/>
      <c r="AW6380" s="451"/>
      <c r="AX6380" s="451"/>
      <c r="AY6380" s="451"/>
      <c r="AZ6380" s="451"/>
      <c r="BA6380" s="451"/>
      <c r="BB6380" s="451"/>
      <c r="BC6380" s="451"/>
      <c r="BD6380" s="451"/>
      <c r="BE6380" s="451"/>
      <c r="BF6380" s="451"/>
      <c r="BG6380" s="451"/>
      <c r="BH6380" s="451"/>
      <c r="BI6380" s="451"/>
      <c r="BJ6380" s="451"/>
      <c r="BK6380" s="451"/>
      <c r="BL6380" s="451"/>
      <c r="BM6380" s="451"/>
      <c r="BN6380" s="451"/>
      <c r="BO6380" s="451"/>
      <c r="BP6380" s="451"/>
      <c r="BQ6380" s="451"/>
      <c r="BR6380" s="451"/>
      <c r="BS6380" s="451"/>
      <c r="BT6380" s="451"/>
      <c r="BU6380" s="451"/>
      <c r="BV6380" s="451"/>
      <c r="BW6380" s="451"/>
      <c r="BX6380" s="451"/>
      <c r="BY6380" s="451"/>
      <c r="BZ6380" s="451"/>
      <c r="CA6380" s="451"/>
      <c r="CB6380" s="451"/>
      <c r="CC6380" s="451"/>
      <c r="CD6380" s="451"/>
      <c r="CE6380" s="451"/>
      <c r="CF6380" s="451"/>
      <c r="CG6380" s="451"/>
      <c r="CH6380" s="451"/>
      <c r="CI6380" s="451"/>
      <c r="CJ6380" s="451"/>
      <c r="CK6380" s="451"/>
      <c r="CL6380" s="451"/>
      <c r="CM6380" s="451"/>
      <c r="CN6380" s="451"/>
      <c r="CO6380" s="451"/>
      <c r="CP6380" s="451"/>
      <c r="CQ6380" s="451"/>
      <c r="CR6380" s="451"/>
      <c r="CS6380" s="451"/>
      <c r="CT6380" s="451"/>
      <c r="CU6380" s="451"/>
      <c r="CV6380" s="451"/>
      <c r="CW6380" s="451"/>
      <c r="CX6380" s="451"/>
      <c r="CY6380" s="451"/>
      <c r="CZ6380" s="451"/>
      <c r="DA6380" s="451"/>
      <c r="DB6380" s="451"/>
      <c r="DC6380" s="451"/>
      <c r="DD6380" s="451"/>
      <c r="DE6380" s="451"/>
      <c r="DF6380" s="451"/>
      <c r="DG6380" s="451"/>
      <c r="DH6380" s="451"/>
      <c r="DI6380" s="451"/>
      <c r="DJ6380" s="451"/>
      <c r="DK6380" s="451"/>
      <c r="DL6380" s="451"/>
      <c r="DM6380" s="451"/>
      <c r="DN6380" s="451"/>
      <c r="DO6380" s="451"/>
      <c r="DP6380" s="451"/>
      <c r="DQ6380" s="451"/>
      <c r="DR6380" s="451"/>
      <c r="DS6380" s="451"/>
      <c r="DT6380" s="451"/>
      <c r="DU6380" s="451"/>
      <c r="DV6380" s="451"/>
      <c r="DW6380" s="451"/>
      <c r="DX6380" s="451"/>
      <c r="DY6380" s="451"/>
      <c r="DZ6380" s="451"/>
      <c r="EA6380" s="451"/>
      <c r="EB6380" s="451"/>
      <c r="EC6380" s="451"/>
      <c r="ED6380" s="451"/>
      <c r="EE6380" s="451"/>
      <c r="EF6380" s="451"/>
      <c r="EG6380" s="451"/>
      <c r="EH6380" s="451"/>
      <c r="EI6380" s="451"/>
      <c r="EJ6380" s="451"/>
      <c r="EK6380" s="451"/>
      <c r="EL6380" s="451"/>
      <c r="EM6380" s="451"/>
      <c r="EN6380" s="451"/>
      <c r="EO6380" s="451"/>
      <c r="EP6380" s="451"/>
      <c r="EQ6380" s="451"/>
      <c r="ER6380" s="451"/>
      <c r="ES6380" s="451"/>
    </row>
    <row r="6381" spans="1:149" ht="15" hidden="1" customHeight="1">
      <c r="A6381" s="468">
        <v>45554</v>
      </c>
      <c r="B6381" s="208" t="s">
        <v>5179</v>
      </c>
      <c r="C6381" s="208" t="s">
        <v>27</v>
      </c>
      <c r="D6381" s="211">
        <v>-404800</v>
      </c>
      <c r="E6381" s="212">
        <v>45536</v>
      </c>
      <c r="F6381" s="208" t="s">
        <v>109</v>
      </c>
      <c r="G6381" s="201" t="s">
        <v>581</v>
      </c>
      <c r="H6381" s="208"/>
      <c r="I6381" s="208"/>
      <c r="J6381" s="209"/>
      <c r="K6381" s="209"/>
      <c r="L6381" s="209"/>
      <c r="M6381" s="209"/>
      <c r="N6381" s="209"/>
      <c r="O6381" s="209"/>
      <c r="P6381" s="209"/>
      <c r="Q6381" s="209"/>
      <c r="R6381" s="209"/>
      <c r="S6381" s="209"/>
      <c r="T6381" s="209"/>
      <c r="U6381" s="451"/>
      <c r="V6381" s="451"/>
      <c r="W6381" s="451"/>
      <c r="X6381" s="451"/>
      <c r="Y6381" s="451"/>
      <c r="Z6381" s="451"/>
      <c r="AA6381" s="451"/>
      <c r="AB6381" s="451"/>
      <c r="AC6381" s="451"/>
      <c r="AD6381" s="451"/>
      <c r="AE6381" s="451"/>
      <c r="AF6381" s="451"/>
      <c r="AG6381" s="451"/>
      <c r="AH6381" s="451"/>
      <c r="AI6381" s="451"/>
      <c r="AJ6381" s="451"/>
      <c r="AK6381" s="451"/>
      <c r="AL6381" s="451"/>
      <c r="AM6381" s="451"/>
      <c r="AN6381" s="451"/>
      <c r="AO6381" s="451"/>
      <c r="AP6381" s="451"/>
      <c r="AQ6381" s="451"/>
      <c r="AR6381" s="451"/>
      <c r="AS6381" s="451"/>
      <c r="AT6381" s="451"/>
      <c r="AU6381" s="451"/>
      <c r="AV6381" s="451"/>
      <c r="AW6381" s="451"/>
      <c r="AX6381" s="451"/>
      <c r="AY6381" s="451"/>
      <c r="AZ6381" s="451"/>
      <c r="BA6381" s="451"/>
      <c r="BB6381" s="451"/>
      <c r="BC6381" s="451"/>
      <c r="BD6381" s="451"/>
      <c r="BE6381" s="451"/>
      <c r="BF6381" s="451"/>
      <c r="BG6381" s="451"/>
      <c r="BH6381" s="451"/>
      <c r="BI6381" s="451"/>
      <c r="BJ6381" s="451"/>
      <c r="BK6381" s="451"/>
      <c r="BL6381" s="451"/>
      <c r="BM6381" s="451"/>
      <c r="BN6381" s="451"/>
      <c r="BO6381" s="451"/>
      <c r="BP6381" s="451"/>
      <c r="BQ6381" s="451"/>
      <c r="BR6381" s="451"/>
      <c r="BS6381" s="451"/>
      <c r="BT6381" s="451"/>
      <c r="BU6381" s="451"/>
      <c r="BV6381" s="451"/>
      <c r="BW6381" s="451"/>
      <c r="BX6381" s="451"/>
      <c r="BY6381" s="451"/>
      <c r="BZ6381" s="451"/>
      <c r="CA6381" s="451"/>
      <c r="CB6381" s="451"/>
      <c r="CC6381" s="451"/>
      <c r="CD6381" s="451"/>
      <c r="CE6381" s="451"/>
      <c r="CF6381" s="451"/>
      <c r="CG6381" s="451"/>
      <c r="CH6381" s="451"/>
      <c r="CI6381" s="451"/>
      <c r="CJ6381" s="451"/>
      <c r="CK6381" s="451"/>
      <c r="CL6381" s="451"/>
      <c r="CM6381" s="451"/>
      <c r="CN6381" s="451"/>
      <c r="CO6381" s="451"/>
      <c r="CP6381" s="451"/>
      <c r="CQ6381" s="451"/>
      <c r="CR6381" s="451"/>
      <c r="CS6381" s="451"/>
      <c r="CT6381" s="451"/>
      <c r="CU6381" s="451"/>
      <c r="CV6381" s="451"/>
      <c r="CW6381" s="451"/>
      <c r="CX6381" s="451"/>
      <c r="CY6381" s="451"/>
      <c r="CZ6381" s="451"/>
      <c r="DA6381" s="451"/>
      <c r="DB6381" s="451"/>
      <c r="DC6381" s="451"/>
      <c r="DD6381" s="451"/>
      <c r="DE6381" s="451"/>
      <c r="DF6381" s="451"/>
      <c r="DG6381" s="451"/>
      <c r="DH6381" s="451"/>
      <c r="DI6381" s="451"/>
      <c r="DJ6381" s="451"/>
      <c r="DK6381" s="451"/>
      <c r="DL6381" s="451"/>
      <c r="DM6381" s="451"/>
      <c r="DN6381" s="451"/>
      <c r="DO6381" s="451"/>
      <c r="DP6381" s="451"/>
      <c r="DQ6381" s="451"/>
      <c r="DR6381" s="451"/>
      <c r="DS6381" s="451"/>
      <c r="DT6381" s="451"/>
      <c r="DU6381" s="451"/>
      <c r="DV6381" s="451"/>
      <c r="DW6381" s="451"/>
      <c r="DX6381" s="451"/>
      <c r="DY6381" s="451"/>
      <c r="DZ6381" s="451"/>
      <c r="EA6381" s="451"/>
      <c r="EB6381" s="451"/>
      <c r="EC6381" s="451"/>
      <c r="ED6381" s="451"/>
      <c r="EE6381" s="451"/>
      <c r="EF6381" s="451"/>
      <c r="EG6381" s="451"/>
      <c r="EH6381" s="451"/>
      <c r="EI6381" s="451"/>
      <c r="EJ6381" s="451"/>
      <c r="EK6381" s="451"/>
      <c r="EL6381" s="451"/>
      <c r="EM6381" s="451"/>
      <c r="EN6381" s="451"/>
      <c r="EO6381" s="451"/>
      <c r="EP6381" s="451"/>
      <c r="EQ6381" s="451"/>
      <c r="ER6381" s="451"/>
      <c r="ES6381" s="451"/>
    </row>
    <row r="6382" spans="1:149" ht="15" hidden="1" customHeight="1">
      <c r="A6382" s="468">
        <v>45554</v>
      </c>
      <c r="B6382" s="208" t="s">
        <v>5180</v>
      </c>
      <c r="C6382" s="208" t="s">
        <v>27</v>
      </c>
      <c r="D6382" s="211">
        <v>-451300</v>
      </c>
      <c r="E6382" s="212">
        <v>45536</v>
      </c>
      <c r="F6382" s="208" t="s">
        <v>109</v>
      </c>
      <c r="G6382" s="201" t="s">
        <v>581</v>
      </c>
      <c r="H6382" s="208"/>
      <c r="I6382" s="208"/>
      <c r="J6382" s="209"/>
      <c r="K6382" s="209"/>
      <c r="L6382" s="209"/>
      <c r="M6382" s="209"/>
      <c r="N6382" s="209"/>
      <c r="O6382" s="209"/>
      <c r="P6382" s="209"/>
      <c r="Q6382" s="209"/>
      <c r="R6382" s="209"/>
      <c r="S6382" s="209"/>
      <c r="T6382" s="209"/>
      <c r="U6382" s="451"/>
      <c r="V6382" s="451"/>
      <c r="W6382" s="451"/>
      <c r="X6382" s="451"/>
      <c r="Y6382" s="451"/>
      <c r="Z6382" s="451"/>
      <c r="AA6382" s="451"/>
      <c r="AB6382" s="451"/>
      <c r="AC6382" s="451"/>
      <c r="AD6382" s="451"/>
      <c r="AE6382" s="451"/>
      <c r="AF6382" s="451"/>
      <c r="AG6382" s="451"/>
      <c r="AH6382" s="451"/>
      <c r="AI6382" s="451"/>
      <c r="AJ6382" s="451"/>
      <c r="AK6382" s="451"/>
      <c r="AL6382" s="451"/>
      <c r="AM6382" s="451"/>
      <c r="AN6382" s="451"/>
      <c r="AO6382" s="451"/>
      <c r="AP6382" s="451"/>
      <c r="AQ6382" s="451"/>
      <c r="AR6382" s="451"/>
      <c r="AS6382" s="451"/>
      <c r="AT6382" s="451"/>
      <c r="AU6382" s="451"/>
      <c r="AV6382" s="451"/>
      <c r="AW6382" s="451"/>
      <c r="AX6382" s="451"/>
      <c r="AY6382" s="451"/>
      <c r="AZ6382" s="451"/>
      <c r="BA6382" s="451"/>
      <c r="BB6382" s="451"/>
      <c r="BC6382" s="451"/>
      <c r="BD6382" s="451"/>
      <c r="BE6382" s="451"/>
      <c r="BF6382" s="451"/>
      <c r="BG6382" s="451"/>
      <c r="BH6382" s="451"/>
      <c r="BI6382" s="451"/>
      <c r="BJ6382" s="451"/>
      <c r="BK6382" s="451"/>
      <c r="BL6382" s="451"/>
      <c r="BM6382" s="451"/>
      <c r="BN6382" s="451"/>
      <c r="BO6382" s="451"/>
      <c r="BP6382" s="451"/>
      <c r="BQ6382" s="451"/>
      <c r="BR6382" s="451"/>
      <c r="BS6382" s="451"/>
      <c r="BT6382" s="451"/>
      <c r="BU6382" s="451"/>
      <c r="BV6382" s="451"/>
      <c r="BW6382" s="451"/>
      <c r="BX6382" s="451"/>
      <c r="BY6382" s="451"/>
      <c r="BZ6382" s="451"/>
      <c r="CA6382" s="451"/>
      <c r="CB6382" s="451"/>
      <c r="CC6382" s="451"/>
      <c r="CD6382" s="451"/>
      <c r="CE6382" s="451"/>
      <c r="CF6382" s="451"/>
      <c r="CG6382" s="451"/>
      <c r="CH6382" s="451"/>
      <c r="CI6382" s="451"/>
      <c r="CJ6382" s="451"/>
      <c r="CK6382" s="451"/>
      <c r="CL6382" s="451"/>
      <c r="CM6382" s="451"/>
      <c r="CN6382" s="451"/>
      <c r="CO6382" s="451"/>
      <c r="CP6382" s="451"/>
      <c r="CQ6382" s="451"/>
      <c r="CR6382" s="451"/>
      <c r="CS6382" s="451"/>
      <c r="CT6382" s="451"/>
      <c r="CU6382" s="451"/>
      <c r="CV6382" s="451"/>
      <c r="CW6382" s="451"/>
      <c r="CX6382" s="451"/>
      <c r="CY6382" s="451"/>
      <c r="CZ6382" s="451"/>
      <c r="DA6382" s="451"/>
      <c r="DB6382" s="451"/>
      <c r="DC6382" s="451"/>
      <c r="DD6382" s="451"/>
      <c r="DE6382" s="451"/>
      <c r="DF6382" s="451"/>
      <c r="DG6382" s="451"/>
      <c r="DH6382" s="451"/>
      <c r="DI6382" s="451"/>
      <c r="DJ6382" s="451"/>
      <c r="DK6382" s="451"/>
      <c r="DL6382" s="451"/>
      <c r="DM6382" s="451"/>
      <c r="DN6382" s="451"/>
      <c r="DO6382" s="451"/>
      <c r="DP6382" s="451"/>
      <c r="DQ6382" s="451"/>
      <c r="DR6382" s="451"/>
      <c r="DS6382" s="451"/>
      <c r="DT6382" s="451"/>
      <c r="DU6382" s="451"/>
      <c r="DV6382" s="451"/>
      <c r="DW6382" s="451"/>
      <c r="DX6382" s="451"/>
      <c r="DY6382" s="451"/>
      <c r="DZ6382" s="451"/>
      <c r="EA6382" s="451"/>
      <c r="EB6382" s="451"/>
      <c r="EC6382" s="451"/>
      <c r="ED6382" s="451"/>
      <c r="EE6382" s="451"/>
      <c r="EF6382" s="451"/>
      <c r="EG6382" s="451"/>
      <c r="EH6382" s="451"/>
      <c r="EI6382" s="451"/>
      <c r="EJ6382" s="451"/>
      <c r="EK6382" s="451"/>
      <c r="EL6382" s="451"/>
      <c r="EM6382" s="451"/>
      <c r="EN6382" s="451"/>
      <c r="EO6382" s="451"/>
      <c r="EP6382" s="451"/>
      <c r="EQ6382" s="451"/>
      <c r="ER6382" s="451"/>
      <c r="ES6382" s="451"/>
    </row>
    <row r="6383" spans="1:149" ht="15" hidden="1" customHeight="1">
      <c r="A6383" s="468">
        <v>45554</v>
      </c>
      <c r="B6383" s="208" t="s">
        <v>5181</v>
      </c>
      <c r="C6383" s="208" t="s">
        <v>27</v>
      </c>
      <c r="D6383" s="718">
        <v>-402500</v>
      </c>
      <c r="E6383" s="212">
        <v>45536</v>
      </c>
      <c r="F6383" s="208" t="s">
        <v>109</v>
      </c>
      <c r="G6383" s="201" t="s">
        <v>581</v>
      </c>
      <c r="H6383" s="208"/>
      <c r="I6383" s="208"/>
      <c r="J6383" s="209"/>
      <c r="K6383" s="209"/>
      <c r="L6383" s="209"/>
      <c r="M6383" s="209"/>
      <c r="N6383" s="209"/>
      <c r="O6383" s="209"/>
      <c r="P6383" s="209"/>
      <c r="Q6383" s="209"/>
      <c r="R6383" s="209"/>
      <c r="S6383" s="209"/>
      <c r="T6383" s="209"/>
      <c r="U6383" s="451"/>
      <c r="V6383" s="451"/>
      <c r="W6383" s="451"/>
      <c r="X6383" s="451"/>
      <c r="Y6383" s="451"/>
      <c r="Z6383" s="451"/>
      <c r="AA6383" s="451"/>
      <c r="AB6383" s="451"/>
      <c r="AC6383" s="451"/>
      <c r="AD6383" s="451"/>
      <c r="AE6383" s="451"/>
      <c r="AF6383" s="451"/>
      <c r="AG6383" s="451"/>
      <c r="AH6383" s="451"/>
      <c r="AI6383" s="451"/>
      <c r="AJ6383" s="451"/>
      <c r="AK6383" s="451"/>
      <c r="AL6383" s="451"/>
      <c r="AM6383" s="451"/>
      <c r="AN6383" s="451"/>
      <c r="AO6383" s="451"/>
      <c r="AP6383" s="451"/>
      <c r="AQ6383" s="451"/>
      <c r="AR6383" s="451"/>
      <c r="AS6383" s="451"/>
      <c r="AT6383" s="451"/>
      <c r="AU6383" s="451"/>
      <c r="AV6383" s="451"/>
      <c r="AW6383" s="451"/>
      <c r="AX6383" s="451"/>
      <c r="AY6383" s="451"/>
      <c r="AZ6383" s="451"/>
      <c r="BA6383" s="451"/>
      <c r="BB6383" s="451"/>
      <c r="BC6383" s="451"/>
      <c r="BD6383" s="451"/>
      <c r="BE6383" s="451"/>
      <c r="BF6383" s="451"/>
      <c r="BG6383" s="451"/>
      <c r="BH6383" s="451"/>
      <c r="BI6383" s="451"/>
      <c r="BJ6383" s="451"/>
      <c r="BK6383" s="451"/>
      <c r="BL6383" s="451"/>
      <c r="BM6383" s="451"/>
      <c r="BN6383" s="451"/>
      <c r="BO6383" s="451"/>
      <c r="BP6383" s="451"/>
      <c r="BQ6383" s="451"/>
      <c r="BR6383" s="451"/>
      <c r="BS6383" s="451"/>
      <c r="BT6383" s="451"/>
      <c r="BU6383" s="451"/>
      <c r="BV6383" s="451"/>
      <c r="BW6383" s="451"/>
      <c r="BX6383" s="451"/>
      <c r="BY6383" s="451"/>
      <c r="BZ6383" s="451"/>
      <c r="CA6383" s="451"/>
      <c r="CB6383" s="451"/>
      <c r="CC6383" s="451"/>
      <c r="CD6383" s="451"/>
      <c r="CE6383" s="451"/>
      <c r="CF6383" s="451"/>
      <c r="CG6383" s="451"/>
      <c r="CH6383" s="451"/>
      <c r="CI6383" s="451"/>
      <c r="CJ6383" s="451"/>
      <c r="CK6383" s="451"/>
      <c r="CL6383" s="451"/>
      <c r="CM6383" s="451"/>
      <c r="CN6383" s="451"/>
      <c r="CO6383" s="451"/>
      <c r="CP6383" s="451"/>
      <c r="CQ6383" s="451"/>
      <c r="CR6383" s="451"/>
      <c r="CS6383" s="451"/>
      <c r="CT6383" s="451"/>
      <c r="CU6383" s="451"/>
      <c r="CV6383" s="451"/>
      <c r="CW6383" s="451"/>
      <c r="CX6383" s="451"/>
      <c r="CY6383" s="451"/>
      <c r="CZ6383" s="451"/>
      <c r="DA6383" s="451"/>
      <c r="DB6383" s="451"/>
      <c r="DC6383" s="451"/>
      <c r="DD6383" s="451"/>
      <c r="DE6383" s="451"/>
      <c r="DF6383" s="451"/>
      <c r="DG6383" s="451"/>
      <c r="DH6383" s="451"/>
      <c r="DI6383" s="451"/>
      <c r="DJ6383" s="451"/>
      <c r="DK6383" s="451"/>
      <c r="DL6383" s="451"/>
      <c r="DM6383" s="451"/>
      <c r="DN6383" s="451"/>
      <c r="DO6383" s="451"/>
      <c r="DP6383" s="451"/>
      <c r="DQ6383" s="451"/>
      <c r="DR6383" s="451"/>
      <c r="DS6383" s="451"/>
      <c r="DT6383" s="451"/>
      <c r="DU6383" s="451"/>
      <c r="DV6383" s="451"/>
      <c r="DW6383" s="451"/>
      <c r="DX6383" s="451"/>
      <c r="DY6383" s="451"/>
      <c r="DZ6383" s="451"/>
      <c r="EA6383" s="451"/>
      <c r="EB6383" s="451"/>
      <c r="EC6383" s="451"/>
      <c r="ED6383" s="451"/>
      <c r="EE6383" s="451"/>
      <c r="EF6383" s="451"/>
      <c r="EG6383" s="451"/>
      <c r="EH6383" s="451"/>
      <c r="EI6383" s="451"/>
      <c r="EJ6383" s="451"/>
      <c r="EK6383" s="451"/>
      <c r="EL6383" s="451"/>
      <c r="EM6383" s="451"/>
      <c r="EN6383" s="451"/>
      <c r="EO6383" s="451"/>
      <c r="EP6383" s="451"/>
      <c r="EQ6383" s="451"/>
      <c r="ER6383" s="451"/>
      <c r="ES6383" s="451"/>
    </row>
    <row r="6384" spans="1:149" ht="15" hidden="1" customHeight="1">
      <c r="A6384" s="468">
        <v>45554</v>
      </c>
      <c r="B6384" s="208" t="s">
        <v>5182</v>
      </c>
      <c r="C6384" s="208" t="s">
        <v>27</v>
      </c>
      <c r="D6384" s="211">
        <v>-404800</v>
      </c>
      <c r="E6384" s="212">
        <v>45536</v>
      </c>
      <c r="F6384" s="208" t="s">
        <v>109</v>
      </c>
      <c r="G6384" s="201" t="s">
        <v>581</v>
      </c>
      <c r="H6384" s="208"/>
      <c r="I6384" s="208"/>
      <c r="J6384" s="209"/>
      <c r="K6384" s="209"/>
      <c r="L6384" s="209"/>
      <c r="M6384" s="209"/>
      <c r="N6384" s="209"/>
      <c r="O6384" s="209"/>
      <c r="P6384" s="209"/>
      <c r="Q6384" s="209"/>
      <c r="R6384" s="209"/>
      <c r="S6384" s="209"/>
      <c r="T6384" s="209"/>
      <c r="U6384" s="451"/>
      <c r="V6384" s="451"/>
      <c r="W6384" s="451"/>
      <c r="X6384" s="451"/>
      <c r="Y6384" s="451"/>
      <c r="Z6384" s="451"/>
      <c r="AA6384" s="451"/>
      <c r="AB6384" s="451"/>
      <c r="AC6384" s="451"/>
      <c r="AD6384" s="451"/>
      <c r="AE6384" s="451"/>
      <c r="AF6384" s="451"/>
      <c r="AG6384" s="451"/>
      <c r="AH6384" s="451"/>
      <c r="AI6384" s="451"/>
      <c r="AJ6384" s="451"/>
      <c r="AK6384" s="451"/>
      <c r="AL6384" s="451"/>
      <c r="AM6384" s="451"/>
      <c r="AN6384" s="451"/>
      <c r="AO6384" s="451"/>
      <c r="AP6384" s="451"/>
      <c r="AQ6384" s="451"/>
      <c r="AR6384" s="451"/>
      <c r="AS6384" s="451"/>
      <c r="AT6384" s="451"/>
      <c r="AU6384" s="451"/>
      <c r="AV6384" s="451"/>
      <c r="AW6384" s="451"/>
      <c r="AX6384" s="451"/>
      <c r="AY6384" s="451"/>
      <c r="AZ6384" s="451"/>
      <c r="BA6384" s="451"/>
      <c r="BB6384" s="451"/>
      <c r="BC6384" s="451"/>
      <c r="BD6384" s="451"/>
      <c r="BE6384" s="451"/>
      <c r="BF6384" s="451"/>
      <c r="BG6384" s="451"/>
      <c r="BH6384" s="451"/>
      <c r="BI6384" s="451"/>
      <c r="BJ6384" s="451"/>
      <c r="BK6384" s="451"/>
      <c r="BL6384" s="451"/>
      <c r="BM6384" s="451"/>
      <c r="BN6384" s="451"/>
      <c r="BO6384" s="451"/>
      <c r="BP6384" s="451"/>
      <c r="BQ6384" s="451"/>
      <c r="BR6384" s="451"/>
      <c r="BS6384" s="451"/>
      <c r="BT6384" s="451"/>
      <c r="BU6384" s="451"/>
      <c r="BV6384" s="451"/>
      <c r="BW6384" s="451"/>
      <c r="BX6384" s="451"/>
      <c r="BY6384" s="451"/>
      <c r="BZ6384" s="451"/>
      <c r="CA6384" s="451"/>
      <c r="CB6384" s="451"/>
      <c r="CC6384" s="451"/>
      <c r="CD6384" s="451"/>
      <c r="CE6384" s="451"/>
      <c r="CF6384" s="451"/>
      <c r="CG6384" s="451"/>
      <c r="CH6384" s="451"/>
      <c r="CI6384" s="451"/>
      <c r="CJ6384" s="451"/>
      <c r="CK6384" s="451"/>
      <c r="CL6384" s="451"/>
      <c r="CM6384" s="451"/>
      <c r="CN6384" s="451"/>
      <c r="CO6384" s="451"/>
      <c r="CP6384" s="451"/>
      <c r="CQ6384" s="451"/>
      <c r="CR6384" s="451"/>
      <c r="CS6384" s="451"/>
      <c r="CT6384" s="451"/>
      <c r="CU6384" s="451"/>
      <c r="CV6384" s="451"/>
      <c r="CW6384" s="451"/>
      <c r="CX6384" s="451"/>
      <c r="CY6384" s="451"/>
      <c r="CZ6384" s="451"/>
      <c r="DA6384" s="451"/>
      <c r="DB6384" s="451"/>
      <c r="DC6384" s="451"/>
      <c r="DD6384" s="451"/>
      <c r="DE6384" s="451"/>
      <c r="DF6384" s="451"/>
      <c r="DG6384" s="451"/>
      <c r="DH6384" s="451"/>
      <c r="DI6384" s="451"/>
      <c r="DJ6384" s="451"/>
      <c r="DK6384" s="451"/>
      <c r="DL6384" s="451"/>
      <c r="DM6384" s="451"/>
      <c r="DN6384" s="451"/>
      <c r="DO6384" s="451"/>
      <c r="DP6384" s="451"/>
      <c r="DQ6384" s="451"/>
      <c r="DR6384" s="451"/>
      <c r="DS6384" s="451"/>
      <c r="DT6384" s="451"/>
      <c r="DU6384" s="451"/>
      <c r="DV6384" s="451"/>
      <c r="DW6384" s="451"/>
      <c r="DX6384" s="451"/>
      <c r="DY6384" s="451"/>
      <c r="DZ6384" s="451"/>
      <c r="EA6384" s="451"/>
      <c r="EB6384" s="451"/>
      <c r="EC6384" s="451"/>
      <c r="ED6384" s="451"/>
      <c r="EE6384" s="451"/>
      <c r="EF6384" s="451"/>
      <c r="EG6384" s="451"/>
      <c r="EH6384" s="451"/>
      <c r="EI6384" s="451"/>
      <c r="EJ6384" s="451"/>
      <c r="EK6384" s="451"/>
      <c r="EL6384" s="451"/>
      <c r="EM6384" s="451"/>
      <c r="EN6384" s="451"/>
      <c r="EO6384" s="451"/>
      <c r="EP6384" s="451"/>
      <c r="EQ6384" s="451"/>
      <c r="ER6384" s="451"/>
      <c r="ES6384" s="451"/>
    </row>
    <row r="6385" spans="1:149" ht="15" hidden="1" customHeight="1">
      <c r="A6385" s="468">
        <v>45554</v>
      </c>
      <c r="B6385" s="208" t="s">
        <v>5183</v>
      </c>
      <c r="C6385" s="208" t="s">
        <v>27</v>
      </c>
      <c r="D6385" s="211">
        <v>-404800</v>
      </c>
      <c r="E6385" s="212">
        <v>45536</v>
      </c>
      <c r="F6385" s="208" t="s">
        <v>109</v>
      </c>
      <c r="G6385" s="201" t="s">
        <v>581</v>
      </c>
      <c r="H6385" s="208"/>
      <c r="I6385" s="208"/>
      <c r="J6385" s="209"/>
      <c r="K6385" s="209"/>
      <c r="L6385" s="209"/>
      <c r="M6385" s="209"/>
      <c r="N6385" s="209"/>
      <c r="O6385" s="209"/>
      <c r="P6385" s="209"/>
      <c r="Q6385" s="209"/>
      <c r="R6385" s="209"/>
      <c r="S6385" s="209"/>
      <c r="T6385" s="209"/>
      <c r="U6385" s="451"/>
      <c r="V6385" s="451"/>
      <c r="W6385" s="451"/>
      <c r="X6385" s="451"/>
      <c r="Y6385" s="451"/>
      <c r="Z6385" s="451"/>
      <c r="AA6385" s="451"/>
      <c r="AB6385" s="451"/>
      <c r="AC6385" s="451"/>
      <c r="AD6385" s="451"/>
      <c r="AE6385" s="451"/>
      <c r="AF6385" s="451"/>
      <c r="AG6385" s="451"/>
      <c r="AH6385" s="451"/>
      <c r="AI6385" s="451"/>
      <c r="AJ6385" s="451"/>
      <c r="AK6385" s="451"/>
      <c r="AL6385" s="451"/>
      <c r="AM6385" s="451"/>
      <c r="AN6385" s="451"/>
      <c r="AO6385" s="451"/>
      <c r="AP6385" s="451"/>
      <c r="AQ6385" s="451"/>
      <c r="AR6385" s="451"/>
      <c r="AS6385" s="451"/>
      <c r="AT6385" s="451"/>
      <c r="AU6385" s="451"/>
      <c r="AV6385" s="451"/>
      <c r="AW6385" s="451"/>
      <c r="AX6385" s="451"/>
      <c r="AY6385" s="451"/>
      <c r="AZ6385" s="451"/>
      <c r="BA6385" s="451"/>
      <c r="BB6385" s="451"/>
      <c r="BC6385" s="451"/>
      <c r="BD6385" s="451"/>
      <c r="BE6385" s="451"/>
      <c r="BF6385" s="451"/>
      <c r="BG6385" s="451"/>
      <c r="BH6385" s="451"/>
      <c r="BI6385" s="451"/>
      <c r="BJ6385" s="451"/>
      <c r="BK6385" s="451"/>
      <c r="BL6385" s="451"/>
      <c r="BM6385" s="451"/>
      <c r="BN6385" s="451"/>
      <c r="BO6385" s="451"/>
      <c r="BP6385" s="451"/>
      <c r="BQ6385" s="451"/>
      <c r="BR6385" s="451"/>
      <c r="BS6385" s="451"/>
      <c r="BT6385" s="451"/>
      <c r="BU6385" s="451"/>
      <c r="BV6385" s="451"/>
      <c r="BW6385" s="451"/>
      <c r="BX6385" s="451"/>
      <c r="BY6385" s="451"/>
      <c r="BZ6385" s="451"/>
      <c r="CA6385" s="451"/>
      <c r="CB6385" s="451"/>
      <c r="CC6385" s="451"/>
      <c r="CD6385" s="451"/>
      <c r="CE6385" s="451"/>
      <c r="CF6385" s="451"/>
      <c r="CG6385" s="451"/>
      <c r="CH6385" s="451"/>
      <c r="CI6385" s="451"/>
      <c r="CJ6385" s="451"/>
      <c r="CK6385" s="451"/>
      <c r="CL6385" s="451"/>
      <c r="CM6385" s="451"/>
      <c r="CN6385" s="451"/>
      <c r="CO6385" s="451"/>
      <c r="CP6385" s="451"/>
      <c r="CQ6385" s="451"/>
      <c r="CR6385" s="451"/>
      <c r="CS6385" s="451"/>
      <c r="CT6385" s="451"/>
      <c r="CU6385" s="451"/>
      <c r="CV6385" s="451"/>
      <c r="CW6385" s="451"/>
      <c r="CX6385" s="451"/>
      <c r="CY6385" s="451"/>
      <c r="CZ6385" s="451"/>
      <c r="DA6385" s="451"/>
      <c r="DB6385" s="451"/>
      <c r="DC6385" s="451"/>
      <c r="DD6385" s="451"/>
      <c r="DE6385" s="451"/>
      <c r="DF6385" s="451"/>
      <c r="DG6385" s="451"/>
      <c r="DH6385" s="451"/>
      <c r="DI6385" s="451"/>
      <c r="DJ6385" s="451"/>
      <c r="DK6385" s="451"/>
      <c r="DL6385" s="451"/>
      <c r="DM6385" s="451"/>
      <c r="DN6385" s="451"/>
      <c r="DO6385" s="451"/>
      <c r="DP6385" s="451"/>
      <c r="DQ6385" s="451"/>
      <c r="DR6385" s="451"/>
      <c r="DS6385" s="451"/>
      <c r="DT6385" s="451"/>
      <c r="DU6385" s="451"/>
      <c r="DV6385" s="451"/>
      <c r="DW6385" s="451"/>
      <c r="DX6385" s="451"/>
      <c r="DY6385" s="451"/>
      <c r="DZ6385" s="451"/>
      <c r="EA6385" s="451"/>
      <c r="EB6385" s="451"/>
      <c r="EC6385" s="451"/>
      <c r="ED6385" s="451"/>
      <c r="EE6385" s="451"/>
      <c r="EF6385" s="451"/>
      <c r="EG6385" s="451"/>
      <c r="EH6385" s="451"/>
      <c r="EI6385" s="451"/>
      <c r="EJ6385" s="451"/>
      <c r="EK6385" s="451"/>
      <c r="EL6385" s="451"/>
      <c r="EM6385" s="451"/>
      <c r="EN6385" s="451"/>
      <c r="EO6385" s="451"/>
      <c r="EP6385" s="451"/>
      <c r="EQ6385" s="451"/>
      <c r="ER6385" s="451"/>
      <c r="ES6385" s="451"/>
    </row>
    <row r="6386" spans="1:149" ht="15" hidden="1" customHeight="1">
      <c r="A6386" s="468">
        <v>45554</v>
      </c>
      <c r="B6386" s="208" t="s">
        <v>5184</v>
      </c>
      <c r="C6386" s="208" t="s">
        <v>27</v>
      </c>
      <c r="D6386" s="211">
        <v>-451300</v>
      </c>
      <c r="E6386" s="212">
        <v>45536</v>
      </c>
      <c r="F6386" s="208" t="s">
        <v>109</v>
      </c>
      <c r="G6386" s="201" t="s">
        <v>581</v>
      </c>
      <c r="H6386" s="208"/>
      <c r="I6386" s="208"/>
      <c r="J6386" s="209"/>
      <c r="K6386" s="209"/>
      <c r="L6386" s="209"/>
      <c r="M6386" s="209"/>
      <c r="N6386" s="209"/>
      <c r="O6386" s="209"/>
      <c r="P6386" s="209"/>
      <c r="Q6386" s="209"/>
      <c r="R6386" s="209"/>
      <c r="S6386" s="209"/>
      <c r="T6386" s="209"/>
      <c r="U6386" s="451"/>
      <c r="V6386" s="451"/>
      <c r="W6386" s="451"/>
      <c r="X6386" s="451"/>
      <c r="Y6386" s="451"/>
      <c r="Z6386" s="451"/>
      <c r="AA6386" s="451"/>
      <c r="AB6386" s="451"/>
      <c r="AC6386" s="451"/>
      <c r="AD6386" s="451"/>
      <c r="AE6386" s="451"/>
      <c r="AF6386" s="451"/>
      <c r="AG6386" s="451"/>
      <c r="AH6386" s="451"/>
      <c r="AI6386" s="451"/>
      <c r="AJ6386" s="451"/>
      <c r="AK6386" s="451"/>
      <c r="AL6386" s="451"/>
      <c r="AM6386" s="451"/>
      <c r="AN6386" s="451"/>
      <c r="AO6386" s="451"/>
      <c r="AP6386" s="451"/>
      <c r="AQ6386" s="451"/>
      <c r="AR6386" s="451"/>
      <c r="AS6386" s="451"/>
      <c r="AT6386" s="451"/>
      <c r="AU6386" s="451"/>
      <c r="AV6386" s="451"/>
      <c r="AW6386" s="451"/>
      <c r="AX6386" s="451"/>
      <c r="AY6386" s="451"/>
      <c r="AZ6386" s="451"/>
      <c r="BA6386" s="451"/>
      <c r="BB6386" s="451"/>
      <c r="BC6386" s="451"/>
      <c r="BD6386" s="451"/>
      <c r="BE6386" s="451"/>
      <c r="BF6386" s="451"/>
      <c r="BG6386" s="451"/>
      <c r="BH6386" s="451"/>
      <c r="BI6386" s="451"/>
      <c r="BJ6386" s="451"/>
      <c r="BK6386" s="451"/>
      <c r="BL6386" s="451"/>
      <c r="BM6386" s="451"/>
      <c r="BN6386" s="451"/>
      <c r="BO6386" s="451"/>
      <c r="BP6386" s="451"/>
      <c r="BQ6386" s="451"/>
      <c r="BR6386" s="451"/>
      <c r="BS6386" s="451"/>
      <c r="BT6386" s="451"/>
      <c r="BU6386" s="451"/>
      <c r="BV6386" s="451"/>
      <c r="BW6386" s="451"/>
      <c r="BX6386" s="451"/>
      <c r="BY6386" s="451"/>
      <c r="BZ6386" s="451"/>
      <c r="CA6386" s="451"/>
      <c r="CB6386" s="451"/>
      <c r="CC6386" s="451"/>
      <c r="CD6386" s="451"/>
      <c r="CE6386" s="451"/>
      <c r="CF6386" s="451"/>
      <c r="CG6386" s="451"/>
      <c r="CH6386" s="451"/>
      <c r="CI6386" s="451"/>
      <c r="CJ6386" s="451"/>
      <c r="CK6386" s="451"/>
      <c r="CL6386" s="451"/>
      <c r="CM6386" s="451"/>
      <c r="CN6386" s="451"/>
      <c r="CO6386" s="451"/>
      <c r="CP6386" s="451"/>
      <c r="CQ6386" s="451"/>
      <c r="CR6386" s="451"/>
      <c r="CS6386" s="451"/>
      <c r="CT6386" s="451"/>
      <c r="CU6386" s="451"/>
      <c r="CV6386" s="451"/>
      <c r="CW6386" s="451"/>
      <c r="CX6386" s="451"/>
      <c r="CY6386" s="451"/>
      <c r="CZ6386" s="451"/>
      <c r="DA6386" s="451"/>
      <c r="DB6386" s="451"/>
      <c r="DC6386" s="451"/>
      <c r="DD6386" s="451"/>
      <c r="DE6386" s="451"/>
      <c r="DF6386" s="451"/>
      <c r="DG6386" s="451"/>
      <c r="DH6386" s="451"/>
      <c r="DI6386" s="451"/>
      <c r="DJ6386" s="451"/>
      <c r="DK6386" s="451"/>
      <c r="DL6386" s="451"/>
      <c r="DM6386" s="451"/>
      <c r="DN6386" s="451"/>
      <c r="DO6386" s="451"/>
      <c r="DP6386" s="451"/>
      <c r="DQ6386" s="451"/>
      <c r="DR6386" s="451"/>
      <c r="DS6386" s="451"/>
      <c r="DT6386" s="451"/>
      <c r="DU6386" s="451"/>
      <c r="DV6386" s="451"/>
      <c r="DW6386" s="451"/>
      <c r="DX6386" s="451"/>
      <c r="DY6386" s="451"/>
      <c r="DZ6386" s="451"/>
      <c r="EA6386" s="451"/>
      <c r="EB6386" s="451"/>
      <c r="EC6386" s="451"/>
      <c r="ED6386" s="451"/>
      <c r="EE6386" s="451"/>
      <c r="EF6386" s="451"/>
      <c r="EG6386" s="451"/>
      <c r="EH6386" s="451"/>
      <c r="EI6386" s="451"/>
      <c r="EJ6386" s="451"/>
      <c r="EK6386" s="451"/>
      <c r="EL6386" s="451"/>
      <c r="EM6386" s="451"/>
      <c r="EN6386" s="451"/>
      <c r="EO6386" s="451"/>
      <c r="EP6386" s="451"/>
      <c r="EQ6386" s="451"/>
      <c r="ER6386" s="451"/>
      <c r="ES6386" s="451"/>
    </row>
    <row r="6387" spans="1:149" ht="15" hidden="1" customHeight="1">
      <c r="A6387" s="468">
        <v>45554</v>
      </c>
      <c r="B6387" s="208" t="s">
        <v>5185</v>
      </c>
      <c r="C6387" s="208" t="s">
        <v>27</v>
      </c>
      <c r="D6387" s="211">
        <v>-53900</v>
      </c>
      <c r="E6387" s="212">
        <v>45536</v>
      </c>
      <c r="F6387" s="208" t="s">
        <v>109</v>
      </c>
      <c r="G6387" s="201" t="s">
        <v>581</v>
      </c>
      <c r="H6387" s="208"/>
      <c r="I6387" s="208"/>
      <c r="J6387" s="209"/>
      <c r="K6387" s="209"/>
      <c r="L6387" s="209"/>
      <c r="M6387" s="209"/>
      <c r="N6387" s="209"/>
      <c r="O6387" s="209"/>
      <c r="P6387" s="209"/>
      <c r="Q6387" s="209"/>
      <c r="R6387" s="209"/>
      <c r="S6387" s="209"/>
      <c r="T6387" s="209"/>
      <c r="U6387" s="451"/>
      <c r="V6387" s="451"/>
      <c r="W6387" s="451"/>
      <c r="X6387" s="451"/>
      <c r="Y6387" s="451"/>
      <c r="Z6387" s="451"/>
      <c r="AA6387" s="451"/>
      <c r="AB6387" s="451"/>
      <c r="AC6387" s="451"/>
      <c r="AD6387" s="451"/>
      <c r="AE6387" s="451"/>
      <c r="AF6387" s="451"/>
      <c r="AG6387" s="451"/>
      <c r="AH6387" s="451"/>
      <c r="AI6387" s="451"/>
      <c r="AJ6387" s="451"/>
      <c r="AK6387" s="451"/>
      <c r="AL6387" s="451"/>
      <c r="AM6387" s="451"/>
      <c r="AN6387" s="451"/>
      <c r="AO6387" s="451"/>
      <c r="AP6387" s="451"/>
      <c r="AQ6387" s="451"/>
      <c r="AR6387" s="451"/>
      <c r="AS6387" s="451"/>
      <c r="AT6387" s="451"/>
      <c r="AU6387" s="451"/>
      <c r="AV6387" s="451"/>
      <c r="AW6387" s="451"/>
      <c r="AX6387" s="451"/>
      <c r="AY6387" s="451"/>
      <c r="AZ6387" s="451"/>
      <c r="BA6387" s="451"/>
      <c r="BB6387" s="451"/>
      <c r="BC6387" s="451"/>
      <c r="BD6387" s="451"/>
      <c r="BE6387" s="451"/>
      <c r="BF6387" s="451"/>
      <c r="BG6387" s="451"/>
      <c r="BH6387" s="451"/>
      <c r="BI6387" s="451"/>
      <c r="BJ6387" s="451"/>
      <c r="BK6387" s="451"/>
      <c r="BL6387" s="451"/>
      <c r="BM6387" s="451"/>
      <c r="BN6387" s="451"/>
      <c r="BO6387" s="451"/>
      <c r="BP6387" s="451"/>
      <c r="BQ6387" s="451"/>
      <c r="BR6387" s="451"/>
      <c r="BS6387" s="451"/>
      <c r="BT6387" s="451"/>
      <c r="BU6387" s="451"/>
      <c r="BV6387" s="451"/>
      <c r="BW6387" s="451"/>
      <c r="BX6387" s="451"/>
      <c r="BY6387" s="451"/>
      <c r="BZ6387" s="451"/>
      <c r="CA6387" s="451"/>
      <c r="CB6387" s="451"/>
      <c r="CC6387" s="451"/>
      <c r="CD6387" s="451"/>
      <c r="CE6387" s="451"/>
      <c r="CF6387" s="451"/>
      <c r="CG6387" s="451"/>
      <c r="CH6387" s="451"/>
      <c r="CI6387" s="451"/>
      <c r="CJ6387" s="451"/>
      <c r="CK6387" s="451"/>
      <c r="CL6387" s="451"/>
      <c r="CM6387" s="451"/>
      <c r="CN6387" s="451"/>
      <c r="CO6387" s="451"/>
      <c r="CP6387" s="451"/>
      <c r="CQ6387" s="451"/>
      <c r="CR6387" s="451"/>
      <c r="CS6387" s="451"/>
      <c r="CT6387" s="451"/>
      <c r="CU6387" s="451"/>
      <c r="CV6387" s="451"/>
      <c r="CW6387" s="451"/>
      <c r="CX6387" s="451"/>
      <c r="CY6387" s="451"/>
      <c r="CZ6387" s="451"/>
      <c r="DA6387" s="451"/>
      <c r="DB6387" s="451"/>
      <c r="DC6387" s="451"/>
      <c r="DD6387" s="451"/>
      <c r="DE6387" s="451"/>
      <c r="DF6387" s="451"/>
      <c r="DG6387" s="451"/>
      <c r="DH6387" s="451"/>
      <c r="DI6387" s="451"/>
      <c r="DJ6387" s="451"/>
      <c r="DK6387" s="451"/>
      <c r="DL6387" s="451"/>
      <c r="DM6387" s="451"/>
      <c r="DN6387" s="451"/>
      <c r="DO6387" s="451"/>
      <c r="DP6387" s="451"/>
      <c r="DQ6387" s="451"/>
      <c r="DR6387" s="451"/>
      <c r="DS6387" s="451"/>
      <c r="DT6387" s="451"/>
      <c r="DU6387" s="451"/>
      <c r="DV6387" s="451"/>
      <c r="DW6387" s="451"/>
      <c r="DX6387" s="451"/>
      <c r="DY6387" s="451"/>
      <c r="DZ6387" s="451"/>
      <c r="EA6387" s="451"/>
      <c r="EB6387" s="451"/>
      <c r="EC6387" s="451"/>
      <c r="ED6387" s="451"/>
      <c r="EE6387" s="451"/>
      <c r="EF6387" s="451"/>
      <c r="EG6387" s="451"/>
      <c r="EH6387" s="451"/>
      <c r="EI6387" s="451"/>
      <c r="EJ6387" s="451"/>
      <c r="EK6387" s="451"/>
      <c r="EL6387" s="451"/>
      <c r="EM6387" s="451"/>
      <c r="EN6387" s="451"/>
      <c r="EO6387" s="451"/>
      <c r="EP6387" s="451"/>
      <c r="EQ6387" s="451"/>
      <c r="ER6387" s="451"/>
      <c r="ES6387" s="451"/>
    </row>
    <row r="6388" spans="1:149" ht="15" hidden="1" customHeight="1">
      <c r="A6388" s="468">
        <v>45554</v>
      </c>
      <c r="B6388" s="208" t="s">
        <v>5186</v>
      </c>
      <c r="C6388" s="208" t="s">
        <v>27</v>
      </c>
      <c r="D6388" s="211">
        <v>-53900</v>
      </c>
      <c r="E6388" s="212">
        <v>45536</v>
      </c>
      <c r="F6388" s="208" t="s">
        <v>109</v>
      </c>
      <c r="G6388" s="201" t="s">
        <v>581</v>
      </c>
      <c r="H6388" s="208"/>
      <c r="I6388" s="208"/>
      <c r="J6388" s="209"/>
      <c r="K6388" s="209"/>
      <c r="L6388" s="209"/>
      <c r="M6388" s="209"/>
      <c r="N6388" s="209"/>
      <c r="O6388" s="209"/>
      <c r="P6388" s="209"/>
      <c r="Q6388" s="209"/>
      <c r="R6388" s="209"/>
      <c r="S6388" s="209"/>
      <c r="T6388" s="209"/>
      <c r="U6388" s="451"/>
      <c r="V6388" s="451"/>
      <c r="W6388" s="451"/>
      <c r="X6388" s="451"/>
      <c r="Y6388" s="451"/>
      <c r="Z6388" s="451"/>
      <c r="AA6388" s="451"/>
      <c r="AB6388" s="451"/>
      <c r="AC6388" s="451"/>
      <c r="AD6388" s="451"/>
      <c r="AE6388" s="451"/>
      <c r="AF6388" s="451"/>
      <c r="AG6388" s="451"/>
      <c r="AH6388" s="451"/>
      <c r="AI6388" s="451"/>
      <c r="AJ6388" s="451"/>
      <c r="AK6388" s="451"/>
      <c r="AL6388" s="451"/>
      <c r="AM6388" s="451"/>
      <c r="AN6388" s="451"/>
      <c r="AO6388" s="451"/>
      <c r="AP6388" s="451"/>
      <c r="AQ6388" s="451"/>
      <c r="AR6388" s="451"/>
      <c r="AS6388" s="451"/>
      <c r="AT6388" s="451"/>
      <c r="AU6388" s="451"/>
      <c r="AV6388" s="451"/>
      <c r="AW6388" s="451"/>
      <c r="AX6388" s="451"/>
      <c r="AY6388" s="451"/>
      <c r="AZ6388" s="451"/>
      <c r="BA6388" s="451"/>
      <c r="BB6388" s="451"/>
      <c r="BC6388" s="451"/>
      <c r="BD6388" s="451"/>
      <c r="BE6388" s="451"/>
      <c r="BF6388" s="451"/>
      <c r="BG6388" s="451"/>
      <c r="BH6388" s="451"/>
      <c r="BI6388" s="451"/>
      <c r="BJ6388" s="451"/>
      <c r="BK6388" s="451"/>
      <c r="BL6388" s="451"/>
      <c r="BM6388" s="451"/>
      <c r="BN6388" s="451"/>
      <c r="BO6388" s="451"/>
      <c r="BP6388" s="451"/>
      <c r="BQ6388" s="451"/>
      <c r="BR6388" s="451"/>
      <c r="BS6388" s="451"/>
      <c r="BT6388" s="451"/>
      <c r="BU6388" s="451"/>
      <c r="BV6388" s="451"/>
      <c r="BW6388" s="451"/>
      <c r="BX6388" s="451"/>
      <c r="BY6388" s="451"/>
      <c r="BZ6388" s="451"/>
      <c r="CA6388" s="451"/>
      <c r="CB6388" s="451"/>
      <c r="CC6388" s="451"/>
      <c r="CD6388" s="451"/>
      <c r="CE6388" s="451"/>
      <c r="CF6388" s="451"/>
      <c r="CG6388" s="451"/>
      <c r="CH6388" s="451"/>
      <c r="CI6388" s="451"/>
      <c r="CJ6388" s="451"/>
      <c r="CK6388" s="451"/>
      <c r="CL6388" s="451"/>
      <c r="CM6388" s="451"/>
      <c r="CN6388" s="451"/>
      <c r="CO6388" s="451"/>
      <c r="CP6388" s="451"/>
      <c r="CQ6388" s="451"/>
      <c r="CR6388" s="451"/>
      <c r="CS6388" s="451"/>
      <c r="CT6388" s="451"/>
      <c r="CU6388" s="451"/>
      <c r="CV6388" s="451"/>
      <c r="CW6388" s="451"/>
      <c r="CX6388" s="451"/>
      <c r="CY6388" s="451"/>
      <c r="CZ6388" s="451"/>
      <c r="DA6388" s="451"/>
      <c r="DB6388" s="451"/>
      <c r="DC6388" s="451"/>
      <c r="DD6388" s="451"/>
      <c r="DE6388" s="451"/>
      <c r="DF6388" s="451"/>
      <c r="DG6388" s="451"/>
      <c r="DH6388" s="451"/>
      <c r="DI6388" s="451"/>
      <c r="DJ6388" s="451"/>
      <c r="DK6388" s="451"/>
      <c r="DL6388" s="451"/>
      <c r="DM6388" s="451"/>
      <c r="DN6388" s="451"/>
      <c r="DO6388" s="451"/>
      <c r="DP6388" s="451"/>
      <c r="DQ6388" s="451"/>
      <c r="DR6388" s="451"/>
      <c r="DS6388" s="451"/>
      <c r="DT6388" s="451"/>
      <c r="DU6388" s="451"/>
      <c r="DV6388" s="451"/>
      <c r="DW6388" s="451"/>
      <c r="DX6388" s="451"/>
      <c r="DY6388" s="451"/>
      <c r="DZ6388" s="451"/>
      <c r="EA6388" s="451"/>
      <c r="EB6388" s="451"/>
      <c r="EC6388" s="451"/>
      <c r="ED6388" s="451"/>
      <c r="EE6388" s="451"/>
      <c r="EF6388" s="451"/>
      <c r="EG6388" s="451"/>
      <c r="EH6388" s="451"/>
      <c r="EI6388" s="451"/>
      <c r="EJ6388" s="451"/>
      <c r="EK6388" s="451"/>
      <c r="EL6388" s="451"/>
      <c r="EM6388" s="451"/>
      <c r="EN6388" s="451"/>
      <c r="EO6388" s="451"/>
      <c r="EP6388" s="451"/>
      <c r="EQ6388" s="451"/>
      <c r="ER6388" s="451"/>
      <c r="ES6388" s="451"/>
    </row>
    <row r="6389" spans="1:149" ht="15" hidden="1" customHeight="1">
      <c r="A6389" s="468">
        <v>45554</v>
      </c>
      <c r="B6389" s="208" t="s">
        <v>5187</v>
      </c>
      <c r="C6389" s="208" t="s">
        <v>27</v>
      </c>
      <c r="D6389" s="211">
        <v>-53900</v>
      </c>
      <c r="E6389" s="212">
        <v>45536</v>
      </c>
      <c r="F6389" s="208" t="s">
        <v>109</v>
      </c>
      <c r="G6389" s="201" t="s">
        <v>581</v>
      </c>
      <c r="H6389" s="208"/>
      <c r="I6389" s="208"/>
      <c r="J6389" s="209"/>
      <c r="K6389" s="209"/>
      <c r="L6389" s="209"/>
      <c r="M6389" s="209"/>
      <c r="N6389" s="209"/>
      <c r="O6389" s="209"/>
      <c r="P6389" s="209"/>
      <c r="Q6389" s="209"/>
      <c r="R6389" s="209"/>
      <c r="S6389" s="209"/>
      <c r="T6389" s="209"/>
      <c r="U6389" s="451"/>
      <c r="V6389" s="451"/>
      <c r="W6389" s="451"/>
      <c r="X6389" s="451"/>
      <c r="Y6389" s="451"/>
      <c r="Z6389" s="451"/>
      <c r="AA6389" s="451"/>
      <c r="AB6389" s="451"/>
      <c r="AC6389" s="451"/>
      <c r="AD6389" s="451"/>
      <c r="AE6389" s="451"/>
      <c r="AF6389" s="451"/>
      <c r="AG6389" s="451"/>
      <c r="AH6389" s="451"/>
      <c r="AI6389" s="451"/>
      <c r="AJ6389" s="451"/>
      <c r="AK6389" s="451"/>
      <c r="AL6389" s="451"/>
      <c r="AM6389" s="451"/>
      <c r="AN6389" s="451"/>
      <c r="AO6389" s="451"/>
      <c r="AP6389" s="451"/>
      <c r="AQ6389" s="451"/>
      <c r="AR6389" s="451"/>
      <c r="AS6389" s="451"/>
      <c r="AT6389" s="451"/>
      <c r="AU6389" s="451"/>
      <c r="AV6389" s="451"/>
      <c r="AW6389" s="451"/>
      <c r="AX6389" s="451"/>
      <c r="AY6389" s="451"/>
      <c r="AZ6389" s="451"/>
      <c r="BA6389" s="451"/>
      <c r="BB6389" s="451"/>
      <c r="BC6389" s="451"/>
      <c r="BD6389" s="451"/>
      <c r="BE6389" s="451"/>
      <c r="BF6389" s="451"/>
      <c r="BG6389" s="451"/>
      <c r="BH6389" s="451"/>
      <c r="BI6389" s="451"/>
      <c r="BJ6389" s="451"/>
      <c r="BK6389" s="451"/>
      <c r="BL6389" s="451"/>
      <c r="BM6389" s="451"/>
      <c r="BN6389" s="451"/>
      <c r="BO6389" s="451"/>
      <c r="BP6389" s="451"/>
      <c r="BQ6389" s="451"/>
      <c r="BR6389" s="451"/>
      <c r="BS6389" s="451"/>
      <c r="BT6389" s="451"/>
      <c r="BU6389" s="451"/>
      <c r="BV6389" s="451"/>
      <c r="BW6389" s="451"/>
      <c r="BX6389" s="451"/>
      <c r="BY6389" s="451"/>
      <c r="BZ6389" s="451"/>
      <c r="CA6389" s="451"/>
      <c r="CB6389" s="451"/>
      <c r="CC6389" s="451"/>
      <c r="CD6389" s="451"/>
      <c r="CE6389" s="451"/>
      <c r="CF6389" s="451"/>
      <c r="CG6389" s="451"/>
      <c r="CH6389" s="451"/>
      <c r="CI6389" s="451"/>
      <c r="CJ6389" s="451"/>
      <c r="CK6389" s="451"/>
      <c r="CL6389" s="451"/>
      <c r="CM6389" s="451"/>
      <c r="CN6389" s="451"/>
      <c r="CO6389" s="451"/>
      <c r="CP6389" s="451"/>
      <c r="CQ6389" s="451"/>
      <c r="CR6389" s="451"/>
      <c r="CS6389" s="451"/>
      <c r="CT6389" s="451"/>
      <c r="CU6389" s="451"/>
      <c r="CV6389" s="451"/>
      <c r="CW6389" s="451"/>
      <c r="CX6389" s="451"/>
      <c r="CY6389" s="451"/>
      <c r="CZ6389" s="451"/>
      <c r="DA6389" s="451"/>
      <c r="DB6389" s="451"/>
      <c r="DC6389" s="451"/>
      <c r="DD6389" s="451"/>
      <c r="DE6389" s="451"/>
      <c r="DF6389" s="451"/>
      <c r="DG6389" s="451"/>
      <c r="DH6389" s="451"/>
      <c r="DI6389" s="451"/>
      <c r="DJ6389" s="451"/>
      <c r="DK6389" s="451"/>
      <c r="DL6389" s="451"/>
      <c r="DM6389" s="451"/>
      <c r="DN6389" s="451"/>
      <c r="DO6389" s="451"/>
      <c r="DP6389" s="451"/>
      <c r="DQ6389" s="451"/>
      <c r="DR6389" s="451"/>
      <c r="DS6389" s="451"/>
      <c r="DT6389" s="451"/>
      <c r="DU6389" s="451"/>
      <c r="DV6389" s="451"/>
      <c r="DW6389" s="451"/>
      <c r="DX6389" s="451"/>
      <c r="DY6389" s="451"/>
      <c r="DZ6389" s="451"/>
      <c r="EA6389" s="451"/>
      <c r="EB6389" s="451"/>
      <c r="EC6389" s="451"/>
      <c r="ED6389" s="451"/>
      <c r="EE6389" s="451"/>
      <c r="EF6389" s="451"/>
      <c r="EG6389" s="451"/>
      <c r="EH6389" s="451"/>
      <c r="EI6389" s="451"/>
      <c r="EJ6389" s="451"/>
      <c r="EK6389" s="451"/>
      <c r="EL6389" s="451"/>
      <c r="EM6389" s="451"/>
      <c r="EN6389" s="451"/>
      <c r="EO6389" s="451"/>
      <c r="EP6389" s="451"/>
      <c r="EQ6389" s="451"/>
      <c r="ER6389" s="451"/>
      <c r="ES6389" s="451"/>
    </row>
    <row r="6390" spans="1:149" ht="15" hidden="1" customHeight="1">
      <c r="A6390" s="468">
        <v>45554</v>
      </c>
      <c r="B6390" s="208" t="s">
        <v>5188</v>
      </c>
      <c r="C6390" s="208" t="s">
        <v>27</v>
      </c>
      <c r="D6390" s="211">
        <v>-53900</v>
      </c>
      <c r="E6390" s="212">
        <v>45536</v>
      </c>
      <c r="F6390" s="208" t="s">
        <v>109</v>
      </c>
      <c r="G6390" s="201" t="s">
        <v>581</v>
      </c>
      <c r="H6390" s="208"/>
      <c r="I6390" s="208"/>
      <c r="J6390" s="209"/>
      <c r="K6390" s="209"/>
      <c r="L6390" s="209"/>
      <c r="M6390" s="209"/>
      <c r="N6390" s="209"/>
      <c r="O6390" s="209"/>
      <c r="P6390" s="209"/>
      <c r="Q6390" s="209"/>
      <c r="R6390" s="209"/>
      <c r="S6390" s="209"/>
      <c r="T6390" s="209"/>
      <c r="U6390" s="451"/>
      <c r="V6390" s="451"/>
      <c r="W6390" s="451"/>
      <c r="X6390" s="451"/>
      <c r="Y6390" s="451"/>
      <c r="Z6390" s="451"/>
      <c r="AA6390" s="451"/>
      <c r="AB6390" s="451"/>
      <c r="AC6390" s="451"/>
      <c r="AD6390" s="451"/>
      <c r="AE6390" s="451"/>
      <c r="AF6390" s="451"/>
      <c r="AG6390" s="451"/>
      <c r="AH6390" s="451"/>
      <c r="AI6390" s="451"/>
      <c r="AJ6390" s="451"/>
      <c r="AK6390" s="451"/>
      <c r="AL6390" s="451"/>
      <c r="AM6390" s="451"/>
      <c r="AN6390" s="451"/>
      <c r="AO6390" s="451"/>
      <c r="AP6390" s="451"/>
      <c r="AQ6390" s="451"/>
      <c r="AR6390" s="451"/>
      <c r="AS6390" s="451"/>
      <c r="AT6390" s="451"/>
      <c r="AU6390" s="451"/>
      <c r="AV6390" s="451"/>
      <c r="AW6390" s="451"/>
      <c r="AX6390" s="451"/>
      <c r="AY6390" s="451"/>
      <c r="AZ6390" s="451"/>
      <c r="BA6390" s="451"/>
      <c r="BB6390" s="451"/>
      <c r="BC6390" s="451"/>
      <c r="BD6390" s="451"/>
      <c r="BE6390" s="451"/>
      <c r="BF6390" s="451"/>
      <c r="BG6390" s="451"/>
      <c r="BH6390" s="451"/>
      <c r="BI6390" s="451"/>
      <c r="BJ6390" s="451"/>
      <c r="BK6390" s="451"/>
      <c r="BL6390" s="451"/>
      <c r="BM6390" s="451"/>
      <c r="BN6390" s="451"/>
      <c r="BO6390" s="451"/>
      <c r="BP6390" s="451"/>
      <c r="BQ6390" s="451"/>
      <c r="BR6390" s="451"/>
      <c r="BS6390" s="451"/>
      <c r="BT6390" s="451"/>
      <c r="BU6390" s="451"/>
      <c r="BV6390" s="451"/>
      <c r="BW6390" s="451"/>
      <c r="BX6390" s="451"/>
      <c r="BY6390" s="451"/>
      <c r="BZ6390" s="451"/>
      <c r="CA6390" s="451"/>
      <c r="CB6390" s="451"/>
      <c r="CC6390" s="451"/>
      <c r="CD6390" s="451"/>
      <c r="CE6390" s="451"/>
      <c r="CF6390" s="451"/>
      <c r="CG6390" s="451"/>
      <c r="CH6390" s="451"/>
      <c r="CI6390" s="451"/>
      <c r="CJ6390" s="451"/>
      <c r="CK6390" s="451"/>
      <c r="CL6390" s="451"/>
      <c r="CM6390" s="451"/>
      <c r="CN6390" s="451"/>
      <c r="CO6390" s="451"/>
      <c r="CP6390" s="451"/>
      <c r="CQ6390" s="451"/>
      <c r="CR6390" s="451"/>
      <c r="CS6390" s="451"/>
      <c r="CT6390" s="451"/>
      <c r="CU6390" s="451"/>
      <c r="CV6390" s="451"/>
      <c r="CW6390" s="451"/>
      <c r="CX6390" s="451"/>
      <c r="CY6390" s="451"/>
      <c r="CZ6390" s="451"/>
      <c r="DA6390" s="451"/>
      <c r="DB6390" s="451"/>
      <c r="DC6390" s="451"/>
      <c r="DD6390" s="451"/>
      <c r="DE6390" s="451"/>
      <c r="DF6390" s="451"/>
      <c r="DG6390" s="451"/>
      <c r="DH6390" s="451"/>
      <c r="DI6390" s="451"/>
      <c r="DJ6390" s="451"/>
      <c r="DK6390" s="451"/>
      <c r="DL6390" s="451"/>
      <c r="DM6390" s="451"/>
      <c r="DN6390" s="451"/>
      <c r="DO6390" s="451"/>
      <c r="DP6390" s="451"/>
      <c r="DQ6390" s="451"/>
      <c r="DR6390" s="451"/>
      <c r="DS6390" s="451"/>
      <c r="DT6390" s="451"/>
      <c r="DU6390" s="451"/>
      <c r="DV6390" s="451"/>
      <c r="DW6390" s="451"/>
      <c r="DX6390" s="451"/>
      <c r="DY6390" s="451"/>
      <c r="DZ6390" s="451"/>
      <c r="EA6390" s="451"/>
      <c r="EB6390" s="451"/>
      <c r="EC6390" s="451"/>
      <c r="ED6390" s="451"/>
      <c r="EE6390" s="451"/>
      <c r="EF6390" s="451"/>
      <c r="EG6390" s="451"/>
      <c r="EH6390" s="451"/>
      <c r="EI6390" s="451"/>
      <c r="EJ6390" s="451"/>
      <c r="EK6390" s="451"/>
      <c r="EL6390" s="451"/>
      <c r="EM6390" s="451"/>
      <c r="EN6390" s="451"/>
      <c r="EO6390" s="451"/>
      <c r="EP6390" s="451"/>
      <c r="EQ6390" s="451"/>
      <c r="ER6390" s="451"/>
      <c r="ES6390" s="451"/>
    </row>
    <row r="6391" spans="1:149" ht="15" hidden="1" customHeight="1">
      <c r="A6391" s="468">
        <v>45554</v>
      </c>
      <c r="B6391" s="208" t="s">
        <v>5189</v>
      </c>
      <c r="C6391" s="208" t="s">
        <v>27</v>
      </c>
      <c r="D6391" s="211">
        <v>-53900</v>
      </c>
      <c r="E6391" s="212">
        <v>45536</v>
      </c>
      <c r="F6391" s="208" t="s">
        <v>109</v>
      </c>
      <c r="G6391" s="201" t="s">
        <v>581</v>
      </c>
      <c r="H6391" s="208"/>
      <c r="I6391" s="208"/>
      <c r="J6391" s="209"/>
      <c r="K6391" s="209"/>
      <c r="L6391" s="209"/>
      <c r="M6391" s="209"/>
      <c r="N6391" s="209"/>
      <c r="O6391" s="209"/>
      <c r="P6391" s="209"/>
      <c r="Q6391" s="209"/>
      <c r="R6391" s="209"/>
      <c r="S6391" s="209"/>
      <c r="T6391" s="209"/>
      <c r="U6391" s="451"/>
      <c r="V6391" s="451"/>
      <c r="W6391" s="451"/>
      <c r="X6391" s="451"/>
      <c r="Y6391" s="451"/>
      <c r="Z6391" s="451"/>
      <c r="AA6391" s="451"/>
      <c r="AB6391" s="451"/>
      <c r="AC6391" s="451"/>
      <c r="AD6391" s="451"/>
      <c r="AE6391" s="451"/>
      <c r="AF6391" s="451"/>
      <c r="AG6391" s="451"/>
      <c r="AH6391" s="451"/>
      <c r="AI6391" s="451"/>
      <c r="AJ6391" s="451"/>
      <c r="AK6391" s="451"/>
      <c r="AL6391" s="451"/>
      <c r="AM6391" s="451"/>
      <c r="AN6391" s="451"/>
      <c r="AO6391" s="451"/>
      <c r="AP6391" s="451"/>
      <c r="AQ6391" s="451"/>
      <c r="AR6391" s="451"/>
      <c r="AS6391" s="451"/>
      <c r="AT6391" s="451"/>
      <c r="AU6391" s="451"/>
      <c r="AV6391" s="451"/>
      <c r="AW6391" s="451"/>
      <c r="AX6391" s="451"/>
      <c r="AY6391" s="451"/>
      <c r="AZ6391" s="451"/>
      <c r="BA6391" s="451"/>
      <c r="BB6391" s="451"/>
      <c r="BC6391" s="451"/>
      <c r="BD6391" s="451"/>
      <c r="BE6391" s="451"/>
      <c r="BF6391" s="451"/>
      <c r="BG6391" s="451"/>
      <c r="BH6391" s="451"/>
      <c r="BI6391" s="451"/>
      <c r="BJ6391" s="451"/>
      <c r="BK6391" s="451"/>
      <c r="BL6391" s="451"/>
      <c r="BM6391" s="451"/>
      <c r="BN6391" s="451"/>
      <c r="BO6391" s="451"/>
      <c r="BP6391" s="451"/>
      <c r="BQ6391" s="451"/>
      <c r="BR6391" s="451"/>
      <c r="BS6391" s="451"/>
      <c r="BT6391" s="451"/>
      <c r="BU6391" s="451"/>
      <c r="BV6391" s="451"/>
      <c r="BW6391" s="451"/>
      <c r="BX6391" s="451"/>
      <c r="BY6391" s="451"/>
      <c r="BZ6391" s="451"/>
      <c r="CA6391" s="451"/>
      <c r="CB6391" s="451"/>
      <c r="CC6391" s="451"/>
      <c r="CD6391" s="451"/>
      <c r="CE6391" s="451"/>
      <c r="CF6391" s="451"/>
      <c r="CG6391" s="451"/>
      <c r="CH6391" s="451"/>
      <c r="CI6391" s="451"/>
      <c r="CJ6391" s="451"/>
      <c r="CK6391" s="451"/>
      <c r="CL6391" s="451"/>
      <c r="CM6391" s="451"/>
      <c r="CN6391" s="451"/>
      <c r="CO6391" s="451"/>
      <c r="CP6391" s="451"/>
      <c r="CQ6391" s="451"/>
      <c r="CR6391" s="451"/>
      <c r="CS6391" s="451"/>
      <c r="CT6391" s="451"/>
      <c r="CU6391" s="451"/>
      <c r="CV6391" s="451"/>
      <c r="CW6391" s="451"/>
      <c r="CX6391" s="451"/>
      <c r="CY6391" s="451"/>
      <c r="CZ6391" s="451"/>
      <c r="DA6391" s="451"/>
      <c r="DB6391" s="451"/>
      <c r="DC6391" s="451"/>
      <c r="DD6391" s="451"/>
      <c r="DE6391" s="451"/>
      <c r="DF6391" s="451"/>
      <c r="DG6391" s="451"/>
      <c r="DH6391" s="451"/>
      <c r="DI6391" s="451"/>
      <c r="DJ6391" s="451"/>
      <c r="DK6391" s="451"/>
      <c r="DL6391" s="451"/>
      <c r="DM6391" s="451"/>
      <c r="DN6391" s="451"/>
      <c r="DO6391" s="451"/>
      <c r="DP6391" s="451"/>
      <c r="DQ6391" s="451"/>
      <c r="DR6391" s="451"/>
      <c r="DS6391" s="451"/>
      <c r="DT6391" s="451"/>
      <c r="DU6391" s="451"/>
      <c r="DV6391" s="451"/>
      <c r="DW6391" s="451"/>
      <c r="DX6391" s="451"/>
      <c r="DY6391" s="451"/>
      <c r="DZ6391" s="451"/>
      <c r="EA6391" s="451"/>
      <c r="EB6391" s="451"/>
      <c r="EC6391" s="451"/>
      <c r="ED6391" s="451"/>
      <c r="EE6391" s="451"/>
      <c r="EF6391" s="451"/>
      <c r="EG6391" s="451"/>
      <c r="EH6391" s="451"/>
      <c r="EI6391" s="451"/>
      <c r="EJ6391" s="451"/>
      <c r="EK6391" s="451"/>
      <c r="EL6391" s="451"/>
      <c r="EM6391" s="451"/>
      <c r="EN6391" s="451"/>
      <c r="EO6391" s="451"/>
      <c r="EP6391" s="451"/>
      <c r="EQ6391" s="451"/>
      <c r="ER6391" s="451"/>
      <c r="ES6391" s="451"/>
    </row>
    <row r="6392" spans="1:149" ht="15" hidden="1" customHeight="1">
      <c r="A6392" s="468">
        <v>45554</v>
      </c>
      <c r="B6392" s="208" t="s">
        <v>5190</v>
      </c>
      <c r="C6392" s="208" t="s">
        <v>27</v>
      </c>
      <c r="D6392" s="211">
        <v>-53900</v>
      </c>
      <c r="E6392" s="212">
        <v>45536</v>
      </c>
      <c r="F6392" s="208" t="s">
        <v>109</v>
      </c>
      <c r="G6392" s="201" t="s">
        <v>581</v>
      </c>
      <c r="H6392" s="208"/>
      <c r="I6392" s="208"/>
      <c r="J6392" s="209"/>
      <c r="K6392" s="209"/>
      <c r="L6392" s="209"/>
      <c r="M6392" s="209"/>
      <c r="N6392" s="209"/>
      <c r="O6392" s="209"/>
      <c r="P6392" s="209"/>
      <c r="Q6392" s="209"/>
      <c r="R6392" s="209"/>
      <c r="S6392" s="209"/>
      <c r="T6392" s="209"/>
      <c r="U6392" s="451"/>
      <c r="V6392" s="451"/>
      <c r="W6392" s="451"/>
      <c r="X6392" s="451"/>
      <c r="Y6392" s="451"/>
      <c r="Z6392" s="451"/>
      <c r="AA6392" s="451"/>
      <c r="AB6392" s="451"/>
      <c r="AC6392" s="451"/>
      <c r="AD6392" s="451"/>
      <c r="AE6392" s="451"/>
      <c r="AF6392" s="451"/>
      <c r="AG6392" s="451"/>
      <c r="AH6392" s="451"/>
      <c r="AI6392" s="451"/>
      <c r="AJ6392" s="451"/>
      <c r="AK6392" s="451"/>
      <c r="AL6392" s="451"/>
      <c r="AM6392" s="451"/>
      <c r="AN6392" s="451"/>
      <c r="AO6392" s="451"/>
      <c r="AP6392" s="451"/>
      <c r="AQ6392" s="451"/>
      <c r="AR6392" s="451"/>
      <c r="AS6392" s="451"/>
      <c r="AT6392" s="451"/>
      <c r="AU6392" s="451"/>
      <c r="AV6392" s="451"/>
      <c r="AW6392" s="451"/>
      <c r="AX6392" s="451"/>
      <c r="AY6392" s="451"/>
      <c r="AZ6392" s="451"/>
      <c r="BA6392" s="451"/>
      <c r="BB6392" s="451"/>
      <c r="BC6392" s="451"/>
      <c r="BD6392" s="451"/>
      <c r="BE6392" s="451"/>
      <c r="BF6392" s="451"/>
      <c r="BG6392" s="451"/>
      <c r="BH6392" s="451"/>
      <c r="BI6392" s="451"/>
      <c r="BJ6392" s="451"/>
      <c r="BK6392" s="451"/>
      <c r="BL6392" s="451"/>
      <c r="BM6392" s="451"/>
      <c r="BN6392" s="451"/>
      <c r="BO6392" s="451"/>
      <c r="BP6392" s="451"/>
      <c r="BQ6392" s="451"/>
      <c r="BR6392" s="451"/>
      <c r="BS6392" s="451"/>
      <c r="BT6392" s="451"/>
      <c r="BU6392" s="451"/>
      <c r="BV6392" s="451"/>
      <c r="BW6392" s="451"/>
      <c r="BX6392" s="451"/>
      <c r="BY6392" s="451"/>
      <c r="BZ6392" s="451"/>
      <c r="CA6392" s="451"/>
      <c r="CB6392" s="451"/>
      <c r="CC6392" s="451"/>
      <c r="CD6392" s="451"/>
      <c r="CE6392" s="451"/>
      <c r="CF6392" s="451"/>
      <c r="CG6392" s="451"/>
      <c r="CH6392" s="451"/>
      <c r="CI6392" s="451"/>
      <c r="CJ6392" s="451"/>
      <c r="CK6392" s="451"/>
      <c r="CL6392" s="451"/>
      <c r="CM6392" s="451"/>
      <c r="CN6392" s="451"/>
      <c r="CO6392" s="451"/>
      <c r="CP6392" s="451"/>
      <c r="CQ6392" s="451"/>
      <c r="CR6392" s="451"/>
      <c r="CS6392" s="451"/>
      <c r="CT6392" s="451"/>
      <c r="CU6392" s="451"/>
      <c r="CV6392" s="451"/>
      <c r="CW6392" s="451"/>
      <c r="CX6392" s="451"/>
      <c r="CY6392" s="451"/>
      <c r="CZ6392" s="451"/>
      <c r="DA6392" s="451"/>
      <c r="DB6392" s="451"/>
      <c r="DC6392" s="451"/>
      <c r="DD6392" s="451"/>
      <c r="DE6392" s="451"/>
      <c r="DF6392" s="451"/>
      <c r="DG6392" s="451"/>
      <c r="DH6392" s="451"/>
      <c r="DI6392" s="451"/>
      <c r="DJ6392" s="451"/>
      <c r="DK6392" s="451"/>
      <c r="DL6392" s="451"/>
      <c r="DM6392" s="451"/>
      <c r="DN6392" s="451"/>
      <c r="DO6392" s="451"/>
      <c r="DP6392" s="451"/>
      <c r="DQ6392" s="451"/>
      <c r="DR6392" s="451"/>
      <c r="DS6392" s="451"/>
      <c r="DT6392" s="451"/>
      <c r="DU6392" s="451"/>
      <c r="DV6392" s="451"/>
      <c r="DW6392" s="451"/>
      <c r="DX6392" s="451"/>
      <c r="DY6392" s="451"/>
      <c r="DZ6392" s="451"/>
      <c r="EA6392" s="451"/>
      <c r="EB6392" s="451"/>
      <c r="EC6392" s="451"/>
      <c r="ED6392" s="451"/>
      <c r="EE6392" s="451"/>
      <c r="EF6392" s="451"/>
      <c r="EG6392" s="451"/>
      <c r="EH6392" s="451"/>
      <c r="EI6392" s="451"/>
      <c r="EJ6392" s="451"/>
      <c r="EK6392" s="451"/>
      <c r="EL6392" s="451"/>
      <c r="EM6392" s="451"/>
      <c r="EN6392" s="451"/>
      <c r="EO6392" s="451"/>
      <c r="EP6392" s="451"/>
      <c r="EQ6392" s="451"/>
      <c r="ER6392" s="451"/>
      <c r="ES6392" s="451"/>
    </row>
    <row r="6393" spans="1:149" ht="15" hidden="1" customHeight="1">
      <c r="A6393" s="468">
        <v>45554</v>
      </c>
      <c r="B6393" s="208" t="s">
        <v>2109</v>
      </c>
      <c r="C6393" s="208" t="s">
        <v>27</v>
      </c>
      <c r="D6393" s="211">
        <v>1498171</v>
      </c>
      <c r="E6393" s="212">
        <v>45536</v>
      </c>
      <c r="F6393" s="208" t="s">
        <v>108</v>
      </c>
      <c r="G6393" s="208"/>
      <c r="H6393" s="208"/>
      <c r="I6393" s="208"/>
      <c r="J6393" s="209"/>
      <c r="K6393" s="209"/>
      <c r="L6393" s="209"/>
      <c r="M6393" s="209"/>
      <c r="N6393" s="209"/>
      <c r="O6393" s="209"/>
      <c r="P6393" s="209"/>
      <c r="Q6393" s="209"/>
      <c r="R6393" s="209"/>
      <c r="S6393" s="209"/>
      <c r="T6393" s="209"/>
    </row>
    <row r="6394" spans="1:149" ht="15" hidden="1" customHeight="1">
      <c r="A6394" s="468">
        <v>45554</v>
      </c>
      <c r="B6394" s="208" t="s">
        <v>5191</v>
      </c>
      <c r="C6394" s="208" t="s">
        <v>643</v>
      </c>
      <c r="D6394" s="211">
        <v>-399801</v>
      </c>
      <c r="E6394" s="212">
        <v>45536</v>
      </c>
      <c r="F6394" s="208" t="s">
        <v>130</v>
      </c>
      <c r="G6394" s="208" t="s">
        <v>257</v>
      </c>
      <c r="H6394" s="208" t="s">
        <v>2272</v>
      </c>
      <c r="I6394" s="208"/>
      <c r="J6394" s="209"/>
      <c r="K6394" s="209"/>
      <c r="L6394" s="209"/>
      <c r="M6394" s="209"/>
      <c r="N6394" s="209"/>
      <c r="O6394" s="209"/>
      <c r="P6394" s="209"/>
      <c r="Q6394" s="209"/>
      <c r="R6394" s="209"/>
      <c r="S6394" s="209"/>
      <c r="T6394" s="209"/>
    </row>
    <row r="6395" spans="1:149" ht="15" hidden="1" customHeight="1">
      <c r="A6395" s="468">
        <v>45554</v>
      </c>
      <c r="B6395" s="208" t="s">
        <v>5192</v>
      </c>
      <c r="C6395" s="208" t="s">
        <v>146</v>
      </c>
      <c r="D6395" s="211">
        <v>-44000</v>
      </c>
      <c r="E6395" s="212">
        <v>45536</v>
      </c>
      <c r="F6395" s="208" t="s">
        <v>109</v>
      </c>
      <c r="G6395" s="201" t="s">
        <v>581</v>
      </c>
      <c r="H6395" s="208"/>
      <c r="I6395" s="208" t="s">
        <v>3364</v>
      </c>
      <c r="J6395" s="209"/>
      <c r="K6395" s="209"/>
      <c r="L6395" s="209"/>
      <c r="M6395" s="209"/>
      <c r="N6395" s="209"/>
      <c r="O6395" s="209"/>
      <c r="P6395" s="209"/>
      <c r="Q6395" s="209"/>
      <c r="R6395" s="209"/>
      <c r="S6395" s="209"/>
      <c r="T6395" s="209"/>
    </row>
    <row r="6396" spans="1:149" ht="15" hidden="1" customHeight="1">
      <c r="A6396" s="468">
        <v>45554</v>
      </c>
      <c r="B6396" s="208" t="s">
        <v>5193</v>
      </c>
      <c r="C6396" s="208" t="s">
        <v>146</v>
      </c>
      <c r="D6396" s="211">
        <v>-24000</v>
      </c>
      <c r="E6396" s="212">
        <v>45536</v>
      </c>
      <c r="F6396" s="208" t="s">
        <v>109</v>
      </c>
      <c r="G6396" s="201" t="s">
        <v>581</v>
      </c>
      <c r="H6396" s="208"/>
      <c r="I6396" s="208" t="s">
        <v>3364</v>
      </c>
      <c r="J6396" s="209"/>
      <c r="K6396" s="209"/>
      <c r="L6396" s="209"/>
      <c r="M6396" s="209"/>
      <c r="N6396" s="209"/>
      <c r="O6396" s="209"/>
      <c r="P6396" s="209"/>
      <c r="Q6396" s="209"/>
      <c r="R6396" s="209"/>
      <c r="S6396" s="209"/>
      <c r="T6396" s="209"/>
    </row>
    <row r="6397" spans="1:149" ht="15" hidden="1" customHeight="1">
      <c r="A6397" s="468">
        <v>45554</v>
      </c>
      <c r="B6397" s="208" t="s">
        <v>5194</v>
      </c>
      <c r="C6397" s="208" t="s">
        <v>146</v>
      </c>
      <c r="D6397" s="211">
        <v>-7800</v>
      </c>
      <c r="E6397" s="212">
        <v>45536</v>
      </c>
      <c r="F6397" s="208" t="s">
        <v>109</v>
      </c>
      <c r="G6397" s="201" t="s">
        <v>581</v>
      </c>
      <c r="H6397" s="208"/>
      <c r="I6397" s="208" t="s">
        <v>3364</v>
      </c>
      <c r="J6397" s="209"/>
      <c r="K6397" s="209"/>
      <c r="L6397" s="209"/>
      <c r="M6397" s="209"/>
      <c r="N6397" s="209"/>
      <c r="O6397" s="209"/>
      <c r="P6397" s="209"/>
      <c r="Q6397" s="209"/>
      <c r="R6397" s="209"/>
      <c r="S6397" s="209"/>
      <c r="T6397" s="209"/>
    </row>
    <row r="6398" spans="1:149" ht="15" hidden="1" customHeight="1">
      <c r="A6398" s="468">
        <v>45554</v>
      </c>
      <c r="B6398" s="208" t="s">
        <v>5195</v>
      </c>
      <c r="C6398" s="208" t="s">
        <v>146</v>
      </c>
      <c r="D6398" s="211">
        <v>-10000</v>
      </c>
      <c r="E6398" s="212">
        <v>45536</v>
      </c>
      <c r="F6398" s="208" t="s">
        <v>109</v>
      </c>
      <c r="G6398" s="201" t="s">
        <v>581</v>
      </c>
      <c r="H6398" s="208"/>
      <c r="I6398" s="208" t="s">
        <v>3364</v>
      </c>
      <c r="J6398" s="209"/>
      <c r="K6398" s="209"/>
      <c r="L6398" s="209"/>
      <c r="M6398" s="209"/>
      <c r="N6398" s="209"/>
      <c r="O6398" s="209"/>
      <c r="P6398" s="209"/>
      <c r="Q6398" s="209"/>
      <c r="R6398" s="209"/>
      <c r="S6398" s="209"/>
      <c r="T6398" s="209"/>
    </row>
    <row r="6399" spans="1:149" ht="15" hidden="1" customHeight="1">
      <c r="A6399" s="468">
        <v>45554</v>
      </c>
      <c r="B6399" s="208" t="s">
        <v>2683</v>
      </c>
      <c r="C6399" s="208" t="s">
        <v>146</v>
      </c>
      <c r="D6399" s="211">
        <v>-50000</v>
      </c>
      <c r="E6399" s="212">
        <v>45536</v>
      </c>
      <c r="F6399" s="208" t="s">
        <v>109</v>
      </c>
      <c r="G6399" s="201" t="s">
        <v>581</v>
      </c>
      <c r="H6399" s="208"/>
      <c r="I6399" s="208" t="s">
        <v>3364</v>
      </c>
      <c r="J6399" s="209"/>
      <c r="K6399" s="209"/>
      <c r="L6399" s="209"/>
      <c r="M6399" s="209"/>
      <c r="N6399" s="209"/>
      <c r="O6399" s="209"/>
      <c r="P6399" s="209"/>
      <c r="Q6399" s="209"/>
      <c r="R6399" s="209"/>
      <c r="S6399" s="209"/>
      <c r="T6399" s="209"/>
    </row>
    <row r="6400" spans="1:149" ht="15" hidden="1" customHeight="1">
      <c r="A6400" s="468">
        <v>45554</v>
      </c>
      <c r="B6400" s="208" t="s">
        <v>5196</v>
      </c>
      <c r="C6400" s="208" t="s">
        <v>146</v>
      </c>
      <c r="D6400" s="211">
        <v>-3500</v>
      </c>
      <c r="E6400" s="212">
        <v>45536</v>
      </c>
      <c r="F6400" s="208" t="s">
        <v>109</v>
      </c>
      <c r="G6400" s="201" t="s">
        <v>581</v>
      </c>
      <c r="H6400" s="208"/>
      <c r="I6400" s="208" t="s">
        <v>3364</v>
      </c>
      <c r="J6400" s="209"/>
      <c r="K6400" s="209"/>
      <c r="L6400" s="209"/>
      <c r="M6400" s="209"/>
      <c r="N6400" s="209"/>
      <c r="O6400" s="209"/>
      <c r="P6400" s="209"/>
      <c r="Q6400" s="209"/>
      <c r="R6400" s="209"/>
      <c r="S6400" s="209"/>
      <c r="T6400" s="209"/>
    </row>
    <row r="6401" spans="1:149" ht="15" hidden="1" customHeight="1">
      <c r="A6401" s="468">
        <v>45554</v>
      </c>
      <c r="B6401" s="208" t="s">
        <v>5197</v>
      </c>
      <c r="C6401" s="208" t="s">
        <v>146</v>
      </c>
      <c r="D6401" s="211">
        <v>-11300</v>
      </c>
      <c r="E6401" s="212">
        <v>45536</v>
      </c>
      <c r="F6401" s="208" t="s">
        <v>130</v>
      </c>
      <c r="G6401" s="208" t="s">
        <v>130</v>
      </c>
      <c r="H6401" s="208" t="s">
        <v>2444</v>
      </c>
      <c r="I6401" s="208" t="s">
        <v>173</v>
      </c>
      <c r="J6401" s="209"/>
      <c r="K6401" s="209"/>
      <c r="L6401" s="209"/>
      <c r="M6401" s="209"/>
      <c r="N6401" s="209"/>
      <c r="O6401" s="209"/>
      <c r="P6401" s="209"/>
      <c r="Q6401" s="209"/>
      <c r="R6401" s="209"/>
      <c r="S6401" s="209"/>
      <c r="T6401" s="209"/>
    </row>
    <row r="6402" spans="1:149" ht="15" hidden="1" customHeight="1">
      <c r="A6402" s="468">
        <v>45554</v>
      </c>
      <c r="B6402" s="208" t="s">
        <v>5198</v>
      </c>
      <c r="C6402" s="208" t="s">
        <v>146</v>
      </c>
      <c r="D6402" s="211">
        <v>-17700</v>
      </c>
      <c r="E6402" s="212">
        <v>45536</v>
      </c>
      <c r="F6402" s="208" t="s">
        <v>110</v>
      </c>
      <c r="G6402" s="208" t="s">
        <v>4294</v>
      </c>
      <c r="H6402" s="208" t="s">
        <v>175</v>
      </c>
      <c r="I6402" s="208" t="s">
        <v>173</v>
      </c>
      <c r="J6402" s="209"/>
      <c r="K6402" s="209"/>
      <c r="L6402" s="209"/>
      <c r="M6402" s="209"/>
      <c r="N6402" s="209"/>
      <c r="O6402" s="209"/>
      <c r="P6402" s="209"/>
      <c r="Q6402" s="209"/>
      <c r="R6402" s="209"/>
      <c r="S6402" s="209"/>
      <c r="T6402" s="209"/>
    </row>
    <row r="6403" spans="1:149" ht="15" hidden="1" customHeight="1">
      <c r="A6403" s="468">
        <v>45554</v>
      </c>
      <c r="B6403" s="208" t="s">
        <v>5199</v>
      </c>
      <c r="C6403" s="208" t="s">
        <v>146</v>
      </c>
      <c r="D6403" s="211">
        <v>-26600</v>
      </c>
      <c r="E6403" s="212">
        <v>45536</v>
      </c>
      <c r="F6403" s="208" t="s">
        <v>109</v>
      </c>
      <c r="G6403" s="654" t="s">
        <v>2585</v>
      </c>
      <c r="H6403" s="208" t="s">
        <v>175</v>
      </c>
      <c r="I6403" s="208" t="s">
        <v>173</v>
      </c>
      <c r="J6403" s="209"/>
      <c r="K6403" s="209"/>
      <c r="L6403" s="209"/>
      <c r="M6403" s="209"/>
      <c r="N6403" s="209"/>
      <c r="O6403" s="209"/>
      <c r="P6403" s="209"/>
      <c r="Q6403" s="209"/>
      <c r="R6403" s="209"/>
      <c r="S6403" s="209"/>
      <c r="T6403" s="209"/>
    </row>
    <row r="6404" spans="1:149" ht="15" hidden="1" customHeight="1">
      <c r="A6404" s="468">
        <v>45554</v>
      </c>
      <c r="B6404" s="208" t="s">
        <v>5200</v>
      </c>
      <c r="C6404" s="208" t="s">
        <v>146</v>
      </c>
      <c r="D6404" s="211">
        <v>-44004</v>
      </c>
      <c r="E6404" s="212">
        <v>45536</v>
      </c>
      <c r="F6404" s="208" t="s">
        <v>110</v>
      </c>
      <c r="G6404" s="208" t="s">
        <v>4294</v>
      </c>
      <c r="H6404" s="208" t="s">
        <v>175</v>
      </c>
      <c r="I6404" s="208" t="s">
        <v>173</v>
      </c>
      <c r="J6404" s="209"/>
      <c r="K6404" s="209"/>
      <c r="L6404" s="209"/>
      <c r="M6404" s="209"/>
      <c r="N6404" s="209"/>
      <c r="O6404" s="209"/>
      <c r="P6404" s="209"/>
      <c r="Q6404" s="209"/>
      <c r="R6404" s="209"/>
      <c r="S6404" s="209"/>
      <c r="T6404" s="209"/>
    </row>
    <row r="6405" spans="1:149" ht="15" hidden="1" customHeight="1">
      <c r="A6405" s="468">
        <v>45554</v>
      </c>
      <c r="B6405" s="208" t="s">
        <v>5201</v>
      </c>
      <c r="C6405" s="208" t="s">
        <v>146</v>
      </c>
      <c r="D6405" s="211">
        <v>-23900</v>
      </c>
      <c r="E6405" s="212">
        <v>45536</v>
      </c>
      <c r="F6405" s="208" t="s">
        <v>109</v>
      </c>
      <c r="G6405" s="208" t="s">
        <v>3529</v>
      </c>
      <c r="H6405" s="208" t="s">
        <v>175</v>
      </c>
      <c r="I6405" s="208" t="s">
        <v>173</v>
      </c>
      <c r="J6405" s="209"/>
      <c r="K6405" s="209"/>
      <c r="L6405" s="209"/>
      <c r="M6405" s="209"/>
      <c r="N6405" s="209"/>
      <c r="O6405" s="209"/>
      <c r="P6405" s="209"/>
      <c r="Q6405" s="209"/>
      <c r="R6405" s="209"/>
      <c r="S6405" s="209"/>
      <c r="T6405" s="209"/>
    </row>
    <row r="6406" spans="1:149" ht="15" hidden="1" customHeight="1">
      <c r="A6406" s="468">
        <v>45554</v>
      </c>
      <c r="B6406" s="208" t="s">
        <v>5202</v>
      </c>
      <c r="C6406" s="208" t="s">
        <v>146</v>
      </c>
      <c r="D6406" s="211">
        <v>-40023</v>
      </c>
      <c r="E6406" s="212">
        <v>45536</v>
      </c>
      <c r="F6406" s="208" t="s">
        <v>109</v>
      </c>
      <c r="G6406" s="208" t="s">
        <v>3529</v>
      </c>
      <c r="H6406" s="208" t="s">
        <v>175</v>
      </c>
      <c r="I6406" s="208" t="s">
        <v>173</v>
      </c>
      <c r="J6406" s="209"/>
      <c r="K6406" s="209"/>
      <c r="L6406" s="209"/>
      <c r="M6406" s="209"/>
      <c r="N6406" s="209"/>
      <c r="O6406" s="209"/>
      <c r="P6406" s="209"/>
      <c r="Q6406" s="209"/>
      <c r="R6406" s="209"/>
      <c r="S6406" s="209"/>
      <c r="T6406" s="209"/>
    </row>
    <row r="6407" spans="1:149" ht="15" hidden="1" customHeight="1">
      <c r="A6407" s="468">
        <v>45554</v>
      </c>
      <c r="B6407" s="208" t="s">
        <v>5203</v>
      </c>
      <c r="C6407" s="208" t="s">
        <v>146</v>
      </c>
      <c r="D6407" s="211">
        <v>-150431</v>
      </c>
      <c r="E6407" s="212">
        <v>45536</v>
      </c>
      <c r="F6407" s="208" t="s">
        <v>109</v>
      </c>
      <c r="G6407" s="208" t="s">
        <v>3529</v>
      </c>
      <c r="H6407" s="208" t="s">
        <v>175</v>
      </c>
      <c r="I6407" s="208" t="s">
        <v>173</v>
      </c>
      <c r="J6407" s="209"/>
      <c r="K6407" s="209"/>
      <c r="L6407" s="209"/>
      <c r="M6407" s="209"/>
      <c r="N6407" s="209"/>
      <c r="O6407" s="209"/>
      <c r="P6407" s="209"/>
      <c r="Q6407" s="209"/>
      <c r="R6407" s="209"/>
      <c r="S6407" s="209"/>
      <c r="T6407" s="209"/>
    </row>
    <row r="6408" spans="1:149" ht="15" hidden="1" customHeight="1">
      <c r="A6408" s="468">
        <v>45554</v>
      </c>
      <c r="B6408" s="208" t="s">
        <v>5204</v>
      </c>
      <c r="C6408" s="208" t="s">
        <v>146</v>
      </c>
      <c r="D6408" s="211">
        <v>-22000</v>
      </c>
      <c r="E6408" s="212">
        <v>45536</v>
      </c>
      <c r="F6408" s="208" t="s">
        <v>109</v>
      </c>
      <c r="G6408" s="201" t="s">
        <v>581</v>
      </c>
      <c r="H6408" s="208" t="s">
        <v>416</v>
      </c>
      <c r="I6408" s="208" t="s">
        <v>173</v>
      </c>
      <c r="J6408" s="209"/>
      <c r="K6408" s="209"/>
      <c r="L6408" s="209"/>
      <c r="M6408" s="209"/>
      <c r="N6408" s="209"/>
      <c r="O6408" s="209"/>
      <c r="P6408" s="209"/>
      <c r="Q6408" s="209"/>
      <c r="R6408" s="209"/>
      <c r="S6408" s="209"/>
      <c r="T6408" s="209"/>
    </row>
    <row r="6409" spans="1:149" ht="15" hidden="1" customHeight="1">
      <c r="A6409" s="468">
        <v>45554</v>
      </c>
      <c r="B6409" s="208" t="s">
        <v>5205</v>
      </c>
      <c r="C6409" s="208" t="s">
        <v>146</v>
      </c>
      <c r="D6409" s="211">
        <v>-10000</v>
      </c>
      <c r="E6409" s="212">
        <v>45536</v>
      </c>
      <c r="F6409" s="208" t="s">
        <v>110</v>
      </c>
      <c r="G6409" s="208" t="s">
        <v>4399</v>
      </c>
      <c r="H6409" s="208" t="s">
        <v>416</v>
      </c>
      <c r="I6409" s="208" t="s">
        <v>173</v>
      </c>
      <c r="J6409" s="209"/>
      <c r="K6409" s="209"/>
      <c r="L6409" s="209"/>
      <c r="M6409" s="209"/>
      <c r="N6409" s="209"/>
      <c r="O6409" s="209"/>
      <c r="P6409" s="209"/>
      <c r="Q6409" s="209"/>
      <c r="R6409" s="209"/>
      <c r="S6409" s="209"/>
      <c r="T6409" s="209"/>
    </row>
    <row r="6410" spans="1:149" ht="15" hidden="1" customHeight="1">
      <c r="A6410" s="468">
        <v>45555</v>
      </c>
      <c r="B6410" s="208" t="s">
        <v>5206</v>
      </c>
      <c r="C6410" s="208" t="s">
        <v>27</v>
      </c>
      <c r="D6410" s="211">
        <v>-62700</v>
      </c>
      <c r="E6410" s="212">
        <v>45536</v>
      </c>
      <c r="F6410" s="208" t="s">
        <v>109</v>
      </c>
      <c r="G6410" s="208" t="s">
        <v>2809</v>
      </c>
      <c r="H6410" s="208" t="s">
        <v>5059</v>
      </c>
      <c r="I6410" s="208"/>
      <c r="J6410" s="209"/>
      <c r="K6410" s="209"/>
      <c r="L6410" s="209"/>
      <c r="M6410" s="209"/>
      <c r="N6410" s="209"/>
      <c r="O6410" s="209"/>
      <c r="P6410" s="209"/>
      <c r="Q6410" s="209"/>
      <c r="R6410" s="209"/>
      <c r="S6410" s="209"/>
      <c r="T6410" s="209"/>
      <c r="U6410" s="451"/>
      <c r="V6410" s="451"/>
      <c r="W6410" s="451"/>
      <c r="X6410" s="451"/>
      <c r="Y6410" s="451"/>
      <c r="Z6410" s="451"/>
      <c r="AA6410" s="451"/>
      <c r="AB6410" s="451"/>
      <c r="AC6410" s="451"/>
      <c r="AD6410" s="451"/>
      <c r="AE6410" s="451"/>
      <c r="AF6410" s="451"/>
      <c r="AG6410" s="451"/>
      <c r="AH6410" s="451"/>
      <c r="AI6410" s="451"/>
      <c r="AJ6410" s="451"/>
      <c r="AK6410" s="451"/>
      <c r="AL6410" s="451"/>
      <c r="AM6410" s="451"/>
      <c r="AN6410" s="451"/>
      <c r="AO6410" s="451"/>
      <c r="AP6410" s="451"/>
      <c r="AQ6410" s="451"/>
      <c r="AR6410" s="451"/>
      <c r="AS6410" s="451"/>
      <c r="AT6410" s="451"/>
      <c r="AU6410" s="451"/>
      <c r="AV6410" s="451"/>
      <c r="AW6410" s="451"/>
      <c r="AX6410" s="451"/>
      <c r="AY6410" s="451"/>
      <c r="AZ6410" s="451"/>
      <c r="BA6410" s="451"/>
      <c r="BB6410" s="451"/>
      <c r="BC6410" s="451"/>
      <c r="BD6410" s="451"/>
      <c r="BE6410" s="451"/>
      <c r="BF6410" s="451"/>
      <c r="BG6410" s="451"/>
      <c r="BH6410" s="451"/>
      <c r="BI6410" s="451"/>
      <c r="BJ6410" s="451"/>
      <c r="BK6410" s="451"/>
      <c r="BL6410" s="451"/>
      <c r="BM6410" s="451"/>
      <c r="BN6410" s="451"/>
      <c r="BO6410" s="451"/>
      <c r="BP6410" s="451"/>
      <c r="BQ6410" s="451"/>
      <c r="BR6410" s="451"/>
      <c r="BS6410" s="451"/>
      <c r="BT6410" s="451"/>
      <c r="BU6410" s="451"/>
      <c r="BV6410" s="451"/>
      <c r="BW6410" s="451"/>
      <c r="BX6410" s="451"/>
      <c r="BY6410" s="451"/>
      <c r="BZ6410" s="451"/>
      <c r="CA6410" s="451"/>
      <c r="CB6410" s="451"/>
      <c r="CC6410" s="451"/>
      <c r="CD6410" s="451"/>
      <c r="CE6410" s="451"/>
      <c r="CF6410" s="451"/>
      <c r="CG6410" s="451"/>
      <c r="CH6410" s="451"/>
      <c r="CI6410" s="451"/>
      <c r="CJ6410" s="451"/>
      <c r="CK6410" s="451"/>
      <c r="CL6410" s="451"/>
      <c r="CM6410" s="451"/>
      <c r="CN6410" s="451"/>
      <c r="CO6410" s="451"/>
      <c r="CP6410" s="451"/>
      <c r="CQ6410" s="451"/>
      <c r="CR6410" s="451"/>
      <c r="CS6410" s="451"/>
      <c r="CT6410" s="451"/>
      <c r="CU6410" s="451"/>
      <c r="CV6410" s="451"/>
      <c r="CW6410" s="451"/>
      <c r="CX6410" s="451"/>
      <c r="CY6410" s="451"/>
      <c r="CZ6410" s="451"/>
      <c r="DA6410" s="451"/>
      <c r="DB6410" s="451"/>
      <c r="DC6410" s="451"/>
      <c r="DD6410" s="451"/>
      <c r="DE6410" s="451"/>
      <c r="DF6410" s="451"/>
      <c r="DG6410" s="451"/>
      <c r="DH6410" s="451"/>
      <c r="DI6410" s="451"/>
      <c r="DJ6410" s="451"/>
      <c r="DK6410" s="451"/>
      <c r="DL6410" s="451"/>
      <c r="DM6410" s="451"/>
      <c r="DN6410" s="451"/>
      <c r="DO6410" s="451"/>
      <c r="DP6410" s="451"/>
      <c r="DQ6410" s="451"/>
      <c r="DR6410" s="451"/>
      <c r="DS6410" s="451"/>
      <c r="DT6410" s="451"/>
      <c r="DU6410" s="451"/>
      <c r="DV6410" s="451"/>
      <c r="DW6410" s="451"/>
      <c r="DX6410" s="451"/>
      <c r="DY6410" s="451"/>
      <c r="DZ6410" s="451"/>
      <c r="EA6410" s="451"/>
      <c r="EB6410" s="451"/>
      <c r="EC6410" s="451"/>
      <c r="ED6410" s="451"/>
      <c r="EE6410" s="451"/>
      <c r="EF6410" s="451"/>
      <c r="EG6410" s="451"/>
      <c r="EH6410" s="451"/>
      <c r="EI6410" s="451"/>
      <c r="EJ6410" s="451"/>
      <c r="EK6410" s="451"/>
      <c r="EL6410" s="451"/>
      <c r="EM6410" s="451"/>
      <c r="EN6410" s="451"/>
      <c r="EO6410" s="451"/>
      <c r="EP6410" s="451"/>
      <c r="EQ6410" s="451"/>
      <c r="ER6410" s="451"/>
      <c r="ES6410" s="451"/>
    </row>
    <row r="6411" spans="1:149" ht="15" hidden="1" customHeight="1">
      <c r="A6411" s="468">
        <v>45555</v>
      </c>
      <c r="B6411" s="208" t="s">
        <v>5207</v>
      </c>
      <c r="C6411" s="208" t="s">
        <v>27</v>
      </c>
      <c r="D6411" s="211">
        <v>-2385000</v>
      </c>
      <c r="E6411" s="212">
        <v>45536</v>
      </c>
      <c r="F6411" s="208" t="s">
        <v>2531</v>
      </c>
      <c r="G6411" s="208" t="s">
        <v>2590</v>
      </c>
      <c r="H6411" s="208"/>
      <c r="I6411" s="208"/>
      <c r="J6411" s="209"/>
      <c r="K6411" s="209"/>
      <c r="L6411" s="209"/>
      <c r="M6411" s="209"/>
      <c r="N6411" s="209"/>
      <c r="O6411" s="209"/>
      <c r="P6411" s="209"/>
      <c r="Q6411" s="209"/>
      <c r="R6411" s="209"/>
      <c r="S6411" s="209"/>
      <c r="T6411" s="209"/>
      <c r="U6411" s="451"/>
      <c r="V6411" s="451"/>
      <c r="W6411" s="451"/>
      <c r="X6411" s="451"/>
      <c r="Y6411" s="451"/>
      <c r="Z6411" s="451"/>
      <c r="AA6411" s="451"/>
      <c r="AB6411" s="451"/>
      <c r="AC6411" s="451"/>
      <c r="AD6411" s="451"/>
      <c r="AE6411" s="451"/>
      <c r="AF6411" s="451"/>
      <c r="AG6411" s="451"/>
      <c r="AH6411" s="451"/>
      <c r="AI6411" s="451"/>
      <c r="AJ6411" s="451"/>
      <c r="AK6411" s="451"/>
      <c r="AL6411" s="451"/>
      <c r="AM6411" s="451"/>
      <c r="AN6411" s="451"/>
      <c r="AO6411" s="451"/>
      <c r="AP6411" s="451"/>
      <c r="AQ6411" s="451"/>
      <c r="AR6411" s="451"/>
      <c r="AS6411" s="451"/>
      <c r="AT6411" s="451"/>
      <c r="AU6411" s="451"/>
      <c r="AV6411" s="451"/>
      <c r="AW6411" s="451"/>
      <c r="AX6411" s="451"/>
      <c r="AY6411" s="451"/>
      <c r="AZ6411" s="451"/>
      <c r="BA6411" s="451"/>
      <c r="BB6411" s="451"/>
      <c r="BC6411" s="451"/>
      <c r="BD6411" s="451"/>
      <c r="BE6411" s="451"/>
      <c r="BF6411" s="451"/>
      <c r="BG6411" s="451"/>
      <c r="BH6411" s="451"/>
      <c r="BI6411" s="451"/>
      <c r="BJ6411" s="451"/>
      <c r="BK6411" s="451"/>
      <c r="BL6411" s="451"/>
      <c r="BM6411" s="451"/>
      <c r="BN6411" s="451"/>
      <c r="BO6411" s="451"/>
      <c r="BP6411" s="451"/>
      <c r="BQ6411" s="451"/>
      <c r="BR6411" s="451"/>
      <c r="BS6411" s="451"/>
      <c r="BT6411" s="451"/>
      <c r="BU6411" s="451"/>
      <c r="BV6411" s="451"/>
      <c r="BW6411" s="451"/>
      <c r="BX6411" s="451"/>
      <c r="BY6411" s="451"/>
      <c r="BZ6411" s="451"/>
      <c r="CA6411" s="451"/>
      <c r="CB6411" s="451"/>
      <c r="CC6411" s="451"/>
      <c r="CD6411" s="451"/>
      <c r="CE6411" s="451"/>
      <c r="CF6411" s="451"/>
      <c r="CG6411" s="451"/>
      <c r="CH6411" s="451"/>
      <c r="CI6411" s="451"/>
      <c r="CJ6411" s="451"/>
      <c r="CK6411" s="451"/>
      <c r="CL6411" s="451"/>
      <c r="CM6411" s="451"/>
      <c r="CN6411" s="451"/>
      <c r="CO6411" s="451"/>
      <c r="CP6411" s="451"/>
      <c r="CQ6411" s="451"/>
      <c r="CR6411" s="451"/>
      <c r="CS6411" s="451"/>
      <c r="CT6411" s="451"/>
      <c r="CU6411" s="451"/>
      <c r="CV6411" s="451"/>
      <c r="CW6411" s="451"/>
      <c r="CX6411" s="451"/>
      <c r="CY6411" s="451"/>
      <c r="CZ6411" s="451"/>
      <c r="DA6411" s="451"/>
      <c r="DB6411" s="451"/>
      <c r="DC6411" s="451"/>
      <c r="DD6411" s="451"/>
      <c r="DE6411" s="451"/>
      <c r="DF6411" s="451"/>
      <c r="DG6411" s="451"/>
      <c r="DH6411" s="451"/>
      <c r="DI6411" s="451"/>
      <c r="DJ6411" s="451"/>
      <c r="DK6411" s="451"/>
      <c r="DL6411" s="451"/>
      <c r="DM6411" s="451"/>
      <c r="DN6411" s="451"/>
      <c r="DO6411" s="451"/>
      <c r="DP6411" s="451"/>
      <c r="DQ6411" s="451"/>
      <c r="DR6411" s="451"/>
      <c r="DS6411" s="451"/>
      <c r="DT6411" s="451"/>
      <c r="DU6411" s="451"/>
      <c r="DV6411" s="451"/>
      <c r="DW6411" s="451"/>
      <c r="DX6411" s="451"/>
      <c r="DY6411" s="451"/>
      <c r="DZ6411" s="451"/>
      <c r="EA6411" s="451"/>
      <c r="EB6411" s="451"/>
      <c r="EC6411" s="451"/>
      <c r="ED6411" s="451"/>
      <c r="EE6411" s="451"/>
      <c r="EF6411" s="451"/>
      <c r="EG6411" s="451"/>
      <c r="EH6411" s="451"/>
      <c r="EI6411" s="451"/>
      <c r="EJ6411" s="451"/>
      <c r="EK6411" s="451"/>
      <c r="EL6411" s="451"/>
      <c r="EM6411" s="451"/>
      <c r="EN6411" s="451"/>
      <c r="EO6411" s="451"/>
      <c r="EP6411" s="451"/>
      <c r="EQ6411" s="451"/>
      <c r="ER6411" s="451"/>
      <c r="ES6411" s="451"/>
    </row>
    <row r="6412" spans="1:149" ht="15" hidden="1" customHeight="1">
      <c r="A6412" s="468">
        <v>45555</v>
      </c>
      <c r="B6412" s="208" t="s">
        <v>5208</v>
      </c>
      <c r="C6412" s="208" t="s">
        <v>4314</v>
      </c>
      <c r="D6412" s="211">
        <v>-100000</v>
      </c>
      <c r="E6412" s="212">
        <v>45536</v>
      </c>
      <c r="F6412" s="208" t="s">
        <v>2531</v>
      </c>
      <c r="G6412" s="208" t="s">
        <v>2590</v>
      </c>
      <c r="H6412" s="208"/>
      <c r="I6412" s="208"/>
      <c r="J6412" s="209"/>
      <c r="K6412" s="209"/>
      <c r="L6412" s="209"/>
      <c r="M6412" s="209"/>
      <c r="N6412" s="209"/>
      <c r="O6412" s="209"/>
      <c r="P6412" s="209"/>
      <c r="Q6412" s="209"/>
      <c r="R6412" s="209"/>
      <c r="S6412" s="209"/>
      <c r="T6412" s="209"/>
    </row>
    <row r="6413" spans="1:149" ht="15" hidden="1" customHeight="1">
      <c r="A6413" s="468">
        <v>45555</v>
      </c>
      <c r="B6413" s="208" t="s">
        <v>5209</v>
      </c>
      <c r="C6413" s="208" t="s">
        <v>4314</v>
      </c>
      <c r="D6413" s="211">
        <v>-15000</v>
      </c>
      <c r="E6413" s="212">
        <v>45536</v>
      </c>
      <c r="F6413" s="208" t="s">
        <v>2531</v>
      </c>
      <c r="G6413" s="208" t="s">
        <v>2590</v>
      </c>
      <c r="H6413" s="208"/>
      <c r="I6413" s="208"/>
      <c r="J6413" s="209"/>
      <c r="K6413" s="209"/>
      <c r="L6413" s="209"/>
      <c r="M6413" s="209"/>
      <c r="N6413" s="209"/>
      <c r="O6413" s="209"/>
      <c r="P6413" s="209"/>
      <c r="Q6413" s="209"/>
      <c r="R6413" s="209"/>
      <c r="S6413" s="209"/>
      <c r="T6413" s="209"/>
    </row>
    <row r="6414" spans="1:149" ht="15" hidden="1" customHeight="1">
      <c r="A6414" s="468">
        <v>45555</v>
      </c>
      <c r="B6414" s="208" t="s">
        <v>5210</v>
      </c>
      <c r="C6414" s="208" t="s">
        <v>27</v>
      </c>
      <c r="D6414" s="211">
        <v>-2385000</v>
      </c>
      <c r="E6414" s="212">
        <v>45536</v>
      </c>
      <c r="F6414" s="208" t="s">
        <v>2531</v>
      </c>
      <c r="G6414" s="208" t="s">
        <v>2590</v>
      </c>
      <c r="H6414" s="208"/>
      <c r="I6414" s="208"/>
      <c r="J6414" s="209"/>
      <c r="K6414" s="209"/>
      <c r="L6414" s="209"/>
      <c r="M6414" s="209"/>
      <c r="N6414" s="209"/>
      <c r="O6414" s="209"/>
      <c r="P6414" s="209"/>
      <c r="Q6414" s="209"/>
      <c r="R6414" s="209"/>
      <c r="S6414" s="209"/>
      <c r="T6414" s="209"/>
      <c r="U6414" s="451"/>
      <c r="V6414" s="451"/>
      <c r="W6414" s="451"/>
      <c r="X6414" s="451"/>
      <c r="Y6414" s="451"/>
      <c r="Z6414" s="451"/>
      <c r="AA6414" s="451"/>
      <c r="AB6414" s="451"/>
      <c r="AC6414" s="451"/>
      <c r="AD6414" s="451"/>
      <c r="AE6414" s="451"/>
      <c r="AF6414" s="451"/>
      <c r="AG6414" s="451"/>
      <c r="AH6414" s="451"/>
      <c r="AI6414" s="451"/>
      <c r="AJ6414" s="451"/>
      <c r="AK6414" s="451"/>
      <c r="AL6414" s="451"/>
      <c r="AM6414" s="451"/>
      <c r="AN6414" s="451"/>
      <c r="AO6414" s="451"/>
      <c r="AP6414" s="451"/>
      <c r="AQ6414" s="451"/>
      <c r="AR6414" s="451"/>
      <c r="AS6414" s="451"/>
      <c r="AT6414" s="451"/>
      <c r="AU6414" s="451"/>
      <c r="AV6414" s="451"/>
      <c r="AW6414" s="451"/>
      <c r="AX6414" s="451"/>
      <c r="AY6414" s="451"/>
      <c r="AZ6414" s="451"/>
      <c r="BA6414" s="451"/>
      <c r="BB6414" s="451"/>
      <c r="BC6414" s="451"/>
      <c r="BD6414" s="451"/>
      <c r="BE6414" s="451"/>
      <c r="BF6414" s="451"/>
      <c r="BG6414" s="451"/>
      <c r="BH6414" s="451"/>
      <c r="BI6414" s="451"/>
      <c r="BJ6414" s="451"/>
      <c r="BK6414" s="451"/>
      <c r="BL6414" s="451"/>
      <c r="BM6414" s="451"/>
      <c r="BN6414" s="451"/>
      <c r="BO6414" s="451"/>
      <c r="BP6414" s="451"/>
      <c r="BQ6414" s="451"/>
      <c r="BR6414" s="451"/>
      <c r="BS6414" s="451"/>
      <c r="BT6414" s="451"/>
      <c r="BU6414" s="451"/>
      <c r="BV6414" s="451"/>
      <c r="BW6414" s="451"/>
      <c r="BX6414" s="451"/>
      <c r="BY6414" s="451"/>
      <c r="BZ6414" s="451"/>
      <c r="CA6414" s="451"/>
      <c r="CB6414" s="451"/>
      <c r="CC6414" s="451"/>
      <c r="CD6414" s="451"/>
      <c r="CE6414" s="451"/>
      <c r="CF6414" s="451"/>
      <c r="CG6414" s="451"/>
      <c r="CH6414" s="451"/>
      <c r="CI6414" s="451"/>
      <c r="CJ6414" s="451"/>
      <c r="CK6414" s="451"/>
      <c r="CL6414" s="451"/>
      <c r="CM6414" s="451"/>
      <c r="CN6414" s="451"/>
      <c r="CO6414" s="451"/>
      <c r="CP6414" s="451"/>
      <c r="CQ6414" s="451"/>
      <c r="CR6414" s="451"/>
      <c r="CS6414" s="451"/>
      <c r="CT6414" s="451"/>
      <c r="CU6414" s="451"/>
      <c r="CV6414" s="451"/>
      <c r="CW6414" s="451"/>
      <c r="CX6414" s="451"/>
      <c r="CY6414" s="451"/>
      <c r="CZ6414" s="451"/>
      <c r="DA6414" s="451"/>
      <c r="DB6414" s="451"/>
      <c r="DC6414" s="451"/>
      <c r="DD6414" s="451"/>
      <c r="DE6414" s="451"/>
      <c r="DF6414" s="451"/>
      <c r="DG6414" s="451"/>
      <c r="DH6414" s="451"/>
      <c r="DI6414" s="451"/>
      <c r="DJ6414" s="451"/>
      <c r="DK6414" s="451"/>
      <c r="DL6414" s="451"/>
      <c r="DM6414" s="451"/>
      <c r="DN6414" s="451"/>
      <c r="DO6414" s="451"/>
      <c r="DP6414" s="451"/>
      <c r="DQ6414" s="451"/>
      <c r="DR6414" s="451"/>
      <c r="DS6414" s="451"/>
      <c r="DT6414" s="451"/>
      <c r="DU6414" s="451"/>
      <c r="DV6414" s="451"/>
      <c r="DW6414" s="451"/>
      <c r="DX6414" s="451"/>
      <c r="DY6414" s="451"/>
      <c r="DZ6414" s="451"/>
      <c r="EA6414" s="451"/>
      <c r="EB6414" s="451"/>
      <c r="EC6414" s="451"/>
      <c r="ED6414" s="451"/>
      <c r="EE6414" s="451"/>
      <c r="EF6414" s="451"/>
      <c r="EG6414" s="451"/>
      <c r="EH6414" s="451"/>
      <c r="EI6414" s="451"/>
      <c r="EJ6414" s="451"/>
      <c r="EK6414" s="451"/>
      <c r="EL6414" s="451"/>
      <c r="EM6414" s="451"/>
      <c r="EN6414" s="451"/>
      <c r="EO6414" s="451"/>
      <c r="EP6414" s="451"/>
      <c r="EQ6414" s="451"/>
      <c r="ER6414" s="451"/>
      <c r="ES6414" s="451"/>
    </row>
    <row r="6415" spans="1:149" ht="15" hidden="1" customHeight="1">
      <c r="A6415" s="468">
        <v>45555</v>
      </c>
      <c r="B6415" s="208" t="s">
        <v>5211</v>
      </c>
      <c r="C6415" s="208" t="s">
        <v>4314</v>
      </c>
      <c r="D6415" s="211">
        <v>-100000</v>
      </c>
      <c r="E6415" s="212">
        <v>45536</v>
      </c>
      <c r="F6415" s="208" t="s">
        <v>2531</v>
      </c>
      <c r="G6415" s="208" t="s">
        <v>2590</v>
      </c>
      <c r="H6415" s="208"/>
      <c r="I6415" s="208"/>
      <c r="J6415" s="209"/>
      <c r="K6415" s="209"/>
      <c r="L6415" s="209"/>
      <c r="M6415" s="209"/>
      <c r="N6415" s="209"/>
      <c r="O6415" s="209"/>
      <c r="P6415" s="209"/>
      <c r="Q6415" s="209"/>
      <c r="R6415" s="209"/>
      <c r="S6415" s="209"/>
      <c r="T6415" s="209"/>
    </row>
    <row r="6416" spans="1:149" ht="15" hidden="1" customHeight="1">
      <c r="A6416" s="468">
        <v>45555</v>
      </c>
      <c r="B6416" s="208" t="s">
        <v>5212</v>
      </c>
      <c r="C6416" s="208" t="s">
        <v>27</v>
      </c>
      <c r="D6416" s="211">
        <v>-287700</v>
      </c>
      <c r="E6416" s="212">
        <v>45536</v>
      </c>
      <c r="F6416" s="208" t="s">
        <v>109</v>
      </c>
      <c r="G6416" s="208" t="s">
        <v>3529</v>
      </c>
      <c r="H6416" s="208" t="s">
        <v>147</v>
      </c>
      <c r="I6416" s="208"/>
      <c r="J6416" s="209"/>
      <c r="K6416" s="209"/>
      <c r="L6416" s="209"/>
      <c r="M6416" s="209"/>
      <c r="N6416" s="209"/>
      <c r="O6416" s="209"/>
      <c r="P6416" s="209"/>
      <c r="Q6416" s="209"/>
      <c r="R6416" s="209"/>
      <c r="S6416" s="209"/>
      <c r="T6416" s="209"/>
      <c r="U6416" s="451"/>
      <c r="V6416" s="451"/>
      <c r="W6416" s="451"/>
      <c r="X6416" s="451"/>
      <c r="Y6416" s="451"/>
      <c r="Z6416" s="451"/>
      <c r="AA6416" s="451"/>
      <c r="AB6416" s="451"/>
      <c r="AC6416" s="451"/>
      <c r="AD6416" s="451"/>
      <c r="AE6416" s="451"/>
      <c r="AF6416" s="451"/>
      <c r="AG6416" s="451"/>
      <c r="AH6416" s="451"/>
      <c r="AI6416" s="451"/>
      <c r="AJ6416" s="451"/>
      <c r="AK6416" s="451"/>
      <c r="AL6416" s="451"/>
      <c r="AM6416" s="451"/>
      <c r="AN6416" s="451"/>
      <c r="AO6416" s="451"/>
      <c r="AP6416" s="451"/>
      <c r="AQ6416" s="451"/>
      <c r="AR6416" s="451"/>
      <c r="AS6416" s="451"/>
      <c r="AT6416" s="451"/>
      <c r="AU6416" s="451"/>
      <c r="AV6416" s="451"/>
      <c r="AW6416" s="451"/>
      <c r="AX6416" s="451"/>
      <c r="AY6416" s="451"/>
      <c r="AZ6416" s="451"/>
      <c r="BA6416" s="451"/>
      <c r="BB6416" s="451"/>
      <c r="BC6416" s="451"/>
      <c r="BD6416" s="451"/>
      <c r="BE6416" s="451"/>
      <c r="BF6416" s="451"/>
      <c r="BG6416" s="451"/>
      <c r="BH6416" s="451"/>
      <c r="BI6416" s="451"/>
      <c r="BJ6416" s="451"/>
      <c r="BK6416" s="451"/>
      <c r="BL6416" s="451"/>
      <c r="BM6416" s="451"/>
      <c r="BN6416" s="451"/>
      <c r="BO6416" s="451"/>
      <c r="BP6416" s="451"/>
      <c r="BQ6416" s="451"/>
      <c r="BR6416" s="451"/>
      <c r="BS6416" s="451"/>
      <c r="BT6416" s="451"/>
      <c r="BU6416" s="451"/>
      <c r="BV6416" s="451"/>
      <c r="BW6416" s="451"/>
      <c r="BX6416" s="451"/>
      <c r="BY6416" s="451"/>
      <c r="BZ6416" s="451"/>
      <c r="CA6416" s="451"/>
      <c r="CB6416" s="451"/>
      <c r="CC6416" s="451"/>
      <c r="CD6416" s="451"/>
      <c r="CE6416" s="451"/>
      <c r="CF6416" s="451"/>
      <c r="CG6416" s="451"/>
      <c r="CH6416" s="451"/>
      <c r="CI6416" s="451"/>
      <c r="CJ6416" s="451"/>
      <c r="CK6416" s="451"/>
      <c r="CL6416" s="451"/>
      <c r="CM6416" s="451"/>
      <c r="CN6416" s="451"/>
      <c r="CO6416" s="451"/>
      <c r="CP6416" s="451"/>
      <c r="CQ6416" s="451"/>
      <c r="CR6416" s="451"/>
      <c r="CS6416" s="451"/>
      <c r="CT6416" s="451"/>
      <c r="CU6416" s="451"/>
      <c r="CV6416" s="451"/>
      <c r="CW6416" s="451"/>
      <c r="CX6416" s="451"/>
      <c r="CY6416" s="451"/>
      <c r="CZ6416" s="451"/>
      <c r="DA6416" s="451"/>
      <c r="DB6416" s="451"/>
      <c r="DC6416" s="451"/>
      <c r="DD6416" s="451"/>
      <c r="DE6416" s="451"/>
      <c r="DF6416" s="451"/>
      <c r="DG6416" s="451"/>
      <c r="DH6416" s="451"/>
      <c r="DI6416" s="451"/>
      <c r="DJ6416" s="451"/>
      <c r="DK6416" s="451"/>
      <c r="DL6416" s="451"/>
      <c r="DM6416" s="451"/>
      <c r="DN6416" s="451"/>
      <c r="DO6416" s="451"/>
      <c r="DP6416" s="451"/>
      <c r="DQ6416" s="451"/>
      <c r="DR6416" s="451"/>
      <c r="DS6416" s="451"/>
      <c r="DT6416" s="451"/>
      <c r="DU6416" s="451"/>
      <c r="DV6416" s="451"/>
      <c r="DW6416" s="451"/>
      <c r="DX6416" s="451"/>
      <c r="DY6416" s="451"/>
      <c r="DZ6416" s="451"/>
      <c r="EA6416" s="451"/>
      <c r="EB6416" s="451"/>
      <c r="EC6416" s="451"/>
      <c r="ED6416" s="451"/>
      <c r="EE6416" s="451"/>
      <c r="EF6416" s="451"/>
      <c r="EG6416" s="451"/>
      <c r="EH6416" s="451"/>
      <c r="EI6416" s="451"/>
      <c r="EJ6416" s="451"/>
      <c r="EK6416" s="451"/>
      <c r="EL6416" s="451"/>
      <c r="EM6416" s="451"/>
      <c r="EN6416" s="451"/>
      <c r="EO6416" s="451"/>
      <c r="EP6416" s="451"/>
      <c r="EQ6416" s="451"/>
      <c r="ER6416" s="451"/>
      <c r="ES6416" s="451"/>
    </row>
    <row r="6417" spans="1:20" ht="15" hidden="1" customHeight="1">
      <c r="A6417" s="468">
        <v>45555</v>
      </c>
      <c r="B6417" s="208" t="s">
        <v>5213</v>
      </c>
      <c r="C6417" s="208" t="s">
        <v>4314</v>
      </c>
      <c r="D6417" s="211">
        <v>-1800</v>
      </c>
      <c r="E6417" s="212">
        <v>45536</v>
      </c>
      <c r="F6417" s="208" t="s">
        <v>109</v>
      </c>
      <c r="G6417" s="208" t="s">
        <v>3529</v>
      </c>
      <c r="H6417" s="208" t="s">
        <v>147</v>
      </c>
      <c r="I6417" s="208"/>
      <c r="J6417" s="209"/>
      <c r="K6417" s="209"/>
      <c r="L6417" s="209"/>
      <c r="M6417" s="209"/>
      <c r="N6417" s="209"/>
      <c r="O6417" s="209"/>
      <c r="P6417" s="209"/>
      <c r="Q6417" s="209"/>
      <c r="R6417" s="209"/>
      <c r="S6417" s="209"/>
      <c r="T6417" s="209"/>
    </row>
    <row r="6418" spans="1:20" ht="15" hidden="1" customHeight="1">
      <c r="A6418" s="468">
        <v>45555</v>
      </c>
      <c r="B6418" s="208" t="s">
        <v>3088</v>
      </c>
      <c r="C6418" s="208" t="s">
        <v>27</v>
      </c>
      <c r="D6418" s="211">
        <v>4633895</v>
      </c>
      <c r="E6418" s="212">
        <v>45536</v>
      </c>
      <c r="F6418" s="208" t="s">
        <v>108</v>
      </c>
      <c r="G6418" s="208"/>
      <c r="H6418" s="208"/>
      <c r="I6418" s="208"/>
      <c r="J6418" s="209"/>
      <c r="K6418" s="209"/>
      <c r="L6418" s="209"/>
      <c r="M6418" s="209"/>
      <c r="N6418" s="209"/>
      <c r="O6418" s="209"/>
      <c r="P6418" s="209"/>
      <c r="Q6418" s="209"/>
      <c r="R6418" s="209"/>
      <c r="S6418" s="209"/>
      <c r="T6418" s="209"/>
    </row>
    <row r="6419" spans="1:20" ht="15" hidden="1" customHeight="1">
      <c r="A6419" s="468">
        <v>45555</v>
      </c>
      <c r="B6419" s="208" t="s">
        <v>5214</v>
      </c>
      <c r="C6419" s="208" t="s">
        <v>643</v>
      </c>
      <c r="D6419" s="211">
        <v>-16000</v>
      </c>
      <c r="E6419" s="212">
        <v>45536</v>
      </c>
      <c r="F6419" s="208" t="s">
        <v>130</v>
      </c>
      <c r="G6419" s="208" t="s">
        <v>257</v>
      </c>
      <c r="H6419" s="208" t="s">
        <v>1138</v>
      </c>
      <c r="I6419" s="208"/>
      <c r="J6419" s="209"/>
      <c r="K6419" s="209"/>
      <c r="L6419" s="209"/>
      <c r="M6419" s="209"/>
      <c r="N6419" s="209"/>
      <c r="O6419" s="209"/>
      <c r="P6419" s="209"/>
      <c r="Q6419" s="209"/>
      <c r="R6419" s="209"/>
      <c r="S6419" s="209"/>
      <c r="T6419" s="209"/>
    </row>
    <row r="6420" spans="1:20" s="209" customFormat="1" ht="15" hidden="1" customHeight="1">
      <c r="A6420" s="468">
        <v>45555</v>
      </c>
      <c r="B6420" s="208" t="s">
        <v>5215</v>
      </c>
      <c r="C6420" s="208" t="s">
        <v>3331</v>
      </c>
      <c r="D6420" s="211">
        <v>5204791</v>
      </c>
      <c r="E6420" s="212">
        <v>45536</v>
      </c>
      <c r="F6420" s="208" t="s">
        <v>108</v>
      </c>
      <c r="G6420" s="208"/>
      <c r="H6420" s="208"/>
      <c r="I6420" s="208"/>
    </row>
    <row r="6421" spans="1:20" ht="15" hidden="1" customHeight="1">
      <c r="A6421" s="468">
        <v>45555</v>
      </c>
      <c r="B6421" s="208" t="s">
        <v>5216</v>
      </c>
      <c r="C6421" s="208" t="s">
        <v>27</v>
      </c>
      <c r="D6421" s="211">
        <v>19278686</v>
      </c>
      <c r="E6421" s="212">
        <v>45536</v>
      </c>
      <c r="F6421" s="208" t="s">
        <v>109</v>
      </c>
      <c r="G6421" s="201" t="s">
        <v>1261</v>
      </c>
      <c r="H6421" s="208"/>
      <c r="I6421" s="208"/>
      <c r="J6421" s="209"/>
      <c r="K6421" s="209"/>
      <c r="L6421" s="209"/>
      <c r="M6421" s="209"/>
      <c r="N6421" s="209"/>
      <c r="O6421" s="209"/>
      <c r="P6421" s="209"/>
      <c r="Q6421" s="209"/>
      <c r="R6421" s="209"/>
      <c r="S6421" s="209"/>
      <c r="T6421" s="209"/>
    </row>
    <row r="6422" spans="1:20" ht="15" hidden="1" customHeight="1">
      <c r="A6422" s="468">
        <v>45555</v>
      </c>
      <c r="B6422" s="208" t="s">
        <v>5217</v>
      </c>
      <c r="C6422" s="208" t="s">
        <v>643</v>
      </c>
      <c r="D6422" s="211">
        <v>-180865.33</v>
      </c>
      <c r="E6422" s="212">
        <v>45536</v>
      </c>
      <c r="F6422" s="208" t="s">
        <v>130</v>
      </c>
      <c r="G6422" s="208" t="s">
        <v>130</v>
      </c>
      <c r="H6422" s="208" t="s">
        <v>1245</v>
      </c>
      <c r="I6422" s="208"/>
      <c r="J6422" s="209"/>
      <c r="K6422" s="209"/>
      <c r="L6422" s="209"/>
      <c r="M6422" s="209"/>
      <c r="N6422" s="209"/>
      <c r="O6422" s="209"/>
      <c r="P6422" s="209"/>
      <c r="Q6422" s="209"/>
      <c r="R6422" s="209"/>
      <c r="S6422" s="209"/>
      <c r="T6422" s="209"/>
    </row>
    <row r="6423" spans="1:20" ht="15" hidden="1" customHeight="1">
      <c r="A6423" s="468">
        <v>45555</v>
      </c>
      <c r="B6423" s="208" t="s">
        <v>5218</v>
      </c>
      <c r="C6423" s="208" t="s">
        <v>643</v>
      </c>
      <c r="D6423" s="211">
        <v>-41959.75</v>
      </c>
      <c r="E6423" s="212">
        <v>45536</v>
      </c>
      <c r="F6423" s="208" t="s">
        <v>130</v>
      </c>
      <c r="G6423" s="208" t="s">
        <v>130</v>
      </c>
      <c r="H6423" s="208" t="s">
        <v>1245</v>
      </c>
      <c r="I6423" s="208"/>
      <c r="J6423" s="209"/>
      <c r="K6423" s="209"/>
      <c r="L6423" s="209"/>
      <c r="M6423" s="209"/>
      <c r="N6423" s="209"/>
      <c r="O6423" s="209"/>
      <c r="P6423" s="209"/>
      <c r="Q6423" s="209"/>
      <c r="R6423" s="209"/>
      <c r="S6423" s="209"/>
      <c r="T6423" s="209"/>
    </row>
    <row r="6424" spans="1:20" ht="15" hidden="1" customHeight="1">
      <c r="A6424" s="468">
        <v>45555</v>
      </c>
      <c r="B6424" s="208" t="s">
        <v>5219</v>
      </c>
      <c r="C6424" s="208" t="s">
        <v>146</v>
      </c>
      <c r="D6424" s="211">
        <v>-16000</v>
      </c>
      <c r="E6424" s="212">
        <v>45536</v>
      </c>
      <c r="F6424" s="208" t="s">
        <v>207</v>
      </c>
      <c r="G6424" s="81" t="s">
        <v>2226</v>
      </c>
      <c r="H6424" s="208" t="s">
        <v>138</v>
      </c>
      <c r="I6424" s="208" t="s">
        <v>59</v>
      </c>
      <c r="J6424" s="209"/>
      <c r="K6424" s="209"/>
      <c r="L6424" s="209"/>
      <c r="M6424" s="209"/>
      <c r="N6424" s="209"/>
      <c r="O6424" s="209"/>
      <c r="P6424" s="209"/>
      <c r="Q6424" s="209"/>
      <c r="R6424" s="209"/>
      <c r="S6424" s="209"/>
      <c r="T6424" s="209"/>
    </row>
    <row r="6425" spans="1:20" ht="15" hidden="1" customHeight="1">
      <c r="A6425" s="468">
        <v>45555</v>
      </c>
      <c r="B6425" s="208" t="s">
        <v>5220</v>
      </c>
      <c r="C6425" s="208" t="s">
        <v>146</v>
      </c>
      <c r="D6425" s="211">
        <v>-16000</v>
      </c>
      <c r="E6425" s="212">
        <v>45536</v>
      </c>
      <c r="F6425" s="208" t="s">
        <v>207</v>
      </c>
      <c r="G6425" s="81" t="s">
        <v>2226</v>
      </c>
      <c r="H6425" s="208" t="s">
        <v>138</v>
      </c>
      <c r="I6425" s="208" t="s">
        <v>59</v>
      </c>
      <c r="J6425" s="209"/>
      <c r="K6425" s="209"/>
      <c r="L6425" s="209"/>
      <c r="M6425" s="209"/>
      <c r="N6425" s="209"/>
      <c r="O6425" s="209"/>
      <c r="P6425" s="209"/>
      <c r="Q6425" s="209"/>
      <c r="R6425" s="209"/>
      <c r="S6425" s="209"/>
      <c r="T6425" s="209"/>
    </row>
    <row r="6426" spans="1:20" ht="15" hidden="1" customHeight="1">
      <c r="A6426" s="468">
        <v>45555</v>
      </c>
      <c r="B6426" s="208" t="s">
        <v>5221</v>
      </c>
      <c r="C6426" s="208" t="s">
        <v>146</v>
      </c>
      <c r="D6426" s="211">
        <v>-29000</v>
      </c>
      <c r="E6426" s="212">
        <v>45536</v>
      </c>
      <c r="F6426" s="208" t="s">
        <v>207</v>
      </c>
      <c r="G6426" s="81" t="s">
        <v>2226</v>
      </c>
      <c r="H6426" s="208" t="s">
        <v>147</v>
      </c>
      <c r="I6426" s="208" t="s">
        <v>59</v>
      </c>
      <c r="J6426" s="209"/>
      <c r="K6426" s="209"/>
      <c r="L6426" s="209"/>
      <c r="M6426" s="209"/>
      <c r="N6426" s="209"/>
      <c r="O6426" s="209"/>
      <c r="P6426" s="209"/>
      <c r="Q6426" s="209"/>
      <c r="R6426" s="209"/>
      <c r="S6426" s="209"/>
      <c r="T6426" s="209"/>
    </row>
    <row r="6427" spans="1:20" ht="15" hidden="1" customHeight="1">
      <c r="A6427" s="468">
        <v>45555</v>
      </c>
      <c r="B6427" s="208" t="s">
        <v>5222</v>
      </c>
      <c r="C6427" s="208" t="s">
        <v>146</v>
      </c>
      <c r="D6427" s="211">
        <v>-6000</v>
      </c>
      <c r="E6427" s="212">
        <v>45536</v>
      </c>
      <c r="F6427" s="208" t="s">
        <v>207</v>
      </c>
      <c r="G6427" s="81" t="s">
        <v>2226</v>
      </c>
      <c r="H6427" s="208" t="s">
        <v>138</v>
      </c>
      <c r="I6427" s="208" t="s">
        <v>59</v>
      </c>
      <c r="J6427" s="209"/>
      <c r="K6427" s="209"/>
      <c r="L6427" s="209"/>
      <c r="M6427" s="209"/>
      <c r="N6427" s="209"/>
      <c r="O6427" s="209"/>
      <c r="P6427" s="209"/>
      <c r="Q6427" s="209"/>
      <c r="R6427" s="209"/>
      <c r="S6427" s="209"/>
      <c r="T6427" s="209"/>
    </row>
    <row r="6428" spans="1:20" ht="15" hidden="1" customHeight="1">
      <c r="A6428" s="468">
        <v>45555</v>
      </c>
      <c r="B6428" s="208" t="s">
        <v>5223</v>
      </c>
      <c r="C6428" s="208" t="s">
        <v>146</v>
      </c>
      <c r="D6428" s="211">
        <v>-6000</v>
      </c>
      <c r="E6428" s="212">
        <v>45536</v>
      </c>
      <c r="F6428" s="208" t="s">
        <v>207</v>
      </c>
      <c r="G6428" s="81" t="s">
        <v>2226</v>
      </c>
      <c r="H6428" s="208" t="s">
        <v>138</v>
      </c>
      <c r="I6428" s="208" t="s">
        <v>59</v>
      </c>
      <c r="J6428" s="209"/>
      <c r="K6428" s="209"/>
      <c r="L6428" s="209"/>
      <c r="M6428" s="209"/>
      <c r="N6428" s="209"/>
      <c r="O6428" s="209"/>
      <c r="P6428" s="209"/>
      <c r="Q6428" s="209"/>
      <c r="R6428" s="209"/>
      <c r="S6428" s="209"/>
      <c r="T6428" s="209"/>
    </row>
    <row r="6429" spans="1:20" ht="15" hidden="1" customHeight="1">
      <c r="A6429" s="468">
        <v>45555</v>
      </c>
      <c r="B6429" s="208" t="s">
        <v>5224</v>
      </c>
      <c r="C6429" s="208" t="s">
        <v>146</v>
      </c>
      <c r="D6429" s="211">
        <v>-35000</v>
      </c>
      <c r="E6429" s="212">
        <v>45536</v>
      </c>
      <c r="F6429" s="208" t="s">
        <v>109</v>
      </c>
      <c r="G6429" s="201" t="s">
        <v>581</v>
      </c>
      <c r="H6429" s="208"/>
      <c r="I6429" s="208" t="s">
        <v>3364</v>
      </c>
      <c r="J6429" s="209"/>
      <c r="K6429" s="209"/>
      <c r="L6429" s="209"/>
      <c r="M6429" s="209"/>
      <c r="N6429" s="209"/>
      <c r="O6429" s="209"/>
      <c r="P6429" s="209"/>
      <c r="Q6429" s="209"/>
      <c r="R6429" s="209"/>
      <c r="S6429" s="209"/>
      <c r="T6429" s="209"/>
    </row>
    <row r="6430" spans="1:20" ht="15" hidden="1" customHeight="1">
      <c r="A6430" s="468">
        <v>45555</v>
      </c>
      <c r="B6430" s="208" t="s">
        <v>5225</v>
      </c>
      <c r="C6430" s="208" t="s">
        <v>146</v>
      </c>
      <c r="D6430" s="211">
        <v>-40000</v>
      </c>
      <c r="E6430" s="212">
        <v>45536</v>
      </c>
      <c r="F6430" s="208" t="s">
        <v>109</v>
      </c>
      <c r="G6430" s="201" t="s">
        <v>581</v>
      </c>
      <c r="H6430" s="208"/>
      <c r="I6430" s="208" t="s">
        <v>3364</v>
      </c>
      <c r="J6430" s="209"/>
      <c r="K6430" s="209"/>
      <c r="L6430" s="209"/>
      <c r="M6430" s="209"/>
      <c r="N6430" s="209"/>
      <c r="O6430" s="209"/>
      <c r="P6430" s="209"/>
      <c r="Q6430" s="209"/>
      <c r="R6430" s="209"/>
      <c r="S6430" s="209"/>
      <c r="T6430" s="209"/>
    </row>
    <row r="6431" spans="1:20" ht="15" hidden="1" customHeight="1">
      <c r="A6431" s="468">
        <v>45555</v>
      </c>
      <c r="B6431" s="208" t="s">
        <v>5226</v>
      </c>
      <c r="C6431" s="208" t="s">
        <v>146</v>
      </c>
      <c r="D6431" s="211">
        <v>-40000</v>
      </c>
      <c r="E6431" s="212">
        <v>45536</v>
      </c>
      <c r="F6431" s="208" t="s">
        <v>109</v>
      </c>
      <c r="G6431" s="201" t="s">
        <v>581</v>
      </c>
      <c r="H6431" s="208"/>
      <c r="I6431" s="208" t="s">
        <v>3364</v>
      </c>
      <c r="J6431" s="209"/>
      <c r="K6431" s="209"/>
      <c r="L6431" s="209"/>
      <c r="M6431" s="209"/>
      <c r="N6431" s="209"/>
      <c r="O6431" s="209"/>
      <c r="P6431" s="209"/>
      <c r="Q6431" s="209"/>
      <c r="R6431" s="209"/>
      <c r="S6431" s="209"/>
      <c r="T6431" s="209"/>
    </row>
    <row r="6432" spans="1:20" ht="15" hidden="1" customHeight="1">
      <c r="A6432" s="468">
        <v>45555</v>
      </c>
      <c r="B6432" s="208" t="s">
        <v>5227</v>
      </c>
      <c r="C6432" s="208" t="s">
        <v>146</v>
      </c>
      <c r="D6432" s="211">
        <v>-52000</v>
      </c>
      <c r="E6432" s="212">
        <v>45536</v>
      </c>
      <c r="F6432" s="208" t="s">
        <v>110</v>
      </c>
      <c r="G6432" s="208" t="s">
        <v>4399</v>
      </c>
      <c r="H6432" s="208" t="s">
        <v>147</v>
      </c>
      <c r="I6432" s="208" t="s">
        <v>3378</v>
      </c>
      <c r="J6432" s="209"/>
      <c r="K6432" s="209"/>
      <c r="L6432" s="209"/>
      <c r="M6432" s="209"/>
      <c r="N6432" s="209"/>
      <c r="O6432" s="209"/>
      <c r="P6432" s="209"/>
      <c r="Q6432" s="209"/>
      <c r="R6432" s="209"/>
      <c r="S6432" s="209"/>
      <c r="T6432" s="209"/>
    </row>
    <row r="6433" spans="1:149" ht="15" hidden="1" customHeight="1">
      <c r="A6433" s="468">
        <v>45555</v>
      </c>
      <c r="B6433" s="208" t="s">
        <v>5228</v>
      </c>
      <c r="C6433" s="208" t="s">
        <v>146</v>
      </c>
      <c r="D6433" s="211">
        <v>-175000</v>
      </c>
      <c r="E6433" s="212">
        <v>45536</v>
      </c>
      <c r="F6433" s="208" t="s">
        <v>110</v>
      </c>
      <c r="G6433" s="208" t="s">
        <v>4399</v>
      </c>
      <c r="H6433" s="208" t="s">
        <v>138</v>
      </c>
      <c r="I6433" s="208" t="s">
        <v>3378</v>
      </c>
      <c r="J6433" s="209"/>
      <c r="K6433" s="209"/>
      <c r="L6433" s="209"/>
      <c r="M6433" s="209"/>
      <c r="N6433" s="209"/>
      <c r="O6433" s="209"/>
      <c r="P6433" s="209"/>
      <c r="Q6433" s="209"/>
      <c r="R6433" s="209"/>
      <c r="S6433" s="209"/>
      <c r="T6433" s="209"/>
    </row>
    <row r="6434" spans="1:149" ht="15" hidden="1" customHeight="1">
      <c r="A6434" s="468">
        <v>45555</v>
      </c>
      <c r="B6434" s="208" t="s">
        <v>5229</v>
      </c>
      <c r="C6434" s="208" t="s">
        <v>146</v>
      </c>
      <c r="D6434" s="211">
        <v>-9600</v>
      </c>
      <c r="E6434" s="212">
        <v>45536</v>
      </c>
      <c r="F6434" s="208" t="s">
        <v>110</v>
      </c>
      <c r="G6434" s="208" t="s">
        <v>4399</v>
      </c>
      <c r="H6434" s="208" t="s">
        <v>138</v>
      </c>
      <c r="I6434" s="208" t="s">
        <v>3378</v>
      </c>
      <c r="J6434" s="209"/>
      <c r="K6434" s="209"/>
      <c r="L6434" s="209"/>
      <c r="M6434" s="209"/>
      <c r="N6434" s="209"/>
      <c r="O6434" s="209"/>
      <c r="P6434" s="209"/>
      <c r="Q6434" s="209"/>
      <c r="R6434" s="209"/>
      <c r="S6434" s="209"/>
      <c r="T6434" s="209"/>
    </row>
    <row r="6435" spans="1:149" ht="15" hidden="1" customHeight="1">
      <c r="A6435" s="468">
        <v>45555</v>
      </c>
      <c r="B6435" s="208" t="s">
        <v>5230</v>
      </c>
      <c r="C6435" s="208" t="s">
        <v>146</v>
      </c>
      <c r="D6435" s="211">
        <v>-200000</v>
      </c>
      <c r="E6435" s="212">
        <v>45536</v>
      </c>
      <c r="F6435" s="208" t="s">
        <v>110</v>
      </c>
      <c r="G6435" s="208" t="s">
        <v>4399</v>
      </c>
      <c r="H6435" s="208" t="s">
        <v>138</v>
      </c>
      <c r="I6435" s="208" t="s">
        <v>3378</v>
      </c>
      <c r="J6435" s="209"/>
      <c r="K6435" s="209"/>
      <c r="L6435" s="209"/>
      <c r="M6435" s="209"/>
      <c r="N6435" s="209"/>
      <c r="O6435" s="209"/>
      <c r="P6435" s="209"/>
      <c r="Q6435" s="209"/>
      <c r="R6435" s="209"/>
      <c r="S6435" s="209"/>
      <c r="T6435" s="209"/>
    </row>
    <row r="6436" spans="1:149" ht="15" hidden="1" customHeight="1">
      <c r="A6436" s="468">
        <v>45555</v>
      </c>
      <c r="B6436" s="208" t="s">
        <v>5231</v>
      </c>
      <c r="C6436" s="208" t="s">
        <v>146</v>
      </c>
      <c r="D6436" s="211">
        <v>-100000</v>
      </c>
      <c r="E6436" s="212">
        <v>45536</v>
      </c>
      <c r="F6436" s="208" t="s">
        <v>130</v>
      </c>
      <c r="G6436" s="208" t="s">
        <v>257</v>
      </c>
      <c r="H6436" s="208" t="s">
        <v>138</v>
      </c>
      <c r="I6436" s="208" t="s">
        <v>63</v>
      </c>
      <c r="J6436" s="209"/>
      <c r="K6436" s="209"/>
      <c r="L6436" s="209"/>
      <c r="M6436" s="209"/>
      <c r="N6436" s="209"/>
      <c r="O6436" s="209"/>
      <c r="P6436" s="209"/>
      <c r="Q6436" s="209"/>
      <c r="R6436" s="209"/>
      <c r="S6436" s="209"/>
      <c r="T6436" s="209"/>
    </row>
    <row r="6437" spans="1:149" ht="15" hidden="1" customHeight="1">
      <c r="A6437" s="468">
        <v>45555</v>
      </c>
      <c r="B6437" s="208" t="s">
        <v>5232</v>
      </c>
      <c r="C6437" s="208" t="s">
        <v>146</v>
      </c>
      <c r="D6437" s="211">
        <v>-212000</v>
      </c>
      <c r="E6437" s="212">
        <v>45536</v>
      </c>
      <c r="F6437" s="208" t="s">
        <v>130</v>
      </c>
      <c r="G6437" s="208" t="s">
        <v>257</v>
      </c>
      <c r="H6437" s="208" t="s">
        <v>303</v>
      </c>
      <c r="I6437" s="208" t="s">
        <v>63</v>
      </c>
      <c r="J6437" s="209"/>
      <c r="K6437" s="209"/>
      <c r="L6437" s="209"/>
      <c r="M6437" s="209"/>
      <c r="N6437" s="209"/>
      <c r="O6437" s="209"/>
      <c r="P6437" s="209"/>
      <c r="Q6437" s="209"/>
      <c r="R6437" s="209"/>
      <c r="S6437" s="209"/>
      <c r="T6437" s="209"/>
    </row>
    <row r="6438" spans="1:149" ht="15" hidden="1" customHeight="1">
      <c r="A6438" s="468">
        <v>45555</v>
      </c>
      <c r="B6438" s="208" t="s">
        <v>4748</v>
      </c>
      <c r="C6438" s="208" t="s">
        <v>146</v>
      </c>
      <c r="D6438" s="211">
        <v>-16000</v>
      </c>
      <c r="E6438" s="212">
        <v>45536</v>
      </c>
      <c r="F6438" s="208" t="s">
        <v>130</v>
      </c>
      <c r="G6438" s="208" t="s">
        <v>257</v>
      </c>
      <c r="H6438" s="208" t="s">
        <v>303</v>
      </c>
      <c r="I6438" s="208" t="s">
        <v>63</v>
      </c>
      <c r="J6438" s="209"/>
      <c r="K6438" s="209"/>
      <c r="L6438" s="209"/>
      <c r="M6438" s="209"/>
      <c r="N6438" s="209"/>
      <c r="O6438" s="209"/>
      <c r="P6438" s="209"/>
      <c r="Q6438" s="209"/>
      <c r="R6438" s="209"/>
      <c r="S6438" s="209"/>
      <c r="T6438" s="209"/>
    </row>
    <row r="6439" spans="1:149" ht="15" hidden="1" customHeight="1">
      <c r="A6439" s="468">
        <v>45555</v>
      </c>
      <c r="B6439" s="208" t="s">
        <v>3533</v>
      </c>
      <c r="C6439" s="208" t="s">
        <v>146</v>
      </c>
      <c r="D6439" s="211">
        <v>-23800</v>
      </c>
      <c r="E6439" s="212">
        <v>45536</v>
      </c>
      <c r="F6439" s="208" t="s">
        <v>130</v>
      </c>
      <c r="G6439" s="208" t="s">
        <v>257</v>
      </c>
      <c r="H6439" s="208" t="s">
        <v>138</v>
      </c>
      <c r="I6439" s="208" t="s">
        <v>63</v>
      </c>
      <c r="J6439" s="209"/>
      <c r="K6439" s="209"/>
      <c r="L6439" s="209"/>
      <c r="M6439" s="209"/>
      <c r="N6439" s="209"/>
      <c r="O6439" s="209"/>
      <c r="P6439" s="209"/>
      <c r="Q6439" s="209"/>
      <c r="R6439" s="209"/>
      <c r="S6439" s="209"/>
      <c r="T6439" s="209"/>
    </row>
    <row r="6440" spans="1:149" ht="15" hidden="1" customHeight="1">
      <c r="A6440" s="468">
        <v>45555</v>
      </c>
      <c r="B6440" s="208" t="s">
        <v>5002</v>
      </c>
      <c r="C6440" s="208" t="s">
        <v>4783</v>
      </c>
      <c r="D6440" s="211">
        <v>-322075367</v>
      </c>
      <c r="E6440" s="212">
        <v>45536</v>
      </c>
      <c r="F6440" s="208" t="s">
        <v>109</v>
      </c>
      <c r="G6440" s="208" t="s">
        <v>10</v>
      </c>
      <c r="H6440" s="208" t="s">
        <v>461</v>
      </c>
      <c r="I6440" s="208"/>
      <c r="J6440" s="209"/>
      <c r="K6440" s="209"/>
      <c r="L6440" s="209"/>
      <c r="M6440" s="209"/>
      <c r="N6440" s="209"/>
      <c r="O6440" s="209"/>
      <c r="P6440" s="209"/>
      <c r="Q6440" s="209"/>
      <c r="R6440" s="209"/>
      <c r="S6440" s="209"/>
      <c r="T6440" s="209"/>
      <c r="U6440" s="451"/>
      <c r="V6440" s="451"/>
      <c r="W6440" s="451"/>
      <c r="X6440" s="451"/>
      <c r="Y6440" s="451"/>
      <c r="Z6440" s="451"/>
      <c r="AA6440" s="451"/>
      <c r="AB6440" s="451"/>
      <c r="AC6440" s="451"/>
      <c r="AD6440" s="451"/>
      <c r="AE6440" s="451"/>
      <c r="AF6440" s="451"/>
      <c r="AG6440" s="451"/>
      <c r="AH6440" s="451"/>
      <c r="AI6440" s="451"/>
      <c r="AJ6440" s="451"/>
      <c r="AK6440" s="451"/>
      <c r="AL6440" s="451"/>
      <c r="AM6440" s="451"/>
      <c r="AN6440" s="451"/>
      <c r="AO6440" s="451"/>
      <c r="AP6440" s="451"/>
      <c r="AQ6440" s="451"/>
      <c r="AR6440" s="451"/>
      <c r="AS6440" s="451"/>
      <c r="AT6440" s="451"/>
      <c r="AU6440" s="451"/>
      <c r="AV6440" s="451"/>
      <c r="AW6440" s="451"/>
      <c r="AX6440" s="451"/>
      <c r="AY6440" s="451"/>
      <c r="AZ6440" s="451"/>
      <c r="BA6440" s="451"/>
      <c r="BB6440" s="451"/>
      <c r="BC6440" s="451"/>
      <c r="BD6440" s="451"/>
      <c r="BE6440" s="451"/>
      <c r="BF6440" s="451"/>
      <c r="BG6440" s="451"/>
      <c r="BH6440" s="451"/>
      <c r="BI6440" s="451"/>
      <c r="BJ6440" s="451"/>
      <c r="BK6440" s="451"/>
      <c r="BL6440" s="451"/>
      <c r="BM6440" s="451"/>
      <c r="BN6440" s="451"/>
      <c r="BO6440" s="451"/>
      <c r="BP6440" s="451"/>
      <c r="BQ6440" s="451"/>
      <c r="BR6440" s="451"/>
      <c r="BS6440" s="451"/>
      <c r="BT6440" s="451"/>
      <c r="BU6440" s="451"/>
      <c r="BV6440" s="451"/>
      <c r="BW6440" s="451"/>
      <c r="BX6440" s="451"/>
      <c r="BY6440" s="451"/>
      <c r="BZ6440" s="451"/>
      <c r="CA6440" s="451"/>
      <c r="CB6440" s="451"/>
      <c r="CC6440" s="451"/>
      <c r="CD6440" s="451"/>
      <c r="CE6440" s="451"/>
      <c r="CF6440" s="451"/>
      <c r="CG6440" s="451"/>
      <c r="CH6440" s="451"/>
      <c r="CI6440" s="451"/>
      <c r="CJ6440" s="451"/>
      <c r="CK6440" s="451"/>
      <c r="CL6440" s="451"/>
      <c r="CM6440" s="451"/>
      <c r="CN6440" s="451"/>
      <c r="CO6440" s="451"/>
      <c r="CP6440" s="451"/>
      <c r="CQ6440" s="451"/>
      <c r="CR6440" s="451"/>
      <c r="CS6440" s="451"/>
      <c r="CT6440" s="451"/>
      <c r="CU6440" s="451"/>
      <c r="CV6440" s="451"/>
      <c r="CW6440" s="451"/>
      <c r="CX6440" s="451"/>
      <c r="CY6440" s="451"/>
      <c r="CZ6440" s="451"/>
      <c r="DA6440" s="451"/>
      <c r="DB6440" s="451"/>
      <c r="DC6440" s="451"/>
      <c r="DD6440" s="451"/>
      <c r="DE6440" s="451"/>
      <c r="DF6440" s="451"/>
      <c r="DG6440" s="451"/>
      <c r="DH6440" s="451"/>
      <c r="DI6440" s="451"/>
      <c r="DJ6440" s="451"/>
      <c r="DK6440" s="451"/>
      <c r="DL6440" s="451"/>
      <c r="DM6440" s="451"/>
      <c r="DN6440" s="451"/>
      <c r="DO6440" s="451"/>
      <c r="DP6440" s="451"/>
      <c r="DQ6440" s="451"/>
      <c r="DR6440" s="451"/>
      <c r="DS6440" s="451"/>
      <c r="DT6440" s="451"/>
      <c r="DU6440" s="451"/>
      <c r="DV6440" s="451"/>
      <c r="DW6440" s="451"/>
      <c r="DX6440" s="451"/>
      <c r="DY6440" s="451"/>
      <c r="DZ6440" s="451"/>
      <c r="EA6440" s="451"/>
      <c r="EB6440" s="451"/>
      <c r="EC6440" s="451"/>
      <c r="ED6440" s="451"/>
      <c r="EE6440" s="451"/>
      <c r="EF6440" s="451"/>
      <c r="EG6440" s="451"/>
      <c r="EH6440" s="451"/>
      <c r="EI6440" s="451"/>
      <c r="EJ6440" s="451"/>
      <c r="EK6440" s="451"/>
      <c r="EL6440" s="451"/>
      <c r="EM6440" s="451"/>
      <c r="EN6440" s="451"/>
      <c r="EO6440" s="451"/>
      <c r="EP6440" s="451"/>
      <c r="EQ6440" s="451"/>
      <c r="ER6440" s="451"/>
      <c r="ES6440" s="451"/>
    </row>
    <row r="6441" spans="1:149" ht="15" hidden="1" customHeight="1">
      <c r="A6441" s="468">
        <v>45555</v>
      </c>
      <c r="B6441" s="208" t="s">
        <v>5233</v>
      </c>
      <c r="C6441" s="208" t="s">
        <v>4314</v>
      </c>
      <c r="D6441" s="211">
        <v>-15000</v>
      </c>
      <c r="E6441" s="212">
        <v>45536</v>
      </c>
      <c r="F6441" s="208" t="s">
        <v>2531</v>
      </c>
      <c r="G6441" s="208" t="s">
        <v>2590</v>
      </c>
      <c r="H6441" s="208"/>
      <c r="I6441" s="208"/>
      <c r="J6441" s="209"/>
      <c r="K6441" s="209"/>
      <c r="L6441" s="209"/>
      <c r="M6441" s="209"/>
      <c r="N6441" s="209"/>
      <c r="O6441" s="209"/>
      <c r="P6441" s="209"/>
      <c r="Q6441" s="209"/>
      <c r="R6441" s="209"/>
      <c r="S6441" s="209"/>
      <c r="T6441" s="209"/>
    </row>
    <row r="6442" spans="1:149" ht="15" hidden="1" customHeight="1">
      <c r="A6442" s="468">
        <v>45555</v>
      </c>
      <c r="B6442" s="208" t="s">
        <v>5234</v>
      </c>
      <c r="C6442" s="208" t="s">
        <v>4314</v>
      </c>
      <c r="D6442" s="211">
        <v>-10500</v>
      </c>
      <c r="E6442" s="212">
        <v>45536</v>
      </c>
      <c r="F6442" s="208" t="s">
        <v>109</v>
      </c>
      <c r="G6442" s="208" t="s">
        <v>3529</v>
      </c>
      <c r="H6442" s="208" t="s">
        <v>147</v>
      </c>
      <c r="I6442" s="208"/>
      <c r="J6442" s="209"/>
      <c r="K6442" s="209"/>
      <c r="L6442" s="209"/>
      <c r="M6442" s="209"/>
      <c r="N6442" s="209"/>
      <c r="O6442" s="209"/>
      <c r="P6442" s="209"/>
      <c r="Q6442" s="209"/>
      <c r="R6442" s="209"/>
      <c r="S6442" s="209"/>
      <c r="T6442" s="209"/>
    </row>
    <row r="6443" spans="1:149" ht="15" hidden="1" customHeight="1">
      <c r="A6443" s="468">
        <v>45555</v>
      </c>
      <c r="B6443" s="208" t="s">
        <v>5235</v>
      </c>
      <c r="C6443" s="208" t="s">
        <v>27</v>
      </c>
      <c r="D6443" s="211">
        <v>-635913</v>
      </c>
      <c r="E6443" s="212">
        <v>45536</v>
      </c>
      <c r="F6443" s="208" t="s">
        <v>130</v>
      </c>
      <c r="G6443" s="208" t="s">
        <v>130</v>
      </c>
      <c r="H6443" s="208" t="s">
        <v>184</v>
      </c>
      <c r="I6443" s="208"/>
      <c r="J6443" s="209"/>
      <c r="K6443" s="209"/>
      <c r="L6443" s="209"/>
      <c r="M6443" s="209"/>
      <c r="N6443" s="209"/>
      <c r="O6443" s="209"/>
      <c r="P6443" s="209"/>
      <c r="Q6443" s="209"/>
      <c r="R6443" s="209"/>
      <c r="S6443" s="209"/>
      <c r="T6443" s="209"/>
    </row>
    <row r="6444" spans="1:149" ht="15" hidden="1" customHeight="1">
      <c r="A6444" s="468">
        <v>45556</v>
      </c>
      <c r="B6444" s="208" t="s">
        <v>5236</v>
      </c>
      <c r="C6444" s="208" t="s">
        <v>146</v>
      </c>
      <c r="D6444" s="211">
        <v>-51000</v>
      </c>
      <c r="E6444" s="212">
        <v>45536</v>
      </c>
      <c r="F6444" s="208" t="s">
        <v>109</v>
      </c>
      <c r="G6444" s="201" t="s">
        <v>581</v>
      </c>
      <c r="H6444" s="208"/>
      <c r="I6444" s="208" t="s">
        <v>3364</v>
      </c>
      <c r="J6444" s="209"/>
      <c r="K6444" s="209"/>
      <c r="L6444" s="209"/>
      <c r="M6444" s="209"/>
      <c r="N6444" s="209"/>
      <c r="O6444" s="209"/>
      <c r="P6444" s="209"/>
      <c r="Q6444" s="209"/>
      <c r="R6444" s="209"/>
      <c r="S6444" s="209"/>
      <c r="T6444" s="209"/>
    </row>
    <row r="6445" spans="1:149" ht="15" hidden="1" customHeight="1">
      <c r="A6445" s="468">
        <v>45556</v>
      </c>
      <c r="B6445" s="208" t="s">
        <v>5237</v>
      </c>
      <c r="C6445" s="208" t="s">
        <v>146</v>
      </c>
      <c r="D6445" s="211">
        <v>-70000</v>
      </c>
      <c r="E6445" s="212">
        <v>45536</v>
      </c>
      <c r="F6445" s="208" t="s">
        <v>109</v>
      </c>
      <c r="G6445" s="201" t="s">
        <v>581</v>
      </c>
      <c r="H6445" s="208"/>
      <c r="I6445" s="208" t="s">
        <v>3364</v>
      </c>
      <c r="J6445" s="209"/>
      <c r="K6445" s="209"/>
      <c r="L6445" s="209"/>
      <c r="M6445" s="209"/>
      <c r="N6445" s="209"/>
      <c r="O6445" s="209"/>
      <c r="P6445" s="209"/>
      <c r="Q6445" s="209"/>
      <c r="R6445" s="209"/>
      <c r="S6445" s="209"/>
      <c r="T6445" s="209"/>
    </row>
    <row r="6446" spans="1:149" ht="15" hidden="1" customHeight="1">
      <c r="A6446" s="468">
        <v>45556</v>
      </c>
      <c r="B6446" s="208" t="s">
        <v>5238</v>
      </c>
      <c r="C6446" s="208" t="s">
        <v>4314</v>
      </c>
      <c r="D6446" s="211">
        <v>-31875</v>
      </c>
      <c r="E6446" s="212">
        <v>45536</v>
      </c>
      <c r="F6446" s="208" t="s">
        <v>109</v>
      </c>
      <c r="G6446" s="208" t="s">
        <v>4294</v>
      </c>
      <c r="H6446" s="208"/>
      <c r="I6446" s="208"/>
      <c r="J6446" s="209"/>
      <c r="K6446" s="209"/>
      <c r="L6446" s="209"/>
      <c r="M6446" s="209"/>
      <c r="N6446" s="209"/>
      <c r="O6446" s="209"/>
      <c r="P6446" s="209"/>
      <c r="Q6446" s="209"/>
      <c r="R6446" s="209"/>
      <c r="S6446" s="209"/>
      <c r="T6446" s="209"/>
    </row>
    <row r="6447" spans="1:149" ht="15" hidden="1" customHeight="1">
      <c r="A6447" s="468">
        <v>45557</v>
      </c>
      <c r="B6447" s="208" t="s">
        <v>5239</v>
      </c>
      <c r="C6447" s="208" t="s">
        <v>146</v>
      </c>
      <c r="D6447" s="211">
        <v>-14000</v>
      </c>
      <c r="E6447" s="212">
        <v>45536</v>
      </c>
      <c r="F6447" s="208" t="s">
        <v>109</v>
      </c>
      <c r="G6447" s="201" t="s">
        <v>581</v>
      </c>
      <c r="H6447" s="208"/>
      <c r="I6447" s="208" t="s">
        <v>3364</v>
      </c>
      <c r="J6447" s="209"/>
      <c r="K6447" s="209"/>
      <c r="L6447" s="209"/>
      <c r="M6447" s="209"/>
      <c r="N6447" s="209"/>
      <c r="O6447" s="209"/>
      <c r="P6447" s="209"/>
      <c r="Q6447" s="209"/>
      <c r="R6447" s="209"/>
      <c r="S6447" s="209"/>
      <c r="T6447" s="209"/>
    </row>
    <row r="6448" spans="1:149" s="209" customFormat="1" ht="15" hidden="1" customHeight="1">
      <c r="A6448" s="468">
        <v>45558</v>
      </c>
      <c r="B6448" s="208" t="s">
        <v>5240</v>
      </c>
      <c r="C6448" s="208" t="s">
        <v>3331</v>
      </c>
      <c r="D6448" s="211">
        <v>5659490</v>
      </c>
      <c r="E6448" s="212">
        <v>45536</v>
      </c>
      <c r="F6448" s="208" t="s">
        <v>108</v>
      </c>
      <c r="G6448" s="208"/>
      <c r="H6448" s="208"/>
      <c r="I6448" s="208"/>
    </row>
    <row r="6449" spans="1:20" ht="15" hidden="1" customHeight="1">
      <c r="A6449" s="468">
        <v>45558</v>
      </c>
      <c r="B6449" s="208" t="s">
        <v>5241</v>
      </c>
      <c r="C6449" s="208" t="s">
        <v>643</v>
      </c>
      <c r="D6449" s="211">
        <v>-8000</v>
      </c>
      <c r="E6449" s="212">
        <v>45536</v>
      </c>
      <c r="F6449" s="208" t="s">
        <v>130</v>
      </c>
      <c r="G6449" s="208" t="s">
        <v>257</v>
      </c>
      <c r="H6449" s="208" t="s">
        <v>1138</v>
      </c>
      <c r="I6449" s="208"/>
      <c r="J6449" s="209"/>
      <c r="K6449" s="209"/>
      <c r="L6449" s="209"/>
      <c r="M6449" s="209"/>
      <c r="N6449" s="209"/>
      <c r="O6449" s="209"/>
      <c r="P6449" s="209"/>
      <c r="Q6449" s="209"/>
      <c r="R6449" s="209"/>
      <c r="S6449" s="209"/>
      <c r="T6449" s="209"/>
    </row>
    <row r="6450" spans="1:20" ht="15" hidden="1" customHeight="1">
      <c r="A6450" s="468">
        <v>45558</v>
      </c>
      <c r="B6450" s="208" t="s">
        <v>5242</v>
      </c>
      <c r="C6450" s="208" t="s">
        <v>643</v>
      </c>
      <c r="D6450" s="211">
        <v>-30800</v>
      </c>
      <c r="E6450" s="212">
        <v>45536</v>
      </c>
      <c r="F6450" s="208" t="s">
        <v>130</v>
      </c>
      <c r="G6450" s="208" t="s">
        <v>130</v>
      </c>
      <c r="H6450" s="208" t="s">
        <v>1245</v>
      </c>
      <c r="I6450" s="208"/>
      <c r="J6450" s="209"/>
      <c r="K6450" s="209"/>
      <c r="L6450" s="209"/>
      <c r="M6450" s="209"/>
      <c r="N6450" s="209"/>
      <c r="O6450" s="209"/>
      <c r="P6450" s="209"/>
      <c r="Q6450" s="209"/>
      <c r="R6450" s="209"/>
      <c r="S6450" s="209"/>
      <c r="T6450" s="209"/>
    </row>
    <row r="6451" spans="1:20" ht="15" hidden="1" customHeight="1">
      <c r="A6451" s="468">
        <v>45558</v>
      </c>
      <c r="B6451" s="208" t="s">
        <v>2663</v>
      </c>
      <c r="C6451" s="208" t="s">
        <v>146</v>
      </c>
      <c r="D6451" s="211">
        <v>-63000</v>
      </c>
      <c r="E6451" s="212">
        <v>45536</v>
      </c>
      <c r="F6451" s="208" t="s">
        <v>2531</v>
      </c>
      <c r="G6451" s="201" t="s">
        <v>1489</v>
      </c>
      <c r="H6451" s="208" t="s">
        <v>138</v>
      </c>
      <c r="I6451" s="208"/>
      <c r="J6451" s="209"/>
      <c r="K6451" s="209"/>
      <c r="L6451" s="209"/>
      <c r="M6451" s="209"/>
      <c r="N6451" s="209"/>
      <c r="O6451" s="209"/>
      <c r="P6451" s="209"/>
      <c r="Q6451" s="209"/>
      <c r="R6451" s="209"/>
      <c r="S6451" s="209"/>
      <c r="T6451" s="209"/>
    </row>
    <row r="6452" spans="1:20" ht="15" hidden="1" customHeight="1">
      <c r="A6452" s="468">
        <v>45558</v>
      </c>
      <c r="B6452" s="208" t="s">
        <v>2663</v>
      </c>
      <c r="C6452" s="208" t="s">
        <v>146</v>
      </c>
      <c r="D6452" s="211">
        <v>-70000</v>
      </c>
      <c r="E6452" s="212">
        <v>45536</v>
      </c>
      <c r="F6452" s="208" t="s">
        <v>109</v>
      </c>
      <c r="G6452" s="208" t="s">
        <v>3529</v>
      </c>
      <c r="H6452" s="208" t="s">
        <v>138</v>
      </c>
      <c r="I6452" s="208"/>
      <c r="J6452" s="209"/>
      <c r="K6452" s="209"/>
      <c r="L6452" s="209"/>
      <c r="M6452" s="209"/>
      <c r="N6452" s="209"/>
      <c r="O6452" s="209"/>
      <c r="P6452" s="209"/>
      <c r="Q6452" s="209"/>
      <c r="R6452" s="209"/>
      <c r="S6452" s="209"/>
      <c r="T6452" s="209"/>
    </row>
    <row r="6453" spans="1:20" ht="15" hidden="1" customHeight="1">
      <c r="A6453" s="468">
        <v>45558</v>
      </c>
      <c r="B6453" s="208" t="s">
        <v>2663</v>
      </c>
      <c r="C6453" s="208" t="s">
        <v>146</v>
      </c>
      <c r="D6453" s="211">
        <v>-14000</v>
      </c>
      <c r="E6453" s="212">
        <v>45536</v>
      </c>
      <c r="F6453" s="208" t="s">
        <v>109</v>
      </c>
      <c r="G6453" s="201" t="s">
        <v>581</v>
      </c>
      <c r="H6453" s="208"/>
      <c r="I6453" s="208"/>
      <c r="J6453" s="209"/>
      <c r="K6453" s="209"/>
      <c r="L6453" s="209"/>
      <c r="M6453" s="209"/>
      <c r="N6453" s="209"/>
      <c r="O6453" s="209"/>
      <c r="P6453" s="209"/>
      <c r="Q6453" s="209"/>
      <c r="R6453" s="209"/>
      <c r="S6453" s="209"/>
      <c r="T6453" s="209"/>
    </row>
    <row r="6454" spans="1:20" ht="15" hidden="1" customHeight="1">
      <c r="A6454" s="468">
        <v>45558</v>
      </c>
      <c r="B6454" s="208" t="s">
        <v>2663</v>
      </c>
      <c r="C6454" s="208" t="s">
        <v>146</v>
      </c>
      <c r="D6454" s="211">
        <v>-7000</v>
      </c>
      <c r="E6454" s="212">
        <v>45536</v>
      </c>
      <c r="F6454" s="208" t="s">
        <v>2531</v>
      </c>
      <c r="G6454" s="208" t="s">
        <v>774</v>
      </c>
      <c r="H6454" s="208" t="s">
        <v>138</v>
      </c>
      <c r="I6454" s="208"/>
      <c r="J6454" s="209"/>
      <c r="K6454" s="209"/>
      <c r="L6454" s="209"/>
      <c r="M6454" s="209"/>
      <c r="N6454" s="209"/>
      <c r="O6454" s="209"/>
      <c r="P6454" s="209"/>
      <c r="Q6454" s="209"/>
      <c r="R6454" s="209"/>
      <c r="S6454" s="209"/>
      <c r="T6454" s="209"/>
    </row>
    <row r="6455" spans="1:20" ht="15" hidden="1" customHeight="1">
      <c r="A6455" s="468">
        <v>45558</v>
      </c>
      <c r="B6455" s="208" t="s">
        <v>2663</v>
      </c>
      <c r="C6455" s="208" t="s">
        <v>146</v>
      </c>
      <c r="D6455" s="211">
        <v>-21000</v>
      </c>
      <c r="E6455" s="212">
        <v>45536</v>
      </c>
      <c r="F6455" s="208" t="s">
        <v>130</v>
      </c>
      <c r="G6455" s="208" t="s">
        <v>130</v>
      </c>
      <c r="H6455" s="208" t="s">
        <v>138</v>
      </c>
      <c r="I6455" s="208"/>
      <c r="J6455" s="209"/>
      <c r="K6455" s="209"/>
      <c r="L6455" s="209"/>
      <c r="M6455" s="209"/>
      <c r="N6455" s="209"/>
      <c r="O6455" s="209"/>
      <c r="P6455" s="209"/>
      <c r="Q6455" s="209"/>
      <c r="R6455" s="209"/>
      <c r="S6455" s="209"/>
      <c r="T6455" s="209"/>
    </row>
    <row r="6456" spans="1:20" ht="15" hidden="1" customHeight="1">
      <c r="A6456" s="468">
        <v>45558</v>
      </c>
      <c r="B6456" s="208" t="s">
        <v>5243</v>
      </c>
      <c r="C6456" s="208" t="s">
        <v>146</v>
      </c>
      <c r="D6456" s="718">
        <v>-13500</v>
      </c>
      <c r="E6456" s="212">
        <v>45536</v>
      </c>
      <c r="F6456" s="208" t="s">
        <v>109</v>
      </c>
      <c r="G6456" s="201" t="s">
        <v>581</v>
      </c>
      <c r="H6456" s="208"/>
      <c r="I6456" s="208" t="s">
        <v>3364</v>
      </c>
      <c r="J6456" s="209"/>
      <c r="K6456" s="209"/>
      <c r="L6456" s="209"/>
      <c r="M6456" s="209"/>
      <c r="N6456" s="209"/>
      <c r="O6456" s="209"/>
      <c r="P6456" s="209"/>
      <c r="Q6456" s="209"/>
      <c r="R6456" s="209"/>
      <c r="S6456" s="209"/>
      <c r="T6456" s="209"/>
    </row>
    <row r="6457" spans="1:20" ht="15" hidden="1" customHeight="1">
      <c r="A6457" s="468">
        <v>45558</v>
      </c>
      <c r="B6457" s="208" t="s">
        <v>5244</v>
      </c>
      <c r="C6457" s="208" t="s">
        <v>146</v>
      </c>
      <c r="D6457" s="211">
        <v>-120000</v>
      </c>
      <c r="E6457" s="212">
        <v>45536</v>
      </c>
      <c r="F6457" s="208" t="s">
        <v>109</v>
      </c>
      <c r="G6457" s="201" t="s">
        <v>581</v>
      </c>
      <c r="H6457" s="208"/>
      <c r="I6457" s="208" t="s">
        <v>3364</v>
      </c>
      <c r="J6457" s="209"/>
      <c r="K6457" s="209"/>
      <c r="L6457" s="209"/>
      <c r="M6457" s="209"/>
      <c r="N6457" s="209"/>
      <c r="O6457" s="209"/>
      <c r="P6457" s="209"/>
      <c r="Q6457" s="209"/>
      <c r="R6457" s="209"/>
      <c r="S6457" s="209"/>
      <c r="T6457" s="209"/>
    </row>
    <row r="6458" spans="1:20" ht="15" hidden="1" customHeight="1">
      <c r="A6458" s="468">
        <v>45558</v>
      </c>
      <c r="B6458" s="208" t="s">
        <v>5245</v>
      </c>
      <c r="C6458" s="208" t="s">
        <v>146</v>
      </c>
      <c r="D6458" s="211">
        <v>-192000</v>
      </c>
      <c r="E6458" s="212">
        <v>45536</v>
      </c>
      <c r="F6458" s="208" t="s">
        <v>109</v>
      </c>
      <c r="G6458" s="201" t="s">
        <v>581</v>
      </c>
      <c r="H6458" s="208"/>
      <c r="I6458" s="208" t="s">
        <v>3364</v>
      </c>
      <c r="J6458" s="209"/>
      <c r="K6458" s="209"/>
      <c r="L6458" s="209"/>
      <c r="M6458" s="209"/>
      <c r="N6458" s="209"/>
      <c r="O6458" s="209"/>
      <c r="P6458" s="209"/>
      <c r="Q6458" s="209"/>
      <c r="R6458" s="209"/>
      <c r="S6458" s="209"/>
      <c r="T6458" s="209"/>
    </row>
    <row r="6459" spans="1:20" ht="15" hidden="1" customHeight="1">
      <c r="A6459" s="468">
        <v>45558</v>
      </c>
      <c r="B6459" s="208" t="s">
        <v>4572</v>
      </c>
      <c r="C6459" s="208" t="s">
        <v>146</v>
      </c>
      <c r="D6459" s="211">
        <v>-30000</v>
      </c>
      <c r="E6459" s="212">
        <v>45536</v>
      </c>
      <c r="F6459" s="208" t="s">
        <v>109</v>
      </c>
      <c r="G6459" s="201" t="s">
        <v>581</v>
      </c>
      <c r="H6459" s="208"/>
      <c r="I6459" s="208" t="s">
        <v>3364</v>
      </c>
      <c r="J6459" s="209"/>
      <c r="K6459" s="209"/>
      <c r="L6459" s="209"/>
      <c r="M6459" s="209"/>
      <c r="N6459" s="209"/>
      <c r="O6459" s="209"/>
      <c r="P6459" s="209"/>
      <c r="Q6459" s="209"/>
      <c r="R6459" s="209"/>
      <c r="S6459" s="209"/>
      <c r="T6459" s="209"/>
    </row>
    <row r="6460" spans="1:20" ht="15" hidden="1" customHeight="1">
      <c r="A6460" s="468">
        <v>45558</v>
      </c>
      <c r="B6460" s="208" t="s">
        <v>5246</v>
      </c>
      <c r="C6460" s="208" t="s">
        <v>146</v>
      </c>
      <c r="D6460" s="211">
        <v>-170000</v>
      </c>
      <c r="E6460" s="212">
        <v>45536</v>
      </c>
      <c r="F6460" s="208" t="s">
        <v>109</v>
      </c>
      <c r="G6460" s="201" t="s">
        <v>581</v>
      </c>
      <c r="H6460" s="208"/>
      <c r="I6460" s="208" t="s">
        <v>3364</v>
      </c>
      <c r="J6460" s="209"/>
      <c r="K6460" s="209"/>
      <c r="L6460" s="209"/>
      <c r="M6460" s="209"/>
      <c r="N6460" s="209"/>
      <c r="O6460" s="209"/>
      <c r="P6460" s="209"/>
      <c r="Q6460" s="209"/>
      <c r="R6460" s="209"/>
      <c r="S6460" s="209"/>
      <c r="T6460" s="209"/>
    </row>
    <row r="6461" spans="1:20" ht="15" hidden="1" customHeight="1">
      <c r="A6461" s="468">
        <v>45558</v>
      </c>
      <c r="B6461" s="208" t="s">
        <v>5247</v>
      </c>
      <c r="C6461" s="208" t="s">
        <v>146</v>
      </c>
      <c r="D6461" s="211">
        <v>-15000</v>
      </c>
      <c r="E6461" s="212">
        <v>45536</v>
      </c>
      <c r="F6461" s="208" t="s">
        <v>110</v>
      </c>
      <c r="G6461" s="81" t="s">
        <v>5248</v>
      </c>
      <c r="H6461" s="208" t="s">
        <v>138</v>
      </c>
      <c r="I6461" s="208" t="s">
        <v>2052</v>
      </c>
      <c r="J6461" s="209"/>
      <c r="K6461" s="209"/>
      <c r="L6461" s="209"/>
      <c r="M6461" s="209"/>
      <c r="N6461" s="209"/>
      <c r="O6461" s="209"/>
      <c r="P6461" s="209"/>
      <c r="Q6461" s="209"/>
      <c r="R6461" s="209"/>
      <c r="S6461" s="209"/>
      <c r="T6461" s="209"/>
    </row>
    <row r="6462" spans="1:20" ht="15" hidden="1" customHeight="1">
      <c r="A6462" s="468">
        <v>45558</v>
      </c>
      <c r="B6462" s="208" t="s">
        <v>5249</v>
      </c>
      <c r="C6462" s="208" t="s">
        <v>146</v>
      </c>
      <c r="D6462" s="211">
        <v>-15000</v>
      </c>
      <c r="E6462" s="212">
        <v>45536</v>
      </c>
      <c r="F6462" s="208" t="s">
        <v>110</v>
      </c>
      <c r="G6462" s="81" t="s">
        <v>5248</v>
      </c>
      <c r="H6462" s="208" t="s">
        <v>138</v>
      </c>
      <c r="I6462" s="208" t="s">
        <v>2052</v>
      </c>
      <c r="J6462" s="209"/>
      <c r="K6462" s="209"/>
      <c r="L6462" s="209"/>
      <c r="M6462" s="209"/>
      <c r="N6462" s="209"/>
      <c r="O6462" s="209"/>
      <c r="P6462" s="209"/>
      <c r="Q6462" s="209"/>
      <c r="R6462" s="209"/>
      <c r="S6462" s="209"/>
      <c r="T6462" s="209"/>
    </row>
    <row r="6463" spans="1:20" ht="15" hidden="1" customHeight="1">
      <c r="A6463" s="468">
        <v>45558</v>
      </c>
      <c r="B6463" s="208" t="s">
        <v>5250</v>
      </c>
      <c r="C6463" s="208" t="s">
        <v>146</v>
      </c>
      <c r="D6463" s="211">
        <v>-7000</v>
      </c>
      <c r="E6463" s="212">
        <v>45536</v>
      </c>
      <c r="F6463" s="208" t="s">
        <v>109</v>
      </c>
      <c r="G6463" s="201" t="s">
        <v>1261</v>
      </c>
      <c r="H6463" s="208" t="s">
        <v>138</v>
      </c>
      <c r="I6463" s="208"/>
      <c r="J6463" s="209"/>
      <c r="K6463" s="209"/>
      <c r="L6463" s="209"/>
      <c r="M6463" s="209"/>
      <c r="N6463" s="209"/>
      <c r="O6463" s="209"/>
      <c r="P6463" s="209"/>
      <c r="Q6463" s="209"/>
      <c r="R6463" s="209"/>
      <c r="S6463" s="209"/>
      <c r="T6463" s="209"/>
    </row>
    <row r="6464" spans="1:20" ht="15" hidden="1" customHeight="1">
      <c r="A6464" s="468">
        <v>45558</v>
      </c>
      <c r="B6464" s="208" t="s">
        <v>5250</v>
      </c>
      <c r="C6464" s="208" t="s">
        <v>146</v>
      </c>
      <c r="D6464" s="211">
        <v>-40000</v>
      </c>
      <c r="E6464" s="212">
        <v>45536</v>
      </c>
      <c r="F6464" s="208" t="s">
        <v>2531</v>
      </c>
      <c r="G6464" s="201" t="s">
        <v>1489</v>
      </c>
      <c r="H6464" s="208" t="s">
        <v>138</v>
      </c>
      <c r="I6464" s="208"/>
      <c r="J6464" s="209"/>
      <c r="K6464" s="209"/>
      <c r="L6464" s="209"/>
      <c r="M6464" s="209"/>
      <c r="N6464" s="209"/>
      <c r="O6464" s="209"/>
      <c r="P6464" s="209"/>
      <c r="Q6464" s="209"/>
      <c r="R6464" s="209"/>
      <c r="S6464" s="209"/>
      <c r="T6464" s="209"/>
    </row>
    <row r="6465" spans="1:149" ht="15" hidden="1" customHeight="1">
      <c r="A6465" s="468">
        <v>45558</v>
      </c>
      <c r="B6465" s="208" t="s">
        <v>5250</v>
      </c>
      <c r="C6465" s="208" t="s">
        <v>146</v>
      </c>
      <c r="D6465" s="211">
        <v>-48000</v>
      </c>
      <c r="E6465" s="212">
        <v>45536</v>
      </c>
      <c r="F6465" s="208" t="s">
        <v>109</v>
      </c>
      <c r="G6465" s="654" t="s">
        <v>2585</v>
      </c>
      <c r="H6465" s="208" t="s">
        <v>138</v>
      </c>
      <c r="I6465" s="208"/>
      <c r="J6465" s="209"/>
      <c r="K6465" s="209"/>
      <c r="L6465" s="209"/>
      <c r="M6465" s="209"/>
      <c r="N6465" s="209"/>
      <c r="O6465" s="209"/>
      <c r="P6465" s="209"/>
      <c r="Q6465" s="209"/>
      <c r="R6465" s="209"/>
      <c r="S6465" s="209"/>
      <c r="T6465" s="209"/>
    </row>
    <row r="6466" spans="1:149" ht="15" hidden="1" customHeight="1">
      <c r="A6466" s="468">
        <v>45558</v>
      </c>
      <c r="B6466" s="208" t="s">
        <v>5250</v>
      </c>
      <c r="C6466" s="208" t="s">
        <v>146</v>
      </c>
      <c r="D6466" s="211">
        <v>-42000</v>
      </c>
      <c r="E6466" s="212">
        <v>45536</v>
      </c>
      <c r="F6466" s="208" t="s">
        <v>109</v>
      </c>
      <c r="G6466" s="208" t="s">
        <v>3529</v>
      </c>
      <c r="H6466" s="208" t="s">
        <v>138</v>
      </c>
      <c r="I6466" s="208"/>
      <c r="J6466" s="209"/>
      <c r="K6466" s="209"/>
      <c r="L6466" s="209"/>
      <c r="M6466" s="209"/>
      <c r="N6466" s="209"/>
      <c r="O6466" s="209"/>
      <c r="P6466" s="209"/>
      <c r="Q6466" s="209"/>
      <c r="R6466" s="209"/>
      <c r="S6466" s="209"/>
      <c r="T6466" s="209"/>
    </row>
    <row r="6467" spans="1:149" ht="15" hidden="1" customHeight="1">
      <c r="A6467" s="468">
        <v>45558</v>
      </c>
      <c r="B6467" s="208" t="s">
        <v>5250</v>
      </c>
      <c r="C6467" s="208" t="s">
        <v>146</v>
      </c>
      <c r="D6467" s="211">
        <v>-14000</v>
      </c>
      <c r="E6467" s="212">
        <v>45536</v>
      </c>
      <c r="F6467" s="208" t="s">
        <v>130</v>
      </c>
      <c r="G6467" s="208" t="s">
        <v>130</v>
      </c>
      <c r="H6467" s="208" t="s">
        <v>138</v>
      </c>
      <c r="I6467" s="208"/>
      <c r="J6467" s="209"/>
      <c r="K6467" s="209"/>
      <c r="L6467" s="209"/>
      <c r="M6467" s="209"/>
      <c r="N6467" s="209"/>
      <c r="O6467" s="209"/>
      <c r="P6467" s="209"/>
      <c r="Q6467" s="209"/>
      <c r="R6467" s="209"/>
      <c r="S6467" s="209"/>
      <c r="T6467" s="209"/>
    </row>
    <row r="6468" spans="1:149" ht="15" hidden="1" customHeight="1">
      <c r="A6468" s="468">
        <v>45559</v>
      </c>
      <c r="B6468" s="208" t="s">
        <v>5251</v>
      </c>
      <c r="C6468" s="208" t="s">
        <v>643</v>
      </c>
      <c r="D6468" s="211">
        <v>-56600</v>
      </c>
      <c r="E6468" s="212">
        <v>45536</v>
      </c>
      <c r="F6468" s="208" t="s">
        <v>130</v>
      </c>
      <c r="G6468" s="208" t="s">
        <v>257</v>
      </c>
      <c r="H6468" s="208" t="s">
        <v>1138</v>
      </c>
      <c r="I6468" s="208"/>
      <c r="J6468" s="209"/>
      <c r="K6468" s="209"/>
      <c r="L6468" s="209"/>
      <c r="M6468" s="209"/>
      <c r="N6468" s="209"/>
      <c r="O6468" s="209"/>
      <c r="P6468" s="209"/>
      <c r="Q6468" s="209"/>
      <c r="R6468" s="209"/>
      <c r="S6468" s="209"/>
      <c r="T6468" s="209"/>
    </row>
    <row r="6469" spans="1:149" ht="15" hidden="1" customHeight="1">
      <c r="A6469" s="468">
        <v>45559</v>
      </c>
      <c r="B6469" s="208" t="s">
        <v>5252</v>
      </c>
      <c r="C6469" s="208" t="s">
        <v>643</v>
      </c>
      <c r="D6469" s="211">
        <v>-68500</v>
      </c>
      <c r="E6469" s="212">
        <v>45536</v>
      </c>
      <c r="F6469" s="208" t="s">
        <v>130</v>
      </c>
      <c r="G6469" s="208" t="s">
        <v>257</v>
      </c>
      <c r="H6469" s="208" t="s">
        <v>1138</v>
      </c>
      <c r="I6469" s="208"/>
      <c r="J6469" s="209"/>
      <c r="K6469" s="209"/>
      <c r="L6469" s="209"/>
      <c r="M6469" s="209"/>
      <c r="N6469" s="209"/>
      <c r="O6469" s="209"/>
      <c r="P6469" s="209"/>
      <c r="Q6469" s="209"/>
      <c r="R6469" s="209"/>
      <c r="S6469" s="209"/>
      <c r="T6469" s="209"/>
    </row>
    <row r="6470" spans="1:149" ht="15" hidden="1" customHeight="1">
      <c r="A6470" s="468">
        <v>45559</v>
      </c>
      <c r="B6470" s="208" t="s">
        <v>5253</v>
      </c>
      <c r="C6470" s="208" t="s">
        <v>643</v>
      </c>
      <c r="D6470" s="211">
        <v>4030945.01</v>
      </c>
      <c r="E6470" s="212">
        <v>45536</v>
      </c>
      <c r="F6470" s="208" t="s">
        <v>108</v>
      </c>
      <c r="G6470" s="208"/>
      <c r="H6470" s="208"/>
      <c r="I6470" s="208"/>
      <c r="J6470" s="209"/>
      <c r="K6470" s="209"/>
      <c r="L6470" s="209"/>
      <c r="M6470" s="209"/>
      <c r="N6470" s="209"/>
      <c r="O6470" s="209"/>
      <c r="P6470" s="209"/>
      <c r="Q6470" s="209"/>
      <c r="R6470" s="209"/>
      <c r="S6470" s="209"/>
      <c r="T6470" s="209"/>
    </row>
    <row r="6471" spans="1:149" ht="15" hidden="1" customHeight="1">
      <c r="A6471" s="468">
        <v>45559</v>
      </c>
      <c r="B6471" s="208" t="s">
        <v>5254</v>
      </c>
      <c r="C6471" s="208" t="s">
        <v>643</v>
      </c>
      <c r="D6471" s="211">
        <v>-391490</v>
      </c>
      <c r="E6471" s="212">
        <v>45536</v>
      </c>
      <c r="F6471" s="208" t="s">
        <v>130</v>
      </c>
      <c r="G6471" s="208" t="s">
        <v>257</v>
      </c>
      <c r="H6471" s="208" t="s">
        <v>5255</v>
      </c>
      <c r="I6471" s="208"/>
      <c r="J6471" s="209"/>
      <c r="K6471" s="209"/>
      <c r="L6471" s="209"/>
      <c r="M6471" s="209"/>
      <c r="N6471" s="209"/>
      <c r="O6471" s="209"/>
      <c r="P6471" s="209"/>
      <c r="Q6471" s="209"/>
      <c r="R6471" s="209"/>
      <c r="S6471" s="209"/>
      <c r="T6471" s="209"/>
    </row>
    <row r="6472" spans="1:149" ht="15" hidden="1" customHeight="1">
      <c r="A6472" s="468">
        <v>45559</v>
      </c>
      <c r="B6472" s="208" t="s">
        <v>5217</v>
      </c>
      <c r="C6472" s="208" t="s">
        <v>643</v>
      </c>
      <c r="D6472" s="211">
        <v>-8960</v>
      </c>
      <c r="E6472" s="212">
        <v>45536</v>
      </c>
      <c r="F6472" s="208" t="s">
        <v>130</v>
      </c>
      <c r="G6472" s="208" t="s">
        <v>130</v>
      </c>
      <c r="H6472" s="208" t="s">
        <v>1245</v>
      </c>
      <c r="I6472" s="208"/>
      <c r="J6472" s="209"/>
      <c r="K6472" s="209"/>
      <c r="L6472" s="209"/>
      <c r="M6472" s="209"/>
      <c r="N6472" s="209"/>
      <c r="O6472" s="209"/>
      <c r="P6472" s="209"/>
      <c r="Q6472" s="209"/>
      <c r="R6472" s="209"/>
      <c r="S6472" s="209"/>
      <c r="T6472" s="209"/>
    </row>
    <row r="6473" spans="1:149" ht="15" hidden="1" customHeight="1">
      <c r="A6473" s="468">
        <v>45559</v>
      </c>
      <c r="B6473" s="208" t="s">
        <v>5217</v>
      </c>
      <c r="C6473" s="208" t="s">
        <v>643</v>
      </c>
      <c r="D6473" s="211">
        <v>-104419</v>
      </c>
      <c r="E6473" s="212">
        <v>45536</v>
      </c>
      <c r="F6473" s="208" t="s">
        <v>130</v>
      </c>
      <c r="G6473" s="208" t="s">
        <v>130</v>
      </c>
      <c r="H6473" s="208" t="s">
        <v>1245</v>
      </c>
      <c r="I6473" s="208"/>
      <c r="J6473" s="209"/>
      <c r="K6473" s="209"/>
      <c r="L6473" s="209"/>
      <c r="M6473" s="209"/>
      <c r="N6473" s="209"/>
      <c r="O6473" s="209"/>
      <c r="P6473" s="209"/>
      <c r="Q6473" s="209"/>
      <c r="R6473" s="209"/>
      <c r="S6473" s="209"/>
      <c r="T6473" s="209"/>
    </row>
    <row r="6474" spans="1:149" ht="15" hidden="1" customHeight="1">
      <c r="A6474" s="468">
        <v>45559</v>
      </c>
      <c r="B6474" s="208" t="s">
        <v>5256</v>
      </c>
      <c r="C6474" s="208" t="s">
        <v>27</v>
      </c>
      <c r="D6474" s="211">
        <v>-7900</v>
      </c>
      <c r="E6474" s="212">
        <v>45536</v>
      </c>
      <c r="F6474" s="208" t="s">
        <v>109</v>
      </c>
      <c r="G6474" s="208" t="s">
        <v>4625</v>
      </c>
      <c r="H6474" s="208"/>
      <c r="I6474" s="208"/>
      <c r="J6474" s="209"/>
      <c r="K6474" s="209"/>
      <c r="L6474" s="209"/>
      <c r="M6474" s="209"/>
      <c r="N6474" s="209"/>
      <c r="O6474" s="209"/>
      <c r="P6474" s="209"/>
      <c r="Q6474" s="209"/>
      <c r="R6474" s="209"/>
      <c r="S6474" s="209"/>
      <c r="T6474" s="209"/>
      <c r="U6474" s="451"/>
      <c r="V6474" s="451"/>
      <c r="W6474" s="451"/>
      <c r="X6474" s="451"/>
      <c r="Y6474" s="451"/>
      <c r="Z6474" s="451"/>
      <c r="AA6474" s="451"/>
      <c r="AB6474" s="451"/>
      <c r="AC6474" s="451"/>
      <c r="AD6474" s="451"/>
      <c r="AE6474" s="451"/>
      <c r="AF6474" s="451"/>
      <c r="AG6474" s="451"/>
      <c r="AH6474" s="451"/>
      <c r="AI6474" s="451"/>
      <c r="AJ6474" s="451"/>
      <c r="AK6474" s="451"/>
      <c r="AL6474" s="451"/>
      <c r="AM6474" s="451"/>
      <c r="AN6474" s="451"/>
      <c r="AO6474" s="451"/>
      <c r="AP6474" s="451"/>
      <c r="AQ6474" s="451"/>
      <c r="AR6474" s="451"/>
      <c r="AS6474" s="451"/>
      <c r="AT6474" s="451"/>
      <c r="AU6474" s="451"/>
      <c r="AV6474" s="451"/>
      <c r="AW6474" s="451"/>
      <c r="AX6474" s="451"/>
      <c r="AY6474" s="451"/>
      <c r="AZ6474" s="451"/>
      <c r="BA6474" s="451"/>
      <c r="BB6474" s="451"/>
      <c r="BC6474" s="451"/>
      <c r="BD6474" s="451"/>
      <c r="BE6474" s="451"/>
      <c r="BF6474" s="451"/>
      <c r="BG6474" s="451"/>
      <c r="BH6474" s="451"/>
      <c r="BI6474" s="451"/>
      <c r="BJ6474" s="451"/>
      <c r="BK6474" s="451"/>
      <c r="BL6474" s="451"/>
      <c r="BM6474" s="451"/>
      <c r="BN6474" s="451"/>
      <c r="BO6474" s="451"/>
      <c r="BP6474" s="451"/>
      <c r="BQ6474" s="451"/>
      <c r="BR6474" s="451"/>
      <c r="BS6474" s="451"/>
      <c r="BT6474" s="451"/>
      <c r="BU6474" s="451"/>
      <c r="BV6474" s="451"/>
      <c r="BW6474" s="451"/>
      <c r="BX6474" s="451"/>
      <c r="BY6474" s="451"/>
      <c r="BZ6474" s="451"/>
      <c r="CA6474" s="451"/>
      <c r="CB6474" s="451"/>
      <c r="CC6474" s="451"/>
      <c r="CD6474" s="451"/>
      <c r="CE6474" s="451"/>
      <c r="CF6474" s="451"/>
      <c r="CG6474" s="451"/>
      <c r="CH6474" s="451"/>
      <c r="CI6474" s="451"/>
      <c r="CJ6474" s="451"/>
      <c r="CK6474" s="451"/>
      <c r="CL6474" s="451"/>
      <c r="CM6474" s="451"/>
      <c r="CN6474" s="451"/>
      <c r="CO6474" s="451"/>
      <c r="CP6474" s="451"/>
      <c r="CQ6474" s="451"/>
      <c r="CR6474" s="451"/>
      <c r="CS6474" s="451"/>
      <c r="CT6474" s="451"/>
      <c r="CU6474" s="451"/>
      <c r="CV6474" s="451"/>
      <c r="CW6474" s="451"/>
      <c r="CX6474" s="451"/>
      <c r="CY6474" s="451"/>
      <c r="CZ6474" s="451"/>
      <c r="DA6474" s="451"/>
      <c r="DB6474" s="451"/>
      <c r="DC6474" s="451"/>
      <c r="DD6474" s="451"/>
      <c r="DE6474" s="451"/>
      <c r="DF6474" s="451"/>
      <c r="DG6474" s="451"/>
      <c r="DH6474" s="451"/>
      <c r="DI6474" s="451"/>
      <c r="DJ6474" s="451"/>
      <c r="DK6474" s="451"/>
      <c r="DL6474" s="451"/>
      <c r="DM6474" s="451"/>
      <c r="DN6474" s="451"/>
      <c r="DO6474" s="451"/>
      <c r="DP6474" s="451"/>
      <c r="DQ6474" s="451"/>
      <c r="DR6474" s="451"/>
      <c r="DS6474" s="451"/>
      <c r="DT6474" s="451"/>
      <c r="DU6474" s="451"/>
      <c r="DV6474" s="451"/>
      <c r="DW6474" s="451"/>
      <c r="DX6474" s="451"/>
      <c r="DY6474" s="451"/>
      <c r="DZ6474" s="451"/>
      <c r="EA6474" s="451"/>
      <c r="EB6474" s="451"/>
      <c r="EC6474" s="451"/>
      <c r="ED6474" s="451"/>
      <c r="EE6474" s="451"/>
      <c r="EF6474" s="451"/>
      <c r="EG6474" s="451"/>
      <c r="EH6474" s="451"/>
      <c r="EI6474" s="451"/>
      <c r="EJ6474" s="451"/>
      <c r="EK6474" s="451"/>
      <c r="EL6474" s="451"/>
      <c r="EM6474" s="451"/>
      <c r="EN6474" s="451"/>
      <c r="EO6474" s="451"/>
      <c r="EP6474" s="451"/>
      <c r="EQ6474" s="451"/>
      <c r="ER6474" s="451"/>
      <c r="ES6474" s="451"/>
    </row>
    <row r="6475" spans="1:149" s="209" customFormat="1" ht="15" hidden="1" customHeight="1">
      <c r="A6475" s="468">
        <v>45559</v>
      </c>
      <c r="B6475" s="208" t="s">
        <v>5257</v>
      </c>
      <c r="C6475" s="208" t="s">
        <v>27</v>
      </c>
      <c r="D6475" s="211">
        <v>-1610000</v>
      </c>
      <c r="E6475" s="212">
        <v>45536</v>
      </c>
      <c r="F6475" s="208" t="s">
        <v>109</v>
      </c>
      <c r="G6475" s="201" t="s">
        <v>581</v>
      </c>
      <c r="H6475" s="208"/>
      <c r="I6475" s="208"/>
    </row>
    <row r="6476" spans="1:149" ht="15" hidden="1" customHeight="1">
      <c r="A6476" s="468">
        <v>45559</v>
      </c>
      <c r="B6476" s="208" t="s">
        <v>5258</v>
      </c>
      <c r="C6476" s="208" t="s">
        <v>27</v>
      </c>
      <c r="D6476" s="211">
        <v>-1235475</v>
      </c>
      <c r="E6476" s="212">
        <v>45536</v>
      </c>
      <c r="F6476" s="208" t="s">
        <v>109</v>
      </c>
      <c r="G6476" s="208" t="s">
        <v>4294</v>
      </c>
      <c r="H6476" s="208" t="s">
        <v>175</v>
      </c>
      <c r="I6476" s="208"/>
      <c r="J6476" s="209"/>
      <c r="K6476" s="209"/>
      <c r="L6476" s="209"/>
      <c r="M6476" s="209"/>
      <c r="N6476" s="209"/>
      <c r="O6476" s="209"/>
      <c r="P6476" s="209"/>
      <c r="Q6476" s="209"/>
      <c r="R6476" s="209"/>
      <c r="S6476" s="209"/>
      <c r="T6476" s="209"/>
      <c r="U6476" s="451"/>
      <c r="V6476" s="451"/>
      <c r="W6476" s="451"/>
      <c r="X6476" s="451"/>
      <c r="Y6476" s="451"/>
      <c r="Z6476" s="451"/>
      <c r="AA6476" s="451"/>
      <c r="AB6476" s="451"/>
      <c r="AC6476" s="451"/>
      <c r="AD6476" s="451"/>
      <c r="AE6476" s="451"/>
      <c r="AF6476" s="451"/>
      <c r="AG6476" s="451"/>
      <c r="AH6476" s="451"/>
      <c r="AI6476" s="451"/>
      <c r="AJ6476" s="451"/>
      <c r="AK6476" s="451"/>
      <c r="AL6476" s="451"/>
      <c r="AM6476" s="451"/>
      <c r="AN6476" s="451"/>
      <c r="AO6476" s="451"/>
      <c r="AP6476" s="451"/>
      <c r="AQ6476" s="451"/>
      <c r="AR6476" s="451"/>
      <c r="AS6476" s="451"/>
      <c r="AT6476" s="451"/>
      <c r="AU6476" s="451"/>
      <c r="AV6476" s="451"/>
      <c r="AW6476" s="451"/>
      <c r="AX6476" s="451"/>
      <c r="AY6476" s="451"/>
      <c r="AZ6476" s="451"/>
      <c r="BA6476" s="451"/>
      <c r="BB6476" s="451"/>
      <c r="BC6476" s="451"/>
      <c r="BD6476" s="451"/>
      <c r="BE6476" s="451"/>
      <c r="BF6476" s="451"/>
      <c r="BG6476" s="451"/>
      <c r="BH6476" s="451"/>
      <c r="BI6476" s="451"/>
      <c r="BJ6476" s="451"/>
      <c r="BK6476" s="451"/>
      <c r="BL6476" s="451"/>
      <c r="BM6476" s="451"/>
      <c r="BN6476" s="451"/>
      <c r="BO6476" s="451"/>
      <c r="BP6476" s="451"/>
      <c r="BQ6476" s="451"/>
      <c r="BR6476" s="451"/>
      <c r="BS6476" s="451"/>
      <c r="BT6476" s="451"/>
      <c r="BU6476" s="451"/>
      <c r="BV6476" s="451"/>
      <c r="BW6476" s="451"/>
      <c r="BX6476" s="451"/>
      <c r="BY6476" s="451"/>
      <c r="BZ6476" s="451"/>
      <c r="CA6476" s="451"/>
      <c r="CB6476" s="451"/>
      <c r="CC6476" s="451"/>
      <c r="CD6476" s="451"/>
      <c r="CE6476" s="451"/>
      <c r="CF6476" s="451"/>
      <c r="CG6476" s="451"/>
      <c r="CH6476" s="451"/>
      <c r="CI6476" s="451"/>
      <c r="CJ6476" s="451"/>
      <c r="CK6476" s="451"/>
      <c r="CL6476" s="451"/>
      <c r="CM6476" s="451"/>
      <c r="CN6476" s="451"/>
      <c r="CO6476" s="451"/>
      <c r="CP6476" s="451"/>
      <c r="CQ6476" s="451"/>
      <c r="CR6476" s="451"/>
      <c r="CS6476" s="451"/>
      <c r="CT6476" s="451"/>
      <c r="CU6476" s="451"/>
      <c r="CV6476" s="451"/>
      <c r="CW6476" s="451"/>
      <c r="CX6476" s="451"/>
      <c r="CY6476" s="451"/>
      <c r="CZ6476" s="451"/>
      <c r="DA6476" s="451"/>
      <c r="DB6476" s="451"/>
      <c r="DC6476" s="451"/>
      <c r="DD6476" s="451"/>
      <c r="DE6476" s="451"/>
      <c r="DF6476" s="451"/>
      <c r="DG6476" s="451"/>
      <c r="DH6476" s="451"/>
      <c r="DI6476" s="451"/>
      <c r="DJ6476" s="451"/>
      <c r="DK6476" s="451"/>
      <c r="DL6476" s="451"/>
      <c r="DM6476" s="451"/>
      <c r="DN6476" s="451"/>
      <c r="DO6476" s="451"/>
      <c r="DP6476" s="451"/>
      <c r="DQ6476" s="451"/>
      <c r="DR6476" s="451"/>
      <c r="DS6476" s="451"/>
      <c r="DT6476" s="451"/>
      <c r="DU6476" s="451"/>
      <c r="DV6476" s="451"/>
      <c r="DW6476" s="451"/>
      <c r="DX6476" s="451"/>
      <c r="DY6476" s="451"/>
      <c r="DZ6476" s="451"/>
      <c r="EA6476" s="451"/>
      <c r="EB6476" s="451"/>
      <c r="EC6476" s="451"/>
      <c r="ED6476" s="451"/>
      <c r="EE6476" s="451"/>
      <c r="EF6476" s="451"/>
      <c r="EG6476" s="451"/>
      <c r="EH6476" s="451"/>
      <c r="EI6476" s="451"/>
      <c r="EJ6476" s="451"/>
      <c r="EK6476" s="451"/>
      <c r="EL6476" s="451"/>
      <c r="EM6476" s="451"/>
      <c r="EN6476" s="451"/>
      <c r="EO6476" s="451"/>
      <c r="EP6476" s="451"/>
      <c r="EQ6476" s="451"/>
      <c r="ER6476" s="451"/>
      <c r="ES6476" s="451"/>
    </row>
    <row r="6477" spans="1:149" ht="15" hidden="1" customHeight="1">
      <c r="A6477" s="468">
        <v>45559</v>
      </c>
      <c r="B6477" s="208" t="s">
        <v>5259</v>
      </c>
      <c r="C6477" s="208" t="s">
        <v>4314</v>
      </c>
      <c r="D6477" s="211">
        <v>-7650</v>
      </c>
      <c r="E6477" s="212">
        <v>45536</v>
      </c>
      <c r="F6477" s="208" t="s">
        <v>109</v>
      </c>
      <c r="G6477" s="208" t="s">
        <v>4294</v>
      </c>
      <c r="H6477" s="208"/>
      <c r="I6477" s="208"/>
      <c r="J6477" s="209"/>
      <c r="K6477" s="209"/>
      <c r="L6477" s="209"/>
      <c r="M6477" s="209"/>
      <c r="N6477" s="209"/>
      <c r="O6477" s="209"/>
      <c r="P6477" s="209"/>
      <c r="Q6477" s="209"/>
      <c r="R6477" s="209"/>
      <c r="S6477" s="209"/>
      <c r="T6477" s="209"/>
    </row>
    <row r="6478" spans="1:149" ht="15" hidden="1" customHeight="1">
      <c r="A6478" s="468">
        <v>45559</v>
      </c>
      <c r="B6478" s="208" t="s">
        <v>5260</v>
      </c>
      <c r="C6478" s="208" t="s">
        <v>27</v>
      </c>
      <c r="D6478" s="211">
        <v>-5728000</v>
      </c>
      <c r="E6478" s="212">
        <v>45536</v>
      </c>
      <c r="F6478" s="208" t="s">
        <v>109</v>
      </c>
      <c r="G6478" s="208" t="s">
        <v>10</v>
      </c>
      <c r="H6478" s="208"/>
      <c r="I6478" s="208"/>
      <c r="J6478" s="209"/>
      <c r="K6478" s="209"/>
      <c r="L6478" s="209"/>
      <c r="M6478" s="209"/>
      <c r="N6478" s="209"/>
      <c r="O6478" s="209"/>
      <c r="P6478" s="209"/>
      <c r="Q6478" s="209"/>
      <c r="R6478" s="209"/>
      <c r="S6478" s="209"/>
      <c r="T6478" s="209"/>
      <c r="U6478" s="451"/>
      <c r="V6478" s="451"/>
      <c r="W6478" s="451"/>
      <c r="X6478" s="451"/>
      <c r="Y6478" s="451"/>
      <c r="Z6478" s="451"/>
      <c r="AA6478" s="451"/>
      <c r="AB6478" s="451"/>
      <c r="AC6478" s="451"/>
      <c r="AD6478" s="451"/>
      <c r="AE6478" s="451"/>
      <c r="AF6478" s="451"/>
      <c r="AG6478" s="451"/>
      <c r="AH6478" s="451"/>
      <c r="AI6478" s="451"/>
      <c r="AJ6478" s="451"/>
      <c r="AK6478" s="451"/>
      <c r="AL6478" s="451"/>
      <c r="AM6478" s="451"/>
      <c r="AN6478" s="451"/>
      <c r="AO6478" s="451"/>
      <c r="AP6478" s="451"/>
      <c r="AQ6478" s="451"/>
      <c r="AR6478" s="451"/>
      <c r="AS6478" s="451"/>
      <c r="AT6478" s="451"/>
      <c r="AU6478" s="451"/>
      <c r="AV6478" s="451"/>
      <c r="AW6478" s="451"/>
      <c r="AX6478" s="451"/>
      <c r="AY6478" s="451"/>
      <c r="AZ6478" s="451"/>
      <c r="BA6478" s="451"/>
      <c r="BB6478" s="451"/>
      <c r="BC6478" s="451"/>
      <c r="BD6478" s="451"/>
      <c r="BE6478" s="451"/>
      <c r="BF6478" s="451"/>
      <c r="BG6478" s="451"/>
      <c r="BH6478" s="451"/>
      <c r="BI6478" s="451"/>
      <c r="BJ6478" s="451"/>
      <c r="BK6478" s="451"/>
      <c r="BL6478" s="451"/>
      <c r="BM6478" s="451"/>
      <c r="BN6478" s="451"/>
      <c r="BO6478" s="451"/>
      <c r="BP6478" s="451"/>
      <c r="BQ6478" s="451"/>
      <c r="BR6478" s="451"/>
      <c r="BS6478" s="451"/>
      <c r="BT6478" s="451"/>
      <c r="BU6478" s="451"/>
      <c r="BV6478" s="451"/>
      <c r="BW6478" s="451"/>
      <c r="BX6478" s="451"/>
      <c r="BY6478" s="451"/>
      <c r="BZ6478" s="451"/>
      <c r="CA6478" s="451"/>
      <c r="CB6478" s="451"/>
      <c r="CC6478" s="451"/>
      <c r="CD6478" s="451"/>
      <c r="CE6478" s="451"/>
      <c r="CF6478" s="451"/>
      <c r="CG6478" s="451"/>
      <c r="CH6478" s="451"/>
      <c r="CI6478" s="451"/>
      <c r="CJ6478" s="451"/>
      <c r="CK6478" s="451"/>
      <c r="CL6478" s="451"/>
      <c r="CM6478" s="451"/>
      <c r="CN6478" s="451"/>
      <c r="CO6478" s="451"/>
      <c r="CP6478" s="451"/>
      <c r="CQ6478" s="451"/>
      <c r="CR6478" s="451"/>
      <c r="CS6478" s="451"/>
      <c r="CT6478" s="451"/>
      <c r="CU6478" s="451"/>
      <c r="CV6478" s="451"/>
      <c r="CW6478" s="451"/>
      <c r="CX6478" s="451"/>
      <c r="CY6478" s="451"/>
      <c r="CZ6478" s="451"/>
      <c r="DA6478" s="451"/>
      <c r="DB6478" s="451"/>
      <c r="DC6478" s="451"/>
      <c r="DD6478" s="451"/>
      <c r="DE6478" s="451"/>
      <c r="DF6478" s="451"/>
      <c r="DG6478" s="451"/>
      <c r="DH6478" s="451"/>
      <c r="DI6478" s="451"/>
      <c r="DJ6478" s="451"/>
      <c r="DK6478" s="451"/>
      <c r="DL6478" s="451"/>
      <c r="DM6478" s="451"/>
      <c r="DN6478" s="451"/>
      <c r="DO6478" s="451"/>
      <c r="DP6478" s="451"/>
      <c r="DQ6478" s="451"/>
      <c r="DR6478" s="451"/>
      <c r="DS6478" s="451"/>
      <c r="DT6478" s="451"/>
      <c r="DU6478" s="451"/>
      <c r="DV6478" s="451"/>
      <c r="DW6478" s="451"/>
      <c r="DX6478" s="451"/>
      <c r="DY6478" s="451"/>
      <c r="DZ6478" s="451"/>
      <c r="EA6478" s="451"/>
      <c r="EB6478" s="451"/>
      <c r="EC6478" s="451"/>
      <c r="ED6478" s="451"/>
      <c r="EE6478" s="451"/>
      <c r="EF6478" s="451"/>
      <c r="EG6478" s="451"/>
      <c r="EH6478" s="451"/>
      <c r="EI6478" s="451"/>
      <c r="EJ6478" s="451"/>
      <c r="EK6478" s="451"/>
      <c r="EL6478" s="451"/>
      <c r="EM6478" s="451"/>
      <c r="EN6478" s="451"/>
      <c r="EO6478" s="451"/>
      <c r="EP6478" s="451"/>
      <c r="EQ6478" s="451"/>
      <c r="ER6478" s="451"/>
      <c r="ES6478" s="451"/>
    </row>
    <row r="6479" spans="1:149" ht="15" hidden="1" customHeight="1">
      <c r="A6479" s="468">
        <v>45559</v>
      </c>
      <c r="B6479" s="208" t="s">
        <v>5261</v>
      </c>
      <c r="C6479" s="208" t="s">
        <v>4314</v>
      </c>
      <c r="D6479" s="211">
        <v>-1654000</v>
      </c>
      <c r="E6479" s="212">
        <v>45536</v>
      </c>
      <c r="F6479" s="208" t="s">
        <v>109</v>
      </c>
      <c r="G6479" s="208" t="s">
        <v>10</v>
      </c>
      <c r="H6479" s="208"/>
      <c r="I6479" s="208"/>
      <c r="J6479" s="209"/>
      <c r="K6479" s="209"/>
      <c r="L6479" s="209"/>
      <c r="M6479" s="209"/>
      <c r="N6479" s="209"/>
      <c r="O6479" s="209"/>
      <c r="P6479" s="209"/>
      <c r="Q6479" s="209"/>
      <c r="R6479" s="209"/>
      <c r="S6479" s="209"/>
      <c r="T6479" s="209"/>
    </row>
    <row r="6480" spans="1:149" ht="15" hidden="1" customHeight="1">
      <c r="A6480" s="468">
        <v>45559</v>
      </c>
      <c r="B6480" s="208" t="s">
        <v>5262</v>
      </c>
      <c r="C6480" s="208" t="s">
        <v>27</v>
      </c>
      <c r="D6480" s="211">
        <v>-600000</v>
      </c>
      <c r="E6480" s="212">
        <v>45536</v>
      </c>
      <c r="F6480" s="208" t="s">
        <v>109</v>
      </c>
      <c r="G6480" s="208" t="s">
        <v>10</v>
      </c>
      <c r="H6480" s="208"/>
      <c r="I6480" s="208"/>
      <c r="J6480" s="209"/>
      <c r="K6480" s="209"/>
      <c r="L6480" s="209"/>
      <c r="M6480" s="209"/>
      <c r="N6480" s="209"/>
      <c r="O6480" s="209"/>
      <c r="P6480" s="209"/>
      <c r="Q6480" s="209"/>
      <c r="R6480" s="209"/>
      <c r="S6480" s="209"/>
      <c r="T6480" s="209"/>
      <c r="U6480" s="451"/>
      <c r="V6480" s="451"/>
      <c r="W6480" s="451"/>
      <c r="X6480" s="451"/>
      <c r="Y6480" s="451"/>
      <c r="Z6480" s="451"/>
      <c r="AA6480" s="451"/>
      <c r="AB6480" s="451"/>
      <c r="AC6480" s="451"/>
      <c r="AD6480" s="451"/>
      <c r="AE6480" s="451"/>
      <c r="AF6480" s="451"/>
      <c r="AG6480" s="451"/>
      <c r="AH6480" s="451"/>
      <c r="AI6480" s="451"/>
      <c r="AJ6480" s="451"/>
      <c r="AK6480" s="451"/>
      <c r="AL6480" s="451"/>
      <c r="AM6480" s="451"/>
      <c r="AN6480" s="451"/>
      <c r="AO6480" s="451"/>
      <c r="AP6480" s="451"/>
      <c r="AQ6480" s="451"/>
      <c r="AR6480" s="451"/>
      <c r="AS6480" s="451"/>
      <c r="AT6480" s="451"/>
      <c r="AU6480" s="451"/>
      <c r="AV6480" s="451"/>
      <c r="AW6480" s="451"/>
      <c r="AX6480" s="451"/>
      <c r="AY6480" s="451"/>
      <c r="AZ6480" s="451"/>
      <c r="BA6480" s="451"/>
      <c r="BB6480" s="451"/>
      <c r="BC6480" s="451"/>
      <c r="BD6480" s="451"/>
      <c r="BE6480" s="451"/>
      <c r="BF6480" s="451"/>
      <c r="BG6480" s="451"/>
      <c r="BH6480" s="451"/>
      <c r="BI6480" s="451"/>
      <c r="BJ6480" s="451"/>
      <c r="BK6480" s="451"/>
      <c r="BL6480" s="451"/>
      <c r="BM6480" s="451"/>
      <c r="BN6480" s="451"/>
      <c r="BO6480" s="451"/>
      <c r="BP6480" s="451"/>
      <c r="BQ6480" s="451"/>
      <c r="BR6480" s="451"/>
      <c r="BS6480" s="451"/>
      <c r="BT6480" s="451"/>
      <c r="BU6480" s="451"/>
      <c r="BV6480" s="451"/>
      <c r="BW6480" s="451"/>
      <c r="BX6480" s="451"/>
      <c r="BY6480" s="451"/>
      <c r="BZ6480" s="451"/>
      <c r="CA6480" s="451"/>
      <c r="CB6480" s="451"/>
      <c r="CC6480" s="451"/>
      <c r="CD6480" s="451"/>
      <c r="CE6480" s="451"/>
      <c r="CF6480" s="451"/>
      <c r="CG6480" s="451"/>
      <c r="CH6480" s="451"/>
      <c r="CI6480" s="451"/>
      <c r="CJ6480" s="451"/>
      <c r="CK6480" s="451"/>
      <c r="CL6480" s="451"/>
      <c r="CM6480" s="451"/>
      <c r="CN6480" s="451"/>
      <c r="CO6480" s="451"/>
      <c r="CP6480" s="451"/>
      <c r="CQ6480" s="451"/>
      <c r="CR6480" s="451"/>
      <c r="CS6480" s="451"/>
      <c r="CT6480" s="451"/>
      <c r="CU6480" s="451"/>
      <c r="CV6480" s="451"/>
      <c r="CW6480" s="451"/>
      <c r="CX6480" s="451"/>
      <c r="CY6480" s="451"/>
      <c r="CZ6480" s="451"/>
      <c r="DA6480" s="451"/>
      <c r="DB6480" s="451"/>
      <c r="DC6480" s="451"/>
      <c r="DD6480" s="451"/>
      <c r="DE6480" s="451"/>
      <c r="DF6480" s="451"/>
      <c r="DG6480" s="451"/>
      <c r="DH6480" s="451"/>
      <c r="DI6480" s="451"/>
      <c r="DJ6480" s="451"/>
      <c r="DK6480" s="451"/>
      <c r="DL6480" s="451"/>
      <c r="DM6480" s="451"/>
      <c r="DN6480" s="451"/>
      <c r="DO6480" s="451"/>
      <c r="DP6480" s="451"/>
      <c r="DQ6480" s="451"/>
      <c r="DR6480" s="451"/>
      <c r="DS6480" s="451"/>
      <c r="DT6480" s="451"/>
      <c r="DU6480" s="451"/>
      <c r="DV6480" s="451"/>
      <c r="DW6480" s="451"/>
      <c r="DX6480" s="451"/>
      <c r="DY6480" s="451"/>
      <c r="DZ6480" s="451"/>
      <c r="EA6480" s="451"/>
      <c r="EB6480" s="451"/>
      <c r="EC6480" s="451"/>
      <c r="ED6480" s="451"/>
      <c r="EE6480" s="451"/>
      <c r="EF6480" s="451"/>
      <c r="EG6480" s="451"/>
      <c r="EH6480" s="451"/>
      <c r="EI6480" s="451"/>
      <c r="EJ6480" s="451"/>
      <c r="EK6480" s="451"/>
      <c r="EL6480" s="451"/>
      <c r="EM6480" s="451"/>
      <c r="EN6480" s="451"/>
      <c r="EO6480" s="451"/>
      <c r="EP6480" s="451"/>
      <c r="EQ6480" s="451"/>
      <c r="ER6480" s="451"/>
      <c r="ES6480" s="451"/>
    </row>
    <row r="6481" spans="1:149" ht="15" hidden="1" customHeight="1">
      <c r="A6481" s="468">
        <v>45559</v>
      </c>
      <c r="B6481" s="208" t="s">
        <v>5263</v>
      </c>
      <c r="C6481" s="208" t="s">
        <v>27</v>
      </c>
      <c r="D6481" s="211">
        <v>-3600000</v>
      </c>
      <c r="E6481" s="212">
        <v>45536</v>
      </c>
      <c r="F6481" s="208" t="s">
        <v>109</v>
      </c>
      <c r="G6481" s="208" t="s">
        <v>10</v>
      </c>
      <c r="H6481" s="208"/>
      <c r="I6481" s="208"/>
      <c r="J6481" s="209"/>
      <c r="K6481" s="209"/>
      <c r="L6481" s="209"/>
      <c r="M6481" s="209"/>
      <c r="N6481" s="209"/>
      <c r="O6481" s="209"/>
      <c r="P6481" s="209"/>
      <c r="Q6481" s="209"/>
      <c r="R6481" s="209"/>
      <c r="S6481" s="209"/>
      <c r="T6481" s="209"/>
      <c r="U6481" s="451"/>
      <c r="V6481" s="451"/>
      <c r="W6481" s="451"/>
      <c r="X6481" s="451"/>
      <c r="Y6481" s="451"/>
      <c r="Z6481" s="451"/>
      <c r="AA6481" s="451"/>
      <c r="AB6481" s="451"/>
      <c r="AC6481" s="451"/>
      <c r="AD6481" s="451"/>
      <c r="AE6481" s="451"/>
      <c r="AF6481" s="451"/>
      <c r="AG6481" s="451"/>
      <c r="AH6481" s="451"/>
      <c r="AI6481" s="451"/>
      <c r="AJ6481" s="451"/>
      <c r="AK6481" s="451"/>
      <c r="AL6481" s="451"/>
      <c r="AM6481" s="451"/>
      <c r="AN6481" s="451"/>
      <c r="AO6481" s="451"/>
      <c r="AP6481" s="451"/>
      <c r="AQ6481" s="451"/>
      <c r="AR6481" s="451"/>
      <c r="AS6481" s="451"/>
      <c r="AT6481" s="451"/>
      <c r="AU6481" s="451"/>
      <c r="AV6481" s="451"/>
      <c r="AW6481" s="451"/>
      <c r="AX6481" s="451"/>
      <c r="AY6481" s="451"/>
      <c r="AZ6481" s="451"/>
      <c r="BA6481" s="451"/>
      <c r="BB6481" s="451"/>
      <c r="BC6481" s="451"/>
      <c r="BD6481" s="451"/>
      <c r="BE6481" s="451"/>
      <c r="BF6481" s="451"/>
      <c r="BG6481" s="451"/>
      <c r="BH6481" s="451"/>
      <c r="BI6481" s="451"/>
      <c r="BJ6481" s="451"/>
      <c r="BK6481" s="451"/>
      <c r="BL6481" s="451"/>
      <c r="BM6481" s="451"/>
      <c r="BN6481" s="451"/>
      <c r="BO6481" s="451"/>
      <c r="BP6481" s="451"/>
      <c r="BQ6481" s="451"/>
      <c r="BR6481" s="451"/>
      <c r="BS6481" s="451"/>
      <c r="BT6481" s="451"/>
      <c r="BU6481" s="451"/>
      <c r="BV6481" s="451"/>
      <c r="BW6481" s="451"/>
      <c r="BX6481" s="451"/>
      <c r="BY6481" s="451"/>
      <c r="BZ6481" s="451"/>
      <c r="CA6481" s="451"/>
      <c r="CB6481" s="451"/>
      <c r="CC6481" s="451"/>
      <c r="CD6481" s="451"/>
      <c r="CE6481" s="451"/>
      <c r="CF6481" s="451"/>
      <c r="CG6481" s="451"/>
      <c r="CH6481" s="451"/>
      <c r="CI6481" s="451"/>
      <c r="CJ6481" s="451"/>
      <c r="CK6481" s="451"/>
      <c r="CL6481" s="451"/>
      <c r="CM6481" s="451"/>
      <c r="CN6481" s="451"/>
      <c r="CO6481" s="451"/>
      <c r="CP6481" s="451"/>
      <c r="CQ6481" s="451"/>
      <c r="CR6481" s="451"/>
      <c r="CS6481" s="451"/>
      <c r="CT6481" s="451"/>
      <c r="CU6481" s="451"/>
      <c r="CV6481" s="451"/>
      <c r="CW6481" s="451"/>
      <c r="CX6481" s="451"/>
      <c r="CY6481" s="451"/>
      <c r="CZ6481" s="451"/>
      <c r="DA6481" s="451"/>
      <c r="DB6481" s="451"/>
      <c r="DC6481" s="451"/>
      <c r="DD6481" s="451"/>
      <c r="DE6481" s="451"/>
      <c r="DF6481" s="451"/>
      <c r="DG6481" s="451"/>
      <c r="DH6481" s="451"/>
      <c r="DI6481" s="451"/>
      <c r="DJ6481" s="451"/>
      <c r="DK6481" s="451"/>
      <c r="DL6481" s="451"/>
      <c r="DM6481" s="451"/>
      <c r="DN6481" s="451"/>
      <c r="DO6481" s="451"/>
      <c r="DP6481" s="451"/>
      <c r="DQ6481" s="451"/>
      <c r="DR6481" s="451"/>
      <c r="DS6481" s="451"/>
      <c r="DT6481" s="451"/>
      <c r="DU6481" s="451"/>
      <c r="DV6481" s="451"/>
      <c r="DW6481" s="451"/>
      <c r="DX6481" s="451"/>
      <c r="DY6481" s="451"/>
      <c r="DZ6481" s="451"/>
      <c r="EA6481" s="451"/>
      <c r="EB6481" s="451"/>
      <c r="EC6481" s="451"/>
      <c r="ED6481" s="451"/>
      <c r="EE6481" s="451"/>
      <c r="EF6481" s="451"/>
      <c r="EG6481" s="451"/>
      <c r="EH6481" s="451"/>
      <c r="EI6481" s="451"/>
      <c r="EJ6481" s="451"/>
      <c r="EK6481" s="451"/>
      <c r="EL6481" s="451"/>
      <c r="EM6481" s="451"/>
      <c r="EN6481" s="451"/>
      <c r="EO6481" s="451"/>
      <c r="EP6481" s="451"/>
      <c r="EQ6481" s="451"/>
      <c r="ER6481" s="451"/>
      <c r="ES6481" s="451"/>
    </row>
    <row r="6482" spans="1:149" ht="15" hidden="1" customHeight="1">
      <c r="A6482" s="468">
        <v>45559</v>
      </c>
      <c r="B6482" s="208" t="s">
        <v>5264</v>
      </c>
      <c r="C6482" s="208" t="s">
        <v>27</v>
      </c>
      <c r="D6482" s="211">
        <v>-3000000</v>
      </c>
      <c r="E6482" s="212">
        <v>45536</v>
      </c>
      <c r="F6482" s="208" t="s">
        <v>109</v>
      </c>
      <c r="G6482" s="208" t="s">
        <v>2809</v>
      </c>
      <c r="H6482" s="208" t="s">
        <v>3652</v>
      </c>
      <c r="I6482" s="208"/>
      <c r="J6482" s="209"/>
      <c r="K6482" s="209"/>
      <c r="L6482" s="209"/>
      <c r="M6482" s="209"/>
      <c r="N6482" s="209"/>
      <c r="O6482" s="209"/>
      <c r="P6482" s="209"/>
      <c r="Q6482" s="209"/>
      <c r="R6482" s="209"/>
      <c r="S6482" s="209"/>
      <c r="T6482" s="209"/>
      <c r="U6482" s="451"/>
      <c r="V6482" s="451"/>
      <c r="W6482" s="451"/>
      <c r="X6482" s="451"/>
      <c r="Y6482" s="451"/>
      <c r="Z6482" s="451"/>
      <c r="AA6482" s="451"/>
      <c r="AB6482" s="451"/>
      <c r="AC6482" s="451"/>
      <c r="AD6482" s="451"/>
      <c r="AE6482" s="451"/>
      <c r="AF6482" s="451"/>
      <c r="AG6482" s="451"/>
      <c r="AH6482" s="451"/>
      <c r="AI6482" s="451"/>
      <c r="AJ6482" s="451"/>
      <c r="AK6482" s="451"/>
      <c r="AL6482" s="451"/>
      <c r="AM6482" s="451"/>
      <c r="AN6482" s="451"/>
      <c r="AO6482" s="451"/>
      <c r="AP6482" s="451"/>
      <c r="AQ6482" s="451"/>
      <c r="AR6482" s="451"/>
      <c r="AS6482" s="451"/>
      <c r="AT6482" s="451"/>
      <c r="AU6482" s="451"/>
      <c r="AV6482" s="451"/>
      <c r="AW6482" s="451"/>
      <c r="AX6482" s="451"/>
      <c r="AY6482" s="451"/>
      <c r="AZ6482" s="451"/>
      <c r="BA6482" s="451"/>
      <c r="BB6482" s="451"/>
      <c r="BC6482" s="451"/>
      <c r="BD6482" s="451"/>
      <c r="BE6482" s="451"/>
      <c r="BF6482" s="451"/>
      <c r="BG6482" s="451"/>
      <c r="BH6482" s="451"/>
      <c r="BI6482" s="451"/>
      <c r="BJ6482" s="451"/>
      <c r="BK6482" s="451"/>
      <c r="BL6482" s="451"/>
      <c r="BM6482" s="451"/>
      <c r="BN6482" s="451"/>
      <c r="BO6482" s="451"/>
      <c r="BP6482" s="451"/>
      <c r="BQ6482" s="451"/>
      <c r="BR6482" s="451"/>
      <c r="BS6482" s="451"/>
      <c r="BT6482" s="451"/>
      <c r="BU6482" s="451"/>
      <c r="BV6482" s="451"/>
      <c r="BW6482" s="451"/>
      <c r="BX6482" s="451"/>
      <c r="BY6482" s="451"/>
      <c r="BZ6482" s="451"/>
      <c r="CA6482" s="451"/>
      <c r="CB6482" s="451"/>
      <c r="CC6482" s="451"/>
      <c r="CD6482" s="451"/>
      <c r="CE6482" s="451"/>
      <c r="CF6482" s="451"/>
      <c r="CG6482" s="451"/>
      <c r="CH6482" s="451"/>
      <c r="CI6482" s="451"/>
      <c r="CJ6482" s="451"/>
      <c r="CK6482" s="451"/>
      <c r="CL6482" s="451"/>
      <c r="CM6482" s="451"/>
      <c r="CN6482" s="451"/>
      <c r="CO6482" s="451"/>
      <c r="CP6482" s="451"/>
      <c r="CQ6482" s="451"/>
      <c r="CR6482" s="451"/>
      <c r="CS6482" s="451"/>
      <c r="CT6482" s="451"/>
      <c r="CU6482" s="451"/>
      <c r="CV6482" s="451"/>
      <c r="CW6482" s="451"/>
      <c r="CX6482" s="451"/>
      <c r="CY6482" s="451"/>
      <c r="CZ6482" s="451"/>
      <c r="DA6482" s="451"/>
      <c r="DB6482" s="451"/>
      <c r="DC6482" s="451"/>
      <c r="DD6482" s="451"/>
      <c r="DE6482" s="451"/>
      <c r="DF6482" s="451"/>
      <c r="DG6482" s="451"/>
      <c r="DH6482" s="451"/>
      <c r="DI6482" s="451"/>
      <c r="DJ6482" s="451"/>
      <c r="DK6482" s="451"/>
      <c r="DL6482" s="451"/>
      <c r="DM6482" s="451"/>
      <c r="DN6482" s="451"/>
      <c r="DO6482" s="451"/>
      <c r="DP6482" s="451"/>
      <c r="DQ6482" s="451"/>
      <c r="DR6482" s="451"/>
      <c r="DS6482" s="451"/>
      <c r="DT6482" s="451"/>
      <c r="DU6482" s="451"/>
      <c r="DV6482" s="451"/>
      <c r="DW6482" s="451"/>
      <c r="DX6482" s="451"/>
      <c r="DY6482" s="451"/>
      <c r="DZ6482" s="451"/>
      <c r="EA6482" s="451"/>
      <c r="EB6482" s="451"/>
      <c r="EC6482" s="451"/>
      <c r="ED6482" s="451"/>
      <c r="EE6482" s="451"/>
      <c r="EF6482" s="451"/>
      <c r="EG6482" s="451"/>
      <c r="EH6482" s="451"/>
      <c r="EI6482" s="451"/>
      <c r="EJ6482" s="451"/>
      <c r="EK6482" s="451"/>
      <c r="EL6482" s="451"/>
      <c r="EM6482" s="451"/>
      <c r="EN6482" s="451"/>
      <c r="EO6482" s="451"/>
      <c r="EP6482" s="451"/>
      <c r="EQ6482" s="451"/>
      <c r="ER6482" s="451"/>
      <c r="ES6482" s="451"/>
    </row>
    <row r="6483" spans="1:149" ht="15" hidden="1" customHeight="1">
      <c r="A6483" s="468">
        <v>45559</v>
      </c>
      <c r="B6483" s="208" t="s">
        <v>5265</v>
      </c>
      <c r="C6483" s="208" t="s">
        <v>27</v>
      </c>
      <c r="D6483" s="211">
        <v>-630671</v>
      </c>
      <c r="E6483" s="212">
        <v>45536</v>
      </c>
      <c r="F6483" s="208" t="s">
        <v>110</v>
      </c>
      <c r="G6483" s="208" t="s">
        <v>4399</v>
      </c>
      <c r="H6483" s="208" t="s">
        <v>585</v>
      </c>
      <c r="I6483" s="208"/>
      <c r="J6483" s="209"/>
      <c r="K6483" s="209"/>
      <c r="L6483" s="209"/>
      <c r="M6483" s="209"/>
      <c r="N6483" s="209"/>
      <c r="O6483" s="209"/>
      <c r="P6483" s="209"/>
      <c r="Q6483" s="209"/>
      <c r="R6483" s="209"/>
      <c r="S6483" s="209"/>
      <c r="T6483" s="209"/>
      <c r="U6483" s="451"/>
      <c r="V6483" s="451"/>
      <c r="W6483" s="451"/>
      <c r="X6483" s="451"/>
      <c r="Y6483" s="451"/>
      <c r="Z6483" s="451"/>
      <c r="AA6483" s="451"/>
      <c r="AB6483" s="451"/>
      <c r="AC6483" s="451"/>
      <c r="AD6483" s="451"/>
      <c r="AE6483" s="451"/>
      <c r="AF6483" s="451"/>
      <c r="AG6483" s="451"/>
      <c r="AH6483" s="451"/>
      <c r="AI6483" s="451"/>
      <c r="AJ6483" s="451"/>
      <c r="AK6483" s="451"/>
      <c r="AL6483" s="451"/>
      <c r="AM6483" s="451"/>
      <c r="AN6483" s="451"/>
      <c r="AO6483" s="451"/>
      <c r="AP6483" s="451"/>
      <c r="AQ6483" s="451"/>
      <c r="AR6483" s="451"/>
      <c r="AS6483" s="451"/>
      <c r="AT6483" s="451"/>
      <c r="AU6483" s="451"/>
      <c r="AV6483" s="451"/>
      <c r="AW6483" s="451"/>
      <c r="AX6483" s="451"/>
      <c r="AY6483" s="451"/>
      <c r="AZ6483" s="451"/>
      <c r="BA6483" s="451"/>
      <c r="BB6483" s="451"/>
      <c r="BC6483" s="451"/>
      <c r="BD6483" s="451"/>
      <c r="BE6483" s="451"/>
      <c r="BF6483" s="451"/>
      <c r="BG6483" s="451"/>
      <c r="BH6483" s="451"/>
      <c r="BI6483" s="451"/>
      <c r="BJ6483" s="451"/>
      <c r="BK6483" s="451"/>
      <c r="BL6483" s="451"/>
      <c r="BM6483" s="451"/>
      <c r="BN6483" s="451"/>
      <c r="BO6483" s="451"/>
      <c r="BP6483" s="451"/>
      <c r="BQ6483" s="451"/>
      <c r="BR6483" s="451"/>
      <c r="BS6483" s="451"/>
      <c r="BT6483" s="451"/>
      <c r="BU6483" s="451"/>
      <c r="BV6483" s="451"/>
      <c r="BW6483" s="451"/>
      <c r="BX6483" s="451"/>
      <c r="BY6483" s="451"/>
      <c r="BZ6483" s="451"/>
      <c r="CA6483" s="451"/>
      <c r="CB6483" s="451"/>
      <c r="CC6483" s="451"/>
      <c r="CD6483" s="451"/>
      <c r="CE6483" s="451"/>
      <c r="CF6483" s="451"/>
      <c r="CG6483" s="451"/>
      <c r="CH6483" s="451"/>
      <c r="CI6483" s="451"/>
      <c r="CJ6483" s="451"/>
      <c r="CK6483" s="451"/>
      <c r="CL6483" s="451"/>
      <c r="CM6483" s="451"/>
      <c r="CN6483" s="451"/>
      <c r="CO6483" s="451"/>
      <c r="CP6483" s="451"/>
      <c r="CQ6483" s="451"/>
      <c r="CR6483" s="451"/>
      <c r="CS6483" s="451"/>
      <c r="CT6483" s="451"/>
      <c r="CU6483" s="451"/>
      <c r="CV6483" s="451"/>
      <c r="CW6483" s="451"/>
      <c r="CX6483" s="451"/>
      <c r="CY6483" s="451"/>
      <c r="CZ6483" s="451"/>
      <c r="DA6483" s="451"/>
      <c r="DB6483" s="451"/>
      <c r="DC6483" s="451"/>
      <c r="DD6483" s="451"/>
      <c r="DE6483" s="451"/>
      <c r="DF6483" s="451"/>
      <c r="DG6483" s="451"/>
      <c r="DH6483" s="451"/>
      <c r="DI6483" s="451"/>
      <c r="DJ6483" s="451"/>
      <c r="DK6483" s="451"/>
      <c r="DL6483" s="451"/>
      <c r="DM6483" s="451"/>
      <c r="DN6483" s="451"/>
      <c r="DO6483" s="451"/>
      <c r="DP6483" s="451"/>
      <c r="DQ6483" s="451"/>
      <c r="DR6483" s="451"/>
      <c r="DS6483" s="451"/>
      <c r="DT6483" s="451"/>
      <c r="DU6483" s="451"/>
      <c r="DV6483" s="451"/>
      <c r="DW6483" s="451"/>
      <c r="DX6483" s="451"/>
      <c r="DY6483" s="451"/>
      <c r="DZ6483" s="451"/>
      <c r="EA6483" s="451"/>
      <c r="EB6483" s="451"/>
      <c r="EC6483" s="451"/>
      <c r="ED6483" s="451"/>
      <c r="EE6483" s="451"/>
      <c r="EF6483" s="451"/>
      <c r="EG6483" s="451"/>
      <c r="EH6483" s="451"/>
      <c r="EI6483" s="451"/>
      <c r="EJ6483" s="451"/>
      <c r="EK6483" s="451"/>
      <c r="EL6483" s="451"/>
      <c r="EM6483" s="451"/>
      <c r="EN6483" s="451"/>
      <c r="EO6483" s="451"/>
      <c r="EP6483" s="451"/>
      <c r="EQ6483" s="451"/>
      <c r="ER6483" s="451"/>
      <c r="ES6483" s="451"/>
    </row>
    <row r="6484" spans="1:149" ht="15" hidden="1" customHeight="1">
      <c r="A6484" s="468">
        <v>45559</v>
      </c>
      <c r="B6484" s="208" t="s">
        <v>5266</v>
      </c>
      <c r="C6484" s="208" t="s">
        <v>27</v>
      </c>
      <c r="D6484" s="211">
        <v>-302400</v>
      </c>
      <c r="E6484" s="212">
        <v>45536</v>
      </c>
      <c r="F6484" s="208" t="s">
        <v>110</v>
      </c>
      <c r="G6484" s="208" t="s">
        <v>4399</v>
      </c>
      <c r="H6484" s="208" t="s">
        <v>175</v>
      </c>
      <c r="I6484" s="208"/>
      <c r="J6484" s="209"/>
      <c r="K6484" s="209"/>
      <c r="L6484" s="209"/>
      <c r="M6484" s="209"/>
      <c r="N6484" s="209"/>
      <c r="O6484" s="209"/>
      <c r="P6484" s="209"/>
      <c r="Q6484" s="209"/>
      <c r="R6484" s="209"/>
      <c r="S6484" s="209"/>
      <c r="T6484" s="209"/>
      <c r="U6484" s="451"/>
      <c r="V6484" s="451"/>
      <c r="W6484" s="451"/>
      <c r="X6484" s="451"/>
      <c r="Y6484" s="451"/>
      <c r="Z6484" s="451"/>
      <c r="AA6484" s="451"/>
      <c r="AB6484" s="451"/>
      <c r="AC6484" s="451"/>
      <c r="AD6484" s="451"/>
      <c r="AE6484" s="451"/>
      <c r="AF6484" s="451"/>
      <c r="AG6484" s="451"/>
      <c r="AH6484" s="451"/>
      <c r="AI6484" s="451"/>
      <c r="AJ6484" s="451"/>
      <c r="AK6484" s="451"/>
      <c r="AL6484" s="451"/>
      <c r="AM6484" s="451"/>
      <c r="AN6484" s="451"/>
      <c r="AO6484" s="451"/>
      <c r="AP6484" s="451"/>
      <c r="AQ6484" s="451"/>
      <c r="AR6484" s="451"/>
      <c r="AS6484" s="451"/>
      <c r="AT6484" s="451"/>
      <c r="AU6484" s="451"/>
      <c r="AV6484" s="451"/>
      <c r="AW6484" s="451"/>
      <c r="AX6484" s="451"/>
      <c r="AY6484" s="451"/>
      <c r="AZ6484" s="451"/>
      <c r="BA6484" s="451"/>
      <c r="BB6484" s="451"/>
      <c r="BC6484" s="451"/>
      <c r="BD6484" s="451"/>
      <c r="BE6484" s="451"/>
      <c r="BF6484" s="451"/>
      <c r="BG6484" s="451"/>
      <c r="BH6484" s="451"/>
      <c r="BI6484" s="451"/>
      <c r="BJ6484" s="451"/>
      <c r="BK6484" s="451"/>
      <c r="BL6484" s="451"/>
      <c r="BM6484" s="451"/>
      <c r="BN6484" s="451"/>
      <c r="BO6484" s="451"/>
      <c r="BP6484" s="451"/>
      <c r="BQ6484" s="451"/>
      <c r="BR6484" s="451"/>
      <c r="BS6484" s="451"/>
      <c r="BT6484" s="451"/>
      <c r="BU6484" s="451"/>
      <c r="BV6484" s="451"/>
      <c r="BW6484" s="451"/>
      <c r="BX6484" s="451"/>
      <c r="BY6484" s="451"/>
      <c r="BZ6484" s="451"/>
      <c r="CA6484" s="451"/>
      <c r="CB6484" s="451"/>
      <c r="CC6484" s="451"/>
      <c r="CD6484" s="451"/>
      <c r="CE6484" s="451"/>
      <c r="CF6484" s="451"/>
      <c r="CG6484" s="451"/>
      <c r="CH6484" s="451"/>
      <c r="CI6484" s="451"/>
      <c r="CJ6484" s="451"/>
      <c r="CK6484" s="451"/>
      <c r="CL6484" s="451"/>
      <c r="CM6484" s="451"/>
      <c r="CN6484" s="451"/>
      <c r="CO6484" s="451"/>
      <c r="CP6484" s="451"/>
      <c r="CQ6484" s="451"/>
      <c r="CR6484" s="451"/>
      <c r="CS6484" s="451"/>
      <c r="CT6484" s="451"/>
      <c r="CU6484" s="451"/>
      <c r="CV6484" s="451"/>
      <c r="CW6484" s="451"/>
      <c r="CX6484" s="451"/>
      <c r="CY6484" s="451"/>
      <c r="CZ6484" s="451"/>
      <c r="DA6484" s="451"/>
      <c r="DB6484" s="451"/>
      <c r="DC6484" s="451"/>
      <c r="DD6484" s="451"/>
      <c r="DE6484" s="451"/>
      <c r="DF6484" s="451"/>
      <c r="DG6484" s="451"/>
      <c r="DH6484" s="451"/>
      <c r="DI6484" s="451"/>
      <c r="DJ6484" s="451"/>
      <c r="DK6484" s="451"/>
      <c r="DL6484" s="451"/>
      <c r="DM6484" s="451"/>
      <c r="DN6484" s="451"/>
      <c r="DO6484" s="451"/>
      <c r="DP6484" s="451"/>
      <c r="DQ6484" s="451"/>
      <c r="DR6484" s="451"/>
      <c r="DS6484" s="451"/>
      <c r="DT6484" s="451"/>
      <c r="DU6484" s="451"/>
      <c r="DV6484" s="451"/>
      <c r="DW6484" s="451"/>
      <c r="DX6484" s="451"/>
      <c r="DY6484" s="451"/>
      <c r="DZ6484" s="451"/>
      <c r="EA6484" s="451"/>
      <c r="EB6484" s="451"/>
      <c r="EC6484" s="451"/>
      <c r="ED6484" s="451"/>
      <c r="EE6484" s="451"/>
      <c r="EF6484" s="451"/>
      <c r="EG6484" s="451"/>
      <c r="EH6484" s="451"/>
      <c r="EI6484" s="451"/>
      <c r="EJ6484" s="451"/>
      <c r="EK6484" s="451"/>
      <c r="EL6484" s="451"/>
      <c r="EM6484" s="451"/>
      <c r="EN6484" s="451"/>
      <c r="EO6484" s="451"/>
      <c r="EP6484" s="451"/>
      <c r="EQ6484" s="451"/>
      <c r="ER6484" s="451"/>
      <c r="ES6484" s="451"/>
    </row>
    <row r="6485" spans="1:149" ht="15" hidden="1" customHeight="1">
      <c r="A6485" s="468">
        <v>45559</v>
      </c>
      <c r="B6485" s="208" t="s">
        <v>5267</v>
      </c>
      <c r="C6485" s="208" t="s">
        <v>4314</v>
      </c>
      <c r="D6485" s="211">
        <v>-12600</v>
      </c>
      <c r="E6485" s="212">
        <v>45536</v>
      </c>
      <c r="F6485" s="208" t="s">
        <v>110</v>
      </c>
      <c r="G6485" s="208" t="s">
        <v>4399</v>
      </c>
      <c r="H6485" s="208" t="s">
        <v>175</v>
      </c>
      <c r="I6485" s="208"/>
      <c r="J6485" s="209"/>
      <c r="K6485" s="209"/>
      <c r="L6485" s="209"/>
      <c r="M6485" s="209"/>
      <c r="N6485" s="209"/>
      <c r="O6485" s="209"/>
      <c r="P6485" s="209"/>
      <c r="Q6485" s="209"/>
      <c r="R6485" s="209"/>
      <c r="S6485" s="209"/>
      <c r="T6485" s="209"/>
    </row>
    <row r="6486" spans="1:149" ht="15" hidden="1" customHeight="1">
      <c r="A6486" s="468">
        <v>45559</v>
      </c>
      <c r="B6486" s="208" t="s">
        <v>5268</v>
      </c>
      <c r="C6486" s="208" t="s">
        <v>27</v>
      </c>
      <c r="D6486" s="211">
        <v>-724433</v>
      </c>
      <c r="E6486" s="212">
        <v>45536</v>
      </c>
      <c r="F6486" s="208" t="s">
        <v>109</v>
      </c>
      <c r="G6486" s="208" t="s">
        <v>4986</v>
      </c>
      <c r="H6486" s="208" t="s">
        <v>1156</v>
      </c>
      <c r="I6486" s="208"/>
      <c r="J6486" s="209"/>
      <c r="K6486" s="209"/>
      <c r="L6486" s="209"/>
      <c r="M6486" s="209"/>
      <c r="N6486" s="209"/>
      <c r="O6486" s="209"/>
      <c r="P6486" s="209"/>
      <c r="Q6486" s="209"/>
      <c r="R6486" s="209"/>
      <c r="S6486" s="209"/>
      <c r="T6486" s="209"/>
      <c r="U6486" s="451"/>
      <c r="V6486" s="451"/>
      <c r="W6486" s="451"/>
      <c r="X6486" s="451"/>
      <c r="Y6486" s="451"/>
      <c r="Z6486" s="451"/>
      <c r="AA6486" s="451"/>
      <c r="AB6486" s="451"/>
      <c r="AC6486" s="451"/>
      <c r="AD6486" s="451"/>
      <c r="AE6486" s="451"/>
      <c r="AF6486" s="451"/>
      <c r="AG6486" s="451"/>
      <c r="AH6486" s="451"/>
      <c r="AI6486" s="451"/>
      <c r="AJ6486" s="451"/>
      <c r="AK6486" s="451"/>
      <c r="AL6486" s="451"/>
      <c r="AM6486" s="451"/>
      <c r="AN6486" s="451"/>
      <c r="AO6486" s="451"/>
      <c r="AP6486" s="451"/>
      <c r="AQ6486" s="451"/>
      <c r="AR6486" s="451"/>
      <c r="AS6486" s="451"/>
      <c r="AT6486" s="451"/>
      <c r="AU6486" s="451"/>
      <c r="AV6486" s="451"/>
      <c r="AW6486" s="451"/>
      <c r="AX6486" s="451"/>
      <c r="AY6486" s="451"/>
      <c r="AZ6486" s="451"/>
      <c r="BA6486" s="451"/>
      <c r="BB6486" s="451"/>
      <c r="BC6486" s="451"/>
      <c r="BD6486" s="451"/>
      <c r="BE6486" s="451"/>
      <c r="BF6486" s="451"/>
      <c r="BG6486" s="451"/>
      <c r="BH6486" s="451"/>
      <c r="BI6486" s="451"/>
      <c r="BJ6486" s="451"/>
      <c r="BK6486" s="451"/>
      <c r="BL6486" s="451"/>
      <c r="BM6486" s="451"/>
      <c r="BN6486" s="451"/>
      <c r="BO6486" s="451"/>
      <c r="BP6486" s="451"/>
      <c r="BQ6486" s="451"/>
      <c r="BR6486" s="451"/>
      <c r="BS6486" s="451"/>
      <c r="BT6486" s="451"/>
      <c r="BU6486" s="451"/>
      <c r="BV6486" s="451"/>
      <c r="BW6486" s="451"/>
      <c r="BX6486" s="451"/>
      <c r="BY6486" s="451"/>
      <c r="BZ6486" s="451"/>
      <c r="CA6486" s="451"/>
      <c r="CB6486" s="451"/>
      <c r="CC6486" s="451"/>
      <c r="CD6486" s="451"/>
      <c r="CE6486" s="451"/>
      <c r="CF6486" s="451"/>
      <c r="CG6486" s="451"/>
      <c r="CH6486" s="451"/>
      <c r="CI6486" s="451"/>
      <c r="CJ6486" s="451"/>
      <c r="CK6486" s="451"/>
      <c r="CL6486" s="451"/>
      <c r="CM6486" s="451"/>
      <c r="CN6486" s="451"/>
      <c r="CO6486" s="451"/>
      <c r="CP6486" s="451"/>
      <c r="CQ6486" s="451"/>
      <c r="CR6486" s="451"/>
      <c r="CS6486" s="451"/>
      <c r="CT6486" s="451"/>
      <c r="CU6486" s="451"/>
      <c r="CV6486" s="451"/>
      <c r="CW6486" s="451"/>
      <c r="CX6486" s="451"/>
      <c r="CY6486" s="451"/>
      <c r="CZ6486" s="451"/>
      <c r="DA6486" s="451"/>
      <c r="DB6486" s="451"/>
      <c r="DC6486" s="451"/>
      <c r="DD6486" s="451"/>
      <c r="DE6486" s="451"/>
      <c r="DF6486" s="451"/>
      <c r="DG6486" s="451"/>
      <c r="DH6486" s="451"/>
      <c r="DI6486" s="451"/>
      <c r="DJ6486" s="451"/>
      <c r="DK6486" s="451"/>
      <c r="DL6486" s="451"/>
      <c r="DM6486" s="451"/>
      <c r="DN6486" s="451"/>
      <c r="DO6486" s="451"/>
      <c r="DP6486" s="451"/>
      <c r="DQ6486" s="451"/>
      <c r="DR6486" s="451"/>
      <c r="DS6486" s="451"/>
      <c r="DT6486" s="451"/>
      <c r="DU6486" s="451"/>
      <c r="DV6486" s="451"/>
      <c r="DW6486" s="451"/>
      <c r="DX6486" s="451"/>
      <c r="DY6486" s="451"/>
      <c r="DZ6486" s="451"/>
      <c r="EA6486" s="451"/>
      <c r="EB6486" s="451"/>
      <c r="EC6486" s="451"/>
      <c r="ED6486" s="451"/>
      <c r="EE6486" s="451"/>
      <c r="EF6486" s="451"/>
      <c r="EG6486" s="451"/>
      <c r="EH6486" s="451"/>
      <c r="EI6486" s="451"/>
      <c r="EJ6486" s="451"/>
      <c r="EK6486" s="451"/>
      <c r="EL6486" s="451"/>
      <c r="EM6486" s="451"/>
      <c r="EN6486" s="451"/>
      <c r="EO6486" s="451"/>
      <c r="EP6486" s="451"/>
      <c r="EQ6486" s="451"/>
      <c r="ER6486" s="451"/>
      <c r="ES6486" s="451"/>
    </row>
    <row r="6487" spans="1:149" ht="15" hidden="1" customHeight="1">
      <c r="A6487" s="468">
        <v>45559</v>
      </c>
      <c r="B6487" s="208" t="s">
        <v>5269</v>
      </c>
      <c r="C6487" s="208" t="s">
        <v>4314</v>
      </c>
      <c r="D6487" s="211">
        <v>-2443</v>
      </c>
      <c r="E6487" s="212">
        <v>45536</v>
      </c>
      <c r="F6487" s="208" t="s">
        <v>109</v>
      </c>
      <c r="G6487" s="208" t="s">
        <v>4986</v>
      </c>
      <c r="H6487" s="208" t="s">
        <v>1156</v>
      </c>
      <c r="I6487" s="208"/>
      <c r="J6487" s="209"/>
      <c r="K6487" s="209"/>
      <c r="L6487" s="209"/>
      <c r="M6487" s="209"/>
      <c r="N6487" s="209"/>
      <c r="O6487" s="209"/>
      <c r="P6487" s="209"/>
      <c r="Q6487" s="209"/>
      <c r="R6487" s="209"/>
      <c r="S6487" s="209"/>
      <c r="T6487" s="209"/>
    </row>
    <row r="6488" spans="1:149" s="209" customFormat="1" ht="15" hidden="1" customHeight="1">
      <c r="A6488" s="468">
        <v>45559</v>
      </c>
      <c r="B6488" s="208" t="s">
        <v>5268</v>
      </c>
      <c r="C6488" s="208" t="s">
        <v>27</v>
      </c>
      <c r="D6488" s="211">
        <v>-166100</v>
      </c>
      <c r="E6488" s="212">
        <v>45536</v>
      </c>
      <c r="F6488" s="208" t="s">
        <v>109</v>
      </c>
      <c r="G6488" s="201" t="s">
        <v>583</v>
      </c>
      <c r="H6488" s="208"/>
      <c r="I6488" s="475" t="s">
        <v>3475</v>
      </c>
    </row>
    <row r="6489" spans="1:149" ht="15" hidden="1" customHeight="1">
      <c r="A6489" s="468">
        <v>45559</v>
      </c>
      <c r="B6489" s="208" t="s">
        <v>5270</v>
      </c>
      <c r="C6489" s="208" t="s">
        <v>27</v>
      </c>
      <c r="D6489" s="211">
        <v>-18571600</v>
      </c>
      <c r="E6489" s="212">
        <v>45536</v>
      </c>
      <c r="F6489" s="208" t="s">
        <v>109</v>
      </c>
      <c r="G6489" s="654" t="s">
        <v>2585</v>
      </c>
      <c r="H6489" s="208" t="s">
        <v>212</v>
      </c>
      <c r="I6489" s="208"/>
      <c r="J6489" s="209"/>
      <c r="K6489" s="209"/>
      <c r="L6489" s="209"/>
      <c r="M6489" s="209"/>
      <c r="N6489" s="209"/>
      <c r="O6489" s="209"/>
      <c r="P6489" s="209"/>
      <c r="Q6489" s="209"/>
      <c r="R6489" s="209"/>
      <c r="S6489" s="209"/>
      <c r="T6489" s="209"/>
      <c r="U6489" s="451"/>
      <c r="V6489" s="451"/>
      <c r="W6489" s="451"/>
      <c r="X6489" s="451"/>
      <c r="Y6489" s="451"/>
      <c r="Z6489" s="451"/>
      <c r="AA6489" s="451"/>
      <c r="AB6489" s="451"/>
      <c r="AC6489" s="451"/>
      <c r="AD6489" s="451"/>
      <c r="AE6489" s="451"/>
      <c r="AF6489" s="451"/>
      <c r="AG6489" s="451"/>
      <c r="AH6489" s="451"/>
      <c r="AI6489" s="451"/>
      <c r="AJ6489" s="451"/>
      <c r="AK6489" s="451"/>
      <c r="AL6489" s="451"/>
      <c r="AM6489" s="451"/>
      <c r="AN6489" s="451"/>
      <c r="AO6489" s="451"/>
      <c r="AP6489" s="451"/>
      <c r="AQ6489" s="451"/>
      <c r="AR6489" s="451"/>
      <c r="AS6489" s="451"/>
      <c r="AT6489" s="451"/>
      <c r="AU6489" s="451"/>
      <c r="AV6489" s="451"/>
      <c r="AW6489" s="451"/>
      <c r="AX6489" s="451"/>
      <c r="AY6489" s="451"/>
      <c r="AZ6489" s="451"/>
      <c r="BA6489" s="451"/>
      <c r="BB6489" s="451"/>
      <c r="BC6489" s="451"/>
      <c r="BD6489" s="451"/>
      <c r="BE6489" s="451"/>
      <c r="BF6489" s="451"/>
      <c r="BG6489" s="451"/>
      <c r="BH6489" s="451"/>
      <c r="BI6489" s="451"/>
      <c r="BJ6489" s="451"/>
      <c r="BK6489" s="451"/>
      <c r="BL6489" s="451"/>
      <c r="BM6489" s="451"/>
      <c r="BN6489" s="451"/>
      <c r="BO6489" s="451"/>
      <c r="BP6489" s="451"/>
      <c r="BQ6489" s="451"/>
      <c r="BR6489" s="451"/>
      <c r="BS6489" s="451"/>
      <c r="BT6489" s="451"/>
      <c r="BU6489" s="451"/>
      <c r="BV6489" s="451"/>
      <c r="BW6489" s="451"/>
      <c r="BX6489" s="451"/>
      <c r="BY6489" s="451"/>
      <c r="BZ6489" s="451"/>
      <c r="CA6489" s="451"/>
      <c r="CB6489" s="451"/>
      <c r="CC6489" s="451"/>
      <c r="CD6489" s="451"/>
      <c r="CE6489" s="451"/>
      <c r="CF6489" s="451"/>
      <c r="CG6489" s="451"/>
      <c r="CH6489" s="451"/>
      <c r="CI6489" s="451"/>
      <c r="CJ6489" s="451"/>
      <c r="CK6489" s="451"/>
      <c r="CL6489" s="451"/>
      <c r="CM6489" s="451"/>
      <c r="CN6489" s="451"/>
      <c r="CO6489" s="451"/>
      <c r="CP6489" s="451"/>
      <c r="CQ6489" s="451"/>
      <c r="CR6489" s="451"/>
      <c r="CS6489" s="451"/>
      <c r="CT6489" s="451"/>
      <c r="CU6489" s="451"/>
      <c r="CV6489" s="451"/>
      <c r="CW6489" s="451"/>
      <c r="CX6489" s="451"/>
      <c r="CY6489" s="451"/>
      <c r="CZ6489" s="451"/>
      <c r="DA6489" s="451"/>
      <c r="DB6489" s="451"/>
      <c r="DC6489" s="451"/>
      <c r="DD6489" s="451"/>
      <c r="DE6489" s="451"/>
      <c r="DF6489" s="451"/>
      <c r="DG6489" s="451"/>
      <c r="DH6489" s="451"/>
      <c r="DI6489" s="451"/>
      <c r="DJ6489" s="451"/>
      <c r="DK6489" s="451"/>
      <c r="DL6489" s="451"/>
      <c r="DM6489" s="451"/>
      <c r="DN6489" s="451"/>
      <c r="DO6489" s="451"/>
      <c r="DP6489" s="451"/>
      <c r="DQ6489" s="451"/>
      <c r="DR6489" s="451"/>
      <c r="DS6489" s="451"/>
      <c r="DT6489" s="451"/>
      <c r="DU6489" s="451"/>
      <c r="DV6489" s="451"/>
      <c r="DW6489" s="451"/>
      <c r="DX6489" s="451"/>
      <c r="DY6489" s="451"/>
      <c r="DZ6489" s="451"/>
      <c r="EA6489" s="451"/>
      <c r="EB6489" s="451"/>
      <c r="EC6489" s="451"/>
      <c r="ED6489" s="451"/>
      <c r="EE6489" s="451"/>
      <c r="EF6489" s="451"/>
      <c r="EG6489" s="451"/>
      <c r="EH6489" s="451"/>
      <c r="EI6489" s="451"/>
      <c r="EJ6489" s="451"/>
      <c r="EK6489" s="451"/>
      <c r="EL6489" s="451"/>
      <c r="EM6489" s="451"/>
      <c r="EN6489" s="451"/>
      <c r="EO6489" s="451"/>
      <c r="EP6489" s="451"/>
      <c r="EQ6489" s="451"/>
      <c r="ER6489" s="451"/>
      <c r="ES6489" s="451"/>
    </row>
    <row r="6490" spans="1:149" ht="15" hidden="1" customHeight="1">
      <c r="A6490" s="468">
        <v>45559</v>
      </c>
      <c r="B6490" s="208" t="s">
        <v>5270</v>
      </c>
      <c r="C6490" s="208" t="s">
        <v>27</v>
      </c>
      <c r="D6490" s="211">
        <v>-1831800</v>
      </c>
      <c r="E6490" s="212">
        <v>45536</v>
      </c>
      <c r="F6490" s="208" t="s">
        <v>2531</v>
      </c>
      <c r="G6490" s="208" t="s">
        <v>4249</v>
      </c>
      <c r="H6490" s="208" t="s">
        <v>212</v>
      </c>
      <c r="I6490" s="208"/>
      <c r="J6490" s="209"/>
      <c r="K6490" s="209"/>
      <c r="L6490" s="209"/>
      <c r="M6490" s="209"/>
      <c r="N6490" s="209"/>
      <c r="O6490" s="209"/>
      <c r="P6490" s="209"/>
      <c r="Q6490" s="209"/>
      <c r="R6490" s="209"/>
      <c r="S6490" s="209"/>
      <c r="T6490" s="209"/>
      <c r="U6490" s="451"/>
      <c r="V6490" s="451"/>
      <c r="W6490" s="451"/>
      <c r="X6490" s="451"/>
      <c r="Y6490" s="451"/>
      <c r="Z6490" s="451"/>
      <c r="AA6490" s="451"/>
      <c r="AB6490" s="451"/>
      <c r="AC6490" s="451"/>
      <c r="AD6490" s="451"/>
      <c r="AE6490" s="451"/>
      <c r="AF6490" s="451"/>
      <c r="AG6490" s="451"/>
      <c r="AH6490" s="451"/>
      <c r="AI6490" s="451"/>
      <c r="AJ6490" s="451"/>
      <c r="AK6490" s="451"/>
      <c r="AL6490" s="451"/>
      <c r="AM6490" s="451"/>
      <c r="AN6490" s="451"/>
      <c r="AO6490" s="451"/>
      <c r="AP6490" s="451"/>
      <c r="AQ6490" s="451"/>
      <c r="AR6490" s="451"/>
      <c r="AS6490" s="451"/>
      <c r="AT6490" s="451"/>
      <c r="AU6490" s="451"/>
      <c r="AV6490" s="451"/>
      <c r="AW6490" s="451"/>
      <c r="AX6490" s="451"/>
      <c r="AY6490" s="451"/>
      <c r="AZ6490" s="451"/>
      <c r="BA6490" s="451"/>
      <c r="BB6490" s="451"/>
      <c r="BC6490" s="451"/>
      <c r="BD6490" s="451"/>
      <c r="BE6490" s="451"/>
      <c r="BF6490" s="451"/>
      <c r="BG6490" s="451"/>
      <c r="BH6490" s="451"/>
      <c r="BI6490" s="451"/>
      <c r="BJ6490" s="451"/>
      <c r="BK6490" s="451"/>
      <c r="BL6490" s="451"/>
      <c r="BM6490" s="451"/>
      <c r="BN6490" s="451"/>
      <c r="BO6490" s="451"/>
      <c r="BP6490" s="451"/>
      <c r="BQ6490" s="451"/>
      <c r="BR6490" s="451"/>
      <c r="BS6490" s="451"/>
      <c r="BT6490" s="451"/>
      <c r="BU6490" s="451"/>
      <c r="BV6490" s="451"/>
      <c r="BW6490" s="451"/>
      <c r="BX6490" s="451"/>
      <c r="BY6490" s="451"/>
      <c r="BZ6490" s="451"/>
      <c r="CA6490" s="451"/>
      <c r="CB6490" s="451"/>
      <c r="CC6490" s="451"/>
      <c r="CD6490" s="451"/>
      <c r="CE6490" s="451"/>
      <c r="CF6490" s="451"/>
      <c r="CG6490" s="451"/>
      <c r="CH6490" s="451"/>
      <c r="CI6490" s="451"/>
      <c r="CJ6490" s="451"/>
      <c r="CK6490" s="451"/>
      <c r="CL6490" s="451"/>
      <c r="CM6490" s="451"/>
      <c r="CN6490" s="451"/>
      <c r="CO6490" s="451"/>
      <c r="CP6490" s="451"/>
      <c r="CQ6490" s="451"/>
      <c r="CR6490" s="451"/>
      <c r="CS6490" s="451"/>
      <c r="CT6490" s="451"/>
      <c r="CU6490" s="451"/>
      <c r="CV6490" s="451"/>
      <c r="CW6490" s="451"/>
      <c r="CX6490" s="451"/>
      <c r="CY6490" s="451"/>
      <c r="CZ6490" s="451"/>
      <c r="DA6490" s="451"/>
      <c r="DB6490" s="451"/>
      <c r="DC6490" s="451"/>
      <c r="DD6490" s="451"/>
      <c r="DE6490" s="451"/>
      <c r="DF6490" s="451"/>
      <c r="DG6490" s="451"/>
      <c r="DH6490" s="451"/>
      <c r="DI6490" s="451"/>
      <c r="DJ6490" s="451"/>
      <c r="DK6490" s="451"/>
      <c r="DL6490" s="451"/>
      <c r="DM6490" s="451"/>
      <c r="DN6490" s="451"/>
      <c r="DO6490" s="451"/>
      <c r="DP6490" s="451"/>
      <c r="DQ6490" s="451"/>
      <c r="DR6490" s="451"/>
      <c r="DS6490" s="451"/>
      <c r="DT6490" s="451"/>
      <c r="DU6490" s="451"/>
      <c r="DV6490" s="451"/>
      <c r="DW6490" s="451"/>
      <c r="DX6490" s="451"/>
      <c r="DY6490" s="451"/>
      <c r="DZ6490" s="451"/>
      <c r="EA6490" s="451"/>
      <c r="EB6490" s="451"/>
      <c r="EC6490" s="451"/>
      <c r="ED6490" s="451"/>
      <c r="EE6490" s="451"/>
      <c r="EF6490" s="451"/>
      <c r="EG6490" s="451"/>
      <c r="EH6490" s="451"/>
      <c r="EI6490" s="451"/>
      <c r="EJ6490" s="451"/>
      <c r="EK6490" s="451"/>
      <c r="EL6490" s="451"/>
      <c r="EM6490" s="451"/>
      <c r="EN6490" s="451"/>
      <c r="EO6490" s="451"/>
      <c r="EP6490" s="451"/>
      <c r="EQ6490" s="451"/>
      <c r="ER6490" s="451"/>
      <c r="ES6490" s="451"/>
    </row>
    <row r="6491" spans="1:149" ht="15" hidden="1" customHeight="1">
      <c r="A6491" s="468">
        <v>45559</v>
      </c>
      <c r="B6491" s="208" t="s">
        <v>5270</v>
      </c>
      <c r="C6491" s="208" t="s">
        <v>27</v>
      </c>
      <c r="D6491" s="211">
        <v>-1119937</v>
      </c>
      <c r="E6491" s="212">
        <v>45536</v>
      </c>
      <c r="F6491" s="208" t="s">
        <v>2531</v>
      </c>
      <c r="G6491" s="201" t="s">
        <v>1489</v>
      </c>
      <c r="H6491" s="208" t="s">
        <v>212</v>
      </c>
      <c r="I6491" s="208"/>
      <c r="J6491" s="209"/>
      <c r="K6491" s="209"/>
      <c r="L6491" s="209"/>
      <c r="M6491" s="209"/>
      <c r="N6491" s="209"/>
      <c r="O6491" s="209"/>
      <c r="P6491" s="209"/>
      <c r="Q6491" s="209"/>
      <c r="R6491" s="209"/>
      <c r="S6491" s="209"/>
      <c r="T6491" s="209"/>
      <c r="U6491" s="451"/>
      <c r="V6491" s="451"/>
      <c r="W6491" s="451"/>
      <c r="X6491" s="451"/>
      <c r="Y6491" s="451"/>
      <c r="Z6491" s="451"/>
      <c r="AA6491" s="451"/>
      <c r="AB6491" s="451"/>
      <c r="AC6491" s="451"/>
      <c r="AD6491" s="451"/>
      <c r="AE6491" s="451"/>
      <c r="AF6491" s="451"/>
      <c r="AG6491" s="451"/>
      <c r="AH6491" s="451"/>
      <c r="AI6491" s="451"/>
      <c r="AJ6491" s="451"/>
      <c r="AK6491" s="451"/>
      <c r="AL6491" s="451"/>
      <c r="AM6491" s="451"/>
      <c r="AN6491" s="451"/>
      <c r="AO6491" s="451"/>
      <c r="AP6491" s="451"/>
      <c r="AQ6491" s="451"/>
      <c r="AR6491" s="451"/>
      <c r="AS6491" s="451"/>
      <c r="AT6491" s="451"/>
      <c r="AU6491" s="451"/>
      <c r="AV6491" s="451"/>
      <c r="AW6491" s="451"/>
      <c r="AX6491" s="451"/>
      <c r="AY6491" s="451"/>
      <c r="AZ6491" s="451"/>
      <c r="BA6491" s="451"/>
      <c r="BB6491" s="451"/>
      <c r="BC6491" s="451"/>
      <c r="BD6491" s="451"/>
      <c r="BE6491" s="451"/>
      <c r="BF6491" s="451"/>
      <c r="BG6491" s="451"/>
      <c r="BH6491" s="451"/>
      <c r="BI6491" s="451"/>
      <c r="BJ6491" s="451"/>
      <c r="BK6491" s="451"/>
      <c r="BL6491" s="451"/>
      <c r="BM6491" s="451"/>
      <c r="BN6491" s="451"/>
      <c r="BO6491" s="451"/>
      <c r="BP6491" s="451"/>
      <c r="BQ6491" s="451"/>
      <c r="BR6491" s="451"/>
      <c r="BS6491" s="451"/>
      <c r="BT6491" s="451"/>
      <c r="BU6491" s="451"/>
      <c r="BV6491" s="451"/>
      <c r="BW6491" s="451"/>
      <c r="BX6491" s="451"/>
      <c r="BY6491" s="451"/>
      <c r="BZ6491" s="451"/>
      <c r="CA6491" s="451"/>
      <c r="CB6491" s="451"/>
      <c r="CC6491" s="451"/>
      <c r="CD6491" s="451"/>
      <c r="CE6491" s="451"/>
      <c r="CF6491" s="451"/>
      <c r="CG6491" s="451"/>
      <c r="CH6491" s="451"/>
      <c r="CI6491" s="451"/>
      <c r="CJ6491" s="451"/>
      <c r="CK6491" s="451"/>
      <c r="CL6491" s="451"/>
      <c r="CM6491" s="451"/>
      <c r="CN6491" s="451"/>
      <c r="CO6491" s="451"/>
      <c r="CP6491" s="451"/>
      <c r="CQ6491" s="451"/>
      <c r="CR6491" s="451"/>
      <c r="CS6491" s="451"/>
      <c r="CT6491" s="451"/>
      <c r="CU6491" s="451"/>
      <c r="CV6491" s="451"/>
      <c r="CW6491" s="451"/>
      <c r="CX6491" s="451"/>
      <c r="CY6491" s="451"/>
      <c r="CZ6491" s="451"/>
      <c r="DA6491" s="451"/>
      <c r="DB6491" s="451"/>
      <c r="DC6491" s="451"/>
      <c r="DD6491" s="451"/>
      <c r="DE6491" s="451"/>
      <c r="DF6491" s="451"/>
      <c r="DG6491" s="451"/>
      <c r="DH6491" s="451"/>
      <c r="DI6491" s="451"/>
      <c r="DJ6491" s="451"/>
      <c r="DK6491" s="451"/>
      <c r="DL6491" s="451"/>
      <c r="DM6491" s="451"/>
      <c r="DN6491" s="451"/>
      <c r="DO6491" s="451"/>
      <c r="DP6491" s="451"/>
      <c r="DQ6491" s="451"/>
      <c r="DR6491" s="451"/>
      <c r="DS6491" s="451"/>
      <c r="DT6491" s="451"/>
      <c r="DU6491" s="451"/>
      <c r="DV6491" s="451"/>
      <c r="DW6491" s="451"/>
      <c r="DX6491" s="451"/>
      <c r="DY6491" s="451"/>
      <c r="DZ6491" s="451"/>
      <c r="EA6491" s="451"/>
      <c r="EB6491" s="451"/>
      <c r="EC6491" s="451"/>
      <c r="ED6491" s="451"/>
      <c r="EE6491" s="451"/>
      <c r="EF6491" s="451"/>
      <c r="EG6491" s="451"/>
      <c r="EH6491" s="451"/>
      <c r="EI6491" s="451"/>
      <c r="EJ6491" s="451"/>
      <c r="EK6491" s="451"/>
      <c r="EL6491" s="451"/>
      <c r="EM6491" s="451"/>
      <c r="EN6491" s="451"/>
      <c r="EO6491" s="451"/>
      <c r="EP6491" s="451"/>
      <c r="EQ6491" s="451"/>
      <c r="ER6491" s="451"/>
      <c r="ES6491" s="451"/>
    </row>
    <row r="6492" spans="1:149" s="209" customFormat="1" ht="15" hidden="1" customHeight="1">
      <c r="A6492" s="468">
        <v>45559</v>
      </c>
      <c r="B6492" s="208" t="s">
        <v>5271</v>
      </c>
      <c r="C6492" s="208" t="s">
        <v>27</v>
      </c>
      <c r="D6492" s="211">
        <v>-1100000</v>
      </c>
      <c r="E6492" s="212">
        <v>45536</v>
      </c>
      <c r="F6492" s="208" t="s">
        <v>109</v>
      </c>
      <c r="G6492" s="201" t="s">
        <v>581</v>
      </c>
      <c r="H6492" s="208"/>
      <c r="I6492" s="208"/>
    </row>
    <row r="6493" spans="1:149" ht="15" hidden="1" customHeight="1">
      <c r="A6493" s="468">
        <v>45559</v>
      </c>
      <c r="B6493" s="208" t="s">
        <v>5272</v>
      </c>
      <c r="C6493" s="208" t="s">
        <v>27</v>
      </c>
      <c r="D6493" s="211">
        <v>-695800</v>
      </c>
      <c r="E6493" s="212">
        <v>45536</v>
      </c>
      <c r="F6493" s="208" t="s">
        <v>130</v>
      </c>
      <c r="G6493" s="208" t="s">
        <v>130</v>
      </c>
      <c r="H6493" s="208" t="s">
        <v>1138</v>
      </c>
      <c r="I6493" s="208"/>
      <c r="J6493" s="209"/>
      <c r="K6493" s="209"/>
      <c r="L6493" s="209"/>
      <c r="M6493" s="209"/>
      <c r="N6493" s="209"/>
      <c r="O6493" s="209"/>
      <c r="P6493" s="209"/>
      <c r="Q6493" s="209"/>
      <c r="R6493" s="209"/>
      <c r="S6493" s="209"/>
      <c r="T6493" s="209"/>
      <c r="U6493" s="451"/>
      <c r="V6493" s="451"/>
      <c r="W6493" s="451"/>
      <c r="X6493" s="451"/>
      <c r="Y6493" s="451"/>
      <c r="Z6493" s="451"/>
      <c r="AA6493" s="451"/>
      <c r="AB6493" s="451"/>
      <c r="AC6493" s="451"/>
      <c r="AD6493" s="451"/>
      <c r="AE6493" s="451"/>
      <c r="AF6493" s="451"/>
      <c r="AG6493" s="451"/>
      <c r="AH6493" s="451"/>
      <c r="AI6493" s="451"/>
      <c r="AJ6493" s="451"/>
      <c r="AK6493" s="451"/>
      <c r="AL6493" s="451"/>
      <c r="AM6493" s="451"/>
      <c r="AN6493" s="451"/>
      <c r="AO6493" s="451"/>
      <c r="AP6493" s="451"/>
      <c r="AQ6493" s="451"/>
      <c r="AR6493" s="451"/>
      <c r="AS6493" s="451"/>
      <c r="AT6493" s="451"/>
      <c r="AU6493" s="451"/>
      <c r="AV6493" s="451"/>
      <c r="AW6493" s="451"/>
      <c r="AX6493" s="451"/>
      <c r="AY6493" s="451"/>
      <c r="AZ6493" s="451"/>
      <c r="BA6493" s="451"/>
      <c r="BB6493" s="451"/>
      <c r="BC6493" s="451"/>
      <c r="BD6493" s="451"/>
      <c r="BE6493" s="451"/>
      <c r="BF6493" s="451"/>
      <c r="BG6493" s="451"/>
      <c r="BH6493" s="451"/>
      <c r="BI6493" s="451"/>
      <c r="BJ6493" s="451"/>
      <c r="BK6493" s="451"/>
      <c r="BL6493" s="451"/>
      <c r="BM6493" s="451"/>
      <c r="BN6493" s="451"/>
      <c r="BO6493" s="451"/>
      <c r="BP6493" s="451"/>
      <c r="BQ6493" s="451"/>
      <c r="BR6493" s="451"/>
      <c r="BS6493" s="451"/>
      <c r="BT6493" s="451"/>
      <c r="BU6493" s="451"/>
      <c r="BV6493" s="451"/>
      <c r="BW6493" s="451"/>
      <c r="BX6493" s="451"/>
      <c r="BY6493" s="451"/>
      <c r="BZ6493" s="451"/>
      <c r="CA6493" s="451"/>
      <c r="CB6493" s="451"/>
      <c r="CC6493" s="451"/>
      <c r="CD6493" s="451"/>
      <c r="CE6493" s="451"/>
      <c r="CF6493" s="451"/>
      <c r="CG6493" s="451"/>
      <c r="CH6493" s="451"/>
      <c r="CI6493" s="451"/>
      <c r="CJ6493" s="451"/>
      <c r="CK6493" s="451"/>
      <c r="CL6493" s="451"/>
      <c r="CM6493" s="451"/>
      <c r="CN6493" s="451"/>
      <c r="CO6493" s="451"/>
      <c r="CP6493" s="451"/>
      <c r="CQ6493" s="451"/>
      <c r="CR6493" s="451"/>
      <c r="CS6493" s="451"/>
      <c r="CT6493" s="451"/>
      <c r="CU6493" s="451"/>
      <c r="CV6493" s="451"/>
      <c r="CW6493" s="451"/>
      <c r="CX6493" s="451"/>
      <c r="CY6493" s="451"/>
      <c r="CZ6493" s="451"/>
      <c r="DA6493" s="451"/>
      <c r="DB6493" s="451"/>
      <c r="DC6493" s="451"/>
      <c r="DD6493" s="451"/>
      <c r="DE6493" s="451"/>
      <c r="DF6493" s="451"/>
      <c r="DG6493" s="451"/>
      <c r="DH6493" s="451"/>
      <c r="DI6493" s="451"/>
      <c r="DJ6493" s="451"/>
      <c r="DK6493" s="451"/>
      <c r="DL6493" s="451"/>
      <c r="DM6493" s="451"/>
      <c r="DN6493" s="451"/>
      <c r="DO6493" s="451"/>
      <c r="DP6493" s="451"/>
      <c r="DQ6493" s="451"/>
      <c r="DR6493" s="451"/>
      <c r="DS6493" s="451"/>
      <c r="DT6493" s="451"/>
      <c r="DU6493" s="451"/>
      <c r="DV6493" s="451"/>
      <c r="DW6493" s="451"/>
      <c r="DX6493" s="451"/>
      <c r="DY6493" s="451"/>
      <c r="DZ6493" s="451"/>
      <c r="EA6493" s="451"/>
      <c r="EB6493" s="451"/>
      <c r="EC6493" s="451"/>
      <c r="ED6493" s="451"/>
      <c r="EE6493" s="451"/>
      <c r="EF6493" s="451"/>
      <c r="EG6493" s="451"/>
      <c r="EH6493" s="451"/>
      <c r="EI6493" s="451"/>
      <c r="EJ6493" s="451"/>
      <c r="EK6493" s="451"/>
      <c r="EL6493" s="451"/>
      <c r="EM6493" s="451"/>
      <c r="EN6493" s="451"/>
      <c r="EO6493" s="451"/>
      <c r="EP6493" s="451"/>
      <c r="EQ6493" s="451"/>
      <c r="ER6493" s="451"/>
      <c r="ES6493" s="451"/>
    </row>
    <row r="6494" spans="1:149" ht="15" hidden="1" customHeight="1">
      <c r="A6494" s="468">
        <v>45559</v>
      </c>
      <c r="B6494" s="208" t="s">
        <v>5273</v>
      </c>
      <c r="C6494" s="208" t="s">
        <v>27</v>
      </c>
      <c r="D6494" s="211">
        <v>-13156950</v>
      </c>
      <c r="E6494" s="212">
        <v>45536</v>
      </c>
      <c r="F6494" s="208" t="s">
        <v>109</v>
      </c>
      <c r="G6494" s="208" t="s">
        <v>3529</v>
      </c>
      <c r="H6494" s="201" t="s">
        <v>418</v>
      </c>
      <c r="I6494" s="208"/>
      <c r="J6494" s="209"/>
      <c r="K6494" s="209"/>
      <c r="L6494" s="209"/>
      <c r="M6494" s="209"/>
      <c r="N6494" s="209"/>
      <c r="O6494" s="209"/>
      <c r="P6494" s="209"/>
      <c r="Q6494" s="209"/>
      <c r="R6494" s="209"/>
      <c r="S6494" s="209"/>
      <c r="T6494" s="209"/>
      <c r="U6494" s="451"/>
      <c r="V6494" s="451"/>
      <c r="W6494" s="451"/>
      <c r="X6494" s="451"/>
      <c r="Y6494" s="451"/>
      <c r="Z6494" s="451"/>
      <c r="AA6494" s="451"/>
      <c r="AB6494" s="451"/>
      <c r="AC6494" s="451"/>
      <c r="AD6494" s="451"/>
      <c r="AE6494" s="451"/>
      <c r="AF6494" s="451"/>
      <c r="AG6494" s="451"/>
      <c r="AH6494" s="451"/>
      <c r="AI6494" s="451"/>
      <c r="AJ6494" s="451"/>
      <c r="AK6494" s="451"/>
      <c r="AL6494" s="451"/>
      <c r="AM6494" s="451"/>
      <c r="AN6494" s="451"/>
      <c r="AO6494" s="451"/>
      <c r="AP6494" s="451"/>
      <c r="AQ6494" s="451"/>
      <c r="AR6494" s="451"/>
      <c r="AS6494" s="451"/>
      <c r="AT6494" s="451"/>
      <c r="AU6494" s="451"/>
      <c r="AV6494" s="451"/>
      <c r="AW6494" s="451"/>
      <c r="AX6494" s="451"/>
      <c r="AY6494" s="451"/>
      <c r="AZ6494" s="451"/>
      <c r="BA6494" s="451"/>
      <c r="BB6494" s="451"/>
      <c r="BC6494" s="451"/>
      <c r="BD6494" s="451"/>
      <c r="BE6494" s="451"/>
      <c r="BF6494" s="451"/>
      <c r="BG6494" s="451"/>
      <c r="BH6494" s="451"/>
      <c r="BI6494" s="451"/>
      <c r="BJ6494" s="451"/>
      <c r="BK6494" s="451"/>
      <c r="BL6494" s="451"/>
      <c r="BM6494" s="451"/>
      <c r="BN6494" s="451"/>
      <c r="BO6494" s="451"/>
      <c r="BP6494" s="451"/>
      <c r="BQ6494" s="451"/>
      <c r="BR6494" s="451"/>
      <c r="BS6494" s="451"/>
      <c r="BT6494" s="451"/>
      <c r="BU6494" s="451"/>
      <c r="BV6494" s="451"/>
      <c r="BW6494" s="451"/>
      <c r="BX6494" s="451"/>
      <c r="BY6494" s="451"/>
      <c r="BZ6494" s="451"/>
      <c r="CA6494" s="451"/>
      <c r="CB6494" s="451"/>
      <c r="CC6494" s="451"/>
      <c r="CD6494" s="451"/>
      <c r="CE6494" s="451"/>
      <c r="CF6494" s="451"/>
      <c r="CG6494" s="451"/>
      <c r="CH6494" s="451"/>
      <c r="CI6494" s="451"/>
      <c r="CJ6494" s="451"/>
      <c r="CK6494" s="451"/>
      <c r="CL6494" s="451"/>
      <c r="CM6494" s="451"/>
      <c r="CN6494" s="451"/>
      <c r="CO6494" s="451"/>
      <c r="CP6494" s="451"/>
      <c r="CQ6494" s="451"/>
      <c r="CR6494" s="451"/>
      <c r="CS6494" s="451"/>
      <c r="CT6494" s="451"/>
      <c r="CU6494" s="451"/>
      <c r="CV6494" s="451"/>
      <c r="CW6494" s="451"/>
      <c r="CX6494" s="451"/>
      <c r="CY6494" s="451"/>
      <c r="CZ6494" s="451"/>
      <c r="DA6494" s="451"/>
      <c r="DB6494" s="451"/>
      <c r="DC6494" s="451"/>
      <c r="DD6494" s="451"/>
      <c r="DE6494" s="451"/>
      <c r="DF6494" s="451"/>
      <c r="DG6494" s="451"/>
      <c r="DH6494" s="451"/>
      <c r="DI6494" s="451"/>
      <c r="DJ6494" s="451"/>
      <c r="DK6494" s="451"/>
      <c r="DL6494" s="451"/>
      <c r="DM6494" s="451"/>
      <c r="DN6494" s="451"/>
      <c r="DO6494" s="451"/>
      <c r="DP6494" s="451"/>
      <c r="DQ6494" s="451"/>
      <c r="DR6494" s="451"/>
      <c r="DS6494" s="451"/>
      <c r="DT6494" s="451"/>
      <c r="DU6494" s="451"/>
      <c r="DV6494" s="451"/>
      <c r="DW6494" s="451"/>
      <c r="DX6494" s="451"/>
      <c r="DY6494" s="451"/>
      <c r="DZ6494" s="451"/>
      <c r="EA6494" s="451"/>
      <c r="EB6494" s="451"/>
      <c r="EC6494" s="451"/>
      <c r="ED6494" s="451"/>
      <c r="EE6494" s="451"/>
      <c r="EF6494" s="451"/>
      <c r="EG6494" s="451"/>
      <c r="EH6494" s="451"/>
      <c r="EI6494" s="451"/>
      <c r="EJ6494" s="451"/>
      <c r="EK6494" s="451"/>
      <c r="EL6494" s="451"/>
      <c r="EM6494" s="451"/>
      <c r="EN6494" s="451"/>
      <c r="EO6494" s="451"/>
      <c r="EP6494" s="451"/>
      <c r="EQ6494" s="451"/>
      <c r="ER6494" s="451"/>
      <c r="ES6494" s="451"/>
    </row>
    <row r="6495" spans="1:149" ht="15" hidden="1" customHeight="1">
      <c r="A6495" s="468">
        <v>45559</v>
      </c>
      <c r="B6495" s="208" t="s">
        <v>5274</v>
      </c>
      <c r="C6495" s="208" t="s">
        <v>3331</v>
      </c>
      <c r="D6495" s="211">
        <v>-718683</v>
      </c>
      <c r="E6495" s="212">
        <v>45536</v>
      </c>
      <c r="F6495" s="208" t="s">
        <v>2531</v>
      </c>
      <c r="G6495" s="208" t="s">
        <v>774</v>
      </c>
      <c r="H6495" s="208" t="s">
        <v>585</v>
      </c>
      <c r="I6495" s="208"/>
      <c r="J6495" s="209"/>
      <c r="K6495" s="209"/>
      <c r="L6495" s="209"/>
      <c r="M6495" s="209"/>
      <c r="N6495" s="209"/>
      <c r="O6495" s="209"/>
      <c r="P6495" s="209"/>
      <c r="Q6495" s="209"/>
      <c r="R6495" s="209"/>
      <c r="S6495" s="209"/>
      <c r="T6495" s="209"/>
    </row>
    <row r="6496" spans="1:149" ht="15" hidden="1" customHeight="1">
      <c r="A6496" s="468">
        <v>45559</v>
      </c>
      <c r="B6496" s="208" t="s">
        <v>2614</v>
      </c>
      <c r="C6496" s="208" t="s">
        <v>27</v>
      </c>
      <c r="D6496" s="211">
        <v>-74933</v>
      </c>
      <c r="E6496" s="212">
        <v>45536</v>
      </c>
      <c r="F6496" s="208" t="s">
        <v>109</v>
      </c>
      <c r="G6496" s="208" t="s">
        <v>3529</v>
      </c>
      <c r="H6496" s="208" t="s">
        <v>175</v>
      </c>
      <c r="I6496" s="208"/>
      <c r="J6496" s="209"/>
      <c r="K6496" s="209"/>
      <c r="L6496" s="209"/>
      <c r="M6496" s="209"/>
      <c r="N6496" s="209"/>
      <c r="O6496" s="209"/>
      <c r="P6496" s="209"/>
      <c r="Q6496" s="209"/>
      <c r="R6496" s="209"/>
      <c r="S6496" s="209"/>
      <c r="T6496" s="209"/>
      <c r="U6496" s="451"/>
      <c r="V6496" s="451"/>
      <c r="W6496" s="451"/>
      <c r="X6496" s="451"/>
      <c r="Y6496" s="451"/>
      <c r="Z6496" s="451"/>
      <c r="AA6496" s="451"/>
      <c r="AB6496" s="451"/>
      <c r="AC6496" s="451"/>
      <c r="AD6496" s="451"/>
      <c r="AE6496" s="451"/>
      <c r="AF6496" s="451"/>
      <c r="AG6496" s="451"/>
      <c r="AH6496" s="451"/>
      <c r="AI6496" s="451"/>
      <c r="AJ6496" s="451"/>
      <c r="AK6496" s="451"/>
      <c r="AL6496" s="451"/>
      <c r="AM6496" s="451"/>
      <c r="AN6496" s="451"/>
      <c r="AO6496" s="451"/>
      <c r="AP6496" s="451"/>
      <c r="AQ6496" s="451"/>
      <c r="AR6496" s="451"/>
      <c r="AS6496" s="451"/>
      <c r="AT6496" s="451"/>
      <c r="AU6496" s="451"/>
      <c r="AV6496" s="451"/>
      <c r="AW6496" s="451"/>
      <c r="AX6496" s="451"/>
      <c r="AY6496" s="451"/>
      <c r="AZ6496" s="451"/>
      <c r="BA6496" s="451"/>
      <c r="BB6496" s="451"/>
      <c r="BC6496" s="451"/>
      <c r="BD6496" s="451"/>
      <c r="BE6496" s="451"/>
      <c r="BF6496" s="451"/>
      <c r="BG6496" s="451"/>
      <c r="BH6496" s="451"/>
      <c r="BI6496" s="451"/>
      <c r="BJ6496" s="451"/>
      <c r="BK6496" s="451"/>
      <c r="BL6496" s="451"/>
      <c r="BM6496" s="451"/>
      <c r="BN6496" s="451"/>
      <c r="BO6496" s="451"/>
      <c r="BP6496" s="451"/>
      <c r="BQ6496" s="451"/>
      <c r="BR6496" s="451"/>
      <c r="BS6496" s="451"/>
      <c r="BT6496" s="451"/>
      <c r="BU6496" s="451"/>
      <c r="BV6496" s="451"/>
      <c r="BW6496" s="451"/>
      <c r="BX6496" s="451"/>
      <c r="BY6496" s="451"/>
      <c r="BZ6496" s="451"/>
      <c r="CA6496" s="451"/>
      <c r="CB6496" s="451"/>
      <c r="CC6496" s="451"/>
      <c r="CD6496" s="451"/>
      <c r="CE6496" s="451"/>
      <c r="CF6496" s="451"/>
      <c r="CG6496" s="451"/>
      <c r="CH6496" s="451"/>
      <c r="CI6496" s="451"/>
      <c r="CJ6496" s="451"/>
      <c r="CK6496" s="451"/>
      <c r="CL6496" s="451"/>
      <c r="CM6496" s="451"/>
      <c r="CN6496" s="451"/>
      <c r="CO6496" s="451"/>
      <c r="CP6496" s="451"/>
      <c r="CQ6496" s="451"/>
      <c r="CR6496" s="451"/>
      <c r="CS6496" s="451"/>
      <c r="CT6496" s="451"/>
      <c r="CU6496" s="451"/>
      <c r="CV6496" s="451"/>
      <c r="CW6496" s="451"/>
      <c r="CX6496" s="451"/>
      <c r="CY6496" s="451"/>
      <c r="CZ6496" s="451"/>
      <c r="DA6496" s="451"/>
      <c r="DB6496" s="451"/>
      <c r="DC6496" s="451"/>
      <c r="DD6496" s="451"/>
      <c r="DE6496" s="451"/>
      <c r="DF6496" s="451"/>
      <c r="DG6496" s="451"/>
      <c r="DH6496" s="451"/>
      <c r="DI6496" s="451"/>
      <c r="DJ6496" s="451"/>
      <c r="DK6496" s="451"/>
      <c r="DL6496" s="451"/>
      <c r="DM6496" s="451"/>
      <c r="DN6496" s="451"/>
      <c r="DO6496" s="451"/>
      <c r="DP6496" s="451"/>
      <c r="DQ6496" s="451"/>
      <c r="DR6496" s="451"/>
      <c r="DS6496" s="451"/>
      <c r="DT6496" s="451"/>
      <c r="DU6496" s="451"/>
      <c r="DV6496" s="451"/>
      <c r="DW6496" s="451"/>
      <c r="DX6496" s="451"/>
      <c r="DY6496" s="451"/>
      <c r="DZ6496" s="451"/>
      <c r="EA6496" s="451"/>
      <c r="EB6496" s="451"/>
      <c r="EC6496" s="451"/>
      <c r="ED6496" s="451"/>
      <c r="EE6496" s="451"/>
      <c r="EF6496" s="451"/>
      <c r="EG6496" s="451"/>
      <c r="EH6496" s="451"/>
      <c r="EI6496" s="451"/>
      <c r="EJ6496" s="451"/>
      <c r="EK6496" s="451"/>
      <c r="EL6496" s="451"/>
      <c r="EM6496" s="451"/>
      <c r="EN6496" s="451"/>
      <c r="EO6496" s="451"/>
      <c r="EP6496" s="451"/>
      <c r="EQ6496" s="451"/>
      <c r="ER6496" s="451"/>
      <c r="ES6496" s="451"/>
    </row>
    <row r="6497" spans="1:149" ht="15" hidden="1" customHeight="1">
      <c r="A6497" s="468">
        <v>45559</v>
      </c>
      <c r="B6497" s="208" t="s">
        <v>5275</v>
      </c>
      <c r="C6497" s="208" t="s">
        <v>27</v>
      </c>
      <c r="D6497" s="211">
        <v>-4348575</v>
      </c>
      <c r="E6497" s="212">
        <v>45536</v>
      </c>
      <c r="F6497" s="208" t="s">
        <v>2531</v>
      </c>
      <c r="G6497" s="208" t="s">
        <v>4986</v>
      </c>
      <c r="H6497" s="208" t="s">
        <v>1463</v>
      </c>
      <c r="I6497" s="208"/>
      <c r="J6497" s="209"/>
      <c r="K6497" s="209"/>
      <c r="L6497" s="209"/>
      <c r="M6497" s="209"/>
      <c r="N6497" s="209"/>
      <c r="O6497" s="209"/>
      <c r="P6497" s="209"/>
      <c r="Q6497" s="209"/>
      <c r="R6497" s="209"/>
      <c r="S6497" s="209"/>
      <c r="T6497" s="209"/>
      <c r="U6497" s="451"/>
      <c r="V6497" s="451"/>
      <c r="W6497" s="451"/>
      <c r="X6497" s="451"/>
      <c r="Y6497" s="451"/>
      <c r="Z6497" s="451"/>
      <c r="AA6497" s="451"/>
      <c r="AB6497" s="451"/>
      <c r="AC6497" s="451"/>
      <c r="AD6497" s="451"/>
      <c r="AE6497" s="451"/>
      <c r="AF6497" s="451"/>
      <c r="AG6497" s="451"/>
      <c r="AH6497" s="451"/>
      <c r="AI6497" s="451"/>
      <c r="AJ6497" s="451"/>
      <c r="AK6497" s="451"/>
      <c r="AL6497" s="451"/>
      <c r="AM6497" s="451"/>
      <c r="AN6497" s="451"/>
      <c r="AO6497" s="451"/>
      <c r="AP6497" s="451"/>
      <c r="AQ6497" s="451"/>
      <c r="AR6497" s="451"/>
      <c r="AS6497" s="451"/>
      <c r="AT6497" s="451"/>
      <c r="AU6497" s="451"/>
      <c r="AV6497" s="451"/>
      <c r="AW6497" s="451"/>
      <c r="AX6497" s="451"/>
      <c r="AY6497" s="451"/>
      <c r="AZ6497" s="451"/>
      <c r="BA6497" s="451"/>
      <c r="BB6497" s="451"/>
      <c r="BC6497" s="451"/>
      <c r="BD6497" s="451"/>
      <c r="BE6497" s="451"/>
      <c r="BF6497" s="451"/>
      <c r="BG6497" s="451"/>
      <c r="BH6497" s="451"/>
      <c r="BI6497" s="451"/>
      <c r="BJ6497" s="451"/>
      <c r="BK6497" s="451"/>
      <c r="BL6497" s="451"/>
      <c r="BM6497" s="451"/>
      <c r="BN6497" s="451"/>
      <c r="BO6497" s="451"/>
      <c r="BP6497" s="451"/>
      <c r="BQ6497" s="451"/>
      <c r="BR6497" s="451"/>
      <c r="BS6497" s="451"/>
      <c r="BT6497" s="451"/>
      <c r="BU6497" s="451"/>
      <c r="BV6497" s="451"/>
      <c r="BW6497" s="451"/>
      <c r="BX6497" s="451"/>
      <c r="BY6497" s="451"/>
      <c r="BZ6497" s="451"/>
      <c r="CA6497" s="451"/>
      <c r="CB6497" s="451"/>
      <c r="CC6497" s="451"/>
      <c r="CD6497" s="451"/>
      <c r="CE6497" s="451"/>
      <c r="CF6497" s="451"/>
      <c r="CG6497" s="451"/>
      <c r="CH6497" s="451"/>
      <c r="CI6497" s="451"/>
      <c r="CJ6497" s="451"/>
      <c r="CK6497" s="451"/>
      <c r="CL6497" s="451"/>
      <c r="CM6497" s="451"/>
      <c r="CN6497" s="451"/>
      <c r="CO6497" s="451"/>
      <c r="CP6497" s="451"/>
      <c r="CQ6497" s="451"/>
      <c r="CR6497" s="451"/>
      <c r="CS6497" s="451"/>
      <c r="CT6497" s="451"/>
      <c r="CU6497" s="451"/>
      <c r="CV6497" s="451"/>
      <c r="CW6497" s="451"/>
      <c r="CX6497" s="451"/>
      <c r="CY6497" s="451"/>
      <c r="CZ6497" s="451"/>
      <c r="DA6497" s="451"/>
      <c r="DB6497" s="451"/>
      <c r="DC6497" s="451"/>
      <c r="DD6497" s="451"/>
      <c r="DE6497" s="451"/>
      <c r="DF6497" s="451"/>
      <c r="DG6497" s="451"/>
      <c r="DH6497" s="451"/>
      <c r="DI6497" s="451"/>
      <c r="DJ6497" s="451"/>
      <c r="DK6497" s="451"/>
      <c r="DL6497" s="451"/>
      <c r="DM6497" s="451"/>
      <c r="DN6497" s="451"/>
      <c r="DO6497" s="451"/>
      <c r="DP6497" s="451"/>
      <c r="DQ6497" s="451"/>
      <c r="DR6497" s="451"/>
      <c r="DS6497" s="451"/>
      <c r="DT6497" s="451"/>
      <c r="DU6497" s="451"/>
      <c r="DV6497" s="451"/>
      <c r="DW6497" s="451"/>
      <c r="DX6497" s="451"/>
      <c r="DY6497" s="451"/>
      <c r="DZ6497" s="451"/>
      <c r="EA6497" s="451"/>
      <c r="EB6497" s="451"/>
      <c r="EC6497" s="451"/>
      <c r="ED6497" s="451"/>
      <c r="EE6497" s="451"/>
      <c r="EF6497" s="451"/>
      <c r="EG6497" s="451"/>
      <c r="EH6497" s="451"/>
      <c r="EI6497" s="451"/>
      <c r="EJ6497" s="451"/>
      <c r="EK6497" s="451"/>
      <c r="EL6497" s="451"/>
      <c r="EM6497" s="451"/>
      <c r="EN6497" s="451"/>
      <c r="EO6497" s="451"/>
      <c r="EP6497" s="451"/>
      <c r="EQ6497" s="451"/>
      <c r="ER6497" s="451"/>
      <c r="ES6497" s="451"/>
    </row>
    <row r="6498" spans="1:149" ht="15" hidden="1" customHeight="1">
      <c r="A6498" s="468">
        <v>45559</v>
      </c>
      <c r="B6498" s="208" t="s">
        <v>5276</v>
      </c>
      <c r="C6498" s="208" t="s">
        <v>27</v>
      </c>
      <c r="D6498" s="211">
        <v>-909313</v>
      </c>
      <c r="E6498" s="212">
        <v>45536</v>
      </c>
      <c r="F6498" s="208" t="s">
        <v>2531</v>
      </c>
      <c r="G6498" s="208" t="s">
        <v>4986</v>
      </c>
      <c r="H6498" s="208" t="s">
        <v>1463</v>
      </c>
      <c r="I6498" s="208"/>
      <c r="J6498" s="209"/>
      <c r="K6498" s="209"/>
      <c r="L6498" s="209"/>
      <c r="M6498" s="209"/>
      <c r="N6498" s="209"/>
      <c r="O6498" s="209"/>
      <c r="P6498" s="209"/>
      <c r="Q6498" s="209"/>
      <c r="R6498" s="209"/>
      <c r="S6498" s="209"/>
      <c r="T6498" s="209"/>
      <c r="U6498" s="451"/>
      <c r="V6498" s="451"/>
      <c r="W6498" s="451"/>
      <c r="X6498" s="451"/>
      <c r="Y6498" s="451"/>
      <c r="Z6498" s="451"/>
      <c r="AA6498" s="451"/>
      <c r="AB6498" s="451"/>
      <c r="AC6498" s="451"/>
      <c r="AD6498" s="451"/>
      <c r="AE6498" s="451"/>
      <c r="AF6498" s="451"/>
      <c r="AG6498" s="451"/>
      <c r="AH6498" s="451"/>
      <c r="AI6498" s="451"/>
      <c r="AJ6498" s="451"/>
      <c r="AK6498" s="451"/>
      <c r="AL6498" s="451"/>
      <c r="AM6498" s="451"/>
      <c r="AN6498" s="451"/>
      <c r="AO6498" s="451"/>
      <c r="AP6498" s="451"/>
      <c r="AQ6498" s="451"/>
      <c r="AR6498" s="451"/>
      <c r="AS6498" s="451"/>
      <c r="AT6498" s="451"/>
      <c r="AU6498" s="451"/>
      <c r="AV6498" s="451"/>
      <c r="AW6498" s="451"/>
      <c r="AX6498" s="451"/>
      <c r="AY6498" s="451"/>
      <c r="AZ6498" s="451"/>
      <c r="BA6498" s="451"/>
      <c r="BB6498" s="451"/>
      <c r="BC6498" s="451"/>
      <c r="BD6498" s="451"/>
      <c r="BE6498" s="451"/>
      <c r="BF6498" s="451"/>
      <c r="BG6498" s="451"/>
      <c r="BH6498" s="451"/>
      <c r="BI6498" s="451"/>
      <c r="BJ6498" s="451"/>
      <c r="BK6498" s="451"/>
      <c r="BL6498" s="451"/>
      <c r="BM6498" s="451"/>
      <c r="BN6498" s="451"/>
      <c r="BO6498" s="451"/>
      <c r="BP6498" s="451"/>
      <c r="BQ6498" s="451"/>
      <c r="BR6498" s="451"/>
      <c r="BS6498" s="451"/>
      <c r="BT6498" s="451"/>
      <c r="BU6498" s="451"/>
      <c r="BV6498" s="451"/>
      <c r="BW6498" s="451"/>
      <c r="BX6498" s="451"/>
      <c r="BY6498" s="451"/>
      <c r="BZ6498" s="451"/>
      <c r="CA6498" s="451"/>
      <c r="CB6498" s="451"/>
      <c r="CC6498" s="451"/>
      <c r="CD6498" s="451"/>
      <c r="CE6498" s="451"/>
      <c r="CF6498" s="451"/>
      <c r="CG6498" s="451"/>
      <c r="CH6498" s="451"/>
      <c r="CI6498" s="451"/>
      <c r="CJ6498" s="451"/>
      <c r="CK6498" s="451"/>
      <c r="CL6498" s="451"/>
      <c r="CM6498" s="451"/>
      <c r="CN6498" s="451"/>
      <c r="CO6498" s="451"/>
      <c r="CP6498" s="451"/>
      <c r="CQ6498" s="451"/>
      <c r="CR6498" s="451"/>
      <c r="CS6498" s="451"/>
      <c r="CT6498" s="451"/>
      <c r="CU6498" s="451"/>
      <c r="CV6498" s="451"/>
      <c r="CW6498" s="451"/>
      <c r="CX6498" s="451"/>
      <c r="CY6498" s="451"/>
      <c r="CZ6498" s="451"/>
      <c r="DA6498" s="451"/>
      <c r="DB6498" s="451"/>
      <c r="DC6498" s="451"/>
      <c r="DD6498" s="451"/>
      <c r="DE6498" s="451"/>
      <c r="DF6498" s="451"/>
      <c r="DG6498" s="451"/>
      <c r="DH6498" s="451"/>
      <c r="DI6498" s="451"/>
      <c r="DJ6498" s="451"/>
      <c r="DK6498" s="451"/>
      <c r="DL6498" s="451"/>
      <c r="DM6498" s="451"/>
      <c r="DN6498" s="451"/>
      <c r="DO6498" s="451"/>
      <c r="DP6498" s="451"/>
      <c r="DQ6498" s="451"/>
      <c r="DR6498" s="451"/>
      <c r="DS6498" s="451"/>
      <c r="DT6498" s="451"/>
      <c r="DU6498" s="451"/>
      <c r="DV6498" s="451"/>
      <c r="DW6498" s="451"/>
      <c r="DX6498" s="451"/>
      <c r="DY6498" s="451"/>
      <c r="DZ6498" s="451"/>
      <c r="EA6498" s="451"/>
      <c r="EB6498" s="451"/>
      <c r="EC6498" s="451"/>
      <c r="ED6498" s="451"/>
      <c r="EE6498" s="451"/>
      <c r="EF6498" s="451"/>
      <c r="EG6498" s="451"/>
      <c r="EH6498" s="451"/>
      <c r="EI6498" s="451"/>
      <c r="EJ6498" s="451"/>
      <c r="EK6498" s="451"/>
      <c r="EL6498" s="451"/>
      <c r="EM6498" s="451"/>
      <c r="EN6498" s="451"/>
      <c r="EO6498" s="451"/>
      <c r="EP6498" s="451"/>
      <c r="EQ6498" s="451"/>
      <c r="ER6498" s="451"/>
      <c r="ES6498" s="451"/>
    </row>
    <row r="6499" spans="1:149" ht="15" hidden="1" customHeight="1">
      <c r="A6499" s="468">
        <v>45559</v>
      </c>
      <c r="B6499" s="208" t="s">
        <v>5277</v>
      </c>
      <c r="C6499" s="208" t="s">
        <v>27</v>
      </c>
      <c r="D6499" s="211">
        <v>-1119000</v>
      </c>
      <c r="E6499" s="212">
        <v>45536</v>
      </c>
      <c r="F6499" s="208" t="s">
        <v>3679</v>
      </c>
      <c r="G6499" s="208"/>
      <c r="H6499" s="208"/>
      <c r="I6499" s="208"/>
      <c r="J6499" s="209"/>
      <c r="K6499" s="209"/>
      <c r="L6499" s="209"/>
      <c r="M6499" s="209"/>
      <c r="N6499" s="209"/>
      <c r="O6499" s="209"/>
      <c r="P6499" s="209"/>
      <c r="Q6499" s="209"/>
      <c r="R6499" s="209"/>
      <c r="S6499" s="209"/>
      <c r="T6499" s="209"/>
      <c r="U6499" s="451"/>
      <c r="V6499" s="451"/>
      <c r="W6499" s="451"/>
      <c r="X6499" s="451"/>
      <c r="Y6499" s="451"/>
      <c r="Z6499" s="451"/>
      <c r="AA6499" s="451"/>
      <c r="AB6499" s="451"/>
      <c r="AC6499" s="451"/>
      <c r="AD6499" s="451"/>
      <c r="AE6499" s="451"/>
      <c r="AF6499" s="451"/>
      <c r="AG6499" s="451"/>
      <c r="AH6499" s="451"/>
      <c r="AI6499" s="451"/>
      <c r="AJ6499" s="451"/>
      <c r="AK6499" s="451"/>
      <c r="AL6499" s="451"/>
      <c r="AM6499" s="451"/>
      <c r="AN6499" s="451"/>
      <c r="AO6499" s="451"/>
      <c r="AP6499" s="451"/>
      <c r="AQ6499" s="451"/>
      <c r="AR6499" s="451"/>
      <c r="AS6499" s="451"/>
      <c r="AT6499" s="451"/>
      <c r="AU6499" s="451"/>
      <c r="AV6499" s="451"/>
      <c r="AW6499" s="451"/>
      <c r="AX6499" s="451"/>
      <c r="AY6499" s="451"/>
      <c r="AZ6499" s="451"/>
      <c r="BA6499" s="451"/>
      <c r="BB6499" s="451"/>
      <c r="BC6499" s="451"/>
      <c r="BD6499" s="451"/>
      <c r="BE6499" s="451"/>
      <c r="BF6499" s="451"/>
      <c r="BG6499" s="451"/>
      <c r="BH6499" s="451"/>
      <c r="BI6499" s="451"/>
      <c r="BJ6499" s="451"/>
      <c r="BK6499" s="451"/>
      <c r="BL6499" s="451"/>
      <c r="BM6499" s="451"/>
      <c r="BN6499" s="451"/>
      <c r="BO6499" s="451"/>
      <c r="BP6499" s="451"/>
      <c r="BQ6499" s="451"/>
      <c r="BR6499" s="451"/>
      <c r="BS6499" s="451"/>
      <c r="BT6499" s="451"/>
      <c r="BU6499" s="451"/>
      <c r="BV6499" s="451"/>
      <c r="BW6499" s="451"/>
      <c r="BX6499" s="451"/>
      <c r="BY6499" s="451"/>
      <c r="BZ6499" s="451"/>
      <c r="CA6499" s="451"/>
      <c r="CB6499" s="451"/>
      <c r="CC6499" s="451"/>
      <c r="CD6499" s="451"/>
      <c r="CE6499" s="451"/>
      <c r="CF6499" s="451"/>
      <c r="CG6499" s="451"/>
      <c r="CH6499" s="451"/>
      <c r="CI6499" s="451"/>
      <c r="CJ6499" s="451"/>
      <c r="CK6499" s="451"/>
      <c r="CL6499" s="451"/>
      <c r="CM6499" s="451"/>
      <c r="CN6499" s="451"/>
      <c r="CO6499" s="451"/>
      <c r="CP6499" s="451"/>
      <c r="CQ6499" s="451"/>
      <c r="CR6499" s="451"/>
      <c r="CS6499" s="451"/>
      <c r="CT6499" s="451"/>
      <c r="CU6499" s="451"/>
      <c r="CV6499" s="451"/>
      <c r="CW6499" s="451"/>
      <c r="CX6499" s="451"/>
      <c r="CY6499" s="451"/>
      <c r="CZ6499" s="451"/>
      <c r="DA6499" s="451"/>
      <c r="DB6499" s="451"/>
      <c r="DC6499" s="451"/>
      <c r="DD6499" s="451"/>
      <c r="DE6499" s="451"/>
      <c r="DF6499" s="451"/>
      <c r="DG6499" s="451"/>
      <c r="DH6499" s="451"/>
      <c r="DI6499" s="451"/>
      <c r="DJ6499" s="451"/>
      <c r="DK6499" s="451"/>
      <c r="DL6499" s="451"/>
      <c r="DM6499" s="451"/>
      <c r="DN6499" s="451"/>
      <c r="DO6499" s="451"/>
      <c r="DP6499" s="451"/>
      <c r="DQ6499" s="451"/>
      <c r="DR6499" s="451"/>
      <c r="DS6499" s="451"/>
      <c r="DT6499" s="451"/>
      <c r="DU6499" s="451"/>
      <c r="DV6499" s="451"/>
      <c r="DW6499" s="451"/>
      <c r="DX6499" s="451"/>
      <c r="DY6499" s="451"/>
      <c r="DZ6499" s="451"/>
      <c r="EA6499" s="451"/>
      <c r="EB6499" s="451"/>
      <c r="EC6499" s="451"/>
      <c r="ED6499" s="451"/>
      <c r="EE6499" s="451"/>
      <c r="EF6499" s="451"/>
      <c r="EG6499" s="451"/>
      <c r="EH6499" s="451"/>
      <c r="EI6499" s="451"/>
      <c r="EJ6499" s="451"/>
      <c r="EK6499" s="451"/>
      <c r="EL6499" s="451"/>
      <c r="EM6499" s="451"/>
      <c r="EN6499" s="451"/>
      <c r="EO6499" s="451"/>
      <c r="EP6499" s="451"/>
      <c r="EQ6499" s="451"/>
      <c r="ER6499" s="451"/>
      <c r="ES6499" s="451"/>
    </row>
    <row r="6500" spans="1:149" ht="15" hidden="1" customHeight="1">
      <c r="A6500" s="468">
        <v>45559</v>
      </c>
      <c r="B6500" s="208" t="s">
        <v>5278</v>
      </c>
      <c r="C6500" s="208" t="s">
        <v>3331</v>
      </c>
      <c r="D6500" s="211">
        <v>-1152720</v>
      </c>
      <c r="E6500" s="212">
        <v>45536</v>
      </c>
      <c r="F6500" s="208" t="s">
        <v>130</v>
      </c>
      <c r="G6500" s="208" t="s">
        <v>130</v>
      </c>
      <c r="H6500" s="208" t="s">
        <v>2444</v>
      </c>
      <c r="I6500" s="208"/>
      <c r="J6500" s="209"/>
      <c r="K6500" s="209"/>
      <c r="L6500" s="209"/>
      <c r="M6500" s="209"/>
      <c r="N6500" s="209"/>
      <c r="O6500" s="209"/>
      <c r="P6500" s="209"/>
      <c r="Q6500" s="209"/>
      <c r="R6500" s="209"/>
      <c r="S6500" s="209"/>
      <c r="T6500" s="209"/>
    </row>
    <row r="6501" spans="1:149" s="209" customFormat="1" ht="15" hidden="1" customHeight="1">
      <c r="A6501" s="468">
        <v>45559</v>
      </c>
      <c r="B6501" s="208" t="s">
        <v>5028</v>
      </c>
      <c r="C6501" s="208" t="s">
        <v>3331</v>
      </c>
      <c r="D6501" s="211">
        <v>1000000</v>
      </c>
      <c r="E6501" s="212">
        <v>45536</v>
      </c>
      <c r="F6501" s="208" t="s">
        <v>108</v>
      </c>
      <c r="G6501" s="208"/>
      <c r="H6501" s="208"/>
      <c r="I6501" s="208"/>
    </row>
    <row r="6502" spans="1:149" s="209" customFormat="1" ht="15" hidden="1" customHeight="1">
      <c r="A6502" s="468">
        <v>45559</v>
      </c>
      <c r="B6502" s="208" t="s">
        <v>5279</v>
      </c>
      <c r="C6502" s="208" t="s">
        <v>146</v>
      </c>
      <c r="D6502" s="211">
        <v>-54000</v>
      </c>
      <c r="E6502" s="212">
        <v>45536</v>
      </c>
      <c r="F6502" s="208" t="s">
        <v>109</v>
      </c>
      <c r="G6502" s="201" t="s">
        <v>581</v>
      </c>
      <c r="H6502" s="208"/>
      <c r="I6502" s="208" t="s">
        <v>3364</v>
      </c>
    </row>
    <row r="6503" spans="1:149" s="209" customFormat="1" ht="15" hidden="1" customHeight="1">
      <c r="A6503" s="468">
        <v>45559</v>
      </c>
      <c r="B6503" s="208" t="s">
        <v>5280</v>
      </c>
      <c r="C6503" s="208" t="s">
        <v>146</v>
      </c>
      <c r="D6503" s="211">
        <v>-86000</v>
      </c>
      <c r="E6503" s="212">
        <v>45536</v>
      </c>
      <c r="F6503" s="208" t="s">
        <v>109</v>
      </c>
      <c r="G6503" s="201" t="s">
        <v>581</v>
      </c>
      <c r="H6503" s="208"/>
      <c r="I6503" s="208" t="s">
        <v>3364</v>
      </c>
    </row>
    <row r="6504" spans="1:149" ht="15" hidden="1" customHeight="1">
      <c r="A6504" s="468">
        <v>45559</v>
      </c>
      <c r="B6504" s="208" t="s">
        <v>2663</v>
      </c>
      <c r="C6504" s="208" t="s">
        <v>146</v>
      </c>
      <c r="D6504" s="211">
        <v>-21000</v>
      </c>
      <c r="E6504" s="212">
        <v>45536</v>
      </c>
      <c r="F6504" s="208" t="s">
        <v>110</v>
      </c>
      <c r="G6504" s="208" t="s">
        <v>4399</v>
      </c>
      <c r="H6504" s="208" t="s">
        <v>138</v>
      </c>
      <c r="I6504" s="208"/>
      <c r="J6504" s="209"/>
      <c r="K6504" s="209"/>
      <c r="L6504" s="209"/>
      <c r="M6504" s="209"/>
      <c r="N6504" s="209"/>
      <c r="O6504" s="209"/>
      <c r="P6504" s="209"/>
      <c r="Q6504" s="209"/>
      <c r="R6504" s="209"/>
      <c r="S6504" s="209"/>
      <c r="T6504" s="209"/>
    </row>
    <row r="6505" spans="1:149" ht="15" hidden="1" customHeight="1">
      <c r="A6505" s="468">
        <v>45559</v>
      </c>
      <c r="B6505" s="208" t="s">
        <v>2663</v>
      </c>
      <c r="C6505" s="208" t="s">
        <v>146</v>
      </c>
      <c r="D6505" s="211">
        <v>-49000</v>
      </c>
      <c r="E6505" s="212">
        <v>45536</v>
      </c>
      <c r="F6505" s="208" t="s">
        <v>109</v>
      </c>
      <c r="G6505" s="208" t="s">
        <v>3529</v>
      </c>
      <c r="H6505" s="208" t="s">
        <v>138</v>
      </c>
      <c r="I6505" s="208"/>
      <c r="J6505" s="209"/>
      <c r="K6505" s="209"/>
      <c r="L6505" s="209"/>
      <c r="M6505" s="209"/>
      <c r="N6505" s="209"/>
      <c r="O6505" s="209"/>
      <c r="P6505" s="209"/>
      <c r="Q6505" s="209"/>
      <c r="R6505" s="209"/>
      <c r="S6505" s="209"/>
      <c r="T6505" s="209"/>
    </row>
    <row r="6506" spans="1:149" ht="15" hidden="1" customHeight="1">
      <c r="A6506" s="468">
        <v>45559</v>
      </c>
      <c r="B6506" s="208" t="s">
        <v>2663</v>
      </c>
      <c r="C6506" s="208" t="s">
        <v>146</v>
      </c>
      <c r="D6506" s="211">
        <v>-21000</v>
      </c>
      <c r="E6506" s="212">
        <v>45536</v>
      </c>
      <c r="F6506" s="208" t="s">
        <v>2531</v>
      </c>
      <c r="G6506" s="201" t="s">
        <v>1489</v>
      </c>
      <c r="H6506" s="208" t="s">
        <v>138</v>
      </c>
      <c r="I6506" s="208"/>
      <c r="J6506" s="209"/>
      <c r="K6506" s="209"/>
      <c r="L6506" s="209"/>
      <c r="M6506" s="209"/>
      <c r="N6506" s="209"/>
      <c r="O6506" s="209"/>
      <c r="P6506" s="209"/>
      <c r="Q6506" s="209"/>
      <c r="R6506" s="209"/>
      <c r="S6506" s="209"/>
      <c r="T6506" s="209"/>
    </row>
    <row r="6507" spans="1:149" ht="15" hidden="1" customHeight="1">
      <c r="A6507" s="468">
        <v>45559</v>
      </c>
      <c r="B6507" s="208" t="s">
        <v>2663</v>
      </c>
      <c r="C6507" s="208" t="s">
        <v>146</v>
      </c>
      <c r="D6507" s="211">
        <v>-43000</v>
      </c>
      <c r="E6507" s="212">
        <v>45536</v>
      </c>
      <c r="F6507" s="208" t="s">
        <v>109</v>
      </c>
      <c r="G6507" s="654" t="s">
        <v>2585</v>
      </c>
      <c r="H6507" s="208" t="s">
        <v>138</v>
      </c>
      <c r="I6507" s="208"/>
      <c r="J6507" s="209"/>
      <c r="K6507" s="209"/>
      <c r="L6507" s="209"/>
      <c r="M6507" s="209"/>
      <c r="N6507" s="209"/>
      <c r="O6507" s="209"/>
      <c r="P6507" s="209"/>
      <c r="Q6507" s="209"/>
      <c r="R6507" s="209"/>
      <c r="S6507" s="209"/>
      <c r="T6507" s="209"/>
    </row>
    <row r="6508" spans="1:149" s="209" customFormat="1" ht="15" hidden="1" customHeight="1">
      <c r="A6508" s="468">
        <v>45559</v>
      </c>
      <c r="B6508" s="208" t="s">
        <v>2663</v>
      </c>
      <c r="C6508" s="208" t="s">
        <v>146</v>
      </c>
      <c r="D6508" s="211">
        <v>-28000</v>
      </c>
      <c r="E6508" s="212">
        <v>45536</v>
      </c>
      <c r="F6508" s="208" t="s">
        <v>109</v>
      </c>
      <c r="G6508" s="201" t="s">
        <v>581</v>
      </c>
      <c r="H6508" s="208"/>
      <c r="I6508" s="208"/>
    </row>
    <row r="6509" spans="1:149" ht="15" hidden="1" customHeight="1">
      <c r="A6509" s="468">
        <v>45559</v>
      </c>
      <c r="B6509" s="208" t="s">
        <v>2663</v>
      </c>
      <c r="C6509" s="208" t="s">
        <v>146</v>
      </c>
      <c r="D6509" s="211">
        <v>-14000</v>
      </c>
      <c r="E6509" s="212">
        <v>45536</v>
      </c>
      <c r="F6509" s="208" t="s">
        <v>130</v>
      </c>
      <c r="G6509" s="208" t="s">
        <v>130</v>
      </c>
      <c r="H6509" s="208" t="s">
        <v>138</v>
      </c>
      <c r="I6509" s="208"/>
      <c r="J6509" s="209"/>
      <c r="K6509" s="209"/>
      <c r="L6509" s="209"/>
      <c r="M6509" s="209"/>
      <c r="N6509" s="209"/>
      <c r="O6509" s="209"/>
      <c r="P6509" s="209"/>
      <c r="Q6509" s="209"/>
      <c r="R6509" s="209"/>
      <c r="S6509" s="209"/>
      <c r="T6509" s="209"/>
    </row>
    <row r="6510" spans="1:149" ht="15" hidden="1" customHeight="1">
      <c r="A6510" s="468">
        <v>45559</v>
      </c>
      <c r="B6510" s="208" t="s">
        <v>5281</v>
      </c>
      <c r="C6510" s="208" t="s">
        <v>146</v>
      </c>
      <c r="D6510" s="211">
        <v>-32000</v>
      </c>
      <c r="E6510" s="212">
        <v>45536</v>
      </c>
      <c r="F6510" s="208" t="s">
        <v>2531</v>
      </c>
      <c r="G6510" s="208" t="s">
        <v>774</v>
      </c>
      <c r="H6510" s="208" t="s">
        <v>138</v>
      </c>
      <c r="I6510" s="208" t="s">
        <v>3378</v>
      </c>
      <c r="J6510" s="209"/>
      <c r="K6510" s="209"/>
      <c r="L6510" s="209"/>
      <c r="M6510" s="209"/>
      <c r="N6510" s="209"/>
      <c r="O6510" s="209"/>
      <c r="P6510" s="209"/>
      <c r="Q6510" s="209"/>
      <c r="R6510" s="209"/>
      <c r="S6510" s="209"/>
      <c r="T6510" s="209"/>
    </row>
    <row r="6511" spans="1:149" ht="15" hidden="1" customHeight="1">
      <c r="A6511" s="468">
        <v>45559</v>
      </c>
      <c r="B6511" s="208" t="s">
        <v>5282</v>
      </c>
      <c r="C6511" s="208" t="s">
        <v>146</v>
      </c>
      <c r="D6511" s="211">
        <v>-36700</v>
      </c>
      <c r="E6511" s="212">
        <v>45536</v>
      </c>
      <c r="F6511" s="208" t="s">
        <v>130</v>
      </c>
      <c r="G6511" s="208" t="s">
        <v>130</v>
      </c>
      <c r="H6511" s="208" t="s">
        <v>2444</v>
      </c>
      <c r="I6511" s="208"/>
      <c r="J6511" s="209"/>
      <c r="K6511" s="209"/>
      <c r="L6511" s="209"/>
      <c r="M6511" s="209"/>
      <c r="N6511" s="209"/>
      <c r="O6511" s="209"/>
      <c r="P6511" s="209"/>
      <c r="Q6511" s="209"/>
      <c r="R6511" s="209"/>
      <c r="S6511" s="209"/>
      <c r="T6511" s="209"/>
    </row>
    <row r="6512" spans="1:149" ht="15" hidden="1" customHeight="1">
      <c r="A6512" s="468">
        <v>45559</v>
      </c>
      <c r="B6512" s="208" t="s">
        <v>5283</v>
      </c>
      <c r="C6512" s="208" t="s">
        <v>146</v>
      </c>
      <c r="D6512" s="211">
        <v>-277000</v>
      </c>
      <c r="E6512" s="212">
        <v>45536</v>
      </c>
      <c r="F6512" s="208" t="s">
        <v>130</v>
      </c>
      <c r="G6512" s="208" t="s">
        <v>130</v>
      </c>
      <c r="H6512" s="208" t="s">
        <v>1156</v>
      </c>
      <c r="I6512" s="208"/>
      <c r="J6512" s="209"/>
      <c r="K6512" s="209"/>
      <c r="L6512" s="209"/>
      <c r="M6512" s="209"/>
      <c r="N6512" s="209"/>
      <c r="O6512" s="209"/>
      <c r="P6512" s="209"/>
      <c r="Q6512" s="209"/>
      <c r="R6512" s="209"/>
      <c r="S6512" s="209"/>
      <c r="T6512" s="209"/>
    </row>
    <row r="6513" spans="1:149" ht="15" hidden="1" customHeight="1">
      <c r="A6513" s="468">
        <v>45559</v>
      </c>
      <c r="B6513" s="208" t="s">
        <v>5284</v>
      </c>
      <c r="C6513" s="208" t="s">
        <v>146</v>
      </c>
      <c r="D6513" s="211">
        <v>-15000</v>
      </c>
      <c r="E6513" s="212">
        <v>45536</v>
      </c>
      <c r="F6513" s="208" t="s">
        <v>109</v>
      </c>
      <c r="G6513" s="208" t="s">
        <v>5285</v>
      </c>
      <c r="H6513" s="208" t="s">
        <v>138</v>
      </c>
      <c r="I6513" s="208" t="s">
        <v>2052</v>
      </c>
      <c r="J6513" s="209"/>
      <c r="K6513" s="209"/>
      <c r="L6513" s="209"/>
      <c r="M6513" s="209"/>
      <c r="N6513" s="209"/>
      <c r="O6513" s="209"/>
      <c r="P6513" s="209"/>
      <c r="Q6513" s="209"/>
      <c r="R6513" s="209"/>
      <c r="S6513" s="209"/>
      <c r="T6513" s="209"/>
    </row>
    <row r="6514" spans="1:149" ht="15" hidden="1" customHeight="1">
      <c r="A6514" s="468">
        <v>45559</v>
      </c>
      <c r="B6514" s="208" t="s">
        <v>5286</v>
      </c>
      <c r="C6514" s="208" t="s">
        <v>146</v>
      </c>
      <c r="D6514" s="211">
        <v>-15000</v>
      </c>
      <c r="E6514" s="212">
        <v>45536</v>
      </c>
      <c r="F6514" s="208" t="s">
        <v>109</v>
      </c>
      <c r="G6514" s="208" t="s">
        <v>5285</v>
      </c>
      <c r="H6514" s="208" t="s">
        <v>138</v>
      </c>
      <c r="I6514" s="208" t="s">
        <v>2052</v>
      </c>
      <c r="J6514" s="209"/>
      <c r="K6514" s="209"/>
      <c r="L6514" s="209"/>
      <c r="M6514" s="209"/>
      <c r="N6514" s="209"/>
      <c r="O6514" s="209"/>
      <c r="P6514" s="209"/>
      <c r="Q6514" s="209"/>
      <c r="R6514" s="209"/>
      <c r="S6514" s="209"/>
      <c r="T6514" s="209"/>
    </row>
    <row r="6515" spans="1:149" ht="15" hidden="1" customHeight="1">
      <c r="A6515" s="468">
        <v>45560</v>
      </c>
      <c r="B6515" s="208" t="s">
        <v>5287</v>
      </c>
      <c r="C6515" s="208" t="s">
        <v>27</v>
      </c>
      <c r="D6515" s="211">
        <v>-68000</v>
      </c>
      <c r="E6515" s="212">
        <v>45536</v>
      </c>
      <c r="F6515" s="208" t="s">
        <v>130</v>
      </c>
      <c r="G6515" s="208" t="s">
        <v>130</v>
      </c>
      <c r="H6515" s="208" t="s">
        <v>2444</v>
      </c>
      <c r="I6515" s="208"/>
      <c r="J6515" s="209"/>
      <c r="K6515" s="209"/>
      <c r="L6515" s="209"/>
      <c r="M6515" s="209"/>
      <c r="N6515" s="209"/>
      <c r="O6515" s="209"/>
      <c r="P6515" s="209"/>
      <c r="Q6515" s="209"/>
      <c r="R6515" s="209"/>
      <c r="S6515" s="209"/>
      <c r="T6515" s="209"/>
      <c r="U6515" s="451"/>
      <c r="V6515" s="451"/>
      <c r="W6515" s="451"/>
      <c r="X6515" s="451"/>
      <c r="Y6515" s="451"/>
      <c r="Z6515" s="451"/>
      <c r="AA6515" s="451"/>
      <c r="AB6515" s="451"/>
      <c r="AC6515" s="451"/>
      <c r="AD6515" s="451"/>
      <c r="AE6515" s="451"/>
      <c r="AF6515" s="451"/>
      <c r="AG6515" s="451"/>
      <c r="AH6515" s="451"/>
      <c r="AI6515" s="451"/>
      <c r="AJ6515" s="451"/>
      <c r="AK6515" s="451"/>
      <c r="AL6515" s="451"/>
      <c r="AM6515" s="451"/>
      <c r="AN6515" s="451"/>
      <c r="AO6515" s="451"/>
      <c r="AP6515" s="451"/>
      <c r="AQ6515" s="451"/>
      <c r="AR6515" s="451"/>
      <c r="AS6515" s="451"/>
      <c r="AT6515" s="451"/>
      <c r="AU6515" s="451"/>
      <c r="AV6515" s="451"/>
      <c r="AW6515" s="451"/>
      <c r="AX6515" s="451"/>
      <c r="AY6515" s="451"/>
      <c r="AZ6515" s="451"/>
      <c r="BA6515" s="451"/>
      <c r="BB6515" s="451"/>
      <c r="BC6515" s="451"/>
      <c r="BD6515" s="451"/>
      <c r="BE6515" s="451"/>
      <c r="BF6515" s="451"/>
      <c r="BG6515" s="451"/>
      <c r="BH6515" s="451"/>
      <c r="BI6515" s="451"/>
      <c r="BJ6515" s="451"/>
      <c r="BK6515" s="451"/>
      <c r="BL6515" s="451"/>
      <c r="BM6515" s="451"/>
      <c r="BN6515" s="451"/>
      <c r="BO6515" s="451"/>
      <c r="BP6515" s="451"/>
      <c r="BQ6515" s="451"/>
      <c r="BR6515" s="451"/>
      <c r="BS6515" s="451"/>
      <c r="BT6515" s="451"/>
      <c r="BU6515" s="451"/>
      <c r="BV6515" s="451"/>
      <c r="BW6515" s="451"/>
      <c r="BX6515" s="451"/>
      <c r="BY6515" s="451"/>
      <c r="BZ6515" s="451"/>
      <c r="CA6515" s="451"/>
      <c r="CB6515" s="451"/>
      <c r="CC6515" s="451"/>
      <c r="CD6515" s="451"/>
      <c r="CE6515" s="451"/>
      <c r="CF6515" s="451"/>
      <c r="CG6515" s="451"/>
      <c r="CH6515" s="451"/>
      <c r="CI6515" s="451"/>
      <c r="CJ6515" s="451"/>
      <c r="CK6515" s="451"/>
      <c r="CL6515" s="451"/>
      <c r="CM6515" s="451"/>
      <c r="CN6515" s="451"/>
      <c r="CO6515" s="451"/>
      <c r="CP6515" s="451"/>
      <c r="CQ6515" s="451"/>
      <c r="CR6515" s="451"/>
      <c r="CS6515" s="451"/>
      <c r="CT6515" s="451"/>
      <c r="CU6515" s="451"/>
      <c r="CV6515" s="451"/>
      <c r="CW6515" s="451"/>
      <c r="CX6515" s="451"/>
      <c r="CY6515" s="451"/>
      <c r="CZ6515" s="451"/>
      <c r="DA6515" s="451"/>
      <c r="DB6515" s="451"/>
      <c r="DC6515" s="451"/>
      <c r="DD6515" s="451"/>
      <c r="DE6515" s="451"/>
      <c r="DF6515" s="451"/>
      <c r="DG6515" s="451"/>
      <c r="DH6515" s="451"/>
      <c r="DI6515" s="451"/>
      <c r="DJ6515" s="451"/>
      <c r="DK6515" s="451"/>
      <c r="DL6515" s="451"/>
      <c r="DM6515" s="451"/>
      <c r="DN6515" s="451"/>
      <c r="DO6515" s="451"/>
      <c r="DP6515" s="451"/>
      <c r="DQ6515" s="451"/>
      <c r="DR6515" s="451"/>
      <c r="DS6515" s="451"/>
      <c r="DT6515" s="451"/>
      <c r="DU6515" s="451"/>
      <c r="DV6515" s="451"/>
      <c r="DW6515" s="451"/>
      <c r="DX6515" s="451"/>
      <c r="DY6515" s="451"/>
      <c r="DZ6515" s="451"/>
      <c r="EA6515" s="451"/>
      <c r="EB6515" s="451"/>
      <c r="EC6515" s="451"/>
      <c r="ED6515" s="451"/>
      <c r="EE6515" s="451"/>
      <c r="EF6515" s="451"/>
      <c r="EG6515" s="451"/>
      <c r="EH6515" s="451"/>
      <c r="EI6515" s="451"/>
      <c r="EJ6515" s="451"/>
      <c r="EK6515" s="451"/>
      <c r="EL6515" s="451"/>
      <c r="EM6515" s="451"/>
      <c r="EN6515" s="451"/>
      <c r="EO6515" s="451"/>
      <c r="EP6515" s="451"/>
      <c r="EQ6515" s="451"/>
      <c r="ER6515" s="451"/>
      <c r="ES6515" s="451"/>
    </row>
    <row r="6516" spans="1:149" ht="15" hidden="1" customHeight="1">
      <c r="A6516" s="468">
        <v>45560</v>
      </c>
      <c r="B6516" s="208" t="s">
        <v>5288</v>
      </c>
      <c r="C6516" s="208" t="s">
        <v>27</v>
      </c>
      <c r="D6516" s="211">
        <f>-4070372-D6520-D6521</f>
        <v>-3928320</v>
      </c>
      <c r="E6516" s="212">
        <v>45536</v>
      </c>
      <c r="F6516" s="208" t="s">
        <v>2531</v>
      </c>
      <c r="G6516" s="201" t="s">
        <v>1489</v>
      </c>
      <c r="H6516" s="208" t="s">
        <v>2941</v>
      </c>
      <c r="I6516" s="208"/>
      <c r="J6516" s="209"/>
      <c r="K6516" s="209"/>
      <c r="L6516" s="209"/>
      <c r="M6516" s="209"/>
      <c r="N6516" s="209"/>
      <c r="O6516" s="209"/>
      <c r="P6516" s="209"/>
      <c r="Q6516" s="209"/>
      <c r="R6516" s="209"/>
      <c r="S6516" s="209"/>
      <c r="T6516" s="209"/>
      <c r="U6516" s="451"/>
      <c r="V6516" s="451"/>
      <c r="W6516" s="451"/>
      <c r="X6516" s="451"/>
      <c r="Y6516" s="451"/>
      <c r="Z6516" s="451"/>
      <c r="AA6516" s="451"/>
      <c r="AB6516" s="451"/>
      <c r="AC6516" s="451"/>
      <c r="AD6516" s="451"/>
      <c r="AE6516" s="451"/>
      <c r="AF6516" s="451"/>
      <c r="AG6516" s="451"/>
      <c r="AH6516" s="451"/>
      <c r="AI6516" s="451"/>
      <c r="AJ6516" s="451"/>
      <c r="AK6516" s="451"/>
      <c r="AL6516" s="451"/>
      <c r="AM6516" s="451"/>
      <c r="AN6516" s="451"/>
      <c r="AO6516" s="451"/>
      <c r="AP6516" s="451"/>
      <c r="AQ6516" s="451"/>
      <c r="AR6516" s="451"/>
      <c r="AS6516" s="451"/>
      <c r="AT6516" s="451"/>
      <c r="AU6516" s="451"/>
      <c r="AV6516" s="451"/>
      <c r="AW6516" s="451"/>
      <c r="AX6516" s="451"/>
      <c r="AY6516" s="451"/>
      <c r="AZ6516" s="451"/>
      <c r="BA6516" s="451"/>
      <c r="BB6516" s="451"/>
      <c r="BC6516" s="451"/>
      <c r="BD6516" s="451"/>
      <c r="BE6516" s="451"/>
      <c r="BF6516" s="451"/>
      <c r="BG6516" s="451"/>
      <c r="BH6516" s="451"/>
      <c r="BI6516" s="451"/>
      <c r="BJ6516" s="451"/>
      <c r="BK6516" s="451"/>
      <c r="BL6516" s="451"/>
      <c r="BM6516" s="451"/>
      <c r="BN6516" s="451"/>
      <c r="BO6516" s="451"/>
      <c r="BP6516" s="451"/>
      <c r="BQ6516" s="451"/>
      <c r="BR6516" s="451"/>
      <c r="BS6516" s="451"/>
      <c r="BT6516" s="451"/>
      <c r="BU6516" s="451"/>
      <c r="BV6516" s="451"/>
      <c r="BW6516" s="451"/>
      <c r="BX6516" s="451"/>
      <c r="BY6516" s="451"/>
      <c r="BZ6516" s="451"/>
      <c r="CA6516" s="451"/>
      <c r="CB6516" s="451"/>
      <c r="CC6516" s="451"/>
      <c r="CD6516" s="451"/>
      <c r="CE6516" s="451"/>
      <c r="CF6516" s="451"/>
      <c r="CG6516" s="451"/>
      <c r="CH6516" s="451"/>
      <c r="CI6516" s="451"/>
      <c r="CJ6516" s="451"/>
      <c r="CK6516" s="451"/>
      <c r="CL6516" s="451"/>
      <c r="CM6516" s="451"/>
      <c r="CN6516" s="451"/>
      <c r="CO6516" s="451"/>
      <c r="CP6516" s="451"/>
      <c r="CQ6516" s="451"/>
      <c r="CR6516" s="451"/>
      <c r="CS6516" s="451"/>
      <c r="CT6516" s="451"/>
      <c r="CU6516" s="451"/>
      <c r="CV6516" s="451"/>
      <c r="CW6516" s="451"/>
      <c r="CX6516" s="451"/>
      <c r="CY6516" s="451"/>
      <c r="CZ6516" s="451"/>
      <c r="DA6516" s="451"/>
      <c r="DB6516" s="451"/>
      <c r="DC6516" s="451"/>
      <c r="DD6516" s="451"/>
      <c r="DE6516" s="451"/>
      <c r="DF6516" s="451"/>
      <c r="DG6516" s="451"/>
      <c r="DH6516" s="451"/>
      <c r="DI6516" s="451"/>
      <c r="DJ6516" s="451"/>
      <c r="DK6516" s="451"/>
      <c r="DL6516" s="451"/>
      <c r="DM6516" s="451"/>
      <c r="DN6516" s="451"/>
      <c r="DO6516" s="451"/>
      <c r="DP6516" s="451"/>
      <c r="DQ6516" s="451"/>
      <c r="DR6516" s="451"/>
      <c r="DS6516" s="451"/>
      <c r="DT6516" s="451"/>
      <c r="DU6516" s="451"/>
      <c r="DV6516" s="451"/>
      <c r="DW6516" s="451"/>
      <c r="DX6516" s="451"/>
      <c r="DY6516" s="451"/>
      <c r="DZ6516" s="451"/>
      <c r="EA6516" s="451"/>
      <c r="EB6516" s="451"/>
      <c r="EC6516" s="451"/>
      <c r="ED6516" s="451"/>
      <c r="EE6516" s="451"/>
      <c r="EF6516" s="451"/>
      <c r="EG6516" s="451"/>
      <c r="EH6516" s="451"/>
      <c r="EI6516" s="451"/>
      <c r="EJ6516" s="451"/>
      <c r="EK6516" s="451"/>
      <c r="EL6516" s="451"/>
      <c r="EM6516" s="451"/>
      <c r="EN6516" s="451"/>
      <c r="EO6516" s="451"/>
      <c r="EP6516" s="451"/>
      <c r="EQ6516" s="451"/>
      <c r="ER6516" s="451"/>
      <c r="ES6516" s="451"/>
    </row>
    <row r="6517" spans="1:149" ht="15" hidden="1" customHeight="1">
      <c r="A6517" s="468">
        <v>45560</v>
      </c>
      <c r="B6517" s="208" t="s">
        <v>5288</v>
      </c>
      <c r="C6517" s="208" t="s">
        <v>27</v>
      </c>
      <c r="D6517" s="211">
        <v>-246379</v>
      </c>
      <c r="E6517" s="212">
        <v>45536</v>
      </c>
      <c r="F6517" s="208" t="s">
        <v>109</v>
      </c>
      <c r="G6517" s="208" t="s">
        <v>3529</v>
      </c>
      <c r="H6517" s="208" t="s">
        <v>175</v>
      </c>
      <c r="I6517" s="208"/>
      <c r="J6517" s="209"/>
      <c r="K6517" s="209"/>
      <c r="L6517" s="209"/>
      <c r="M6517" s="209"/>
      <c r="N6517" s="209"/>
      <c r="O6517" s="209"/>
      <c r="P6517" s="209"/>
      <c r="Q6517" s="209"/>
      <c r="R6517" s="209"/>
      <c r="S6517" s="209"/>
      <c r="T6517" s="209"/>
      <c r="U6517" s="451"/>
      <c r="V6517" s="451"/>
      <c r="W6517" s="451"/>
      <c r="X6517" s="451"/>
      <c r="Y6517" s="451"/>
      <c r="Z6517" s="451"/>
      <c r="AA6517" s="451"/>
      <c r="AB6517" s="451"/>
      <c r="AC6517" s="451"/>
      <c r="AD6517" s="451"/>
      <c r="AE6517" s="451"/>
      <c r="AF6517" s="451"/>
      <c r="AG6517" s="451"/>
      <c r="AH6517" s="451"/>
      <c r="AI6517" s="451"/>
      <c r="AJ6517" s="451"/>
      <c r="AK6517" s="451"/>
      <c r="AL6517" s="451"/>
      <c r="AM6517" s="451"/>
      <c r="AN6517" s="451"/>
      <c r="AO6517" s="451"/>
      <c r="AP6517" s="451"/>
      <c r="AQ6517" s="451"/>
      <c r="AR6517" s="451"/>
      <c r="AS6517" s="451"/>
      <c r="AT6517" s="451"/>
      <c r="AU6517" s="451"/>
      <c r="AV6517" s="451"/>
      <c r="AW6517" s="451"/>
      <c r="AX6517" s="451"/>
      <c r="AY6517" s="451"/>
      <c r="AZ6517" s="451"/>
      <c r="BA6517" s="451"/>
      <c r="BB6517" s="451"/>
      <c r="BC6517" s="451"/>
      <c r="BD6517" s="451"/>
      <c r="BE6517" s="451"/>
      <c r="BF6517" s="451"/>
      <c r="BG6517" s="451"/>
      <c r="BH6517" s="451"/>
      <c r="BI6517" s="451"/>
      <c r="BJ6517" s="451"/>
      <c r="BK6517" s="451"/>
      <c r="BL6517" s="451"/>
      <c r="BM6517" s="451"/>
      <c r="BN6517" s="451"/>
      <c r="BO6517" s="451"/>
      <c r="BP6517" s="451"/>
      <c r="BQ6517" s="451"/>
      <c r="BR6517" s="451"/>
      <c r="BS6517" s="451"/>
      <c r="BT6517" s="451"/>
      <c r="BU6517" s="451"/>
      <c r="BV6517" s="451"/>
      <c r="BW6517" s="451"/>
      <c r="BX6517" s="451"/>
      <c r="BY6517" s="451"/>
      <c r="BZ6517" s="451"/>
      <c r="CA6517" s="451"/>
      <c r="CB6517" s="451"/>
      <c r="CC6517" s="451"/>
      <c r="CD6517" s="451"/>
      <c r="CE6517" s="451"/>
      <c r="CF6517" s="451"/>
      <c r="CG6517" s="451"/>
      <c r="CH6517" s="451"/>
      <c r="CI6517" s="451"/>
      <c r="CJ6517" s="451"/>
      <c r="CK6517" s="451"/>
      <c r="CL6517" s="451"/>
      <c r="CM6517" s="451"/>
      <c r="CN6517" s="451"/>
      <c r="CO6517" s="451"/>
      <c r="CP6517" s="451"/>
      <c r="CQ6517" s="451"/>
      <c r="CR6517" s="451"/>
      <c r="CS6517" s="451"/>
      <c r="CT6517" s="451"/>
      <c r="CU6517" s="451"/>
      <c r="CV6517" s="451"/>
      <c r="CW6517" s="451"/>
      <c r="CX6517" s="451"/>
      <c r="CY6517" s="451"/>
      <c r="CZ6517" s="451"/>
      <c r="DA6517" s="451"/>
      <c r="DB6517" s="451"/>
      <c r="DC6517" s="451"/>
      <c r="DD6517" s="451"/>
      <c r="DE6517" s="451"/>
      <c r="DF6517" s="451"/>
      <c r="DG6517" s="451"/>
      <c r="DH6517" s="451"/>
      <c r="DI6517" s="451"/>
      <c r="DJ6517" s="451"/>
      <c r="DK6517" s="451"/>
      <c r="DL6517" s="451"/>
      <c r="DM6517" s="451"/>
      <c r="DN6517" s="451"/>
      <c r="DO6517" s="451"/>
      <c r="DP6517" s="451"/>
      <c r="DQ6517" s="451"/>
      <c r="DR6517" s="451"/>
      <c r="DS6517" s="451"/>
      <c r="DT6517" s="451"/>
      <c r="DU6517" s="451"/>
      <c r="DV6517" s="451"/>
      <c r="DW6517" s="451"/>
      <c r="DX6517" s="451"/>
      <c r="DY6517" s="451"/>
      <c r="DZ6517" s="451"/>
      <c r="EA6517" s="451"/>
      <c r="EB6517" s="451"/>
      <c r="EC6517" s="451"/>
      <c r="ED6517" s="451"/>
      <c r="EE6517" s="451"/>
      <c r="EF6517" s="451"/>
      <c r="EG6517" s="451"/>
      <c r="EH6517" s="451"/>
      <c r="EI6517" s="451"/>
      <c r="EJ6517" s="451"/>
      <c r="EK6517" s="451"/>
      <c r="EL6517" s="451"/>
      <c r="EM6517" s="451"/>
      <c r="EN6517" s="451"/>
      <c r="EO6517" s="451"/>
      <c r="EP6517" s="451"/>
      <c r="EQ6517" s="451"/>
      <c r="ER6517" s="451"/>
      <c r="ES6517" s="451"/>
    </row>
    <row r="6518" spans="1:149" ht="15" hidden="1" customHeight="1">
      <c r="A6518" s="468">
        <v>45560</v>
      </c>
      <c r="B6518" s="208" t="s">
        <v>5288</v>
      </c>
      <c r="C6518" s="208" t="s">
        <v>27</v>
      </c>
      <c r="D6518" s="211">
        <v>-1286012</v>
      </c>
      <c r="E6518" s="212">
        <v>45536</v>
      </c>
      <c r="F6518" s="208" t="s">
        <v>109</v>
      </c>
      <c r="G6518" s="208" t="s">
        <v>4294</v>
      </c>
      <c r="H6518" s="208" t="s">
        <v>175</v>
      </c>
      <c r="I6518" s="208"/>
      <c r="J6518" s="209"/>
      <c r="K6518" s="209"/>
      <c r="L6518" s="209"/>
      <c r="M6518" s="209"/>
      <c r="N6518" s="209"/>
      <c r="O6518" s="209"/>
      <c r="P6518" s="209"/>
      <c r="Q6518" s="209"/>
      <c r="R6518" s="209"/>
      <c r="S6518" s="209"/>
      <c r="T6518" s="209"/>
      <c r="U6518" s="451"/>
      <c r="V6518" s="451"/>
      <c r="W6518" s="451"/>
      <c r="X6518" s="451"/>
      <c r="Y6518" s="451"/>
      <c r="Z6518" s="451"/>
      <c r="AA6518" s="451"/>
      <c r="AB6518" s="451"/>
      <c r="AC6518" s="451"/>
      <c r="AD6518" s="451"/>
      <c r="AE6518" s="451"/>
      <c r="AF6518" s="451"/>
      <c r="AG6518" s="451"/>
      <c r="AH6518" s="451"/>
      <c r="AI6518" s="451"/>
      <c r="AJ6518" s="451"/>
      <c r="AK6518" s="451"/>
      <c r="AL6518" s="451"/>
      <c r="AM6518" s="451"/>
      <c r="AN6518" s="451"/>
      <c r="AO6518" s="451"/>
      <c r="AP6518" s="451"/>
      <c r="AQ6518" s="451"/>
      <c r="AR6518" s="451"/>
      <c r="AS6518" s="451"/>
      <c r="AT6518" s="451"/>
      <c r="AU6518" s="451"/>
      <c r="AV6518" s="451"/>
      <c r="AW6518" s="451"/>
      <c r="AX6518" s="451"/>
      <c r="AY6518" s="451"/>
      <c r="AZ6518" s="451"/>
      <c r="BA6518" s="451"/>
      <c r="BB6518" s="451"/>
      <c r="BC6518" s="451"/>
      <c r="BD6518" s="451"/>
      <c r="BE6518" s="451"/>
      <c r="BF6518" s="451"/>
      <c r="BG6518" s="451"/>
      <c r="BH6518" s="451"/>
      <c r="BI6518" s="451"/>
      <c r="BJ6518" s="451"/>
      <c r="BK6518" s="451"/>
      <c r="BL6518" s="451"/>
      <c r="BM6518" s="451"/>
      <c r="BN6518" s="451"/>
      <c r="BO6518" s="451"/>
      <c r="BP6518" s="451"/>
      <c r="BQ6518" s="451"/>
      <c r="BR6518" s="451"/>
      <c r="BS6518" s="451"/>
      <c r="BT6518" s="451"/>
      <c r="BU6518" s="451"/>
      <c r="BV6518" s="451"/>
      <c r="BW6518" s="451"/>
      <c r="BX6518" s="451"/>
      <c r="BY6518" s="451"/>
      <c r="BZ6518" s="451"/>
      <c r="CA6518" s="451"/>
      <c r="CB6518" s="451"/>
      <c r="CC6518" s="451"/>
      <c r="CD6518" s="451"/>
      <c r="CE6518" s="451"/>
      <c r="CF6518" s="451"/>
      <c r="CG6518" s="451"/>
      <c r="CH6518" s="451"/>
      <c r="CI6518" s="451"/>
      <c r="CJ6518" s="451"/>
      <c r="CK6518" s="451"/>
      <c r="CL6518" s="451"/>
      <c r="CM6518" s="451"/>
      <c r="CN6518" s="451"/>
      <c r="CO6518" s="451"/>
      <c r="CP6518" s="451"/>
      <c r="CQ6518" s="451"/>
      <c r="CR6518" s="451"/>
      <c r="CS6518" s="451"/>
      <c r="CT6518" s="451"/>
      <c r="CU6518" s="451"/>
      <c r="CV6518" s="451"/>
      <c r="CW6518" s="451"/>
      <c r="CX6518" s="451"/>
      <c r="CY6518" s="451"/>
      <c r="CZ6518" s="451"/>
      <c r="DA6518" s="451"/>
      <c r="DB6518" s="451"/>
      <c r="DC6518" s="451"/>
      <c r="DD6518" s="451"/>
      <c r="DE6518" s="451"/>
      <c r="DF6518" s="451"/>
      <c r="DG6518" s="451"/>
      <c r="DH6518" s="451"/>
      <c r="DI6518" s="451"/>
      <c r="DJ6518" s="451"/>
      <c r="DK6518" s="451"/>
      <c r="DL6518" s="451"/>
      <c r="DM6518" s="451"/>
      <c r="DN6518" s="451"/>
      <c r="DO6518" s="451"/>
      <c r="DP6518" s="451"/>
      <c r="DQ6518" s="451"/>
      <c r="DR6518" s="451"/>
      <c r="DS6518" s="451"/>
      <c r="DT6518" s="451"/>
      <c r="DU6518" s="451"/>
      <c r="DV6518" s="451"/>
      <c r="DW6518" s="451"/>
      <c r="DX6518" s="451"/>
      <c r="DY6518" s="451"/>
      <c r="DZ6518" s="451"/>
      <c r="EA6518" s="451"/>
      <c r="EB6518" s="451"/>
      <c r="EC6518" s="451"/>
      <c r="ED6518" s="451"/>
      <c r="EE6518" s="451"/>
      <c r="EF6518" s="451"/>
      <c r="EG6518" s="451"/>
      <c r="EH6518" s="451"/>
      <c r="EI6518" s="451"/>
      <c r="EJ6518" s="451"/>
      <c r="EK6518" s="451"/>
      <c r="EL6518" s="451"/>
      <c r="EM6518" s="451"/>
      <c r="EN6518" s="451"/>
      <c r="EO6518" s="451"/>
      <c r="EP6518" s="451"/>
      <c r="EQ6518" s="451"/>
      <c r="ER6518" s="451"/>
      <c r="ES6518" s="451"/>
    </row>
    <row r="6519" spans="1:149" ht="15" hidden="1" customHeight="1">
      <c r="A6519" s="468">
        <v>45560</v>
      </c>
      <c r="B6519" s="208" t="s">
        <v>5288</v>
      </c>
      <c r="C6519" s="208" t="s">
        <v>27</v>
      </c>
      <c r="D6519" s="211">
        <v>-31979</v>
      </c>
      <c r="E6519" s="212">
        <v>45536</v>
      </c>
      <c r="F6519" s="208" t="s">
        <v>130</v>
      </c>
      <c r="G6519" s="208" t="s">
        <v>130</v>
      </c>
      <c r="H6519" s="208" t="s">
        <v>2444</v>
      </c>
      <c r="I6519" s="208"/>
      <c r="J6519" s="209"/>
      <c r="K6519" s="209"/>
      <c r="L6519" s="209"/>
      <c r="M6519" s="209"/>
      <c r="N6519" s="209"/>
      <c r="O6519" s="209"/>
      <c r="P6519" s="209"/>
      <c r="Q6519" s="209"/>
      <c r="R6519" s="209"/>
      <c r="S6519" s="209"/>
      <c r="T6519" s="209"/>
      <c r="U6519" s="451"/>
      <c r="V6519" s="451"/>
      <c r="W6519" s="451"/>
      <c r="X6519" s="451"/>
      <c r="Y6519" s="451"/>
      <c r="Z6519" s="451"/>
      <c r="AA6519" s="451"/>
      <c r="AB6519" s="451"/>
      <c r="AC6519" s="451"/>
      <c r="AD6519" s="451"/>
      <c r="AE6519" s="451"/>
      <c r="AF6519" s="451"/>
      <c r="AG6519" s="451"/>
      <c r="AH6519" s="451"/>
      <c r="AI6519" s="451"/>
      <c r="AJ6519" s="451"/>
      <c r="AK6519" s="451"/>
      <c r="AL6519" s="451"/>
      <c r="AM6519" s="451"/>
      <c r="AN6519" s="451"/>
      <c r="AO6519" s="451"/>
      <c r="AP6519" s="451"/>
      <c r="AQ6519" s="451"/>
      <c r="AR6519" s="451"/>
      <c r="AS6519" s="451"/>
      <c r="AT6519" s="451"/>
      <c r="AU6519" s="451"/>
      <c r="AV6519" s="451"/>
      <c r="AW6519" s="451"/>
      <c r="AX6519" s="451"/>
      <c r="AY6519" s="451"/>
      <c r="AZ6519" s="451"/>
      <c r="BA6519" s="451"/>
      <c r="BB6519" s="451"/>
      <c r="BC6519" s="451"/>
      <c r="BD6519" s="451"/>
      <c r="BE6519" s="451"/>
      <c r="BF6519" s="451"/>
      <c r="BG6519" s="451"/>
      <c r="BH6519" s="451"/>
      <c r="BI6519" s="451"/>
      <c r="BJ6519" s="451"/>
      <c r="BK6519" s="451"/>
      <c r="BL6519" s="451"/>
      <c r="BM6519" s="451"/>
      <c r="BN6519" s="451"/>
      <c r="BO6519" s="451"/>
      <c r="BP6519" s="451"/>
      <c r="BQ6519" s="451"/>
      <c r="BR6519" s="451"/>
      <c r="BS6519" s="451"/>
      <c r="BT6519" s="451"/>
      <c r="BU6519" s="451"/>
      <c r="BV6519" s="451"/>
      <c r="BW6519" s="451"/>
      <c r="BX6519" s="451"/>
      <c r="BY6519" s="451"/>
      <c r="BZ6519" s="451"/>
      <c r="CA6519" s="451"/>
      <c r="CB6519" s="451"/>
      <c r="CC6519" s="451"/>
      <c r="CD6519" s="451"/>
      <c r="CE6519" s="451"/>
      <c r="CF6519" s="451"/>
      <c r="CG6519" s="451"/>
      <c r="CH6519" s="451"/>
      <c r="CI6519" s="451"/>
      <c r="CJ6519" s="451"/>
      <c r="CK6519" s="451"/>
      <c r="CL6519" s="451"/>
      <c r="CM6519" s="451"/>
      <c r="CN6519" s="451"/>
      <c r="CO6519" s="451"/>
      <c r="CP6519" s="451"/>
      <c r="CQ6519" s="451"/>
      <c r="CR6519" s="451"/>
      <c r="CS6519" s="451"/>
      <c r="CT6519" s="451"/>
      <c r="CU6519" s="451"/>
      <c r="CV6519" s="451"/>
      <c r="CW6519" s="451"/>
      <c r="CX6519" s="451"/>
      <c r="CY6519" s="451"/>
      <c r="CZ6519" s="451"/>
      <c r="DA6519" s="451"/>
      <c r="DB6519" s="451"/>
      <c r="DC6519" s="451"/>
      <c r="DD6519" s="451"/>
      <c r="DE6519" s="451"/>
      <c r="DF6519" s="451"/>
      <c r="DG6519" s="451"/>
      <c r="DH6519" s="451"/>
      <c r="DI6519" s="451"/>
      <c r="DJ6519" s="451"/>
      <c r="DK6519" s="451"/>
      <c r="DL6519" s="451"/>
      <c r="DM6519" s="451"/>
      <c r="DN6519" s="451"/>
      <c r="DO6519" s="451"/>
      <c r="DP6519" s="451"/>
      <c r="DQ6519" s="451"/>
      <c r="DR6519" s="451"/>
      <c r="DS6519" s="451"/>
      <c r="DT6519" s="451"/>
      <c r="DU6519" s="451"/>
      <c r="DV6519" s="451"/>
      <c r="DW6519" s="451"/>
      <c r="DX6519" s="451"/>
      <c r="DY6519" s="451"/>
      <c r="DZ6519" s="451"/>
      <c r="EA6519" s="451"/>
      <c r="EB6519" s="451"/>
      <c r="EC6519" s="451"/>
      <c r="ED6519" s="451"/>
      <c r="EE6519" s="451"/>
      <c r="EF6519" s="451"/>
      <c r="EG6519" s="451"/>
      <c r="EH6519" s="451"/>
      <c r="EI6519" s="451"/>
      <c r="EJ6519" s="451"/>
      <c r="EK6519" s="451"/>
      <c r="EL6519" s="451"/>
      <c r="EM6519" s="451"/>
      <c r="EN6519" s="451"/>
      <c r="EO6519" s="451"/>
      <c r="EP6519" s="451"/>
      <c r="EQ6519" s="451"/>
      <c r="ER6519" s="451"/>
      <c r="ES6519" s="451"/>
    </row>
    <row r="6520" spans="1:149" ht="15" hidden="1" customHeight="1">
      <c r="A6520" s="468">
        <v>45560</v>
      </c>
      <c r="B6520" s="208" t="s">
        <v>5288</v>
      </c>
      <c r="C6520" s="208" t="s">
        <v>4314</v>
      </c>
      <c r="D6520" s="211">
        <v>-118377</v>
      </c>
      <c r="E6520" s="212">
        <v>45536</v>
      </c>
      <c r="F6520" s="208" t="s">
        <v>109</v>
      </c>
      <c r="G6520" s="208" t="s">
        <v>4294</v>
      </c>
      <c r="H6520" s="208" t="s">
        <v>175</v>
      </c>
      <c r="I6520" s="208"/>
      <c r="J6520" s="209"/>
      <c r="K6520" s="209"/>
      <c r="L6520" s="209"/>
      <c r="M6520" s="209"/>
      <c r="N6520" s="209"/>
      <c r="O6520" s="209"/>
      <c r="P6520" s="209"/>
      <c r="Q6520" s="209"/>
      <c r="R6520" s="209"/>
      <c r="S6520" s="209"/>
      <c r="T6520" s="209"/>
    </row>
    <row r="6521" spans="1:149" ht="15" hidden="1" customHeight="1">
      <c r="A6521" s="468">
        <v>45560</v>
      </c>
      <c r="B6521" s="208" t="s">
        <v>5288</v>
      </c>
      <c r="C6521" s="208" t="s">
        <v>4314</v>
      </c>
      <c r="D6521" s="211">
        <v>-23675</v>
      </c>
      <c r="E6521" s="212">
        <v>45536</v>
      </c>
      <c r="F6521" s="208" t="s">
        <v>109</v>
      </c>
      <c r="G6521" s="208" t="s">
        <v>4294</v>
      </c>
      <c r="H6521" s="208" t="s">
        <v>175</v>
      </c>
      <c r="I6521" s="208"/>
      <c r="J6521" s="209"/>
      <c r="K6521" s="209"/>
      <c r="L6521" s="209"/>
      <c r="M6521" s="209"/>
      <c r="N6521" s="209"/>
      <c r="O6521" s="209"/>
      <c r="P6521" s="209"/>
      <c r="Q6521" s="209"/>
      <c r="R6521" s="209"/>
      <c r="S6521" s="209"/>
      <c r="T6521" s="209"/>
    </row>
    <row r="6522" spans="1:149" ht="15" hidden="1" customHeight="1">
      <c r="A6522" s="468">
        <v>45560</v>
      </c>
      <c r="B6522" s="208" t="s">
        <v>5289</v>
      </c>
      <c r="C6522" s="208" t="s">
        <v>146</v>
      </c>
      <c r="D6522" s="211">
        <v>-20000</v>
      </c>
      <c r="E6522" s="212">
        <v>45536</v>
      </c>
      <c r="F6522" s="208" t="s">
        <v>207</v>
      </c>
      <c r="G6522" s="81" t="s">
        <v>2226</v>
      </c>
      <c r="H6522" s="208" t="s">
        <v>138</v>
      </c>
      <c r="I6522" s="208" t="s">
        <v>59</v>
      </c>
      <c r="J6522" s="209"/>
      <c r="K6522" s="209"/>
      <c r="L6522" s="209"/>
      <c r="M6522" s="209"/>
      <c r="N6522" s="209"/>
      <c r="O6522" s="209"/>
      <c r="P6522" s="209"/>
      <c r="Q6522" s="209"/>
      <c r="R6522" s="209"/>
      <c r="S6522" s="209"/>
      <c r="T6522" s="209"/>
    </row>
    <row r="6523" spans="1:149" ht="15" hidden="1" customHeight="1">
      <c r="A6523" s="468">
        <v>45560</v>
      </c>
      <c r="B6523" s="208" t="s">
        <v>5290</v>
      </c>
      <c r="C6523" s="208" t="s">
        <v>146</v>
      </c>
      <c r="D6523" s="211">
        <v>-6000</v>
      </c>
      <c r="E6523" s="212">
        <v>45536</v>
      </c>
      <c r="F6523" s="208" t="s">
        <v>207</v>
      </c>
      <c r="G6523" s="81" t="s">
        <v>2226</v>
      </c>
      <c r="H6523" s="208" t="s">
        <v>138</v>
      </c>
      <c r="I6523" s="208"/>
      <c r="J6523" s="209"/>
      <c r="K6523" s="209"/>
      <c r="L6523" s="209"/>
      <c r="M6523" s="209"/>
      <c r="N6523" s="209"/>
      <c r="O6523" s="209"/>
      <c r="P6523" s="209"/>
      <c r="Q6523" s="209"/>
      <c r="R6523" s="209"/>
      <c r="S6523" s="209"/>
      <c r="T6523" s="209"/>
    </row>
    <row r="6524" spans="1:149" ht="15" hidden="1" customHeight="1">
      <c r="A6524" s="468">
        <v>45560</v>
      </c>
      <c r="B6524" s="208" t="s">
        <v>5291</v>
      </c>
      <c r="C6524" s="208" t="s">
        <v>146</v>
      </c>
      <c r="D6524" s="211">
        <v>-12000</v>
      </c>
      <c r="E6524" s="212">
        <v>45536</v>
      </c>
      <c r="F6524" s="208" t="s">
        <v>130</v>
      </c>
      <c r="G6524" s="638" t="s">
        <v>257</v>
      </c>
      <c r="H6524" s="201" t="s">
        <v>663</v>
      </c>
      <c r="I6524" s="208" t="s">
        <v>3742</v>
      </c>
      <c r="J6524" s="209"/>
      <c r="K6524" s="209"/>
      <c r="L6524" s="209"/>
      <c r="M6524" s="209"/>
      <c r="N6524" s="209"/>
      <c r="O6524" s="209"/>
      <c r="P6524" s="209"/>
      <c r="Q6524" s="209"/>
      <c r="R6524" s="209"/>
      <c r="S6524" s="209"/>
      <c r="T6524" s="209"/>
    </row>
    <row r="6525" spans="1:149" ht="15" hidden="1" customHeight="1">
      <c r="A6525" s="468">
        <v>45560</v>
      </c>
      <c r="B6525" s="208" t="s">
        <v>5292</v>
      </c>
      <c r="C6525" s="208" t="s">
        <v>146</v>
      </c>
      <c r="D6525" s="211">
        <v>-24000</v>
      </c>
      <c r="E6525" s="212">
        <v>45536</v>
      </c>
      <c r="F6525" s="208" t="s">
        <v>130</v>
      </c>
      <c r="G6525" s="208" t="s">
        <v>257</v>
      </c>
      <c r="H6525" s="201" t="s">
        <v>663</v>
      </c>
      <c r="I6525" s="208" t="s">
        <v>3742</v>
      </c>
      <c r="J6525" s="209"/>
      <c r="K6525" s="209"/>
      <c r="L6525" s="209"/>
      <c r="M6525" s="209"/>
      <c r="N6525" s="209"/>
      <c r="O6525" s="209"/>
      <c r="P6525" s="209"/>
      <c r="Q6525" s="209"/>
      <c r="R6525" s="209"/>
      <c r="S6525" s="209"/>
      <c r="T6525" s="209"/>
    </row>
    <row r="6526" spans="1:149" s="209" customFormat="1" ht="15" hidden="1" customHeight="1">
      <c r="A6526" s="468">
        <v>45560</v>
      </c>
      <c r="B6526" s="208" t="s">
        <v>5293</v>
      </c>
      <c r="C6526" s="208" t="s">
        <v>146</v>
      </c>
      <c r="D6526" s="211">
        <v>-56000</v>
      </c>
      <c r="E6526" s="212">
        <v>45536</v>
      </c>
      <c r="F6526" s="208" t="s">
        <v>109</v>
      </c>
      <c r="G6526" s="201" t="s">
        <v>581</v>
      </c>
      <c r="H6526" s="208"/>
      <c r="I6526" s="208" t="s">
        <v>3364</v>
      </c>
    </row>
    <row r="6527" spans="1:149" s="209" customFormat="1" ht="15" hidden="1" customHeight="1">
      <c r="A6527" s="468">
        <v>45560</v>
      </c>
      <c r="B6527" s="208" t="s">
        <v>2683</v>
      </c>
      <c r="C6527" s="208" t="s">
        <v>146</v>
      </c>
      <c r="D6527" s="211">
        <v>-50000</v>
      </c>
      <c r="E6527" s="212">
        <v>45536</v>
      </c>
      <c r="F6527" s="208" t="s">
        <v>109</v>
      </c>
      <c r="G6527" s="201" t="s">
        <v>581</v>
      </c>
      <c r="H6527" s="208"/>
      <c r="I6527" s="208" t="s">
        <v>3364</v>
      </c>
    </row>
    <row r="6528" spans="1:149" s="209" customFormat="1" ht="15" hidden="1" customHeight="1">
      <c r="A6528" s="468">
        <v>45560</v>
      </c>
      <c r="B6528" s="208" t="s">
        <v>5005</v>
      </c>
      <c r="C6528" s="208" t="s">
        <v>146</v>
      </c>
      <c r="D6528" s="211">
        <v>-165000</v>
      </c>
      <c r="E6528" s="212">
        <v>45536</v>
      </c>
      <c r="F6528" s="208" t="s">
        <v>109</v>
      </c>
      <c r="G6528" s="201" t="s">
        <v>581</v>
      </c>
      <c r="H6528" s="208"/>
      <c r="I6528" s="208" t="s">
        <v>3364</v>
      </c>
    </row>
    <row r="6529" spans="1:149" s="209" customFormat="1" ht="15" hidden="1" customHeight="1">
      <c r="A6529" s="468">
        <v>45560</v>
      </c>
      <c r="B6529" s="208" t="s">
        <v>5294</v>
      </c>
      <c r="C6529" s="208" t="s">
        <v>146</v>
      </c>
      <c r="D6529" s="211">
        <v>-50000</v>
      </c>
      <c r="E6529" s="212">
        <v>45536</v>
      </c>
      <c r="F6529" s="208" t="s">
        <v>109</v>
      </c>
      <c r="G6529" s="201" t="s">
        <v>581</v>
      </c>
      <c r="H6529" s="208"/>
      <c r="I6529" s="208" t="s">
        <v>3364</v>
      </c>
    </row>
    <row r="6530" spans="1:149" ht="15" hidden="1" customHeight="1">
      <c r="A6530" s="468">
        <v>45560</v>
      </c>
      <c r="B6530" s="208" t="s">
        <v>5295</v>
      </c>
      <c r="C6530" s="208" t="s">
        <v>146</v>
      </c>
      <c r="D6530" s="211">
        <v>-50000</v>
      </c>
      <c r="E6530" s="212">
        <v>45536</v>
      </c>
      <c r="F6530" s="208" t="s">
        <v>109</v>
      </c>
      <c r="G6530" s="201" t="s">
        <v>1306</v>
      </c>
      <c r="H6530" s="208" t="s">
        <v>147</v>
      </c>
      <c r="I6530" s="208" t="s">
        <v>47</v>
      </c>
      <c r="J6530" s="209"/>
      <c r="K6530" s="209"/>
      <c r="L6530" s="209"/>
      <c r="M6530" s="209"/>
      <c r="N6530" s="209"/>
      <c r="O6530" s="209"/>
      <c r="P6530" s="209"/>
      <c r="Q6530" s="209"/>
      <c r="R6530" s="209"/>
      <c r="S6530" s="209"/>
      <c r="T6530" s="209"/>
    </row>
    <row r="6531" spans="1:149" ht="15" hidden="1" customHeight="1">
      <c r="A6531" s="468">
        <v>45560</v>
      </c>
      <c r="B6531" s="208" t="s">
        <v>5296</v>
      </c>
      <c r="C6531" s="208" t="s">
        <v>146</v>
      </c>
      <c r="D6531" s="211">
        <v>-52000</v>
      </c>
      <c r="E6531" s="212">
        <v>45536</v>
      </c>
      <c r="F6531" s="208" t="s">
        <v>130</v>
      </c>
      <c r="G6531" s="208" t="s">
        <v>130</v>
      </c>
      <c r="H6531" s="208" t="s">
        <v>3622</v>
      </c>
      <c r="I6531" s="208" t="s">
        <v>47</v>
      </c>
      <c r="J6531" s="209"/>
      <c r="K6531" s="209"/>
      <c r="L6531" s="209"/>
      <c r="M6531" s="209"/>
      <c r="N6531" s="209"/>
      <c r="O6531" s="209"/>
      <c r="P6531" s="209"/>
      <c r="Q6531" s="209"/>
      <c r="R6531" s="209"/>
      <c r="S6531" s="209"/>
      <c r="T6531" s="209"/>
    </row>
    <row r="6532" spans="1:149" ht="15" hidden="1" customHeight="1">
      <c r="A6532" s="468">
        <v>45560</v>
      </c>
      <c r="B6532" s="208" t="s">
        <v>5297</v>
      </c>
      <c r="C6532" s="208" t="s">
        <v>146</v>
      </c>
      <c r="D6532" s="211">
        <v>-9000</v>
      </c>
      <c r="E6532" s="212">
        <v>45536</v>
      </c>
      <c r="F6532" s="208" t="s">
        <v>130</v>
      </c>
      <c r="G6532" s="208" t="s">
        <v>130</v>
      </c>
      <c r="H6532" s="208" t="s">
        <v>3622</v>
      </c>
      <c r="I6532" s="208" t="s">
        <v>47</v>
      </c>
      <c r="J6532" s="209"/>
      <c r="K6532" s="209"/>
      <c r="L6532" s="209"/>
      <c r="M6532" s="209"/>
      <c r="N6532" s="209"/>
      <c r="O6532" s="209"/>
      <c r="P6532" s="209"/>
      <c r="Q6532" s="209"/>
      <c r="R6532" s="209"/>
      <c r="S6532" s="209"/>
      <c r="T6532" s="209"/>
    </row>
    <row r="6533" spans="1:149" ht="15" hidden="1" customHeight="1">
      <c r="A6533" s="468">
        <v>45560</v>
      </c>
      <c r="B6533" s="208" t="s">
        <v>5298</v>
      </c>
      <c r="C6533" s="208" t="s">
        <v>146</v>
      </c>
      <c r="D6533" s="211">
        <v>-5100</v>
      </c>
      <c r="E6533" s="212">
        <v>45536</v>
      </c>
      <c r="F6533" s="208" t="s">
        <v>130</v>
      </c>
      <c r="G6533" s="208" t="s">
        <v>130</v>
      </c>
      <c r="H6533" s="208" t="s">
        <v>3622</v>
      </c>
      <c r="I6533" s="208" t="s">
        <v>47</v>
      </c>
      <c r="J6533" s="209"/>
      <c r="K6533" s="209"/>
      <c r="L6533" s="209"/>
      <c r="M6533" s="209"/>
      <c r="N6533" s="209"/>
      <c r="O6533" s="209"/>
      <c r="P6533" s="209"/>
      <c r="Q6533" s="209"/>
      <c r="R6533" s="209"/>
      <c r="S6533" s="209"/>
      <c r="T6533" s="209"/>
    </row>
    <row r="6534" spans="1:149" ht="15" hidden="1" customHeight="1">
      <c r="A6534" s="468">
        <v>45560</v>
      </c>
      <c r="B6534" s="208" t="s">
        <v>5299</v>
      </c>
      <c r="C6534" s="208" t="s">
        <v>146</v>
      </c>
      <c r="D6534" s="211">
        <v>-25000</v>
      </c>
      <c r="E6534" s="212">
        <v>45536</v>
      </c>
      <c r="F6534" s="208" t="s">
        <v>130</v>
      </c>
      <c r="G6534" s="208" t="s">
        <v>257</v>
      </c>
      <c r="H6534" s="81" t="s">
        <v>138</v>
      </c>
      <c r="I6534" s="208" t="s">
        <v>47</v>
      </c>
      <c r="J6534" s="209"/>
      <c r="K6534" s="209"/>
      <c r="L6534" s="209"/>
      <c r="M6534" s="209"/>
      <c r="N6534" s="209"/>
      <c r="O6534" s="209"/>
      <c r="P6534" s="209"/>
      <c r="Q6534" s="209"/>
      <c r="R6534" s="209"/>
      <c r="S6534" s="209"/>
      <c r="T6534" s="209"/>
    </row>
    <row r="6535" spans="1:149" ht="15" hidden="1" customHeight="1">
      <c r="A6535" s="468">
        <v>45560</v>
      </c>
      <c r="B6535" s="208" t="s">
        <v>5300</v>
      </c>
      <c r="C6535" s="208" t="s">
        <v>146</v>
      </c>
      <c r="D6535" s="211">
        <v>-25000</v>
      </c>
      <c r="E6535" s="212">
        <v>45536</v>
      </c>
      <c r="F6535" s="208" t="s">
        <v>130</v>
      </c>
      <c r="G6535" s="208" t="s">
        <v>257</v>
      </c>
      <c r="H6535" s="81" t="s">
        <v>138</v>
      </c>
      <c r="I6535" s="208" t="s">
        <v>47</v>
      </c>
      <c r="J6535" s="209"/>
      <c r="K6535" s="209"/>
      <c r="L6535" s="209"/>
      <c r="M6535" s="209"/>
      <c r="N6535" s="209"/>
      <c r="O6535" s="209"/>
      <c r="P6535" s="209"/>
      <c r="Q6535" s="209"/>
      <c r="R6535" s="209"/>
      <c r="S6535" s="209"/>
      <c r="T6535" s="209"/>
    </row>
    <row r="6536" spans="1:149" ht="15" hidden="1" customHeight="1">
      <c r="A6536" s="468">
        <v>45560</v>
      </c>
      <c r="B6536" s="208" t="s">
        <v>5301</v>
      </c>
      <c r="C6536" s="208" t="s">
        <v>146</v>
      </c>
      <c r="D6536" s="211">
        <v>-816300</v>
      </c>
      <c r="E6536" s="212">
        <v>45536</v>
      </c>
      <c r="F6536" s="208" t="s">
        <v>110</v>
      </c>
      <c r="G6536" s="208" t="s">
        <v>4399</v>
      </c>
      <c r="H6536" s="201" t="s">
        <v>416</v>
      </c>
      <c r="I6536" s="208"/>
      <c r="J6536" s="209"/>
      <c r="K6536" s="209"/>
      <c r="L6536" s="209"/>
      <c r="M6536" s="209"/>
      <c r="N6536" s="209"/>
      <c r="O6536" s="209"/>
      <c r="P6536" s="209"/>
      <c r="Q6536" s="209"/>
      <c r="R6536" s="209"/>
      <c r="S6536" s="209"/>
      <c r="T6536" s="209"/>
    </row>
    <row r="6537" spans="1:149" ht="15" hidden="1" customHeight="1">
      <c r="A6537" s="468">
        <v>45561</v>
      </c>
      <c r="B6537" s="208" t="s">
        <v>5302</v>
      </c>
      <c r="C6537" s="208" t="s">
        <v>27</v>
      </c>
      <c r="D6537" s="211">
        <v>-126000</v>
      </c>
      <c r="E6537" s="212">
        <v>45536</v>
      </c>
      <c r="F6537" s="208" t="s">
        <v>2531</v>
      </c>
      <c r="G6537" s="201" t="s">
        <v>1489</v>
      </c>
      <c r="H6537" s="81" t="s">
        <v>138</v>
      </c>
      <c r="I6537" s="208" t="s">
        <v>5303</v>
      </c>
      <c r="J6537" s="209"/>
      <c r="K6537" s="209"/>
      <c r="L6537" s="209"/>
      <c r="M6537" s="209"/>
      <c r="N6537" s="209"/>
      <c r="O6537" s="209"/>
      <c r="P6537" s="209"/>
      <c r="Q6537" s="209"/>
      <c r="R6537" s="209"/>
      <c r="S6537" s="209"/>
      <c r="T6537" s="209"/>
      <c r="U6537" s="451"/>
      <c r="V6537" s="451"/>
      <c r="W6537" s="451"/>
      <c r="X6537" s="451"/>
      <c r="Y6537" s="451"/>
      <c r="Z6537" s="451"/>
      <c r="AA6537" s="451"/>
      <c r="AB6537" s="451"/>
      <c r="AC6537" s="451"/>
      <c r="AD6537" s="451"/>
      <c r="AE6537" s="451"/>
      <c r="AF6537" s="451"/>
      <c r="AG6537" s="451"/>
      <c r="AH6537" s="451"/>
      <c r="AI6537" s="451"/>
      <c r="AJ6537" s="451"/>
      <c r="AK6537" s="451"/>
      <c r="AL6537" s="451"/>
      <c r="AM6537" s="451"/>
      <c r="AN6537" s="451"/>
      <c r="AO6537" s="451"/>
      <c r="AP6537" s="451"/>
      <c r="AQ6537" s="451"/>
      <c r="AR6537" s="451"/>
      <c r="AS6537" s="451"/>
      <c r="AT6537" s="451"/>
      <c r="AU6537" s="451"/>
      <c r="AV6537" s="451"/>
      <c r="AW6537" s="451"/>
      <c r="AX6537" s="451"/>
      <c r="AY6537" s="451"/>
      <c r="AZ6537" s="451"/>
      <c r="BA6537" s="451"/>
      <c r="BB6537" s="451"/>
      <c r="BC6537" s="451"/>
      <c r="BD6537" s="451"/>
      <c r="BE6537" s="451"/>
      <c r="BF6537" s="451"/>
      <c r="BG6537" s="451"/>
      <c r="BH6537" s="451"/>
      <c r="BI6537" s="451"/>
      <c r="BJ6537" s="451"/>
      <c r="BK6537" s="451"/>
      <c r="BL6537" s="451"/>
      <c r="BM6537" s="451"/>
      <c r="BN6537" s="451"/>
      <c r="BO6537" s="451"/>
      <c r="BP6537" s="451"/>
      <c r="BQ6537" s="451"/>
      <c r="BR6537" s="451"/>
      <c r="BS6537" s="451"/>
      <c r="BT6537" s="451"/>
      <c r="BU6537" s="451"/>
      <c r="BV6537" s="451"/>
      <c r="BW6537" s="451"/>
      <c r="BX6537" s="451"/>
      <c r="BY6537" s="451"/>
      <c r="BZ6537" s="451"/>
      <c r="CA6537" s="451"/>
      <c r="CB6537" s="451"/>
      <c r="CC6537" s="451"/>
      <c r="CD6537" s="451"/>
      <c r="CE6537" s="451"/>
      <c r="CF6537" s="451"/>
      <c r="CG6537" s="451"/>
      <c r="CH6537" s="451"/>
      <c r="CI6537" s="451"/>
      <c r="CJ6537" s="451"/>
      <c r="CK6537" s="451"/>
      <c r="CL6537" s="451"/>
      <c r="CM6537" s="451"/>
      <c r="CN6537" s="451"/>
      <c r="CO6537" s="451"/>
      <c r="CP6537" s="451"/>
      <c r="CQ6537" s="451"/>
      <c r="CR6537" s="451"/>
      <c r="CS6537" s="451"/>
      <c r="CT6537" s="451"/>
      <c r="CU6537" s="451"/>
      <c r="CV6537" s="451"/>
      <c r="CW6537" s="451"/>
      <c r="CX6537" s="451"/>
      <c r="CY6537" s="451"/>
      <c r="CZ6537" s="451"/>
      <c r="DA6537" s="451"/>
      <c r="DB6537" s="451"/>
      <c r="DC6537" s="451"/>
      <c r="DD6537" s="451"/>
      <c r="DE6537" s="451"/>
      <c r="DF6537" s="451"/>
      <c r="DG6537" s="451"/>
      <c r="DH6537" s="451"/>
      <c r="DI6537" s="451"/>
      <c r="DJ6537" s="451"/>
      <c r="DK6537" s="451"/>
      <c r="DL6537" s="451"/>
      <c r="DM6537" s="451"/>
      <c r="DN6537" s="451"/>
      <c r="DO6537" s="451"/>
      <c r="DP6537" s="451"/>
      <c r="DQ6537" s="451"/>
      <c r="DR6537" s="451"/>
      <c r="DS6537" s="451"/>
      <c r="DT6537" s="451"/>
      <c r="DU6537" s="451"/>
      <c r="DV6537" s="451"/>
      <c r="DW6537" s="451"/>
      <c r="DX6537" s="451"/>
      <c r="DY6537" s="451"/>
      <c r="DZ6537" s="451"/>
      <c r="EA6537" s="451"/>
      <c r="EB6537" s="451"/>
      <c r="EC6537" s="451"/>
      <c r="ED6537" s="451"/>
      <c r="EE6537" s="451"/>
      <c r="EF6537" s="451"/>
      <c r="EG6537" s="451"/>
      <c r="EH6537" s="451"/>
      <c r="EI6537" s="451"/>
      <c r="EJ6537" s="451"/>
      <c r="EK6537" s="451"/>
      <c r="EL6537" s="451"/>
      <c r="EM6537" s="451"/>
      <c r="EN6537" s="451"/>
      <c r="EO6537" s="451"/>
      <c r="EP6537" s="451"/>
      <c r="EQ6537" s="451"/>
      <c r="ER6537" s="451"/>
      <c r="ES6537" s="451"/>
    </row>
    <row r="6538" spans="1:149" ht="15" hidden="1" customHeight="1">
      <c r="A6538" s="468">
        <v>45561</v>
      </c>
      <c r="B6538" s="208" t="s">
        <v>5302</v>
      </c>
      <c r="C6538" s="208" t="s">
        <v>27</v>
      </c>
      <c r="D6538" s="211">
        <v>-36000</v>
      </c>
      <c r="E6538" s="212">
        <v>45536</v>
      </c>
      <c r="F6538" s="208" t="s">
        <v>109</v>
      </c>
      <c r="G6538" s="208" t="s">
        <v>3529</v>
      </c>
      <c r="H6538" s="81" t="s">
        <v>138</v>
      </c>
      <c r="I6538" s="208" t="s">
        <v>5303</v>
      </c>
      <c r="J6538" s="209"/>
      <c r="K6538" s="209"/>
      <c r="L6538" s="209"/>
      <c r="M6538" s="209"/>
      <c r="N6538" s="209"/>
      <c r="O6538" s="209"/>
      <c r="P6538" s="209"/>
      <c r="Q6538" s="209"/>
      <c r="R6538" s="209"/>
      <c r="S6538" s="209"/>
      <c r="T6538" s="209"/>
      <c r="U6538" s="451"/>
      <c r="V6538" s="451"/>
      <c r="W6538" s="451"/>
      <c r="X6538" s="451"/>
      <c r="Y6538" s="451"/>
      <c r="Z6538" s="451"/>
      <c r="AA6538" s="451"/>
      <c r="AB6538" s="451"/>
      <c r="AC6538" s="451"/>
      <c r="AD6538" s="451"/>
      <c r="AE6538" s="451"/>
      <c r="AF6538" s="451"/>
      <c r="AG6538" s="451"/>
      <c r="AH6538" s="451"/>
      <c r="AI6538" s="451"/>
      <c r="AJ6538" s="451"/>
      <c r="AK6538" s="451"/>
      <c r="AL6538" s="451"/>
      <c r="AM6538" s="451"/>
      <c r="AN6538" s="451"/>
      <c r="AO6538" s="451"/>
      <c r="AP6538" s="451"/>
      <c r="AQ6538" s="451"/>
      <c r="AR6538" s="451"/>
      <c r="AS6538" s="451"/>
      <c r="AT6538" s="451"/>
      <c r="AU6538" s="451"/>
      <c r="AV6538" s="451"/>
      <c r="AW6538" s="451"/>
      <c r="AX6538" s="451"/>
      <c r="AY6538" s="451"/>
      <c r="AZ6538" s="451"/>
      <c r="BA6538" s="451"/>
      <c r="BB6538" s="451"/>
      <c r="BC6538" s="451"/>
      <c r="BD6538" s="451"/>
      <c r="BE6538" s="451"/>
      <c r="BF6538" s="451"/>
      <c r="BG6538" s="451"/>
      <c r="BH6538" s="451"/>
      <c r="BI6538" s="451"/>
      <c r="BJ6538" s="451"/>
      <c r="BK6538" s="451"/>
      <c r="BL6538" s="451"/>
      <c r="BM6538" s="451"/>
      <c r="BN6538" s="451"/>
      <c r="BO6538" s="451"/>
      <c r="BP6538" s="451"/>
      <c r="BQ6538" s="451"/>
      <c r="BR6538" s="451"/>
      <c r="BS6538" s="451"/>
      <c r="BT6538" s="451"/>
      <c r="BU6538" s="451"/>
      <c r="BV6538" s="451"/>
      <c r="BW6538" s="451"/>
      <c r="BX6538" s="451"/>
      <c r="BY6538" s="451"/>
      <c r="BZ6538" s="451"/>
      <c r="CA6538" s="451"/>
      <c r="CB6538" s="451"/>
      <c r="CC6538" s="451"/>
      <c r="CD6538" s="451"/>
      <c r="CE6538" s="451"/>
      <c r="CF6538" s="451"/>
      <c r="CG6538" s="451"/>
      <c r="CH6538" s="451"/>
      <c r="CI6538" s="451"/>
      <c r="CJ6538" s="451"/>
      <c r="CK6538" s="451"/>
      <c r="CL6538" s="451"/>
      <c r="CM6538" s="451"/>
      <c r="CN6538" s="451"/>
      <c r="CO6538" s="451"/>
      <c r="CP6538" s="451"/>
      <c r="CQ6538" s="451"/>
      <c r="CR6538" s="451"/>
      <c r="CS6538" s="451"/>
      <c r="CT6538" s="451"/>
      <c r="CU6538" s="451"/>
      <c r="CV6538" s="451"/>
      <c r="CW6538" s="451"/>
      <c r="CX6538" s="451"/>
      <c r="CY6538" s="451"/>
      <c r="CZ6538" s="451"/>
      <c r="DA6538" s="451"/>
      <c r="DB6538" s="451"/>
      <c r="DC6538" s="451"/>
      <c r="DD6538" s="451"/>
      <c r="DE6538" s="451"/>
      <c r="DF6538" s="451"/>
      <c r="DG6538" s="451"/>
      <c r="DH6538" s="451"/>
      <c r="DI6538" s="451"/>
      <c r="DJ6538" s="451"/>
      <c r="DK6538" s="451"/>
      <c r="DL6538" s="451"/>
      <c r="DM6538" s="451"/>
      <c r="DN6538" s="451"/>
      <c r="DO6538" s="451"/>
      <c r="DP6538" s="451"/>
      <c r="DQ6538" s="451"/>
      <c r="DR6538" s="451"/>
      <c r="DS6538" s="451"/>
      <c r="DT6538" s="451"/>
      <c r="DU6538" s="451"/>
      <c r="DV6538" s="451"/>
      <c r="DW6538" s="451"/>
      <c r="DX6538" s="451"/>
      <c r="DY6538" s="451"/>
      <c r="DZ6538" s="451"/>
      <c r="EA6538" s="451"/>
      <c r="EB6538" s="451"/>
      <c r="EC6538" s="451"/>
      <c r="ED6538" s="451"/>
      <c r="EE6538" s="451"/>
      <c r="EF6538" s="451"/>
      <c r="EG6538" s="451"/>
      <c r="EH6538" s="451"/>
      <c r="EI6538" s="451"/>
      <c r="EJ6538" s="451"/>
      <c r="EK6538" s="451"/>
      <c r="EL6538" s="451"/>
      <c r="EM6538" s="451"/>
      <c r="EN6538" s="451"/>
      <c r="EO6538" s="451"/>
      <c r="EP6538" s="451"/>
      <c r="EQ6538" s="451"/>
      <c r="ER6538" s="451"/>
      <c r="ES6538" s="451"/>
    </row>
    <row r="6539" spans="1:149" ht="15" hidden="1" customHeight="1">
      <c r="A6539" s="468">
        <v>45561</v>
      </c>
      <c r="B6539" s="208" t="s">
        <v>5302</v>
      </c>
      <c r="C6539" s="208" t="s">
        <v>27</v>
      </c>
      <c r="D6539" s="211">
        <v>-615640</v>
      </c>
      <c r="E6539" s="212">
        <v>45536</v>
      </c>
      <c r="F6539" s="208" t="s">
        <v>109</v>
      </c>
      <c r="G6539" s="208" t="s">
        <v>4294</v>
      </c>
      <c r="H6539" s="81" t="s">
        <v>138</v>
      </c>
      <c r="I6539" s="208" t="s">
        <v>5303</v>
      </c>
      <c r="J6539" s="209"/>
      <c r="K6539" s="209"/>
      <c r="L6539" s="209"/>
      <c r="M6539" s="209"/>
      <c r="N6539" s="209"/>
      <c r="O6539" s="209"/>
      <c r="P6539" s="209"/>
      <c r="Q6539" s="209"/>
      <c r="R6539" s="209"/>
      <c r="S6539" s="209"/>
      <c r="T6539" s="209"/>
      <c r="U6539" s="451"/>
      <c r="V6539" s="451"/>
      <c r="W6539" s="451"/>
      <c r="X6539" s="451"/>
      <c r="Y6539" s="451"/>
      <c r="Z6539" s="451"/>
      <c r="AA6539" s="451"/>
      <c r="AB6539" s="451"/>
      <c r="AC6539" s="451"/>
      <c r="AD6539" s="451"/>
      <c r="AE6539" s="451"/>
      <c r="AF6539" s="451"/>
      <c r="AG6539" s="451"/>
      <c r="AH6539" s="451"/>
      <c r="AI6539" s="451"/>
      <c r="AJ6539" s="451"/>
      <c r="AK6539" s="451"/>
      <c r="AL6539" s="451"/>
      <c r="AM6539" s="451"/>
      <c r="AN6539" s="451"/>
      <c r="AO6539" s="451"/>
      <c r="AP6539" s="451"/>
      <c r="AQ6539" s="451"/>
      <c r="AR6539" s="451"/>
      <c r="AS6539" s="451"/>
      <c r="AT6539" s="451"/>
      <c r="AU6539" s="451"/>
      <c r="AV6539" s="451"/>
      <c r="AW6539" s="451"/>
      <c r="AX6539" s="451"/>
      <c r="AY6539" s="451"/>
      <c r="AZ6539" s="451"/>
      <c r="BA6539" s="451"/>
      <c r="BB6539" s="451"/>
      <c r="BC6539" s="451"/>
      <c r="BD6539" s="451"/>
      <c r="BE6539" s="451"/>
      <c r="BF6539" s="451"/>
      <c r="BG6539" s="451"/>
      <c r="BH6539" s="451"/>
      <c r="BI6539" s="451"/>
      <c r="BJ6539" s="451"/>
      <c r="BK6539" s="451"/>
      <c r="BL6539" s="451"/>
      <c r="BM6539" s="451"/>
      <c r="BN6539" s="451"/>
      <c r="BO6539" s="451"/>
      <c r="BP6539" s="451"/>
      <c r="BQ6539" s="451"/>
      <c r="BR6539" s="451"/>
      <c r="BS6539" s="451"/>
      <c r="BT6539" s="451"/>
      <c r="BU6539" s="451"/>
      <c r="BV6539" s="451"/>
      <c r="BW6539" s="451"/>
      <c r="BX6539" s="451"/>
      <c r="BY6539" s="451"/>
      <c r="BZ6539" s="451"/>
      <c r="CA6539" s="451"/>
      <c r="CB6539" s="451"/>
      <c r="CC6539" s="451"/>
      <c r="CD6539" s="451"/>
      <c r="CE6539" s="451"/>
      <c r="CF6539" s="451"/>
      <c r="CG6539" s="451"/>
      <c r="CH6539" s="451"/>
      <c r="CI6539" s="451"/>
      <c r="CJ6539" s="451"/>
      <c r="CK6539" s="451"/>
      <c r="CL6539" s="451"/>
      <c r="CM6539" s="451"/>
      <c r="CN6539" s="451"/>
      <c r="CO6539" s="451"/>
      <c r="CP6539" s="451"/>
      <c r="CQ6539" s="451"/>
      <c r="CR6539" s="451"/>
      <c r="CS6539" s="451"/>
      <c r="CT6539" s="451"/>
      <c r="CU6539" s="451"/>
      <c r="CV6539" s="451"/>
      <c r="CW6539" s="451"/>
      <c r="CX6539" s="451"/>
      <c r="CY6539" s="451"/>
      <c r="CZ6539" s="451"/>
      <c r="DA6539" s="451"/>
      <c r="DB6539" s="451"/>
      <c r="DC6539" s="451"/>
      <c r="DD6539" s="451"/>
      <c r="DE6539" s="451"/>
      <c r="DF6539" s="451"/>
      <c r="DG6539" s="451"/>
      <c r="DH6539" s="451"/>
      <c r="DI6539" s="451"/>
      <c r="DJ6539" s="451"/>
      <c r="DK6539" s="451"/>
      <c r="DL6539" s="451"/>
      <c r="DM6539" s="451"/>
      <c r="DN6539" s="451"/>
      <c r="DO6539" s="451"/>
      <c r="DP6539" s="451"/>
      <c r="DQ6539" s="451"/>
      <c r="DR6539" s="451"/>
      <c r="DS6539" s="451"/>
      <c r="DT6539" s="451"/>
      <c r="DU6539" s="451"/>
      <c r="DV6539" s="451"/>
      <c r="DW6539" s="451"/>
      <c r="DX6539" s="451"/>
      <c r="DY6539" s="451"/>
      <c r="DZ6539" s="451"/>
      <c r="EA6539" s="451"/>
      <c r="EB6539" s="451"/>
      <c r="EC6539" s="451"/>
      <c r="ED6539" s="451"/>
      <c r="EE6539" s="451"/>
      <c r="EF6539" s="451"/>
      <c r="EG6539" s="451"/>
      <c r="EH6539" s="451"/>
      <c r="EI6539" s="451"/>
      <c r="EJ6539" s="451"/>
      <c r="EK6539" s="451"/>
      <c r="EL6539" s="451"/>
      <c r="EM6539" s="451"/>
      <c r="EN6539" s="451"/>
      <c r="EO6539" s="451"/>
      <c r="EP6539" s="451"/>
      <c r="EQ6539" s="451"/>
      <c r="ER6539" s="451"/>
      <c r="ES6539" s="451"/>
    </row>
    <row r="6540" spans="1:149" ht="15" hidden="1" customHeight="1">
      <c r="A6540" s="468">
        <v>45561</v>
      </c>
      <c r="B6540" s="208" t="s">
        <v>5302</v>
      </c>
      <c r="C6540" s="208" t="s">
        <v>27</v>
      </c>
      <c r="D6540" s="211">
        <v>-44000</v>
      </c>
      <c r="E6540" s="212">
        <v>45536</v>
      </c>
      <c r="F6540" s="208" t="s">
        <v>109</v>
      </c>
      <c r="G6540" s="654" t="s">
        <v>2585</v>
      </c>
      <c r="H6540" s="81" t="s">
        <v>138</v>
      </c>
      <c r="I6540" s="208" t="s">
        <v>5303</v>
      </c>
      <c r="J6540" s="209"/>
      <c r="K6540" s="209"/>
      <c r="L6540" s="209"/>
      <c r="M6540" s="209"/>
      <c r="N6540" s="209"/>
      <c r="O6540" s="209"/>
      <c r="P6540" s="209"/>
      <c r="Q6540" s="209"/>
      <c r="R6540" s="209"/>
      <c r="S6540" s="209"/>
      <c r="T6540" s="209"/>
      <c r="U6540" s="451"/>
      <c r="V6540" s="451"/>
      <c r="W6540" s="451"/>
      <c r="X6540" s="451"/>
      <c r="Y6540" s="451"/>
      <c r="Z6540" s="451"/>
      <c r="AA6540" s="451"/>
      <c r="AB6540" s="451"/>
      <c r="AC6540" s="451"/>
      <c r="AD6540" s="451"/>
      <c r="AE6540" s="451"/>
      <c r="AF6540" s="451"/>
      <c r="AG6540" s="451"/>
      <c r="AH6540" s="451"/>
      <c r="AI6540" s="451"/>
      <c r="AJ6540" s="451"/>
      <c r="AK6540" s="451"/>
      <c r="AL6540" s="451"/>
      <c r="AM6540" s="451"/>
      <c r="AN6540" s="451"/>
      <c r="AO6540" s="451"/>
      <c r="AP6540" s="451"/>
      <c r="AQ6540" s="451"/>
      <c r="AR6540" s="451"/>
      <c r="AS6540" s="451"/>
      <c r="AT6540" s="451"/>
      <c r="AU6540" s="451"/>
      <c r="AV6540" s="451"/>
      <c r="AW6540" s="451"/>
      <c r="AX6540" s="451"/>
      <c r="AY6540" s="451"/>
      <c r="AZ6540" s="451"/>
      <c r="BA6540" s="451"/>
      <c r="BB6540" s="451"/>
      <c r="BC6540" s="451"/>
      <c r="BD6540" s="451"/>
      <c r="BE6540" s="451"/>
      <c r="BF6540" s="451"/>
      <c r="BG6540" s="451"/>
      <c r="BH6540" s="451"/>
      <c r="BI6540" s="451"/>
      <c r="BJ6540" s="451"/>
      <c r="BK6540" s="451"/>
      <c r="BL6540" s="451"/>
      <c r="BM6540" s="451"/>
      <c r="BN6540" s="451"/>
      <c r="BO6540" s="451"/>
      <c r="BP6540" s="451"/>
      <c r="BQ6540" s="451"/>
      <c r="BR6540" s="451"/>
      <c r="BS6540" s="451"/>
      <c r="BT6540" s="451"/>
      <c r="BU6540" s="451"/>
      <c r="BV6540" s="451"/>
      <c r="BW6540" s="451"/>
      <c r="BX6540" s="451"/>
      <c r="BY6540" s="451"/>
      <c r="BZ6540" s="451"/>
      <c r="CA6540" s="451"/>
      <c r="CB6540" s="451"/>
      <c r="CC6540" s="451"/>
      <c r="CD6540" s="451"/>
      <c r="CE6540" s="451"/>
      <c r="CF6540" s="451"/>
      <c r="CG6540" s="451"/>
      <c r="CH6540" s="451"/>
      <c r="CI6540" s="451"/>
      <c r="CJ6540" s="451"/>
      <c r="CK6540" s="451"/>
      <c r="CL6540" s="451"/>
      <c r="CM6540" s="451"/>
      <c r="CN6540" s="451"/>
      <c r="CO6540" s="451"/>
      <c r="CP6540" s="451"/>
      <c r="CQ6540" s="451"/>
      <c r="CR6540" s="451"/>
      <c r="CS6540" s="451"/>
      <c r="CT6540" s="451"/>
      <c r="CU6540" s="451"/>
      <c r="CV6540" s="451"/>
      <c r="CW6540" s="451"/>
      <c r="CX6540" s="451"/>
      <c r="CY6540" s="451"/>
      <c r="CZ6540" s="451"/>
      <c r="DA6540" s="451"/>
      <c r="DB6540" s="451"/>
      <c r="DC6540" s="451"/>
      <c r="DD6540" s="451"/>
      <c r="DE6540" s="451"/>
      <c r="DF6540" s="451"/>
      <c r="DG6540" s="451"/>
      <c r="DH6540" s="451"/>
      <c r="DI6540" s="451"/>
      <c r="DJ6540" s="451"/>
      <c r="DK6540" s="451"/>
      <c r="DL6540" s="451"/>
      <c r="DM6540" s="451"/>
      <c r="DN6540" s="451"/>
      <c r="DO6540" s="451"/>
      <c r="DP6540" s="451"/>
      <c r="DQ6540" s="451"/>
      <c r="DR6540" s="451"/>
      <c r="DS6540" s="451"/>
      <c r="DT6540" s="451"/>
      <c r="DU6540" s="451"/>
      <c r="DV6540" s="451"/>
      <c r="DW6540" s="451"/>
      <c r="DX6540" s="451"/>
      <c r="DY6540" s="451"/>
      <c r="DZ6540" s="451"/>
      <c r="EA6540" s="451"/>
      <c r="EB6540" s="451"/>
      <c r="EC6540" s="451"/>
      <c r="ED6540" s="451"/>
      <c r="EE6540" s="451"/>
      <c r="EF6540" s="451"/>
      <c r="EG6540" s="451"/>
      <c r="EH6540" s="451"/>
      <c r="EI6540" s="451"/>
      <c r="EJ6540" s="451"/>
      <c r="EK6540" s="451"/>
      <c r="EL6540" s="451"/>
      <c r="EM6540" s="451"/>
      <c r="EN6540" s="451"/>
      <c r="EO6540" s="451"/>
      <c r="EP6540" s="451"/>
      <c r="EQ6540" s="451"/>
      <c r="ER6540" s="451"/>
      <c r="ES6540" s="451"/>
    </row>
    <row r="6541" spans="1:149" ht="15" hidden="1" customHeight="1">
      <c r="A6541" s="468">
        <v>45561</v>
      </c>
      <c r="B6541" s="208" t="s">
        <v>5304</v>
      </c>
      <c r="C6541" s="208" t="s">
        <v>4314</v>
      </c>
      <c r="D6541" s="211">
        <v>-8350</v>
      </c>
      <c r="E6541" s="212">
        <v>45536</v>
      </c>
      <c r="F6541" s="208" t="s">
        <v>109</v>
      </c>
      <c r="G6541" s="654" t="s">
        <v>2585</v>
      </c>
      <c r="H6541" s="81" t="s">
        <v>138</v>
      </c>
      <c r="I6541" s="208" t="s">
        <v>5303</v>
      </c>
      <c r="J6541" s="209"/>
      <c r="K6541" s="209"/>
      <c r="L6541" s="209"/>
      <c r="M6541" s="209"/>
      <c r="N6541" s="209"/>
      <c r="O6541" s="209"/>
      <c r="P6541" s="209"/>
      <c r="Q6541" s="209"/>
      <c r="R6541" s="209"/>
      <c r="S6541" s="209"/>
      <c r="T6541" s="209"/>
    </row>
    <row r="6542" spans="1:149" ht="15" hidden="1" customHeight="1">
      <c r="A6542" s="468">
        <v>45561</v>
      </c>
      <c r="B6542" s="208" t="s">
        <v>5305</v>
      </c>
      <c r="C6542" s="208" t="s">
        <v>4314</v>
      </c>
      <c r="D6542" s="211">
        <v>-5010</v>
      </c>
      <c r="E6542" s="212">
        <v>45536</v>
      </c>
      <c r="F6542" s="208" t="s">
        <v>109</v>
      </c>
      <c r="G6542" s="654" t="s">
        <v>2585</v>
      </c>
      <c r="H6542" s="81" t="s">
        <v>138</v>
      </c>
      <c r="I6542" s="208" t="s">
        <v>5303</v>
      </c>
      <c r="J6542" s="209"/>
      <c r="K6542" s="209"/>
      <c r="L6542" s="209"/>
      <c r="M6542" s="209"/>
      <c r="N6542" s="209"/>
      <c r="O6542" s="209"/>
      <c r="P6542" s="209"/>
      <c r="Q6542" s="209"/>
      <c r="R6542" s="209"/>
      <c r="S6542" s="209"/>
      <c r="T6542" s="209"/>
    </row>
    <row r="6543" spans="1:149" ht="15" hidden="1" customHeight="1">
      <c r="A6543" s="468">
        <v>45561</v>
      </c>
      <c r="B6543" s="208" t="s">
        <v>5306</v>
      </c>
      <c r="C6543" s="208" t="s">
        <v>27</v>
      </c>
      <c r="D6543" s="211">
        <v>-464899</v>
      </c>
      <c r="E6543" s="212">
        <v>45536</v>
      </c>
      <c r="F6543" s="208" t="s">
        <v>110</v>
      </c>
      <c r="G6543" s="208" t="s">
        <v>4399</v>
      </c>
      <c r="H6543" s="81" t="s">
        <v>138</v>
      </c>
      <c r="I6543" s="208"/>
      <c r="J6543" s="209"/>
      <c r="K6543" s="209"/>
      <c r="L6543" s="209"/>
      <c r="M6543" s="209"/>
      <c r="N6543" s="209"/>
      <c r="O6543" s="209"/>
      <c r="P6543" s="209"/>
      <c r="Q6543" s="209"/>
      <c r="R6543" s="209"/>
      <c r="S6543" s="209"/>
      <c r="T6543" s="209"/>
      <c r="U6543" s="451"/>
      <c r="V6543" s="451"/>
      <c r="W6543" s="451"/>
      <c r="X6543" s="451"/>
      <c r="Y6543" s="451"/>
      <c r="Z6543" s="451"/>
      <c r="AA6543" s="451"/>
      <c r="AB6543" s="451"/>
      <c r="AC6543" s="451"/>
      <c r="AD6543" s="451"/>
      <c r="AE6543" s="451"/>
      <c r="AF6543" s="451"/>
      <c r="AG6543" s="451"/>
      <c r="AH6543" s="451"/>
      <c r="AI6543" s="451"/>
      <c r="AJ6543" s="451"/>
      <c r="AK6543" s="451"/>
      <c r="AL6543" s="451"/>
      <c r="AM6543" s="451"/>
      <c r="AN6543" s="451"/>
      <c r="AO6543" s="451"/>
      <c r="AP6543" s="451"/>
      <c r="AQ6543" s="451"/>
      <c r="AR6543" s="451"/>
      <c r="AS6543" s="451"/>
      <c r="AT6543" s="451"/>
      <c r="AU6543" s="451"/>
      <c r="AV6543" s="451"/>
      <c r="AW6543" s="451"/>
      <c r="AX6543" s="451"/>
      <c r="AY6543" s="451"/>
      <c r="AZ6543" s="451"/>
      <c r="BA6543" s="451"/>
      <c r="BB6543" s="451"/>
      <c r="BC6543" s="451"/>
      <c r="BD6543" s="451"/>
      <c r="BE6543" s="451"/>
      <c r="BF6543" s="451"/>
      <c r="BG6543" s="451"/>
      <c r="BH6543" s="451"/>
      <c r="BI6543" s="451"/>
      <c r="BJ6543" s="451"/>
      <c r="BK6543" s="451"/>
      <c r="BL6543" s="451"/>
      <c r="BM6543" s="451"/>
      <c r="BN6543" s="451"/>
      <c r="BO6543" s="451"/>
      <c r="BP6543" s="451"/>
      <c r="BQ6543" s="451"/>
      <c r="BR6543" s="451"/>
      <c r="BS6543" s="451"/>
      <c r="BT6543" s="451"/>
      <c r="BU6543" s="451"/>
      <c r="BV6543" s="451"/>
      <c r="BW6543" s="451"/>
      <c r="BX6543" s="451"/>
      <c r="BY6543" s="451"/>
      <c r="BZ6543" s="451"/>
      <c r="CA6543" s="451"/>
      <c r="CB6543" s="451"/>
      <c r="CC6543" s="451"/>
      <c r="CD6543" s="451"/>
      <c r="CE6543" s="451"/>
      <c r="CF6543" s="451"/>
      <c r="CG6543" s="451"/>
      <c r="CH6543" s="451"/>
      <c r="CI6543" s="451"/>
      <c r="CJ6543" s="451"/>
      <c r="CK6543" s="451"/>
      <c r="CL6543" s="451"/>
      <c r="CM6543" s="451"/>
      <c r="CN6543" s="451"/>
      <c r="CO6543" s="451"/>
      <c r="CP6543" s="451"/>
      <c r="CQ6543" s="451"/>
      <c r="CR6543" s="451"/>
      <c r="CS6543" s="451"/>
      <c r="CT6543" s="451"/>
      <c r="CU6543" s="451"/>
      <c r="CV6543" s="451"/>
      <c r="CW6543" s="451"/>
      <c r="CX6543" s="451"/>
      <c r="CY6543" s="451"/>
      <c r="CZ6543" s="451"/>
      <c r="DA6543" s="451"/>
      <c r="DB6543" s="451"/>
      <c r="DC6543" s="451"/>
      <c r="DD6543" s="451"/>
      <c r="DE6543" s="451"/>
      <c r="DF6543" s="451"/>
      <c r="DG6543" s="451"/>
      <c r="DH6543" s="451"/>
      <c r="DI6543" s="451"/>
      <c r="DJ6543" s="451"/>
      <c r="DK6543" s="451"/>
      <c r="DL6543" s="451"/>
      <c r="DM6543" s="451"/>
      <c r="DN6543" s="451"/>
      <c r="DO6543" s="451"/>
      <c r="DP6543" s="451"/>
      <c r="DQ6543" s="451"/>
      <c r="DR6543" s="451"/>
      <c r="DS6543" s="451"/>
      <c r="DT6543" s="451"/>
      <c r="DU6543" s="451"/>
      <c r="DV6543" s="451"/>
      <c r="DW6543" s="451"/>
      <c r="DX6543" s="451"/>
      <c r="DY6543" s="451"/>
      <c r="DZ6543" s="451"/>
      <c r="EA6543" s="451"/>
      <c r="EB6543" s="451"/>
      <c r="EC6543" s="451"/>
      <c r="ED6543" s="451"/>
      <c r="EE6543" s="451"/>
      <c r="EF6543" s="451"/>
      <c r="EG6543" s="451"/>
      <c r="EH6543" s="451"/>
      <c r="EI6543" s="451"/>
      <c r="EJ6543" s="451"/>
      <c r="EK6543" s="451"/>
      <c r="EL6543" s="451"/>
      <c r="EM6543" s="451"/>
      <c r="EN6543" s="451"/>
      <c r="EO6543" s="451"/>
      <c r="EP6543" s="451"/>
      <c r="EQ6543" s="451"/>
      <c r="ER6543" s="451"/>
      <c r="ES6543" s="451"/>
    </row>
    <row r="6544" spans="1:149" ht="15" hidden="1" customHeight="1">
      <c r="A6544" s="468">
        <v>45561</v>
      </c>
      <c r="B6544" s="208" t="s">
        <v>5307</v>
      </c>
      <c r="C6544" s="208" t="s">
        <v>27</v>
      </c>
      <c r="D6544" s="211">
        <v>-319500</v>
      </c>
      <c r="E6544" s="212">
        <v>45536</v>
      </c>
      <c r="F6544" s="208" t="s">
        <v>109</v>
      </c>
      <c r="G6544" s="208" t="s">
        <v>2809</v>
      </c>
      <c r="H6544" s="208"/>
      <c r="I6544" s="208"/>
      <c r="J6544" s="209"/>
      <c r="K6544" s="209"/>
      <c r="L6544" s="209"/>
      <c r="M6544" s="209"/>
      <c r="N6544" s="209"/>
      <c r="O6544" s="209"/>
      <c r="P6544" s="209"/>
      <c r="Q6544" s="209"/>
      <c r="R6544" s="209"/>
      <c r="S6544" s="209"/>
      <c r="T6544" s="209"/>
      <c r="U6544" s="451"/>
      <c r="V6544" s="451"/>
      <c r="W6544" s="451"/>
      <c r="X6544" s="451"/>
      <c r="Y6544" s="451"/>
      <c r="Z6544" s="451"/>
      <c r="AA6544" s="451"/>
      <c r="AB6544" s="451"/>
      <c r="AC6544" s="451"/>
      <c r="AD6544" s="451"/>
      <c r="AE6544" s="451"/>
      <c r="AF6544" s="451"/>
      <c r="AG6544" s="451"/>
      <c r="AH6544" s="451"/>
      <c r="AI6544" s="451"/>
      <c r="AJ6544" s="451"/>
      <c r="AK6544" s="451"/>
      <c r="AL6544" s="451"/>
      <c r="AM6544" s="451"/>
      <c r="AN6544" s="451"/>
      <c r="AO6544" s="451"/>
      <c r="AP6544" s="451"/>
      <c r="AQ6544" s="451"/>
      <c r="AR6544" s="451"/>
      <c r="AS6544" s="451"/>
      <c r="AT6544" s="451"/>
      <c r="AU6544" s="451"/>
      <c r="AV6544" s="451"/>
      <c r="AW6544" s="451"/>
      <c r="AX6544" s="451"/>
      <c r="AY6544" s="451"/>
      <c r="AZ6544" s="451"/>
      <c r="BA6544" s="451"/>
      <c r="BB6544" s="451"/>
      <c r="BC6544" s="451"/>
      <c r="BD6544" s="451"/>
      <c r="BE6544" s="451"/>
      <c r="BF6544" s="451"/>
      <c r="BG6544" s="451"/>
      <c r="BH6544" s="451"/>
      <c r="BI6544" s="451"/>
      <c r="BJ6544" s="451"/>
      <c r="BK6544" s="451"/>
      <c r="BL6544" s="451"/>
      <c r="BM6544" s="451"/>
      <c r="BN6544" s="451"/>
      <c r="BO6544" s="451"/>
      <c r="BP6544" s="451"/>
      <c r="BQ6544" s="451"/>
      <c r="BR6544" s="451"/>
      <c r="BS6544" s="451"/>
      <c r="BT6544" s="451"/>
      <c r="BU6544" s="451"/>
      <c r="BV6544" s="451"/>
      <c r="BW6544" s="451"/>
      <c r="BX6544" s="451"/>
      <c r="BY6544" s="451"/>
      <c r="BZ6544" s="451"/>
      <c r="CA6544" s="451"/>
      <c r="CB6544" s="451"/>
      <c r="CC6544" s="451"/>
      <c r="CD6544" s="451"/>
      <c r="CE6544" s="451"/>
      <c r="CF6544" s="451"/>
      <c r="CG6544" s="451"/>
      <c r="CH6544" s="451"/>
      <c r="CI6544" s="451"/>
      <c r="CJ6544" s="451"/>
      <c r="CK6544" s="451"/>
      <c r="CL6544" s="451"/>
      <c r="CM6544" s="451"/>
      <c r="CN6544" s="451"/>
      <c r="CO6544" s="451"/>
      <c r="CP6544" s="451"/>
      <c r="CQ6544" s="451"/>
      <c r="CR6544" s="451"/>
      <c r="CS6544" s="451"/>
      <c r="CT6544" s="451"/>
      <c r="CU6544" s="451"/>
      <c r="CV6544" s="451"/>
      <c r="CW6544" s="451"/>
      <c r="CX6544" s="451"/>
      <c r="CY6544" s="451"/>
      <c r="CZ6544" s="451"/>
      <c r="DA6544" s="451"/>
      <c r="DB6544" s="451"/>
      <c r="DC6544" s="451"/>
      <c r="DD6544" s="451"/>
      <c r="DE6544" s="451"/>
      <c r="DF6544" s="451"/>
      <c r="DG6544" s="451"/>
      <c r="DH6544" s="451"/>
      <c r="DI6544" s="451"/>
      <c r="DJ6544" s="451"/>
      <c r="DK6544" s="451"/>
      <c r="DL6544" s="451"/>
      <c r="DM6544" s="451"/>
      <c r="DN6544" s="451"/>
      <c r="DO6544" s="451"/>
      <c r="DP6544" s="451"/>
      <c r="DQ6544" s="451"/>
      <c r="DR6544" s="451"/>
      <c r="DS6544" s="451"/>
      <c r="DT6544" s="451"/>
      <c r="DU6544" s="451"/>
      <c r="DV6544" s="451"/>
      <c r="DW6544" s="451"/>
      <c r="DX6544" s="451"/>
      <c r="DY6544" s="451"/>
      <c r="DZ6544" s="451"/>
      <c r="EA6544" s="451"/>
      <c r="EB6544" s="451"/>
      <c r="EC6544" s="451"/>
      <c r="ED6544" s="451"/>
      <c r="EE6544" s="451"/>
      <c r="EF6544" s="451"/>
      <c r="EG6544" s="451"/>
      <c r="EH6544" s="451"/>
      <c r="EI6544" s="451"/>
      <c r="EJ6544" s="451"/>
      <c r="EK6544" s="451"/>
      <c r="EL6544" s="451"/>
      <c r="EM6544" s="451"/>
      <c r="EN6544" s="451"/>
      <c r="EO6544" s="451"/>
      <c r="EP6544" s="451"/>
      <c r="EQ6544" s="451"/>
      <c r="ER6544" s="451"/>
      <c r="ES6544" s="451"/>
    </row>
    <row r="6545" spans="1:149" ht="15" hidden="1" customHeight="1">
      <c r="A6545" s="468">
        <v>45561</v>
      </c>
      <c r="B6545" s="208" t="s">
        <v>5308</v>
      </c>
      <c r="C6545" s="208" t="s">
        <v>27</v>
      </c>
      <c r="D6545" s="211">
        <v>-180000</v>
      </c>
      <c r="E6545" s="212">
        <v>45536</v>
      </c>
      <c r="F6545" s="208" t="s">
        <v>130</v>
      </c>
      <c r="G6545" s="208" t="s">
        <v>130</v>
      </c>
      <c r="H6545" s="208" t="s">
        <v>2444</v>
      </c>
      <c r="I6545" s="208"/>
      <c r="J6545" s="209"/>
      <c r="K6545" s="209"/>
      <c r="L6545" s="209"/>
      <c r="M6545" s="209"/>
      <c r="N6545" s="209"/>
      <c r="O6545" s="209"/>
      <c r="P6545" s="209"/>
      <c r="Q6545" s="209"/>
      <c r="R6545" s="209"/>
      <c r="S6545" s="209"/>
      <c r="T6545" s="209"/>
      <c r="U6545" s="451"/>
      <c r="V6545" s="451"/>
      <c r="W6545" s="451"/>
      <c r="X6545" s="451"/>
      <c r="Y6545" s="451"/>
      <c r="Z6545" s="451"/>
      <c r="AA6545" s="451"/>
      <c r="AB6545" s="451"/>
      <c r="AC6545" s="451"/>
      <c r="AD6545" s="451"/>
      <c r="AE6545" s="451"/>
      <c r="AF6545" s="451"/>
      <c r="AG6545" s="451"/>
      <c r="AH6545" s="451"/>
      <c r="AI6545" s="451"/>
      <c r="AJ6545" s="451"/>
      <c r="AK6545" s="451"/>
      <c r="AL6545" s="451"/>
      <c r="AM6545" s="451"/>
      <c r="AN6545" s="451"/>
      <c r="AO6545" s="451"/>
      <c r="AP6545" s="451"/>
      <c r="AQ6545" s="451"/>
      <c r="AR6545" s="451"/>
      <c r="AS6545" s="451"/>
      <c r="AT6545" s="451"/>
      <c r="AU6545" s="451"/>
      <c r="AV6545" s="451"/>
      <c r="AW6545" s="451"/>
      <c r="AX6545" s="451"/>
      <c r="AY6545" s="451"/>
      <c r="AZ6545" s="451"/>
      <c r="BA6545" s="451"/>
      <c r="BB6545" s="451"/>
      <c r="BC6545" s="451"/>
      <c r="BD6545" s="451"/>
      <c r="BE6545" s="451"/>
      <c r="BF6545" s="451"/>
      <c r="BG6545" s="451"/>
      <c r="BH6545" s="451"/>
      <c r="BI6545" s="451"/>
      <c r="BJ6545" s="451"/>
      <c r="BK6545" s="451"/>
      <c r="BL6545" s="451"/>
      <c r="BM6545" s="451"/>
      <c r="BN6545" s="451"/>
      <c r="BO6545" s="451"/>
      <c r="BP6545" s="451"/>
      <c r="BQ6545" s="451"/>
      <c r="BR6545" s="451"/>
      <c r="BS6545" s="451"/>
      <c r="BT6545" s="451"/>
      <c r="BU6545" s="451"/>
      <c r="BV6545" s="451"/>
      <c r="BW6545" s="451"/>
      <c r="BX6545" s="451"/>
      <c r="BY6545" s="451"/>
      <c r="BZ6545" s="451"/>
      <c r="CA6545" s="451"/>
      <c r="CB6545" s="451"/>
      <c r="CC6545" s="451"/>
      <c r="CD6545" s="451"/>
      <c r="CE6545" s="451"/>
      <c r="CF6545" s="451"/>
      <c r="CG6545" s="451"/>
      <c r="CH6545" s="451"/>
      <c r="CI6545" s="451"/>
      <c r="CJ6545" s="451"/>
      <c r="CK6545" s="451"/>
      <c r="CL6545" s="451"/>
      <c r="CM6545" s="451"/>
      <c r="CN6545" s="451"/>
      <c r="CO6545" s="451"/>
      <c r="CP6545" s="451"/>
      <c r="CQ6545" s="451"/>
      <c r="CR6545" s="451"/>
      <c r="CS6545" s="451"/>
      <c r="CT6545" s="451"/>
      <c r="CU6545" s="451"/>
      <c r="CV6545" s="451"/>
      <c r="CW6545" s="451"/>
      <c r="CX6545" s="451"/>
      <c r="CY6545" s="451"/>
      <c r="CZ6545" s="451"/>
      <c r="DA6545" s="451"/>
      <c r="DB6545" s="451"/>
      <c r="DC6545" s="451"/>
      <c r="DD6545" s="451"/>
      <c r="DE6545" s="451"/>
      <c r="DF6545" s="451"/>
      <c r="DG6545" s="451"/>
      <c r="DH6545" s="451"/>
      <c r="DI6545" s="451"/>
      <c r="DJ6545" s="451"/>
      <c r="DK6545" s="451"/>
      <c r="DL6545" s="451"/>
      <c r="DM6545" s="451"/>
      <c r="DN6545" s="451"/>
      <c r="DO6545" s="451"/>
      <c r="DP6545" s="451"/>
      <c r="DQ6545" s="451"/>
      <c r="DR6545" s="451"/>
      <c r="DS6545" s="451"/>
      <c r="DT6545" s="451"/>
      <c r="DU6545" s="451"/>
      <c r="DV6545" s="451"/>
      <c r="DW6545" s="451"/>
      <c r="DX6545" s="451"/>
      <c r="DY6545" s="451"/>
      <c r="DZ6545" s="451"/>
      <c r="EA6545" s="451"/>
      <c r="EB6545" s="451"/>
      <c r="EC6545" s="451"/>
      <c r="ED6545" s="451"/>
      <c r="EE6545" s="451"/>
      <c r="EF6545" s="451"/>
      <c r="EG6545" s="451"/>
      <c r="EH6545" s="451"/>
      <c r="EI6545" s="451"/>
      <c r="EJ6545" s="451"/>
      <c r="EK6545" s="451"/>
      <c r="EL6545" s="451"/>
      <c r="EM6545" s="451"/>
      <c r="EN6545" s="451"/>
      <c r="EO6545" s="451"/>
      <c r="EP6545" s="451"/>
      <c r="EQ6545" s="451"/>
      <c r="ER6545" s="451"/>
      <c r="ES6545" s="451"/>
    </row>
    <row r="6546" spans="1:149" ht="15" hidden="1" customHeight="1">
      <c r="A6546" s="468">
        <v>45561</v>
      </c>
      <c r="B6546" s="208" t="s">
        <v>5309</v>
      </c>
      <c r="C6546" s="208" t="s">
        <v>27</v>
      </c>
      <c r="D6546" s="211">
        <v>-789681</v>
      </c>
      <c r="E6546" s="212">
        <v>45536</v>
      </c>
      <c r="F6546" s="208" t="s">
        <v>109</v>
      </c>
      <c r="G6546" s="201" t="s">
        <v>1306</v>
      </c>
      <c r="H6546" s="208" t="s">
        <v>175</v>
      </c>
      <c r="I6546" s="208"/>
      <c r="J6546" s="209"/>
      <c r="K6546" s="209"/>
      <c r="L6546" s="209"/>
      <c r="M6546" s="209"/>
      <c r="N6546" s="209"/>
      <c r="O6546" s="209"/>
      <c r="P6546" s="209"/>
      <c r="Q6546" s="209"/>
      <c r="R6546" s="209"/>
      <c r="S6546" s="209"/>
      <c r="T6546" s="209"/>
      <c r="U6546" s="451"/>
      <c r="V6546" s="451"/>
      <c r="W6546" s="451"/>
      <c r="X6546" s="451"/>
      <c r="Y6546" s="451"/>
      <c r="Z6546" s="451"/>
      <c r="AA6546" s="451"/>
      <c r="AB6546" s="451"/>
      <c r="AC6546" s="451"/>
      <c r="AD6546" s="451"/>
      <c r="AE6546" s="451"/>
      <c r="AF6546" s="451"/>
      <c r="AG6546" s="451"/>
      <c r="AH6546" s="451"/>
      <c r="AI6546" s="451"/>
      <c r="AJ6546" s="451"/>
      <c r="AK6546" s="451"/>
      <c r="AL6546" s="451"/>
      <c r="AM6546" s="451"/>
      <c r="AN6546" s="451"/>
      <c r="AO6546" s="451"/>
      <c r="AP6546" s="451"/>
      <c r="AQ6546" s="451"/>
      <c r="AR6546" s="451"/>
      <c r="AS6546" s="451"/>
      <c r="AT6546" s="451"/>
      <c r="AU6546" s="451"/>
      <c r="AV6546" s="451"/>
      <c r="AW6546" s="451"/>
      <c r="AX6546" s="451"/>
      <c r="AY6546" s="451"/>
      <c r="AZ6546" s="451"/>
      <c r="BA6546" s="451"/>
      <c r="BB6546" s="451"/>
      <c r="BC6546" s="451"/>
      <c r="BD6546" s="451"/>
      <c r="BE6546" s="451"/>
      <c r="BF6546" s="451"/>
      <c r="BG6546" s="451"/>
      <c r="BH6546" s="451"/>
      <c r="BI6546" s="451"/>
      <c r="BJ6546" s="451"/>
      <c r="BK6546" s="451"/>
      <c r="BL6546" s="451"/>
      <c r="BM6546" s="451"/>
      <c r="BN6546" s="451"/>
      <c r="BO6546" s="451"/>
      <c r="BP6546" s="451"/>
      <c r="BQ6546" s="451"/>
      <c r="BR6546" s="451"/>
      <c r="BS6546" s="451"/>
      <c r="BT6546" s="451"/>
      <c r="BU6546" s="451"/>
      <c r="BV6546" s="451"/>
      <c r="BW6546" s="451"/>
      <c r="BX6546" s="451"/>
      <c r="BY6546" s="451"/>
      <c r="BZ6546" s="451"/>
      <c r="CA6546" s="451"/>
      <c r="CB6546" s="451"/>
      <c r="CC6546" s="451"/>
      <c r="CD6546" s="451"/>
      <c r="CE6546" s="451"/>
      <c r="CF6546" s="451"/>
      <c r="CG6546" s="451"/>
      <c r="CH6546" s="451"/>
      <c r="CI6546" s="451"/>
      <c r="CJ6546" s="451"/>
      <c r="CK6546" s="451"/>
      <c r="CL6546" s="451"/>
      <c r="CM6546" s="451"/>
      <c r="CN6546" s="451"/>
      <c r="CO6546" s="451"/>
      <c r="CP6546" s="451"/>
      <c r="CQ6546" s="451"/>
      <c r="CR6546" s="451"/>
      <c r="CS6546" s="451"/>
      <c r="CT6546" s="451"/>
      <c r="CU6546" s="451"/>
      <c r="CV6546" s="451"/>
      <c r="CW6546" s="451"/>
      <c r="CX6546" s="451"/>
      <c r="CY6546" s="451"/>
      <c r="CZ6546" s="451"/>
      <c r="DA6546" s="451"/>
      <c r="DB6546" s="451"/>
      <c r="DC6546" s="451"/>
      <c r="DD6546" s="451"/>
      <c r="DE6546" s="451"/>
      <c r="DF6546" s="451"/>
      <c r="DG6546" s="451"/>
      <c r="DH6546" s="451"/>
      <c r="DI6546" s="451"/>
      <c r="DJ6546" s="451"/>
      <c r="DK6546" s="451"/>
      <c r="DL6546" s="451"/>
      <c r="DM6546" s="451"/>
      <c r="DN6546" s="451"/>
      <c r="DO6546" s="451"/>
      <c r="DP6546" s="451"/>
      <c r="DQ6546" s="451"/>
      <c r="DR6546" s="451"/>
      <c r="DS6546" s="451"/>
      <c r="DT6546" s="451"/>
      <c r="DU6546" s="451"/>
      <c r="DV6546" s="451"/>
      <c r="DW6546" s="451"/>
      <c r="DX6546" s="451"/>
      <c r="DY6546" s="451"/>
      <c r="DZ6546" s="451"/>
      <c r="EA6546" s="451"/>
      <c r="EB6546" s="451"/>
      <c r="EC6546" s="451"/>
      <c r="ED6546" s="451"/>
      <c r="EE6546" s="451"/>
      <c r="EF6546" s="451"/>
      <c r="EG6546" s="451"/>
      <c r="EH6546" s="451"/>
      <c r="EI6546" s="451"/>
      <c r="EJ6546" s="451"/>
      <c r="EK6546" s="451"/>
      <c r="EL6546" s="451"/>
      <c r="EM6546" s="451"/>
      <c r="EN6546" s="451"/>
      <c r="EO6546" s="451"/>
      <c r="EP6546" s="451"/>
      <c r="EQ6546" s="451"/>
      <c r="ER6546" s="451"/>
      <c r="ES6546" s="451"/>
    </row>
    <row r="6547" spans="1:149" s="209" customFormat="1" ht="15" hidden="1" customHeight="1">
      <c r="A6547" s="468">
        <v>45561</v>
      </c>
      <c r="B6547" s="208" t="s">
        <v>5310</v>
      </c>
      <c r="C6547" s="208" t="s">
        <v>27</v>
      </c>
      <c r="D6547" s="718">
        <v>-34203840</v>
      </c>
      <c r="E6547" s="212">
        <v>45536</v>
      </c>
      <c r="F6547" s="208" t="s">
        <v>109</v>
      </c>
      <c r="G6547" s="201" t="s">
        <v>581</v>
      </c>
      <c r="H6547" s="208"/>
      <c r="I6547" s="208"/>
    </row>
    <row r="6548" spans="1:149" ht="15" hidden="1" customHeight="1">
      <c r="A6548" s="468">
        <v>45561</v>
      </c>
      <c r="B6548" s="208" t="s">
        <v>5311</v>
      </c>
      <c r="C6548" s="208" t="s">
        <v>27</v>
      </c>
      <c r="D6548" s="211">
        <v>-8908089</v>
      </c>
      <c r="E6548" s="212">
        <v>45536</v>
      </c>
      <c r="F6548" s="208" t="s">
        <v>2531</v>
      </c>
      <c r="G6548" s="208" t="s">
        <v>4986</v>
      </c>
      <c r="H6548" s="201" t="s">
        <v>123</v>
      </c>
      <c r="I6548" s="208"/>
      <c r="J6548" s="209"/>
      <c r="K6548" s="209"/>
      <c r="L6548" s="209"/>
      <c r="M6548" s="209"/>
      <c r="N6548" s="209"/>
      <c r="O6548" s="209"/>
      <c r="P6548" s="209"/>
      <c r="Q6548" s="209"/>
      <c r="R6548" s="209"/>
      <c r="S6548" s="209"/>
      <c r="T6548" s="209"/>
      <c r="U6548" s="451"/>
      <c r="V6548" s="451"/>
      <c r="W6548" s="451"/>
      <c r="X6548" s="451"/>
      <c r="Y6548" s="451"/>
      <c r="Z6548" s="451"/>
      <c r="AA6548" s="451"/>
      <c r="AB6548" s="451"/>
      <c r="AC6548" s="451"/>
      <c r="AD6548" s="451"/>
      <c r="AE6548" s="451"/>
      <c r="AF6548" s="451"/>
      <c r="AG6548" s="451"/>
      <c r="AH6548" s="451"/>
      <c r="AI6548" s="451"/>
      <c r="AJ6548" s="451"/>
      <c r="AK6548" s="451"/>
      <c r="AL6548" s="451"/>
      <c r="AM6548" s="451"/>
      <c r="AN6548" s="451"/>
      <c r="AO6548" s="451"/>
      <c r="AP6548" s="451"/>
      <c r="AQ6548" s="451"/>
      <c r="AR6548" s="451"/>
      <c r="AS6548" s="451"/>
      <c r="AT6548" s="451"/>
      <c r="AU6548" s="451"/>
      <c r="AV6548" s="451"/>
      <c r="AW6548" s="451"/>
      <c r="AX6548" s="451"/>
      <c r="AY6548" s="451"/>
      <c r="AZ6548" s="451"/>
      <c r="BA6548" s="451"/>
      <c r="BB6548" s="451"/>
      <c r="BC6548" s="451"/>
      <c r="BD6548" s="451"/>
      <c r="BE6548" s="451"/>
      <c r="BF6548" s="451"/>
      <c r="BG6548" s="451"/>
      <c r="BH6548" s="451"/>
      <c r="BI6548" s="451"/>
      <c r="BJ6548" s="451"/>
      <c r="BK6548" s="451"/>
      <c r="BL6548" s="451"/>
      <c r="BM6548" s="451"/>
      <c r="BN6548" s="451"/>
      <c r="BO6548" s="451"/>
      <c r="BP6548" s="451"/>
      <c r="BQ6548" s="451"/>
      <c r="BR6548" s="451"/>
      <c r="BS6548" s="451"/>
      <c r="BT6548" s="451"/>
      <c r="BU6548" s="451"/>
      <c r="BV6548" s="451"/>
      <c r="BW6548" s="451"/>
      <c r="BX6548" s="451"/>
      <c r="BY6548" s="451"/>
      <c r="BZ6548" s="451"/>
      <c r="CA6548" s="451"/>
      <c r="CB6548" s="451"/>
      <c r="CC6548" s="451"/>
      <c r="CD6548" s="451"/>
      <c r="CE6548" s="451"/>
      <c r="CF6548" s="451"/>
      <c r="CG6548" s="451"/>
      <c r="CH6548" s="451"/>
      <c r="CI6548" s="451"/>
      <c r="CJ6548" s="451"/>
      <c r="CK6548" s="451"/>
      <c r="CL6548" s="451"/>
      <c r="CM6548" s="451"/>
      <c r="CN6548" s="451"/>
      <c r="CO6548" s="451"/>
      <c r="CP6548" s="451"/>
      <c r="CQ6548" s="451"/>
      <c r="CR6548" s="451"/>
      <c r="CS6548" s="451"/>
      <c r="CT6548" s="451"/>
      <c r="CU6548" s="451"/>
      <c r="CV6548" s="451"/>
      <c r="CW6548" s="451"/>
      <c r="CX6548" s="451"/>
      <c r="CY6548" s="451"/>
      <c r="CZ6548" s="451"/>
      <c r="DA6548" s="451"/>
      <c r="DB6548" s="451"/>
      <c r="DC6548" s="451"/>
      <c r="DD6548" s="451"/>
      <c r="DE6548" s="451"/>
      <c r="DF6548" s="451"/>
      <c r="DG6548" s="451"/>
      <c r="DH6548" s="451"/>
      <c r="DI6548" s="451"/>
      <c r="DJ6548" s="451"/>
      <c r="DK6548" s="451"/>
      <c r="DL6548" s="451"/>
      <c r="DM6548" s="451"/>
      <c r="DN6548" s="451"/>
      <c r="DO6548" s="451"/>
      <c r="DP6548" s="451"/>
      <c r="DQ6548" s="451"/>
      <c r="DR6548" s="451"/>
      <c r="DS6548" s="451"/>
      <c r="DT6548" s="451"/>
      <c r="DU6548" s="451"/>
      <c r="DV6548" s="451"/>
      <c r="DW6548" s="451"/>
      <c r="DX6548" s="451"/>
      <c r="DY6548" s="451"/>
      <c r="DZ6548" s="451"/>
      <c r="EA6548" s="451"/>
      <c r="EB6548" s="451"/>
      <c r="EC6548" s="451"/>
      <c r="ED6548" s="451"/>
      <c r="EE6548" s="451"/>
      <c r="EF6548" s="451"/>
      <c r="EG6548" s="451"/>
      <c r="EH6548" s="451"/>
      <c r="EI6548" s="451"/>
      <c r="EJ6548" s="451"/>
      <c r="EK6548" s="451"/>
      <c r="EL6548" s="451"/>
      <c r="EM6548" s="451"/>
      <c r="EN6548" s="451"/>
      <c r="EO6548" s="451"/>
      <c r="EP6548" s="451"/>
      <c r="EQ6548" s="451"/>
      <c r="ER6548" s="451"/>
      <c r="ES6548" s="451"/>
    </row>
    <row r="6549" spans="1:149" s="209" customFormat="1" ht="15" hidden="1" customHeight="1">
      <c r="A6549" s="468">
        <v>45561</v>
      </c>
      <c r="B6549" s="208" t="s">
        <v>5312</v>
      </c>
      <c r="C6549" s="208" t="s">
        <v>146</v>
      </c>
      <c r="D6549" s="211">
        <v>-529500</v>
      </c>
      <c r="E6549" s="212">
        <v>45536</v>
      </c>
      <c r="F6549" s="208" t="s">
        <v>109</v>
      </c>
      <c r="G6549" s="201" t="s">
        <v>581</v>
      </c>
      <c r="H6549" s="208"/>
      <c r="I6549" s="208" t="s">
        <v>3364</v>
      </c>
    </row>
    <row r="6550" spans="1:149" s="209" customFormat="1" ht="15" hidden="1" customHeight="1">
      <c r="A6550" s="468">
        <v>45561</v>
      </c>
      <c r="B6550" s="208" t="s">
        <v>5313</v>
      </c>
      <c r="C6550" s="208" t="s">
        <v>146</v>
      </c>
      <c r="D6550" s="211">
        <v>-20000</v>
      </c>
      <c r="E6550" s="212">
        <v>45536</v>
      </c>
      <c r="F6550" s="208" t="s">
        <v>109</v>
      </c>
      <c r="G6550" s="201" t="s">
        <v>581</v>
      </c>
      <c r="H6550" s="208"/>
      <c r="I6550" s="208" t="s">
        <v>3364</v>
      </c>
    </row>
    <row r="6551" spans="1:149" s="209" customFormat="1" ht="15" hidden="1" customHeight="1">
      <c r="A6551" s="468">
        <v>45561</v>
      </c>
      <c r="B6551" s="208" t="s">
        <v>5314</v>
      </c>
      <c r="C6551" s="208" t="s">
        <v>146</v>
      </c>
      <c r="D6551" s="211">
        <v>-60000</v>
      </c>
      <c r="E6551" s="212">
        <v>45536</v>
      </c>
      <c r="F6551" s="208" t="s">
        <v>109</v>
      </c>
      <c r="G6551" s="201" t="s">
        <v>581</v>
      </c>
      <c r="H6551" s="208"/>
      <c r="I6551" s="208" t="s">
        <v>3364</v>
      </c>
    </row>
    <row r="6552" spans="1:149" s="209" customFormat="1" ht="15" hidden="1" customHeight="1">
      <c r="A6552" s="468">
        <v>45561</v>
      </c>
      <c r="B6552" s="208" t="s">
        <v>5315</v>
      </c>
      <c r="C6552" s="208" t="s">
        <v>146</v>
      </c>
      <c r="D6552" s="211">
        <v>-71000</v>
      </c>
      <c r="E6552" s="212">
        <v>45536</v>
      </c>
      <c r="F6552" s="208" t="s">
        <v>109</v>
      </c>
      <c r="G6552" s="201" t="s">
        <v>581</v>
      </c>
      <c r="H6552" s="208"/>
      <c r="I6552" s="208" t="s">
        <v>3364</v>
      </c>
    </row>
    <row r="6553" spans="1:149" s="209" customFormat="1" ht="15" hidden="1" customHeight="1">
      <c r="A6553" s="468">
        <v>45561</v>
      </c>
      <c r="B6553" s="208" t="s">
        <v>4586</v>
      </c>
      <c r="C6553" s="208" t="s">
        <v>146</v>
      </c>
      <c r="D6553" s="211">
        <v>-40000</v>
      </c>
      <c r="E6553" s="212">
        <v>45536</v>
      </c>
      <c r="F6553" s="208" t="s">
        <v>109</v>
      </c>
      <c r="G6553" s="201" t="s">
        <v>581</v>
      </c>
      <c r="H6553" s="208"/>
      <c r="I6553" s="208" t="s">
        <v>3364</v>
      </c>
    </row>
    <row r="6554" spans="1:149" s="209" customFormat="1" ht="15" hidden="1" customHeight="1">
      <c r="A6554" s="468">
        <v>45561</v>
      </c>
      <c r="B6554" s="208" t="s">
        <v>4575</v>
      </c>
      <c r="C6554" s="208" t="s">
        <v>146</v>
      </c>
      <c r="D6554" s="211">
        <v>-40000</v>
      </c>
      <c r="E6554" s="212">
        <v>45536</v>
      </c>
      <c r="F6554" s="208" t="s">
        <v>109</v>
      </c>
      <c r="G6554" s="201" t="s">
        <v>581</v>
      </c>
      <c r="H6554" s="208"/>
      <c r="I6554" s="208" t="s">
        <v>3364</v>
      </c>
    </row>
    <row r="6555" spans="1:149" ht="15" hidden="1" customHeight="1">
      <c r="A6555" s="468">
        <v>45561</v>
      </c>
      <c r="B6555" s="208" t="s">
        <v>5316</v>
      </c>
      <c r="C6555" s="208" t="s">
        <v>146</v>
      </c>
      <c r="D6555" s="211">
        <v>-20000</v>
      </c>
      <c r="E6555" s="212">
        <v>45536</v>
      </c>
      <c r="F6555" s="208" t="s">
        <v>110</v>
      </c>
      <c r="G6555" s="208" t="s">
        <v>4294</v>
      </c>
      <c r="H6555" s="81" t="s">
        <v>138</v>
      </c>
      <c r="I6555" s="208" t="s">
        <v>47</v>
      </c>
      <c r="J6555" s="209"/>
      <c r="K6555" s="209"/>
      <c r="L6555" s="209"/>
      <c r="M6555" s="209"/>
      <c r="N6555" s="209"/>
      <c r="O6555" s="209"/>
      <c r="P6555" s="209"/>
      <c r="Q6555" s="209"/>
      <c r="R6555" s="209"/>
      <c r="S6555" s="209"/>
      <c r="T6555" s="209"/>
    </row>
    <row r="6556" spans="1:149" ht="15" hidden="1" customHeight="1">
      <c r="A6556" s="468">
        <v>45561</v>
      </c>
      <c r="B6556" s="208" t="s">
        <v>5317</v>
      </c>
      <c r="C6556" s="208" t="s">
        <v>146</v>
      </c>
      <c r="D6556" s="211">
        <v>-20000</v>
      </c>
      <c r="E6556" s="212">
        <v>45536</v>
      </c>
      <c r="F6556" s="208" t="s">
        <v>110</v>
      </c>
      <c r="G6556" s="208" t="s">
        <v>4294</v>
      </c>
      <c r="H6556" s="81" t="s">
        <v>138</v>
      </c>
      <c r="I6556" s="208" t="s">
        <v>47</v>
      </c>
      <c r="J6556" s="209"/>
      <c r="K6556" s="209"/>
      <c r="L6556" s="209"/>
      <c r="M6556" s="209"/>
      <c r="N6556" s="209"/>
      <c r="O6556" s="209"/>
      <c r="P6556" s="209"/>
      <c r="Q6556" s="209"/>
      <c r="R6556" s="209"/>
      <c r="S6556" s="209"/>
      <c r="T6556" s="209"/>
    </row>
    <row r="6557" spans="1:149" ht="15" hidden="1" customHeight="1">
      <c r="A6557" s="468">
        <v>45561</v>
      </c>
      <c r="B6557" s="208" t="s">
        <v>5318</v>
      </c>
      <c r="C6557" s="208" t="s">
        <v>146</v>
      </c>
      <c r="D6557" s="211">
        <v>-20000</v>
      </c>
      <c r="E6557" s="212">
        <v>45536</v>
      </c>
      <c r="F6557" s="208" t="s">
        <v>110</v>
      </c>
      <c r="G6557" s="208" t="s">
        <v>4294</v>
      </c>
      <c r="H6557" s="81" t="s">
        <v>138</v>
      </c>
      <c r="I6557" s="208" t="s">
        <v>47</v>
      </c>
      <c r="J6557" s="209"/>
      <c r="K6557" s="209"/>
      <c r="L6557" s="209"/>
      <c r="M6557" s="209"/>
      <c r="N6557" s="209"/>
      <c r="O6557" s="209"/>
      <c r="P6557" s="209"/>
      <c r="Q6557" s="209"/>
      <c r="R6557" s="209"/>
      <c r="S6557" s="209"/>
      <c r="T6557" s="209"/>
    </row>
    <row r="6558" spans="1:149" ht="15" hidden="1" customHeight="1">
      <c r="A6558" s="468">
        <v>45561</v>
      </c>
      <c r="B6558" s="208" t="s">
        <v>5319</v>
      </c>
      <c r="C6558" s="208" t="s">
        <v>146</v>
      </c>
      <c r="D6558" s="211">
        <v>-20000</v>
      </c>
      <c r="E6558" s="212">
        <v>45536</v>
      </c>
      <c r="F6558" s="208" t="s">
        <v>110</v>
      </c>
      <c r="G6558" s="208" t="s">
        <v>4294</v>
      </c>
      <c r="H6558" s="81" t="s">
        <v>138</v>
      </c>
      <c r="I6558" s="208" t="s">
        <v>47</v>
      </c>
      <c r="J6558" s="209"/>
      <c r="K6558" s="209"/>
      <c r="L6558" s="209"/>
      <c r="M6558" s="209"/>
      <c r="N6558" s="209"/>
      <c r="O6558" s="209"/>
      <c r="P6558" s="209"/>
      <c r="Q6558" s="209"/>
      <c r="R6558" s="209"/>
      <c r="S6558" s="209"/>
      <c r="T6558" s="209"/>
    </row>
    <row r="6559" spans="1:149" ht="15" hidden="1" customHeight="1">
      <c r="A6559" s="468">
        <v>45561</v>
      </c>
      <c r="B6559" s="208" t="s">
        <v>5320</v>
      </c>
      <c r="C6559" s="208" t="s">
        <v>146</v>
      </c>
      <c r="D6559" s="211">
        <v>-20000</v>
      </c>
      <c r="E6559" s="212">
        <v>45536</v>
      </c>
      <c r="F6559" s="208" t="s">
        <v>110</v>
      </c>
      <c r="G6559" s="208" t="s">
        <v>4294</v>
      </c>
      <c r="H6559" s="81" t="s">
        <v>138</v>
      </c>
      <c r="I6559" s="208" t="s">
        <v>47</v>
      </c>
      <c r="J6559" s="209"/>
      <c r="K6559" s="209"/>
      <c r="L6559" s="209"/>
      <c r="M6559" s="209"/>
      <c r="N6559" s="209"/>
      <c r="O6559" s="209"/>
      <c r="P6559" s="209"/>
      <c r="Q6559" s="209"/>
      <c r="R6559" s="209"/>
      <c r="S6559" s="209"/>
      <c r="T6559" s="209"/>
    </row>
    <row r="6560" spans="1:149" ht="15" hidden="1" customHeight="1">
      <c r="A6560" s="468">
        <v>45561</v>
      </c>
      <c r="B6560" s="208" t="s">
        <v>5321</v>
      </c>
      <c r="C6560" s="208" t="s">
        <v>146</v>
      </c>
      <c r="D6560" s="211">
        <v>-20000</v>
      </c>
      <c r="E6560" s="212">
        <v>45536</v>
      </c>
      <c r="F6560" s="208" t="s">
        <v>110</v>
      </c>
      <c r="G6560" s="208" t="s">
        <v>4294</v>
      </c>
      <c r="H6560" s="81" t="s">
        <v>138</v>
      </c>
      <c r="I6560" s="208" t="s">
        <v>47</v>
      </c>
      <c r="J6560" s="209"/>
      <c r="K6560" s="209"/>
      <c r="L6560" s="209"/>
      <c r="M6560" s="209"/>
      <c r="N6560" s="209"/>
      <c r="O6560" s="209"/>
      <c r="P6560" s="209"/>
      <c r="Q6560" s="209"/>
      <c r="R6560" s="209"/>
      <c r="S6560" s="209"/>
      <c r="T6560" s="209"/>
    </row>
    <row r="6561" spans="1:149" ht="15" hidden="1" customHeight="1">
      <c r="A6561" s="468">
        <v>45561</v>
      </c>
      <c r="B6561" s="208" t="s">
        <v>5322</v>
      </c>
      <c r="C6561" s="208" t="s">
        <v>146</v>
      </c>
      <c r="D6561" s="211">
        <v>-254000</v>
      </c>
      <c r="E6561" s="212">
        <v>45536</v>
      </c>
      <c r="F6561" s="208" t="s">
        <v>130</v>
      </c>
      <c r="G6561" s="208" t="s">
        <v>130</v>
      </c>
      <c r="H6561" s="208" t="s">
        <v>2444</v>
      </c>
      <c r="I6561" s="208"/>
      <c r="J6561" s="209"/>
      <c r="K6561" s="209"/>
      <c r="L6561" s="209"/>
      <c r="M6561" s="209"/>
      <c r="N6561" s="209"/>
      <c r="O6561" s="209"/>
      <c r="P6561" s="209"/>
      <c r="Q6561" s="209"/>
      <c r="R6561" s="209"/>
      <c r="S6561" s="209"/>
      <c r="T6561" s="209"/>
    </row>
    <row r="6562" spans="1:149" ht="15" hidden="1" customHeight="1">
      <c r="A6562" s="468">
        <v>45561</v>
      </c>
      <c r="B6562" s="208" t="s">
        <v>5323</v>
      </c>
      <c r="C6562" s="208" t="s">
        <v>146</v>
      </c>
      <c r="D6562" s="211">
        <v>-114039</v>
      </c>
      <c r="E6562" s="212">
        <v>45536</v>
      </c>
      <c r="F6562" s="208" t="s">
        <v>130</v>
      </c>
      <c r="G6562" s="208" t="s">
        <v>257</v>
      </c>
      <c r="H6562" s="208" t="s">
        <v>1423</v>
      </c>
      <c r="I6562" s="208" t="s">
        <v>5324</v>
      </c>
      <c r="J6562" s="209"/>
      <c r="K6562" s="209"/>
      <c r="L6562" s="209"/>
      <c r="M6562" s="209"/>
      <c r="N6562" s="209"/>
      <c r="O6562" s="209"/>
      <c r="P6562" s="209"/>
      <c r="Q6562" s="209"/>
      <c r="R6562" s="209"/>
      <c r="S6562" s="209"/>
      <c r="T6562" s="209"/>
    </row>
    <row r="6563" spans="1:149" ht="15" hidden="1" customHeight="1">
      <c r="A6563" s="468">
        <v>45561</v>
      </c>
      <c r="B6563" s="208" t="s">
        <v>5325</v>
      </c>
      <c r="C6563" s="208" t="s">
        <v>146</v>
      </c>
      <c r="D6563" s="211">
        <v>-14800</v>
      </c>
      <c r="E6563" s="212">
        <v>45536</v>
      </c>
      <c r="F6563" s="208" t="s">
        <v>130</v>
      </c>
      <c r="G6563" s="208" t="s">
        <v>257</v>
      </c>
      <c r="H6563" s="208" t="s">
        <v>1423</v>
      </c>
      <c r="I6563" s="208" t="s">
        <v>5324</v>
      </c>
      <c r="J6563" s="209"/>
      <c r="K6563" s="209"/>
      <c r="L6563" s="209"/>
      <c r="M6563" s="209"/>
      <c r="N6563" s="209"/>
      <c r="O6563" s="209"/>
      <c r="P6563" s="209"/>
      <c r="Q6563" s="209"/>
      <c r="R6563" s="209"/>
      <c r="S6563" s="209"/>
      <c r="T6563" s="209"/>
    </row>
    <row r="6564" spans="1:149" ht="15" hidden="1" customHeight="1">
      <c r="A6564" s="468">
        <v>45561</v>
      </c>
      <c r="B6564" s="208" t="s">
        <v>5325</v>
      </c>
      <c r="C6564" s="208" t="s">
        <v>146</v>
      </c>
      <c r="D6564" s="211">
        <v>-14800</v>
      </c>
      <c r="E6564" s="212">
        <v>45536</v>
      </c>
      <c r="F6564" s="208" t="s">
        <v>130</v>
      </c>
      <c r="G6564" s="208" t="s">
        <v>257</v>
      </c>
      <c r="H6564" s="208" t="s">
        <v>1423</v>
      </c>
      <c r="I6564" s="208" t="s">
        <v>5324</v>
      </c>
      <c r="J6564" s="209"/>
      <c r="K6564" s="209"/>
      <c r="L6564" s="209"/>
      <c r="M6564" s="209"/>
      <c r="N6564" s="209"/>
      <c r="O6564" s="209"/>
      <c r="P6564" s="209"/>
      <c r="Q6564" s="209"/>
      <c r="R6564" s="209"/>
      <c r="S6564" s="209"/>
      <c r="T6564" s="209"/>
    </row>
    <row r="6565" spans="1:149" ht="15" hidden="1" customHeight="1">
      <c r="A6565" s="468">
        <v>45561</v>
      </c>
      <c r="B6565" s="208" t="s">
        <v>5326</v>
      </c>
      <c r="C6565" s="208" t="s">
        <v>146</v>
      </c>
      <c r="D6565" s="211">
        <v>-83500</v>
      </c>
      <c r="E6565" s="212">
        <v>45536</v>
      </c>
      <c r="F6565" s="208" t="s">
        <v>130</v>
      </c>
      <c r="G6565" s="208" t="s">
        <v>257</v>
      </c>
      <c r="H6565" s="208" t="s">
        <v>303</v>
      </c>
      <c r="I6565" s="208" t="s">
        <v>5324</v>
      </c>
      <c r="J6565" s="209"/>
      <c r="K6565" s="209"/>
      <c r="L6565" s="209"/>
      <c r="M6565" s="209"/>
      <c r="N6565" s="209"/>
      <c r="O6565" s="209"/>
      <c r="P6565" s="209"/>
      <c r="Q6565" s="209"/>
      <c r="R6565" s="209"/>
      <c r="S6565" s="209"/>
      <c r="T6565" s="209"/>
    </row>
    <row r="6566" spans="1:149" ht="15" hidden="1" customHeight="1">
      <c r="A6566" s="468">
        <v>45561</v>
      </c>
      <c r="B6566" s="208" t="s">
        <v>5327</v>
      </c>
      <c r="C6566" s="208" t="s">
        <v>146</v>
      </c>
      <c r="D6566" s="211">
        <v>-33201</v>
      </c>
      <c r="E6566" s="212">
        <v>45536</v>
      </c>
      <c r="F6566" s="208" t="s">
        <v>130</v>
      </c>
      <c r="G6566" s="208" t="s">
        <v>257</v>
      </c>
      <c r="H6566" s="208" t="s">
        <v>659</v>
      </c>
      <c r="I6566" s="208" t="s">
        <v>5324</v>
      </c>
      <c r="J6566" s="209"/>
      <c r="K6566" s="209"/>
      <c r="L6566" s="209"/>
      <c r="M6566" s="209"/>
      <c r="N6566" s="209"/>
      <c r="O6566" s="209"/>
      <c r="P6566" s="209"/>
      <c r="Q6566" s="209"/>
      <c r="R6566" s="209"/>
      <c r="S6566" s="209"/>
      <c r="T6566" s="209"/>
    </row>
    <row r="6567" spans="1:149" ht="15" hidden="1" customHeight="1">
      <c r="A6567" s="468">
        <v>45562</v>
      </c>
      <c r="B6567" s="208" t="s">
        <v>1939</v>
      </c>
      <c r="C6567" s="208" t="s">
        <v>27</v>
      </c>
      <c r="D6567" s="718">
        <v>-7900</v>
      </c>
      <c r="E6567" s="212">
        <v>45536</v>
      </c>
      <c r="F6567" s="208" t="s">
        <v>109</v>
      </c>
      <c r="G6567" s="601" t="s">
        <v>581</v>
      </c>
      <c r="H6567" s="208"/>
      <c r="I6567" s="208"/>
      <c r="J6567" s="209"/>
      <c r="K6567" s="209"/>
      <c r="L6567" s="209"/>
      <c r="M6567" s="209"/>
      <c r="N6567" s="209"/>
      <c r="O6567" s="209"/>
      <c r="P6567" s="209"/>
      <c r="Q6567" s="209"/>
      <c r="R6567" s="209"/>
      <c r="S6567" s="209"/>
      <c r="T6567" s="209"/>
      <c r="U6567" s="451"/>
      <c r="V6567" s="451"/>
      <c r="W6567" s="451"/>
      <c r="X6567" s="451"/>
      <c r="Y6567" s="451"/>
      <c r="Z6567" s="451"/>
      <c r="AA6567" s="451"/>
      <c r="AB6567" s="451"/>
      <c r="AC6567" s="451"/>
      <c r="AD6567" s="451"/>
      <c r="AE6567" s="451"/>
      <c r="AF6567" s="451"/>
      <c r="AG6567" s="451"/>
      <c r="AH6567" s="451"/>
      <c r="AI6567" s="451"/>
      <c r="AJ6567" s="451"/>
      <c r="AK6567" s="451"/>
      <c r="AL6567" s="451"/>
      <c r="AM6567" s="451"/>
      <c r="AN6567" s="451"/>
      <c r="AO6567" s="451"/>
      <c r="AP6567" s="451"/>
      <c r="AQ6567" s="451"/>
      <c r="AR6567" s="451"/>
      <c r="AS6567" s="451"/>
      <c r="AT6567" s="451"/>
      <c r="AU6567" s="451"/>
      <c r="AV6567" s="451"/>
      <c r="AW6567" s="451"/>
      <c r="AX6567" s="451"/>
      <c r="AY6567" s="451"/>
      <c r="AZ6567" s="451"/>
      <c r="BA6567" s="451"/>
      <c r="BB6567" s="451"/>
      <c r="BC6567" s="451"/>
      <c r="BD6567" s="451"/>
      <c r="BE6567" s="451"/>
      <c r="BF6567" s="451"/>
      <c r="BG6567" s="451"/>
      <c r="BH6567" s="451"/>
      <c r="BI6567" s="451"/>
      <c r="BJ6567" s="451"/>
      <c r="BK6567" s="451"/>
      <c r="BL6567" s="451"/>
      <c r="BM6567" s="451"/>
      <c r="BN6567" s="451"/>
      <c r="BO6567" s="451"/>
      <c r="BP6567" s="451"/>
      <c r="BQ6567" s="451"/>
      <c r="BR6567" s="451"/>
      <c r="BS6567" s="451"/>
      <c r="BT6567" s="451"/>
      <c r="BU6567" s="451"/>
      <c r="BV6567" s="451"/>
      <c r="BW6567" s="451"/>
      <c r="BX6567" s="451"/>
      <c r="BY6567" s="451"/>
      <c r="BZ6567" s="451"/>
      <c r="CA6567" s="451"/>
      <c r="CB6567" s="451"/>
      <c r="CC6567" s="451"/>
      <c r="CD6567" s="451"/>
      <c r="CE6567" s="451"/>
      <c r="CF6567" s="451"/>
      <c r="CG6567" s="451"/>
      <c r="CH6567" s="451"/>
      <c r="CI6567" s="451"/>
      <c r="CJ6567" s="451"/>
      <c r="CK6567" s="451"/>
      <c r="CL6567" s="451"/>
      <c r="CM6567" s="451"/>
      <c r="CN6567" s="451"/>
      <c r="CO6567" s="451"/>
      <c r="CP6567" s="451"/>
      <c r="CQ6567" s="451"/>
      <c r="CR6567" s="451"/>
      <c r="CS6567" s="451"/>
      <c r="CT6567" s="451"/>
      <c r="CU6567" s="451"/>
      <c r="CV6567" s="451"/>
      <c r="CW6567" s="451"/>
      <c r="CX6567" s="451"/>
      <c r="CY6567" s="451"/>
      <c r="CZ6567" s="451"/>
      <c r="DA6567" s="451"/>
      <c r="DB6567" s="451"/>
      <c r="DC6567" s="451"/>
      <c r="DD6567" s="451"/>
      <c r="DE6567" s="451"/>
      <c r="DF6567" s="451"/>
      <c r="DG6567" s="451"/>
      <c r="DH6567" s="451"/>
      <c r="DI6567" s="451"/>
      <c r="DJ6567" s="451"/>
      <c r="DK6567" s="451"/>
      <c r="DL6567" s="451"/>
      <c r="DM6567" s="451"/>
      <c r="DN6567" s="451"/>
      <c r="DO6567" s="451"/>
      <c r="DP6567" s="451"/>
      <c r="DQ6567" s="451"/>
      <c r="DR6567" s="451"/>
      <c r="DS6567" s="451"/>
      <c r="DT6567" s="451"/>
      <c r="DU6567" s="451"/>
      <c r="DV6567" s="451"/>
      <c r="DW6567" s="451"/>
      <c r="DX6567" s="451"/>
      <c r="DY6567" s="451"/>
      <c r="DZ6567" s="451"/>
      <c r="EA6567" s="451"/>
      <c r="EB6567" s="451"/>
      <c r="EC6567" s="451"/>
      <c r="ED6567" s="451"/>
      <c r="EE6567" s="451"/>
      <c r="EF6567" s="451"/>
      <c r="EG6567" s="451"/>
      <c r="EH6567" s="451"/>
      <c r="EI6567" s="451"/>
      <c r="EJ6567" s="451"/>
      <c r="EK6567" s="451"/>
      <c r="EL6567" s="451"/>
      <c r="EM6567" s="451"/>
      <c r="EN6567" s="451"/>
      <c r="EO6567" s="451"/>
      <c r="EP6567" s="451"/>
      <c r="EQ6567" s="451"/>
      <c r="ER6567" s="451"/>
      <c r="ES6567" s="451"/>
    </row>
    <row r="6568" spans="1:149" ht="15" hidden="1" customHeight="1">
      <c r="A6568" s="468">
        <v>45562</v>
      </c>
      <c r="B6568" s="208" t="s">
        <v>5328</v>
      </c>
      <c r="C6568" s="208" t="s">
        <v>27</v>
      </c>
      <c r="D6568" s="211">
        <v>-288044</v>
      </c>
      <c r="E6568" s="212">
        <v>45536</v>
      </c>
      <c r="F6568" s="208" t="s">
        <v>130</v>
      </c>
      <c r="G6568" s="208" t="s">
        <v>257</v>
      </c>
      <c r="H6568" s="81" t="s">
        <v>138</v>
      </c>
      <c r="I6568" s="208"/>
      <c r="J6568" s="209"/>
      <c r="K6568" s="209"/>
      <c r="L6568" s="209"/>
      <c r="M6568" s="209"/>
      <c r="N6568" s="209"/>
      <c r="O6568" s="209"/>
      <c r="P6568" s="209"/>
      <c r="Q6568" s="209"/>
      <c r="R6568" s="209"/>
      <c r="S6568" s="209"/>
      <c r="T6568" s="209"/>
      <c r="U6568" s="451"/>
      <c r="V6568" s="451"/>
      <c r="W6568" s="451"/>
      <c r="X6568" s="451"/>
      <c r="Y6568" s="451"/>
      <c r="Z6568" s="451"/>
      <c r="AA6568" s="451"/>
      <c r="AB6568" s="451"/>
      <c r="AC6568" s="451"/>
      <c r="AD6568" s="451"/>
      <c r="AE6568" s="451"/>
      <c r="AF6568" s="451"/>
      <c r="AG6568" s="451"/>
      <c r="AH6568" s="451"/>
      <c r="AI6568" s="451"/>
      <c r="AJ6568" s="451"/>
      <c r="AK6568" s="451"/>
      <c r="AL6568" s="451"/>
      <c r="AM6568" s="451"/>
      <c r="AN6568" s="451"/>
      <c r="AO6568" s="451"/>
      <c r="AP6568" s="451"/>
      <c r="AQ6568" s="451"/>
      <c r="AR6568" s="451"/>
      <c r="AS6568" s="451"/>
      <c r="AT6568" s="451"/>
      <c r="AU6568" s="451"/>
      <c r="AV6568" s="451"/>
      <c r="AW6568" s="451"/>
      <c r="AX6568" s="451"/>
      <c r="AY6568" s="451"/>
      <c r="AZ6568" s="451"/>
      <c r="BA6568" s="451"/>
      <c r="BB6568" s="451"/>
      <c r="BC6568" s="451"/>
      <c r="BD6568" s="451"/>
      <c r="BE6568" s="451"/>
      <c r="BF6568" s="451"/>
      <c r="BG6568" s="451"/>
      <c r="BH6568" s="451"/>
      <c r="BI6568" s="451"/>
      <c r="BJ6568" s="451"/>
      <c r="BK6568" s="451"/>
      <c r="BL6568" s="451"/>
      <c r="BM6568" s="451"/>
      <c r="BN6568" s="451"/>
      <c r="BO6568" s="451"/>
      <c r="BP6568" s="451"/>
      <c r="BQ6568" s="451"/>
      <c r="BR6568" s="451"/>
      <c r="BS6568" s="451"/>
      <c r="BT6568" s="451"/>
      <c r="BU6568" s="451"/>
      <c r="BV6568" s="451"/>
      <c r="BW6568" s="451"/>
      <c r="BX6568" s="451"/>
      <c r="BY6568" s="451"/>
      <c r="BZ6568" s="451"/>
      <c r="CA6568" s="451"/>
      <c r="CB6568" s="451"/>
      <c r="CC6568" s="451"/>
      <c r="CD6568" s="451"/>
      <c r="CE6568" s="451"/>
      <c r="CF6568" s="451"/>
      <c r="CG6568" s="451"/>
      <c r="CH6568" s="451"/>
      <c r="CI6568" s="451"/>
      <c r="CJ6568" s="451"/>
      <c r="CK6568" s="451"/>
      <c r="CL6568" s="451"/>
      <c r="CM6568" s="451"/>
      <c r="CN6568" s="451"/>
      <c r="CO6568" s="451"/>
      <c r="CP6568" s="451"/>
      <c r="CQ6568" s="451"/>
      <c r="CR6568" s="451"/>
      <c r="CS6568" s="451"/>
      <c r="CT6568" s="451"/>
      <c r="CU6568" s="451"/>
      <c r="CV6568" s="451"/>
      <c r="CW6568" s="451"/>
      <c r="CX6568" s="451"/>
      <c r="CY6568" s="451"/>
      <c r="CZ6568" s="451"/>
      <c r="DA6568" s="451"/>
      <c r="DB6568" s="451"/>
      <c r="DC6568" s="451"/>
      <c r="DD6568" s="451"/>
      <c r="DE6568" s="451"/>
      <c r="DF6568" s="451"/>
      <c r="DG6568" s="451"/>
      <c r="DH6568" s="451"/>
      <c r="DI6568" s="451"/>
      <c r="DJ6568" s="451"/>
      <c r="DK6568" s="451"/>
      <c r="DL6568" s="451"/>
      <c r="DM6568" s="451"/>
      <c r="DN6568" s="451"/>
      <c r="DO6568" s="451"/>
      <c r="DP6568" s="451"/>
      <c r="DQ6568" s="451"/>
      <c r="DR6568" s="451"/>
      <c r="DS6568" s="451"/>
      <c r="DT6568" s="451"/>
      <c r="DU6568" s="451"/>
      <c r="DV6568" s="451"/>
      <c r="DW6568" s="451"/>
      <c r="DX6568" s="451"/>
      <c r="DY6568" s="451"/>
      <c r="DZ6568" s="451"/>
      <c r="EA6568" s="451"/>
      <c r="EB6568" s="451"/>
      <c r="EC6568" s="451"/>
      <c r="ED6568" s="451"/>
      <c r="EE6568" s="451"/>
      <c r="EF6568" s="451"/>
      <c r="EG6568" s="451"/>
      <c r="EH6568" s="451"/>
      <c r="EI6568" s="451"/>
      <c r="EJ6568" s="451"/>
      <c r="EK6568" s="451"/>
      <c r="EL6568" s="451"/>
      <c r="EM6568" s="451"/>
      <c r="EN6568" s="451"/>
      <c r="EO6568" s="451"/>
      <c r="EP6568" s="451"/>
      <c r="EQ6568" s="451"/>
      <c r="ER6568" s="451"/>
      <c r="ES6568" s="451"/>
    </row>
    <row r="6569" spans="1:149" ht="15" hidden="1" customHeight="1">
      <c r="A6569" s="468">
        <v>45562</v>
      </c>
      <c r="B6569" s="208" t="s">
        <v>5329</v>
      </c>
      <c r="C6569" s="208" t="s">
        <v>27</v>
      </c>
      <c r="D6569" s="211">
        <v>-1267600</v>
      </c>
      <c r="E6569" s="212">
        <v>45536</v>
      </c>
      <c r="F6569" s="208" t="s">
        <v>109</v>
      </c>
      <c r="G6569" s="208" t="s">
        <v>10</v>
      </c>
      <c r="H6569" s="208"/>
      <c r="I6569" s="208"/>
      <c r="J6569" s="209"/>
      <c r="K6569" s="209"/>
      <c r="L6569" s="209"/>
      <c r="M6569" s="209"/>
      <c r="N6569" s="209"/>
      <c r="O6569" s="209"/>
      <c r="P6569" s="209"/>
      <c r="Q6569" s="209"/>
      <c r="R6569" s="209"/>
      <c r="S6569" s="209"/>
      <c r="T6569" s="209"/>
      <c r="U6569" s="451"/>
      <c r="V6569" s="451"/>
      <c r="W6569" s="451"/>
      <c r="X6569" s="451"/>
      <c r="Y6569" s="451"/>
      <c r="Z6569" s="451"/>
      <c r="AA6569" s="451"/>
      <c r="AB6569" s="451"/>
      <c r="AC6569" s="451"/>
      <c r="AD6569" s="451"/>
      <c r="AE6569" s="451"/>
      <c r="AF6569" s="451"/>
      <c r="AG6569" s="451"/>
      <c r="AH6569" s="451"/>
      <c r="AI6569" s="451"/>
      <c r="AJ6569" s="451"/>
      <c r="AK6569" s="451"/>
      <c r="AL6569" s="451"/>
      <c r="AM6569" s="451"/>
      <c r="AN6569" s="451"/>
      <c r="AO6569" s="451"/>
      <c r="AP6569" s="451"/>
      <c r="AQ6569" s="451"/>
      <c r="AR6569" s="451"/>
      <c r="AS6569" s="451"/>
      <c r="AT6569" s="451"/>
      <c r="AU6569" s="451"/>
      <c r="AV6569" s="451"/>
      <c r="AW6569" s="451"/>
      <c r="AX6569" s="451"/>
      <c r="AY6569" s="451"/>
      <c r="AZ6569" s="451"/>
      <c r="BA6569" s="451"/>
      <c r="BB6569" s="451"/>
      <c r="BC6569" s="451"/>
      <c r="BD6569" s="451"/>
      <c r="BE6569" s="451"/>
      <c r="BF6569" s="451"/>
      <c r="BG6569" s="451"/>
      <c r="BH6569" s="451"/>
      <c r="BI6569" s="451"/>
      <c r="BJ6569" s="451"/>
      <c r="BK6569" s="451"/>
      <c r="BL6569" s="451"/>
      <c r="BM6569" s="451"/>
      <c r="BN6569" s="451"/>
      <c r="BO6569" s="451"/>
      <c r="BP6569" s="451"/>
      <c r="BQ6569" s="451"/>
      <c r="BR6569" s="451"/>
      <c r="BS6569" s="451"/>
      <c r="BT6569" s="451"/>
      <c r="BU6569" s="451"/>
      <c r="BV6569" s="451"/>
      <c r="BW6569" s="451"/>
      <c r="BX6569" s="451"/>
      <c r="BY6569" s="451"/>
      <c r="BZ6569" s="451"/>
      <c r="CA6569" s="451"/>
      <c r="CB6569" s="451"/>
      <c r="CC6569" s="451"/>
      <c r="CD6569" s="451"/>
      <c r="CE6569" s="451"/>
      <c r="CF6569" s="451"/>
      <c r="CG6569" s="451"/>
      <c r="CH6569" s="451"/>
      <c r="CI6569" s="451"/>
      <c r="CJ6569" s="451"/>
      <c r="CK6569" s="451"/>
      <c r="CL6569" s="451"/>
      <c r="CM6569" s="451"/>
      <c r="CN6569" s="451"/>
      <c r="CO6569" s="451"/>
      <c r="CP6569" s="451"/>
      <c r="CQ6569" s="451"/>
      <c r="CR6569" s="451"/>
      <c r="CS6569" s="451"/>
      <c r="CT6569" s="451"/>
      <c r="CU6569" s="451"/>
      <c r="CV6569" s="451"/>
      <c r="CW6569" s="451"/>
      <c r="CX6569" s="451"/>
      <c r="CY6569" s="451"/>
      <c r="CZ6569" s="451"/>
      <c r="DA6569" s="451"/>
      <c r="DB6569" s="451"/>
      <c r="DC6569" s="451"/>
      <c r="DD6569" s="451"/>
      <c r="DE6569" s="451"/>
      <c r="DF6569" s="451"/>
      <c r="DG6569" s="451"/>
      <c r="DH6569" s="451"/>
      <c r="DI6569" s="451"/>
      <c r="DJ6569" s="451"/>
      <c r="DK6569" s="451"/>
      <c r="DL6569" s="451"/>
      <c r="DM6569" s="451"/>
      <c r="DN6569" s="451"/>
      <c r="DO6569" s="451"/>
      <c r="DP6569" s="451"/>
      <c r="DQ6569" s="451"/>
      <c r="DR6569" s="451"/>
      <c r="DS6569" s="451"/>
      <c r="DT6569" s="451"/>
      <c r="DU6569" s="451"/>
      <c r="DV6569" s="451"/>
      <c r="DW6569" s="451"/>
      <c r="DX6569" s="451"/>
      <c r="DY6569" s="451"/>
      <c r="DZ6569" s="451"/>
      <c r="EA6569" s="451"/>
      <c r="EB6569" s="451"/>
      <c r="EC6569" s="451"/>
      <c r="ED6569" s="451"/>
      <c r="EE6569" s="451"/>
      <c r="EF6569" s="451"/>
      <c r="EG6569" s="451"/>
      <c r="EH6569" s="451"/>
      <c r="EI6569" s="451"/>
      <c r="EJ6569" s="451"/>
      <c r="EK6569" s="451"/>
      <c r="EL6569" s="451"/>
      <c r="EM6569" s="451"/>
      <c r="EN6569" s="451"/>
      <c r="EO6569" s="451"/>
      <c r="EP6569" s="451"/>
      <c r="EQ6569" s="451"/>
      <c r="ER6569" s="451"/>
      <c r="ES6569" s="451"/>
    </row>
    <row r="6570" spans="1:149" s="209" customFormat="1" ht="15" hidden="1" customHeight="1">
      <c r="A6570" s="468">
        <v>45562</v>
      </c>
      <c r="B6570" s="208" t="s">
        <v>5330</v>
      </c>
      <c r="C6570" s="208" t="s">
        <v>27</v>
      </c>
      <c r="D6570" s="211">
        <v>-850000</v>
      </c>
      <c r="E6570" s="212">
        <v>45536</v>
      </c>
      <c r="F6570" s="208" t="s">
        <v>109</v>
      </c>
      <c r="G6570" s="201" t="s">
        <v>581</v>
      </c>
      <c r="H6570" s="208"/>
      <c r="I6570" s="208"/>
    </row>
    <row r="6571" spans="1:149" s="209" customFormat="1" ht="15" hidden="1" customHeight="1">
      <c r="A6571" s="468">
        <v>45562</v>
      </c>
      <c r="B6571" s="208" t="s">
        <v>5331</v>
      </c>
      <c r="C6571" s="208" t="s">
        <v>27</v>
      </c>
      <c r="D6571" s="211">
        <v>-910000</v>
      </c>
      <c r="E6571" s="212">
        <v>45536</v>
      </c>
      <c r="F6571" s="208" t="s">
        <v>109</v>
      </c>
      <c r="G6571" s="201" t="s">
        <v>581</v>
      </c>
      <c r="H6571" s="208"/>
      <c r="I6571" s="208"/>
    </row>
    <row r="6572" spans="1:149" ht="15" hidden="1" customHeight="1">
      <c r="A6572" s="468">
        <v>45562</v>
      </c>
      <c r="B6572" s="208" t="s">
        <v>5332</v>
      </c>
      <c r="C6572" s="208" t="s">
        <v>27</v>
      </c>
      <c r="D6572" s="211">
        <v>-200000</v>
      </c>
      <c r="E6572" s="212">
        <v>45536</v>
      </c>
      <c r="F6572" s="208" t="s">
        <v>2531</v>
      </c>
      <c r="G6572" s="208" t="s">
        <v>453</v>
      </c>
      <c r="H6572" s="208" t="s">
        <v>175</v>
      </c>
      <c r="I6572" s="208"/>
      <c r="J6572" s="209"/>
      <c r="K6572" s="209"/>
      <c r="L6572" s="209"/>
      <c r="M6572" s="209"/>
      <c r="N6572" s="209"/>
      <c r="O6572" s="209"/>
      <c r="P6572" s="209"/>
      <c r="Q6572" s="209"/>
      <c r="R6572" s="209"/>
      <c r="S6572" s="209"/>
      <c r="T6572" s="209"/>
      <c r="U6572" s="451"/>
      <c r="V6572" s="451"/>
      <c r="W6572" s="451"/>
      <c r="X6572" s="451"/>
      <c r="Y6572" s="451"/>
      <c r="Z6572" s="451"/>
      <c r="AA6572" s="451"/>
      <c r="AB6572" s="451"/>
      <c r="AC6572" s="451"/>
      <c r="AD6572" s="451"/>
      <c r="AE6572" s="451"/>
      <c r="AF6572" s="451"/>
      <c r="AG6572" s="451"/>
      <c r="AH6572" s="451"/>
      <c r="AI6572" s="451"/>
      <c r="AJ6572" s="451"/>
      <c r="AK6572" s="451"/>
      <c r="AL6572" s="451"/>
      <c r="AM6572" s="451"/>
      <c r="AN6572" s="451"/>
      <c r="AO6572" s="451"/>
      <c r="AP6572" s="451"/>
      <c r="AQ6572" s="451"/>
      <c r="AR6572" s="451"/>
      <c r="AS6572" s="451"/>
      <c r="AT6572" s="451"/>
      <c r="AU6572" s="451"/>
      <c r="AV6572" s="451"/>
      <c r="AW6572" s="451"/>
      <c r="AX6572" s="451"/>
      <c r="AY6572" s="451"/>
      <c r="AZ6572" s="451"/>
      <c r="BA6572" s="451"/>
      <c r="BB6572" s="451"/>
      <c r="BC6572" s="451"/>
      <c r="BD6572" s="451"/>
      <c r="BE6572" s="451"/>
      <c r="BF6572" s="451"/>
      <c r="BG6572" s="451"/>
      <c r="BH6572" s="451"/>
      <c r="BI6572" s="451"/>
      <c r="BJ6572" s="451"/>
      <c r="BK6572" s="451"/>
      <c r="BL6572" s="451"/>
      <c r="BM6572" s="451"/>
      <c r="BN6572" s="451"/>
      <c r="BO6572" s="451"/>
      <c r="BP6572" s="451"/>
      <c r="BQ6572" s="451"/>
      <c r="BR6572" s="451"/>
      <c r="BS6572" s="451"/>
      <c r="BT6572" s="451"/>
      <c r="BU6572" s="451"/>
      <c r="BV6572" s="451"/>
      <c r="BW6572" s="451"/>
      <c r="BX6572" s="451"/>
      <c r="BY6572" s="451"/>
      <c r="BZ6572" s="451"/>
      <c r="CA6572" s="451"/>
      <c r="CB6572" s="451"/>
      <c r="CC6572" s="451"/>
      <c r="CD6572" s="451"/>
      <c r="CE6572" s="451"/>
      <c r="CF6572" s="451"/>
      <c r="CG6572" s="451"/>
      <c r="CH6572" s="451"/>
      <c r="CI6572" s="451"/>
      <c r="CJ6572" s="451"/>
      <c r="CK6572" s="451"/>
      <c r="CL6572" s="451"/>
      <c r="CM6572" s="451"/>
      <c r="CN6572" s="451"/>
      <c r="CO6572" s="451"/>
      <c r="CP6572" s="451"/>
      <c r="CQ6572" s="451"/>
      <c r="CR6572" s="451"/>
      <c r="CS6572" s="451"/>
      <c r="CT6572" s="451"/>
      <c r="CU6572" s="451"/>
      <c r="CV6572" s="451"/>
      <c r="CW6572" s="451"/>
      <c r="CX6572" s="451"/>
      <c r="CY6572" s="451"/>
      <c r="CZ6572" s="451"/>
      <c r="DA6572" s="451"/>
      <c r="DB6572" s="451"/>
      <c r="DC6572" s="451"/>
      <c r="DD6572" s="451"/>
      <c r="DE6572" s="451"/>
      <c r="DF6572" s="451"/>
      <c r="DG6572" s="451"/>
      <c r="DH6572" s="451"/>
      <c r="DI6572" s="451"/>
      <c r="DJ6572" s="451"/>
      <c r="DK6572" s="451"/>
      <c r="DL6572" s="451"/>
      <c r="DM6572" s="451"/>
      <c r="DN6572" s="451"/>
      <c r="DO6572" s="451"/>
      <c r="DP6572" s="451"/>
      <c r="DQ6572" s="451"/>
      <c r="DR6572" s="451"/>
      <c r="DS6572" s="451"/>
      <c r="DT6572" s="451"/>
      <c r="DU6572" s="451"/>
      <c r="DV6572" s="451"/>
      <c r="DW6572" s="451"/>
      <c r="DX6572" s="451"/>
      <c r="DY6572" s="451"/>
      <c r="DZ6572" s="451"/>
      <c r="EA6572" s="451"/>
      <c r="EB6572" s="451"/>
      <c r="EC6572" s="451"/>
      <c r="ED6572" s="451"/>
      <c r="EE6572" s="451"/>
      <c r="EF6572" s="451"/>
      <c r="EG6572" s="451"/>
      <c r="EH6572" s="451"/>
      <c r="EI6572" s="451"/>
      <c r="EJ6572" s="451"/>
      <c r="EK6572" s="451"/>
      <c r="EL6572" s="451"/>
      <c r="EM6572" s="451"/>
      <c r="EN6572" s="451"/>
      <c r="EO6572" s="451"/>
      <c r="EP6572" s="451"/>
      <c r="EQ6572" s="451"/>
      <c r="ER6572" s="451"/>
      <c r="ES6572" s="451"/>
    </row>
    <row r="6573" spans="1:149" ht="15" hidden="1" customHeight="1">
      <c r="A6573" s="468">
        <v>45562</v>
      </c>
      <c r="B6573" s="208" t="s">
        <v>5333</v>
      </c>
      <c r="C6573" s="208" t="s">
        <v>27</v>
      </c>
      <c r="D6573" s="211">
        <v>-500000</v>
      </c>
      <c r="E6573" s="212">
        <v>45536</v>
      </c>
      <c r="F6573" s="208" t="s">
        <v>109</v>
      </c>
      <c r="G6573" s="208" t="s">
        <v>2809</v>
      </c>
      <c r="H6573" s="208" t="s">
        <v>5066</v>
      </c>
      <c r="I6573" s="208"/>
      <c r="J6573" s="209"/>
      <c r="K6573" s="209"/>
      <c r="L6573" s="209"/>
      <c r="M6573" s="209"/>
      <c r="N6573" s="209"/>
      <c r="O6573" s="209"/>
      <c r="P6573" s="209"/>
      <c r="Q6573" s="209"/>
      <c r="R6573" s="209"/>
      <c r="S6573" s="209"/>
      <c r="T6573" s="209"/>
      <c r="U6573" s="451"/>
      <c r="V6573" s="451"/>
      <c r="W6573" s="451"/>
      <c r="X6573" s="451"/>
      <c r="Y6573" s="451"/>
      <c r="Z6573" s="451"/>
      <c r="AA6573" s="451"/>
      <c r="AB6573" s="451"/>
      <c r="AC6573" s="451"/>
      <c r="AD6573" s="451"/>
      <c r="AE6573" s="451"/>
      <c r="AF6573" s="451"/>
      <c r="AG6573" s="451"/>
      <c r="AH6573" s="451"/>
      <c r="AI6573" s="451"/>
      <c r="AJ6573" s="451"/>
      <c r="AK6573" s="451"/>
      <c r="AL6573" s="451"/>
      <c r="AM6573" s="451"/>
      <c r="AN6573" s="451"/>
      <c r="AO6573" s="451"/>
      <c r="AP6573" s="451"/>
      <c r="AQ6573" s="451"/>
      <c r="AR6573" s="451"/>
      <c r="AS6573" s="451"/>
      <c r="AT6573" s="451"/>
      <c r="AU6573" s="451"/>
      <c r="AV6573" s="451"/>
      <c r="AW6573" s="451"/>
      <c r="AX6573" s="451"/>
      <c r="AY6573" s="451"/>
      <c r="AZ6573" s="451"/>
      <c r="BA6573" s="451"/>
      <c r="BB6573" s="451"/>
      <c r="BC6573" s="451"/>
      <c r="BD6573" s="451"/>
      <c r="BE6573" s="451"/>
      <c r="BF6573" s="451"/>
      <c r="BG6573" s="451"/>
      <c r="BH6573" s="451"/>
      <c r="BI6573" s="451"/>
      <c r="BJ6573" s="451"/>
      <c r="BK6573" s="451"/>
      <c r="BL6573" s="451"/>
      <c r="BM6573" s="451"/>
      <c r="BN6573" s="451"/>
      <c r="BO6573" s="451"/>
      <c r="BP6573" s="451"/>
      <c r="BQ6573" s="451"/>
      <c r="BR6573" s="451"/>
      <c r="BS6573" s="451"/>
      <c r="BT6573" s="451"/>
      <c r="BU6573" s="451"/>
      <c r="BV6573" s="451"/>
      <c r="BW6573" s="451"/>
      <c r="BX6573" s="451"/>
      <c r="BY6573" s="451"/>
      <c r="BZ6573" s="451"/>
      <c r="CA6573" s="451"/>
      <c r="CB6573" s="451"/>
      <c r="CC6573" s="451"/>
      <c r="CD6573" s="451"/>
      <c r="CE6573" s="451"/>
      <c r="CF6573" s="451"/>
      <c r="CG6573" s="451"/>
      <c r="CH6573" s="451"/>
      <c r="CI6573" s="451"/>
      <c r="CJ6573" s="451"/>
      <c r="CK6573" s="451"/>
      <c r="CL6573" s="451"/>
      <c r="CM6573" s="451"/>
      <c r="CN6573" s="451"/>
      <c r="CO6573" s="451"/>
      <c r="CP6573" s="451"/>
      <c r="CQ6573" s="451"/>
      <c r="CR6573" s="451"/>
      <c r="CS6573" s="451"/>
      <c r="CT6573" s="451"/>
      <c r="CU6573" s="451"/>
      <c r="CV6573" s="451"/>
      <c r="CW6573" s="451"/>
      <c r="CX6573" s="451"/>
      <c r="CY6573" s="451"/>
      <c r="CZ6573" s="451"/>
      <c r="DA6573" s="451"/>
      <c r="DB6573" s="451"/>
      <c r="DC6573" s="451"/>
      <c r="DD6573" s="451"/>
      <c r="DE6573" s="451"/>
      <c r="DF6573" s="451"/>
      <c r="DG6573" s="451"/>
      <c r="DH6573" s="451"/>
      <c r="DI6573" s="451"/>
      <c r="DJ6573" s="451"/>
      <c r="DK6573" s="451"/>
      <c r="DL6573" s="451"/>
      <c r="DM6573" s="451"/>
      <c r="DN6573" s="451"/>
      <c r="DO6573" s="451"/>
      <c r="DP6573" s="451"/>
      <c r="DQ6573" s="451"/>
      <c r="DR6573" s="451"/>
      <c r="DS6573" s="451"/>
      <c r="DT6573" s="451"/>
      <c r="DU6573" s="451"/>
      <c r="DV6573" s="451"/>
      <c r="DW6573" s="451"/>
      <c r="DX6573" s="451"/>
      <c r="DY6573" s="451"/>
      <c r="DZ6573" s="451"/>
      <c r="EA6573" s="451"/>
      <c r="EB6573" s="451"/>
      <c r="EC6573" s="451"/>
      <c r="ED6573" s="451"/>
      <c r="EE6573" s="451"/>
      <c r="EF6573" s="451"/>
      <c r="EG6573" s="451"/>
      <c r="EH6573" s="451"/>
      <c r="EI6573" s="451"/>
      <c r="EJ6573" s="451"/>
      <c r="EK6573" s="451"/>
      <c r="EL6573" s="451"/>
      <c r="EM6573" s="451"/>
      <c r="EN6573" s="451"/>
      <c r="EO6573" s="451"/>
      <c r="EP6573" s="451"/>
      <c r="EQ6573" s="451"/>
      <c r="ER6573" s="451"/>
      <c r="ES6573" s="451"/>
    </row>
    <row r="6574" spans="1:149" ht="15" hidden="1" customHeight="1">
      <c r="A6574" s="468">
        <v>45562</v>
      </c>
      <c r="B6574" s="208" t="s">
        <v>2803</v>
      </c>
      <c r="C6574" s="208" t="s">
        <v>27</v>
      </c>
      <c r="D6574" s="211">
        <v>-7992000</v>
      </c>
      <c r="E6574" s="212">
        <v>45536</v>
      </c>
      <c r="F6574" s="208" t="s">
        <v>109</v>
      </c>
      <c r="G6574" s="208" t="s">
        <v>10</v>
      </c>
      <c r="H6574" s="208"/>
      <c r="I6574" s="208"/>
      <c r="J6574" s="209"/>
      <c r="K6574" s="209"/>
      <c r="L6574" s="209"/>
      <c r="M6574" s="209"/>
      <c r="N6574" s="209"/>
      <c r="O6574" s="209"/>
      <c r="P6574" s="209"/>
      <c r="Q6574" s="209"/>
      <c r="R6574" s="209"/>
      <c r="S6574" s="209"/>
      <c r="T6574" s="209"/>
      <c r="U6574" s="451"/>
      <c r="V6574" s="451"/>
      <c r="W6574" s="451"/>
      <c r="X6574" s="451"/>
      <c r="Y6574" s="451"/>
      <c r="Z6574" s="451"/>
      <c r="AA6574" s="451"/>
      <c r="AB6574" s="451"/>
      <c r="AC6574" s="451"/>
      <c r="AD6574" s="451"/>
      <c r="AE6574" s="451"/>
      <c r="AF6574" s="451"/>
      <c r="AG6574" s="451"/>
      <c r="AH6574" s="451"/>
      <c r="AI6574" s="451"/>
      <c r="AJ6574" s="451"/>
      <c r="AK6574" s="451"/>
      <c r="AL6574" s="451"/>
      <c r="AM6574" s="451"/>
      <c r="AN6574" s="451"/>
      <c r="AO6574" s="451"/>
      <c r="AP6574" s="451"/>
      <c r="AQ6574" s="451"/>
      <c r="AR6574" s="451"/>
      <c r="AS6574" s="451"/>
      <c r="AT6574" s="451"/>
      <c r="AU6574" s="451"/>
      <c r="AV6574" s="451"/>
      <c r="AW6574" s="451"/>
      <c r="AX6574" s="451"/>
      <c r="AY6574" s="451"/>
      <c r="AZ6574" s="451"/>
      <c r="BA6574" s="451"/>
      <c r="BB6574" s="451"/>
      <c r="BC6574" s="451"/>
      <c r="BD6574" s="451"/>
      <c r="BE6574" s="451"/>
      <c r="BF6574" s="451"/>
      <c r="BG6574" s="451"/>
      <c r="BH6574" s="451"/>
      <c r="BI6574" s="451"/>
      <c r="BJ6574" s="451"/>
      <c r="BK6574" s="451"/>
      <c r="BL6574" s="451"/>
      <c r="BM6574" s="451"/>
      <c r="BN6574" s="451"/>
      <c r="BO6574" s="451"/>
      <c r="BP6574" s="451"/>
      <c r="BQ6574" s="451"/>
      <c r="BR6574" s="451"/>
      <c r="BS6574" s="451"/>
      <c r="BT6574" s="451"/>
      <c r="BU6574" s="451"/>
      <c r="BV6574" s="451"/>
      <c r="BW6574" s="451"/>
      <c r="BX6574" s="451"/>
      <c r="BY6574" s="451"/>
      <c r="BZ6574" s="451"/>
      <c r="CA6574" s="451"/>
      <c r="CB6574" s="451"/>
      <c r="CC6574" s="451"/>
      <c r="CD6574" s="451"/>
      <c r="CE6574" s="451"/>
      <c r="CF6574" s="451"/>
      <c r="CG6574" s="451"/>
      <c r="CH6574" s="451"/>
      <c r="CI6574" s="451"/>
      <c r="CJ6574" s="451"/>
      <c r="CK6574" s="451"/>
      <c r="CL6574" s="451"/>
      <c r="CM6574" s="451"/>
      <c r="CN6574" s="451"/>
      <c r="CO6574" s="451"/>
      <c r="CP6574" s="451"/>
      <c r="CQ6574" s="451"/>
      <c r="CR6574" s="451"/>
      <c r="CS6574" s="451"/>
      <c r="CT6574" s="451"/>
      <c r="CU6574" s="451"/>
      <c r="CV6574" s="451"/>
      <c r="CW6574" s="451"/>
      <c r="CX6574" s="451"/>
      <c r="CY6574" s="451"/>
      <c r="CZ6574" s="451"/>
      <c r="DA6574" s="451"/>
      <c r="DB6574" s="451"/>
      <c r="DC6574" s="451"/>
      <c r="DD6574" s="451"/>
      <c r="DE6574" s="451"/>
      <c r="DF6574" s="451"/>
      <c r="DG6574" s="451"/>
      <c r="DH6574" s="451"/>
      <c r="DI6574" s="451"/>
      <c r="DJ6574" s="451"/>
      <c r="DK6574" s="451"/>
      <c r="DL6574" s="451"/>
      <c r="DM6574" s="451"/>
      <c r="DN6574" s="451"/>
      <c r="DO6574" s="451"/>
      <c r="DP6574" s="451"/>
      <c r="DQ6574" s="451"/>
      <c r="DR6574" s="451"/>
      <c r="DS6574" s="451"/>
      <c r="DT6574" s="451"/>
      <c r="DU6574" s="451"/>
      <c r="DV6574" s="451"/>
      <c r="DW6574" s="451"/>
      <c r="DX6574" s="451"/>
      <c r="DY6574" s="451"/>
      <c r="DZ6574" s="451"/>
      <c r="EA6574" s="451"/>
      <c r="EB6574" s="451"/>
      <c r="EC6574" s="451"/>
      <c r="ED6574" s="451"/>
      <c r="EE6574" s="451"/>
      <c r="EF6574" s="451"/>
      <c r="EG6574" s="451"/>
      <c r="EH6574" s="451"/>
      <c r="EI6574" s="451"/>
      <c r="EJ6574" s="451"/>
      <c r="EK6574" s="451"/>
      <c r="EL6574" s="451"/>
      <c r="EM6574" s="451"/>
      <c r="EN6574" s="451"/>
      <c r="EO6574" s="451"/>
      <c r="EP6574" s="451"/>
      <c r="EQ6574" s="451"/>
      <c r="ER6574" s="451"/>
      <c r="ES6574" s="451"/>
    </row>
    <row r="6575" spans="1:149" ht="15" hidden="1" customHeight="1">
      <c r="A6575" s="468">
        <v>45562</v>
      </c>
      <c r="B6575" s="208" t="s">
        <v>5334</v>
      </c>
      <c r="C6575" s="208" t="s">
        <v>27</v>
      </c>
      <c r="D6575" s="211">
        <v>-208000</v>
      </c>
      <c r="E6575" s="212">
        <v>45536</v>
      </c>
      <c r="F6575" s="208" t="s">
        <v>109</v>
      </c>
      <c r="G6575" s="208" t="s">
        <v>3529</v>
      </c>
      <c r="H6575" s="208" t="s">
        <v>175</v>
      </c>
      <c r="I6575" s="208"/>
      <c r="J6575" s="209"/>
      <c r="K6575" s="209"/>
      <c r="L6575" s="209"/>
      <c r="M6575" s="209"/>
      <c r="N6575" s="209"/>
      <c r="O6575" s="209"/>
      <c r="P6575" s="209"/>
      <c r="Q6575" s="209"/>
      <c r="R6575" s="209"/>
      <c r="S6575" s="209"/>
      <c r="T6575" s="209"/>
      <c r="U6575" s="451"/>
      <c r="V6575" s="451"/>
      <c r="W6575" s="451"/>
      <c r="X6575" s="451"/>
      <c r="Y6575" s="451"/>
      <c r="Z6575" s="451"/>
      <c r="AA6575" s="451"/>
      <c r="AB6575" s="451"/>
      <c r="AC6575" s="451"/>
      <c r="AD6575" s="451"/>
      <c r="AE6575" s="451"/>
      <c r="AF6575" s="451"/>
      <c r="AG6575" s="451"/>
      <c r="AH6575" s="451"/>
      <c r="AI6575" s="451"/>
      <c r="AJ6575" s="451"/>
      <c r="AK6575" s="451"/>
      <c r="AL6575" s="451"/>
      <c r="AM6575" s="451"/>
      <c r="AN6575" s="451"/>
      <c r="AO6575" s="451"/>
      <c r="AP6575" s="451"/>
      <c r="AQ6575" s="451"/>
      <c r="AR6575" s="451"/>
      <c r="AS6575" s="451"/>
      <c r="AT6575" s="451"/>
      <c r="AU6575" s="451"/>
      <c r="AV6575" s="451"/>
      <c r="AW6575" s="451"/>
      <c r="AX6575" s="451"/>
      <c r="AY6575" s="451"/>
      <c r="AZ6575" s="451"/>
      <c r="BA6575" s="451"/>
      <c r="BB6575" s="451"/>
      <c r="BC6575" s="451"/>
      <c r="BD6575" s="451"/>
      <c r="BE6575" s="451"/>
      <c r="BF6575" s="451"/>
      <c r="BG6575" s="451"/>
      <c r="BH6575" s="451"/>
      <c r="BI6575" s="451"/>
      <c r="BJ6575" s="451"/>
      <c r="BK6575" s="451"/>
      <c r="BL6575" s="451"/>
      <c r="BM6575" s="451"/>
      <c r="BN6575" s="451"/>
      <c r="BO6575" s="451"/>
      <c r="BP6575" s="451"/>
      <c r="BQ6575" s="451"/>
      <c r="BR6575" s="451"/>
      <c r="BS6575" s="451"/>
      <c r="BT6575" s="451"/>
      <c r="BU6575" s="451"/>
      <c r="BV6575" s="451"/>
      <c r="BW6575" s="451"/>
      <c r="BX6575" s="451"/>
      <c r="BY6575" s="451"/>
      <c r="BZ6575" s="451"/>
      <c r="CA6575" s="451"/>
      <c r="CB6575" s="451"/>
      <c r="CC6575" s="451"/>
      <c r="CD6575" s="451"/>
      <c r="CE6575" s="451"/>
      <c r="CF6575" s="451"/>
      <c r="CG6575" s="451"/>
      <c r="CH6575" s="451"/>
      <c r="CI6575" s="451"/>
      <c r="CJ6575" s="451"/>
      <c r="CK6575" s="451"/>
      <c r="CL6575" s="451"/>
      <c r="CM6575" s="451"/>
      <c r="CN6575" s="451"/>
      <c r="CO6575" s="451"/>
      <c r="CP6575" s="451"/>
      <c r="CQ6575" s="451"/>
      <c r="CR6575" s="451"/>
      <c r="CS6575" s="451"/>
      <c r="CT6575" s="451"/>
      <c r="CU6575" s="451"/>
      <c r="CV6575" s="451"/>
      <c r="CW6575" s="451"/>
      <c r="CX6575" s="451"/>
      <c r="CY6575" s="451"/>
      <c r="CZ6575" s="451"/>
      <c r="DA6575" s="451"/>
      <c r="DB6575" s="451"/>
      <c r="DC6575" s="451"/>
      <c r="DD6575" s="451"/>
      <c r="DE6575" s="451"/>
      <c r="DF6575" s="451"/>
      <c r="DG6575" s="451"/>
      <c r="DH6575" s="451"/>
      <c r="DI6575" s="451"/>
      <c r="DJ6575" s="451"/>
      <c r="DK6575" s="451"/>
      <c r="DL6575" s="451"/>
      <c r="DM6575" s="451"/>
      <c r="DN6575" s="451"/>
      <c r="DO6575" s="451"/>
      <c r="DP6575" s="451"/>
      <c r="DQ6575" s="451"/>
      <c r="DR6575" s="451"/>
      <c r="DS6575" s="451"/>
      <c r="DT6575" s="451"/>
      <c r="DU6575" s="451"/>
      <c r="DV6575" s="451"/>
      <c r="DW6575" s="451"/>
      <c r="DX6575" s="451"/>
      <c r="DY6575" s="451"/>
      <c r="DZ6575" s="451"/>
      <c r="EA6575" s="451"/>
      <c r="EB6575" s="451"/>
      <c r="EC6575" s="451"/>
      <c r="ED6575" s="451"/>
      <c r="EE6575" s="451"/>
      <c r="EF6575" s="451"/>
      <c r="EG6575" s="451"/>
      <c r="EH6575" s="451"/>
      <c r="EI6575" s="451"/>
      <c r="EJ6575" s="451"/>
      <c r="EK6575" s="451"/>
      <c r="EL6575" s="451"/>
      <c r="EM6575" s="451"/>
      <c r="EN6575" s="451"/>
      <c r="EO6575" s="451"/>
      <c r="EP6575" s="451"/>
      <c r="EQ6575" s="451"/>
      <c r="ER6575" s="451"/>
      <c r="ES6575" s="451"/>
    </row>
    <row r="6576" spans="1:149" ht="15" hidden="1" customHeight="1">
      <c r="A6576" s="468">
        <v>45562</v>
      </c>
      <c r="B6576" s="208" t="s">
        <v>5272</v>
      </c>
      <c r="C6576" s="208" t="s">
        <v>3331</v>
      </c>
      <c r="D6576" s="211">
        <v>-757440</v>
      </c>
      <c r="E6576" s="212">
        <v>45536</v>
      </c>
      <c r="F6576" s="208" t="s">
        <v>130</v>
      </c>
      <c r="G6576" s="208" t="s">
        <v>130</v>
      </c>
      <c r="H6576" s="81" t="s">
        <v>138</v>
      </c>
      <c r="I6576" s="208"/>
      <c r="J6576" s="209"/>
      <c r="K6576" s="209"/>
      <c r="L6576" s="209"/>
      <c r="M6576" s="209"/>
      <c r="N6576" s="209"/>
      <c r="O6576" s="209"/>
      <c r="P6576" s="209"/>
      <c r="Q6576" s="209"/>
      <c r="R6576" s="209"/>
      <c r="S6576" s="209"/>
      <c r="T6576" s="209"/>
    </row>
    <row r="6577" spans="1:149" s="209" customFormat="1" ht="15" hidden="1" customHeight="1">
      <c r="A6577" s="468">
        <v>45562</v>
      </c>
      <c r="B6577" s="208" t="s">
        <v>5335</v>
      </c>
      <c r="C6577" s="208" t="s">
        <v>3331</v>
      </c>
      <c r="D6577" s="211">
        <v>7685281</v>
      </c>
      <c r="E6577" s="212">
        <v>45536</v>
      </c>
      <c r="F6577" s="208" t="s">
        <v>130</v>
      </c>
      <c r="G6577" s="208" t="s">
        <v>130</v>
      </c>
      <c r="H6577" s="208" t="s">
        <v>2444</v>
      </c>
      <c r="I6577" s="208"/>
    </row>
    <row r="6578" spans="1:149" s="209" customFormat="1" ht="15" hidden="1" customHeight="1">
      <c r="A6578" s="468">
        <v>45562</v>
      </c>
      <c r="B6578" s="208" t="s">
        <v>5336</v>
      </c>
      <c r="C6578" s="208" t="s">
        <v>27</v>
      </c>
      <c r="D6578" s="211">
        <v>150000000</v>
      </c>
      <c r="E6578" s="212">
        <v>45536</v>
      </c>
      <c r="F6578" s="883" t="s">
        <v>707</v>
      </c>
      <c r="G6578" s="201" t="s">
        <v>581</v>
      </c>
      <c r="H6578" s="208"/>
      <c r="I6578" s="208"/>
    </row>
    <row r="6579" spans="1:149" s="209" customFormat="1" ht="15" hidden="1" customHeight="1">
      <c r="A6579" s="468">
        <v>45562</v>
      </c>
      <c r="B6579" s="208" t="s">
        <v>5337</v>
      </c>
      <c r="C6579" s="208" t="s">
        <v>27</v>
      </c>
      <c r="D6579" s="718">
        <v>-3680000.0000000005</v>
      </c>
      <c r="E6579" s="212">
        <v>45536</v>
      </c>
      <c r="F6579" s="208" t="s">
        <v>109</v>
      </c>
      <c r="G6579" s="201" t="s">
        <v>581</v>
      </c>
      <c r="H6579" s="208"/>
      <c r="I6579" s="208"/>
    </row>
    <row r="6580" spans="1:149" s="209" customFormat="1" ht="15" hidden="1" customHeight="1">
      <c r="A6580" s="468">
        <v>45562</v>
      </c>
      <c r="B6580" s="208" t="s">
        <v>5338</v>
      </c>
      <c r="C6580" s="208" t="s">
        <v>27</v>
      </c>
      <c r="D6580" s="718">
        <v>-6242200</v>
      </c>
      <c r="E6580" s="212">
        <v>45536</v>
      </c>
      <c r="F6580" s="208" t="s">
        <v>109</v>
      </c>
      <c r="G6580" s="201" t="s">
        <v>581</v>
      </c>
      <c r="H6580" s="208"/>
      <c r="I6580" s="208"/>
    </row>
    <row r="6581" spans="1:149" s="209" customFormat="1" ht="15" hidden="1" customHeight="1">
      <c r="A6581" s="468">
        <v>45562</v>
      </c>
      <c r="B6581" s="208" t="s">
        <v>5339</v>
      </c>
      <c r="C6581" s="208" t="s">
        <v>27</v>
      </c>
      <c r="D6581" s="718">
        <v>-1320700</v>
      </c>
      <c r="E6581" s="212">
        <v>45536</v>
      </c>
      <c r="F6581" s="208" t="s">
        <v>109</v>
      </c>
      <c r="G6581" s="201" t="s">
        <v>581</v>
      </c>
      <c r="H6581" s="208"/>
      <c r="I6581" s="208"/>
    </row>
    <row r="6582" spans="1:149" ht="15" hidden="1" customHeight="1">
      <c r="A6582" s="468">
        <v>45562</v>
      </c>
      <c r="B6582" s="208" t="s">
        <v>5340</v>
      </c>
      <c r="C6582" s="208" t="s">
        <v>27</v>
      </c>
      <c r="D6582" s="211">
        <v>-822240</v>
      </c>
      <c r="E6582" s="212">
        <v>45536</v>
      </c>
      <c r="F6582" s="208" t="s">
        <v>109</v>
      </c>
      <c r="G6582" s="208" t="s">
        <v>3529</v>
      </c>
      <c r="H6582" s="208" t="s">
        <v>147</v>
      </c>
      <c r="I6582" s="208"/>
      <c r="J6582" s="209"/>
      <c r="K6582" s="209"/>
      <c r="L6582" s="209"/>
      <c r="M6582" s="209"/>
      <c r="N6582" s="209"/>
      <c r="O6582" s="209"/>
      <c r="P6582" s="209"/>
      <c r="Q6582" s="209"/>
      <c r="R6582" s="209"/>
      <c r="S6582" s="209"/>
      <c r="T6582" s="209"/>
      <c r="U6582" s="451"/>
      <c r="V6582" s="451"/>
      <c r="W6582" s="451"/>
      <c r="X6582" s="451"/>
      <c r="Y6582" s="451"/>
      <c r="Z6582" s="451"/>
      <c r="AA6582" s="451"/>
      <c r="AB6582" s="451"/>
      <c r="AC6582" s="451"/>
      <c r="AD6582" s="451"/>
      <c r="AE6582" s="451"/>
      <c r="AF6582" s="451"/>
      <c r="AG6582" s="451"/>
      <c r="AH6582" s="451"/>
      <c r="AI6582" s="451"/>
      <c r="AJ6582" s="451"/>
      <c r="AK6582" s="451"/>
      <c r="AL6582" s="451"/>
      <c r="AM6582" s="451"/>
      <c r="AN6582" s="451"/>
      <c r="AO6582" s="451"/>
      <c r="AP6582" s="451"/>
      <c r="AQ6582" s="451"/>
      <c r="AR6582" s="451"/>
      <c r="AS6582" s="451"/>
      <c r="AT6582" s="451"/>
      <c r="AU6582" s="451"/>
      <c r="AV6582" s="451"/>
      <c r="AW6582" s="451"/>
      <c r="AX6582" s="451"/>
      <c r="AY6582" s="451"/>
      <c r="AZ6582" s="451"/>
      <c r="BA6582" s="451"/>
      <c r="BB6582" s="451"/>
      <c r="BC6582" s="451"/>
      <c r="BD6582" s="451"/>
      <c r="BE6582" s="451"/>
      <c r="BF6582" s="451"/>
      <c r="BG6582" s="451"/>
      <c r="BH6582" s="451"/>
      <c r="BI6582" s="451"/>
      <c r="BJ6582" s="451"/>
      <c r="BK6582" s="451"/>
      <c r="BL6582" s="451"/>
      <c r="BM6582" s="451"/>
      <c r="BN6582" s="451"/>
      <c r="BO6582" s="451"/>
      <c r="BP6582" s="451"/>
      <c r="BQ6582" s="451"/>
      <c r="BR6582" s="451"/>
      <c r="BS6582" s="451"/>
      <c r="BT6582" s="451"/>
      <c r="BU6582" s="451"/>
      <c r="BV6582" s="451"/>
      <c r="BW6582" s="451"/>
      <c r="BX6582" s="451"/>
      <c r="BY6582" s="451"/>
      <c r="BZ6582" s="451"/>
      <c r="CA6582" s="451"/>
      <c r="CB6582" s="451"/>
      <c r="CC6582" s="451"/>
      <c r="CD6582" s="451"/>
      <c r="CE6582" s="451"/>
      <c r="CF6582" s="451"/>
      <c r="CG6582" s="451"/>
      <c r="CH6582" s="451"/>
      <c r="CI6582" s="451"/>
      <c r="CJ6582" s="451"/>
      <c r="CK6582" s="451"/>
      <c r="CL6582" s="451"/>
      <c r="CM6582" s="451"/>
      <c r="CN6582" s="451"/>
      <c r="CO6582" s="451"/>
      <c r="CP6582" s="451"/>
      <c r="CQ6582" s="451"/>
      <c r="CR6582" s="451"/>
      <c r="CS6582" s="451"/>
      <c r="CT6582" s="451"/>
      <c r="CU6582" s="451"/>
      <c r="CV6582" s="451"/>
      <c r="CW6582" s="451"/>
      <c r="CX6582" s="451"/>
      <c r="CY6582" s="451"/>
      <c r="CZ6582" s="451"/>
      <c r="DA6582" s="451"/>
      <c r="DB6582" s="451"/>
      <c r="DC6582" s="451"/>
      <c r="DD6582" s="451"/>
      <c r="DE6582" s="451"/>
      <c r="DF6582" s="451"/>
      <c r="DG6582" s="451"/>
      <c r="DH6582" s="451"/>
      <c r="DI6582" s="451"/>
      <c r="DJ6582" s="451"/>
      <c r="DK6582" s="451"/>
      <c r="DL6582" s="451"/>
      <c r="DM6582" s="451"/>
      <c r="DN6582" s="451"/>
      <c r="DO6582" s="451"/>
      <c r="DP6582" s="451"/>
      <c r="DQ6582" s="451"/>
      <c r="DR6582" s="451"/>
      <c r="DS6582" s="451"/>
      <c r="DT6582" s="451"/>
      <c r="DU6582" s="451"/>
      <c r="DV6582" s="451"/>
      <c r="DW6582" s="451"/>
      <c r="DX6582" s="451"/>
      <c r="DY6582" s="451"/>
      <c r="DZ6582" s="451"/>
      <c r="EA6582" s="451"/>
      <c r="EB6582" s="451"/>
      <c r="EC6582" s="451"/>
      <c r="ED6582" s="451"/>
      <c r="EE6582" s="451"/>
      <c r="EF6582" s="451"/>
      <c r="EG6582" s="451"/>
      <c r="EH6582" s="451"/>
      <c r="EI6582" s="451"/>
      <c r="EJ6582" s="451"/>
      <c r="EK6582" s="451"/>
      <c r="EL6582" s="451"/>
      <c r="EM6582" s="451"/>
      <c r="EN6582" s="451"/>
      <c r="EO6582" s="451"/>
      <c r="EP6582" s="451"/>
      <c r="EQ6582" s="451"/>
      <c r="ER6582" s="451"/>
      <c r="ES6582" s="451"/>
    </row>
    <row r="6583" spans="1:149" ht="15" hidden="1" customHeight="1">
      <c r="A6583" s="468">
        <v>45562</v>
      </c>
      <c r="B6583" s="208" t="s">
        <v>5341</v>
      </c>
      <c r="C6583" s="208" t="s">
        <v>27</v>
      </c>
      <c r="D6583" s="211">
        <v>-4936310.4000000004</v>
      </c>
      <c r="E6583" s="212">
        <v>45536</v>
      </c>
      <c r="F6583" s="208" t="s">
        <v>130</v>
      </c>
      <c r="G6583" s="208" t="s">
        <v>130</v>
      </c>
      <c r="H6583" s="208" t="s">
        <v>2421</v>
      </c>
      <c r="I6583" s="208"/>
      <c r="J6583" s="209"/>
      <c r="K6583" s="209"/>
      <c r="L6583" s="209"/>
      <c r="M6583" s="209"/>
      <c r="N6583" s="209"/>
      <c r="O6583" s="209"/>
      <c r="P6583" s="209"/>
      <c r="Q6583" s="209"/>
      <c r="R6583" s="209"/>
      <c r="S6583" s="209"/>
      <c r="T6583" s="209"/>
      <c r="U6583" s="451"/>
      <c r="V6583" s="451"/>
      <c r="W6583" s="451"/>
      <c r="X6583" s="451"/>
      <c r="Y6583" s="451"/>
      <c r="Z6583" s="451"/>
      <c r="AA6583" s="451"/>
      <c r="AB6583" s="451"/>
      <c r="AC6583" s="451"/>
      <c r="AD6583" s="451"/>
      <c r="AE6583" s="451"/>
      <c r="AF6583" s="451"/>
      <c r="AG6583" s="451"/>
      <c r="AH6583" s="451"/>
      <c r="AI6583" s="451"/>
      <c r="AJ6583" s="451"/>
      <c r="AK6583" s="451"/>
      <c r="AL6583" s="451"/>
      <c r="AM6583" s="451"/>
      <c r="AN6583" s="451"/>
      <c r="AO6583" s="451"/>
      <c r="AP6583" s="451"/>
      <c r="AQ6583" s="451"/>
      <c r="AR6583" s="451"/>
      <c r="AS6583" s="451"/>
      <c r="AT6583" s="451"/>
      <c r="AU6583" s="451"/>
      <c r="AV6583" s="451"/>
      <c r="AW6583" s="451"/>
      <c r="AX6583" s="451"/>
      <c r="AY6583" s="451"/>
      <c r="AZ6583" s="451"/>
      <c r="BA6583" s="451"/>
      <c r="BB6583" s="451"/>
      <c r="BC6583" s="451"/>
      <c r="BD6583" s="451"/>
      <c r="BE6583" s="451"/>
      <c r="BF6583" s="451"/>
      <c r="BG6583" s="451"/>
      <c r="BH6583" s="451"/>
      <c r="BI6583" s="451"/>
      <c r="BJ6583" s="451"/>
      <c r="BK6583" s="451"/>
      <c r="BL6583" s="451"/>
      <c r="BM6583" s="451"/>
      <c r="BN6583" s="451"/>
      <c r="BO6583" s="451"/>
      <c r="BP6583" s="451"/>
      <c r="BQ6583" s="451"/>
      <c r="BR6583" s="451"/>
      <c r="BS6583" s="451"/>
      <c r="BT6583" s="451"/>
      <c r="BU6583" s="451"/>
      <c r="BV6583" s="451"/>
      <c r="BW6583" s="451"/>
      <c r="BX6583" s="451"/>
      <c r="BY6583" s="451"/>
      <c r="BZ6583" s="451"/>
      <c r="CA6583" s="451"/>
      <c r="CB6583" s="451"/>
      <c r="CC6583" s="451"/>
      <c r="CD6583" s="451"/>
      <c r="CE6583" s="451"/>
      <c r="CF6583" s="451"/>
      <c r="CG6583" s="451"/>
      <c r="CH6583" s="451"/>
      <c r="CI6583" s="451"/>
      <c r="CJ6583" s="451"/>
      <c r="CK6583" s="451"/>
      <c r="CL6583" s="451"/>
      <c r="CM6583" s="451"/>
      <c r="CN6583" s="451"/>
      <c r="CO6583" s="451"/>
      <c r="CP6583" s="451"/>
      <c r="CQ6583" s="451"/>
      <c r="CR6583" s="451"/>
      <c r="CS6583" s="451"/>
      <c r="CT6583" s="451"/>
      <c r="CU6583" s="451"/>
      <c r="CV6583" s="451"/>
      <c r="CW6583" s="451"/>
      <c r="CX6583" s="451"/>
      <c r="CY6583" s="451"/>
      <c r="CZ6583" s="451"/>
      <c r="DA6583" s="451"/>
      <c r="DB6583" s="451"/>
      <c r="DC6583" s="451"/>
      <c r="DD6583" s="451"/>
      <c r="DE6583" s="451"/>
      <c r="DF6583" s="451"/>
      <c r="DG6583" s="451"/>
      <c r="DH6583" s="451"/>
      <c r="DI6583" s="451"/>
      <c r="DJ6583" s="451"/>
      <c r="DK6583" s="451"/>
      <c r="DL6583" s="451"/>
      <c r="DM6583" s="451"/>
      <c r="DN6583" s="451"/>
      <c r="DO6583" s="451"/>
      <c r="DP6583" s="451"/>
      <c r="DQ6583" s="451"/>
      <c r="DR6583" s="451"/>
      <c r="DS6583" s="451"/>
      <c r="DT6583" s="451"/>
      <c r="DU6583" s="451"/>
      <c r="DV6583" s="451"/>
      <c r="DW6583" s="451"/>
      <c r="DX6583" s="451"/>
      <c r="DY6583" s="451"/>
      <c r="DZ6583" s="451"/>
      <c r="EA6583" s="451"/>
      <c r="EB6583" s="451"/>
      <c r="EC6583" s="451"/>
      <c r="ED6583" s="451"/>
      <c r="EE6583" s="451"/>
      <c r="EF6583" s="451"/>
      <c r="EG6583" s="451"/>
      <c r="EH6583" s="451"/>
      <c r="EI6583" s="451"/>
      <c r="EJ6583" s="451"/>
      <c r="EK6583" s="451"/>
      <c r="EL6583" s="451"/>
      <c r="EM6583" s="451"/>
      <c r="EN6583" s="451"/>
      <c r="EO6583" s="451"/>
      <c r="EP6583" s="451"/>
      <c r="EQ6583" s="451"/>
      <c r="ER6583" s="451"/>
      <c r="ES6583" s="451"/>
    </row>
    <row r="6584" spans="1:149" ht="15" hidden="1" customHeight="1">
      <c r="A6584" s="468">
        <v>45562</v>
      </c>
      <c r="B6584" s="208" t="s">
        <v>5342</v>
      </c>
      <c r="C6584" s="208" t="s">
        <v>27</v>
      </c>
      <c r="D6584" s="211">
        <v>-1038260</v>
      </c>
      <c r="E6584" s="212">
        <v>45536</v>
      </c>
      <c r="F6584" s="208" t="s">
        <v>2531</v>
      </c>
      <c r="G6584" s="201" t="s">
        <v>1489</v>
      </c>
      <c r="H6584" s="208" t="s">
        <v>147</v>
      </c>
      <c r="I6584" s="208"/>
      <c r="J6584" s="209"/>
      <c r="K6584" s="209"/>
      <c r="L6584" s="209"/>
      <c r="M6584" s="209"/>
      <c r="N6584" s="209"/>
      <c r="O6584" s="209"/>
      <c r="P6584" s="209"/>
      <c r="Q6584" s="209"/>
      <c r="R6584" s="209"/>
      <c r="S6584" s="209"/>
      <c r="T6584" s="209"/>
      <c r="U6584" s="451"/>
      <c r="V6584" s="451"/>
      <c r="W6584" s="451"/>
      <c r="X6584" s="451"/>
      <c r="Y6584" s="451"/>
      <c r="Z6584" s="451"/>
      <c r="AA6584" s="451"/>
      <c r="AB6584" s="451"/>
      <c r="AC6584" s="451"/>
      <c r="AD6584" s="451"/>
      <c r="AE6584" s="451"/>
      <c r="AF6584" s="451"/>
      <c r="AG6584" s="451"/>
      <c r="AH6584" s="451"/>
      <c r="AI6584" s="451"/>
      <c r="AJ6584" s="451"/>
      <c r="AK6584" s="451"/>
      <c r="AL6584" s="451"/>
      <c r="AM6584" s="451"/>
      <c r="AN6584" s="451"/>
      <c r="AO6584" s="451"/>
      <c r="AP6584" s="451"/>
      <c r="AQ6584" s="451"/>
      <c r="AR6584" s="451"/>
      <c r="AS6584" s="451"/>
      <c r="AT6584" s="451"/>
      <c r="AU6584" s="451"/>
      <c r="AV6584" s="451"/>
      <c r="AW6584" s="451"/>
      <c r="AX6584" s="451"/>
      <c r="AY6584" s="451"/>
      <c r="AZ6584" s="451"/>
      <c r="BA6584" s="451"/>
      <c r="BB6584" s="451"/>
      <c r="BC6584" s="451"/>
      <c r="BD6584" s="451"/>
      <c r="BE6584" s="451"/>
      <c r="BF6584" s="451"/>
      <c r="BG6584" s="451"/>
      <c r="BH6584" s="451"/>
      <c r="BI6584" s="451"/>
      <c r="BJ6584" s="451"/>
      <c r="BK6584" s="451"/>
      <c r="BL6584" s="451"/>
      <c r="BM6584" s="451"/>
      <c r="BN6584" s="451"/>
      <c r="BO6584" s="451"/>
      <c r="BP6584" s="451"/>
      <c r="BQ6584" s="451"/>
      <c r="BR6584" s="451"/>
      <c r="BS6584" s="451"/>
      <c r="BT6584" s="451"/>
      <c r="BU6584" s="451"/>
      <c r="BV6584" s="451"/>
      <c r="BW6584" s="451"/>
      <c r="BX6584" s="451"/>
      <c r="BY6584" s="451"/>
      <c r="BZ6584" s="451"/>
      <c r="CA6584" s="451"/>
      <c r="CB6584" s="451"/>
      <c r="CC6584" s="451"/>
      <c r="CD6584" s="451"/>
      <c r="CE6584" s="451"/>
      <c r="CF6584" s="451"/>
      <c r="CG6584" s="451"/>
      <c r="CH6584" s="451"/>
      <c r="CI6584" s="451"/>
      <c r="CJ6584" s="451"/>
      <c r="CK6584" s="451"/>
      <c r="CL6584" s="451"/>
      <c r="CM6584" s="451"/>
      <c r="CN6584" s="451"/>
      <c r="CO6584" s="451"/>
      <c r="CP6584" s="451"/>
      <c r="CQ6584" s="451"/>
      <c r="CR6584" s="451"/>
      <c r="CS6584" s="451"/>
      <c r="CT6584" s="451"/>
      <c r="CU6584" s="451"/>
      <c r="CV6584" s="451"/>
      <c r="CW6584" s="451"/>
      <c r="CX6584" s="451"/>
      <c r="CY6584" s="451"/>
      <c r="CZ6584" s="451"/>
      <c r="DA6584" s="451"/>
      <c r="DB6584" s="451"/>
      <c r="DC6584" s="451"/>
      <c r="DD6584" s="451"/>
      <c r="DE6584" s="451"/>
      <c r="DF6584" s="451"/>
      <c r="DG6584" s="451"/>
      <c r="DH6584" s="451"/>
      <c r="DI6584" s="451"/>
      <c r="DJ6584" s="451"/>
      <c r="DK6584" s="451"/>
      <c r="DL6584" s="451"/>
      <c r="DM6584" s="451"/>
      <c r="DN6584" s="451"/>
      <c r="DO6584" s="451"/>
      <c r="DP6584" s="451"/>
      <c r="DQ6584" s="451"/>
      <c r="DR6584" s="451"/>
      <c r="DS6584" s="451"/>
      <c r="DT6584" s="451"/>
      <c r="DU6584" s="451"/>
      <c r="DV6584" s="451"/>
      <c r="DW6584" s="451"/>
      <c r="DX6584" s="451"/>
      <c r="DY6584" s="451"/>
      <c r="DZ6584" s="451"/>
      <c r="EA6584" s="451"/>
      <c r="EB6584" s="451"/>
      <c r="EC6584" s="451"/>
      <c r="ED6584" s="451"/>
      <c r="EE6584" s="451"/>
      <c r="EF6584" s="451"/>
      <c r="EG6584" s="451"/>
      <c r="EH6584" s="451"/>
      <c r="EI6584" s="451"/>
      <c r="EJ6584" s="451"/>
      <c r="EK6584" s="451"/>
      <c r="EL6584" s="451"/>
      <c r="EM6584" s="451"/>
      <c r="EN6584" s="451"/>
      <c r="EO6584" s="451"/>
      <c r="EP6584" s="451"/>
      <c r="EQ6584" s="451"/>
      <c r="ER6584" s="451"/>
      <c r="ES6584" s="451"/>
    </row>
    <row r="6585" spans="1:149" ht="15" hidden="1" customHeight="1">
      <c r="A6585" s="468">
        <v>45562</v>
      </c>
      <c r="B6585" s="208" t="s">
        <v>5343</v>
      </c>
      <c r="C6585" s="208" t="s">
        <v>27</v>
      </c>
      <c r="D6585" s="211">
        <v>-9054530</v>
      </c>
      <c r="E6585" s="212">
        <v>45536</v>
      </c>
      <c r="F6585" s="208" t="s">
        <v>130</v>
      </c>
      <c r="G6585" s="208" t="s">
        <v>130</v>
      </c>
      <c r="H6585" s="208" t="s">
        <v>2421</v>
      </c>
      <c r="I6585" s="208"/>
      <c r="J6585" s="209"/>
      <c r="K6585" s="209"/>
      <c r="L6585" s="209"/>
      <c r="M6585" s="209"/>
      <c r="N6585" s="209"/>
      <c r="O6585" s="209"/>
      <c r="P6585" s="209"/>
      <c r="Q6585" s="209"/>
      <c r="R6585" s="209"/>
      <c r="S6585" s="209"/>
      <c r="T6585" s="209"/>
      <c r="U6585" s="451"/>
      <c r="V6585" s="451"/>
      <c r="W6585" s="451"/>
      <c r="X6585" s="451"/>
      <c r="Y6585" s="451"/>
      <c r="Z6585" s="451"/>
      <c r="AA6585" s="451"/>
      <c r="AB6585" s="451"/>
      <c r="AC6585" s="451"/>
      <c r="AD6585" s="451"/>
      <c r="AE6585" s="451"/>
      <c r="AF6585" s="451"/>
      <c r="AG6585" s="451"/>
      <c r="AH6585" s="451"/>
      <c r="AI6585" s="451"/>
      <c r="AJ6585" s="451"/>
      <c r="AK6585" s="451"/>
      <c r="AL6585" s="451"/>
      <c r="AM6585" s="451"/>
      <c r="AN6585" s="451"/>
      <c r="AO6585" s="451"/>
      <c r="AP6585" s="451"/>
      <c r="AQ6585" s="451"/>
      <c r="AR6585" s="451"/>
      <c r="AS6585" s="451"/>
      <c r="AT6585" s="451"/>
      <c r="AU6585" s="451"/>
      <c r="AV6585" s="451"/>
      <c r="AW6585" s="451"/>
      <c r="AX6585" s="451"/>
      <c r="AY6585" s="451"/>
      <c r="AZ6585" s="451"/>
      <c r="BA6585" s="451"/>
      <c r="BB6585" s="451"/>
      <c r="BC6585" s="451"/>
      <c r="BD6585" s="451"/>
      <c r="BE6585" s="451"/>
      <c r="BF6585" s="451"/>
      <c r="BG6585" s="451"/>
      <c r="BH6585" s="451"/>
      <c r="BI6585" s="451"/>
      <c r="BJ6585" s="451"/>
      <c r="BK6585" s="451"/>
      <c r="BL6585" s="451"/>
      <c r="BM6585" s="451"/>
      <c r="BN6585" s="451"/>
      <c r="BO6585" s="451"/>
      <c r="BP6585" s="451"/>
      <c r="BQ6585" s="451"/>
      <c r="BR6585" s="451"/>
      <c r="BS6585" s="451"/>
      <c r="BT6585" s="451"/>
      <c r="BU6585" s="451"/>
      <c r="BV6585" s="451"/>
      <c r="BW6585" s="451"/>
      <c r="BX6585" s="451"/>
      <c r="BY6585" s="451"/>
      <c r="BZ6585" s="451"/>
      <c r="CA6585" s="451"/>
      <c r="CB6585" s="451"/>
      <c r="CC6585" s="451"/>
      <c r="CD6585" s="451"/>
      <c r="CE6585" s="451"/>
      <c r="CF6585" s="451"/>
      <c r="CG6585" s="451"/>
      <c r="CH6585" s="451"/>
      <c r="CI6585" s="451"/>
      <c r="CJ6585" s="451"/>
      <c r="CK6585" s="451"/>
      <c r="CL6585" s="451"/>
      <c r="CM6585" s="451"/>
      <c r="CN6585" s="451"/>
      <c r="CO6585" s="451"/>
      <c r="CP6585" s="451"/>
      <c r="CQ6585" s="451"/>
      <c r="CR6585" s="451"/>
      <c r="CS6585" s="451"/>
      <c r="CT6585" s="451"/>
      <c r="CU6585" s="451"/>
      <c r="CV6585" s="451"/>
      <c r="CW6585" s="451"/>
      <c r="CX6585" s="451"/>
      <c r="CY6585" s="451"/>
      <c r="CZ6585" s="451"/>
      <c r="DA6585" s="451"/>
      <c r="DB6585" s="451"/>
      <c r="DC6585" s="451"/>
      <c r="DD6585" s="451"/>
      <c r="DE6585" s="451"/>
      <c r="DF6585" s="451"/>
      <c r="DG6585" s="451"/>
      <c r="DH6585" s="451"/>
      <c r="DI6585" s="451"/>
      <c r="DJ6585" s="451"/>
      <c r="DK6585" s="451"/>
      <c r="DL6585" s="451"/>
      <c r="DM6585" s="451"/>
      <c r="DN6585" s="451"/>
      <c r="DO6585" s="451"/>
      <c r="DP6585" s="451"/>
      <c r="DQ6585" s="451"/>
      <c r="DR6585" s="451"/>
      <c r="DS6585" s="451"/>
      <c r="DT6585" s="451"/>
      <c r="DU6585" s="451"/>
      <c r="DV6585" s="451"/>
      <c r="DW6585" s="451"/>
      <c r="DX6585" s="451"/>
      <c r="DY6585" s="451"/>
      <c r="DZ6585" s="451"/>
      <c r="EA6585" s="451"/>
      <c r="EB6585" s="451"/>
      <c r="EC6585" s="451"/>
      <c r="ED6585" s="451"/>
      <c r="EE6585" s="451"/>
      <c r="EF6585" s="451"/>
      <c r="EG6585" s="451"/>
      <c r="EH6585" s="451"/>
      <c r="EI6585" s="451"/>
      <c r="EJ6585" s="451"/>
      <c r="EK6585" s="451"/>
      <c r="EL6585" s="451"/>
      <c r="EM6585" s="451"/>
      <c r="EN6585" s="451"/>
      <c r="EO6585" s="451"/>
      <c r="EP6585" s="451"/>
      <c r="EQ6585" s="451"/>
      <c r="ER6585" s="451"/>
      <c r="ES6585" s="451"/>
    </row>
    <row r="6586" spans="1:149" ht="15" hidden="1" customHeight="1">
      <c r="A6586" s="468">
        <v>45562</v>
      </c>
      <c r="B6586" s="208" t="s">
        <v>5344</v>
      </c>
      <c r="C6586" s="208" t="s">
        <v>27</v>
      </c>
      <c r="D6586" s="211">
        <v>-7665962.25</v>
      </c>
      <c r="E6586" s="212">
        <v>45536</v>
      </c>
      <c r="F6586" s="208" t="s">
        <v>109</v>
      </c>
      <c r="G6586" s="208" t="s">
        <v>2809</v>
      </c>
      <c r="H6586" s="208" t="s">
        <v>2421</v>
      </c>
      <c r="I6586" s="208"/>
      <c r="J6586" s="209"/>
      <c r="K6586" s="209"/>
      <c r="L6586" s="209"/>
      <c r="M6586" s="209"/>
      <c r="N6586" s="209"/>
      <c r="O6586" s="209"/>
      <c r="P6586" s="209"/>
      <c r="Q6586" s="209"/>
      <c r="R6586" s="209"/>
      <c r="S6586" s="209"/>
      <c r="T6586" s="209"/>
      <c r="U6586" s="451"/>
      <c r="V6586" s="451"/>
      <c r="W6586" s="451"/>
      <c r="X6586" s="451"/>
      <c r="Y6586" s="451"/>
      <c r="Z6586" s="451"/>
      <c r="AA6586" s="451"/>
      <c r="AB6586" s="451"/>
      <c r="AC6586" s="451"/>
      <c r="AD6586" s="451"/>
      <c r="AE6586" s="451"/>
      <c r="AF6586" s="451"/>
      <c r="AG6586" s="451"/>
      <c r="AH6586" s="451"/>
      <c r="AI6586" s="451"/>
      <c r="AJ6586" s="451"/>
      <c r="AK6586" s="451"/>
      <c r="AL6586" s="451"/>
      <c r="AM6586" s="451"/>
      <c r="AN6586" s="451"/>
      <c r="AO6586" s="451"/>
      <c r="AP6586" s="451"/>
      <c r="AQ6586" s="451"/>
      <c r="AR6586" s="451"/>
      <c r="AS6586" s="451"/>
      <c r="AT6586" s="451"/>
      <c r="AU6586" s="451"/>
      <c r="AV6586" s="451"/>
      <c r="AW6586" s="451"/>
      <c r="AX6586" s="451"/>
      <c r="AY6586" s="451"/>
      <c r="AZ6586" s="451"/>
      <c r="BA6586" s="451"/>
      <c r="BB6586" s="451"/>
      <c r="BC6586" s="451"/>
      <c r="BD6586" s="451"/>
      <c r="BE6586" s="451"/>
      <c r="BF6586" s="451"/>
      <c r="BG6586" s="451"/>
      <c r="BH6586" s="451"/>
      <c r="BI6586" s="451"/>
      <c r="BJ6586" s="451"/>
      <c r="BK6586" s="451"/>
      <c r="BL6586" s="451"/>
      <c r="BM6586" s="451"/>
      <c r="BN6586" s="451"/>
      <c r="BO6586" s="451"/>
      <c r="BP6586" s="451"/>
      <c r="BQ6586" s="451"/>
      <c r="BR6586" s="451"/>
      <c r="BS6586" s="451"/>
      <c r="BT6586" s="451"/>
      <c r="BU6586" s="451"/>
      <c r="BV6586" s="451"/>
      <c r="BW6586" s="451"/>
      <c r="BX6586" s="451"/>
      <c r="BY6586" s="451"/>
      <c r="BZ6586" s="451"/>
      <c r="CA6586" s="451"/>
      <c r="CB6586" s="451"/>
      <c r="CC6586" s="451"/>
      <c r="CD6586" s="451"/>
      <c r="CE6586" s="451"/>
      <c r="CF6586" s="451"/>
      <c r="CG6586" s="451"/>
      <c r="CH6586" s="451"/>
      <c r="CI6586" s="451"/>
      <c r="CJ6586" s="451"/>
      <c r="CK6586" s="451"/>
      <c r="CL6586" s="451"/>
      <c r="CM6586" s="451"/>
      <c r="CN6586" s="451"/>
      <c r="CO6586" s="451"/>
      <c r="CP6586" s="451"/>
      <c r="CQ6586" s="451"/>
      <c r="CR6586" s="451"/>
      <c r="CS6586" s="451"/>
      <c r="CT6586" s="451"/>
      <c r="CU6586" s="451"/>
      <c r="CV6586" s="451"/>
      <c r="CW6586" s="451"/>
      <c r="CX6586" s="451"/>
      <c r="CY6586" s="451"/>
      <c r="CZ6586" s="451"/>
      <c r="DA6586" s="451"/>
      <c r="DB6586" s="451"/>
      <c r="DC6586" s="451"/>
      <c r="DD6586" s="451"/>
      <c r="DE6586" s="451"/>
      <c r="DF6586" s="451"/>
      <c r="DG6586" s="451"/>
      <c r="DH6586" s="451"/>
      <c r="DI6586" s="451"/>
      <c r="DJ6586" s="451"/>
      <c r="DK6586" s="451"/>
      <c r="DL6586" s="451"/>
      <c r="DM6586" s="451"/>
      <c r="DN6586" s="451"/>
      <c r="DO6586" s="451"/>
      <c r="DP6586" s="451"/>
      <c r="DQ6586" s="451"/>
      <c r="DR6586" s="451"/>
      <c r="DS6586" s="451"/>
      <c r="DT6586" s="451"/>
      <c r="DU6586" s="451"/>
      <c r="DV6586" s="451"/>
      <c r="DW6586" s="451"/>
      <c r="DX6586" s="451"/>
      <c r="DY6586" s="451"/>
      <c r="DZ6586" s="451"/>
      <c r="EA6586" s="451"/>
      <c r="EB6586" s="451"/>
      <c r="EC6586" s="451"/>
      <c r="ED6586" s="451"/>
      <c r="EE6586" s="451"/>
      <c r="EF6586" s="451"/>
      <c r="EG6586" s="451"/>
      <c r="EH6586" s="451"/>
      <c r="EI6586" s="451"/>
      <c r="EJ6586" s="451"/>
      <c r="EK6586" s="451"/>
      <c r="EL6586" s="451"/>
      <c r="EM6586" s="451"/>
      <c r="EN6586" s="451"/>
      <c r="EO6586" s="451"/>
      <c r="EP6586" s="451"/>
      <c r="EQ6586" s="451"/>
      <c r="ER6586" s="451"/>
      <c r="ES6586" s="451"/>
    </row>
    <row r="6587" spans="1:149" ht="15" hidden="1" customHeight="1">
      <c r="A6587" s="468">
        <v>45562</v>
      </c>
      <c r="B6587" s="208" t="s">
        <v>5345</v>
      </c>
      <c r="C6587" s="208" t="s">
        <v>27</v>
      </c>
      <c r="D6587" s="211">
        <v>-9054530</v>
      </c>
      <c r="E6587" s="212">
        <v>45536</v>
      </c>
      <c r="F6587" s="208" t="s">
        <v>130</v>
      </c>
      <c r="G6587" s="208" t="s">
        <v>130</v>
      </c>
      <c r="H6587" s="208" t="s">
        <v>2421</v>
      </c>
      <c r="I6587" s="208"/>
      <c r="J6587" s="209"/>
      <c r="K6587" s="209"/>
      <c r="L6587" s="209"/>
      <c r="M6587" s="209"/>
      <c r="N6587" s="209"/>
      <c r="O6587" s="209"/>
      <c r="P6587" s="209"/>
      <c r="Q6587" s="209"/>
      <c r="R6587" s="209"/>
      <c r="S6587" s="209"/>
      <c r="T6587" s="209"/>
      <c r="U6587" s="451"/>
      <c r="V6587" s="451"/>
      <c r="W6587" s="451"/>
      <c r="X6587" s="451"/>
      <c r="Y6587" s="451"/>
      <c r="Z6587" s="451"/>
      <c r="AA6587" s="451"/>
      <c r="AB6587" s="451"/>
      <c r="AC6587" s="451"/>
      <c r="AD6587" s="451"/>
      <c r="AE6587" s="451"/>
      <c r="AF6587" s="451"/>
      <c r="AG6587" s="451"/>
      <c r="AH6587" s="451"/>
      <c r="AI6587" s="451"/>
      <c r="AJ6587" s="451"/>
      <c r="AK6587" s="451"/>
      <c r="AL6587" s="451"/>
      <c r="AM6587" s="451"/>
      <c r="AN6587" s="451"/>
      <c r="AO6587" s="451"/>
      <c r="AP6587" s="451"/>
      <c r="AQ6587" s="451"/>
      <c r="AR6587" s="451"/>
      <c r="AS6587" s="451"/>
      <c r="AT6587" s="451"/>
      <c r="AU6587" s="451"/>
      <c r="AV6587" s="451"/>
      <c r="AW6587" s="451"/>
      <c r="AX6587" s="451"/>
      <c r="AY6587" s="451"/>
      <c r="AZ6587" s="451"/>
      <c r="BA6587" s="451"/>
      <c r="BB6587" s="451"/>
      <c r="BC6587" s="451"/>
      <c r="BD6587" s="451"/>
      <c r="BE6587" s="451"/>
      <c r="BF6587" s="451"/>
      <c r="BG6587" s="451"/>
      <c r="BH6587" s="451"/>
      <c r="BI6587" s="451"/>
      <c r="BJ6587" s="451"/>
      <c r="BK6587" s="451"/>
      <c r="BL6587" s="451"/>
      <c r="BM6587" s="451"/>
      <c r="BN6587" s="451"/>
      <c r="BO6587" s="451"/>
      <c r="BP6587" s="451"/>
      <c r="BQ6587" s="451"/>
      <c r="BR6587" s="451"/>
      <c r="BS6587" s="451"/>
      <c r="BT6587" s="451"/>
      <c r="BU6587" s="451"/>
      <c r="BV6587" s="451"/>
      <c r="BW6587" s="451"/>
      <c r="BX6587" s="451"/>
      <c r="BY6587" s="451"/>
      <c r="BZ6587" s="451"/>
      <c r="CA6587" s="451"/>
      <c r="CB6587" s="451"/>
      <c r="CC6587" s="451"/>
      <c r="CD6587" s="451"/>
      <c r="CE6587" s="451"/>
      <c r="CF6587" s="451"/>
      <c r="CG6587" s="451"/>
      <c r="CH6587" s="451"/>
      <c r="CI6587" s="451"/>
      <c r="CJ6587" s="451"/>
      <c r="CK6587" s="451"/>
      <c r="CL6587" s="451"/>
      <c r="CM6587" s="451"/>
      <c r="CN6587" s="451"/>
      <c r="CO6587" s="451"/>
      <c r="CP6587" s="451"/>
      <c r="CQ6587" s="451"/>
      <c r="CR6587" s="451"/>
      <c r="CS6587" s="451"/>
      <c r="CT6587" s="451"/>
      <c r="CU6587" s="451"/>
      <c r="CV6587" s="451"/>
      <c r="CW6587" s="451"/>
      <c r="CX6587" s="451"/>
      <c r="CY6587" s="451"/>
      <c r="CZ6587" s="451"/>
      <c r="DA6587" s="451"/>
      <c r="DB6587" s="451"/>
      <c r="DC6587" s="451"/>
      <c r="DD6587" s="451"/>
      <c r="DE6587" s="451"/>
      <c r="DF6587" s="451"/>
      <c r="DG6587" s="451"/>
      <c r="DH6587" s="451"/>
      <c r="DI6587" s="451"/>
      <c r="DJ6587" s="451"/>
      <c r="DK6587" s="451"/>
      <c r="DL6587" s="451"/>
      <c r="DM6587" s="451"/>
      <c r="DN6587" s="451"/>
      <c r="DO6587" s="451"/>
      <c r="DP6587" s="451"/>
      <c r="DQ6587" s="451"/>
      <c r="DR6587" s="451"/>
      <c r="DS6587" s="451"/>
      <c r="DT6587" s="451"/>
      <c r="DU6587" s="451"/>
      <c r="DV6587" s="451"/>
      <c r="DW6587" s="451"/>
      <c r="DX6587" s="451"/>
      <c r="DY6587" s="451"/>
      <c r="DZ6587" s="451"/>
      <c r="EA6587" s="451"/>
      <c r="EB6587" s="451"/>
      <c r="EC6587" s="451"/>
      <c r="ED6587" s="451"/>
      <c r="EE6587" s="451"/>
      <c r="EF6587" s="451"/>
      <c r="EG6587" s="451"/>
      <c r="EH6587" s="451"/>
      <c r="EI6587" s="451"/>
      <c r="EJ6587" s="451"/>
      <c r="EK6587" s="451"/>
      <c r="EL6587" s="451"/>
      <c r="EM6587" s="451"/>
      <c r="EN6587" s="451"/>
      <c r="EO6587" s="451"/>
      <c r="EP6587" s="451"/>
      <c r="EQ6587" s="451"/>
      <c r="ER6587" s="451"/>
      <c r="ES6587" s="451"/>
    </row>
    <row r="6588" spans="1:149" ht="15" hidden="1" customHeight="1">
      <c r="A6588" s="468">
        <v>45562</v>
      </c>
      <c r="B6588" s="208" t="s">
        <v>5346</v>
      </c>
      <c r="C6588" s="208" t="s">
        <v>27</v>
      </c>
      <c r="D6588" s="211">
        <v>-699240</v>
      </c>
      <c r="E6588" s="212">
        <v>45536</v>
      </c>
      <c r="F6588" s="208" t="s">
        <v>130</v>
      </c>
      <c r="G6588" s="208" t="s">
        <v>130</v>
      </c>
      <c r="H6588" s="208" t="s">
        <v>2421</v>
      </c>
      <c r="I6588" s="208"/>
      <c r="J6588" s="209"/>
      <c r="K6588" s="209"/>
      <c r="L6588" s="209"/>
      <c r="M6588" s="209"/>
      <c r="N6588" s="209"/>
      <c r="O6588" s="209"/>
      <c r="P6588" s="209"/>
      <c r="Q6588" s="209"/>
      <c r="R6588" s="209"/>
      <c r="S6588" s="209"/>
      <c r="T6588" s="209"/>
      <c r="U6588" s="451"/>
      <c r="V6588" s="451"/>
      <c r="W6588" s="451"/>
      <c r="X6588" s="451"/>
      <c r="Y6588" s="451"/>
      <c r="Z6588" s="451"/>
      <c r="AA6588" s="451"/>
      <c r="AB6588" s="451"/>
      <c r="AC6588" s="451"/>
      <c r="AD6588" s="451"/>
      <c r="AE6588" s="451"/>
      <c r="AF6588" s="451"/>
      <c r="AG6588" s="451"/>
      <c r="AH6588" s="451"/>
      <c r="AI6588" s="451"/>
      <c r="AJ6588" s="451"/>
      <c r="AK6588" s="451"/>
      <c r="AL6588" s="451"/>
      <c r="AM6588" s="451"/>
      <c r="AN6588" s="451"/>
      <c r="AO6588" s="451"/>
      <c r="AP6588" s="451"/>
      <c r="AQ6588" s="451"/>
      <c r="AR6588" s="451"/>
      <c r="AS6588" s="451"/>
      <c r="AT6588" s="451"/>
      <c r="AU6588" s="451"/>
      <c r="AV6588" s="451"/>
      <c r="AW6588" s="451"/>
      <c r="AX6588" s="451"/>
      <c r="AY6588" s="451"/>
      <c r="AZ6588" s="451"/>
      <c r="BA6588" s="451"/>
      <c r="BB6588" s="451"/>
      <c r="BC6588" s="451"/>
      <c r="BD6588" s="451"/>
      <c r="BE6588" s="451"/>
      <c r="BF6588" s="451"/>
      <c r="BG6588" s="451"/>
      <c r="BH6588" s="451"/>
      <c r="BI6588" s="451"/>
      <c r="BJ6588" s="451"/>
      <c r="BK6588" s="451"/>
      <c r="BL6588" s="451"/>
      <c r="BM6588" s="451"/>
      <c r="BN6588" s="451"/>
      <c r="BO6588" s="451"/>
      <c r="BP6588" s="451"/>
      <c r="BQ6588" s="451"/>
      <c r="BR6588" s="451"/>
      <c r="BS6588" s="451"/>
      <c r="BT6588" s="451"/>
      <c r="BU6588" s="451"/>
      <c r="BV6588" s="451"/>
      <c r="BW6588" s="451"/>
      <c r="BX6588" s="451"/>
      <c r="BY6588" s="451"/>
      <c r="BZ6588" s="451"/>
      <c r="CA6588" s="451"/>
      <c r="CB6588" s="451"/>
      <c r="CC6588" s="451"/>
      <c r="CD6588" s="451"/>
      <c r="CE6588" s="451"/>
      <c r="CF6588" s="451"/>
      <c r="CG6588" s="451"/>
      <c r="CH6588" s="451"/>
      <c r="CI6588" s="451"/>
      <c r="CJ6588" s="451"/>
      <c r="CK6588" s="451"/>
      <c r="CL6588" s="451"/>
      <c r="CM6588" s="451"/>
      <c r="CN6588" s="451"/>
      <c r="CO6588" s="451"/>
      <c r="CP6588" s="451"/>
      <c r="CQ6588" s="451"/>
      <c r="CR6588" s="451"/>
      <c r="CS6588" s="451"/>
      <c r="CT6588" s="451"/>
      <c r="CU6588" s="451"/>
      <c r="CV6588" s="451"/>
      <c r="CW6588" s="451"/>
      <c r="CX6588" s="451"/>
      <c r="CY6588" s="451"/>
      <c r="CZ6588" s="451"/>
      <c r="DA6588" s="451"/>
      <c r="DB6588" s="451"/>
      <c r="DC6588" s="451"/>
      <c r="DD6588" s="451"/>
      <c r="DE6588" s="451"/>
      <c r="DF6588" s="451"/>
      <c r="DG6588" s="451"/>
      <c r="DH6588" s="451"/>
      <c r="DI6588" s="451"/>
      <c r="DJ6588" s="451"/>
      <c r="DK6588" s="451"/>
      <c r="DL6588" s="451"/>
      <c r="DM6588" s="451"/>
      <c r="DN6588" s="451"/>
      <c r="DO6588" s="451"/>
      <c r="DP6588" s="451"/>
      <c r="DQ6588" s="451"/>
      <c r="DR6588" s="451"/>
      <c r="DS6588" s="451"/>
      <c r="DT6588" s="451"/>
      <c r="DU6588" s="451"/>
      <c r="DV6588" s="451"/>
      <c r="DW6588" s="451"/>
      <c r="DX6588" s="451"/>
      <c r="DY6588" s="451"/>
      <c r="DZ6588" s="451"/>
      <c r="EA6588" s="451"/>
      <c r="EB6588" s="451"/>
      <c r="EC6588" s="451"/>
      <c r="ED6588" s="451"/>
      <c r="EE6588" s="451"/>
      <c r="EF6588" s="451"/>
      <c r="EG6588" s="451"/>
      <c r="EH6588" s="451"/>
      <c r="EI6588" s="451"/>
      <c r="EJ6588" s="451"/>
      <c r="EK6588" s="451"/>
      <c r="EL6588" s="451"/>
      <c r="EM6588" s="451"/>
      <c r="EN6588" s="451"/>
      <c r="EO6588" s="451"/>
      <c r="EP6588" s="451"/>
      <c r="EQ6588" s="451"/>
      <c r="ER6588" s="451"/>
      <c r="ES6588" s="451"/>
    </row>
    <row r="6589" spans="1:149" ht="15" hidden="1" customHeight="1">
      <c r="A6589" s="468">
        <v>45562</v>
      </c>
      <c r="B6589" s="208" t="s">
        <v>5347</v>
      </c>
      <c r="C6589" s="208" t="s">
        <v>27</v>
      </c>
      <c r="D6589" s="211">
        <v>-635800</v>
      </c>
      <c r="E6589" s="212">
        <v>45536</v>
      </c>
      <c r="F6589" s="208" t="s">
        <v>2531</v>
      </c>
      <c r="G6589" s="201" t="s">
        <v>1489</v>
      </c>
      <c r="H6589" s="208" t="s">
        <v>147</v>
      </c>
      <c r="I6589" s="208"/>
      <c r="J6589" s="209"/>
      <c r="K6589" s="209"/>
      <c r="L6589" s="209"/>
      <c r="M6589" s="209"/>
      <c r="N6589" s="209"/>
      <c r="O6589" s="209"/>
      <c r="P6589" s="209"/>
      <c r="Q6589" s="209"/>
      <c r="R6589" s="209"/>
      <c r="S6589" s="209"/>
      <c r="T6589" s="209"/>
      <c r="U6589" s="451"/>
      <c r="V6589" s="451"/>
      <c r="W6589" s="451"/>
      <c r="X6589" s="451"/>
      <c r="Y6589" s="451"/>
      <c r="Z6589" s="451"/>
      <c r="AA6589" s="451"/>
      <c r="AB6589" s="451"/>
      <c r="AC6589" s="451"/>
      <c r="AD6589" s="451"/>
      <c r="AE6589" s="451"/>
      <c r="AF6589" s="451"/>
      <c r="AG6589" s="451"/>
      <c r="AH6589" s="451"/>
      <c r="AI6589" s="451"/>
      <c r="AJ6589" s="451"/>
      <c r="AK6589" s="451"/>
      <c r="AL6589" s="451"/>
      <c r="AM6589" s="451"/>
      <c r="AN6589" s="451"/>
      <c r="AO6589" s="451"/>
      <c r="AP6589" s="451"/>
      <c r="AQ6589" s="451"/>
      <c r="AR6589" s="451"/>
      <c r="AS6589" s="451"/>
      <c r="AT6589" s="451"/>
      <c r="AU6589" s="451"/>
      <c r="AV6589" s="451"/>
      <c r="AW6589" s="451"/>
      <c r="AX6589" s="451"/>
      <c r="AY6589" s="451"/>
      <c r="AZ6589" s="451"/>
      <c r="BA6589" s="451"/>
      <c r="BB6589" s="451"/>
      <c r="BC6589" s="451"/>
      <c r="BD6589" s="451"/>
      <c r="BE6589" s="451"/>
      <c r="BF6589" s="451"/>
      <c r="BG6589" s="451"/>
      <c r="BH6589" s="451"/>
      <c r="BI6589" s="451"/>
      <c r="BJ6589" s="451"/>
      <c r="BK6589" s="451"/>
      <c r="BL6589" s="451"/>
      <c r="BM6589" s="451"/>
      <c r="BN6589" s="451"/>
      <c r="BO6589" s="451"/>
      <c r="BP6589" s="451"/>
      <c r="BQ6589" s="451"/>
      <c r="BR6589" s="451"/>
      <c r="BS6589" s="451"/>
      <c r="BT6589" s="451"/>
      <c r="BU6589" s="451"/>
      <c r="BV6589" s="451"/>
      <c r="BW6589" s="451"/>
      <c r="BX6589" s="451"/>
      <c r="BY6589" s="451"/>
      <c r="BZ6589" s="451"/>
      <c r="CA6589" s="451"/>
      <c r="CB6589" s="451"/>
      <c r="CC6589" s="451"/>
      <c r="CD6589" s="451"/>
      <c r="CE6589" s="451"/>
      <c r="CF6589" s="451"/>
      <c r="CG6589" s="451"/>
      <c r="CH6589" s="451"/>
      <c r="CI6589" s="451"/>
      <c r="CJ6589" s="451"/>
      <c r="CK6589" s="451"/>
      <c r="CL6589" s="451"/>
      <c r="CM6589" s="451"/>
      <c r="CN6589" s="451"/>
      <c r="CO6589" s="451"/>
      <c r="CP6589" s="451"/>
      <c r="CQ6589" s="451"/>
      <c r="CR6589" s="451"/>
      <c r="CS6589" s="451"/>
      <c r="CT6589" s="451"/>
      <c r="CU6589" s="451"/>
      <c r="CV6589" s="451"/>
      <c r="CW6589" s="451"/>
      <c r="CX6589" s="451"/>
      <c r="CY6589" s="451"/>
      <c r="CZ6589" s="451"/>
      <c r="DA6589" s="451"/>
      <c r="DB6589" s="451"/>
      <c r="DC6589" s="451"/>
      <c r="DD6589" s="451"/>
      <c r="DE6589" s="451"/>
      <c r="DF6589" s="451"/>
      <c r="DG6589" s="451"/>
      <c r="DH6589" s="451"/>
      <c r="DI6589" s="451"/>
      <c r="DJ6589" s="451"/>
      <c r="DK6589" s="451"/>
      <c r="DL6589" s="451"/>
      <c r="DM6589" s="451"/>
      <c r="DN6589" s="451"/>
      <c r="DO6589" s="451"/>
      <c r="DP6589" s="451"/>
      <c r="DQ6589" s="451"/>
      <c r="DR6589" s="451"/>
      <c r="DS6589" s="451"/>
      <c r="DT6589" s="451"/>
      <c r="DU6589" s="451"/>
      <c r="DV6589" s="451"/>
      <c r="DW6589" s="451"/>
      <c r="DX6589" s="451"/>
      <c r="DY6589" s="451"/>
      <c r="DZ6589" s="451"/>
      <c r="EA6589" s="451"/>
      <c r="EB6589" s="451"/>
      <c r="EC6589" s="451"/>
      <c r="ED6589" s="451"/>
      <c r="EE6589" s="451"/>
      <c r="EF6589" s="451"/>
      <c r="EG6589" s="451"/>
      <c r="EH6589" s="451"/>
      <c r="EI6589" s="451"/>
      <c r="EJ6589" s="451"/>
      <c r="EK6589" s="451"/>
      <c r="EL6589" s="451"/>
      <c r="EM6589" s="451"/>
      <c r="EN6589" s="451"/>
      <c r="EO6589" s="451"/>
      <c r="EP6589" s="451"/>
      <c r="EQ6589" s="451"/>
      <c r="ER6589" s="451"/>
      <c r="ES6589" s="451"/>
    </row>
    <row r="6590" spans="1:149" ht="15" hidden="1" customHeight="1">
      <c r="A6590" s="468">
        <v>45562</v>
      </c>
      <c r="B6590" s="208" t="s">
        <v>5348</v>
      </c>
      <c r="C6590" s="208" t="s">
        <v>27</v>
      </c>
      <c r="D6590" s="211">
        <v>-313800</v>
      </c>
      <c r="E6590" s="212">
        <v>45536</v>
      </c>
      <c r="F6590" s="208" t="s">
        <v>2531</v>
      </c>
      <c r="G6590" s="201" t="s">
        <v>1489</v>
      </c>
      <c r="H6590" s="201" t="s">
        <v>508</v>
      </c>
      <c r="I6590" s="208"/>
      <c r="J6590" s="209"/>
      <c r="K6590" s="209"/>
      <c r="L6590" s="209"/>
      <c r="M6590" s="209"/>
      <c r="N6590" s="209"/>
      <c r="O6590" s="209"/>
      <c r="P6590" s="209"/>
      <c r="Q6590" s="209"/>
      <c r="R6590" s="209"/>
      <c r="S6590" s="209"/>
      <c r="T6590" s="209"/>
      <c r="U6590" s="451"/>
      <c r="V6590" s="451"/>
      <c r="W6590" s="451"/>
      <c r="X6590" s="451"/>
      <c r="Y6590" s="451"/>
      <c r="Z6590" s="451"/>
      <c r="AA6590" s="451"/>
      <c r="AB6590" s="451"/>
      <c r="AC6590" s="451"/>
      <c r="AD6590" s="451"/>
      <c r="AE6590" s="451"/>
      <c r="AF6590" s="451"/>
      <c r="AG6590" s="451"/>
      <c r="AH6590" s="451"/>
      <c r="AI6590" s="451"/>
      <c r="AJ6590" s="451"/>
      <c r="AK6590" s="451"/>
      <c r="AL6590" s="451"/>
      <c r="AM6590" s="451"/>
      <c r="AN6590" s="451"/>
      <c r="AO6590" s="451"/>
      <c r="AP6590" s="451"/>
      <c r="AQ6590" s="451"/>
      <c r="AR6590" s="451"/>
      <c r="AS6590" s="451"/>
      <c r="AT6590" s="451"/>
      <c r="AU6590" s="451"/>
      <c r="AV6590" s="451"/>
      <c r="AW6590" s="451"/>
      <c r="AX6590" s="451"/>
      <c r="AY6590" s="451"/>
      <c r="AZ6590" s="451"/>
      <c r="BA6590" s="451"/>
      <c r="BB6590" s="451"/>
      <c r="BC6590" s="451"/>
      <c r="BD6590" s="451"/>
      <c r="BE6590" s="451"/>
      <c r="BF6590" s="451"/>
      <c r="BG6590" s="451"/>
      <c r="BH6590" s="451"/>
      <c r="BI6590" s="451"/>
      <c r="BJ6590" s="451"/>
      <c r="BK6590" s="451"/>
      <c r="BL6590" s="451"/>
      <c r="BM6590" s="451"/>
      <c r="BN6590" s="451"/>
      <c r="BO6590" s="451"/>
      <c r="BP6590" s="451"/>
      <c r="BQ6590" s="451"/>
      <c r="BR6590" s="451"/>
      <c r="BS6590" s="451"/>
      <c r="BT6590" s="451"/>
      <c r="BU6590" s="451"/>
      <c r="BV6590" s="451"/>
      <c r="BW6590" s="451"/>
      <c r="BX6590" s="451"/>
      <c r="BY6590" s="451"/>
      <c r="BZ6590" s="451"/>
      <c r="CA6590" s="451"/>
      <c r="CB6590" s="451"/>
      <c r="CC6590" s="451"/>
      <c r="CD6590" s="451"/>
      <c r="CE6590" s="451"/>
      <c r="CF6590" s="451"/>
      <c r="CG6590" s="451"/>
      <c r="CH6590" s="451"/>
      <c r="CI6590" s="451"/>
      <c r="CJ6590" s="451"/>
      <c r="CK6590" s="451"/>
      <c r="CL6590" s="451"/>
      <c r="CM6590" s="451"/>
      <c r="CN6590" s="451"/>
      <c r="CO6590" s="451"/>
      <c r="CP6590" s="451"/>
      <c r="CQ6590" s="451"/>
      <c r="CR6590" s="451"/>
      <c r="CS6590" s="451"/>
      <c r="CT6590" s="451"/>
      <c r="CU6590" s="451"/>
      <c r="CV6590" s="451"/>
      <c r="CW6590" s="451"/>
      <c r="CX6590" s="451"/>
      <c r="CY6590" s="451"/>
      <c r="CZ6590" s="451"/>
      <c r="DA6590" s="451"/>
      <c r="DB6590" s="451"/>
      <c r="DC6590" s="451"/>
      <c r="DD6590" s="451"/>
      <c r="DE6590" s="451"/>
      <c r="DF6590" s="451"/>
      <c r="DG6590" s="451"/>
      <c r="DH6590" s="451"/>
      <c r="DI6590" s="451"/>
      <c r="DJ6590" s="451"/>
      <c r="DK6590" s="451"/>
      <c r="DL6590" s="451"/>
      <c r="DM6590" s="451"/>
      <c r="DN6590" s="451"/>
      <c r="DO6590" s="451"/>
      <c r="DP6590" s="451"/>
      <c r="DQ6590" s="451"/>
      <c r="DR6590" s="451"/>
      <c r="DS6590" s="451"/>
      <c r="DT6590" s="451"/>
      <c r="DU6590" s="451"/>
      <c r="DV6590" s="451"/>
      <c r="DW6590" s="451"/>
      <c r="DX6590" s="451"/>
      <c r="DY6590" s="451"/>
      <c r="DZ6590" s="451"/>
      <c r="EA6590" s="451"/>
      <c r="EB6590" s="451"/>
      <c r="EC6590" s="451"/>
      <c r="ED6590" s="451"/>
      <c r="EE6590" s="451"/>
      <c r="EF6590" s="451"/>
      <c r="EG6590" s="451"/>
      <c r="EH6590" s="451"/>
      <c r="EI6590" s="451"/>
      <c r="EJ6590" s="451"/>
      <c r="EK6590" s="451"/>
      <c r="EL6590" s="451"/>
      <c r="EM6590" s="451"/>
      <c r="EN6590" s="451"/>
      <c r="EO6590" s="451"/>
      <c r="EP6590" s="451"/>
      <c r="EQ6590" s="451"/>
      <c r="ER6590" s="451"/>
      <c r="ES6590" s="451"/>
    </row>
    <row r="6591" spans="1:149" ht="15" hidden="1" customHeight="1">
      <c r="A6591" s="468">
        <v>45562</v>
      </c>
      <c r="B6591" s="208" t="s">
        <v>5348</v>
      </c>
      <c r="C6591" s="208" t="s">
        <v>27</v>
      </c>
      <c r="D6591" s="211">
        <v>-313800</v>
      </c>
      <c r="E6591" s="212">
        <v>45536</v>
      </c>
      <c r="F6591" s="208" t="s">
        <v>2531</v>
      </c>
      <c r="G6591" s="208" t="s">
        <v>4294</v>
      </c>
      <c r="H6591" s="201" t="s">
        <v>508</v>
      </c>
      <c r="I6591" s="208"/>
      <c r="J6591" s="209"/>
      <c r="K6591" s="209"/>
      <c r="L6591" s="209"/>
      <c r="M6591" s="209"/>
      <c r="N6591" s="209"/>
      <c r="O6591" s="209"/>
      <c r="P6591" s="209"/>
      <c r="Q6591" s="209"/>
      <c r="R6591" s="209"/>
      <c r="S6591" s="209"/>
      <c r="T6591" s="209"/>
      <c r="U6591" s="451"/>
      <c r="V6591" s="451"/>
      <c r="W6591" s="451"/>
      <c r="X6591" s="451"/>
      <c r="Y6591" s="451"/>
      <c r="Z6591" s="451"/>
      <c r="AA6591" s="451"/>
      <c r="AB6591" s="451"/>
      <c r="AC6591" s="451"/>
      <c r="AD6591" s="451"/>
      <c r="AE6591" s="451"/>
      <c r="AF6591" s="451"/>
      <c r="AG6591" s="451"/>
      <c r="AH6591" s="451"/>
      <c r="AI6591" s="451"/>
      <c r="AJ6591" s="451"/>
      <c r="AK6591" s="451"/>
      <c r="AL6591" s="451"/>
      <c r="AM6591" s="451"/>
      <c r="AN6591" s="451"/>
      <c r="AO6591" s="451"/>
      <c r="AP6591" s="451"/>
      <c r="AQ6591" s="451"/>
      <c r="AR6591" s="451"/>
      <c r="AS6591" s="451"/>
      <c r="AT6591" s="451"/>
      <c r="AU6591" s="451"/>
      <c r="AV6591" s="451"/>
      <c r="AW6591" s="451"/>
      <c r="AX6591" s="451"/>
      <c r="AY6591" s="451"/>
      <c r="AZ6591" s="451"/>
      <c r="BA6591" s="451"/>
      <c r="BB6591" s="451"/>
      <c r="BC6591" s="451"/>
      <c r="BD6591" s="451"/>
      <c r="BE6591" s="451"/>
      <c r="BF6591" s="451"/>
      <c r="BG6591" s="451"/>
      <c r="BH6591" s="451"/>
      <c r="BI6591" s="451"/>
      <c r="BJ6591" s="451"/>
      <c r="BK6591" s="451"/>
      <c r="BL6591" s="451"/>
      <c r="BM6591" s="451"/>
      <c r="BN6591" s="451"/>
      <c r="BO6591" s="451"/>
      <c r="BP6591" s="451"/>
      <c r="BQ6591" s="451"/>
      <c r="BR6591" s="451"/>
      <c r="BS6591" s="451"/>
      <c r="BT6591" s="451"/>
      <c r="BU6591" s="451"/>
      <c r="BV6591" s="451"/>
      <c r="BW6591" s="451"/>
      <c r="BX6591" s="451"/>
      <c r="BY6591" s="451"/>
      <c r="BZ6591" s="451"/>
      <c r="CA6591" s="451"/>
      <c r="CB6591" s="451"/>
      <c r="CC6591" s="451"/>
      <c r="CD6591" s="451"/>
      <c r="CE6591" s="451"/>
      <c r="CF6591" s="451"/>
      <c r="CG6591" s="451"/>
      <c r="CH6591" s="451"/>
      <c r="CI6591" s="451"/>
      <c r="CJ6591" s="451"/>
      <c r="CK6591" s="451"/>
      <c r="CL6591" s="451"/>
      <c r="CM6591" s="451"/>
      <c r="CN6591" s="451"/>
      <c r="CO6591" s="451"/>
      <c r="CP6591" s="451"/>
      <c r="CQ6591" s="451"/>
      <c r="CR6591" s="451"/>
      <c r="CS6591" s="451"/>
      <c r="CT6591" s="451"/>
      <c r="CU6591" s="451"/>
      <c r="CV6591" s="451"/>
      <c r="CW6591" s="451"/>
      <c r="CX6591" s="451"/>
      <c r="CY6591" s="451"/>
      <c r="CZ6591" s="451"/>
      <c r="DA6591" s="451"/>
      <c r="DB6591" s="451"/>
      <c r="DC6591" s="451"/>
      <c r="DD6591" s="451"/>
      <c r="DE6591" s="451"/>
      <c r="DF6591" s="451"/>
      <c r="DG6591" s="451"/>
      <c r="DH6591" s="451"/>
      <c r="DI6591" s="451"/>
      <c r="DJ6591" s="451"/>
      <c r="DK6591" s="451"/>
      <c r="DL6591" s="451"/>
      <c r="DM6591" s="451"/>
      <c r="DN6591" s="451"/>
      <c r="DO6591" s="451"/>
      <c r="DP6591" s="451"/>
      <c r="DQ6591" s="451"/>
      <c r="DR6591" s="451"/>
      <c r="DS6591" s="451"/>
      <c r="DT6591" s="451"/>
      <c r="DU6591" s="451"/>
      <c r="DV6591" s="451"/>
      <c r="DW6591" s="451"/>
      <c r="DX6591" s="451"/>
      <c r="DY6591" s="451"/>
      <c r="DZ6591" s="451"/>
      <c r="EA6591" s="451"/>
      <c r="EB6591" s="451"/>
      <c r="EC6591" s="451"/>
      <c r="ED6591" s="451"/>
      <c r="EE6591" s="451"/>
      <c r="EF6591" s="451"/>
      <c r="EG6591" s="451"/>
      <c r="EH6591" s="451"/>
      <c r="EI6591" s="451"/>
      <c r="EJ6591" s="451"/>
      <c r="EK6591" s="451"/>
      <c r="EL6591" s="451"/>
      <c r="EM6591" s="451"/>
      <c r="EN6591" s="451"/>
      <c r="EO6591" s="451"/>
      <c r="EP6591" s="451"/>
      <c r="EQ6591" s="451"/>
      <c r="ER6591" s="451"/>
      <c r="ES6591" s="451"/>
    </row>
    <row r="6592" spans="1:149" ht="15" hidden="1" customHeight="1">
      <c r="A6592" s="468">
        <v>45562</v>
      </c>
      <c r="B6592" s="208" t="s">
        <v>5348</v>
      </c>
      <c r="C6592" s="208" t="s">
        <v>27</v>
      </c>
      <c r="D6592" s="211">
        <v>-313800</v>
      </c>
      <c r="E6592" s="212">
        <v>45536</v>
      </c>
      <c r="F6592" s="208" t="s">
        <v>109</v>
      </c>
      <c r="G6592" s="208" t="s">
        <v>3529</v>
      </c>
      <c r="H6592" s="201" t="s">
        <v>508</v>
      </c>
      <c r="I6592" s="208"/>
      <c r="J6592" s="209"/>
      <c r="K6592" s="209"/>
      <c r="L6592" s="209"/>
      <c r="M6592" s="209"/>
      <c r="N6592" s="209"/>
      <c r="O6592" s="209"/>
      <c r="P6592" s="209"/>
      <c r="Q6592" s="209"/>
      <c r="R6592" s="209"/>
      <c r="S6592" s="209"/>
      <c r="T6592" s="209"/>
      <c r="U6592" s="451"/>
      <c r="V6592" s="451"/>
      <c r="W6592" s="451"/>
      <c r="X6592" s="451"/>
      <c r="Y6592" s="451"/>
      <c r="Z6592" s="451"/>
      <c r="AA6592" s="451"/>
      <c r="AB6592" s="451"/>
      <c r="AC6592" s="451"/>
      <c r="AD6592" s="451"/>
      <c r="AE6592" s="451"/>
      <c r="AF6592" s="451"/>
      <c r="AG6592" s="451"/>
      <c r="AH6592" s="451"/>
      <c r="AI6592" s="451"/>
      <c r="AJ6592" s="451"/>
      <c r="AK6592" s="451"/>
      <c r="AL6592" s="451"/>
      <c r="AM6592" s="451"/>
      <c r="AN6592" s="451"/>
      <c r="AO6592" s="451"/>
      <c r="AP6592" s="451"/>
      <c r="AQ6592" s="451"/>
      <c r="AR6592" s="451"/>
      <c r="AS6592" s="451"/>
      <c r="AT6592" s="451"/>
      <c r="AU6592" s="451"/>
      <c r="AV6592" s="451"/>
      <c r="AW6592" s="451"/>
      <c r="AX6592" s="451"/>
      <c r="AY6592" s="451"/>
      <c r="AZ6592" s="451"/>
      <c r="BA6592" s="451"/>
      <c r="BB6592" s="451"/>
      <c r="BC6592" s="451"/>
      <c r="BD6592" s="451"/>
      <c r="BE6592" s="451"/>
      <c r="BF6592" s="451"/>
      <c r="BG6592" s="451"/>
      <c r="BH6592" s="451"/>
      <c r="BI6592" s="451"/>
      <c r="BJ6592" s="451"/>
      <c r="BK6592" s="451"/>
      <c r="BL6592" s="451"/>
      <c r="BM6592" s="451"/>
      <c r="BN6592" s="451"/>
      <c r="BO6592" s="451"/>
      <c r="BP6592" s="451"/>
      <c r="BQ6592" s="451"/>
      <c r="BR6592" s="451"/>
      <c r="BS6592" s="451"/>
      <c r="BT6592" s="451"/>
      <c r="BU6592" s="451"/>
      <c r="BV6592" s="451"/>
      <c r="BW6592" s="451"/>
      <c r="BX6592" s="451"/>
      <c r="BY6592" s="451"/>
      <c r="BZ6592" s="451"/>
      <c r="CA6592" s="451"/>
      <c r="CB6592" s="451"/>
      <c r="CC6592" s="451"/>
      <c r="CD6592" s="451"/>
      <c r="CE6592" s="451"/>
      <c r="CF6592" s="451"/>
      <c r="CG6592" s="451"/>
      <c r="CH6592" s="451"/>
      <c r="CI6592" s="451"/>
      <c r="CJ6592" s="451"/>
      <c r="CK6592" s="451"/>
      <c r="CL6592" s="451"/>
      <c r="CM6592" s="451"/>
      <c r="CN6592" s="451"/>
      <c r="CO6592" s="451"/>
      <c r="CP6592" s="451"/>
      <c r="CQ6592" s="451"/>
      <c r="CR6592" s="451"/>
      <c r="CS6592" s="451"/>
      <c r="CT6592" s="451"/>
      <c r="CU6592" s="451"/>
      <c r="CV6592" s="451"/>
      <c r="CW6592" s="451"/>
      <c r="CX6592" s="451"/>
      <c r="CY6592" s="451"/>
      <c r="CZ6592" s="451"/>
      <c r="DA6592" s="451"/>
      <c r="DB6592" s="451"/>
      <c r="DC6592" s="451"/>
      <c r="DD6592" s="451"/>
      <c r="DE6592" s="451"/>
      <c r="DF6592" s="451"/>
      <c r="DG6592" s="451"/>
      <c r="DH6592" s="451"/>
      <c r="DI6592" s="451"/>
      <c r="DJ6592" s="451"/>
      <c r="DK6592" s="451"/>
      <c r="DL6592" s="451"/>
      <c r="DM6592" s="451"/>
      <c r="DN6592" s="451"/>
      <c r="DO6592" s="451"/>
      <c r="DP6592" s="451"/>
      <c r="DQ6592" s="451"/>
      <c r="DR6592" s="451"/>
      <c r="DS6592" s="451"/>
      <c r="DT6592" s="451"/>
      <c r="DU6592" s="451"/>
      <c r="DV6592" s="451"/>
      <c r="DW6592" s="451"/>
      <c r="DX6592" s="451"/>
      <c r="DY6592" s="451"/>
      <c r="DZ6592" s="451"/>
      <c r="EA6592" s="451"/>
      <c r="EB6592" s="451"/>
      <c r="EC6592" s="451"/>
      <c r="ED6592" s="451"/>
      <c r="EE6592" s="451"/>
      <c r="EF6592" s="451"/>
      <c r="EG6592" s="451"/>
      <c r="EH6592" s="451"/>
      <c r="EI6592" s="451"/>
      <c r="EJ6592" s="451"/>
      <c r="EK6592" s="451"/>
      <c r="EL6592" s="451"/>
      <c r="EM6592" s="451"/>
      <c r="EN6592" s="451"/>
      <c r="EO6592" s="451"/>
      <c r="EP6592" s="451"/>
      <c r="EQ6592" s="451"/>
      <c r="ER6592" s="451"/>
      <c r="ES6592" s="451"/>
    </row>
    <row r="6593" spans="1:149" ht="15" hidden="1" customHeight="1">
      <c r="A6593" s="468">
        <v>45562</v>
      </c>
      <c r="B6593" s="208" t="s">
        <v>5349</v>
      </c>
      <c r="C6593" s="208" t="s">
        <v>27</v>
      </c>
      <c r="D6593" s="211">
        <v>-1016000</v>
      </c>
      <c r="E6593" s="212">
        <v>45536</v>
      </c>
      <c r="F6593" s="208" t="s">
        <v>110</v>
      </c>
      <c r="G6593" s="208" t="s">
        <v>4399</v>
      </c>
      <c r="H6593" s="208" t="s">
        <v>147</v>
      </c>
      <c r="I6593" s="208"/>
      <c r="J6593" s="209"/>
      <c r="K6593" s="209"/>
      <c r="L6593" s="209"/>
      <c r="M6593" s="209"/>
      <c r="N6593" s="209"/>
      <c r="O6593" s="209"/>
      <c r="P6593" s="209"/>
      <c r="Q6593" s="209"/>
      <c r="R6593" s="209"/>
      <c r="S6593" s="209"/>
      <c r="T6593" s="209"/>
      <c r="U6593" s="451"/>
      <c r="V6593" s="451"/>
      <c r="W6593" s="451"/>
      <c r="X6593" s="451"/>
      <c r="Y6593" s="451"/>
      <c r="Z6593" s="451"/>
      <c r="AA6593" s="451"/>
      <c r="AB6593" s="451"/>
      <c r="AC6593" s="451"/>
      <c r="AD6593" s="451"/>
      <c r="AE6593" s="451"/>
      <c r="AF6593" s="451"/>
      <c r="AG6593" s="451"/>
      <c r="AH6593" s="451"/>
      <c r="AI6593" s="451"/>
      <c r="AJ6593" s="451"/>
      <c r="AK6593" s="451"/>
      <c r="AL6593" s="451"/>
      <c r="AM6593" s="451"/>
      <c r="AN6593" s="451"/>
      <c r="AO6593" s="451"/>
      <c r="AP6593" s="451"/>
      <c r="AQ6593" s="451"/>
      <c r="AR6593" s="451"/>
      <c r="AS6593" s="451"/>
      <c r="AT6593" s="451"/>
      <c r="AU6593" s="451"/>
      <c r="AV6593" s="451"/>
      <c r="AW6593" s="451"/>
      <c r="AX6593" s="451"/>
      <c r="AY6593" s="451"/>
      <c r="AZ6593" s="451"/>
      <c r="BA6593" s="451"/>
      <c r="BB6593" s="451"/>
      <c r="BC6593" s="451"/>
      <c r="BD6593" s="451"/>
      <c r="BE6593" s="451"/>
      <c r="BF6593" s="451"/>
      <c r="BG6593" s="451"/>
      <c r="BH6593" s="451"/>
      <c r="BI6593" s="451"/>
      <c r="BJ6593" s="451"/>
      <c r="BK6593" s="451"/>
      <c r="BL6593" s="451"/>
      <c r="BM6593" s="451"/>
      <c r="BN6593" s="451"/>
      <c r="BO6593" s="451"/>
      <c r="BP6593" s="451"/>
      <c r="BQ6593" s="451"/>
      <c r="BR6593" s="451"/>
      <c r="BS6593" s="451"/>
      <c r="BT6593" s="451"/>
      <c r="BU6593" s="451"/>
      <c r="BV6593" s="451"/>
      <c r="BW6593" s="451"/>
      <c r="BX6593" s="451"/>
      <c r="BY6593" s="451"/>
      <c r="BZ6593" s="451"/>
      <c r="CA6593" s="451"/>
      <c r="CB6593" s="451"/>
      <c r="CC6593" s="451"/>
      <c r="CD6593" s="451"/>
      <c r="CE6593" s="451"/>
      <c r="CF6593" s="451"/>
      <c r="CG6593" s="451"/>
      <c r="CH6593" s="451"/>
      <c r="CI6593" s="451"/>
      <c r="CJ6593" s="451"/>
      <c r="CK6593" s="451"/>
      <c r="CL6593" s="451"/>
      <c r="CM6593" s="451"/>
      <c r="CN6593" s="451"/>
      <c r="CO6593" s="451"/>
      <c r="CP6593" s="451"/>
      <c r="CQ6593" s="451"/>
      <c r="CR6593" s="451"/>
      <c r="CS6593" s="451"/>
      <c r="CT6593" s="451"/>
      <c r="CU6593" s="451"/>
      <c r="CV6593" s="451"/>
      <c r="CW6593" s="451"/>
      <c r="CX6593" s="451"/>
      <c r="CY6593" s="451"/>
      <c r="CZ6593" s="451"/>
      <c r="DA6593" s="451"/>
      <c r="DB6593" s="451"/>
      <c r="DC6593" s="451"/>
      <c r="DD6593" s="451"/>
      <c r="DE6593" s="451"/>
      <c r="DF6593" s="451"/>
      <c r="DG6593" s="451"/>
      <c r="DH6593" s="451"/>
      <c r="DI6593" s="451"/>
      <c r="DJ6593" s="451"/>
      <c r="DK6593" s="451"/>
      <c r="DL6593" s="451"/>
      <c r="DM6593" s="451"/>
      <c r="DN6593" s="451"/>
      <c r="DO6593" s="451"/>
      <c r="DP6593" s="451"/>
      <c r="DQ6593" s="451"/>
      <c r="DR6593" s="451"/>
      <c r="DS6593" s="451"/>
      <c r="DT6593" s="451"/>
      <c r="DU6593" s="451"/>
      <c r="DV6593" s="451"/>
      <c r="DW6593" s="451"/>
      <c r="DX6593" s="451"/>
      <c r="DY6593" s="451"/>
      <c r="DZ6593" s="451"/>
      <c r="EA6593" s="451"/>
      <c r="EB6593" s="451"/>
      <c r="EC6593" s="451"/>
      <c r="ED6593" s="451"/>
      <c r="EE6593" s="451"/>
      <c r="EF6593" s="451"/>
      <c r="EG6593" s="451"/>
      <c r="EH6593" s="451"/>
      <c r="EI6593" s="451"/>
      <c r="EJ6593" s="451"/>
      <c r="EK6593" s="451"/>
      <c r="EL6593" s="451"/>
      <c r="EM6593" s="451"/>
      <c r="EN6593" s="451"/>
      <c r="EO6593" s="451"/>
      <c r="EP6593" s="451"/>
      <c r="EQ6593" s="451"/>
      <c r="ER6593" s="451"/>
      <c r="ES6593" s="451"/>
    </row>
    <row r="6594" spans="1:149" ht="15" hidden="1" customHeight="1">
      <c r="A6594" s="468">
        <v>45562</v>
      </c>
      <c r="B6594" s="208" t="s">
        <v>5350</v>
      </c>
      <c r="C6594" s="208" t="s">
        <v>27</v>
      </c>
      <c r="D6594" s="211">
        <v>-688750</v>
      </c>
      <c r="E6594" s="212">
        <v>45536</v>
      </c>
      <c r="F6594" s="208" t="s">
        <v>110</v>
      </c>
      <c r="G6594" s="208" t="s">
        <v>4399</v>
      </c>
      <c r="H6594" s="208" t="s">
        <v>147</v>
      </c>
      <c r="I6594" s="208"/>
      <c r="J6594" s="209"/>
      <c r="K6594" s="209"/>
      <c r="L6594" s="209"/>
      <c r="M6594" s="209"/>
      <c r="N6594" s="209"/>
      <c r="O6594" s="209"/>
      <c r="P6594" s="209"/>
      <c r="Q6594" s="209"/>
      <c r="R6594" s="209"/>
      <c r="S6594" s="209"/>
      <c r="T6594" s="209"/>
      <c r="U6594" s="451"/>
      <c r="V6594" s="451"/>
      <c r="W6594" s="451"/>
      <c r="X6594" s="451"/>
      <c r="Y6594" s="451"/>
      <c r="Z6594" s="451"/>
      <c r="AA6594" s="451"/>
      <c r="AB6594" s="451"/>
      <c r="AC6594" s="451"/>
      <c r="AD6594" s="451"/>
      <c r="AE6594" s="451"/>
      <c r="AF6594" s="451"/>
      <c r="AG6594" s="451"/>
      <c r="AH6594" s="451"/>
      <c r="AI6594" s="451"/>
      <c r="AJ6594" s="451"/>
      <c r="AK6594" s="451"/>
      <c r="AL6594" s="451"/>
      <c r="AM6594" s="451"/>
      <c r="AN6594" s="451"/>
      <c r="AO6594" s="451"/>
      <c r="AP6594" s="451"/>
      <c r="AQ6594" s="451"/>
      <c r="AR6594" s="451"/>
      <c r="AS6594" s="451"/>
      <c r="AT6594" s="451"/>
      <c r="AU6594" s="451"/>
      <c r="AV6594" s="451"/>
      <c r="AW6594" s="451"/>
      <c r="AX6594" s="451"/>
      <c r="AY6594" s="451"/>
      <c r="AZ6594" s="451"/>
      <c r="BA6594" s="451"/>
      <c r="BB6594" s="451"/>
      <c r="BC6594" s="451"/>
      <c r="BD6594" s="451"/>
      <c r="BE6594" s="451"/>
      <c r="BF6594" s="451"/>
      <c r="BG6594" s="451"/>
      <c r="BH6594" s="451"/>
      <c r="BI6594" s="451"/>
      <c r="BJ6594" s="451"/>
      <c r="BK6594" s="451"/>
      <c r="BL6594" s="451"/>
      <c r="BM6594" s="451"/>
      <c r="BN6594" s="451"/>
      <c r="BO6594" s="451"/>
      <c r="BP6594" s="451"/>
      <c r="BQ6594" s="451"/>
      <c r="BR6594" s="451"/>
      <c r="BS6594" s="451"/>
      <c r="BT6594" s="451"/>
      <c r="BU6594" s="451"/>
      <c r="BV6594" s="451"/>
      <c r="BW6594" s="451"/>
      <c r="BX6594" s="451"/>
      <c r="BY6594" s="451"/>
      <c r="BZ6594" s="451"/>
      <c r="CA6594" s="451"/>
      <c r="CB6594" s="451"/>
      <c r="CC6594" s="451"/>
      <c r="CD6594" s="451"/>
      <c r="CE6594" s="451"/>
      <c r="CF6594" s="451"/>
      <c r="CG6594" s="451"/>
      <c r="CH6594" s="451"/>
      <c r="CI6594" s="451"/>
      <c r="CJ6594" s="451"/>
      <c r="CK6594" s="451"/>
      <c r="CL6594" s="451"/>
      <c r="CM6594" s="451"/>
      <c r="CN6594" s="451"/>
      <c r="CO6594" s="451"/>
      <c r="CP6594" s="451"/>
      <c r="CQ6594" s="451"/>
      <c r="CR6594" s="451"/>
      <c r="CS6594" s="451"/>
      <c r="CT6594" s="451"/>
      <c r="CU6594" s="451"/>
      <c r="CV6594" s="451"/>
      <c r="CW6594" s="451"/>
      <c r="CX6594" s="451"/>
      <c r="CY6594" s="451"/>
      <c r="CZ6594" s="451"/>
      <c r="DA6594" s="451"/>
      <c r="DB6594" s="451"/>
      <c r="DC6594" s="451"/>
      <c r="DD6594" s="451"/>
      <c r="DE6594" s="451"/>
      <c r="DF6594" s="451"/>
      <c r="DG6594" s="451"/>
      <c r="DH6594" s="451"/>
      <c r="DI6594" s="451"/>
      <c r="DJ6594" s="451"/>
      <c r="DK6594" s="451"/>
      <c r="DL6594" s="451"/>
      <c r="DM6594" s="451"/>
      <c r="DN6594" s="451"/>
      <c r="DO6594" s="451"/>
      <c r="DP6594" s="451"/>
      <c r="DQ6594" s="451"/>
      <c r="DR6594" s="451"/>
      <c r="DS6594" s="451"/>
      <c r="DT6594" s="451"/>
      <c r="DU6594" s="451"/>
      <c r="DV6594" s="451"/>
      <c r="DW6594" s="451"/>
      <c r="DX6594" s="451"/>
      <c r="DY6594" s="451"/>
      <c r="DZ6594" s="451"/>
      <c r="EA6594" s="451"/>
      <c r="EB6594" s="451"/>
      <c r="EC6594" s="451"/>
      <c r="ED6594" s="451"/>
      <c r="EE6594" s="451"/>
      <c r="EF6594" s="451"/>
      <c r="EG6594" s="451"/>
      <c r="EH6594" s="451"/>
      <c r="EI6594" s="451"/>
      <c r="EJ6594" s="451"/>
      <c r="EK6594" s="451"/>
      <c r="EL6594" s="451"/>
      <c r="EM6594" s="451"/>
      <c r="EN6594" s="451"/>
      <c r="EO6594" s="451"/>
      <c r="EP6594" s="451"/>
      <c r="EQ6594" s="451"/>
      <c r="ER6594" s="451"/>
      <c r="ES6594" s="451"/>
    </row>
    <row r="6595" spans="1:149" ht="15" hidden="1" customHeight="1">
      <c r="A6595" s="468">
        <v>45562</v>
      </c>
      <c r="B6595" s="208" t="s">
        <v>5351</v>
      </c>
      <c r="C6595" s="208" t="s">
        <v>27</v>
      </c>
      <c r="D6595" s="211">
        <v>-971734</v>
      </c>
      <c r="E6595" s="212">
        <v>45536</v>
      </c>
      <c r="F6595" s="208" t="s">
        <v>2531</v>
      </c>
      <c r="G6595" s="201" t="s">
        <v>1489</v>
      </c>
      <c r="H6595" s="201" t="s">
        <v>508</v>
      </c>
      <c r="I6595" s="208"/>
      <c r="J6595" s="209"/>
      <c r="K6595" s="209"/>
      <c r="L6595" s="209"/>
      <c r="M6595" s="209"/>
      <c r="N6595" s="209"/>
      <c r="O6595" s="209"/>
      <c r="P6595" s="209"/>
      <c r="Q6595" s="209"/>
      <c r="R6595" s="209"/>
      <c r="S6595" s="209"/>
      <c r="T6595" s="209"/>
      <c r="U6595" s="451"/>
      <c r="V6595" s="451"/>
      <c r="W6595" s="451"/>
      <c r="X6595" s="451"/>
      <c r="Y6595" s="451"/>
      <c r="Z6595" s="451"/>
      <c r="AA6595" s="451"/>
      <c r="AB6595" s="451"/>
      <c r="AC6595" s="451"/>
      <c r="AD6595" s="451"/>
      <c r="AE6595" s="451"/>
      <c r="AF6595" s="451"/>
      <c r="AG6595" s="451"/>
      <c r="AH6595" s="451"/>
      <c r="AI6595" s="451"/>
      <c r="AJ6595" s="451"/>
      <c r="AK6595" s="451"/>
      <c r="AL6595" s="451"/>
      <c r="AM6595" s="451"/>
      <c r="AN6595" s="451"/>
      <c r="AO6595" s="451"/>
      <c r="AP6595" s="451"/>
      <c r="AQ6595" s="451"/>
      <c r="AR6595" s="451"/>
      <c r="AS6595" s="451"/>
      <c r="AT6595" s="451"/>
      <c r="AU6595" s="451"/>
      <c r="AV6595" s="451"/>
      <c r="AW6595" s="451"/>
      <c r="AX6595" s="451"/>
      <c r="AY6595" s="451"/>
      <c r="AZ6595" s="451"/>
      <c r="BA6595" s="451"/>
      <c r="BB6595" s="451"/>
      <c r="BC6595" s="451"/>
      <c r="BD6595" s="451"/>
      <c r="BE6595" s="451"/>
      <c r="BF6595" s="451"/>
      <c r="BG6595" s="451"/>
      <c r="BH6595" s="451"/>
      <c r="BI6595" s="451"/>
      <c r="BJ6595" s="451"/>
      <c r="BK6595" s="451"/>
      <c r="BL6595" s="451"/>
      <c r="BM6595" s="451"/>
      <c r="BN6595" s="451"/>
      <c r="BO6595" s="451"/>
      <c r="BP6595" s="451"/>
      <c r="BQ6595" s="451"/>
      <c r="BR6595" s="451"/>
      <c r="BS6595" s="451"/>
      <c r="BT6595" s="451"/>
      <c r="BU6595" s="451"/>
      <c r="BV6595" s="451"/>
      <c r="BW6595" s="451"/>
      <c r="BX6595" s="451"/>
      <c r="BY6595" s="451"/>
      <c r="BZ6595" s="451"/>
      <c r="CA6595" s="451"/>
      <c r="CB6595" s="451"/>
      <c r="CC6595" s="451"/>
      <c r="CD6595" s="451"/>
      <c r="CE6595" s="451"/>
      <c r="CF6595" s="451"/>
      <c r="CG6595" s="451"/>
      <c r="CH6595" s="451"/>
      <c r="CI6595" s="451"/>
      <c r="CJ6595" s="451"/>
      <c r="CK6595" s="451"/>
      <c r="CL6595" s="451"/>
      <c r="CM6595" s="451"/>
      <c r="CN6595" s="451"/>
      <c r="CO6595" s="451"/>
      <c r="CP6595" s="451"/>
      <c r="CQ6595" s="451"/>
      <c r="CR6595" s="451"/>
      <c r="CS6595" s="451"/>
      <c r="CT6595" s="451"/>
      <c r="CU6595" s="451"/>
      <c r="CV6595" s="451"/>
      <c r="CW6595" s="451"/>
      <c r="CX6595" s="451"/>
      <c r="CY6595" s="451"/>
      <c r="CZ6595" s="451"/>
      <c r="DA6595" s="451"/>
      <c r="DB6595" s="451"/>
      <c r="DC6595" s="451"/>
      <c r="DD6595" s="451"/>
      <c r="DE6595" s="451"/>
      <c r="DF6595" s="451"/>
      <c r="DG6595" s="451"/>
      <c r="DH6595" s="451"/>
      <c r="DI6595" s="451"/>
      <c r="DJ6595" s="451"/>
      <c r="DK6595" s="451"/>
      <c r="DL6595" s="451"/>
      <c r="DM6595" s="451"/>
      <c r="DN6595" s="451"/>
      <c r="DO6595" s="451"/>
      <c r="DP6595" s="451"/>
      <c r="DQ6595" s="451"/>
      <c r="DR6595" s="451"/>
      <c r="DS6595" s="451"/>
      <c r="DT6595" s="451"/>
      <c r="DU6595" s="451"/>
      <c r="DV6595" s="451"/>
      <c r="DW6595" s="451"/>
      <c r="DX6595" s="451"/>
      <c r="DY6595" s="451"/>
      <c r="DZ6595" s="451"/>
      <c r="EA6595" s="451"/>
      <c r="EB6595" s="451"/>
      <c r="EC6595" s="451"/>
      <c r="ED6595" s="451"/>
      <c r="EE6595" s="451"/>
      <c r="EF6595" s="451"/>
      <c r="EG6595" s="451"/>
      <c r="EH6595" s="451"/>
      <c r="EI6595" s="451"/>
      <c r="EJ6595" s="451"/>
      <c r="EK6595" s="451"/>
      <c r="EL6595" s="451"/>
      <c r="EM6595" s="451"/>
      <c r="EN6595" s="451"/>
      <c r="EO6595" s="451"/>
      <c r="EP6595" s="451"/>
      <c r="EQ6595" s="451"/>
      <c r="ER6595" s="451"/>
      <c r="ES6595" s="451"/>
    </row>
    <row r="6596" spans="1:149" ht="15" hidden="1" customHeight="1">
      <c r="A6596" s="468">
        <v>45562</v>
      </c>
      <c r="B6596" s="208" t="s">
        <v>5351</v>
      </c>
      <c r="C6596" s="208" t="s">
        <v>27</v>
      </c>
      <c r="D6596" s="211">
        <v>-971733</v>
      </c>
      <c r="E6596" s="212">
        <v>45536</v>
      </c>
      <c r="F6596" s="208" t="s">
        <v>2531</v>
      </c>
      <c r="G6596" s="208" t="s">
        <v>4294</v>
      </c>
      <c r="H6596" s="201" t="s">
        <v>508</v>
      </c>
      <c r="I6596" s="208"/>
      <c r="J6596" s="209"/>
      <c r="K6596" s="209"/>
      <c r="L6596" s="209"/>
      <c r="M6596" s="209"/>
      <c r="N6596" s="209"/>
      <c r="O6596" s="209"/>
      <c r="P6596" s="209"/>
      <c r="Q6596" s="209"/>
      <c r="R6596" s="209"/>
      <c r="S6596" s="209"/>
      <c r="T6596" s="209"/>
      <c r="U6596" s="451"/>
      <c r="V6596" s="451"/>
      <c r="W6596" s="451"/>
      <c r="X6596" s="451"/>
      <c r="Y6596" s="451"/>
      <c r="Z6596" s="451"/>
      <c r="AA6596" s="451"/>
      <c r="AB6596" s="451"/>
      <c r="AC6596" s="451"/>
      <c r="AD6596" s="451"/>
      <c r="AE6596" s="451"/>
      <c r="AF6596" s="451"/>
      <c r="AG6596" s="451"/>
      <c r="AH6596" s="451"/>
      <c r="AI6596" s="451"/>
      <c r="AJ6596" s="451"/>
      <c r="AK6596" s="451"/>
      <c r="AL6596" s="451"/>
      <c r="AM6596" s="451"/>
      <c r="AN6596" s="451"/>
      <c r="AO6596" s="451"/>
      <c r="AP6596" s="451"/>
      <c r="AQ6596" s="451"/>
      <c r="AR6596" s="451"/>
      <c r="AS6596" s="451"/>
      <c r="AT6596" s="451"/>
      <c r="AU6596" s="451"/>
      <c r="AV6596" s="451"/>
      <c r="AW6596" s="451"/>
      <c r="AX6596" s="451"/>
      <c r="AY6596" s="451"/>
      <c r="AZ6596" s="451"/>
      <c r="BA6596" s="451"/>
      <c r="BB6596" s="451"/>
      <c r="BC6596" s="451"/>
      <c r="BD6596" s="451"/>
      <c r="BE6596" s="451"/>
      <c r="BF6596" s="451"/>
      <c r="BG6596" s="451"/>
      <c r="BH6596" s="451"/>
      <c r="BI6596" s="451"/>
      <c r="BJ6596" s="451"/>
      <c r="BK6596" s="451"/>
      <c r="BL6596" s="451"/>
      <c r="BM6596" s="451"/>
      <c r="BN6596" s="451"/>
      <c r="BO6596" s="451"/>
      <c r="BP6596" s="451"/>
      <c r="BQ6596" s="451"/>
      <c r="BR6596" s="451"/>
      <c r="BS6596" s="451"/>
      <c r="BT6596" s="451"/>
      <c r="BU6596" s="451"/>
      <c r="BV6596" s="451"/>
      <c r="BW6596" s="451"/>
      <c r="BX6596" s="451"/>
      <c r="BY6596" s="451"/>
      <c r="BZ6596" s="451"/>
      <c r="CA6596" s="451"/>
      <c r="CB6596" s="451"/>
      <c r="CC6596" s="451"/>
      <c r="CD6596" s="451"/>
      <c r="CE6596" s="451"/>
      <c r="CF6596" s="451"/>
      <c r="CG6596" s="451"/>
      <c r="CH6596" s="451"/>
      <c r="CI6596" s="451"/>
      <c r="CJ6596" s="451"/>
      <c r="CK6596" s="451"/>
      <c r="CL6596" s="451"/>
      <c r="CM6596" s="451"/>
      <c r="CN6596" s="451"/>
      <c r="CO6596" s="451"/>
      <c r="CP6596" s="451"/>
      <c r="CQ6596" s="451"/>
      <c r="CR6596" s="451"/>
      <c r="CS6596" s="451"/>
      <c r="CT6596" s="451"/>
      <c r="CU6596" s="451"/>
      <c r="CV6596" s="451"/>
      <c r="CW6596" s="451"/>
      <c r="CX6596" s="451"/>
      <c r="CY6596" s="451"/>
      <c r="CZ6596" s="451"/>
      <c r="DA6596" s="451"/>
      <c r="DB6596" s="451"/>
      <c r="DC6596" s="451"/>
      <c r="DD6596" s="451"/>
      <c r="DE6596" s="451"/>
      <c r="DF6596" s="451"/>
      <c r="DG6596" s="451"/>
      <c r="DH6596" s="451"/>
      <c r="DI6596" s="451"/>
      <c r="DJ6596" s="451"/>
      <c r="DK6596" s="451"/>
      <c r="DL6596" s="451"/>
      <c r="DM6596" s="451"/>
      <c r="DN6596" s="451"/>
      <c r="DO6596" s="451"/>
      <c r="DP6596" s="451"/>
      <c r="DQ6596" s="451"/>
      <c r="DR6596" s="451"/>
      <c r="DS6596" s="451"/>
      <c r="DT6596" s="451"/>
      <c r="DU6596" s="451"/>
      <c r="DV6596" s="451"/>
      <c r="DW6596" s="451"/>
      <c r="DX6596" s="451"/>
      <c r="DY6596" s="451"/>
      <c r="DZ6596" s="451"/>
      <c r="EA6596" s="451"/>
      <c r="EB6596" s="451"/>
      <c r="EC6596" s="451"/>
      <c r="ED6596" s="451"/>
      <c r="EE6596" s="451"/>
      <c r="EF6596" s="451"/>
      <c r="EG6596" s="451"/>
      <c r="EH6596" s="451"/>
      <c r="EI6596" s="451"/>
      <c r="EJ6596" s="451"/>
      <c r="EK6596" s="451"/>
      <c r="EL6596" s="451"/>
      <c r="EM6596" s="451"/>
      <c r="EN6596" s="451"/>
      <c r="EO6596" s="451"/>
      <c r="EP6596" s="451"/>
      <c r="EQ6596" s="451"/>
      <c r="ER6596" s="451"/>
      <c r="ES6596" s="451"/>
    </row>
    <row r="6597" spans="1:149" ht="15" hidden="1" customHeight="1">
      <c r="A6597" s="468">
        <v>45562</v>
      </c>
      <c r="B6597" s="208" t="s">
        <v>5351</v>
      </c>
      <c r="C6597" s="208" t="s">
        <v>27</v>
      </c>
      <c r="D6597" s="211">
        <v>-971733</v>
      </c>
      <c r="E6597" s="212">
        <v>45536</v>
      </c>
      <c r="F6597" s="208" t="s">
        <v>109</v>
      </c>
      <c r="G6597" s="208" t="s">
        <v>3529</v>
      </c>
      <c r="H6597" s="201" t="s">
        <v>508</v>
      </c>
      <c r="I6597" s="208"/>
      <c r="J6597" s="209"/>
      <c r="K6597" s="209"/>
      <c r="L6597" s="209"/>
      <c r="M6597" s="209"/>
      <c r="N6597" s="209"/>
      <c r="O6597" s="209"/>
      <c r="P6597" s="209"/>
      <c r="Q6597" s="209"/>
      <c r="R6597" s="209"/>
      <c r="S6597" s="209"/>
      <c r="T6597" s="209"/>
      <c r="U6597" s="451"/>
      <c r="V6597" s="451"/>
      <c r="W6597" s="451"/>
      <c r="X6597" s="451"/>
      <c r="Y6597" s="451"/>
      <c r="Z6597" s="451"/>
      <c r="AA6597" s="451"/>
      <c r="AB6597" s="451"/>
      <c r="AC6597" s="451"/>
      <c r="AD6597" s="451"/>
      <c r="AE6597" s="451"/>
      <c r="AF6597" s="451"/>
      <c r="AG6597" s="451"/>
      <c r="AH6597" s="451"/>
      <c r="AI6597" s="451"/>
      <c r="AJ6597" s="451"/>
      <c r="AK6597" s="451"/>
      <c r="AL6597" s="451"/>
      <c r="AM6597" s="451"/>
      <c r="AN6597" s="451"/>
      <c r="AO6597" s="451"/>
      <c r="AP6597" s="451"/>
      <c r="AQ6597" s="451"/>
      <c r="AR6597" s="451"/>
      <c r="AS6597" s="451"/>
      <c r="AT6597" s="451"/>
      <c r="AU6597" s="451"/>
      <c r="AV6597" s="451"/>
      <c r="AW6597" s="451"/>
      <c r="AX6597" s="451"/>
      <c r="AY6597" s="451"/>
      <c r="AZ6597" s="451"/>
      <c r="BA6597" s="451"/>
      <c r="BB6597" s="451"/>
      <c r="BC6597" s="451"/>
      <c r="BD6597" s="451"/>
      <c r="BE6597" s="451"/>
      <c r="BF6597" s="451"/>
      <c r="BG6597" s="451"/>
      <c r="BH6597" s="451"/>
      <c r="BI6597" s="451"/>
      <c r="BJ6597" s="451"/>
      <c r="BK6597" s="451"/>
      <c r="BL6597" s="451"/>
      <c r="BM6597" s="451"/>
      <c r="BN6597" s="451"/>
      <c r="BO6597" s="451"/>
      <c r="BP6597" s="451"/>
      <c r="BQ6597" s="451"/>
      <c r="BR6597" s="451"/>
      <c r="BS6597" s="451"/>
      <c r="BT6597" s="451"/>
      <c r="BU6597" s="451"/>
      <c r="BV6597" s="451"/>
      <c r="BW6597" s="451"/>
      <c r="BX6597" s="451"/>
      <c r="BY6597" s="451"/>
      <c r="BZ6597" s="451"/>
      <c r="CA6597" s="451"/>
      <c r="CB6597" s="451"/>
      <c r="CC6597" s="451"/>
      <c r="CD6597" s="451"/>
      <c r="CE6597" s="451"/>
      <c r="CF6597" s="451"/>
      <c r="CG6597" s="451"/>
      <c r="CH6597" s="451"/>
      <c r="CI6597" s="451"/>
      <c r="CJ6597" s="451"/>
      <c r="CK6597" s="451"/>
      <c r="CL6597" s="451"/>
      <c r="CM6597" s="451"/>
      <c r="CN6597" s="451"/>
      <c r="CO6597" s="451"/>
      <c r="CP6597" s="451"/>
      <c r="CQ6597" s="451"/>
      <c r="CR6597" s="451"/>
      <c r="CS6597" s="451"/>
      <c r="CT6597" s="451"/>
      <c r="CU6597" s="451"/>
      <c r="CV6597" s="451"/>
      <c r="CW6597" s="451"/>
      <c r="CX6597" s="451"/>
      <c r="CY6597" s="451"/>
      <c r="CZ6597" s="451"/>
      <c r="DA6597" s="451"/>
      <c r="DB6597" s="451"/>
      <c r="DC6597" s="451"/>
      <c r="DD6597" s="451"/>
      <c r="DE6597" s="451"/>
      <c r="DF6597" s="451"/>
      <c r="DG6597" s="451"/>
      <c r="DH6597" s="451"/>
      <c r="DI6597" s="451"/>
      <c r="DJ6597" s="451"/>
      <c r="DK6597" s="451"/>
      <c r="DL6597" s="451"/>
      <c r="DM6597" s="451"/>
      <c r="DN6597" s="451"/>
      <c r="DO6597" s="451"/>
      <c r="DP6597" s="451"/>
      <c r="DQ6597" s="451"/>
      <c r="DR6597" s="451"/>
      <c r="DS6597" s="451"/>
      <c r="DT6597" s="451"/>
      <c r="DU6597" s="451"/>
      <c r="DV6597" s="451"/>
      <c r="DW6597" s="451"/>
      <c r="DX6597" s="451"/>
      <c r="DY6597" s="451"/>
      <c r="DZ6597" s="451"/>
      <c r="EA6597" s="451"/>
      <c r="EB6597" s="451"/>
      <c r="EC6597" s="451"/>
      <c r="ED6597" s="451"/>
      <c r="EE6597" s="451"/>
      <c r="EF6597" s="451"/>
      <c r="EG6597" s="451"/>
      <c r="EH6597" s="451"/>
      <c r="EI6597" s="451"/>
      <c r="EJ6597" s="451"/>
      <c r="EK6597" s="451"/>
      <c r="EL6597" s="451"/>
      <c r="EM6597" s="451"/>
      <c r="EN6597" s="451"/>
      <c r="EO6597" s="451"/>
      <c r="EP6597" s="451"/>
      <c r="EQ6597" s="451"/>
      <c r="ER6597" s="451"/>
      <c r="ES6597" s="451"/>
    </row>
    <row r="6598" spans="1:149" ht="15" hidden="1" customHeight="1">
      <c r="A6598" s="468">
        <v>45562</v>
      </c>
      <c r="B6598" s="208" t="s">
        <v>5352</v>
      </c>
      <c r="C6598" s="208" t="s">
        <v>27</v>
      </c>
      <c r="D6598" s="211">
        <v>-3118800</v>
      </c>
      <c r="E6598" s="212">
        <v>45536</v>
      </c>
      <c r="F6598" s="208" t="s">
        <v>109</v>
      </c>
      <c r="G6598" s="208" t="s">
        <v>2809</v>
      </c>
      <c r="H6598" s="208" t="s">
        <v>2421</v>
      </c>
      <c r="I6598" s="208"/>
      <c r="J6598" s="209"/>
      <c r="K6598" s="209"/>
      <c r="L6598" s="209"/>
      <c r="M6598" s="209"/>
      <c r="N6598" s="209"/>
      <c r="O6598" s="209"/>
      <c r="P6598" s="209"/>
      <c r="Q6598" s="209"/>
      <c r="R6598" s="209"/>
      <c r="S6598" s="209"/>
      <c r="T6598" s="209"/>
      <c r="U6598" s="451"/>
      <c r="V6598" s="451"/>
      <c r="W6598" s="451"/>
      <c r="X6598" s="451"/>
      <c r="Y6598" s="451"/>
      <c r="Z6598" s="451"/>
      <c r="AA6598" s="451"/>
      <c r="AB6598" s="451"/>
      <c r="AC6598" s="451"/>
      <c r="AD6598" s="451"/>
      <c r="AE6598" s="451"/>
      <c r="AF6598" s="451"/>
      <c r="AG6598" s="451"/>
      <c r="AH6598" s="451"/>
      <c r="AI6598" s="451"/>
      <c r="AJ6598" s="451"/>
      <c r="AK6598" s="451"/>
      <c r="AL6598" s="451"/>
      <c r="AM6598" s="451"/>
      <c r="AN6598" s="451"/>
      <c r="AO6598" s="451"/>
      <c r="AP6598" s="451"/>
      <c r="AQ6598" s="451"/>
      <c r="AR6598" s="451"/>
      <c r="AS6598" s="451"/>
      <c r="AT6598" s="451"/>
      <c r="AU6598" s="451"/>
      <c r="AV6598" s="451"/>
      <c r="AW6598" s="451"/>
      <c r="AX6598" s="451"/>
      <c r="AY6598" s="451"/>
      <c r="AZ6598" s="451"/>
      <c r="BA6598" s="451"/>
      <c r="BB6598" s="451"/>
      <c r="BC6598" s="451"/>
      <c r="BD6598" s="451"/>
      <c r="BE6598" s="451"/>
      <c r="BF6598" s="451"/>
      <c r="BG6598" s="451"/>
      <c r="BH6598" s="451"/>
      <c r="BI6598" s="451"/>
      <c r="BJ6598" s="451"/>
      <c r="BK6598" s="451"/>
      <c r="BL6598" s="451"/>
      <c r="BM6598" s="451"/>
      <c r="BN6598" s="451"/>
      <c r="BO6598" s="451"/>
      <c r="BP6598" s="451"/>
      <c r="BQ6598" s="451"/>
      <c r="BR6598" s="451"/>
      <c r="BS6598" s="451"/>
      <c r="BT6598" s="451"/>
      <c r="BU6598" s="451"/>
      <c r="BV6598" s="451"/>
      <c r="BW6598" s="451"/>
      <c r="BX6598" s="451"/>
      <c r="BY6598" s="451"/>
      <c r="BZ6598" s="451"/>
      <c r="CA6598" s="451"/>
      <c r="CB6598" s="451"/>
      <c r="CC6598" s="451"/>
      <c r="CD6598" s="451"/>
      <c r="CE6598" s="451"/>
      <c r="CF6598" s="451"/>
      <c r="CG6598" s="451"/>
      <c r="CH6598" s="451"/>
      <c r="CI6598" s="451"/>
      <c r="CJ6598" s="451"/>
      <c r="CK6598" s="451"/>
      <c r="CL6598" s="451"/>
      <c r="CM6598" s="451"/>
      <c r="CN6598" s="451"/>
      <c r="CO6598" s="451"/>
      <c r="CP6598" s="451"/>
      <c r="CQ6598" s="451"/>
      <c r="CR6598" s="451"/>
      <c r="CS6598" s="451"/>
      <c r="CT6598" s="451"/>
      <c r="CU6598" s="451"/>
      <c r="CV6598" s="451"/>
      <c r="CW6598" s="451"/>
      <c r="CX6598" s="451"/>
      <c r="CY6598" s="451"/>
      <c r="CZ6598" s="451"/>
      <c r="DA6598" s="451"/>
      <c r="DB6598" s="451"/>
      <c r="DC6598" s="451"/>
      <c r="DD6598" s="451"/>
      <c r="DE6598" s="451"/>
      <c r="DF6598" s="451"/>
      <c r="DG6598" s="451"/>
      <c r="DH6598" s="451"/>
      <c r="DI6598" s="451"/>
      <c r="DJ6598" s="451"/>
      <c r="DK6598" s="451"/>
      <c r="DL6598" s="451"/>
      <c r="DM6598" s="451"/>
      <c r="DN6598" s="451"/>
      <c r="DO6598" s="451"/>
      <c r="DP6598" s="451"/>
      <c r="DQ6598" s="451"/>
      <c r="DR6598" s="451"/>
      <c r="DS6598" s="451"/>
      <c r="DT6598" s="451"/>
      <c r="DU6598" s="451"/>
      <c r="DV6598" s="451"/>
      <c r="DW6598" s="451"/>
      <c r="DX6598" s="451"/>
      <c r="DY6598" s="451"/>
      <c r="DZ6598" s="451"/>
      <c r="EA6598" s="451"/>
      <c r="EB6598" s="451"/>
      <c r="EC6598" s="451"/>
      <c r="ED6598" s="451"/>
      <c r="EE6598" s="451"/>
      <c r="EF6598" s="451"/>
      <c r="EG6598" s="451"/>
      <c r="EH6598" s="451"/>
      <c r="EI6598" s="451"/>
      <c r="EJ6598" s="451"/>
      <c r="EK6598" s="451"/>
      <c r="EL6598" s="451"/>
      <c r="EM6598" s="451"/>
      <c r="EN6598" s="451"/>
      <c r="EO6598" s="451"/>
      <c r="EP6598" s="451"/>
      <c r="EQ6598" s="451"/>
      <c r="ER6598" s="451"/>
      <c r="ES6598" s="451"/>
    </row>
    <row r="6599" spans="1:149" ht="15" hidden="1" customHeight="1">
      <c r="A6599" s="468">
        <v>45562</v>
      </c>
      <c r="B6599" s="208" t="s">
        <v>5353</v>
      </c>
      <c r="C6599" s="208" t="s">
        <v>27</v>
      </c>
      <c r="D6599" s="211">
        <v>-2024000</v>
      </c>
      <c r="E6599" s="212">
        <v>45536</v>
      </c>
      <c r="F6599" s="208" t="s">
        <v>130</v>
      </c>
      <c r="G6599" s="208" t="s">
        <v>130</v>
      </c>
      <c r="H6599" s="208" t="s">
        <v>2421</v>
      </c>
      <c r="I6599" s="208"/>
      <c r="J6599" s="209"/>
      <c r="K6599" s="209"/>
      <c r="L6599" s="209"/>
      <c r="M6599" s="209"/>
      <c r="N6599" s="209"/>
      <c r="O6599" s="209"/>
      <c r="P6599" s="209"/>
      <c r="Q6599" s="209"/>
      <c r="R6599" s="209"/>
      <c r="S6599" s="209"/>
      <c r="T6599" s="209"/>
      <c r="U6599" s="451"/>
      <c r="V6599" s="451"/>
      <c r="W6599" s="451"/>
      <c r="X6599" s="451"/>
      <c r="Y6599" s="451"/>
      <c r="Z6599" s="451"/>
      <c r="AA6599" s="451"/>
      <c r="AB6599" s="451"/>
      <c r="AC6599" s="451"/>
      <c r="AD6599" s="451"/>
      <c r="AE6599" s="451"/>
      <c r="AF6599" s="451"/>
      <c r="AG6599" s="451"/>
      <c r="AH6599" s="451"/>
      <c r="AI6599" s="451"/>
      <c r="AJ6599" s="451"/>
      <c r="AK6599" s="451"/>
      <c r="AL6599" s="451"/>
      <c r="AM6599" s="451"/>
      <c r="AN6599" s="451"/>
      <c r="AO6599" s="451"/>
      <c r="AP6599" s="451"/>
      <c r="AQ6599" s="451"/>
      <c r="AR6599" s="451"/>
      <c r="AS6599" s="451"/>
      <c r="AT6599" s="451"/>
      <c r="AU6599" s="451"/>
      <c r="AV6599" s="451"/>
      <c r="AW6599" s="451"/>
      <c r="AX6599" s="451"/>
      <c r="AY6599" s="451"/>
      <c r="AZ6599" s="451"/>
      <c r="BA6599" s="451"/>
      <c r="BB6599" s="451"/>
      <c r="BC6599" s="451"/>
      <c r="BD6599" s="451"/>
      <c r="BE6599" s="451"/>
      <c r="BF6599" s="451"/>
      <c r="BG6599" s="451"/>
      <c r="BH6599" s="451"/>
      <c r="BI6599" s="451"/>
      <c r="BJ6599" s="451"/>
      <c r="BK6599" s="451"/>
      <c r="BL6599" s="451"/>
      <c r="BM6599" s="451"/>
      <c r="BN6599" s="451"/>
      <c r="BO6599" s="451"/>
      <c r="BP6599" s="451"/>
      <c r="BQ6599" s="451"/>
      <c r="BR6599" s="451"/>
      <c r="BS6599" s="451"/>
      <c r="BT6599" s="451"/>
      <c r="BU6599" s="451"/>
      <c r="BV6599" s="451"/>
      <c r="BW6599" s="451"/>
      <c r="BX6599" s="451"/>
      <c r="BY6599" s="451"/>
      <c r="BZ6599" s="451"/>
      <c r="CA6599" s="451"/>
      <c r="CB6599" s="451"/>
      <c r="CC6599" s="451"/>
      <c r="CD6599" s="451"/>
      <c r="CE6599" s="451"/>
      <c r="CF6599" s="451"/>
      <c r="CG6599" s="451"/>
      <c r="CH6599" s="451"/>
      <c r="CI6599" s="451"/>
      <c r="CJ6599" s="451"/>
      <c r="CK6599" s="451"/>
      <c r="CL6599" s="451"/>
      <c r="CM6599" s="451"/>
      <c r="CN6599" s="451"/>
      <c r="CO6599" s="451"/>
      <c r="CP6599" s="451"/>
      <c r="CQ6599" s="451"/>
      <c r="CR6599" s="451"/>
      <c r="CS6599" s="451"/>
      <c r="CT6599" s="451"/>
      <c r="CU6599" s="451"/>
      <c r="CV6599" s="451"/>
      <c r="CW6599" s="451"/>
      <c r="CX6599" s="451"/>
      <c r="CY6599" s="451"/>
      <c r="CZ6599" s="451"/>
      <c r="DA6599" s="451"/>
      <c r="DB6599" s="451"/>
      <c r="DC6599" s="451"/>
      <c r="DD6599" s="451"/>
      <c r="DE6599" s="451"/>
      <c r="DF6599" s="451"/>
      <c r="DG6599" s="451"/>
      <c r="DH6599" s="451"/>
      <c r="DI6599" s="451"/>
      <c r="DJ6599" s="451"/>
      <c r="DK6599" s="451"/>
      <c r="DL6599" s="451"/>
      <c r="DM6599" s="451"/>
      <c r="DN6599" s="451"/>
      <c r="DO6599" s="451"/>
      <c r="DP6599" s="451"/>
      <c r="DQ6599" s="451"/>
      <c r="DR6599" s="451"/>
      <c r="DS6599" s="451"/>
      <c r="DT6599" s="451"/>
      <c r="DU6599" s="451"/>
      <c r="DV6599" s="451"/>
      <c r="DW6599" s="451"/>
      <c r="DX6599" s="451"/>
      <c r="DY6599" s="451"/>
      <c r="DZ6599" s="451"/>
      <c r="EA6599" s="451"/>
      <c r="EB6599" s="451"/>
      <c r="EC6599" s="451"/>
      <c r="ED6599" s="451"/>
      <c r="EE6599" s="451"/>
      <c r="EF6599" s="451"/>
      <c r="EG6599" s="451"/>
      <c r="EH6599" s="451"/>
      <c r="EI6599" s="451"/>
      <c r="EJ6599" s="451"/>
      <c r="EK6599" s="451"/>
      <c r="EL6599" s="451"/>
      <c r="EM6599" s="451"/>
      <c r="EN6599" s="451"/>
      <c r="EO6599" s="451"/>
      <c r="EP6599" s="451"/>
      <c r="EQ6599" s="451"/>
      <c r="ER6599" s="451"/>
      <c r="ES6599" s="451"/>
    </row>
    <row r="6600" spans="1:149" ht="15" hidden="1" customHeight="1">
      <c r="A6600" s="468">
        <v>45562</v>
      </c>
      <c r="B6600" s="208" t="s">
        <v>5354</v>
      </c>
      <c r="C6600" s="208" t="s">
        <v>27</v>
      </c>
      <c r="D6600" s="211">
        <v>-904000</v>
      </c>
      <c r="E6600" s="212">
        <v>45536</v>
      </c>
      <c r="F6600" s="208" t="s">
        <v>2531</v>
      </c>
      <c r="G6600" s="201" t="s">
        <v>1489</v>
      </c>
      <c r="H6600" s="201" t="s">
        <v>508</v>
      </c>
      <c r="I6600" s="208"/>
      <c r="J6600" s="209"/>
      <c r="K6600" s="209"/>
      <c r="L6600" s="209"/>
      <c r="M6600" s="209"/>
      <c r="N6600" s="209"/>
      <c r="O6600" s="209"/>
      <c r="P6600" s="209"/>
      <c r="Q6600" s="209"/>
      <c r="R6600" s="209"/>
      <c r="S6600" s="209"/>
      <c r="T6600" s="209"/>
      <c r="U6600" s="451"/>
      <c r="V6600" s="451"/>
      <c r="W6600" s="451"/>
      <c r="X6600" s="451"/>
      <c r="Y6600" s="451"/>
      <c r="Z6600" s="451"/>
      <c r="AA6600" s="451"/>
      <c r="AB6600" s="451"/>
      <c r="AC6600" s="451"/>
      <c r="AD6600" s="451"/>
      <c r="AE6600" s="451"/>
      <c r="AF6600" s="451"/>
      <c r="AG6600" s="451"/>
      <c r="AH6600" s="451"/>
      <c r="AI6600" s="451"/>
      <c r="AJ6600" s="451"/>
      <c r="AK6600" s="451"/>
      <c r="AL6600" s="451"/>
      <c r="AM6600" s="451"/>
      <c r="AN6600" s="451"/>
      <c r="AO6600" s="451"/>
      <c r="AP6600" s="451"/>
      <c r="AQ6600" s="451"/>
      <c r="AR6600" s="451"/>
      <c r="AS6600" s="451"/>
      <c r="AT6600" s="451"/>
      <c r="AU6600" s="451"/>
      <c r="AV6600" s="451"/>
      <c r="AW6600" s="451"/>
      <c r="AX6600" s="451"/>
      <c r="AY6600" s="451"/>
      <c r="AZ6600" s="451"/>
      <c r="BA6600" s="451"/>
      <c r="BB6600" s="451"/>
      <c r="BC6600" s="451"/>
      <c r="BD6600" s="451"/>
      <c r="BE6600" s="451"/>
      <c r="BF6600" s="451"/>
      <c r="BG6600" s="451"/>
      <c r="BH6600" s="451"/>
      <c r="BI6600" s="451"/>
      <c r="BJ6600" s="451"/>
      <c r="BK6600" s="451"/>
      <c r="BL6600" s="451"/>
      <c r="BM6600" s="451"/>
      <c r="BN6600" s="451"/>
      <c r="BO6600" s="451"/>
      <c r="BP6600" s="451"/>
      <c r="BQ6600" s="451"/>
      <c r="BR6600" s="451"/>
      <c r="BS6600" s="451"/>
      <c r="BT6600" s="451"/>
      <c r="BU6600" s="451"/>
      <c r="BV6600" s="451"/>
      <c r="BW6600" s="451"/>
      <c r="BX6600" s="451"/>
      <c r="BY6600" s="451"/>
      <c r="BZ6600" s="451"/>
      <c r="CA6600" s="451"/>
      <c r="CB6600" s="451"/>
      <c r="CC6600" s="451"/>
      <c r="CD6600" s="451"/>
      <c r="CE6600" s="451"/>
      <c r="CF6600" s="451"/>
      <c r="CG6600" s="451"/>
      <c r="CH6600" s="451"/>
      <c r="CI6600" s="451"/>
      <c r="CJ6600" s="451"/>
      <c r="CK6600" s="451"/>
      <c r="CL6600" s="451"/>
      <c r="CM6600" s="451"/>
      <c r="CN6600" s="451"/>
      <c r="CO6600" s="451"/>
      <c r="CP6600" s="451"/>
      <c r="CQ6600" s="451"/>
      <c r="CR6600" s="451"/>
      <c r="CS6600" s="451"/>
      <c r="CT6600" s="451"/>
      <c r="CU6600" s="451"/>
      <c r="CV6600" s="451"/>
      <c r="CW6600" s="451"/>
      <c r="CX6600" s="451"/>
      <c r="CY6600" s="451"/>
      <c r="CZ6600" s="451"/>
      <c r="DA6600" s="451"/>
      <c r="DB6600" s="451"/>
      <c r="DC6600" s="451"/>
      <c r="DD6600" s="451"/>
      <c r="DE6600" s="451"/>
      <c r="DF6600" s="451"/>
      <c r="DG6600" s="451"/>
      <c r="DH6600" s="451"/>
      <c r="DI6600" s="451"/>
      <c r="DJ6600" s="451"/>
      <c r="DK6600" s="451"/>
      <c r="DL6600" s="451"/>
      <c r="DM6600" s="451"/>
      <c r="DN6600" s="451"/>
      <c r="DO6600" s="451"/>
      <c r="DP6600" s="451"/>
      <c r="DQ6600" s="451"/>
      <c r="DR6600" s="451"/>
      <c r="DS6600" s="451"/>
      <c r="DT6600" s="451"/>
      <c r="DU6600" s="451"/>
      <c r="DV6600" s="451"/>
      <c r="DW6600" s="451"/>
      <c r="DX6600" s="451"/>
      <c r="DY6600" s="451"/>
      <c r="DZ6600" s="451"/>
      <c r="EA6600" s="451"/>
      <c r="EB6600" s="451"/>
      <c r="EC6600" s="451"/>
      <c r="ED6600" s="451"/>
      <c r="EE6600" s="451"/>
      <c r="EF6600" s="451"/>
      <c r="EG6600" s="451"/>
      <c r="EH6600" s="451"/>
      <c r="EI6600" s="451"/>
      <c r="EJ6600" s="451"/>
      <c r="EK6600" s="451"/>
      <c r="EL6600" s="451"/>
      <c r="EM6600" s="451"/>
      <c r="EN6600" s="451"/>
      <c r="EO6600" s="451"/>
      <c r="EP6600" s="451"/>
      <c r="EQ6600" s="451"/>
      <c r="ER6600" s="451"/>
      <c r="ES6600" s="451"/>
    </row>
    <row r="6601" spans="1:149" ht="15" hidden="1" customHeight="1">
      <c r="A6601" s="468">
        <v>45562</v>
      </c>
      <c r="B6601" s="208" t="s">
        <v>5354</v>
      </c>
      <c r="C6601" s="208" t="s">
        <v>27</v>
      </c>
      <c r="D6601" s="211">
        <v>-904000</v>
      </c>
      <c r="E6601" s="212">
        <v>45536</v>
      </c>
      <c r="F6601" s="208" t="s">
        <v>2531</v>
      </c>
      <c r="G6601" s="208" t="s">
        <v>4294</v>
      </c>
      <c r="H6601" s="201" t="s">
        <v>508</v>
      </c>
      <c r="I6601" s="208"/>
      <c r="J6601" s="209"/>
      <c r="K6601" s="209"/>
      <c r="L6601" s="209"/>
      <c r="M6601" s="209"/>
      <c r="N6601" s="209"/>
      <c r="O6601" s="209"/>
      <c r="P6601" s="209"/>
      <c r="Q6601" s="209"/>
      <c r="R6601" s="209"/>
      <c r="S6601" s="209"/>
      <c r="T6601" s="209"/>
      <c r="U6601" s="451"/>
      <c r="V6601" s="451"/>
      <c r="W6601" s="451"/>
      <c r="X6601" s="451"/>
      <c r="Y6601" s="451"/>
      <c r="Z6601" s="451"/>
      <c r="AA6601" s="451"/>
      <c r="AB6601" s="451"/>
      <c r="AC6601" s="451"/>
      <c r="AD6601" s="451"/>
      <c r="AE6601" s="451"/>
      <c r="AF6601" s="451"/>
      <c r="AG6601" s="451"/>
      <c r="AH6601" s="451"/>
      <c r="AI6601" s="451"/>
      <c r="AJ6601" s="451"/>
      <c r="AK6601" s="451"/>
      <c r="AL6601" s="451"/>
      <c r="AM6601" s="451"/>
      <c r="AN6601" s="451"/>
      <c r="AO6601" s="451"/>
      <c r="AP6601" s="451"/>
      <c r="AQ6601" s="451"/>
      <c r="AR6601" s="451"/>
      <c r="AS6601" s="451"/>
      <c r="AT6601" s="451"/>
      <c r="AU6601" s="451"/>
      <c r="AV6601" s="451"/>
      <c r="AW6601" s="451"/>
      <c r="AX6601" s="451"/>
      <c r="AY6601" s="451"/>
      <c r="AZ6601" s="451"/>
      <c r="BA6601" s="451"/>
      <c r="BB6601" s="451"/>
      <c r="BC6601" s="451"/>
      <c r="BD6601" s="451"/>
      <c r="BE6601" s="451"/>
      <c r="BF6601" s="451"/>
      <c r="BG6601" s="451"/>
      <c r="BH6601" s="451"/>
      <c r="BI6601" s="451"/>
      <c r="BJ6601" s="451"/>
      <c r="BK6601" s="451"/>
      <c r="BL6601" s="451"/>
      <c r="BM6601" s="451"/>
      <c r="BN6601" s="451"/>
      <c r="BO6601" s="451"/>
      <c r="BP6601" s="451"/>
      <c r="BQ6601" s="451"/>
      <c r="BR6601" s="451"/>
      <c r="BS6601" s="451"/>
      <c r="BT6601" s="451"/>
      <c r="BU6601" s="451"/>
      <c r="BV6601" s="451"/>
      <c r="BW6601" s="451"/>
      <c r="BX6601" s="451"/>
      <c r="BY6601" s="451"/>
      <c r="BZ6601" s="451"/>
      <c r="CA6601" s="451"/>
      <c r="CB6601" s="451"/>
      <c r="CC6601" s="451"/>
      <c r="CD6601" s="451"/>
      <c r="CE6601" s="451"/>
      <c r="CF6601" s="451"/>
      <c r="CG6601" s="451"/>
      <c r="CH6601" s="451"/>
      <c r="CI6601" s="451"/>
      <c r="CJ6601" s="451"/>
      <c r="CK6601" s="451"/>
      <c r="CL6601" s="451"/>
      <c r="CM6601" s="451"/>
      <c r="CN6601" s="451"/>
      <c r="CO6601" s="451"/>
      <c r="CP6601" s="451"/>
      <c r="CQ6601" s="451"/>
      <c r="CR6601" s="451"/>
      <c r="CS6601" s="451"/>
      <c r="CT6601" s="451"/>
      <c r="CU6601" s="451"/>
      <c r="CV6601" s="451"/>
      <c r="CW6601" s="451"/>
      <c r="CX6601" s="451"/>
      <c r="CY6601" s="451"/>
      <c r="CZ6601" s="451"/>
      <c r="DA6601" s="451"/>
      <c r="DB6601" s="451"/>
      <c r="DC6601" s="451"/>
      <c r="DD6601" s="451"/>
      <c r="DE6601" s="451"/>
      <c r="DF6601" s="451"/>
      <c r="DG6601" s="451"/>
      <c r="DH6601" s="451"/>
      <c r="DI6601" s="451"/>
      <c r="DJ6601" s="451"/>
      <c r="DK6601" s="451"/>
      <c r="DL6601" s="451"/>
      <c r="DM6601" s="451"/>
      <c r="DN6601" s="451"/>
      <c r="DO6601" s="451"/>
      <c r="DP6601" s="451"/>
      <c r="DQ6601" s="451"/>
      <c r="DR6601" s="451"/>
      <c r="DS6601" s="451"/>
      <c r="DT6601" s="451"/>
      <c r="DU6601" s="451"/>
      <c r="DV6601" s="451"/>
      <c r="DW6601" s="451"/>
      <c r="DX6601" s="451"/>
      <c r="DY6601" s="451"/>
      <c r="DZ6601" s="451"/>
      <c r="EA6601" s="451"/>
      <c r="EB6601" s="451"/>
      <c r="EC6601" s="451"/>
      <c r="ED6601" s="451"/>
      <c r="EE6601" s="451"/>
      <c r="EF6601" s="451"/>
      <c r="EG6601" s="451"/>
      <c r="EH6601" s="451"/>
      <c r="EI6601" s="451"/>
      <c r="EJ6601" s="451"/>
      <c r="EK6601" s="451"/>
      <c r="EL6601" s="451"/>
      <c r="EM6601" s="451"/>
      <c r="EN6601" s="451"/>
      <c r="EO6601" s="451"/>
      <c r="EP6601" s="451"/>
      <c r="EQ6601" s="451"/>
      <c r="ER6601" s="451"/>
      <c r="ES6601" s="451"/>
    </row>
    <row r="6602" spans="1:149" ht="15" hidden="1" customHeight="1">
      <c r="A6602" s="468">
        <v>45562</v>
      </c>
      <c r="B6602" s="208" t="s">
        <v>5354</v>
      </c>
      <c r="C6602" s="208" t="s">
        <v>27</v>
      </c>
      <c r="D6602" s="211">
        <v>-904000</v>
      </c>
      <c r="E6602" s="212">
        <v>45536</v>
      </c>
      <c r="F6602" s="208" t="s">
        <v>109</v>
      </c>
      <c r="G6602" s="208" t="s">
        <v>3529</v>
      </c>
      <c r="H6602" s="201" t="s">
        <v>508</v>
      </c>
      <c r="I6602" s="208"/>
      <c r="J6602" s="209"/>
      <c r="K6602" s="209"/>
      <c r="L6602" s="209"/>
      <c r="M6602" s="209"/>
      <c r="N6602" s="209"/>
      <c r="O6602" s="209"/>
      <c r="P6602" s="209"/>
      <c r="Q6602" s="209"/>
      <c r="R6602" s="209"/>
      <c r="S6602" s="209"/>
      <c r="T6602" s="209"/>
      <c r="U6602" s="451"/>
      <c r="V6602" s="451"/>
      <c r="W6602" s="451"/>
      <c r="X6602" s="451"/>
      <c r="Y6602" s="451"/>
      <c r="Z6602" s="451"/>
      <c r="AA6602" s="451"/>
      <c r="AB6602" s="451"/>
      <c r="AC6602" s="451"/>
      <c r="AD6602" s="451"/>
      <c r="AE6602" s="451"/>
      <c r="AF6602" s="451"/>
      <c r="AG6602" s="451"/>
      <c r="AH6602" s="451"/>
      <c r="AI6602" s="451"/>
      <c r="AJ6602" s="451"/>
      <c r="AK6602" s="451"/>
      <c r="AL6602" s="451"/>
      <c r="AM6602" s="451"/>
      <c r="AN6602" s="451"/>
      <c r="AO6602" s="451"/>
      <c r="AP6602" s="451"/>
      <c r="AQ6602" s="451"/>
      <c r="AR6602" s="451"/>
      <c r="AS6602" s="451"/>
      <c r="AT6602" s="451"/>
      <c r="AU6602" s="451"/>
      <c r="AV6602" s="451"/>
      <c r="AW6602" s="451"/>
      <c r="AX6602" s="451"/>
      <c r="AY6602" s="451"/>
      <c r="AZ6602" s="451"/>
      <c r="BA6602" s="451"/>
      <c r="BB6602" s="451"/>
      <c r="BC6602" s="451"/>
      <c r="BD6602" s="451"/>
      <c r="BE6602" s="451"/>
      <c r="BF6602" s="451"/>
      <c r="BG6602" s="451"/>
      <c r="BH6602" s="451"/>
      <c r="BI6602" s="451"/>
      <c r="BJ6602" s="451"/>
      <c r="BK6602" s="451"/>
      <c r="BL6602" s="451"/>
      <c r="BM6602" s="451"/>
      <c r="BN6602" s="451"/>
      <c r="BO6602" s="451"/>
      <c r="BP6602" s="451"/>
      <c r="BQ6602" s="451"/>
      <c r="BR6602" s="451"/>
      <c r="BS6602" s="451"/>
      <c r="BT6602" s="451"/>
      <c r="BU6602" s="451"/>
      <c r="BV6602" s="451"/>
      <c r="BW6602" s="451"/>
      <c r="BX6602" s="451"/>
      <c r="BY6602" s="451"/>
      <c r="BZ6602" s="451"/>
      <c r="CA6602" s="451"/>
      <c r="CB6602" s="451"/>
      <c r="CC6602" s="451"/>
      <c r="CD6602" s="451"/>
      <c r="CE6602" s="451"/>
      <c r="CF6602" s="451"/>
      <c r="CG6602" s="451"/>
      <c r="CH6602" s="451"/>
      <c r="CI6602" s="451"/>
      <c r="CJ6602" s="451"/>
      <c r="CK6602" s="451"/>
      <c r="CL6602" s="451"/>
      <c r="CM6602" s="451"/>
      <c r="CN6602" s="451"/>
      <c r="CO6602" s="451"/>
      <c r="CP6602" s="451"/>
      <c r="CQ6602" s="451"/>
      <c r="CR6602" s="451"/>
      <c r="CS6602" s="451"/>
      <c r="CT6602" s="451"/>
      <c r="CU6602" s="451"/>
      <c r="CV6602" s="451"/>
      <c r="CW6602" s="451"/>
      <c r="CX6602" s="451"/>
      <c r="CY6602" s="451"/>
      <c r="CZ6602" s="451"/>
      <c r="DA6602" s="451"/>
      <c r="DB6602" s="451"/>
      <c r="DC6602" s="451"/>
      <c r="DD6602" s="451"/>
      <c r="DE6602" s="451"/>
      <c r="DF6602" s="451"/>
      <c r="DG6602" s="451"/>
      <c r="DH6602" s="451"/>
      <c r="DI6602" s="451"/>
      <c r="DJ6602" s="451"/>
      <c r="DK6602" s="451"/>
      <c r="DL6602" s="451"/>
      <c r="DM6602" s="451"/>
      <c r="DN6602" s="451"/>
      <c r="DO6602" s="451"/>
      <c r="DP6602" s="451"/>
      <c r="DQ6602" s="451"/>
      <c r="DR6602" s="451"/>
      <c r="DS6602" s="451"/>
      <c r="DT6602" s="451"/>
      <c r="DU6602" s="451"/>
      <c r="DV6602" s="451"/>
      <c r="DW6602" s="451"/>
      <c r="DX6602" s="451"/>
      <c r="DY6602" s="451"/>
      <c r="DZ6602" s="451"/>
      <c r="EA6602" s="451"/>
      <c r="EB6602" s="451"/>
      <c r="EC6602" s="451"/>
      <c r="ED6602" s="451"/>
      <c r="EE6602" s="451"/>
      <c r="EF6602" s="451"/>
      <c r="EG6602" s="451"/>
      <c r="EH6602" s="451"/>
      <c r="EI6602" s="451"/>
      <c r="EJ6602" s="451"/>
      <c r="EK6602" s="451"/>
      <c r="EL6602" s="451"/>
      <c r="EM6602" s="451"/>
      <c r="EN6602" s="451"/>
      <c r="EO6602" s="451"/>
      <c r="EP6602" s="451"/>
      <c r="EQ6602" s="451"/>
      <c r="ER6602" s="451"/>
      <c r="ES6602" s="451"/>
    </row>
    <row r="6603" spans="1:149" ht="15" hidden="1" customHeight="1">
      <c r="A6603" s="468">
        <v>45562</v>
      </c>
      <c r="B6603" s="208" t="s">
        <v>5355</v>
      </c>
      <c r="C6603" s="208" t="s">
        <v>27</v>
      </c>
      <c r="D6603" s="211">
        <v>-817000</v>
      </c>
      <c r="E6603" s="212">
        <v>45536</v>
      </c>
      <c r="F6603" s="208" t="s">
        <v>130</v>
      </c>
      <c r="G6603" s="208" t="s">
        <v>130</v>
      </c>
      <c r="H6603" s="208" t="s">
        <v>2421</v>
      </c>
      <c r="I6603" s="208"/>
      <c r="J6603" s="209"/>
      <c r="K6603" s="209"/>
      <c r="L6603" s="209"/>
      <c r="M6603" s="209"/>
      <c r="N6603" s="209"/>
      <c r="O6603" s="209"/>
      <c r="P6603" s="209"/>
      <c r="Q6603" s="209"/>
      <c r="R6603" s="209"/>
      <c r="S6603" s="209"/>
      <c r="T6603" s="209"/>
      <c r="U6603" s="451"/>
      <c r="V6603" s="451"/>
      <c r="W6603" s="451"/>
      <c r="X6603" s="451"/>
      <c r="Y6603" s="451"/>
      <c r="Z6603" s="451"/>
      <c r="AA6603" s="451"/>
      <c r="AB6603" s="451"/>
      <c r="AC6603" s="451"/>
      <c r="AD6603" s="451"/>
      <c r="AE6603" s="451"/>
      <c r="AF6603" s="451"/>
      <c r="AG6603" s="451"/>
      <c r="AH6603" s="451"/>
      <c r="AI6603" s="451"/>
      <c r="AJ6603" s="451"/>
      <c r="AK6603" s="451"/>
      <c r="AL6603" s="451"/>
      <c r="AM6603" s="451"/>
      <c r="AN6603" s="451"/>
      <c r="AO6603" s="451"/>
      <c r="AP6603" s="451"/>
      <c r="AQ6603" s="451"/>
      <c r="AR6603" s="451"/>
      <c r="AS6603" s="451"/>
      <c r="AT6603" s="451"/>
      <c r="AU6603" s="451"/>
      <c r="AV6603" s="451"/>
      <c r="AW6603" s="451"/>
      <c r="AX6603" s="451"/>
      <c r="AY6603" s="451"/>
      <c r="AZ6603" s="451"/>
      <c r="BA6603" s="451"/>
      <c r="BB6603" s="451"/>
      <c r="BC6603" s="451"/>
      <c r="BD6603" s="451"/>
      <c r="BE6603" s="451"/>
      <c r="BF6603" s="451"/>
      <c r="BG6603" s="451"/>
      <c r="BH6603" s="451"/>
      <c r="BI6603" s="451"/>
      <c r="BJ6603" s="451"/>
      <c r="BK6603" s="451"/>
      <c r="BL6603" s="451"/>
      <c r="BM6603" s="451"/>
      <c r="BN6603" s="451"/>
      <c r="BO6603" s="451"/>
      <c r="BP6603" s="451"/>
      <c r="BQ6603" s="451"/>
      <c r="BR6603" s="451"/>
      <c r="BS6603" s="451"/>
      <c r="BT6603" s="451"/>
      <c r="BU6603" s="451"/>
      <c r="BV6603" s="451"/>
      <c r="BW6603" s="451"/>
      <c r="BX6603" s="451"/>
      <c r="BY6603" s="451"/>
      <c r="BZ6603" s="451"/>
      <c r="CA6603" s="451"/>
      <c r="CB6603" s="451"/>
      <c r="CC6603" s="451"/>
      <c r="CD6603" s="451"/>
      <c r="CE6603" s="451"/>
      <c r="CF6603" s="451"/>
      <c r="CG6603" s="451"/>
      <c r="CH6603" s="451"/>
      <c r="CI6603" s="451"/>
      <c r="CJ6603" s="451"/>
      <c r="CK6603" s="451"/>
      <c r="CL6603" s="451"/>
      <c r="CM6603" s="451"/>
      <c r="CN6603" s="451"/>
      <c r="CO6603" s="451"/>
      <c r="CP6603" s="451"/>
      <c r="CQ6603" s="451"/>
      <c r="CR6603" s="451"/>
      <c r="CS6603" s="451"/>
      <c r="CT6603" s="451"/>
      <c r="CU6603" s="451"/>
      <c r="CV6603" s="451"/>
      <c r="CW6603" s="451"/>
      <c r="CX6603" s="451"/>
      <c r="CY6603" s="451"/>
      <c r="CZ6603" s="451"/>
      <c r="DA6603" s="451"/>
      <c r="DB6603" s="451"/>
      <c r="DC6603" s="451"/>
      <c r="DD6603" s="451"/>
      <c r="DE6603" s="451"/>
      <c r="DF6603" s="451"/>
      <c r="DG6603" s="451"/>
      <c r="DH6603" s="451"/>
      <c r="DI6603" s="451"/>
      <c r="DJ6603" s="451"/>
      <c r="DK6603" s="451"/>
      <c r="DL6603" s="451"/>
      <c r="DM6603" s="451"/>
      <c r="DN6603" s="451"/>
      <c r="DO6603" s="451"/>
      <c r="DP6603" s="451"/>
      <c r="DQ6603" s="451"/>
      <c r="DR6603" s="451"/>
      <c r="DS6603" s="451"/>
      <c r="DT6603" s="451"/>
      <c r="DU6603" s="451"/>
      <c r="DV6603" s="451"/>
      <c r="DW6603" s="451"/>
      <c r="DX6603" s="451"/>
      <c r="DY6603" s="451"/>
      <c r="DZ6603" s="451"/>
      <c r="EA6603" s="451"/>
      <c r="EB6603" s="451"/>
      <c r="EC6603" s="451"/>
      <c r="ED6603" s="451"/>
      <c r="EE6603" s="451"/>
      <c r="EF6603" s="451"/>
      <c r="EG6603" s="451"/>
      <c r="EH6603" s="451"/>
      <c r="EI6603" s="451"/>
      <c r="EJ6603" s="451"/>
      <c r="EK6603" s="451"/>
      <c r="EL6603" s="451"/>
      <c r="EM6603" s="451"/>
      <c r="EN6603" s="451"/>
      <c r="EO6603" s="451"/>
      <c r="EP6603" s="451"/>
      <c r="EQ6603" s="451"/>
      <c r="ER6603" s="451"/>
      <c r="ES6603" s="451"/>
    </row>
    <row r="6604" spans="1:149" ht="15" hidden="1" customHeight="1">
      <c r="A6604" s="468">
        <v>45562</v>
      </c>
      <c r="B6604" s="208" t="s">
        <v>5356</v>
      </c>
      <c r="C6604" s="208" t="s">
        <v>27</v>
      </c>
      <c r="D6604" s="211">
        <v>-630400</v>
      </c>
      <c r="E6604" s="212">
        <v>45536</v>
      </c>
      <c r="F6604" s="208" t="s">
        <v>130</v>
      </c>
      <c r="G6604" s="208" t="s">
        <v>130</v>
      </c>
      <c r="H6604" s="208" t="s">
        <v>2421</v>
      </c>
      <c r="I6604" s="208"/>
      <c r="J6604" s="209"/>
      <c r="K6604" s="209"/>
      <c r="L6604" s="209"/>
      <c r="M6604" s="209"/>
      <c r="N6604" s="209"/>
      <c r="O6604" s="209"/>
      <c r="P6604" s="209"/>
      <c r="Q6604" s="209"/>
      <c r="R6604" s="209"/>
      <c r="S6604" s="209"/>
      <c r="T6604" s="209"/>
      <c r="U6604" s="451"/>
      <c r="V6604" s="451"/>
      <c r="W6604" s="451"/>
      <c r="X6604" s="451"/>
      <c r="Y6604" s="451"/>
      <c r="Z6604" s="451"/>
      <c r="AA6604" s="451"/>
      <c r="AB6604" s="451"/>
      <c r="AC6604" s="451"/>
      <c r="AD6604" s="451"/>
      <c r="AE6604" s="451"/>
      <c r="AF6604" s="451"/>
      <c r="AG6604" s="451"/>
      <c r="AH6604" s="451"/>
      <c r="AI6604" s="451"/>
      <c r="AJ6604" s="451"/>
      <c r="AK6604" s="451"/>
      <c r="AL6604" s="451"/>
      <c r="AM6604" s="451"/>
      <c r="AN6604" s="451"/>
      <c r="AO6604" s="451"/>
      <c r="AP6604" s="451"/>
      <c r="AQ6604" s="451"/>
      <c r="AR6604" s="451"/>
      <c r="AS6604" s="451"/>
      <c r="AT6604" s="451"/>
      <c r="AU6604" s="451"/>
      <c r="AV6604" s="451"/>
      <c r="AW6604" s="451"/>
      <c r="AX6604" s="451"/>
      <c r="AY6604" s="451"/>
      <c r="AZ6604" s="451"/>
      <c r="BA6604" s="451"/>
      <c r="BB6604" s="451"/>
      <c r="BC6604" s="451"/>
      <c r="BD6604" s="451"/>
      <c r="BE6604" s="451"/>
      <c r="BF6604" s="451"/>
      <c r="BG6604" s="451"/>
      <c r="BH6604" s="451"/>
      <c r="BI6604" s="451"/>
      <c r="BJ6604" s="451"/>
      <c r="BK6604" s="451"/>
      <c r="BL6604" s="451"/>
      <c r="BM6604" s="451"/>
      <c r="BN6604" s="451"/>
      <c r="BO6604" s="451"/>
      <c r="BP6604" s="451"/>
      <c r="BQ6604" s="451"/>
      <c r="BR6604" s="451"/>
      <c r="BS6604" s="451"/>
      <c r="BT6604" s="451"/>
      <c r="BU6604" s="451"/>
      <c r="BV6604" s="451"/>
      <c r="BW6604" s="451"/>
      <c r="BX6604" s="451"/>
      <c r="BY6604" s="451"/>
      <c r="BZ6604" s="451"/>
      <c r="CA6604" s="451"/>
      <c r="CB6604" s="451"/>
      <c r="CC6604" s="451"/>
      <c r="CD6604" s="451"/>
      <c r="CE6604" s="451"/>
      <c r="CF6604" s="451"/>
      <c r="CG6604" s="451"/>
      <c r="CH6604" s="451"/>
      <c r="CI6604" s="451"/>
      <c r="CJ6604" s="451"/>
      <c r="CK6604" s="451"/>
      <c r="CL6604" s="451"/>
      <c r="CM6604" s="451"/>
      <c r="CN6604" s="451"/>
      <c r="CO6604" s="451"/>
      <c r="CP6604" s="451"/>
      <c r="CQ6604" s="451"/>
      <c r="CR6604" s="451"/>
      <c r="CS6604" s="451"/>
      <c r="CT6604" s="451"/>
      <c r="CU6604" s="451"/>
      <c r="CV6604" s="451"/>
      <c r="CW6604" s="451"/>
      <c r="CX6604" s="451"/>
      <c r="CY6604" s="451"/>
      <c r="CZ6604" s="451"/>
      <c r="DA6604" s="451"/>
      <c r="DB6604" s="451"/>
      <c r="DC6604" s="451"/>
      <c r="DD6604" s="451"/>
      <c r="DE6604" s="451"/>
      <c r="DF6604" s="451"/>
      <c r="DG6604" s="451"/>
      <c r="DH6604" s="451"/>
      <c r="DI6604" s="451"/>
      <c r="DJ6604" s="451"/>
      <c r="DK6604" s="451"/>
      <c r="DL6604" s="451"/>
      <c r="DM6604" s="451"/>
      <c r="DN6604" s="451"/>
      <c r="DO6604" s="451"/>
      <c r="DP6604" s="451"/>
      <c r="DQ6604" s="451"/>
      <c r="DR6604" s="451"/>
      <c r="DS6604" s="451"/>
      <c r="DT6604" s="451"/>
      <c r="DU6604" s="451"/>
      <c r="DV6604" s="451"/>
      <c r="DW6604" s="451"/>
      <c r="DX6604" s="451"/>
      <c r="DY6604" s="451"/>
      <c r="DZ6604" s="451"/>
      <c r="EA6604" s="451"/>
      <c r="EB6604" s="451"/>
      <c r="EC6604" s="451"/>
      <c r="ED6604" s="451"/>
      <c r="EE6604" s="451"/>
      <c r="EF6604" s="451"/>
      <c r="EG6604" s="451"/>
      <c r="EH6604" s="451"/>
      <c r="EI6604" s="451"/>
      <c r="EJ6604" s="451"/>
      <c r="EK6604" s="451"/>
      <c r="EL6604" s="451"/>
      <c r="EM6604" s="451"/>
      <c r="EN6604" s="451"/>
      <c r="EO6604" s="451"/>
      <c r="EP6604" s="451"/>
      <c r="EQ6604" s="451"/>
      <c r="ER6604" s="451"/>
      <c r="ES6604" s="451"/>
    </row>
    <row r="6605" spans="1:149" ht="15" hidden="1" customHeight="1">
      <c r="A6605" s="468">
        <v>45562</v>
      </c>
      <c r="B6605" s="208" t="s">
        <v>5357</v>
      </c>
      <c r="C6605" s="208" t="s">
        <v>27</v>
      </c>
      <c r="D6605" s="211">
        <v>-5996168.3092749994</v>
      </c>
      <c r="E6605" s="212">
        <v>45536</v>
      </c>
      <c r="F6605" s="208" t="s">
        <v>130</v>
      </c>
      <c r="G6605" s="208" t="s">
        <v>257</v>
      </c>
      <c r="H6605" s="208" t="s">
        <v>2421</v>
      </c>
      <c r="I6605" s="208"/>
      <c r="J6605" s="209"/>
      <c r="K6605" s="209"/>
      <c r="L6605" s="209"/>
      <c r="M6605" s="209"/>
      <c r="N6605" s="209"/>
      <c r="O6605" s="209"/>
      <c r="P6605" s="209"/>
      <c r="Q6605" s="209"/>
      <c r="R6605" s="209"/>
      <c r="S6605" s="209"/>
      <c r="T6605" s="209"/>
      <c r="U6605" s="451"/>
      <c r="V6605" s="451"/>
      <c r="W6605" s="451"/>
      <c r="X6605" s="451"/>
      <c r="Y6605" s="451"/>
      <c r="Z6605" s="451"/>
      <c r="AA6605" s="451"/>
      <c r="AB6605" s="451"/>
      <c r="AC6605" s="451"/>
      <c r="AD6605" s="451"/>
      <c r="AE6605" s="451"/>
      <c r="AF6605" s="451"/>
      <c r="AG6605" s="451"/>
      <c r="AH6605" s="451"/>
      <c r="AI6605" s="451"/>
      <c r="AJ6605" s="451"/>
      <c r="AK6605" s="451"/>
      <c r="AL6605" s="451"/>
      <c r="AM6605" s="451"/>
      <c r="AN6605" s="451"/>
      <c r="AO6605" s="451"/>
      <c r="AP6605" s="451"/>
      <c r="AQ6605" s="451"/>
      <c r="AR6605" s="451"/>
      <c r="AS6605" s="451"/>
      <c r="AT6605" s="451"/>
      <c r="AU6605" s="451"/>
      <c r="AV6605" s="451"/>
      <c r="AW6605" s="451"/>
      <c r="AX6605" s="451"/>
      <c r="AY6605" s="451"/>
      <c r="AZ6605" s="451"/>
      <c r="BA6605" s="451"/>
      <c r="BB6605" s="451"/>
      <c r="BC6605" s="451"/>
      <c r="BD6605" s="451"/>
      <c r="BE6605" s="451"/>
      <c r="BF6605" s="451"/>
      <c r="BG6605" s="451"/>
      <c r="BH6605" s="451"/>
      <c r="BI6605" s="451"/>
      <c r="BJ6605" s="451"/>
      <c r="BK6605" s="451"/>
      <c r="BL6605" s="451"/>
      <c r="BM6605" s="451"/>
      <c r="BN6605" s="451"/>
      <c r="BO6605" s="451"/>
      <c r="BP6605" s="451"/>
      <c r="BQ6605" s="451"/>
      <c r="BR6605" s="451"/>
      <c r="BS6605" s="451"/>
      <c r="BT6605" s="451"/>
      <c r="BU6605" s="451"/>
      <c r="BV6605" s="451"/>
      <c r="BW6605" s="451"/>
      <c r="BX6605" s="451"/>
      <c r="BY6605" s="451"/>
      <c r="BZ6605" s="451"/>
      <c r="CA6605" s="451"/>
      <c r="CB6605" s="451"/>
      <c r="CC6605" s="451"/>
      <c r="CD6605" s="451"/>
      <c r="CE6605" s="451"/>
      <c r="CF6605" s="451"/>
      <c r="CG6605" s="451"/>
      <c r="CH6605" s="451"/>
      <c r="CI6605" s="451"/>
      <c r="CJ6605" s="451"/>
      <c r="CK6605" s="451"/>
      <c r="CL6605" s="451"/>
      <c r="CM6605" s="451"/>
      <c r="CN6605" s="451"/>
      <c r="CO6605" s="451"/>
      <c r="CP6605" s="451"/>
      <c r="CQ6605" s="451"/>
      <c r="CR6605" s="451"/>
      <c r="CS6605" s="451"/>
      <c r="CT6605" s="451"/>
      <c r="CU6605" s="451"/>
      <c r="CV6605" s="451"/>
      <c r="CW6605" s="451"/>
      <c r="CX6605" s="451"/>
      <c r="CY6605" s="451"/>
      <c r="CZ6605" s="451"/>
      <c r="DA6605" s="451"/>
      <c r="DB6605" s="451"/>
      <c r="DC6605" s="451"/>
      <c r="DD6605" s="451"/>
      <c r="DE6605" s="451"/>
      <c r="DF6605" s="451"/>
      <c r="DG6605" s="451"/>
      <c r="DH6605" s="451"/>
      <c r="DI6605" s="451"/>
      <c r="DJ6605" s="451"/>
      <c r="DK6605" s="451"/>
      <c r="DL6605" s="451"/>
      <c r="DM6605" s="451"/>
      <c r="DN6605" s="451"/>
      <c r="DO6605" s="451"/>
      <c r="DP6605" s="451"/>
      <c r="DQ6605" s="451"/>
      <c r="DR6605" s="451"/>
      <c r="DS6605" s="451"/>
      <c r="DT6605" s="451"/>
      <c r="DU6605" s="451"/>
      <c r="DV6605" s="451"/>
      <c r="DW6605" s="451"/>
      <c r="DX6605" s="451"/>
      <c r="DY6605" s="451"/>
      <c r="DZ6605" s="451"/>
      <c r="EA6605" s="451"/>
      <c r="EB6605" s="451"/>
      <c r="EC6605" s="451"/>
      <c r="ED6605" s="451"/>
      <c r="EE6605" s="451"/>
      <c r="EF6605" s="451"/>
      <c r="EG6605" s="451"/>
      <c r="EH6605" s="451"/>
      <c r="EI6605" s="451"/>
      <c r="EJ6605" s="451"/>
      <c r="EK6605" s="451"/>
      <c r="EL6605" s="451"/>
      <c r="EM6605" s="451"/>
      <c r="EN6605" s="451"/>
      <c r="EO6605" s="451"/>
      <c r="EP6605" s="451"/>
      <c r="EQ6605" s="451"/>
      <c r="ER6605" s="451"/>
      <c r="ES6605" s="451"/>
    </row>
    <row r="6606" spans="1:149" s="209" customFormat="1" ht="15" hidden="1" customHeight="1">
      <c r="A6606" s="468">
        <v>45562</v>
      </c>
      <c r="B6606" s="208" t="s">
        <v>5358</v>
      </c>
      <c r="C6606" s="208" t="s">
        <v>27</v>
      </c>
      <c r="D6606" s="718">
        <v>-771000</v>
      </c>
      <c r="E6606" s="212">
        <v>45536</v>
      </c>
      <c r="F6606" s="208" t="s">
        <v>109</v>
      </c>
      <c r="G6606" s="201" t="s">
        <v>581</v>
      </c>
      <c r="H6606" s="208"/>
      <c r="I6606" s="208"/>
    </row>
    <row r="6607" spans="1:149" s="209" customFormat="1" ht="15" hidden="1" customHeight="1">
      <c r="A6607" s="468">
        <v>45562</v>
      </c>
      <c r="B6607" s="208" t="s">
        <v>5359</v>
      </c>
      <c r="C6607" s="208" t="s">
        <v>27</v>
      </c>
      <c r="D6607" s="718">
        <v>-771000</v>
      </c>
      <c r="E6607" s="212">
        <v>45536</v>
      </c>
      <c r="F6607" s="208" t="s">
        <v>109</v>
      </c>
      <c r="G6607" s="201" t="s">
        <v>581</v>
      </c>
      <c r="H6607" s="208"/>
      <c r="I6607" s="208"/>
    </row>
    <row r="6608" spans="1:149" ht="15" hidden="1" customHeight="1">
      <c r="A6608" s="468">
        <v>45562</v>
      </c>
      <c r="B6608" s="208" t="s">
        <v>5360</v>
      </c>
      <c r="C6608" s="208" t="s">
        <v>27</v>
      </c>
      <c r="D6608" s="211">
        <v>-679000</v>
      </c>
      <c r="E6608" s="212">
        <v>45536</v>
      </c>
      <c r="F6608" s="208" t="s">
        <v>109</v>
      </c>
      <c r="G6608" s="208" t="s">
        <v>3529</v>
      </c>
      <c r="H6608" s="208" t="s">
        <v>147</v>
      </c>
      <c r="I6608" s="208"/>
      <c r="J6608" s="209"/>
      <c r="K6608" s="209"/>
      <c r="L6608" s="209"/>
      <c r="M6608" s="209"/>
      <c r="N6608" s="209"/>
      <c r="O6608" s="209"/>
      <c r="P6608" s="209"/>
      <c r="Q6608" s="209"/>
      <c r="R6608" s="209"/>
      <c r="S6608" s="209"/>
      <c r="T6608" s="209"/>
      <c r="U6608" s="451"/>
      <c r="V6608" s="451"/>
      <c r="W6608" s="451"/>
      <c r="X6608" s="451"/>
      <c r="Y6608" s="451"/>
      <c r="Z6608" s="451"/>
      <c r="AA6608" s="451"/>
      <c r="AB6608" s="451"/>
      <c r="AC6608" s="451"/>
      <c r="AD6608" s="451"/>
      <c r="AE6608" s="451"/>
      <c r="AF6608" s="451"/>
      <c r="AG6608" s="451"/>
      <c r="AH6608" s="451"/>
      <c r="AI6608" s="451"/>
      <c r="AJ6608" s="451"/>
      <c r="AK6608" s="451"/>
      <c r="AL6608" s="451"/>
      <c r="AM6608" s="451"/>
      <c r="AN6608" s="451"/>
      <c r="AO6608" s="451"/>
      <c r="AP6608" s="451"/>
      <c r="AQ6608" s="451"/>
      <c r="AR6608" s="451"/>
      <c r="AS6608" s="451"/>
      <c r="AT6608" s="451"/>
      <c r="AU6608" s="451"/>
      <c r="AV6608" s="451"/>
      <c r="AW6608" s="451"/>
      <c r="AX6608" s="451"/>
      <c r="AY6608" s="451"/>
      <c r="AZ6608" s="451"/>
      <c r="BA6608" s="451"/>
      <c r="BB6608" s="451"/>
      <c r="BC6608" s="451"/>
      <c r="BD6608" s="451"/>
      <c r="BE6608" s="451"/>
      <c r="BF6608" s="451"/>
      <c r="BG6608" s="451"/>
      <c r="BH6608" s="451"/>
      <c r="BI6608" s="451"/>
      <c r="BJ6608" s="451"/>
      <c r="BK6608" s="451"/>
      <c r="BL6608" s="451"/>
      <c r="BM6608" s="451"/>
      <c r="BN6608" s="451"/>
      <c r="BO6608" s="451"/>
      <c r="BP6608" s="451"/>
      <c r="BQ6608" s="451"/>
      <c r="BR6608" s="451"/>
      <c r="BS6608" s="451"/>
      <c r="BT6608" s="451"/>
      <c r="BU6608" s="451"/>
      <c r="BV6608" s="451"/>
      <c r="BW6608" s="451"/>
      <c r="BX6608" s="451"/>
      <c r="BY6608" s="451"/>
      <c r="BZ6608" s="451"/>
      <c r="CA6608" s="451"/>
      <c r="CB6608" s="451"/>
      <c r="CC6608" s="451"/>
      <c r="CD6608" s="451"/>
      <c r="CE6608" s="451"/>
      <c r="CF6608" s="451"/>
      <c r="CG6608" s="451"/>
      <c r="CH6608" s="451"/>
      <c r="CI6608" s="451"/>
      <c r="CJ6608" s="451"/>
      <c r="CK6608" s="451"/>
      <c r="CL6608" s="451"/>
      <c r="CM6608" s="451"/>
      <c r="CN6608" s="451"/>
      <c r="CO6608" s="451"/>
      <c r="CP6608" s="451"/>
      <c r="CQ6608" s="451"/>
      <c r="CR6608" s="451"/>
      <c r="CS6608" s="451"/>
      <c r="CT6608" s="451"/>
      <c r="CU6608" s="451"/>
      <c r="CV6608" s="451"/>
      <c r="CW6608" s="451"/>
      <c r="CX6608" s="451"/>
      <c r="CY6608" s="451"/>
      <c r="CZ6608" s="451"/>
      <c r="DA6608" s="451"/>
      <c r="DB6608" s="451"/>
      <c r="DC6608" s="451"/>
      <c r="DD6608" s="451"/>
      <c r="DE6608" s="451"/>
      <c r="DF6608" s="451"/>
      <c r="DG6608" s="451"/>
      <c r="DH6608" s="451"/>
      <c r="DI6608" s="451"/>
      <c r="DJ6608" s="451"/>
      <c r="DK6608" s="451"/>
      <c r="DL6608" s="451"/>
      <c r="DM6608" s="451"/>
      <c r="DN6608" s="451"/>
      <c r="DO6608" s="451"/>
      <c r="DP6608" s="451"/>
      <c r="DQ6608" s="451"/>
      <c r="DR6608" s="451"/>
      <c r="DS6608" s="451"/>
      <c r="DT6608" s="451"/>
      <c r="DU6608" s="451"/>
      <c r="DV6608" s="451"/>
      <c r="DW6608" s="451"/>
      <c r="DX6608" s="451"/>
      <c r="DY6608" s="451"/>
      <c r="DZ6608" s="451"/>
      <c r="EA6608" s="451"/>
      <c r="EB6608" s="451"/>
      <c r="EC6608" s="451"/>
      <c r="ED6608" s="451"/>
      <c r="EE6608" s="451"/>
      <c r="EF6608" s="451"/>
      <c r="EG6608" s="451"/>
      <c r="EH6608" s="451"/>
      <c r="EI6608" s="451"/>
      <c r="EJ6608" s="451"/>
      <c r="EK6608" s="451"/>
      <c r="EL6608" s="451"/>
      <c r="EM6608" s="451"/>
      <c r="EN6608" s="451"/>
      <c r="EO6608" s="451"/>
      <c r="EP6608" s="451"/>
      <c r="EQ6608" s="451"/>
      <c r="ER6608" s="451"/>
      <c r="ES6608" s="451"/>
    </row>
    <row r="6609" spans="1:149" ht="15" hidden="1" customHeight="1">
      <c r="A6609" s="468">
        <v>45562</v>
      </c>
      <c r="B6609" s="208" t="s">
        <v>5361</v>
      </c>
      <c r="C6609" s="208" t="s">
        <v>27</v>
      </c>
      <c r="D6609" s="211">
        <v>-685500</v>
      </c>
      <c r="E6609" s="212">
        <v>45536</v>
      </c>
      <c r="F6609" s="208" t="s">
        <v>2531</v>
      </c>
      <c r="G6609" s="208" t="s">
        <v>4294</v>
      </c>
      <c r="H6609" s="208" t="s">
        <v>147</v>
      </c>
      <c r="I6609" s="208"/>
      <c r="J6609" s="209"/>
      <c r="K6609" s="209"/>
      <c r="L6609" s="209"/>
      <c r="M6609" s="209"/>
      <c r="N6609" s="209"/>
      <c r="O6609" s="209"/>
      <c r="P6609" s="209"/>
      <c r="Q6609" s="209"/>
      <c r="R6609" s="209"/>
      <c r="S6609" s="209"/>
      <c r="T6609" s="209"/>
      <c r="U6609" s="451"/>
      <c r="V6609" s="451"/>
      <c r="W6609" s="451"/>
      <c r="X6609" s="451"/>
      <c r="Y6609" s="451"/>
      <c r="Z6609" s="451"/>
      <c r="AA6609" s="451"/>
      <c r="AB6609" s="451"/>
      <c r="AC6609" s="451"/>
      <c r="AD6609" s="451"/>
      <c r="AE6609" s="451"/>
      <c r="AF6609" s="451"/>
      <c r="AG6609" s="451"/>
      <c r="AH6609" s="451"/>
      <c r="AI6609" s="451"/>
      <c r="AJ6609" s="451"/>
      <c r="AK6609" s="451"/>
      <c r="AL6609" s="451"/>
      <c r="AM6609" s="451"/>
      <c r="AN6609" s="451"/>
      <c r="AO6609" s="451"/>
      <c r="AP6609" s="451"/>
      <c r="AQ6609" s="451"/>
      <c r="AR6609" s="451"/>
      <c r="AS6609" s="451"/>
      <c r="AT6609" s="451"/>
      <c r="AU6609" s="451"/>
      <c r="AV6609" s="451"/>
      <c r="AW6609" s="451"/>
      <c r="AX6609" s="451"/>
      <c r="AY6609" s="451"/>
      <c r="AZ6609" s="451"/>
      <c r="BA6609" s="451"/>
      <c r="BB6609" s="451"/>
      <c r="BC6609" s="451"/>
      <c r="BD6609" s="451"/>
      <c r="BE6609" s="451"/>
      <c r="BF6609" s="451"/>
      <c r="BG6609" s="451"/>
      <c r="BH6609" s="451"/>
      <c r="BI6609" s="451"/>
      <c r="BJ6609" s="451"/>
      <c r="BK6609" s="451"/>
      <c r="BL6609" s="451"/>
      <c r="BM6609" s="451"/>
      <c r="BN6609" s="451"/>
      <c r="BO6609" s="451"/>
      <c r="BP6609" s="451"/>
      <c r="BQ6609" s="451"/>
      <c r="BR6609" s="451"/>
      <c r="BS6609" s="451"/>
      <c r="BT6609" s="451"/>
      <c r="BU6609" s="451"/>
      <c r="BV6609" s="451"/>
      <c r="BW6609" s="451"/>
      <c r="BX6609" s="451"/>
      <c r="BY6609" s="451"/>
      <c r="BZ6609" s="451"/>
      <c r="CA6609" s="451"/>
      <c r="CB6609" s="451"/>
      <c r="CC6609" s="451"/>
      <c r="CD6609" s="451"/>
      <c r="CE6609" s="451"/>
      <c r="CF6609" s="451"/>
      <c r="CG6609" s="451"/>
      <c r="CH6609" s="451"/>
      <c r="CI6609" s="451"/>
      <c r="CJ6609" s="451"/>
      <c r="CK6609" s="451"/>
      <c r="CL6609" s="451"/>
      <c r="CM6609" s="451"/>
      <c r="CN6609" s="451"/>
      <c r="CO6609" s="451"/>
      <c r="CP6609" s="451"/>
      <c r="CQ6609" s="451"/>
      <c r="CR6609" s="451"/>
      <c r="CS6609" s="451"/>
      <c r="CT6609" s="451"/>
      <c r="CU6609" s="451"/>
      <c r="CV6609" s="451"/>
      <c r="CW6609" s="451"/>
      <c r="CX6609" s="451"/>
      <c r="CY6609" s="451"/>
      <c r="CZ6609" s="451"/>
      <c r="DA6609" s="451"/>
      <c r="DB6609" s="451"/>
      <c r="DC6609" s="451"/>
      <c r="DD6609" s="451"/>
      <c r="DE6609" s="451"/>
      <c r="DF6609" s="451"/>
      <c r="DG6609" s="451"/>
      <c r="DH6609" s="451"/>
      <c r="DI6609" s="451"/>
      <c r="DJ6609" s="451"/>
      <c r="DK6609" s="451"/>
      <c r="DL6609" s="451"/>
      <c r="DM6609" s="451"/>
      <c r="DN6609" s="451"/>
      <c r="DO6609" s="451"/>
      <c r="DP6609" s="451"/>
      <c r="DQ6609" s="451"/>
      <c r="DR6609" s="451"/>
      <c r="DS6609" s="451"/>
      <c r="DT6609" s="451"/>
      <c r="DU6609" s="451"/>
      <c r="DV6609" s="451"/>
      <c r="DW6609" s="451"/>
      <c r="DX6609" s="451"/>
      <c r="DY6609" s="451"/>
      <c r="DZ6609" s="451"/>
      <c r="EA6609" s="451"/>
      <c r="EB6609" s="451"/>
      <c r="EC6609" s="451"/>
      <c r="ED6609" s="451"/>
      <c r="EE6609" s="451"/>
      <c r="EF6609" s="451"/>
      <c r="EG6609" s="451"/>
      <c r="EH6609" s="451"/>
      <c r="EI6609" s="451"/>
      <c r="EJ6609" s="451"/>
      <c r="EK6609" s="451"/>
      <c r="EL6609" s="451"/>
      <c r="EM6609" s="451"/>
      <c r="EN6609" s="451"/>
      <c r="EO6609" s="451"/>
      <c r="EP6609" s="451"/>
      <c r="EQ6609" s="451"/>
      <c r="ER6609" s="451"/>
      <c r="ES6609" s="451"/>
    </row>
    <row r="6610" spans="1:149" ht="15" hidden="1" customHeight="1">
      <c r="A6610" s="468">
        <v>45562</v>
      </c>
      <c r="B6610" s="208" t="s">
        <v>5362</v>
      </c>
      <c r="C6610" s="208" t="s">
        <v>27</v>
      </c>
      <c r="D6610" s="211">
        <v>-970700</v>
      </c>
      <c r="E6610" s="212">
        <v>45536</v>
      </c>
      <c r="F6610" s="208" t="s">
        <v>2531</v>
      </c>
      <c r="G6610" s="208" t="s">
        <v>4294</v>
      </c>
      <c r="H6610" s="208" t="s">
        <v>147</v>
      </c>
      <c r="I6610" s="208"/>
      <c r="J6610" s="209"/>
      <c r="K6610" s="209"/>
      <c r="L6610" s="209"/>
      <c r="M6610" s="209"/>
      <c r="N6610" s="209"/>
      <c r="O6610" s="209"/>
      <c r="P6610" s="209"/>
      <c r="Q6610" s="209"/>
      <c r="R6610" s="209"/>
      <c r="S6610" s="209"/>
      <c r="T6610" s="209"/>
      <c r="U6610" s="451"/>
      <c r="V6610" s="451"/>
      <c r="W6610" s="451"/>
      <c r="X6610" s="451"/>
      <c r="Y6610" s="451"/>
      <c r="Z6610" s="451"/>
      <c r="AA6610" s="451"/>
      <c r="AB6610" s="451"/>
      <c r="AC6610" s="451"/>
      <c r="AD6610" s="451"/>
      <c r="AE6610" s="451"/>
      <c r="AF6610" s="451"/>
      <c r="AG6610" s="451"/>
      <c r="AH6610" s="451"/>
      <c r="AI6610" s="451"/>
      <c r="AJ6610" s="451"/>
      <c r="AK6610" s="451"/>
      <c r="AL6610" s="451"/>
      <c r="AM6610" s="451"/>
      <c r="AN6610" s="451"/>
      <c r="AO6610" s="451"/>
      <c r="AP6610" s="451"/>
      <c r="AQ6610" s="451"/>
      <c r="AR6610" s="451"/>
      <c r="AS6610" s="451"/>
      <c r="AT6610" s="451"/>
      <c r="AU6610" s="451"/>
      <c r="AV6610" s="451"/>
      <c r="AW6610" s="451"/>
      <c r="AX6610" s="451"/>
      <c r="AY6610" s="451"/>
      <c r="AZ6610" s="451"/>
      <c r="BA6610" s="451"/>
      <c r="BB6610" s="451"/>
      <c r="BC6610" s="451"/>
      <c r="BD6610" s="451"/>
      <c r="BE6610" s="451"/>
      <c r="BF6610" s="451"/>
      <c r="BG6610" s="451"/>
      <c r="BH6610" s="451"/>
      <c r="BI6610" s="451"/>
      <c r="BJ6610" s="451"/>
      <c r="BK6610" s="451"/>
      <c r="BL6610" s="451"/>
      <c r="BM6610" s="451"/>
      <c r="BN6610" s="451"/>
      <c r="BO6610" s="451"/>
      <c r="BP6610" s="451"/>
      <c r="BQ6610" s="451"/>
      <c r="BR6610" s="451"/>
      <c r="BS6610" s="451"/>
      <c r="BT6610" s="451"/>
      <c r="BU6610" s="451"/>
      <c r="BV6610" s="451"/>
      <c r="BW6610" s="451"/>
      <c r="BX6610" s="451"/>
      <c r="BY6610" s="451"/>
      <c r="BZ6610" s="451"/>
      <c r="CA6610" s="451"/>
      <c r="CB6610" s="451"/>
      <c r="CC6610" s="451"/>
      <c r="CD6610" s="451"/>
      <c r="CE6610" s="451"/>
      <c r="CF6610" s="451"/>
      <c r="CG6610" s="451"/>
      <c r="CH6610" s="451"/>
      <c r="CI6610" s="451"/>
      <c r="CJ6610" s="451"/>
      <c r="CK6610" s="451"/>
      <c r="CL6610" s="451"/>
      <c r="CM6610" s="451"/>
      <c r="CN6610" s="451"/>
      <c r="CO6610" s="451"/>
      <c r="CP6610" s="451"/>
      <c r="CQ6610" s="451"/>
      <c r="CR6610" s="451"/>
      <c r="CS6610" s="451"/>
      <c r="CT6610" s="451"/>
      <c r="CU6610" s="451"/>
      <c r="CV6610" s="451"/>
      <c r="CW6610" s="451"/>
      <c r="CX6610" s="451"/>
      <c r="CY6610" s="451"/>
      <c r="CZ6610" s="451"/>
      <c r="DA6610" s="451"/>
      <c r="DB6610" s="451"/>
      <c r="DC6610" s="451"/>
      <c r="DD6610" s="451"/>
      <c r="DE6610" s="451"/>
      <c r="DF6610" s="451"/>
      <c r="DG6610" s="451"/>
      <c r="DH6610" s="451"/>
      <c r="DI6610" s="451"/>
      <c r="DJ6610" s="451"/>
      <c r="DK6610" s="451"/>
      <c r="DL6610" s="451"/>
      <c r="DM6610" s="451"/>
      <c r="DN6610" s="451"/>
      <c r="DO6610" s="451"/>
      <c r="DP6610" s="451"/>
      <c r="DQ6610" s="451"/>
      <c r="DR6610" s="451"/>
      <c r="DS6610" s="451"/>
      <c r="DT6610" s="451"/>
      <c r="DU6610" s="451"/>
      <c r="DV6610" s="451"/>
      <c r="DW6610" s="451"/>
      <c r="DX6610" s="451"/>
      <c r="DY6610" s="451"/>
      <c r="DZ6610" s="451"/>
      <c r="EA6610" s="451"/>
      <c r="EB6610" s="451"/>
      <c r="EC6610" s="451"/>
      <c r="ED6610" s="451"/>
      <c r="EE6610" s="451"/>
      <c r="EF6610" s="451"/>
      <c r="EG6610" s="451"/>
      <c r="EH6610" s="451"/>
      <c r="EI6610" s="451"/>
      <c r="EJ6610" s="451"/>
      <c r="EK6610" s="451"/>
      <c r="EL6610" s="451"/>
      <c r="EM6610" s="451"/>
      <c r="EN6610" s="451"/>
      <c r="EO6610" s="451"/>
      <c r="EP6610" s="451"/>
      <c r="EQ6610" s="451"/>
      <c r="ER6610" s="451"/>
      <c r="ES6610" s="451"/>
    </row>
    <row r="6611" spans="1:149" ht="15" hidden="1" customHeight="1">
      <c r="A6611" s="468">
        <v>45562</v>
      </c>
      <c r="B6611" s="208" t="s">
        <v>5363</v>
      </c>
      <c r="C6611" s="208" t="s">
        <v>27</v>
      </c>
      <c r="D6611" s="211">
        <v>-679000</v>
      </c>
      <c r="E6611" s="212">
        <v>45536</v>
      </c>
      <c r="F6611" s="208" t="s">
        <v>2531</v>
      </c>
      <c r="G6611" s="201" t="s">
        <v>1489</v>
      </c>
      <c r="H6611" s="208" t="s">
        <v>147</v>
      </c>
      <c r="I6611" s="208"/>
      <c r="J6611" s="209"/>
      <c r="K6611" s="209"/>
      <c r="L6611" s="209"/>
      <c r="M6611" s="209"/>
      <c r="N6611" s="209"/>
      <c r="O6611" s="209"/>
      <c r="P6611" s="209"/>
      <c r="Q6611" s="209"/>
      <c r="R6611" s="209"/>
      <c r="S6611" s="209"/>
      <c r="T6611" s="209"/>
      <c r="U6611" s="451"/>
      <c r="V6611" s="451"/>
      <c r="W6611" s="451"/>
      <c r="X6611" s="451"/>
      <c r="Y6611" s="451"/>
      <c r="Z6611" s="451"/>
      <c r="AA6611" s="451"/>
      <c r="AB6611" s="451"/>
      <c r="AC6611" s="451"/>
      <c r="AD6611" s="451"/>
      <c r="AE6611" s="451"/>
      <c r="AF6611" s="451"/>
      <c r="AG6611" s="451"/>
      <c r="AH6611" s="451"/>
      <c r="AI6611" s="451"/>
      <c r="AJ6611" s="451"/>
      <c r="AK6611" s="451"/>
      <c r="AL6611" s="451"/>
      <c r="AM6611" s="451"/>
      <c r="AN6611" s="451"/>
      <c r="AO6611" s="451"/>
      <c r="AP6611" s="451"/>
      <c r="AQ6611" s="451"/>
      <c r="AR6611" s="451"/>
      <c r="AS6611" s="451"/>
      <c r="AT6611" s="451"/>
      <c r="AU6611" s="451"/>
      <c r="AV6611" s="451"/>
      <c r="AW6611" s="451"/>
      <c r="AX6611" s="451"/>
      <c r="AY6611" s="451"/>
      <c r="AZ6611" s="451"/>
      <c r="BA6611" s="451"/>
      <c r="BB6611" s="451"/>
      <c r="BC6611" s="451"/>
      <c r="BD6611" s="451"/>
      <c r="BE6611" s="451"/>
      <c r="BF6611" s="451"/>
      <c r="BG6611" s="451"/>
      <c r="BH6611" s="451"/>
      <c r="BI6611" s="451"/>
      <c r="BJ6611" s="451"/>
      <c r="BK6611" s="451"/>
      <c r="BL6611" s="451"/>
      <c r="BM6611" s="451"/>
      <c r="BN6611" s="451"/>
      <c r="BO6611" s="451"/>
      <c r="BP6611" s="451"/>
      <c r="BQ6611" s="451"/>
      <c r="BR6611" s="451"/>
      <c r="BS6611" s="451"/>
      <c r="BT6611" s="451"/>
      <c r="BU6611" s="451"/>
      <c r="BV6611" s="451"/>
      <c r="BW6611" s="451"/>
      <c r="BX6611" s="451"/>
      <c r="BY6611" s="451"/>
      <c r="BZ6611" s="451"/>
      <c r="CA6611" s="451"/>
      <c r="CB6611" s="451"/>
      <c r="CC6611" s="451"/>
      <c r="CD6611" s="451"/>
      <c r="CE6611" s="451"/>
      <c r="CF6611" s="451"/>
      <c r="CG6611" s="451"/>
      <c r="CH6611" s="451"/>
      <c r="CI6611" s="451"/>
      <c r="CJ6611" s="451"/>
      <c r="CK6611" s="451"/>
      <c r="CL6611" s="451"/>
      <c r="CM6611" s="451"/>
      <c r="CN6611" s="451"/>
      <c r="CO6611" s="451"/>
      <c r="CP6611" s="451"/>
      <c r="CQ6611" s="451"/>
      <c r="CR6611" s="451"/>
      <c r="CS6611" s="451"/>
      <c r="CT6611" s="451"/>
      <c r="CU6611" s="451"/>
      <c r="CV6611" s="451"/>
      <c r="CW6611" s="451"/>
      <c r="CX6611" s="451"/>
      <c r="CY6611" s="451"/>
      <c r="CZ6611" s="451"/>
      <c r="DA6611" s="451"/>
      <c r="DB6611" s="451"/>
      <c r="DC6611" s="451"/>
      <c r="DD6611" s="451"/>
      <c r="DE6611" s="451"/>
      <c r="DF6611" s="451"/>
      <c r="DG6611" s="451"/>
      <c r="DH6611" s="451"/>
      <c r="DI6611" s="451"/>
      <c r="DJ6611" s="451"/>
      <c r="DK6611" s="451"/>
      <c r="DL6611" s="451"/>
      <c r="DM6611" s="451"/>
      <c r="DN6611" s="451"/>
      <c r="DO6611" s="451"/>
      <c r="DP6611" s="451"/>
      <c r="DQ6611" s="451"/>
      <c r="DR6611" s="451"/>
      <c r="DS6611" s="451"/>
      <c r="DT6611" s="451"/>
      <c r="DU6611" s="451"/>
      <c r="DV6611" s="451"/>
      <c r="DW6611" s="451"/>
      <c r="DX6611" s="451"/>
      <c r="DY6611" s="451"/>
      <c r="DZ6611" s="451"/>
      <c r="EA6611" s="451"/>
      <c r="EB6611" s="451"/>
      <c r="EC6611" s="451"/>
      <c r="ED6611" s="451"/>
      <c r="EE6611" s="451"/>
      <c r="EF6611" s="451"/>
      <c r="EG6611" s="451"/>
      <c r="EH6611" s="451"/>
      <c r="EI6611" s="451"/>
      <c r="EJ6611" s="451"/>
      <c r="EK6611" s="451"/>
      <c r="EL6611" s="451"/>
      <c r="EM6611" s="451"/>
      <c r="EN6611" s="451"/>
      <c r="EO6611" s="451"/>
      <c r="EP6611" s="451"/>
      <c r="EQ6611" s="451"/>
      <c r="ER6611" s="451"/>
      <c r="ES6611" s="451"/>
    </row>
    <row r="6612" spans="1:149" ht="15" hidden="1" customHeight="1">
      <c r="A6612" s="468">
        <v>45562</v>
      </c>
      <c r="B6612" s="208" t="s">
        <v>5364</v>
      </c>
      <c r="C6612" s="208" t="s">
        <v>27</v>
      </c>
      <c r="D6612" s="211">
        <v>-2768000</v>
      </c>
      <c r="E6612" s="212">
        <v>45536</v>
      </c>
      <c r="F6612" s="208" t="s">
        <v>130</v>
      </c>
      <c r="G6612" s="208" t="s">
        <v>257</v>
      </c>
      <c r="H6612" s="208" t="s">
        <v>2421</v>
      </c>
      <c r="I6612" s="208"/>
      <c r="J6612" s="209"/>
      <c r="K6612" s="209"/>
      <c r="L6612" s="209"/>
      <c r="M6612" s="209"/>
      <c r="N6612" s="209"/>
      <c r="O6612" s="209"/>
      <c r="P6612" s="209"/>
      <c r="Q6612" s="209"/>
      <c r="R6612" s="209"/>
      <c r="S6612" s="209"/>
      <c r="T6612" s="209"/>
      <c r="U6612" s="451"/>
      <c r="V6612" s="451"/>
      <c r="W6612" s="451"/>
      <c r="X6612" s="451"/>
      <c r="Y6612" s="451"/>
      <c r="Z6612" s="451"/>
      <c r="AA6612" s="451"/>
      <c r="AB6612" s="451"/>
      <c r="AC6612" s="451"/>
      <c r="AD6612" s="451"/>
      <c r="AE6612" s="451"/>
      <c r="AF6612" s="451"/>
      <c r="AG6612" s="451"/>
      <c r="AH6612" s="451"/>
      <c r="AI6612" s="451"/>
      <c r="AJ6612" s="451"/>
      <c r="AK6612" s="451"/>
      <c r="AL6612" s="451"/>
      <c r="AM6612" s="451"/>
      <c r="AN6612" s="451"/>
      <c r="AO6612" s="451"/>
      <c r="AP6612" s="451"/>
      <c r="AQ6612" s="451"/>
      <c r="AR6612" s="451"/>
      <c r="AS6612" s="451"/>
      <c r="AT6612" s="451"/>
      <c r="AU6612" s="451"/>
      <c r="AV6612" s="451"/>
      <c r="AW6612" s="451"/>
      <c r="AX6612" s="451"/>
      <c r="AY6612" s="451"/>
      <c r="AZ6612" s="451"/>
      <c r="BA6612" s="451"/>
      <c r="BB6612" s="451"/>
      <c r="BC6612" s="451"/>
      <c r="BD6612" s="451"/>
      <c r="BE6612" s="451"/>
      <c r="BF6612" s="451"/>
      <c r="BG6612" s="451"/>
      <c r="BH6612" s="451"/>
      <c r="BI6612" s="451"/>
      <c r="BJ6612" s="451"/>
      <c r="BK6612" s="451"/>
      <c r="BL6612" s="451"/>
      <c r="BM6612" s="451"/>
      <c r="BN6612" s="451"/>
      <c r="BO6612" s="451"/>
      <c r="BP6612" s="451"/>
      <c r="BQ6612" s="451"/>
      <c r="BR6612" s="451"/>
      <c r="BS6612" s="451"/>
      <c r="BT6612" s="451"/>
      <c r="BU6612" s="451"/>
      <c r="BV6612" s="451"/>
      <c r="BW6612" s="451"/>
      <c r="BX6612" s="451"/>
      <c r="BY6612" s="451"/>
      <c r="BZ6612" s="451"/>
      <c r="CA6612" s="451"/>
      <c r="CB6612" s="451"/>
      <c r="CC6612" s="451"/>
      <c r="CD6612" s="451"/>
      <c r="CE6612" s="451"/>
      <c r="CF6612" s="451"/>
      <c r="CG6612" s="451"/>
      <c r="CH6612" s="451"/>
      <c r="CI6612" s="451"/>
      <c r="CJ6612" s="451"/>
      <c r="CK6612" s="451"/>
      <c r="CL6612" s="451"/>
      <c r="CM6612" s="451"/>
      <c r="CN6612" s="451"/>
      <c r="CO6612" s="451"/>
      <c r="CP6612" s="451"/>
      <c r="CQ6612" s="451"/>
      <c r="CR6612" s="451"/>
      <c r="CS6612" s="451"/>
      <c r="CT6612" s="451"/>
      <c r="CU6612" s="451"/>
      <c r="CV6612" s="451"/>
      <c r="CW6612" s="451"/>
      <c r="CX6612" s="451"/>
      <c r="CY6612" s="451"/>
      <c r="CZ6612" s="451"/>
      <c r="DA6612" s="451"/>
      <c r="DB6612" s="451"/>
      <c r="DC6612" s="451"/>
      <c r="DD6612" s="451"/>
      <c r="DE6612" s="451"/>
      <c r="DF6612" s="451"/>
      <c r="DG6612" s="451"/>
      <c r="DH6612" s="451"/>
      <c r="DI6612" s="451"/>
      <c r="DJ6612" s="451"/>
      <c r="DK6612" s="451"/>
      <c r="DL6612" s="451"/>
      <c r="DM6612" s="451"/>
      <c r="DN6612" s="451"/>
      <c r="DO6612" s="451"/>
      <c r="DP6612" s="451"/>
      <c r="DQ6612" s="451"/>
      <c r="DR6612" s="451"/>
      <c r="DS6612" s="451"/>
      <c r="DT6612" s="451"/>
      <c r="DU6612" s="451"/>
      <c r="DV6612" s="451"/>
      <c r="DW6612" s="451"/>
      <c r="DX6612" s="451"/>
      <c r="DY6612" s="451"/>
      <c r="DZ6612" s="451"/>
      <c r="EA6612" s="451"/>
      <c r="EB6612" s="451"/>
      <c r="EC6612" s="451"/>
      <c r="ED6612" s="451"/>
      <c r="EE6612" s="451"/>
      <c r="EF6612" s="451"/>
      <c r="EG6612" s="451"/>
      <c r="EH6612" s="451"/>
      <c r="EI6612" s="451"/>
      <c r="EJ6612" s="451"/>
      <c r="EK6612" s="451"/>
      <c r="EL6612" s="451"/>
      <c r="EM6612" s="451"/>
      <c r="EN6612" s="451"/>
      <c r="EO6612" s="451"/>
      <c r="EP6612" s="451"/>
      <c r="EQ6612" s="451"/>
      <c r="ER6612" s="451"/>
      <c r="ES6612" s="451"/>
    </row>
    <row r="6613" spans="1:149" ht="15" hidden="1" customHeight="1">
      <c r="A6613" s="468">
        <v>45562</v>
      </c>
      <c r="B6613" s="208" t="s">
        <v>5365</v>
      </c>
      <c r="C6613" s="208" t="s">
        <v>27</v>
      </c>
      <c r="D6613" s="211">
        <v>-487500</v>
      </c>
      <c r="E6613" s="212">
        <v>45536</v>
      </c>
      <c r="F6613" s="208" t="s">
        <v>130</v>
      </c>
      <c r="G6613" s="208" t="s">
        <v>130</v>
      </c>
      <c r="H6613" s="208" t="s">
        <v>2421</v>
      </c>
      <c r="I6613" s="208"/>
      <c r="J6613" s="209"/>
      <c r="K6613" s="209"/>
      <c r="L6613" s="209"/>
      <c r="M6613" s="209"/>
      <c r="N6613" s="209"/>
      <c r="O6613" s="209"/>
      <c r="P6613" s="209"/>
      <c r="Q6613" s="209"/>
      <c r="R6613" s="209"/>
      <c r="S6613" s="209"/>
      <c r="T6613" s="209"/>
      <c r="U6613" s="451"/>
      <c r="V6613" s="451"/>
      <c r="W6613" s="451"/>
      <c r="X6613" s="451"/>
      <c r="Y6613" s="451"/>
      <c r="Z6613" s="451"/>
      <c r="AA6613" s="451"/>
      <c r="AB6613" s="451"/>
      <c r="AC6613" s="451"/>
      <c r="AD6613" s="451"/>
      <c r="AE6613" s="451"/>
      <c r="AF6613" s="451"/>
      <c r="AG6613" s="451"/>
      <c r="AH6613" s="451"/>
      <c r="AI6613" s="451"/>
      <c r="AJ6613" s="451"/>
      <c r="AK6613" s="451"/>
      <c r="AL6613" s="451"/>
      <c r="AM6613" s="451"/>
      <c r="AN6613" s="451"/>
      <c r="AO6613" s="451"/>
      <c r="AP6613" s="451"/>
      <c r="AQ6613" s="451"/>
      <c r="AR6613" s="451"/>
      <c r="AS6613" s="451"/>
      <c r="AT6613" s="451"/>
      <c r="AU6613" s="451"/>
      <c r="AV6613" s="451"/>
      <c r="AW6613" s="451"/>
      <c r="AX6613" s="451"/>
      <c r="AY6613" s="451"/>
      <c r="AZ6613" s="451"/>
      <c r="BA6613" s="451"/>
      <c r="BB6613" s="451"/>
      <c r="BC6613" s="451"/>
      <c r="BD6613" s="451"/>
      <c r="BE6613" s="451"/>
      <c r="BF6613" s="451"/>
      <c r="BG6613" s="451"/>
      <c r="BH6613" s="451"/>
      <c r="BI6613" s="451"/>
      <c r="BJ6613" s="451"/>
      <c r="BK6613" s="451"/>
      <c r="BL6613" s="451"/>
      <c r="BM6613" s="451"/>
      <c r="BN6613" s="451"/>
      <c r="BO6613" s="451"/>
      <c r="BP6613" s="451"/>
      <c r="BQ6613" s="451"/>
      <c r="BR6613" s="451"/>
      <c r="BS6613" s="451"/>
      <c r="BT6613" s="451"/>
      <c r="BU6613" s="451"/>
      <c r="BV6613" s="451"/>
      <c r="BW6613" s="451"/>
      <c r="BX6613" s="451"/>
      <c r="BY6613" s="451"/>
      <c r="BZ6613" s="451"/>
      <c r="CA6613" s="451"/>
      <c r="CB6613" s="451"/>
      <c r="CC6613" s="451"/>
      <c r="CD6613" s="451"/>
      <c r="CE6613" s="451"/>
      <c r="CF6613" s="451"/>
      <c r="CG6613" s="451"/>
      <c r="CH6613" s="451"/>
      <c r="CI6613" s="451"/>
      <c r="CJ6613" s="451"/>
      <c r="CK6613" s="451"/>
      <c r="CL6613" s="451"/>
      <c r="CM6613" s="451"/>
      <c r="CN6613" s="451"/>
      <c r="CO6613" s="451"/>
      <c r="CP6613" s="451"/>
      <c r="CQ6613" s="451"/>
      <c r="CR6613" s="451"/>
      <c r="CS6613" s="451"/>
      <c r="CT6613" s="451"/>
      <c r="CU6613" s="451"/>
      <c r="CV6613" s="451"/>
      <c r="CW6613" s="451"/>
      <c r="CX6613" s="451"/>
      <c r="CY6613" s="451"/>
      <c r="CZ6613" s="451"/>
      <c r="DA6613" s="451"/>
      <c r="DB6613" s="451"/>
      <c r="DC6613" s="451"/>
      <c r="DD6613" s="451"/>
      <c r="DE6613" s="451"/>
      <c r="DF6613" s="451"/>
      <c r="DG6613" s="451"/>
      <c r="DH6613" s="451"/>
      <c r="DI6613" s="451"/>
      <c r="DJ6613" s="451"/>
      <c r="DK6613" s="451"/>
      <c r="DL6613" s="451"/>
      <c r="DM6613" s="451"/>
      <c r="DN6613" s="451"/>
      <c r="DO6613" s="451"/>
      <c r="DP6613" s="451"/>
      <c r="DQ6613" s="451"/>
      <c r="DR6613" s="451"/>
      <c r="DS6613" s="451"/>
      <c r="DT6613" s="451"/>
      <c r="DU6613" s="451"/>
      <c r="DV6613" s="451"/>
      <c r="DW6613" s="451"/>
      <c r="DX6613" s="451"/>
      <c r="DY6613" s="451"/>
      <c r="DZ6613" s="451"/>
      <c r="EA6613" s="451"/>
      <c r="EB6613" s="451"/>
      <c r="EC6613" s="451"/>
      <c r="ED6613" s="451"/>
      <c r="EE6613" s="451"/>
      <c r="EF6613" s="451"/>
      <c r="EG6613" s="451"/>
      <c r="EH6613" s="451"/>
      <c r="EI6613" s="451"/>
      <c r="EJ6613" s="451"/>
      <c r="EK6613" s="451"/>
      <c r="EL6613" s="451"/>
      <c r="EM6613" s="451"/>
      <c r="EN6613" s="451"/>
      <c r="EO6613" s="451"/>
      <c r="EP6613" s="451"/>
      <c r="EQ6613" s="451"/>
      <c r="ER6613" s="451"/>
      <c r="ES6613" s="451"/>
    </row>
    <row r="6614" spans="1:149" s="209" customFormat="1" ht="15" hidden="1" customHeight="1">
      <c r="A6614" s="468">
        <v>45562</v>
      </c>
      <c r="B6614" s="208" t="s">
        <v>5366</v>
      </c>
      <c r="C6614" s="208" t="s">
        <v>27</v>
      </c>
      <c r="D6614" s="718">
        <v>-771000</v>
      </c>
      <c r="E6614" s="212">
        <v>45536</v>
      </c>
      <c r="F6614" s="208" t="s">
        <v>109</v>
      </c>
      <c r="G6614" s="201" t="s">
        <v>581</v>
      </c>
      <c r="H6614" s="208"/>
      <c r="I6614" s="208"/>
    </row>
    <row r="6615" spans="1:149" s="209" customFormat="1" ht="15" hidden="1" customHeight="1">
      <c r="A6615" s="468">
        <v>45562</v>
      </c>
      <c r="B6615" s="208" t="s">
        <v>5367</v>
      </c>
      <c r="C6615" s="208" t="s">
        <v>27</v>
      </c>
      <c r="D6615" s="718">
        <v>-1130260</v>
      </c>
      <c r="E6615" s="212">
        <v>45536</v>
      </c>
      <c r="F6615" s="208" t="s">
        <v>109</v>
      </c>
      <c r="G6615" s="201" t="s">
        <v>581</v>
      </c>
      <c r="H6615" s="208"/>
      <c r="I6615" s="208"/>
    </row>
    <row r="6616" spans="1:149" ht="15" hidden="1" customHeight="1">
      <c r="A6616" s="468">
        <v>45562</v>
      </c>
      <c r="B6616" s="208" t="s">
        <v>5368</v>
      </c>
      <c r="C6616" s="208" t="s">
        <v>27</v>
      </c>
      <c r="D6616" s="211">
        <v>-687333</v>
      </c>
      <c r="E6616" s="212">
        <v>45536</v>
      </c>
      <c r="F6616" s="208" t="s">
        <v>2531</v>
      </c>
      <c r="G6616" s="201" t="s">
        <v>1489</v>
      </c>
      <c r="H6616" s="201" t="s">
        <v>508</v>
      </c>
      <c r="I6616" s="208"/>
      <c r="J6616" s="209"/>
      <c r="K6616" s="209"/>
      <c r="L6616" s="209"/>
      <c r="M6616" s="209"/>
      <c r="N6616" s="209"/>
      <c r="O6616" s="209"/>
      <c r="P6616" s="209"/>
      <c r="Q6616" s="209"/>
      <c r="R6616" s="209"/>
      <c r="S6616" s="209"/>
      <c r="T6616" s="209"/>
      <c r="U6616" s="451"/>
      <c r="V6616" s="451"/>
      <c r="W6616" s="451"/>
      <c r="X6616" s="451"/>
      <c r="Y6616" s="451"/>
      <c r="Z6616" s="451"/>
      <c r="AA6616" s="451"/>
      <c r="AB6616" s="451"/>
      <c r="AC6616" s="451"/>
      <c r="AD6616" s="451"/>
      <c r="AE6616" s="451"/>
      <c r="AF6616" s="451"/>
      <c r="AG6616" s="451"/>
      <c r="AH6616" s="451"/>
      <c r="AI6616" s="451"/>
      <c r="AJ6616" s="451"/>
      <c r="AK6616" s="451"/>
      <c r="AL6616" s="451"/>
      <c r="AM6616" s="451"/>
      <c r="AN6616" s="451"/>
      <c r="AO6616" s="451"/>
      <c r="AP6616" s="451"/>
      <c r="AQ6616" s="451"/>
      <c r="AR6616" s="451"/>
      <c r="AS6616" s="451"/>
      <c r="AT6616" s="451"/>
      <c r="AU6616" s="451"/>
      <c r="AV6616" s="451"/>
      <c r="AW6616" s="451"/>
      <c r="AX6616" s="451"/>
      <c r="AY6616" s="451"/>
      <c r="AZ6616" s="451"/>
      <c r="BA6616" s="451"/>
      <c r="BB6616" s="451"/>
      <c r="BC6616" s="451"/>
      <c r="BD6616" s="451"/>
      <c r="BE6616" s="451"/>
      <c r="BF6616" s="451"/>
      <c r="BG6616" s="451"/>
      <c r="BH6616" s="451"/>
      <c r="BI6616" s="451"/>
      <c r="BJ6616" s="451"/>
      <c r="BK6616" s="451"/>
      <c r="BL6616" s="451"/>
      <c r="BM6616" s="451"/>
      <c r="BN6616" s="451"/>
      <c r="BO6616" s="451"/>
      <c r="BP6616" s="451"/>
      <c r="BQ6616" s="451"/>
      <c r="BR6616" s="451"/>
      <c r="BS6616" s="451"/>
      <c r="BT6616" s="451"/>
      <c r="BU6616" s="451"/>
      <c r="BV6616" s="451"/>
      <c r="BW6616" s="451"/>
      <c r="BX6616" s="451"/>
      <c r="BY6616" s="451"/>
      <c r="BZ6616" s="451"/>
      <c r="CA6616" s="451"/>
      <c r="CB6616" s="451"/>
      <c r="CC6616" s="451"/>
      <c r="CD6616" s="451"/>
      <c r="CE6616" s="451"/>
      <c r="CF6616" s="451"/>
      <c r="CG6616" s="451"/>
      <c r="CH6616" s="451"/>
      <c r="CI6616" s="451"/>
      <c r="CJ6616" s="451"/>
      <c r="CK6616" s="451"/>
      <c r="CL6616" s="451"/>
      <c r="CM6616" s="451"/>
      <c r="CN6616" s="451"/>
      <c r="CO6616" s="451"/>
      <c r="CP6616" s="451"/>
      <c r="CQ6616" s="451"/>
      <c r="CR6616" s="451"/>
      <c r="CS6616" s="451"/>
      <c r="CT6616" s="451"/>
      <c r="CU6616" s="451"/>
      <c r="CV6616" s="451"/>
      <c r="CW6616" s="451"/>
      <c r="CX6616" s="451"/>
      <c r="CY6616" s="451"/>
      <c r="CZ6616" s="451"/>
      <c r="DA6616" s="451"/>
      <c r="DB6616" s="451"/>
      <c r="DC6616" s="451"/>
      <c r="DD6616" s="451"/>
      <c r="DE6616" s="451"/>
      <c r="DF6616" s="451"/>
      <c r="DG6616" s="451"/>
      <c r="DH6616" s="451"/>
      <c r="DI6616" s="451"/>
      <c r="DJ6616" s="451"/>
      <c r="DK6616" s="451"/>
      <c r="DL6616" s="451"/>
      <c r="DM6616" s="451"/>
      <c r="DN6616" s="451"/>
      <c r="DO6616" s="451"/>
      <c r="DP6616" s="451"/>
      <c r="DQ6616" s="451"/>
      <c r="DR6616" s="451"/>
      <c r="DS6616" s="451"/>
      <c r="DT6616" s="451"/>
      <c r="DU6616" s="451"/>
      <c r="DV6616" s="451"/>
      <c r="DW6616" s="451"/>
      <c r="DX6616" s="451"/>
      <c r="DY6616" s="451"/>
      <c r="DZ6616" s="451"/>
      <c r="EA6616" s="451"/>
      <c r="EB6616" s="451"/>
      <c r="EC6616" s="451"/>
      <c r="ED6616" s="451"/>
      <c r="EE6616" s="451"/>
      <c r="EF6616" s="451"/>
      <c r="EG6616" s="451"/>
      <c r="EH6616" s="451"/>
      <c r="EI6616" s="451"/>
      <c r="EJ6616" s="451"/>
      <c r="EK6616" s="451"/>
      <c r="EL6616" s="451"/>
      <c r="EM6616" s="451"/>
      <c r="EN6616" s="451"/>
      <c r="EO6616" s="451"/>
      <c r="EP6616" s="451"/>
      <c r="EQ6616" s="451"/>
      <c r="ER6616" s="451"/>
      <c r="ES6616" s="451"/>
    </row>
    <row r="6617" spans="1:149" ht="15" hidden="1" customHeight="1">
      <c r="A6617" s="468">
        <v>45562</v>
      </c>
      <c r="B6617" s="208" t="s">
        <v>5368</v>
      </c>
      <c r="C6617" s="208" t="s">
        <v>27</v>
      </c>
      <c r="D6617" s="211">
        <v>-687333</v>
      </c>
      <c r="E6617" s="212">
        <v>45536</v>
      </c>
      <c r="F6617" s="208" t="s">
        <v>2531</v>
      </c>
      <c r="G6617" s="208" t="s">
        <v>4294</v>
      </c>
      <c r="H6617" s="201" t="s">
        <v>508</v>
      </c>
      <c r="I6617" s="208"/>
      <c r="J6617" s="209"/>
      <c r="K6617" s="209"/>
      <c r="L6617" s="209"/>
      <c r="M6617" s="209"/>
      <c r="N6617" s="209"/>
      <c r="O6617" s="209"/>
      <c r="P6617" s="209"/>
      <c r="Q6617" s="209"/>
      <c r="R6617" s="209"/>
      <c r="S6617" s="209"/>
      <c r="T6617" s="209"/>
      <c r="U6617" s="451"/>
      <c r="V6617" s="451"/>
      <c r="W6617" s="451"/>
      <c r="X6617" s="451"/>
      <c r="Y6617" s="451"/>
      <c r="Z6617" s="451"/>
      <c r="AA6617" s="451"/>
      <c r="AB6617" s="451"/>
      <c r="AC6617" s="451"/>
      <c r="AD6617" s="451"/>
      <c r="AE6617" s="451"/>
      <c r="AF6617" s="451"/>
      <c r="AG6617" s="451"/>
      <c r="AH6617" s="451"/>
      <c r="AI6617" s="451"/>
      <c r="AJ6617" s="451"/>
      <c r="AK6617" s="451"/>
      <c r="AL6617" s="451"/>
      <c r="AM6617" s="451"/>
      <c r="AN6617" s="451"/>
      <c r="AO6617" s="451"/>
      <c r="AP6617" s="451"/>
      <c r="AQ6617" s="451"/>
      <c r="AR6617" s="451"/>
      <c r="AS6617" s="451"/>
      <c r="AT6617" s="451"/>
      <c r="AU6617" s="451"/>
      <c r="AV6617" s="451"/>
      <c r="AW6617" s="451"/>
      <c r="AX6617" s="451"/>
      <c r="AY6617" s="451"/>
      <c r="AZ6617" s="451"/>
      <c r="BA6617" s="451"/>
      <c r="BB6617" s="451"/>
      <c r="BC6617" s="451"/>
      <c r="BD6617" s="451"/>
      <c r="BE6617" s="451"/>
      <c r="BF6617" s="451"/>
      <c r="BG6617" s="451"/>
      <c r="BH6617" s="451"/>
      <c r="BI6617" s="451"/>
      <c r="BJ6617" s="451"/>
      <c r="BK6617" s="451"/>
      <c r="BL6617" s="451"/>
      <c r="BM6617" s="451"/>
      <c r="BN6617" s="451"/>
      <c r="BO6617" s="451"/>
      <c r="BP6617" s="451"/>
      <c r="BQ6617" s="451"/>
      <c r="BR6617" s="451"/>
      <c r="BS6617" s="451"/>
      <c r="BT6617" s="451"/>
      <c r="BU6617" s="451"/>
      <c r="BV6617" s="451"/>
      <c r="BW6617" s="451"/>
      <c r="BX6617" s="451"/>
      <c r="BY6617" s="451"/>
      <c r="BZ6617" s="451"/>
      <c r="CA6617" s="451"/>
      <c r="CB6617" s="451"/>
      <c r="CC6617" s="451"/>
      <c r="CD6617" s="451"/>
      <c r="CE6617" s="451"/>
      <c r="CF6617" s="451"/>
      <c r="CG6617" s="451"/>
      <c r="CH6617" s="451"/>
      <c r="CI6617" s="451"/>
      <c r="CJ6617" s="451"/>
      <c r="CK6617" s="451"/>
      <c r="CL6617" s="451"/>
      <c r="CM6617" s="451"/>
      <c r="CN6617" s="451"/>
      <c r="CO6617" s="451"/>
      <c r="CP6617" s="451"/>
      <c r="CQ6617" s="451"/>
      <c r="CR6617" s="451"/>
      <c r="CS6617" s="451"/>
      <c r="CT6617" s="451"/>
      <c r="CU6617" s="451"/>
      <c r="CV6617" s="451"/>
      <c r="CW6617" s="451"/>
      <c r="CX6617" s="451"/>
      <c r="CY6617" s="451"/>
      <c r="CZ6617" s="451"/>
      <c r="DA6617" s="451"/>
      <c r="DB6617" s="451"/>
      <c r="DC6617" s="451"/>
      <c r="DD6617" s="451"/>
      <c r="DE6617" s="451"/>
      <c r="DF6617" s="451"/>
      <c r="DG6617" s="451"/>
      <c r="DH6617" s="451"/>
      <c r="DI6617" s="451"/>
      <c r="DJ6617" s="451"/>
      <c r="DK6617" s="451"/>
      <c r="DL6617" s="451"/>
      <c r="DM6617" s="451"/>
      <c r="DN6617" s="451"/>
      <c r="DO6617" s="451"/>
      <c r="DP6617" s="451"/>
      <c r="DQ6617" s="451"/>
      <c r="DR6617" s="451"/>
      <c r="DS6617" s="451"/>
      <c r="DT6617" s="451"/>
      <c r="DU6617" s="451"/>
      <c r="DV6617" s="451"/>
      <c r="DW6617" s="451"/>
      <c r="DX6617" s="451"/>
      <c r="DY6617" s="451"/>
      <c r="DZ6617" s="451"/>
      <c r="EA6617" s="451"/>
      <c r="EB6617" s="451"/>
      <c r="EC6617" s="451"/>
      <c r="ED6617" s="451"/>
      <c r="EE6617" s="451"/>
      <c r="EF6617" s="451"/>
      <c r="EG6617" s="451"/>
      <c r="EH6617" s="451"/>
      <c r="EI6617" s="451"/>
      <c r="EJ6617" s="451"/>
      <c r="EK6617" s="451"/>
      <c r="EL6617" s="451"/>
      <c r="EM6617" s="451"/>
      <c r="EN6617" s="451"/>
      <c r="EO6617" s="451"/>
      <c r="EP6617" s="451"/>
      <c r="EQ6617" s="451"/>
      <c r="ER6617" s="451"/>
      <c r="ES6617" s="451"/>
    </row>
    <row r="6618" spans="1:149" ht="15" hidden="1" customHeight="1">
      <c r="A6618" s="468">
        <v>45562</v>
      </c>
      <c r="B6618" s="208" t="s">
        <v>5368</v>
      </c>
      <c r="C6618" s="208" t="s">
        <v>27</v>
      </c>
      <c r="D6618" s="211">
        <v>-687334</v>
      </c>
      <c r="E6618" s="212">
        <v>45536</v>
      </c>
      <c r="F6618" s="208" t="s">
        <v>109</v>
      </c>
      <c r="G6618" s="208" t="s">
        <v>3529</v>
      </c>
      <c r="H6618" s="201" t="s">
        <v>508</v>
      </c>
      <c r="I6618" s="208"/>
      <c r="J6618" s="209"/>
      <c r="K6618" s="209"/>
      <c r="L6618" s="209"/>
      <c r="M6618" s="209"/>
      <c r="N6618" s="209"/>
      <c r="O6618" s="209"/>
      <c r="P6618" s="209"/>
      <c r="Q6618" s="209"/>
      <c r="R6618" s="209"/>
      <c r="S6618" s="209"/>
      <c r="T6618" s="209"/>
      <c r="U6618" s="451"/>
      <c r="V6618" s="451"/>
      <c r="W6618" s="451"/>
      <c r="X6618" s="451"/>
      <c r="Y6618" s="451"/>
      <c r="Z6618" s="451"/>
      <c r="AA6618" s="451"/>
      <c r="AB6618" s="451"/>
      <c r="AC6618" s="451"/>
      <c r="AD6618" s="451"/>
      <c r="AE6618" s="451"/>
      <c r="AF6618" s="451"/>
      <c r="AG6618" s="451"/>
      <c r="AH6618" s="451"/>
      <c r="AI6618" s="451"/>
      <c r="AJ6618" s="451"/>
      <c r="AK6618" s="451"/>
      <c r="AL6618" s="451"/>
      <c r="AM6618" s="451"/>
      <c r="AN6618" s="451"/>
      <c r="AO6618" s="451"/>
      <c r="AP6618" s="451"/>
      <c r="AQ6618" s="451"/>
      <c r="AR6618" s="451"/>
      <c r="AS6618" s="451"/>
      <c r="AT6618" s="451"/>
      <c r="AU6618" s="451"/>
      <c r="AV6618" s="451"/>
      <c r="AW6618" s="451"/>
      <c r="AX6618" s="451"/>
      <c r="AY6618" s="451"/>
      <c r="AZ6618" s="451"/>
      <c r="BA6618" s="451"/>
      <c r="BB6618" s="451"/>
      <c r="BC6618" s="451"/>
      <c r="BD6618" s="451"/>
      <c r="BE6618" s="451"/>
      <c r="BF6618" s="451"/>
      <c r="BG6618" s="451"/>
      <c r="BH6618" s="451"/>
      <c r="BI6618" s="451"/>
      <c r="BJ6618" s="451"/>
      <c r="BK6618" s="451"/>
      <c r="BL6618" s="451"/>
      <c r="BM6618" s="451"/>
      <c r="BN6618" s="451"/>
      <c r="BO6618" s="451"/>
      <c r="BP6618" s="451"/>
      <c r="BQ6618" s="451"/>
      <c r="BR6618" s="451"/>
      <c r="BS6618" s="451"/>
      <c r="BT6618" s="451"/>
      <c r="BU6618" s="451"/>
      <c r="BV6618" s="451"/>
      <c r="BW6618" s="451"/>
      <c r="BX6618" s="451"/>
      <c r="BY6618" s="451"/>
      <c r="BZ6618" s="451"/>
      <c r="CA6618" s="451"/>
      <c r="CB6618" s="451"/>
      <c r="CC6618" s="451"/>
      <c r="CD6618" s="451"/>
      <c r="CE6618" s="451"/>
      <c r="CF6618" s="451"/>
      <c r="CG6618" s="451"/>
      <c r="CH6618" s="451"/>
      <c r="CI6618" s="451"/>
      <c r="CJ6618" s="451"/>
      <c r="CK6618" s="451"/>
      <c r="CL6618" s="451"/>
      <c r="CM6618" s="451"/>
      <c r="CN6618" s="451"/>
      <c r="CO6618" s="451"/>
      <c r="CP6618" s="451"/>
      <c r="CQ6618" s="451"/>
      <c r="CR6618" s="451"/>
      <c r="CS6618" s="451"/>
      <c r="CT6618" s="451"/>
      <c r="CU6618" s="451"/>
      <c r="CV6618" s="451"/>
      <c r="CW6618" s="451"/>
      <c r="CX6618" s="451"/>
      <c r="CY6618" s="451"/>
      <c r="CZ6618" s="451"/>
      <c r="DA6618" s="451"/>
      <c r="DB6618" s="451"/>
      <c r="DC6618" s="451"/>
      <c r="DD6618" s="451"/>
      <c r="DE6618" s="451"/>
      <c r="DF6618" s="451"/>
      <c r="DG6618" s="451"/>
      <c r="DH6618" s="451"/>
      <c r="DI6618" s="451"/>
      <c r="DJ6618" s="451"/>
      <c r="DK6618" s="451"/>
      <c r="DL6618" s="451"/>
      <c r="DM6618" s="451"/>
      <c r="DN6618" s="451"/>
      <c r="DO6618" s="451"/>
      <c r="DP6618" s="451"/>
      <c r="DQ6618" s="451"/>
      <c r="DR6618" s="451"/>
      <c r="DS6618" s="451"/>
      <c r="DT6618" s="451"/>
      <c r="DU6618" s="451"/>
      <c r="DV6618" s="451"/>
      <c r="DW6618" s="451"/>
      <c r="DX6618" s="451"/>
      <c r="DY6618" s="451"/>
      <c r="DZ6618" s="451"/>
      <c r="EA6618" s="451"/>
      <c r="EB6618" s="451"/>
      <c r="EC6618" s="451"/>
      <c r="ED6618" s="451"/>
      <c r="EE6618" s="451"/>
      <c r="EF6618" s="451"/>
      <c r="EG6618" s="451"/>
      <c r="EH6618" s="451"/>
      <c r="EI6618" s="451"/>
      <c r="EJ6618" s="451"/>
      <c r="EK6618" s="451"/>
      <c r="EL6618" s="451"/>
      <c r="EM6618" s="451"/>
      <c r="EN6618" s="451"/>
      <c r="EO6618" s="451"/>
      <c r="EP6618" s="451"/>
      <c r="EQ6618" s="451"/>
      <c r="ER6618" s="451"/>
      <c r="ES6618" s="451"/>
    </row>
    <row r="6619" spans="1:149" s="209" customFormat="1" ht="15" hidden="1" customHeight="1">
      <c r="A6619" s="468">
        <v>45562</v>
      </c>
      <c r="B6619" s="208" t="s">
        <v>5369</v>
      </c>
      <c r="C6619" s="208" t="s">
        <v>27</v>
      </c>
      <c r="D6619" s="718">
        <v>-771000</v>
      </c>
      <c r="E6619" s="212">
        <v>45536</v>
      </c>
      <c r="F6619" s="208" t="s">
        <v>109</v>
      </c>
      <c r="G6619" s="201" t="s">
        <v>581</v>
      </c>
      <c r="H6619" s="208"/>
      <c r="I6619" s="208"/>
    </row>
    <row r="6620" spans="1:149" s="209" customFormat="1" ht="15" hidden="1" customHeight="1">
      <c r="A6620" s="468">
        <v>45562</v>
      </c>
      <c r="B6620" s="208" t="s">
        <v>5370</v>
      </c>
      <c r="C6620" s="208" t="s">
        <v>27</v>
      </c>
      <c r="D6620" s="718">
        <v>-771000</v>
      </c>
      <c r="E6620" s="212">
        <v>45536</v>
      </c>
      <c r="F6620" s="208" t="s">
        <v>109</v>
      </c>
      <c r="G6620" s="201" t="s">
        <v>581</v>
      </c>
      <c r="H6620" s="208"/>
      <c r="I6620" s="208"/>
    </row>
    <row r="6621" spans="1:149" s="209" customFormat="1" ht="15" hidden="1" customHeight="1">
      <c r="A6621" s="468">
        <v>45562</v>
      </c>
      <c r="B6621" s="208" t="s">
        <v>5371</v>
      </c>
      <c r="C6621" s="208" t="s">
        <v>27</v>
      </c>
      <c r="D6621" s="718">
        <v>-771000</v>
      </c>
      <c r="E6621" s="212">
        <v>45536</v>
      </c>
      <c r="F6621" s="208" t="s">
        <v>109</v>
      </c>
      <c r="G6621" s="201" t="s">
        <v>581</v>
      </c>
      <c r="H6621" s="208"/>
      <c r="I6621" s="208"/>
    </row>
    <row r="6622" spans="1:149" s="209" customFormat="1" ht="15" hidden="1" customHeight="1">
      <c r="A6622" s="468">
        <v>45562</v>
      </c>
      <c r="B6622" s="208" t="s">
        <v>5372</v>
      </c>
      <c r="C6622" s="208" t="s">
        <v>27</v>
      </c>
      <c r="D6622" s="718">
        <v>-777500</v>
      </c>
      <c r="E6622" s="212">
        <v>45536</v>
      </c>
      <c r="F6622" s="208" t="s">
        <v>109</v>
      </c>
      <c r="G6622" s="201" t="s">
        <v>581</v>
      </c>
      <c r="H6622" s="208"/>
      <c r="I6622" s="208"/>
    </row>
    <row r="6623" spans="1:149" s="209" customFormat="1" ht="15" hidden="1" customHeight="1">
      <c r="A6623" s="468">
        <v>45562</v>
      </c>
      <c r="B6623" s="208" t="s">
        <v>5373</v>
      </c>
      <c r="C6623" s="208" t="s">
        <v>27</v>
      </c>
      <c r="D6623" s="718">
        <v>-777500</v>
      </c>
      <c r="E6623" s="212">
        <v>45536</v>
      </c>
      <c r="F6623" s="208" t="s">
        <v>109</v>
      </c>
      <c r="G6623" s="201" t="s">
        <v>581</v>
      </c>
      <c r="H6623" s="208"/>
      <c r="I6623" s="208"/>
    </row>
    <row r="6624" spans="1:149" s="209" customFormat="1" ht="15" hidden="1" customHeight="1">
      <c r="A6624" s="468">
        <v>45562</v>
      </c>
      <c r="B6624" s="208" t="s">
        <v>5374</v>
      </c>
      <c r="C6624" s="208" t="s">
        <v>27</v>
      </c>
      <c r="D6624" s="718">
        <v>-771000</v>
      </c>
      <c r="E6624" s="212">
        <v>45536</v>
      </c>
      <c r="F6624" s="208" t="s">
        <v>109</v>
      </c>
      <c r="G6624" s="201" t="s">
        <v>581</v>
      </c>
      <c r="H6624" s="208"/>
      <c r="I6624" s="208"/>
    </row>
    <row r="6625" spans="1:149" s="209" customFormat="1" ht="15" hidden="1" customHeight="1">
      <c r="A6625" s="468">
        <v>45562</v>
      </c>
      <c r="B6625" s="208" t="s">
        <v>5375</v>
      </c>
      <c r="C6625" s="208" t="s">
        <v>27</v>
      </c>
      <c r="D6625" s="718">
        <v>-771000</v>
      </c>
      <c r="E6625" s="212">
        <v>45536</v>
      </c>
      <c r="F6625" s="208" t="s">
        <v>109</v>
      </c>
      <c r="G6625" s="201" t="s">
        <v>581</v>
      </c>
      <c r="H6625" s="208"/>
      <c r="I6625" s="208"/>
    </row>
    <row r="6626" spans="1:149" s="209" customFormat="1" ht="15" hidden="1" customHeight="1">
      <c r="A6626" s="468">
        <v>45562</v>
      </c>
      <c r="B6626" s="208" t="s">
        <v>5376</v>
      </c>
      <c r="C6626" s="208" t="s">
        <v>27</v>
      </c>
      <c r="D6626" s="718">
        <v>-771000</v>
      </c>
      <c r="E6626" s="212">
        <v>45536</v>
      </c>
      <c r="F6626" s="208" t="s">
        <v>109</v>
      </c>
      <c r="G6626" s="201" t="s">
        <v>581</v>
      </c>
      <c r="H6626" s="208"/>
      <c r="I6626" s="208"/>
    </row>
    <row r="6627" spans="1:149" ht="15" hidden="1" customHeight="1">
      <c r="A6627" s="468">
        <v>45562</v>
      </c>
      <c r="B6627" s="208" t="s">
        <v>5377</v>
      </c>
      <c r="C6627" s="208" t="s">
        <v>27</v>
      </c>
      <c r="D6627" s="211">
        <v>-688750</v>
      </c>
      <c r="E6627" s="212">
        <v>45536</v>
      </c>
      <c r="F6627" s="208" t="s">
        <v>110</v>
      </c>
      <c r="G6627" s="208" t="s">
        <v>4399</v>
      </c>
      <c r="H6627" s="208" t="s">
        <v>147</v>
      </c>
      <c r="I6627" s="208"/>
      <c r="J6627" s="209"/>
      <c r="K6627" s="209"/>
      <c r="L6627" s="209"/>
      <c r="M6627" s="209"/>
      <c r="N6627" s="209"/>
      <c r="O6627" s="209"/>
      <c r="P6627" s="209"/>
      <c r="Q6627" s="209"/>
      <c r="R6627" s="209"/>
      <c r="S6627" s="209"/>
      <c r="T6627" s="209"/>
      <c r="U6627" s="451"/>
      <c r="V6627" s="451"/>
      <c r="W6627" s="451"/>
      <c r="X6627" s="451"/>
      <c r="Y6627" s="451"/>
      <c r="Z6627" s="451"/>
      <c r="AA6627" s="451"/>
      <c r="AB6627" s="451"/>
      <c r="AC6627" s="451"/>
      <c r="AD6627" s="451"/>
      <c r="AE6627" s="451"/>
      <c r="AF6627" s="451"/>
      <c r="AG6627" s="451"/>
      <c r="AH6627" s="451"/>
      <c r="AI6627" s="451"/>
      <c r="AJ6627" s="451"/>
      <c r="AK6627" s="451"/>
      <c r="AL6627" s="451"/>
      <c r="AM6627" s="451"/>
      <c r="AN6627" s="451"/>
      <c r="AO6627" s="451"/>
      <c r="AP6627" s="451"/>
      <c r="AQ6627" s="451"/>
      <c r="AR6627" s="451"/>
      <c r="AS6627" s="451"/>
      <c r="AT6627" s="451"/>
      <c r="AU6627" s="451"/>
      <c r="AV6627" s="451"/>
      <c r="AW6627" s="451"/>
      <c r="AX6627" s="451"/>
      <c r="AY6627" s="451"/>
      <c r="AZ6627" s="451"/>
      <c r="BA6627" s="451"/>
      <c r="BB6627" s="451"/>
      <c r="BC6627" s="451"/>
      <c r="BD6627" s="451"/>
      <c r="BE6627" s="451"/>
      <c r="BF6627" s="451"/>
      <c r="BG6627" s="451"/>
      <c r="BH6627" s="451"/>
      <c r="BI6627" s="451"/>
      <c r="BJ6627" s="451"/>
      <c r="BK6627" s="451"/>
      <c r="BL6627" s="451"/>
      <c r="BM6627" s="451"/>
      <c r="BN6627" s="451"/>
      <c r="BO6627" s="451"/>
      <c r="BP6627" s="451"/>
      <c r="BQ6627" s="451"/>
      <c r="BR6627" s="451"/>
      <c r="BS6627" s="451"/>
      <c r="BT6627" s="451"/>
      <c r="BU6627" s="451"/>
      <c r="BV6627" s="451"/>
      <c r="BW6627" s="451"/>
      <c r="BX6627" s="451"/>
      <c r="BY6627" s="451"/>
      <c r="BZ6627" s="451"/>
      <c r="CA6627" s="451"/>
      <c r="CB6627" s="451"/>
      <c r="CC6627" s="451"/>
      <c r="CD6627" s="451"/>
      <c r="CE6627" s="451"/>
      <c r="CF6627" s="451"/>
      <c r="CG6627" s="451"/>
      <c r="CH6627" s="451"/>
      <c r="CI6627" s="451"/>
      <c r="CJ6627" s="451"/>
      <c r="CK6627" s="451"/>
      <c r="CL6627" s="451"/>
      <c r="CM6627" s="451"/>
      <c r="CN6627" s="451"/>
      <c r="CO6627" s="451"/>
      <c r="CP6627" s="451"/>
      <c r="CQ6627" s="451"/>
      <c r="CR6627" s="451"/>
      <c r="CS6627" s="451"/>
      <c r="CT6627" s="451"/>
      <c r="CU6627" s="451"/>
      <c r="CV6627" s="451"/>
      <c r="CW6627" s="451"/>
      <c r="CX6627" s="451"/>
      <c r="CY6627" s="451"/>
      <c r="CZ6627" s="451"/>
      <c r="DA6627" s="451"/>
      <c r="DB6627" s="451"/>
      <c r="DC6627" s="451"/>
      <c r="DD6627" s="451"/>
      <c r="DE6627" s="451"/>
      <c r="DF6627" s="451"/>
      <c r="DG6627" s="451"/>
      <c r="DH6627" s="451"/>
      <c r="DI6627" s="451"/>
      <c r="DJ6627" s="451"/>
      <c r="DK6627" s="451"/>
      <c r="DL6627" s="451"/>
      <c r="DM6627" s="451"/>
      <c r="DN6627" s="451"/>
      <c r="DO6627" s="451"/>
      <c r="DP6627" s="451"/>
      <c r="DQ6627" s="451"/>
      <c r="DR6627" s="451"/>
      <c r="DS6627" s="451"/>
      <c r="DT6627" s="451"/>
      <c r="DU6627" s="451"/>
      <c r="DV6627" s="451"/>
      <c r="DW6627" s="451"/>
      <c r="DX6627" s="451"/>
      <c r="DY6627" s="451"/>
      <c r="DZ6627" s="451"/>
      <c r="EA6627" s="451"/>
      <c r="EB6627" s="451"/>
      <c r="EC6627" s="451"/>
      <c r="ED6627" s="451"/>
      <c r="EE6627" s="451"/>
      <c r="EF6627" s="451"/>
      <c r="EG6627" s="451"/>
      <c r="EH6627" s="451"/>
      <c r="EI6627" s="451"/>
      <c r="EJ6627" s="451"/>
      <c r="EK6627" s="451"/>
      <c r="EL6627" s="451"/>
      <c r="EM6627" s="451"/>
      <c r="EN6627" s="451"/>
      <c r="EO6627" s="451"/>
      <c r="EP6627" s="451"/>
      <c r="EQ6627" s="451"/>
      <c r="ER6627" s="451"/>
      <c r="ES6627" s="451"/>
    </row>
    <row r="6628" spans="1:149" ht="15" hidden="1" customHeight="1">
      <c r="A6628" s="468">
        <v>45562</v>
      </c>
      <c r="B6628" s="208" t="s">
        <v>5378</v>
      </c>
      <c r="C6628" s="208" t="s">
        <v>27</v>
      </c>
      <c r="D6628" s="211">
        <v>-679000</v>
      </c>
      <c r="E6628" s="212">
        <v>45536</v>
      </c>
      <c r="F6628" s="208" t="s">
        <v>2531</v>
      </c>
      <c r="G6628" s="201" t="s">
        <v>1489</v>
      </c>
      <c r="H6628" s="208" t="s">
        <v>147</v>
      </c>
      <c r="I6628" s="208"/>
      <c r="J6628" s="209"/>
      <c r="K6628" s="209"/>
      <c r="L6628" s="209"/>
      <c r="M6628" s="209"/>
      <c r="N6628" s="209"/>
      <c r="O6628" s="209"/>
      <c r="P6628" s="209"/>
      <c r="Q6628" s="209"/>
      <c r="R6628" s="209"/>
      <c r="S6628" s="209"/>
      <c r="T6628" s="209"/>
      <c r="U6628" s="451"/>
      <c r="V6628" s="451"/>
      <c r="W6628" s="451"/>
      <c r="X6628" s="451"/>
      <c r="Y6628" s="451"/>
      <c r="Z6628" s="451"/>
      <c r="AA6628" s="451"/>
      <c r="AB6628" s="451"/>
      <c r="AC6628" s="451"/>
      <c r="AD6628" s="451"/>
      <c r="AE6628" s="451"/>
      <c r="AF6628" s="451"/>
      <c r="AG6628" s="451"/>
      <c r="AH6628" s="451"/>
      <c r="AI6628" s="451"/>
      <c r="AJ6628" s="451"/>
      <c r="AK6628" s="451"/>
      <c r="AL6628" s="451"/>
      <c r="AM6628" s="451"/>
      <c r="AN6628" s="451"/>
      <c r="AO6628" s="451"/>
      <c r="AP6628" s="451"/>
      <c r="AQ6628" s="451"/>
      <c r="AR6628" s="451"/>
      <c r="AS6628" s="451"/>
      <c r="AT6628" s="451"/>
      <c r="AU6628" s="451"/>
      <c r="AV6628" s="451"/>
      <c r="AW6628" s="451"/>
      <c r="AX6628" s="451"/>
      <c r="AY6628" s="451"/>
      <c r="AZ6628" s="451"/>
      <c r="BA6628" s="451"/>
      <c r="BB6628" s="451"/>
      <c r="BC6628" s="451"/>
      <c r="BD6628" s="451"/>
      <c r="BE6628" s="451"/>
      <c r="BF6628" s="451"/>
      <c r="BG6628" s="451"/>
      <c r="BH6628" s="451"/>
      <c r="BI6628" s="451"/>
      <c r="BJ6628" s="451"/>
      <c r="BK6628" s="451"/>
      <c r="BL6628" s="451"/>
      <c r="BM6628" s="451"/>
      <c r="BN6628" s="451"/>
      <c r="BO6628" s="451"/>
      <c r="BP6628" s="451"/>
      <c r="BQ6628" s="451"/>
      <c r="BR6628" s="451"/>
      <c r="BS6628" s="451"/>
      <c r="BT6628" s="451"/>
      <c r="BU6628" s="451"/>
      <c r="BV6628" s="451"/>
      <c r="BW6628" s="451"/>
      <c r="BX6628" s="451"/>
      <c r="BY6628" s="451"/>
      <c r="BZ6628" s="451"/>
      <c r="CA6628" s="451"/>
      <c r="CB6628" s="451"/>
      <c r="CC6628" s="451"/>
      <c r="CD6628" s="451"/>
      <c r="CE6628" s="451"/>
      <c r="CF6628" s="451"/>
      <c r="CG6628" s="451"/>
      <c r="CH6628" s="451"/>
      <c r="CI6628" s="451"/>
      <c r="CJ6628" s="451"/>
      <c r="CK6628" s="451"/>
      <c r="CL6628" s="451"/>
      <c r="CM6628" s="451"/>
      <c r="CN6628" s="451"/>
      <c r="CO6628" s="451"/>
      <c r="CP6628" s="451"/>
      <c r="CQ6628" s="451"/>
      <c r="CR6628" s="451"/>
      <c r="CS6628" s="451"/>
      <c r="CT6628" s="451"/>
      <c r="CU6628" s="451"/>
      <c r="CV6628" s="451"/>
      <c r="CW6628" s="451"/>
      <c r="CX6628" s="451"/>
      <c r="CY6628" s="451"/>
      <c r="CZ6628" s="451"/>
      <c r="DA6628" s="451"/>
      <c r="DB6628" s="451"/>
      <c r="DC6628" s="451"/>
      <c r="DD6628" s="451"/>
      <c r="DE6628" s="451"/>
      <c r="DF6628" s="451"/>
      <c r="DG6628" s="451"/>
      <c r="DH6628" s="451"/>
      <c r="DI6628" s="451"/>
      <c r="DJ6628" s="451"/>
      <c r="DK6628" s="451"/>
      <c r="DL6628" s="451"/>
      <c r="DM6628" s="451"/>
      <c r="DN6628" s="451"/>
      <c r="DO6628" s="451"/>
      <c r="DP6628" s="451"/>
      <c r="DQ6628" s="451"/>
      <c r="DR6628" s="451"/>
      <c r="DS6628" s="451"/>
      <c r="DT6628" s="451"/>
      <c r="DU6628" s="451"/>
      <c r="DV6628" s="451"/>
      <c r="DW6628" s="451"/>
      <c r="DX6628" s="451"/>
      <c r="DY6628" s="451"/>
      <c r="DZ6628" s="451"/>
      <c r="EA6628" s="451"/>
      <c r="EB6628" s="451"/>
      <c r="EC6628" s="451"/>
      <c r="ED6628" s="451"/>
      <c r="EE6628" s="451"/>
      <c r="EF6628" s="451"/>
      <c r="EG6628" s="451"/>
      <c r="EH6628" s="451"/>
      <c r="EI6628" s="451"/>
      <c r="EJ6628" s="451"/>
      <c r="EK6628" s="451"/>
      <c r="EL6628" s="451"/>
      <c r="EM6628" s="451"/>
      <c r="EN6628" s="451"/>
      <c r="EO6628" s="451"/>
      <c r="EP6628" s="451"/>
      <c r="EQ6628" s="451"/>
      <c r="ER6628" s="451"/>
      <c r="ES6628" s="451"/>
    </row>
    <row r="6629" spans="1:149" ht="15" hidden="1" customHeight="1">
      <c r="A6629" s="468">
        <v>45562</v>
      </c>
      <c r="B6629" s="208" t="s">
        <v>5379</v>
      </c>
      <c r="C6629" s="208" t="s">
        <v>27</v>
      </c>
      <c r="D6629" s="211">
        <v>-688750</v>
      </c>
      <c r="E6629" s="212">
        <v>45536</v>
      </c>
      <c r="F6629" s="208" t="s">
        <v>110</v>
      </c>
      <c r="G6629" s="208" t="s">
        <v>4399</v>
      </c>
      <c r="H6629" s="208" t="s">
        <v>147</v>
      </c>
      <c r="I6629" s="208"/>
      <c r="J6629" s="209"/>
      <c r="K6629" s="209"/>
      <c r="L6629" s="209"/>
      <c r="M6629" s="209"/>
      <c r="N6629" s="209"/>
      <c r="O6629" s="209"/>
      <c r="P6629" s="209"/>
      <c r="Q6629" s="209"/>
      <c r="R6629" s="209"/>
      <c r="S6629" s="209"/>
      <c r="T6629" s="209"/>
      <c r="U6629" s="451"/>
      <c r="V6629" s="451"/>
      <c r="W6629" s="451"/>
      <c r="X6629" s="451"/>
      <c r="Y6629" s="451"/>
      <c r="Z6629" s="451"/>
      <c r="AA6629" s="451"/>
      <c r="AB6629" s="451"/>
      <c r="AC6629" s="451"/>
      <c r="AD6629" s="451"/>
      <c r="AE6629" s="451"/>
      <c r="AF6629" s="451"/>
      <c r="AG6629" s="451"/>
      <c r="AH6629" s="451"/>
      <c r="AI6629" s="451"/>
      <c r="AJ6629" s="451"/>
      <c r="AK6629" s="451"/>
      <c r="AL6629" s="451"/>
      <c r="AM6629" s="451"/>
      <c r="AN6629" s="451"/>
      <c r="AO6629" s="451"/>
      <c r="AP6629" s="451"/>
      <c r="AQ6629" s="451"/>
      <c r="AR6629" s="451"/>
      <c r="AS6629" s="451"/>
      <c r="AT6629" s="451"/>
      <c r="AU6629" s="451"/>
      <c r="AV6629" s="451"/>
      <c r="AW6629" s="451"/>
      <c r="AX6629" s="451"/>
      <c r="AY6629" s="451"/>
      <c r="AZ6629" s="451"/>
      <c r="BA6629" s="451"/>
      <c r="BB6629" s="451"/>
      <c r="BC6629" s="451"/>
      <c r="BD6629" s="451"/>
      <c r="BE6629" s="451"/>
      <c r="BF6629" s="451"/>
      <c r="BG6629" s="451"/>
      <c r="BH6629" s="451"/>
      <c r="BI6629" s="451"/>
      <c r="BJ6629" s="451"/>
      <c r="BK6629" s="451"/>
      <c r="BL6629" s="451"/>
      <c r="BM6629" s="451"/>
      <c r="BN6629" s="451"/>
      <c r="BO6629" s="451"/>
      <c r="BP6629" s="451"/>
      <c r="BQ6629" s="451"/>
      <c r="BR6629" s="451"/>
      <c r="BS6629" s="451"/>
      <c r="BT6629" s="451"/>
      <c r="BU6629" s="451"/>
      <c r="BV6629" s="451"/>
      <c r="BW6629" s="451"/>
      <c r="BX6629" s="451"/>
      <c r="BY6629" s="451"/>
      <c r="BZ6629" s="451"/>
      <c r="CA6629" s="451"/>
      <c r="CB6629" s="451"/>
      <c r="CC6629" s="451"/>
      <c r="CD6629" s="451"/>
      <c r="CE6629" s="451"/>
      <c r="CF6629" s="451"/>
      <c r="CG6629" s="451"/>
      <c r="CH6629" s="451"/>
      <c r="CI6629" s="451"/>
      <c r="CJ6629" s="451"/>
      <c r="CK6629" s="451"/>
      <c r="CL6629" s="451"/>
      <c r="CM6629" s="451"/>
      <c r="CN6629" s="451"/>
      <c r="CO6629" s="451"/>
      <c r="CP6629" s="451"/>
      <c r="CQ6629" s="451"/>
      <c r="CR6629" s="451"/>
      <c r="CS6629" s="451"/>
      <c r="CT6629" s="451"/>
      <c r="CU6629" s="451"/>
      <c r="CV6629" s="451"/>
      <c r="CW6629" s="451"/>
      <c r="CX6629" s="451"/>
      <c r="CY6629" s="451"/>
      <c r="CZ6629" s="451"/>
      <c r="DA6629" s="451"/>
      <c r="DB6629" s="451"/>
      <c r="DC6629" s="451"/>
      <c r="DD6629" s="451"/>
      <c r="DE6629" s="451"/>
      <c r="DF6629" s="451"/>
      <c r="DG6629" s="451"/>
      <c r="DH6629" s="451"/>
      <c r="DI6629" s="451"/>
      <c r="DJ6629" s="451"/>
      <c r="DK6629" s="451"/>
      <c r="DL6629" s="451"/>
      <c r="DM6629" s="451"/>
      <c r="DN6629" s="451"/>
      <c r="DO6629" s="451"/>
      <c r="DP6629" s="451"/>
      <c r="DQ6629" s="451"/>
      <c r="DR6629" s="451"/>
      <c r="DS6629" s="451"/>
      <c r="DT6629" s="451"/>
      <c r="DU6629" s="451"/>
      <c r="DV6629" s="451"/>
      <c r="DW6629" s="451"/>
      <c r="DX6629" s="451"/>
      <c r="DY6629" s="451"/>
      <c r="DZ6629" s="451"/>
      <c r="EA6629" s="451"/>
      <c r="EB6629" s="451"/>
      <c r="EC6629" s="451"/>
      <c r="ED6629" s="451"/>
      <c r="EE6629" s="451"/>
      <c r="EF6629" s="451"/>
      <c r="EG6629" s="451"/>
      <c r="EH6629" s="451"/>
      <c r="EI6629" s="451"/>
      <c r="EJ6629" s="451"/>
      <c r="EK6629" s="451"/>
      <c r="EL6629" s="451"/>
      <c r="EM6629" s="451"/>
      <c r="EN6629" s="451"/>
      <c r="EO6629" s="451"/>
      <c r="EP6629" s="451"/>
      <c r="EQ6629" s="451"/>
      <c r="ER6629" s="451"/>
      <c r="ES6629" s="451"/>
    </row>
    <row r="6630" spans="1:149" ht="15" hidden="1" customHeight="1">
      <c r="A6630" s="468">
        <v>45562</v>
      </c>
      <c r="B6630" s="208" t="s">
        <v>5380</v>
      </c>
      <c r="C6630" s="208" t="s">
        <v>27</v>
      </c>
      <c r="D6630" s="211">
        <v>-679000</v>
      </c>
      <c r="E6630" s="212">
        <v>45536</v>
      </c>
      <c r="F6630" s="208" t="s">
        <v>2531</v>
      </c>
      <c r="G6630" s="201" t="s">
        <v>1489</v>
      </c>
      <c r="H6630" s="208" t="s">
        <v>147</v>
      </c>
      <c r="I6630" s="208"/>
      <c r="J6630" s="209"/>
      <c r="K6630" s="209"/>
      <c r="L6630" s="209"/>
      <c r="M6630" s="209"/>
      <c r="N6630" s="209"/>
      <c r="O6630" s="209"/>
      <c r="P6630" s="209"/>
      <c r="Q6630" s="209"/>
      <c r="R6630" s="209"/>
      <c r="S6630" s="209"/>
      <c r="T6630" s="209"/>
      <c r="U6630" s="451"/>
      <c r="V6630" s="451"/>
      <c r="W6630" s="451"/>
      <c r="X6630" s="451"/>
      <c r="Y6630" s="451"/>
      <c r="Z6630" s="451"/>
      <c r="AA6630" s="451"/>
      <c r="AB6630" s="451"/>
      <c r="AC6630" s="451"/>
      <c r="AD6630" s="451"/>
      <c r="AE6630" s="451"/>
      <c r="AF6630" s="451"/>
      <c r="AG6630" s="451"/>
      <c r="AH6630" s="451"/>
      <c r="AI6630" s="451"/>
      <c r="AJ6630" s="451"/>
      <c r="AK6630" s="451"/>
      <c r="AL6630" s="451"/>
      <c r="AM6630" s="451"/>
      <c r="AN6630" s="451"/>
      <c r="AO6630" s="451"/>
      <c r="AP6630" s="451"/>
      <c r="AQ6630" s="451"/>
      <c r="AR6630" s="451"/>
      <c r="AS6630" s="451"/>
      <c r="AT6630" s="451"/>
      <c r="AU6630" s="451"/>
      <c r="AV6630" s="451"/>
      <c r="AW6630" s="451"/>
      <c r="AX6630" s="451"/>
      <c r="AY6630" s="451"/>
      <c r="AZ6630" s="451"/>
      <c r="BA6630" s="451"/>
      <c r="BB6630" s="451"/>
      <c r="BC6630" s="451"/>
      <c r="BD6630" s="451"/>
      <c r="BE6630" s="451"/>
      <c r="BF6630" s="451"/>
      <c r="BG6630" s="451"/>
      <c r="BH6630" s="451"/>
      <c r="BI6630" s="451"/>
      <c r="BJ6630" s="451"/>
      <c r="BK6630" s="451"/>
      <c r="BL6630" s="451"/>
      <c r="BM6630" s="451"/>
      <c r="BN6630" s="451"/>
      <c r="BO6630" s="451"/>
      <c r="BP6630" s="451"/>
      <c r="BQ6630" s="451"/>
      <c r="BR6630" s="451"/>
      <c r="BS6630" s="451"/>
      <c r="BT6630" s="451"/>
      <c r="BU6630" s="451"/>
      <c r="BV6630" s="451"/>
      <c r="BW6630" s="451"/>
      <c r="BX6630" s="451"/>
      <c r="BY6630" s="451"/>
      <c r="BZ6630" s="451"/>
      <c r="CA6630" s="451"/>
      <c r="CB6630" s="451"/>
      <c r="CC6630" s="451"/>
      <c r="CD6630" s="451"/>
      <c r="CE6630" s="451"/>
      <c r="CF6630" s="451"/>
      <c r="CG6630" s="451"/>
      <c r="CH6630" s="451"/>
      <c r="CI6630" s="451"/>
      <c r="CJ6630" s="451"/>
      <c r="CK6630" s="451"/>
      <c r="CL6630" s="451"/>
      <c r="CM6630" s="451"/>
      <c r="CN6630" s="451"/>
      <c r="CO6630" s="451"/>
      <c r="CP6630" s="451"/>
      <c r="CQ6630" s="451"/>
      <c r="CR6630" s="451"/>
      <c r="CS6630" s="451"/>
      <c r="CT6630" s="451"/>
      <c r="CU6630" s="451"/>
      <c r="CV6630" s="451"/>
      <c r="CW6630" s="451"/>
      <c r="CX6630" s="451"/>
      <c r="CY6630" s="451"/>
      <c r="CZ6630" s="451"/>
      <c r="DA6630" s="451"/>
      <c r="DB6630" s="451"/>
      <c r="DC6630" s="451"/>
      <c r="DD6630" s="451"/>
      <c r="DE6630" s="451"/>
      <c r="DF6630" s="451"/>
      <c r="DG6630" s="451"/>
      <c r="DH6630" s="451"/>
      <c r="DI6630" s="451"/>
      <c r="DJ6630" s="451"/>
      <c r="DK6630" s="451"/>
      <c r="DL6630" s="451"/>
      <c r="DM6630" s="451"/>
      <c r="DN6630" s="451"/>
      <c r="DO6630" s="451"/>
      <c r="DP6630" s="451"/>
      <c r="DQ6630" s="451"/>
      <c r="DR6630" s="451"/>
      <c r="DS6630" s="451"/>
      <c r="DT6630" s="451"/>
      <c r="DU6630" s="451"/>
      <c r="DV6630" s="451"/>
      <c r="DW6630" s="451"/>
      <c r="DX6630" s="451"/>
      <c r="DY6630" s="451"/>
      <c r="DZ6630" s="451"/>
      <c r="EA6630" s="451"/>
      <c r="EB6630" s="451"/>
      <c r="EC6630" s="451"/>
      <c r="ED6630" s="451"/>
      <c r="EE6630" s="451"/>
      <c r="EF6630" s="451"/>
      <c r="EG6630" s="451"/>
      <c r="EH6630" s="451"/>
      <c r="EI6630" s="451"/>
      <c r="EJ6630" s="451"/>
      <c r="EK6630" s="451"/>
      <c r="EL6630" s="451"/>
      <c r="EM6630" s="451"/>
      <c r="EN6630" s="451"/>
      <c r="EO6630" s="451"/>
      <c r="EP6630" s="451"/>
      <c r="EQ6630" s="451"/>
      <c r="ER6630" s="451"/>
      <c r="ES6630" s="451"/>
    </row>
    <row r="6631" spans="1:149" ht="15" hidden="1" customHeight="1">
      <c r="A6631" s="468">
        <v>45562</v>
      </c>
      <c r="B6631" s="208" t="s">
        <v>5381</v>
      </c>
      <c r="C6631" s="208" t="s">
        <v>27</v>
      </c>
      <c r="D6631" s="211">
        <v>-679000</v>
      </c>
      <c r="E6631" s="212">
        <v>45536</v>
      </c>
      <c r="F6631" s="208" t="s">
        <v>2531</v>
      </c>
      <c r="G6631" s="201" t="s">
        <v>1489</v>
      </c>
      <c r="H6631" s="208" t="s">
        <v>147</v>
      </c>
      <c r="I6631" s="208"/>
      <c r="J6631" s="209"/>
      <c r="K6631" s="209"/>
      <c r="L6631" s="209"/>
      <c r="M6631" s="209"/>
      <c r="N6631" s="209"/>
      <c r="O6631" s="209"/>
      <c r="P6631" s="209"/>
      <c r="Q6631" s="209"/>
      <c r="R6631" s="209"/>
      <c r="S6631" s="209"/>
      <c r="T6631" s="209"/>
      <c r="U6631" s="451"/>
      <c r="V6631" s="451"/>
      <c r="W6631" s="451"/>
      <c r="X6631" s="451"/>
      <c r="Y6631" s="451"/>
      <c r="Z6631" s="451"/>
      <c r="AA6631" s="451"/>
      <c r="AB6631" s="451"/>
      <c r="AC6631" s="451"/>
      <c r="AD6631" s="451"/>
      <c r="AE6631" s="451"/>
      <c r="AF6631" s="451"/>
      <c r="AG6631" s="451"/>
      <c r="AH6631" s="451"/>
      <c r="AI6631" s="451"/>
      <c r="AJ6631" s="451"/>
      <c r="AK6631" s="451"/>
      <c r="AL6631" s="451"/>
      <c r="AM6631" s="451"/>
      <c r="AN6631" s="451"/>
      <c r="AO6631" s="451"/>
      <c r="AP6631" s="451"/>
      <c r="AQ6631" s="451"/>
      <c r="AR6631" s="451"/>
      <c r="AS6631" s="451"/>
      <c r="AT6631" s="451"/>
      <c r="AU6631" s="451"/>
      <c r="AV6631" s="451"/>
      <c r="AW6631" s="451"/>
      <c r="AX6631" s="451"/>
      <c r="AY6631" s="451"/>
      <c r="AZ6631" s="451"/>
      <c r="BA6631" s="451"/>
      <c r="BB6631" s="451"/>
      <c r="BC6631" s="451"/>
      <c r="BD6631" s="451"/>
      <c r="BE6631" s="451"/>
      <c r="BF6631" s="451"/>
      <c r="BG6631" s="451"/>
      <c r="BH6631" s="451"/>
      <c r="BI6631" s="451"/>
      <c r="BJ6631" s="451"/>
      <c r="BK6631" s="451"/>
      <c r="BL6631" s="451"/>
      <c r="BM6631" s="451"/>
      <c r="BN6631" s="451"/>
      <c r="BO6631" s="451"/>
      <c r="BP6631" s="451"/>
      <c r="BQ6631" s="451"/>
      <c r="BR6631" s="451"/>
      <c r="BS6631" s="451"/>
      <c r="BT6631" s="451"/>
      <c r="BU6631" s="451"/>
      <c r="BV6631" s="451"/>
      <c r="BW6631" s="451"/>
      <c r="BX6631" s="451"/>
      <c r="BY6631" s="451"/>
      <c r="BZ6631" s="451"/>
      <c r="CA6631" s="451"/>
      <c r="CB6631" s="451"/>
      <c r="CC6631" s="451"/>
      <c r="CD6631" s="451"/>
      <c r="CE6631" s="451"/>
      <c r="CF6631" s="451"/>
      <c r="CG6631" s="451"/>
      <c r="CH6631" s="451"/>
      <c r="CI6631" s="451"/>
      <c r="CJ6631" s="451"/>
      <c r="CK6631" s="451"/>
      <c r="CL6631" s="451"/>
      <c r="CM6631" s="451"/>
      <c r="CN6631" s="451"/>
      <c r="CO6631" s="451"/>
      <c r="CP6631" s="451"/>
      <c r="CQ6631" s="451"/>
      <c r="CR6631" s="451"/>
      <c r="CS6631" s="451"/>
      <c r="CT6631" s="451"/>
      <c r="CU6631" s="451"/>
      <c r="CV6631" s="451"/>
      <c r="CW6631" s="451"/>
      <c r="CX6631" s="451"/>
      <c r="CY6631" s="451"/>
      <c r="CZ6631" s="451"/>
      <c r="DA6631" s="451"/>
      <c r="DB6631" s="451"/>
      <c r="DC6631" s="451"/>
      <c r="DD6631" s="451"/>
      <c r="DE6631" s="451"/>
      <c r="DF6631" s="451"/>
      <c r="DG6631" s="451"/>
      <c r="DH6631" s="451"/>
      <c r="DI6631" s="451"/>
      <c r="DJ6631" s="451"/>
      <c r="DK6631" s="451"/>
      <c r="DL6631" s="451"/>
      <c r="DM6631" s="451"/>
      <c r="DN6631" s="451"/>
      <c r="DO6631" s="451"/>
      <c r="DP6631" s="451"/>
      <c r="DQ6631" s="451"/>
      <c r="DR6631" s="451"/>
      <c r="DS6631" s="451"/>
      <c r="DT6631" s="451"/>
      <c r="DU6631" s="451"/>
      <c r="DV6631" s="451"/>
      <c r="DW6631" s="451"/>
      <c r="DX6631" s="451"/>
      <c r="DY6631" s="451"/>
      <c r="DZ6631" s="451"/>
      <c r="EA6631" s="451"/>
      <c r="EB6631" s="451"/>
      <c r="EC6631" s="451"/>
      <c r="ED6631" s="451"/>
      <c r="EE6631" s="451"/>
      <c r="EF6631" s="451"/>
      <c r="EG6631" s="451"/>
      <c r="EH6631" s="451"/>
      <c r="EI6631" s="451"/>
      <c r="EJ6631" s="451"/>
      <c r="EK6631" s="451"/>
      <c r="EL6631" s="451"/>
      <c r="EM6631" s="451"/>
      <c r="EN6631" s="451"/>
      <c r="EO6631" s="451"/>
      <c r="EP6631" s="451"/>
      <c r="EQ6631" s="451"/>
      <c r="ER6631" s="451"/>
      <c r="ES6631" s="451"/>
    </row>
    <row r="6632" spans="1:149" ht="15" hidden="1" customHeight="1">
      <c r="A6632" s="468">
        <v>45562</v>
      </c>
      <c r="B6632" s="208" t="s">
        <v>5382</v>
      </c>
      <c r="C6632" s="208" t="s">
        <v>27</v>
      </c>
      <c r="D6632" s="211">
        <v>-3436000</v>
      </c>
      <c r="E6632" s="212">
        <v>45536</v>
      </c>
      <c r="F6632" s="208" t="s">
        <v>2531</v>
      </c>
      <c r="G6632" s="208" t="s">
        <v>3245</v>
      </c>
      <c r="H6632" s="201" t="s">
        <v>508</v>
      </c>
      <c r="I6632" s="208"/>
      <c r="J6632" s="209"/>
      <c r="K6632" s="209"/>
      <c r="L6632" s="209"/>
      <c r="M6632" s="209"/>
      <c r="N6632" s="209"/>
      <c r="O6632" s="209"/>
      <c r="P6632" s="209"/>
      <c r="Q6632" s="209"/>
      <c r="R6632" s="209"/>
      <c r="S6632" s="209"/>
      <c r="T6632" s="209"/>
      <c r="U6632" s="451"/>
      <c r="V6632" s="451"/>
      <c r="W6632" s="451"/>
      <c r="X6632" s="451"/>
      <c r="Y6632" s="451"/>
      <c r="Z6632" s="451"/>
      <c r="AA6632" s="451"/>
      <c r="AB6632" s="451"/>
      <c r="AC6632" s="451"/>
      <c r="AD6632" s="451"/>
      <c r="AE6632" s="451"/>
      <c r="AF6632" s="451"/>
      <c r="AG6632" s="451"/>
      <c r="AH6632" s="451"/>
      <c r="AI6632" s="451"/>
      <c r="AJ6632" s="451"/>
      <c r="AK6632" s="451"/>
      <c r="AL6632" s="451"/>
      <c r="AM6632" s="451"/>
      <c r="AN6632" s="451"/>
      <c r="AO6632" s="451"/>
      <c r="AP6632" s="451"/>
      <c r="AQ6632" s="451"/>
      <c r="AR6632" s="451"/>
      <c r="AS6632" s="451"/>
      <c r="AT6632" s="451"/>
      <c r="AU6632" s="451"/>
      <c r="AV6632" s="451"/>
      <c r="AW6632" s="451"/>
      <c r="AX6632" s="451"/>
      <c r="AY6632" s="451"/>
      <c r="AZ6632" s="451"/>
      <c r="BA6632" s="451"/>
      <c r="BB6632" s="451"/>
      <c r="BC6632" s="451"/>
      <c r="BD6632" s="451"/>
      <c r="BE6632" s="451"/>
      <c r="BF6632" s="451"/>
      <c r="BG6632" s="451"/>
      <c r="BH6632" s="451"/>
      <c r="BI6632" s="451"/>
      <c r="BJ6632" s="451"/>
      <c r="BK6632" s="451"/>
      <c r="BL6632" s="451"/>
      <c r="BM6632" s="451"/>
      <c r="BN6632" s="451"/>
      <c r="BO6632" s="451"/>
      <c r="BP6632" s="451"/>
      <c r="BQ6632" s="451"/>
      <c r="BR6632" s="451"/>
      <c r="BS6632" s="451"/>
      <c r="BT6632" s="451"/>
      <c r="BU6632" s="451"/>
      <c r="BV6632" s="451"/>
      <c r="BW6632" s="451"/>
      <c r="BX6632" s="451"/>
      <c r="BY6632" s="451"/>
      <c r="BZ6632" s="451"/>
      <c r="CA6632" s="451"/>
      <c r="CB6632" s="451"/>
      <c r="CC6632" s="451"/>
      <c r="CD6632" s="451"/>
      <c r="CE6632" s="451"/>
      <c r="CF6632" s="451"/>
      <c r="CG6632" s="451"/>
      <c r="CH6632" s="451"/>
      <c r="CI6632" s="451"/>
      <c r="CJ6632" s="451"/>
      <c r="CK6632" s="451"/>
      <c r="CL6632" s="451"/>
      <c r="CM6632" s="451"/>
      <c r="CN6632" s="451"/>
      <c r="CO6632" s="451"/>
      <c r="CP6632" s="451"/>
      <c r="CQ6632" s="451"/>
      <c r="CR6632" s="451"/>
      <c r="CS6632" s="451"/>
      <c r="CT6632" s="451"/>
      <c r="CU6632" s="451"/>
      <c r="CV6632" s="451"/>
      <c r="CW6632" s="451"/>
      <c r="CX6632" s="451"/>
      <c r="CY6632" s="451"/>
      <c r="CZ6632" s="451"/>
      <c r="DA6632" s="451"/>
      <c r="DB6632" s="451"/>
      <c r="DC6632" s="451"/>
      <c r="DD6632" s="451"/>
      <c r="DE6632" s="451"/>
      <c r="DF6632" s="451"/>
      <c r="DG6632" s="451"/>
      <c r="DH6632" s="451"/>
      <c r="DI6632" s="451"/>
      <c r="DJ6632" s="451"/>
      <c r="DK6632" s="451"/>
      <c r="DL6632" s="451"/>
      <c r="DM6632" s="451"/>
      <c r="DN6632" s="451"/>
      <c r="DO6632" s="451"/>
      <c r="DP6632" s="451"/>
      <c r="DQ6632" s="451"/>
      <c r="DR6632" s="451"/>
      <c r="DS6632" s="451"/>
      <c r="DT6632" s="451"/>
      <c r="DU6632" s="451"/>
      <c r="DV6632" s="451"/>
      <c r="DW6632" s="451"/>
      <c r="DX6632" s="451"/>
      <c r="DY6632" s="451"/>
      <c r="DZ6632" s="451"/>
      <c r="EA6632" s="451"/>
      <c r="EB6632" s="451"/>
      <c r="EC6632" s="451"/>
      <c r="ED6632" s="451"/>
      <c r="EE6632" s="451"/>
      <c r="EF6632" s="451"/>
      <c r="EG6632" s="451"/>
      <c r="EH6632" s="451"/>
      <c r="EI6632" s="451"/>
      <c r="EJ6632" s="451"/>
      <c r="EK6632" s="451"/>
      <c r="EL6632" s="451"/>
      <c r="EM6632" s="451"/>
      <c r="EN6632" s="451"/>
      <c r="EO6632" s="451"/>
      <c r="EP6632" s="451"/>
      <c r="EQ6632" s="451"/>
      <c r="ER6632" s="451"/>
      <c r="ES6632" s="451"/>
    </row>
    <row r="6633" spans="1:149" ht="15" hidden="1" customHeight="1">
      <c r="A6633" s="468">
        <v>45562</v>
      </c>
      <c r="B6633" s="208" t="s">
        <v>5383</v>
      </c>
      <c r="C6633" s="208" t="s">
        <v>27</v>
      </c>
      <c r="D6633" s="211">
        <v>-307866</v>
      </c>
      <c r="E6633" s="212">
        <v>45536</v>
      </c>
      <c r="F6633" s="208" t="s">
        <v>2531</v>
      </c>
      <c r="G6633" s="201" t="s">
        <v>1489</v>
      </c>
      <c r="H6633" s="201" t="s">
        <v>508</v>
      </c>
      <c r="I6633" s="208"/>
      <c r="J6633" s="209"/>
      <c r="K6633" s="209"/>
      <c r="L6633" s="209"/>
      <c r="M6633" s="209"/>
      <c r="N6633" s="209"/>
      <c r="O6633" s="209"/>
      <c r="P6633" s="209"/>
      <c r="Q6633" s="209"/>
      <c r="R6633" s="209"/>
      <c r="S6633" s="209"/>
      <c r="T6633" s="209"/>
      <c r="U6633" s="451"/>
      <c r="V6633" s="451"/>
      <c r="W6633" s="451"/>
      <c r="X6633" s="451"/>
      <c r="Y6633" s="451"/>
      <c r="Z6633" s="451"/>
      <c r="AA6633" s="451"/>
      <c r="AB6633" s="451"/>
      <c r="AC6633" s="451"/>
      <c r="AD6633" s="451"/>
      <c r="AE6633" s="451"/>
      <c r="AF6633" s="451"/>
      <c r="AG6633" s="451"/>
      <c r="AH6633" s="451"/>
      <c r="AI6633" s="451"/>
      <c r="AJ6633" s="451"/>
      <c r="AK6633" s="451"/>
      <c r="AL6633" s="451"/>
      <c r="AM6633" s="451"/>
      <c r="AN6633" s="451"/>
      <c r="AO6633" s="451"/>
      <c r="AP6633" s="451"/>
      <c r="AQ6633" s="451"/>
      <c r="AR6633" s="451"/>
      <c r="AS6633" s="451"/>
      <c r="AT6633" s="451"/>
      <c r="AU6633" s="451"/>
      <c r="AV6633" s="451"/>
      <c r="AW6633" s="451"/>
      <c r="AX6633" s="451"/>
      <c r="AY6633" s="451"/>
      <c r="AZ6633" s="451"/>
      <c r="BA6633" s="451"/>
      <c r="BB6633" s="451"/>
      <c r="BC6633" s="451"/>
      <c r="BD6633" s="451"/>
      <c r="BE6633" s="451"/>
      <c r="BF6633" s="451"/>
      <c r="BG6633" s="451"/>
      <c r="BH6633" s="451"/>
      <c r="BI6633" s="451"/>
      <c r="BJ6633" s="451"/>
      <c r="BK6633" s="451"/>
      <c r="BL6633" s="451"/>
      <c r="BM6633" s="451"/>
      <c r="BN6633" s="451"/>
      <c r="BO6633" s="451"/>
      <c r="BP6633" s="451"/>
      <c r="BQ6633" s="451"/>
      <c r="BR6633" s="451"/>
      <c r="BS6633" s="451"/>
      <c r="BT6633" s="451"/>
      <c r="BU6633" s="451"/>
      <c r="BV6633" s="451"/>
      <c r="BW6633" s="451"/>
      <c r="BX6633" s="451"/>
      <c r="BY6633" s="451"/>
      <c r="BZ6633" s="451"/>
      <c r="CA6633" s="451"/>
      <c r="CB6633" s="451"/>
      <c r="CC6633" s="451"/>
      <c r="CD6633" s="451"/>
      <c r="CE6633" s="451"/>
      <c r="CF6633" s="451"/>
      <c r="CG6633" s="451"/>
      <c r="CH6633" s="451"/>
      <c r="CI6633" s="451"/>
      <c r="CJ6633" s="451"/>
      <c r="CK6633" s="451"/>
      <c r="CL6633" s="451"/>
      <c r="CM6633" s="451"/>
      <c r="CN6633" s="451"/>
      <c r="CO6633" s="451"/>
      <c r="CP6633" s="451"/>
      <c r="CQ6633" s="451"/>
      <c r="CR6633" s="451"/>
      <c r="CS6633" s="451"/>
      <c r="CT6633" s="451"/>
      <c r="CU6633" s="451"/>
      <c r="CV6633" s="451"/>
      <c r="CW6633" s="451"/>
      <c r="CX6633" s="451"/>
      <c r="CY6633" s="451"/>
      <c r="CZ6633" s="451"/>
      <c r="DA6633" s="451"/>
      <c r="DB6633" s="451"/>
      <c r="DC6633" s="451"/>
      <c r="DD6633" s="451"/>
      <c r="DE6633" s="451"/>
      <c r="DF6633" s="451"/>
      <c r="DG6633" s="451"/>
      <c r="DH6633" s="451"/>
      <c r="DI6633" s="451"/>
      <c r="DJ6633" s="451"/>
      <c r="DK6633" s="451"/>
      <c r="DL6633" s="451"/>
      <c r="DM6633" s="451"/>
      <c r="DN6633" s="451"/>
      <c r="DO6633" s="451"/>
      <c r="DP6633" s="451"/>
      <c r="DQ6633" s="451"/>
      <c r="DR6633" s="451"/>
      <c r="DS6633" s="451"/>
      <c r="DT6633" s="451"/>
      <c r="DU6633" s="451"/>
      <c r="DV6633" s="451"/>
      <c r="DW6633" s="451"/>
      <c r="DX6633" s="451"/>
      <c r="DY6633" s="451"/>
      <c r="DZ6633" s="451"/>
      <c r="EA6633" s="451"/>
      <c r="EB6633" s="451"/>
      <c r="EC6633" s="451"/>
      <c r="ED6633" s="451"/>
      <c r="EE6633" s="451"/>
      <c r="EF6633" s="451"/>
      <c r="EG6633" s="451"/>
      <c r="EH6633" s="451"/>
      <c r="EI6633" s="451"/>
      <c r="EJ6633" s="451"/>
      <c r="EK6633" s="451"/>
      <c r="EL6633" s="451"/>
      <c r="EM6633" s="451"/>
      <c r="EN6633" s="451"/>
      <c r="EO6633" s="451"/>
      <c r="EP6633" s="451"/>
      <c r="EQ6633" s="451"/>
      <c r="ER6633" s="451"/>
      <c r="ES6633" s="451"/>
    </row>
    <row r="6634" spans="1:149" ht="15" hidden="1" customHeight="1">
      <c r="A6634" s="468">
        <v>45562</v>
      </c>
      <c r="B6634" s="208" t="s">
        <v>5383</v>
      </c>
      <c r="C6634" s="208" t="s">
        <v>27</v>
      </c>
      <c r="D6634" s="211">
        <v>-307867</v>
      </c>
      <c r="E6634" s="212">
        <v>45536</v>
      </c>
      <c r="F6634" s="208" t="s">
        <v>2531</v>
      </c>
      <c r="G6634" s="208" t="s">
        <v>4294</v>
      </c>
      <c r="H6634" s="201" t="s">
        <v>508</v>
      </c>
      <c r="I6634" s="208"/>
      <c r="J6634" s="209"/>
      <c r="K6634" s="209"/>
      <c r="L6634" s="209"/>
      <c r="M6634" s="209"/>
      <c r="N6634" s="209"/>
      <c r="O6634" s="209"/>
      <c r="P6634" s="209"/>
      <c r="Q6634" s="209"/>
      <c r="R6634" s="209"/>
      <c r="S6634" s="209"/>
      <c r="T6634" s="209"/>
      <c r="U6634" s="451"/>
      <c r="V6634" s="451"/>
      <c r="W6634" s="451"/>
      <c r="X6634" s="451"/>
      <c r="Y6634" s="451"/>
      <c r="Z6634" s="451"/>
      <c r="AA6634" s="451"/>
      <c r="AB6634" s="451"/>
      <c r="AC6634" s="451"/>
      <c r="AD6634" s="451"/>
      <c r="AE6634" s="451"/>
      <c r="AF6634" s="451"/>
      <c r="AG6634" s="451"/>
      <c r="AH6634" s="451"/>
      <c r="AI6634" s="451"/>
      <c r="AJ6634" s="451"/>
      <c r="AK6634" s="451"/>
      <c r="AL6634" s="451"/>
      <c r="AM6634" s="451"/>
      <c r="AN6634" s="451"/>
      <c r="AO6634" s="451"/>
      <c r="AP6634" s="451"/>
      <c r="AQ6634" s="451"/>
      <c r="AR6634" s="451"/>
      <c r="AS6634" s="451"/>
      <c r="AT6634" s="451"/>
      <c r="AU6634" s="451"/>
      <c r="AV6634" s="451"/>
      <c r="AW6634" s="451"/>
      <c r="AX6634" s="451"/>
      <c r="AY6634" s="451"/>
      <c r="AZ6634" s="451"/>
      <c r="BA6634" s="451"/>
      <c r="BB6634" s="451"/>
      <c r="BC6634" s="451"/>
      <c r="BD6634" s="451"/>
      <c r="BE6634" s="451"/>
      <c r="BF6634" s="451"/>
      <c r="BG6634" s="451"/>
      <c r="BH6634" s="451"/>
      <c r="BI6634" s="451"/>
      <c r="BJ6634" s="451"/>
      <c r="BK6634" s="451"/>
      <c r="BL6634" s="451"/>
      <c r="BM6634" s="451"/>
      <c r="BN6634" s="451"/>
      <c r="BO6634" s="451"/>
      <c r="BP6634" s="451"/>
      <c r="BQ6634" s="451"/>
      <c r="BR6634" s="451"/>
      <c r="BS6634" s="451"/>
      <c r="BT6634" s="451"/>
      <c r="BU6634" s="451"/>
      <c r="BV6634" s="451"/>
      <c r="BW6634" s="451"/>
      <c r="BX6634" s="451"/>
      <c r="BY6634" s="451"/>
      <c r="BZ6634" s="451"/>
      <c r="CA6634" s="451"/>
      <c r="CB6634" s="451"/>
      <c r="CC6634" s="451"/>
      <c r="CD6634" s="451"/>
      <c r="CE6634" s="451"/>
      <c r="CF6634" s="451"/>
      <c r="CG6634" s="451"/>
      <c r="CH6634" s="451"/>
      <c r="CI6634" s="451"/>
      <c r="CJ6634" s="451"/>
      <c r="CK6634" s="451"/>
      <c r="CL6634" s="451"/>
      <c r="CM6634" s="451"/>
      <c r="CN6634" s="451"/>
      <c r="CO6634" s="451"/>
      <c r="CP6634" s="451"/>
      <c r="CQ6634" s="451"/>
      <c r="CR6634" s="451"/>
      <c r="CS6634" s="451"/>
      <c r="CT6634" s="451"/>
      <c r="CU6634" s="451"/>
      <c r="CV6634" s="451"/>
      <c r="CW6634" s="451"/>
      <c r="CX6634" s="451"/>
      <c r="CY6634" s="451"/>
      <c r="CZ6634" s="451"/>
      <c r="DA6634" s="451"/>
      <c r="DB6634" s="451"/>
      <c r="DC6634" s="451"/>
      <c r="DD6634" s="451"/>
      <c r="DE6634" s="451"/>
      <c r="DF6634" s="451"/>
      <c r="DG6634" s="451"/>
      <c r="DH6634" s="451"/>
      <c r="DI6634" s="451"/>
      <c r="DJ6634" s="451"/>
      <c r="DK6634" s="451"/>
      <c r="DL6634" s="451"/>
      <c r="DM6634" s="451"/>
      <c r="DN6634" s="451"/>
      <c r="DO6634" s="451"/>
      <c r="DP6634" s="451"/>
      <c r="DQ6634" s="451"/>
      <c r="DR6634" s="451"/>
      <c r="DS6634" s="451"/>
      <c r="DT6634" s="451"/>
      <c r="DU6634" s="451"/>
      <c r="DV6634" s="451"/>
      <c r="DW6634" s="451"/>
      <c r="DX6634" s="451"/>
      <c r="DY6634" s="451"/>
      <c r="DZ6634" s="451"/>
      <c r="EA6634" s="451"/>
      <c r="EB6634" s="451"/>
      <c r="EC6634" s="451"/>
      <c r="ED6634" s="451"/>
      <c r="EE6634" s="451"/>
      <c r="EF6634" s="451"/>
      <c r="EG6634" s="451"/>
      <c r="EH6634" s="451"/>
      <c r="EI6634" s="451"/>
      <c r="EJ6634" s="451"/>
      <c r="EK6634" s="451"/>
      <c r="EL6634" s="451"/>
      <c r="EM6634" s="451"/>
      <c r="EN6634" s="451"/>
      <c r="EO6634" s="451"/>
      <c r="EP6634" s="451"/>
      <c r="EQ6634" s="451"/>
      <c r="ER6634" s="451"/>
      <c r="ES6634" s="451"/>
    </row>
    <row r="6635" spans="1:149" ht="15" hidden="1" customHeight="1">
      <c r="A6635" s="468">
        <v>45562</v>
      </c>
      <c r="B6635" s="208" t="s">
        <v>5383</v>
      </c>
      <c r="C6635" s="208" t="s">
        <v>27</v>
      </c>
      <c r="D6635" s="211">
        <v>-307866</v>
      </c>
      <c r="E6635" s="212">
        <v>45536</v>
      </c>
      <c r="F6635" s="208" t="s">
        <v>109</v>
      </c>
      <c r="G6635" s="208" t="s">
        <v>3529</v>
      </c>
      <c r="H6635" s="201" t="s">
        <v>508</v>
      </c>
      <c r="I6635" s="208"/>
      <c r="J6635" s="209"/>
      <c r="K6635" s="209"/>
      <c r="L6635" s="209"/>
      <c r="M6635" s="209"/>
      <c r="N6635" s="209"/>
      <c r="O6635" s="209"/>
      <c r="P6635" s="209"/>
      <c r="Q6635" s="209"/>
      <c r="R6635" s="209"/>
      <c r="S6635" s="209"/>
      <c r="T6635" s="209"/>
      <c r="U6635" s="451"/>
      <c r="V6635" s="451"/>
      <c r="W6635" s="451"/>
      <c r="X6635" s="451"/>
      <c r="Y6635" s="451"/>
      <c r="Z6635" s="451"/>
      <c r="AA6635" s="451"/>
      <c r="AB6635" s="451"/>
      <c r="AC6635" s="451"/>
      <c r="AD6635" s="451"/>
      <c r="AE6635" s="451"/>
      <c r="AF6635" s="451"/>
      <c r="AG6635" s="451"/>
      <c r="AH6635" s="451"/>
      <c r="AI6635" s="451"/>
      <c r="AJ6635" s="451"/>
      <c r="AK6635" s="451"/>
      <c r="AL6635" s="451"/>
      <c r="AM6635" s="451"/>
      <c r="AN6635" s="451"/>
      <c r="AO6635" s="451"/>
      <c r="AP6635" s="451"/>
      <c r="AQ6635" s="451"/>
      <c r="AR6635" s="451"/>
      <c r="AS6635" s="451"/>
      <c r="AT6635" s="451"/>
      <c r="AU6635" s="451"/>
      <c r="AV6635" s="451"/>
      <c r="AW6635" s="451"/>
      <c r="AX6635" s="451"/>
      <c r="AY6635" s="451"/>
      <c r="AZ6635" s="451"/>
      <c r="BA6635" s="451"/>
      <c r="BB6635" s="451"/>
      <c r="BC6635" s="451"/>
      <c r="BD6635" s="451"/>
      <c r="BE6635" s="451"/>
      <c r="BF6635" s="451"/>
      <c r="BG6635" s="451"/>
      <c r="BH6635" s="451"/>
      <c r="BI6635" s="451"/>
      <c r="BJ6635" s="451"/>
      <c r="BK6635" s="451"/>
      <c r="BL6635" s="451"/>
      <c r="BM6635" s="451"/>
      <c r="BN6635" s="451"/>
      <c r="BO6635" s="451"/>
      <c r="BP6635" s="451"/>
      <c r="BQ6635" s="451"/>
      <c r="BR6635" s="451"/>
      <c r="BS6635" s="451"/>
      <c r="BT6635" s="451"/>
      <c r="BU6635" s="451"/>
      <c r="BV6635" s="451"/>
      <c r="BW6635" s="451"/>
      <c r="BX6635" s="451"/>
      <c r="BY6635" s="451"/>
      <c r="BZ6635" s="451"/>
      <c r="CA6635" s="451"/>
      <c r="CB6635" s="451"/>
      <c r="CC6635" s="451"/>
      <c r="CD6635" s="451"/>
      <c r="CE6635" s="451"/>
      <c r="CF6635" s="451"/>
      <c r="CG6635" s="451"/>
      <c r="CH6635" s="451"/>
      <c r="CI6635" s="451"/>
      <c r="CJ6635" s="451"/>
      <c r="CK6635" s="451"/>
      <c r="CL6635" s="451"/>
      <c r="CM6635" s="451"/>
      <c r="CN6635" s="451"/>
      <c r="CO6635" s="451"/>
      <c r="CP6635" s="451"/>
      <c r="CQ6635" s="451"/>
      <c r="CR6635" s="451"/>
      <c r="CS6635" s="451"/>
      <c r="CT6635" s="451"/>
      <c r="CU6635" s="451"/>
      <c r="CV6635" s="451"/>
      <c r="CW6635" s="451"/>
      <c r="CX6635" s="451"/>
      <c r="CY6635" s="451"/>
      <c r="CZ6635" s="451"/>
      <c r="DA6635" s="451"/>
      <c r="DB6635" s="451"/>
      <c r="DC6635" s="451"/>
      <c r="DD6635" s="451"/>
      <c r="DE6635" s="451"/>
      <c r="DF6635" s="451"/>
      <c r="DG6635" s="451"/>
      <c r="DH6635" s="451"/>
      <c r="DI6635" s="451"/>
      <c r="DJ6635" s="451"/>
      <c r="DK6635" s="451"/>
      <c r="DL6635" s="451"/>
      <c r="DM6635" s="451"/>
      <c r="DN6635" s="451"/>
      <c r="DO6635" s="451"/>
      <c r="DP6635" s="451"/>
      <c r="DQ6635" s="451"/>
      <c r="DR6635" s="451"/>
      <c r="DS6635" s="451"/>
      <c r="DT6635" s="451"/>
      <c r="DU6635" s="451"/>
      <c r="DV6635" s="451"/>
      <c r="DW6635" s="451"/>
      <c r="DX6635" s="451"/>
      <c r="DY6635" s="451"/>
      <c r="DZ6635" s="451"/>
      <c r="EA6635" s="451"/>
      <c r="EB6635" s="451"/>
      <c r="EC6635" s="451"/>
      <c r="ED6635" s="451"/>
      <c r="EE6635" s="451"/>
      <c r="EF6635" s="451"/>
      <c r="EG6635" s="451"/>
      <c r="EH6635" s="451"/>
      <c r="EI6635" s="451"/>
      <c r="EJ6635" s="451"/>
      <c r="EK6635" s="451"/>
      <c r="EL6635" s="451"/>
      <c r="EM6635" s="451"/>
      <c r="EN6635" s="451"/>
      <c r="EO6635" s="451"/>
      <c r="EP6635" s="451"/>
      <c r="EQ6635" s="451"/>
      <c r="ER6635" s="451"/>
      <c r="ES6635" s="451"/>
    </row>
    <row r="6636" spans="1:149" ht="15" hidden="1" customHeight="1">
      <c r="A6636" s="468">
        <v>45562</v>
      </c>
      <c r="B6636" s="208" t="s">
        <v>5384</v>
      </c>
      <c r="C6636" s="208" t="s">
        <v>27</v>
      </c>
      <c r="D6636" s="211">
        <v>-2462000</v>
      </c>
      <c r="E6636" s="212">
        <v>45536</v>
      </c>
      <c r="F6636" s="208" t="s">
        <v>109</v>
      </c>
      <c r="G6636" s="208" t="s">
        <v>2809</v>
      </c>
      <c r="H6636" s="208" t="s">
        <v>2421</v>
      </c>
      <c r="I6636" s="208"/>
      <c r="J6636" s="209"/>
      <c r="K6636" s="209"/>
      <c r="L6636" s="209"/>
      <c r="M6636" s="209"/>
      <c r="N6636" s="209"/>
      <c r="O6636" s="209"/>
      <c r="P6636" s="209"/>
      <c r="Q6636" s="209"/>
      <c r="R6636" s="209"/>
      <c r="S6636" s="209"/>
      <c r="T6636" s="209"/>
      <c r="U6636" s="451"/>
      <c r="V6636" s="451"/>
      <c r="W6636" s="451"/>
      <c r="X6636" s="451"/>
      <c r="Y6636" s="451"/>
      <c r="Z6636" s="451"/>
      <c r="AA6636" s="451"/>
      <c r="AB6636" s="451"/>
      <c r="AC6636" s="451"/>
      <c r="AD6636" s="451"/>
      <c r="AE6636" s="451"/>
      <c r="AF6636" s="451"/>
      <c r="AG6636" s="451"/>
      <c r="AH6636" s="451"/>
      <c r="AI6636" s="451"/>
      <c r="AJ6636" s="451"/>
      <c r="AK6636" s="451"/>
      <c r="AL6636" s="451"/>
      <c r="AM6636" s="451"/>
      <c r="AN6636" s="451"/>
      <c r="AO6636" s="451"/>
      <c r="AP6636" s="451"/>
      <c r="AQ6636" s="451"/>
      <c r="AR6636" s="451"/>
      <c r="AS6636" s="451"/>
      <c r="AT6636" s="451"/>
      <c r="AU6636" s="451"/>
      <c r="AV6636" s="451"/>
      <c r="AW6636" s="451"/>
      <c r="AX6636" s="451"/>
      <c r="AY6636" s="451"/>
      <c r="AZ6636" s="451"/>
      <c r="BA6636" s="451"/>
      <c r="BB6636" s="451"/>
      <c r="BC6636" s="451"/>
      <c r="BD6636" s="451"/>
      <c r="BE6636" s="451"/>
      <c r="BF6636" s="451"/>
      <c r="BG6636" s="451"/>
      <c r="BH6636" s="451"/>
      <c r="BI6636" s="451"/>
      <c r="BJ6636" s="451"/>
      <c r="BK6636" s="451"/>
      <c r="BL6636" s="451"/>
      <c r="BM6636" s="451"/>
      <c r="BN6636" s="451"/>
      <c r="BO6636" s="451"/>
      <c r="BP6636" s="451"/>
      <c r="BQ6636" s="451"/>
      <c r="BR6636" s="451"/>
      <c r="BS6636" s="451"/>
      <c r="BT6636" s="451"/>
      <c r="BU6636" s="451"/>
      <c r="BV6636" s="451"/>
      <c r="BW6636" s="451"/>
      <c r="BX6636" s="451"/>
      <c r="BY6636" s="451"/>
      <c r="BZ6636" s="451"/>
      <c r="CA6636" s="451"/>
      <c r="CB6636" s="451"/>
      <c r="CC6636" s="451"/>
      <c r="CD6636" s="451"/>
      <c r="CE6636" s="451"/>
      <c r="CF6636" s="451"/>
      <c r="CG6636" s="451"/>
      <c r="CH6636" s="451"/>
      <c r="CI6636" s="451"/>
      <c r="CJ6636" s="451"/>
      <c r="CK6636" s="451"/>
      <c r="CL6636" s="451"/>
      <c r="CM6636" s="451"/>
      <c r="CN6636" s="451"/>
      <c r="CO6636" s="451"/>
      <c r="CP6636" s="451"/>
      <c r="CQ6636" s="451"/>
      <c r="CR6636" s="451"/>
      <c r="CS6636" s="451"/>
      <c r="CT6636" s="451"/>
      <c r="CU6636" s="451"/>
      <c r="CV6636" s="451"/>
      <c r="CW6636" s="451"/>
      <c r="CX6636" s="451"/>
      <c r="CY6636" s="451"/>
      <c r="CZ6636" s="451"/>
      <c r="DA6636" s="451"/>
      <c r="DB6636" s="451"/>
      <c r="DC6636" s="451"/>
      <c r="DD6636" s="451"/>
      <c r="DE6636" s="451"/>
      <c r="DF6636" s="451"/>
      <c r="DG6636" s="451"/>
      <c r="DH6636" s="451"/>
      <c r="DI6636" s="451"/>
      <c r="DJ6636" s="451"/>
      <c r="DK6636" s="451"/>
      <c r="DL6636" s="451"/>
      <c r="DM6636" s="451"/>
      <c r="DN6636" s="451"/>
      <c r="DO6636" s="451"/>
      <c r="DP6636" s="451"/>
      <c r="DQ6636" s="451"/>
      <c r="DR6636" s="451"/>
      <c r="DS6636" s="451"/>
      <c r="DT6636" s="451"/>
      <c r="DU6636" s="451"/>
      <c r="DV6636" s="451"/>
      <c r="DW6636" s="451"/>
      <c r="DX6636" s="451"/>
      <c r="DY6636" s="451"/>
      <c r="DZ6636" s="451"/>
      <c r="EA6636" s="451"/>
      <c r="EB6636" s="451"/>
      <c r="EC6636" s="451"/>
      <c r="ED6636" s="451"/>
      <c r="EE6636" s="451"/>
      <c r="EF6636" s="451"/>
      <c r="EG6636" s="451"/>
      <c r="EH6636" s="451"/>
      <c r="EI6636" s="451"/>
      <c r="EJ6636" s="451"/>
      <c r="EK6636" s="451"/>
      <c r="EL6636" s="451"/>
      <c r="EM6636" s="451"/>
      <c r="EN6636" s="451"/>
      <c r="EO6636" s="451"/>
      <c r="EP6636" s="451"/>
      <c r="EQ6636" s="451"/>
      <c r="ER6636" s="451"/>
      <c r="ES6636" s="451"/>
    </row>
    <row r="6637" spans="1:149" s="209" customFormat="1" ht="15" hidden="1" customHeight="1">
      <c r="A6637" s="468">
        <v>45562</v>
      </c>
      <c r="B6637" s="208" t="s">
        <v>5385</v>
      </c>
      <c r="C6637" s="208" t="s">
        <v>27</v>
      </c>
      <c r="D6637" s="718">
        <v>-2462000</v>
      </c>
      <c r="E6637" s="212">
        <v>45536</v>
      </c>
      <c r="F6637" s="208" t="s">
        <v>109</v>
      </c>
      <c r="G6637" s="201" t="s">
        <v>581</v>
      </c>
      <c r="H6637" s="208"/>
      <c r="I6637" s="208"/>
    </row>
    <row r="6638" spans="1:149" ht="15" hidden="1" customHeight="1">
      <c r="A6638" s="468">
        <v>45562</v>
      </c>
      <c r="B6638" s="208" t="s">
        <v>5386</v>
      </c>
      <c r="C6638" s="208" t="s">
        <v>27</v>
      </c>
      <c r="D6638" s="211">
        <v>-3036000</v>
      </c>
      <c r="E6638" s="212">
        <v>45536</v>
      </c>
      <c r="F6638" s="208" t="s">
        <v>109</v>
      </c>
      <c r="G6638" s="208" t="s">
        <v>2809</v>
      </c>
      <c r="H6638" s="208" t="s">
        <v>2421</v>
      </c>
      <c r="I6638" s="208"/>
      <c r="J6638" s="209"/>
      <c r="K6638" s="209"/>
      <c r="L6638" s="209"/>
      <c r="M6638" s="209"/>
      <c r="N6638" s="209"/>
      <c r="O6638" s="209"/>
      <c r="P6638" s="209"/>
      <c r="Q6638" s="209"/>
      <c r="R6638" s="209"/>
      <c r="S6638" s="209"/>
      <c r="T6638" s="209"/>
      <c r="U6638" s="451"/>
      <c r="V6638" s="451"/>
      <c r="W6638" s="451"/>
      <c r="X6638" s="451"/>
      <c r="Y6638" s="451"/>
      <c r="Z6638" s="451"/>
      <c r="AA6638" s="451"/>
      <c r="AB6638" s="451"/>
      <c r="AC6638" s="451"/>
      <c r="AD6638" s="451"/>
      <c r="AE6638" s="451"/>
      <c r="AF6638" s="451"/>
      <c r="AG6638" s="451"/>
      <c r="AH6638" s="451"/>
      <c r="AI6638" s="451"/>
      <c r="AJ6638" s="451"/>
      <c r="AK6638" s="451"/>
      <c r="AL6638" s="451"/>
      <c r="AM6638" s="451"/>
      <c r="AN6638" s="451"/>
      <c r="AO6638" s="451"/>
      <c r="AP6638" s="451"/>
      <c r="AQ6638" s="451"/>
      <c r="AR6638" s="451"/>
      <c r="AS6638" s="451"/>
      <c r="AT6638" s="451"/>
      <c r="AU6638" s="451"/>
      <c r="AV6638" s="451"/>
      <c r="AW6638" s="451"/>
      <c r="AX6638" s="451"/>
      <c r="AY6638" s="451"/>
      <c r="AZ6638" s="451"/>
      <c r="BA6638" s="451"/>
      <c r="BB6638" s="451"/>
      <c r="BC6638" s="451"/>
      <c r="BD6638" s="451"/>
      <c r="BE6638" s="451"/>
      <c r="BF6638" s="451"/>
      <c r="BG6638" s="451"/>
      <c r="BH6638" s="451"/>
      <c r="BI6638" s="451"/>
      <c r="BJ6638" s="451"/>
      <c r="BK6638" s="451"/>
      <c r="BL6638" s="451"/>
      <c r="BM6638" s="451"/>
      <c r="BN6638" s="451"/>
      <c r="BO6638" s="451"/>
      <c r="BP6638" s="451"/>
      <c r="BQ6638" s="451"/>
      <c r="BR6638" s="451"/>
      <c r="BS6638" s="451"/>
      <c r="BT6638" s="451"/>
      <c r="BU6638" s="451"/>
      <c r="BV6638" s="451"/>
      <c r="BW6638" s="451"/>
      <c r="BX6638" s="451"/>
      <c r="BY6638" s="451"/>
      <c r="BZ6638" s="451"/>
      <c r="CA6638" s="451"/>
      <c r="CB6638" s="451"/>
      <c r="CC6638" s="451"/>
      <c r="CD6638" s="451"/>
      <c r="CE6638" s="451"/>
      <c r="CF6638" s="451"/>
      <c r="CG6638" s="451"/>
      <c r="CH6638" s="451"/>
      <c r="CI6638" s="451"/>
      <c r="CJ6638" s="451"/>
      <c r="CK6638" s="451"/>
      <c r="CL6638" s="451"/>
      <c r="CM6638" s="451"/>
      <c r="CN6638" s="451"/>
      <c r="CO6638" s="451"/>
      <c r="CP6638" s="451"/>
      <c r="CQ6638" s="451"/>
      <c r="CR6638" s="451"/>
      <c r="CS6638" s="451"/>
      <c r="CT6638" s="451"/>
      <c r="CU6638" s="451"/>
      <c r="CV6638" s="451"/>
      <c r="CW6638" s="451"/>
      <c r="CX6638" s="451"/>
      <c r="CY6638" s="451"/>
      <c r="CZ6638" s="451"/>
      <c r="DA6638" s="451"/>
      <c r="DB6638" s="451"/>
      <c r="DC6638" s="451"/>
      <c r="DD6638" s="451"/>
      <c r="DE6638" s="451"/>
      <c r="DF6638" s="451"/>
      <c r="DG6638" s="451"/>
      <c r="DH6638" s="451"/>
      <c r="DI6638" s="451"/>
      <c r="DJ6638" s="451"/>
      <c r="DK6638" s="451"/>
      <c r="DL6638" s="451"/>
      <c r="DM6638" s="451"/>
      <c r="DN6638" s="451"/>
      <c r="DO6638" s="451"/>
      <c r="DP6638" s="451"/>
      <c r="DQ6638" s="451"/>
      <c r="DR6638" s="451"/>
      <c r="DS6638" s="451"/>
      <c r="DT6638" s="451"/>
      <c r="DU6638" s="451"/>
      <c r="DV6638" s="451"/>
      <c r="DW6638" s="451"/>
      <c r="DX6638" s="451"/>
      <c r="DY6638" s="451"/>
      <c r="DZ6638" s="451"/>
      <c r="EA6638" s="451"/>
      <c r="EB6638" s="451"/>
      <c r="EC6638" s="451"/>
      <c r="ED6638" s="451"/>
      <c r="EE6638" s="451"/>
      <c r="EF6638" s="451"/>
      <c r="EG6638" s="451"/>
      <c r="EH6638" s="451"/>
      <c r="EI6638" s="451"/>
      <c r="EJ6638" s="451"/>
      <c r="EK6638" s="451"/>
      <c r="EL6638" s="451"/>
      <c r="EM6638" s="451"/>
      <c r="EN6638" s="451"/>
      <c r="EO6638" s="451"/>
      <c r="EP6638" s="451"/>
      <c r="EQ6638" s="451"/>
      <c r="ER6638" s="451"/>
      <c r="ES6638" s="451"/>
    </row>
    <row r="6639" spans="1:149" ht="15" hidden="1" customHeight="1">
      <c r="A6639" s="468">
        <v>45562</v>
      </c>
      <c r="B6639" s="208" t="s">
        <v>5387</v>
      </c>
      <c r="C6639" s="208" t="s">
        <v>27</v>
      </c>
      <c r="D6639" s="211">
        <v>-854000</v>
      </c>
      <c r="E6639" s="212">
        <v>45536</v>
      </c>
      <c r="F6639" s="208" t="s">
        <v>2531</v>
      </c>
      <c r="G6639" s="201" t="s">
        <v>1489</v>
      </c>
      <c r="H6639" s="201" t="s">
        <v>508</v>
      </c>
      <c r="I6639" s="208"/>
      <c r="J6639" s="209"/>
      <c r="K6639" s="209"/>
      <c r="L6639" s="209"/>
      <c r="M6639" s="209"/>
      <c r="N6639" s="209"/>
      <c r="O6639" s="209"/>
      <c r="P6639" s="209"/>
      <c r="Q6639" s="209"/>
      <c r="R6639" s="209"/>
      <c r="S6639" s="209"/>
      <c r="T6639" s="209"/>
      <c r="U6639" s="451"/>
      <c r="V6639" s="451"/>
      <c r="W6639" s="451"/>
      <c r="X6639" s="451"/>
      <c r="Y6639" s="451"/>
      <c r="Z6639" s="451"/>
      <c r="AA6639" s="451"/>
      <c r="AB6639" s="451"/>
      <c r="AC6639" s="451"/>
      <c r="AD6639" s="451"/>
      <c r="AE6639" s="451"/>
      <c r="AF6639" s="451"/>
      <c r="AG6639" s="451"/>
      <c r="AH6639" s="451"/>
      <c r="AI6639" s="451"/>
      <c r="AJ6639" s="451"/>
      <c r="AK6639" s="451"/>
      <c r="AL6639" s="451"/>
      <c r="AM6639" s="451"/>
      <c r="AN6639" s="451"/>
      <c r="AO6639" s="451"/>
      <c r="AP6639" s="451"/>
      <c r="AQ6639" s="451"/>
      <c r="AR6639" s="451"/>
      <c r="AS6639" s="451"/>
      <c r="AT6639" s="451"/>
      <c r="AU6639" s="451"/>
      <c r="AV6639" s="451"/>
      <c r="AW6639" s="451"/>
      <c r="AX6639" s="451"/>
      <c r="AY6639" s="451"/>
      <c r="AZ6639" s="451"/>
      <c r="BA6639" s="451"/>
      <c r="BB6639" s="451"/>
      <c r="BC6639" s="451"/>
      <c r="BD6639" s="451"/>
      <c r="BE6639" s="451"/>
      <c r="BF6639" s="451"/>
      <c r="BG6639" s="451"/>
      <c r="BH6639" s="451"/>
      <c r="BI6639" s="451"/>
      <c r="BJ6639" s="451"/>
      <c r="BK6639" s="451"/>
      <c r="BL6639" s="451"/>
      <c r="BM6639" s="451"/>
      <c r="BN6639" s="451"/>
      <c r="BO6639" s="451"/>
      <c r="BP6639" s="451"/>
      <c r="BQ6639" s="451"/>
      <c r="BR6639" s="451"/>
      <c r="BS6639" s="451"/>
      <c r="BT6639" s="451"/>
      <c r="BU6639" s="451"/>
      <c r="BV6639" s="451"/>
      <c r="BW6639" s="451"/>
      <c r="BX6639" s="451"/>
      <c r="BY6639" s="451"/>
      <c r="BZ6639" s="451"/>
      <c r="CA6639" s="451"/>
      <c r="CB6639" s="451"/>
      <c r="CC6639" s="451"/>
      <c r="CD6639" s="451"/>
      <c r="CE6639" s="451"/>
      <c r="CF6639" s="451"/>
      <c r="CG6639" s="451"/>
      <c r="CH6639" s="451"/>
      <c r="CI6639" s="451"/>
      <c r="CJ6639" s="451"/>
      <c r="CK6639" s="451"/>
      <c r="CL6639" s="451"/>
      <c r="CM6639" s="451"/>
      <c r="CN6639" s="451"/>
      <c r="CO6639" s="451"/>
      <c r="CP6639" s="451"/>
      <c r="CQ6639" s="451"/>
      <c r="CR6639" s="451"/>
      <c r="CS6639" s="451"/>
      <c r="CT6639" s="451"/>
      <c r="CU6639" s="451"/>
      <c r="CV6639" s="451"/>
      <c r="CW6639" s="451"/>
      <c r="CX6639" s="451"/>
      <c r="CY6639" s="451"/>
      <c r="CZ6639" s="451"/>
      <c r="DA6639" s="451"/>
      <c r="DB6639" s="451"/>
      <c r="DC6639" s="451"/>
      <c r="DD6639" s="451"/>
      <c r="DE6639" s="451"/>
      <c r="DF6639" s="451"/>
      <c r="DG6639" s="451"/>
      <c r="DH6639" s="451"/>
      <c r="DI6639" s="451"/>
      <c r="DJ6639" s="451"/>
      <c r="DK6639" s="451"/>
      <c r="DL6639" s="451"/>
      <c r="DM6639" s="451"/>
      <c r="DN6639" s="451"/>
      <c r="DO6639" s="451"/>
      <c r="DP6639" s="451"/>
      <c r="DQ6639" s="451"/>
      <c r="DR6639" s="451"/>
      <c r="DS6639" s="451"/>
      <c r="DT6639" s="451"/>
      <c r="DU6639" s="451"/>
      <c r="DV6639" s="451"/>
      <c r="DW6639" s="451"/>
      <c r="DX6639" s="451"/>
      <c r="DY6639" s="451"/>
      <c r="DZ6639" s="451"/>
      <c r="EA6639" s="451"/>
      <c r="EB6639" s="451"/>
      <c r="EC6639" s="451"/>
      <c r="ED6639" s="451"/>
      <c r="EE6639" s="451"/>
      <c r="EF6639" s="451"/>
      <c r="EG6639" s="451"/>
      <c r="EH6639" s="451"/>
      <c r="EI6639" s="451"/>
      <c r="EJ6639" s="451"/>
      <c r="EK6639" s="451"/>
      <c r="EL6639" s="451"/>
      <c r="EM6639" s="451"/>
      <c r="EN6639" s="451"/>
      <c r="EO6639" s="451"/>
      <c r="EP6639" s="451"/>
      <c r="EQ6639" s="451"/>
      <c r="ER6639" s="451"/>
      <c r="ES6639" s="451"/>
    </row>
    <row r="6640" spans="1:149" ht="15" hidden="1" customHeight="1">
      <c r="A6640" s="468">
        <v>45562</v>
      </c>
      <c r="B6640" s="208" t="s">
        <v>5387</v>
      </c>
      <c r="C6640" s="208" t="s">
        <v>27</v>
      </c>
      <c r="D6640" s="211">
        <v>-854000</v>
      </c>
      <c r="E6640" s="212">
        <v>45536</v>
      </c>
      <c r="F6640" s="208" t="s">
        <v>2531</v>
      </c>
      <c r="G6640" s="208" t="s">
        <v>4294</v>
      </c>
      <c r="H6640" s="201" t="s">
        <v>508</v>
      </c>
      <c r="I6640" s="208"/>
      <c r="J6640" s="209"/>
      <c r="K6640" s="209"/>
      <c r="L6640" s="209"/>
      <c r="M6640" s="209"/>
      <c r="N6640" s="209"/>
      <c r="O6640" s="209"/>
      <c r="P6640" s="209"/>
      <c r="Q6640" s="209"/>
      <c r="R6640" s="209"/>
      <c r="S6640" s="209"/>
      <c r="T6640" s="209"/>
      <c r="U6640" s="451"/>
      <c r="V6640" s="451"/>
      <c r="W6640" s="451"/>
      <c r="X6640" s="451"/>
      <c r="Y6640" s="451"/>
      <c r="Z6640" s="451"/>
      <c r="AA6640" s="451"/>
      <c r="AB6640" s="451"/>
      <c r="AC6640" s="451"/>
      <c r="AD6640" s="451"/>
      <c r="AE6640" s="451"/>
      <c r="AF6640" s="451"/>
      <c r="AG6640" s="451"/>
      <c r="AH6640" s="451"/>
      <c r="AI6640" s="451"/>
      <c r="AJ6640" s="451"/>
      <c r="AK6640" s="451"/>
      <c r="AL6640" s="451"/>
      <c r="AM6640" s="451"/>
      <c r="AN6640" s="451"/>
      <c r="AO6640" s="451"/>
      <c r="AP6640" s="451"/>
      <c r="AQ6640" s="451"/>
      <c r="AR6640" s="451"/>
      <c r="AS6640" s="451"/>
      <c r="AT6640" s="451"/>
      <c r="AU6640" s="451"/>
      <c r="AV6640" s="451"/>
      <c r="AW6640" s="451"/>
      <c r="AX6640" s="451"/>
      <c r="AY6640" s="451"/>
      <c r="AZ6640" s="451"/>
      <c r="BA6640" s="451"/>
      <c r="BB6640" s="451"/>
      <c r="BC6640" s="451"/>
      <c r="BD6640" s="451"/>
      <c r="BE6640" s="451"/>
      <c r="BF6640" s="451"/>
      <c r="BG6640" s="451"/>
      <c r="BH6640" s="451"/>
      <c r="BI6640" s="451"/>
      <c r="BJ6640" s="451"/>
      <c r="BK6640" s="451"/>
      <c r="BL6640" s="451"/>
      <c r="BM6640" s="451"/>
      <c r="BN6640" s="451"/>
      <c r="BO6640" s="451"/>
      <c r="BP6640" s="451"/>
      <c r="BQ6640" s="451"/>
      <c r="BR6640" s="451"/>
      <c r="BS6640" s="451"/>
      <c r="BT6640" s="451"/>
      <c r="BU6640" s="451"/>
      <c r="BV6640" s="451"/>
      <c r="BW6640" s="451"/>
      <c r="BX6640" s="451"/>
      <c r="BY6640" s="451"/>
      <c r="BZ6640" s="451"/>
      <c r="CA6640" s="451"/>
      <c r="CB6640" s="451"/>
      <c r="CC6640" s="451"/>
      <c r="CD6640" s="451"/>
      <c r="CE6640" s="451"/>
      <c r="CF6640" s="451"/>
      <c r="CG6640" s="451"/>
      <c r="CH6640" s="451"/>
      <c r="CI6640" s="451"/>
      <c r="CJ6640" s="451"/>
      <c r="CK6640" s="451"/>
      <c r="CL6640" s="451"/>
      <c r="CM6640" s="451"/>
      <c r="CN6640" s="451"/>
      <c r="CO6640" s="451"/>
      <c r="CP6640" s="451"/>
      <c r="CQ6640" s="451"/>
      <c r="CR6640" s="451"/>
      <c r="CS6640" s="451"/>
      <c r="CT6640" s="451"/>
      <c r="CU6640" s="451"/>
      <c r="CV6640" s="451"/>
      <c r="CW6640" s="451"/>
      <c r="CX6640" s="451"/>
      <c r="CY6640" s="451"/>
      <c r="CZ6640" s="451"/>
      <c r="DA6640" s="451"/>
      <c r="DB6640" s="451"/>
      <c r="DC6640" s="451"/>
      <c r="DD6640" s="451"/>
      <c r="DE6640" s="451"/>
      <c r="DF6640" s="451"/>
      <c r="DG6640" s="451"/>
      <c r="DH6640" s="451"/>
      <c r="DI6640" s="451"/>
      <c r="DJ6640" s="451"/>
      <c r="DK6640" s="451"/>
      <c r="DL6640" s="451"/>
      <c r="DM6640" s="451"/>
      <c r="DN6640" s="451"/>
      <c r="DO6640" s="451"/>
      <c r="DP6640" s="451"/>
      <c r="DQ6640" s="451"/>
      <c r="DR6640" s="451"/>
      <c r="DS6640" s="451"/>
      <c r="DT6640" s="451"/>
      <c r="DU6640" s="451"/>
      <c r="DV6640" s="451"/>
      <c r="DW6640" s="451"/>
      <c r="DX6640" s="451"/>
      <c r="DY6640" s="451"/>
      <c r="DZ6640" s="451"/>
      <c r="EA6640" s="451"/>
      <c r="EB6640" s="451"/>
      <c r="EC6640" s="451"/>
      <c r="ED6640" s="451"/>
      <c r="EE6640" s="451"/>
      <c r="EF6640" s="451"/>
      <c r="EG6640" s="451"/>
      <c r="EH6640" s="451"/>
      <c r="EI6640" s="451"/>
      <c r="EJ6640" s="451"/>
      <c r="EK6640" s="451"/>
      <c r="EL6640" s="451"/>
      <c r="EM6640" s="451"/>
      <c r="EN6640" s="451"/>
      <c r="EO6640" s="451"/>
      <c r="EP6640" s="451"/>
      <c r="EQ6640" s="451"/>
      <c r="ER6640" s="451"/>
      <c r="ES6640" s="451"/>
    </row>
    <row r="6641" spans="1:149" ht="15" hidden="1" customHeight="1">
      <c r="A6641" s="468">
        <v>45562</v>
      </c>
      <c r="B6641" s="208" t="s">
        <v>5387</v>
      </c>
      <c r="C6641" s="208" t="s">
        <v>27</v>
      </c>
      <c r="D6641" s="211">
        <v>-854000</v>
      </c>
      <c r="E6641" s="212">
        <v>45536</v>
      </c>
      <c r="F6641" s="208" t="s">
        <v>109</v>
      </c>
      <c r="G6641" s="208" t="s">
        <v>3529</v>
      </c>
      <c r="H6641" s="201" t="s">
        <v>508</v>
      </c>
      <c r="I6641" s="208"/>
      <c r="J6641" s="209"/>
      <c r="K6641" s="209"/>
      <c r="L6641" s="209"/>
      <c r="M6641" s="209"/>
      <c r="N6641" s="209"/>
      <c r="O6641" s="209"/>
      <c r="P6641" s="209"/>
      <c r="Q6641" s="209"/>
      <c r="R6641" s="209"/>
      <c r="S6641" s="209"/>
      <c r="T6641" s="209"/>
      <c r="U6641" s="451"/>
      <c r="V6641" s="451"/>
      <c r="W6641" s="451"/>
      <c r="X6641" s="451"/>
      <c r="Y6641" s="451"/>
      <c r="Z6641" s="451"/>
      <c r="AA6641" s="451"/>
      <c r="AB6641" s="451"/>
      <c r="AC6641" s="451"/>
      <c r="AD6641" s="451"/>
      <c r="AE6641" s="451"/>
      <c r="AF6641" s="451"/>
      <c r="AG6641" s="451"/>
      <c r="AH6641" s="451"/>
      <c r="AI6641" s="451"/>
      <c r="AJ6641" s="451"/>
      <c r="AK6641" s="451"/>
      <c r="AL6641" s="451"/>
      <c r="AM6641" s="451"/>
      <c r="AN6641" s="451"/>
      <c r="AO6641" s="451"/>
      <c r="AP6641" s="451"/>
      <c r="AQ6641" s="451"/>
      <c r="AR6641" s="451"/>
      <c r="AS6641" s="451"/>
      <c r="AT6641" s="451"/>
      <c r="AU6641" s="451"/>
      <c r="AV6641" s="451"/>
      <c r="AW6641" s="451"/>
      <c r="AX6641" s="451"/>
      <c r="AY6641" s="451"/>
      <c r="AZ6641" s="451"/>
      <c r="BA6641" s="451"/>
      <c r="BB6641" s="451"/>
      <c r="BC6641" s="451"/>
      <c r="BD6641" s="451"/>
      <c r="BE6641" s="451"/>
      <c r="BF6641" s="451"/>
      <c r="BG6641" s="451"/>
      <c r="BH6641" s="451"/>
      <c r="BI6641" s="451"/>
      <c r="BJ6641" s="451"/>
      <c r="BK6641" s="451"/>
      <c r="BL6641" s="451"/>
      <c r="BM6641" s="451"/>
      <c r="BN6641" s="451"/>
      <c r="BO6641" s="451"/>
      <c r="BP6641" s="451"/>
      <c r="BQ6641" s="451"/>
      <c r="BR6641" s="451"/>
      <c r="BS6641" s="451"/>
      <c r="BT6641" s="451"/>
      <c r="BU6641" s="451"/>
      <c r="BV6641" s="451"/>
      <c r="BW6641" s="451"/>
      <c r="BX6641" s="451"/>
      <c r="BY6641" s="451"/>
      <c r="BZ6641" s="451"/>
      <c r="CA6641" s="451"/>
      <c r="CB6641" s="451"/>
      <c r="CC6641" s="451"/>
      <c r="CD6641" s="451"/>
      <c r="CE6641" s="451"/>
      <c r="CF6641" s="451"/>
      <c r="CG6641" s="451"/>
      <c r="CH6641" s="451"/>
      <c r="CI6641" s="451"/>
      <c r="CJ6641" s="451"/>
      <c r="CK6641" s="451"/>
      <c r="CL6641" s="451"/>
      <c r="CM6641" s="451"/>
      <c r="CN6641" s="451"/>
      <c r="CO6641" s="451"/>
      <c r="CP6641" s="451"/>
      <c r="CQ6641" s="451"/>
      <c r="CR6641" s="451"/>
      <c r="CS6641" s="451"/>
      <c r="CT6641" s="451"/>
      <c r="CU6641" s="451"/>
      <c r="CV6641" s="451"/>
      <c r="CW6641" s="451"/>
      <c r="CX6641" s="451"/>
      <c r="CY6641" s="451"/>
      <c r="CZ6641" s="451"/>
      <c r="DA6641" s="451"/>
      <c r="DB6641" s="451"/>
      <c r="DC6641" s="451"/>
      <c r="DD6641" s="451"/>
      <c r="DE6641" s="451"/>
      <c r="DF6641" s="451"/>
      <c r="DG6641" s="451"/>
      <c r="DH6641" s="451"/>
      <c r="DI6641" s="451"/>
      <c r="DJ6641" s="451"/>
      <c r="DK6641" s="451"/>
      <c r="DL6641" s="451"/>
      <c r="DM6641" s="451"/>
      <c r="DN6641" s="451"/>
      <c r="DO6641" s="451"/>
      <c r="DP6641" s="451"/>
      <c r="DQ6641" s="451"/>
      <c r="DR6641" s="451"/>
      <c r="DS6641" s="451"/>
      <c r="DT6641" s="451"/>
      <c r="DU6641" s="451"/>
      <c r="DV6641" s="451"/>
      <c r="DW6641" s="451"/>
      <c r="DX6641" s="451"/>
      <c r="DY6641" s="451"/>
      <c r="DZ6641" s="451"/>
      <c r="EA6641" s="451"/>
      <c r="EB6641" s="451"/>
      <c r="EC6641" s="451"/>
      <c r="ED6641" s="451"/>
      <c r="EE6641" s="451"/>
      <c r="EF6641" s="451"/>
      <c r="EG6641" s="451"/>
      <c r="EH6641" s="451"/>
      <c r="EI6641" s="451"/>
      <c r="EJ6641" s="451"/>
      <c r="EK6641" s="451"/>
      <c r="EL6641" s="451"/>
      <c r="EM6641" s="451"/>
      <c r="EN6641" s="451"/>
      <c r="EO6641" s="451"/>
      <c r="EP6641" s="451"/>
      <c r="EQ6641" s="451"/>
      <c r="ER6641" s="451"/>
      <c r="ES6641" s="451"/>
    </row>
    <row r="6642" spans="1:149" s="209" customFormat="1" ht="15" hidden="1" customHeight="1">
      <c r="A6642" s="468">
        <v>45562</v>
      </c>
      <c r="B6642" s="208" t="s">
        <v>5388</v>
      </c>
      <c r="C6642" s="208" t="s">
        <v>27</v>
      </c>
      <c r="D6642" s="718">
        <v>-777500</v>
      </c>
      <c r="E6642" s="212">
        <v>45536</v>
      </c>
      <c r="F6642" s="208" t="s">
        <v>109</v>
      </c>
      <c r="G6642" s="201" t="s">
        <v>581</v>
      </c>
      <c r="H6642" s="208"/>
      <c r="I6642" s="208"/>
    </row>
    <row r="6643" spans="1:149" s="209" customFormat="1" ht="15" hidden="1" customHeight="1">
      <c r="A6643" s="468">
        <v>45562</v>
      </c>
      <c r="B6643" s="208" t="s">
        <v>5389</v>
      </c>
      <c r="C6643" s="208" t="s">
        <v>27</v>
      </c>
      <c r="D6643" s="718">
        <v>-771000</v>
      </c>
      <c r="E6643" s="212">
        <v>45536</v>
      </c>
      <c r="F6643" s="208" t="s">
        <v>109</v>
      </c>
      <c r="G6643" s="201" t="s">
        <v>581</v>
      </c>
      <c r="H6643" s="208"/>
      <c r="I6643" s="208"/>
    </row>
    <row r="6644" spans="1:149" s="209" customFormat="1" ht="15" hidden="1" customHeight="1">
      <c r="A6644" s="468">
        <v>45562</v>
      </c>
      <c r="B6644" s="208" t="s">
        <v>5390</v>
      </c>
      <c r="C6644" s="208" t="s">
        <v>27</v>
      </c>
      <c r="D6644" s="718">
        <v>-777500</v>
      </c>
      <c r="E6644" s="212">
        <v>45536</v>
      </c>
      <c r="F6644" s="208" t="s">
        <v>109</v>
      </c>
      <c r="G6644" s="201" t="s">
        <v>581</v>
      </c>
      <c r="H6644" s="208"/>
      <c r="I6644" s="208"/>
    </row>
    <row r="6645" spans="1:149" s="209" customFormat="1" ht="15" hidden="1" customHeight="1">
      <c r="A6645" s="468">
        <v>45562</v>
      </c>
      <c r="B6645" s="208" t="s">
        <v>5391</v>
      </c>
      <c r="C6645" s="208" t="s">
        <v>27</v>
      </c>
      <c r="D6645" s="718">
        <v>-777500</v>
      </c>
      <c r="E6645" s="212">
        <v>45536</v>
      </c>
      <c r="F6645" s="208" t="s">
        <v>109</v>
      </c>
      <c r="G6645" s="201" t="s">
        <v>581</v>
      </c>
      <c r="H6645" s="208"/>
      <c r="I6645" s="208"/>
    </row>
    <row r="6646" spans="1:149" ht="15" hidden="1" customHeight="1">
      <c r="A6646" s="468">
        <v>45562</v>
      </c>
      <c r="B6646" s="208" t="s">
        <v>5392</v>
      </c>
      <c r="C6646" s="208" t="s">
        <v>27</v>
      </c>
      <c r="D6646" s="211">
        <v>-650000</v>
      </c>
      <c r="E6646" s="212">
        <v>45536</v>
      </c>
      <c r="F6646" s="208" t="s">
        <v>130</v>
      </c>
      <c r="G6646" s="208" t="s">
        <v>130</v>
      </c>
      <c r="H6646" s="208" t="s">
        <v>2421</v>
      </c>
      <c r="I6646" s="208"/>
      <c r="J6646" s="209"/>
      <c r="K6646" s="209"/>
      <c r="L6646" s="209"/>
      <c r="M6646" s="209"/>
      <c r="N6646" s="209"/>
      <c r="O6646" s="209"/>
      <c r="P6646" s="209"/>
      <c r="Q6646" s="209"/>
      <c r="R6646" s="209"/>
      <c r="S6646" s="209"/>
      <c r="T6646" s="209"/>
      <c r="U6646" s="451"/>
      <c r="V6646" s="451"/>
      <c r="W6646" s="451"/>
      <c r="X6646" s="451"/>
      <c r="Y6646" s="451"/>
      <c r="Z6646" s="451"/>
      <c r="AA6646" s="451"/>
      <c r="AB6646" s="451"/>
      <c r="AC6646" s="451"/>
      <c r="AD6646" s="451"/>
      <c r="AE6646" s="451"/>
      <c r="AF6646" s="451"/>
      <c r="AG6646" s="451"/>
      <c r="AH6646" s="451"/>
      <c r="AI6646" s="451"/>
      <c r="AJ6646" s="451"/>
      <c r="AK6646" s="451"/>
      <c r="AL6646" s="451"/>
      <c r="AM6646" s="451"/>
      <c r="AN6646" s="451"/>
      <c r="AO6646" s="451"/>
      <c r="AP6646" s="451"/>
      <c r="AQ6646" s="451"/>
      <c r="AR6646" s="451"/>
      <c r="AS6646" s="451"/>
      <c r="AT6646" s="451"/>
      <c r="AU6646" s="451"/>
      <c r="AV6646" s="451"/>
      <c r="AW6646" s="451"/>
      <c r="AX6646" s="451"/>
      <c r="AY6646" s="451"/>
      <c r="AZ6646" s="451"/>
      <c r="BA6646" s="451"/>
      <c r="BB6646" s="451"/>
      <c r="BC6646" s="451"/>
      <c r="BD6646" s="451"/>
      <c r="BE6646" s="451"/>
      <c r="BF6646" s="451"/>
      <c r="BG6646" s="451"/>
      <c r="BH6646" s="451"/>
      <c r="BI6646" s="451"/>
      <c r="BJ6646" s="451"/>
      <c r="BK6646" s="451"/>
      <c r="BL6646" s="451"/>
      <c r="BM6646" s="451"/>
      <c r="BN6646" s="451"/>
      <c r="BO6646" s="451"/>
      <c r="BP6646" s="451"/>
      <c r="BQ6646" s="451"/>
      <c r="BR6646" s="451"/>
      <c r="BS6646" s="451"/>
      <c r="BT6646" s="451"/>
      <c r="BU6646" s="451"/>
      <c r="BV6646" s="451"/>
      <c r="BW6646" s="451"/>
      <c r="BX6646" s="451"/>
      <c r="BY6646" s="451"/>
      <c r="BZ6646" s="451"/>
      <c r="CA6646" s="451"/>
      <c r="CB6646" s="451"/>
      <c r="CC6646" s="451"/>
      <c r="CD6646" s="451"/>
      <c r="CE6646" s="451"/>
      <c r="CF6646" s="451"/>
      <c r="CG6646" s="451"/>
      <c r="CH6646" s="451"/>
      <c r="CI6646" s="451"/>
      <c r="CJ6646" s="451"/>
      <c r="CK6646" s="451"/>
      <c r="CL6646" s="451"/>
      <c r="CM6646" s="451"/>
      <c r="CN6646" s="451"/>
      <c r="CO6646" s="451"/>
      <c r="CP6646" s="451"/>
      <c r="CQ6646" s="451"/>
      <c r="CR6646" s="451"/>
      <c r="CS6646" s="451"/>
      <c r="CT6646" s="451"/>
      <c r="CU6646" s="451"/>
      <c r="CV6646" s="451"/>
      <c r="CW6646" s="451"/>
      <c r="CX6646" s="451"/>
      <c r="CY6646" s="451"/>
      <c r="CZ6646" s="451"/>
      <c r="DA6646" s="451"/>
      <c r="DB6646" s="451"/>
      <c r="DC6646" s="451"/>
      <c r="DD6646" s="451"/>
      <c r="DE6646" s="451"/>
      <c r="DF6646" s="451"/>
      <c r="DG6646" s="451"/>
      <c r="DH6646" s="451"/>
      <c r="DI6646" s="451"/>
      <c r="DJ6646" s="451"/>
      <c r="DK6646" s="451"/>
      <c r="DL6646" s="451"/>
      <c r="DM6646" s="451"/>
      <c r="DN6646" s="451"/>
      <c r="DO6646" s="451"/>
      <c r="DP6646" s="451"/>
      <c r="DQ6646" s="451"/>
      <c r="DR6646" s="451"/>
      <c r="DS6646" s="451"/>
      <c r="DT6646" s="451"/>
      <c r="DU6646" s="451"/>
      <c r="DV6646" s="451"/>
      <c r="DW6646" s="451"/>
      <c r="DX6646" s="451"/>
      <c r="DY6646" s="451"/>
      <c r="DZ6646" s="451"/>
      <c r="EA6646" s="451"/>
      <c r="EB6646" s="451"/>
      <c r="EC6646" s="451"/>
      <c r="ED6646" s="451"/>
      <c r="EE6646" s="451"/>
      <c r="EF6646" s="451"/>
      <c r="EG6646" s="451"/>
      <c r="EH6646" s="451"/>
      <c r="EI6646" s="451"/>
      <c r="EJ6646" s="451"/>
      <c r="EK6646" s="451"/>
      <c r="EL6646" s="451"/>
      <c r="EM6646" s="451"/>
      <c r="EN6646" s="451"/>
      <c r="EO6646" s="451"/>
      <c r="EP6646" s="451"/>
      <c r="EQ6646" s="451"/>
      <c r="ER6646" s="451"/>
      <c r="ES6646" s="451"/>
    </row>
    <row r="6647" spans="1:149" s="209" customFormat="1" ht="15" hidden="1" customHeight="1">
      <c r="A6647" s="468">
        <v>45562</v>
      </c>
      <c r="B6647" s="208" t="s">
        <v>5393</v>
      </c>
      <c r="C6647" s="208" t="s">
        <v>27</v>
      </c>
      <c r="D6647" s="718">
        <v>-4180000</v>
      </c>
      <c r="E6647" s="212">
        <v>45536</v>
      </c>
      <c r="F6647" s="208" t="s">
        <v>109</v>
      </c>
      <c r="G6647" s="201" t="s">
        <v>581</v>
      </c>
      <c r="H6647" s="208"/>
      <c r="I6647" s="208"/>
    </row>
    <row r="6648" spans="1:149" ht="15" hidden="1" customHeight="1">
      <c r="A6648" s="468">
        <v>45562</v>
      </c>
      <c r="B6648" s="208" t="s">
        <v>5394</v>
      </c>
      <c r="C6648" s="208" t="s">
        <v>27</v>
      </c>
      <c r="D6648" s="211">
        <v>-2484000</v>
      </c>
      <c r="E6648" s="212">
        <v>45536</v>
      </c>
      <c r="F6648" s="208" t="s">
        <v>130</v>
      </c>
      <c r="G6648" s="208" t="s">
        <v>130</v>
      </c>
      <c r="H6648" s="208" t="s">
        <v>2421</v>
      </c>
      <c r="I6648" s="208"/>
      <c r="J6648" s="209"/>
      <c r="K6648" s="209"/>
      <c r="L6648" s="209"/>
      <c r="M6648" s="209"/>
      <c r="N6648" s="209"/>
      <c r="O6648" s="209"/>
      <c r="P6648" s="209"/>
      <c r="Q6648" s="209"/>
      <c r="R6648" s="209"/>
      <c r="S6648" s="209"/>
      <c r="T6648" s="209"/>
      <c r="U6648" s="451"/>
      <c r="V6648" s="451"/>
      <c r="W6648" s="451"/>
      <c r="X6648" s="451"/>
      <c r="Y6648" s="451"/>
      <c r="Z6648" s="451"/>
      <c r="AA6648" s="451"/>
      <c r="AB6648" s="451"/>
      <c r="AC6648" s="451"/>
      <c r="AD6648" s="451"/>
      <c r="AE6648" s="451"/>
      <c r="AF6648" s="451"/>
      <c r="AG6648" s="451"/>
      <c r="AH6648" s="451"/>
      <c r="AI6648" s="451"/>
      <c r="AJ6648" s="451"/>
      <c r="AK6648" s="451"/>
      <c r="AL6648" s="451"/>
      <c r="AM6648" s="451"/>
      <c r="AN6648" s="451"/>
      <c r="AO6648" s="451"/>
      <c r="AP6648" s="451"/>
      <c r="AQ6648" s="451"/>
      <c r="AR6648" s="451"/>
      <c r="AS6648" s="451"/>
      <c r="AT6648" s="451"/>
      <c r="AU6648" s="451"/>
      <c r="AV6648" s="451"/>
      <c r="AW6648" s="451"/>
      <c r="AX6648" s="451"/>
      <c r="AY6648" s="451"/>
      <c r="AZ6648" s="451"/>
      <c r="BA6648" s="451"/>
      <c r="BB6648" s="451"/>
      <c r="BC6648" s="451"/>
      <c r="BD6648" s="451"/>
      <c r="BE6648" s="451"/>
      <c r="BF6648" s="451"/>
      <c r="BG6648" s="451"/>
      <c r="BH6648" s="451"/>
      <c r="BI6648" s="451"/>
      <c r="BJ6648" s="451"/>
      <c r="BK6648" s="451"/>
      <c r="BL6648" s="451"/>
      <c r="BM6648" s="451"/>
      <c r="BN6648" s="451"/>
      <c r="BO6648" s="451"/>
      <c r="BP6648" s="451"/>
      <c r="BQ6648" s="451"/>
      <c r="BR6648" s="451"/>
      <c r="BS6648" s="451"/>
      <c r="BT6648" s="451"/>
      <c r="BU6648" s="451"/>
      <c r="BV6648" s="451"/>
      <c r="BW6648" s="451"/>
      <c r="BX6648" s="451"/>
      <c r="BY6648" s="451"/>
      <c r="BZ6648" s="451"/>
      <c r="CA6648" s="451"/>
      <c r="CB6648" s="451"/>
      <c r="CC6648" s="451"/>
      <c r="CD6648" s="451"/>
      <c r="CE6648" s="451"/>
      <c r="CF6648" s="451"/>
      <c r="CG6648" s="451"/>
      <c r="CH6648" s="451"/>
      <c r="CI6648" s="451"/>
      <c r="CJ6648" s="451"/>
      <c r="CK6648" s="451"/>
      <c r="CL6648" s="451"/>
      <c r="CM6648" s="451"/>
      <c r="CN6648" s="451"/>
      <c r="CO6648" s="451"/>
      <c r="CP6648" s="451"/>
      <c r="CQ6648" s="451"/>
      <c r="CR6648" s="451"/>
      <c r="CS6648" s="451"/>
      <c r="CT6648" s="451"/>
      <c r="CU6648" s="451"/>
      <c r="CV6648" s="451"/>
      <c r="CW6648" s="451"/>
      <c r="CX6648" s="451"/>
      <c r="CY6648" s="451"/>
      <c r="CZ6648" s="451"/>
      <c r="DA6648" s="451"/>
      <c r="DB6648" s="451"/>
      <c r="DC6648" s="451"/>
      <c r="DD6648" s="451"/>
      <c r="DE6648" s="451"/>
      <c r="DF6648" s="451"/>
      <c r="DG6648" s="451"/>
      <c r="DH6648" s="451"/>
      <c r="DI6648" s="451"/>
      <c r="DJ6648" s="451"/>
      <c r="DK6648" s="451"/>
      <c r="DL6648" s="451"/>
      <c r="DM6648" s="451"/>
      <c r="DN6648" s="451"/>
      <c r="DO6648" s="451"/>
      <c r="DP6648" s="451"/>
      <c r="DQ6648" s="451"/>
      <c r="DR6648" s="451"/>
      <c r="DS6648" s="451"/>
      <c r="DT6648" s="451"/>
      <c r="DU6648" s="451"/>
      <c r="DV6648" s="451"/>
      <c r="DW6648" s="451"/>
      <c r="DX6648" s="451"/>
      <c r="DY6648" s="451"/>
      <c r="DZ6648" s="451"/>
      <c r="EA6648" s="451"/>
      <c r="EB6648" s="451"/>
      <c r="EC6648" s="451"/>
      <c r="ED6648" s="451"/>
      <c r="EE6648" s="451"/>
      <c r="EF6648" s="451"/>
      <c r="EG6648" s="451"/>
      <c r="EH6648" s="451"/>
      <c r="EI6648" s="451"/>
      <c r="EJ6648" s="451"/>
      <c r="EK6648" s="451"/>
      <c r="EL6648" s="451"/>
      <c r="EM6648" s="451"/>
      <c r="EN6648" s="451"/>
      <c r="EO6648" s="451"/>
      <c r="EP6648" s="451"/>
      <c r="EQ6648" s="451"/>
      <c r="ER6648" s="451"/>
      <c r="ES6648" s="451"/>
    </row>
    <row r="6649" spans="1:149" ht="15" hidden="1" customHeight="1">
      <c r="A6649" s="468">
        <v>45562</v>
      </c>
      <c r="B6649" s="208" t="s">
        <v>5395</v>
      </c>
      <c r="C6649" s="208" t="s">
        <v>27</v>
      </c>
      <c r="D6649" s="211">
        <v>-2186000</v>
      </c>
      <c r="E6649" s="212">
        <v>45536</v>
      </c>
      <c r="F6649" s="208" t="s">
        <v>130</v>
      </c>
      <c r="G6649" s="208" t="s">
        <v>257</v>
      </c>
      <c r="H6649" s="208" t="s">
        <v>2421</v>
      </c>
      <c r="I6649" s="208"/>
      <c r="J6649" s="209"/>
      <c r="K6649" s="209"/>
      <c r="L6649" s="209"/>
      <c r="M6649" s="209"/>
      <c r="N6649" s="209"/>
      <c r="O6649" s="209"/>
      <c r="P6649" s="209"/>
      <c r="Q6649" s="209"/>
      <c r="R6649" s="209"/>
      <c r="S6649" s="209"/>
      <c r="T6649" s="209"/>
      <c r="U6649" s="451"/>
      <c r="V6649" s="451"/>
      <c r="W6649" s="451"/>
      <c r="X6649" s="451"/>
      <c r="Y6649" s="451"/>
      <c r="Z6649" s="451"/>
      <c r="AA6649" s="451"/>
      <c r="AB6649" s="451"/>
      <c r="AC6649" s="451"/>
      <c r="AD6649" s="451"/>
      <c r="AE6649" s="451"/>
      <c r="AF6649" s="451"/>
      <c r="AG6649" s="451"/>
      <c r="AH6649" s="451"/>
      <c r="AI6649" s="451"/>
      <c r="AJ6649" s="451"/>
      <c r="AK6649" s="451"/>
      <c r="AL6649" s="451"/>
      <c r="AM6649" s="451"/>
      <c r="AN6649" s="451"/>
      <c r="AO6649" s="451"/>
      <c r="AP6649" s="451"/>
      <c r="AQ6649" s="451"/>
      <c r="AR6649" s="451"/>
      <c r="AS6649" s="451"/>
      <c r="AT6649" s="451"/>
      <c r="AU6649" s="451"/>
      <c r="AV6649" s="451"/>
      <c r="AW6649" s="451"/>
      <c r="AX6649" s="451"/>
      <c r="AY6649" s="451"/>
      <c r="AZ6649" s="451"/>
      <c r="BA6649" s="451"/>
      <c r="BB6649" s="451"/>
      <c r="BC6649" s="451"/>
      <c r="BD6649" s="451"/>
      <c r="BE6649" s="451"/>
      <c r="BF6649" s="451"/>
      <c r="BG6649" s="451"/>
      <c r="BH6649" s="451"/>
      <c r="BI6649" s="451"/>
      <c r="BJ6649" s="451"/>
      <c r="BK6649" s="451"/>
      <c r="BL6649" s="451"/>
      <c r="BM6649" s="451"/>
      <c r="BN6649" s="451"/>
      <c r="BO6649" s="451"/>
      <c r="BP6649" s="451"/>
      <c r="BQ6649" s="451"/>
      <c r="BR6649" s="451"/>
      <c r="BS6649" s="451"/>
      <c r="BT6649" s="451"/>
      <c r="BU6649" s="451"/>
      <c r="BV6649" s="451"/>
      <c r="BW6649" s="451"/>
      <c r="BX6649" s="451"/>
      <c r="BY6649" s="451"/>
      <c r="BZ6649" s="451"/>
      <c r="CA6649" s="451"/>
      <c r="CB6649" s="451"/>
      <c r="CC6649" s="451"/>
      <c r="CD6649" s="451"/>
      <c r="CE6649" s="451"/>
      <c r="CF6649" s="451"/>
      <c r="CG6649" s="451"/>
      <c r="CH6649" s="451"/>
      <c r="CI6649" s="451"/>
      <c r="CJ6649" s="451"/>
      <c r="CK6649" s="451"/>
      <c r="CL6649" s="451"/>
      <c r="CM6649" s="451"/>
      <c r="CN6649" s="451"/>
      <c r="CO6649" s="451"/>
      <c r="CP6649" s="451"/>
      <c r="CQ6649" s="451"/>
      <c r="CR6649" s="451"/>
      <c r="CS6649" s="451"/>
      <c r="CT6649" s="451"/>
      <c r="CU6649" s="451"/>
      <c r="CV6649" s="451"/>
      <c r="CW6649" s="451"/>
      <c r="CX6649" s="451"/>
      <c r="CY6649" s="451"/>
      <c r="CZ6649" s="451"/>
      <c r="DA6649" s="451"/>
      <c r="DB6649" s="451"/>
      <c r="DC6649" s="451"/>
      <c r="DD6649" s="451"/>
      <c r="DE6649" s="451"/>
      <c r="DF6649" s="451"/>
      <c r="DG6649" s="451"/>
      <c r="DH6649" s="451"/>
      <c r="DI6649" s="451"/>
      <c r="DJ6649" s="451"/>
      <c r="DK6649" s="451"/>
      <c r="DL6649" s="451"/>
      <c r="DM6649" s="451"/>
      <c r="DN6649" s="451"/>
      <c r="DO6649" s="451"/>
      <c r="DP6649" s="451"/>
      <c r="DQ6649" s="451"/>
      <c r="DR6649" s="451"/>
      <c r="DS6649" s="451"/>
      <c r="DT6649" s="451"/>
      <c r="DU6649" s="451"/>
      <c r="DV6649" s="451"/>
      <c r="DW6649" s="451"/>
      <c r="DX6649" s="451"/>
      <c r="DY6649" s="451"/>
      <c r="DZ6649" s="451"/>
      <c r="EA6649" s="451"/>
      <c r="EB6649" s="451"/>
      <c r="EC6649" s="451"/>
      <c r="ED6649" s="451"/>
      <c r="EE6649" s="451"/>
      <c r="EF6649" s="451"/>
      <c r="EG6649" s="451"/>
      <c r="EH6649" s="451"/>
      <c r="EI6649" s="451"/>
      <c r="EJ6649" s="451"/>
      <c r="EK6649" s="451"/>
      <c r="EL6649" s="451"/>
      <c r="EM6649" s="451"/>
      <c r="EN6649" s="451"/>
      <c r="EO6649" s="451"/>
      <c r="EP6649" s="451"/>
      <c r="EQ6649" s="451"/>
      <c r="ER6649" s="451"/>
      <c r="ES6649" s="451"/>
    </row>
    <row r="6650" spans="1:149" s="209" customFormat="1" ht="15" hidden="1" customHeight="1">
      <c r="A6650" s="468">
        <v>45562</v>
      </c>
      <c r="B6650" s="208" t="s">
        <v>5396</v>
      </c>
      <c r="C6650" s="208" t="s">
        <v>27</v>
      </c>
      <c r="D6650" s="718">
        <v>-777500</v>
      </c>
      <c r="E6650" s="212">
        <v>45536</v>
      </c>
      <c r="F6650" s="208" t="s">
        <v>109</v>
      </c>
      <c r="G6650" s="201" t="s">
        <v>581</v>
      </c>
      <c r="H6650" s="208"/>
      <c r="I6650" s="208"/>
    </row>
    <row r="6651" spans="1:149" s="209" customFormat="1" ht="15" hidden="1" customHeight="1">
      <c r="A6651" s="468">
        <v>45562</v>
      </c>
      <c r="B6651" s="208" t="s">
        <v>5397</v>
      </c>
      <c r="C6651" s="208" t="s">
        <v>27</v>
      </c>
      <c r="D6651" s="718">
        <v>-771000</v>
      </c>
      <c r="E6651" s="212">
        <v>45536</v>
      </c>
      <c r="F6651" s="208" t="s">
        <v>109</v>
      </c>
      <c r="G6651" s="201" t="s">
        <v>581</v>
      </c>
      <c r="H6651" s="208"/>
      <c r="I6651" s="208"/>
    </row>
    <row r="6652" spans="1:149" s="209" customFormat="1" ht="15" hidden="1" customHeight="1">
      <c r="A6652" s="468">
        <v>45562</v>
      </c>
      <c r="B6652" s="208" t="s">
        <v>5398</v>
      </c>
      <c r="C6652" s="208" t="s">
        <v>27</v>
      </c>
      <c r="D6652" s="718">
        <v>-771000</v>
      </c>
      <c r="E6652" s="212">
        <v>45536</v>
      </c>
      <c r="F6652" s="208" t="s">
        <v>109</v>
      </c>
      <c r="G6652" s="201" t="s">
        <v>581</v>
      </c>
      <c r="H6652" s="208"/>
      <c r="I6652" s="208"/>
    </row>
    <row r="6653" spans="1:149" s="209" customFormat="1" ht="15" hidden="1" customHeight="1">
      <c r="A6653" s="468">
        <v>45562</v>
      </c>
      <c r="B6653" s="208" t="s">
        <v>5399</v>
      </c>
      <c r="C6653" s="208" t="s">
        <v>27</v>
      </c>
      <c r="D6653" s="718">
        <v>-777500</v>
      </c>
      <c r="E6653" s="212">
        <v>45536</v>
      </c>
      <c r="F6653" s="208" t="s">
        <v>109</v>
      </c>
      <c r="G6653" s="201" t="s">
        <v>581</v>
      </c>
      <c r="H6653" s="208"/>
      <c r="I6653" s="208"/>
    </row>
    <row r="6654" spans="1:149" s="209" customFormat="1" ht="15" hidden="1" customHeight="1">
      <c r="A6654" s="468">
        <v>45562</v>
      </c>
      <c r="B6654" s="208" t="s">
        <v>5400</v>
      </c>
      <c r="C6654" s="208" t="s">
        <v>27</v>
      </c>
      <c r="D6654" s="718">
        <v>-771000</v>
      </c>
      <c r="E6654" s="212">
        <v>45536</v>
      </c>
      <c r="F6654" s="208" t="s">
        <v>109</v>
      </c>
      <c r="G6654" s="201" t="s">
        <v>581</v>
      </c>
      <c r="H6654" s="208"/>
      <c r="I6654" s="208"/>
    </row>
    <row r="6655" spans="1:149" s="209" customFormat="1" ht="15" hidden="1" customHeight="1">
      <c r="A6655" s="468">
        <v>45562</v>
      </c>
      <c r="B6655" s="208" t="s">
        <v>5401</v>
      </c>
      <c r="C6655" s="208" t="s">
        <v>27</v>
      </c>
      <c r="D6655" s="718">
        <v>-771000</v>
      </c>
      <c r="E6655" s="212">
        <v>45536</v>
      </c>
      <c r="F6655" s="208" t="s">
        <v>109</v>
      </c>
      <c r="G6655" s="201" t="s">
        <v>581</v>
      </c>
      <c r="H6655" s="208"/>
      <c r="I6655" s="208"/>
    </row>
    <row r="6656" spans="1:149" ht="15" hidden="1" customHeight="1">
      <c r="A6656" s="468">
        <v>45562</v>
      </c>
      <c r="B6656" s="208" t="s">
        <v>5402</v>
      </c>
      <c r="C6656" s="208" t="s">
        <v>27</v>
      </c>
      <c r="D6656" s="211">
        <v>-662800</v>
      </c>
      <c r="E6656" s="212">
        <v>45536</v>
      </c>
      <c r="F6656" s="208" t="s">
        <v>109</v>
      </c>
      <c r="G6656" s="208" t="s">
        <v>3529</v>
      </c>
      <c r="H6656" s="208" t="s">
        <v>147</v>
      </c>
      <c r="I6656" s="208"/>
      <c r="J6656" s="209"/>
      <c r="K6656" s="209"/>
      <c r="L6656" s="209"/>
      <c r="M6656" s="209"/>
      <c r="N6656" s="209"/>
      <c r="O6656" s="209"/>
      <c r="P6656" s="209"/>
      <c r="Q6656" s="209"/>
      <c r="R6656" s="209"/>
      <c r="S6656" s="209"/>
      <c r="T6656" s="209"/>
      <c r="U6656" s="451"/>
      <c r="V6656" s="451"/>
      <c r="W6656" s="451"/>
      <c r="X6656" s="451"/>
      <c r="Y6656" s="451"/>
      <c r="Z6656" s="451"/>
      <c r="AA6656" s="451"/>
      <c r="AB6656" s="451"/>
      <c r="AC6656" s="451"/>
      <c r="AD6656" s="451"/>
      <c r="AE6656" s="451"/>
      <c r="AF6656" s="451"/>
      <c r="AG6656" s="451"/>
      <c r="AH6656" s="451"/>
      <c r="AI6656" s="451"/>
      <c r="AJ6656" s="451"/>
      <c r="AK6656" s="451"/>
      <c r="AL6656" s="451"/>
      <c r="AM6656" s="451"/>
      <c r="AN6656" s="451"/>
      <c r="AO6656" s="451"/>
      <c r="AP6656" s="451"/>
      <c r="AQ6656" s="451"/>
      <c r="AR6656" s="451"/>
      <c r="AS6656" s="451"/>
      <c r="AT6656" s="451"/>
      <c r="AU6656" s="451"/>
      <c r="AV6656" s="451"/>
      <c r="AW6656" s="451"/>
      <c r="AX6656" s="451"/>
      <c r="AY6656" s="451"/>
      <c r="AZ6656" s="451"/>
      <c r="BA6656" s="451"/>
      <c r="BB6656" s="451"/>
      <c r="BC6656" s="451"/>
      <c r="BD6656" s="451"/>
      <c r="BE6656" s="451"/>
      <c r="BF6656" s="451"/>
      <c r="BG6656" s="451"/>
      <c r="BH6656" s="451"/>
      <c r="BI6656" s="451"/>
      <c r="BJ6656" s="451"/>
      <c r="BK6656" s="451"/>
      <c r="BL6656" s="451"/>
      <c r="BM6656" s="451"/>
      <c r="BN6656" s="451"/>
      <c r="BO6656" s="451"/>
      <c r="BP6656" s="451"/>
      <c r="BQ6656" s="451"/>
      <c r="BR6656" s="451"/>
      <c r="BS6656" s="451"/>
      <c r="BT6656" s="451"/>
      <c r="BU6656" s="451"/>
      <c r="BV6656" s="451"/>
      <c r="BW6656" s="451"/>
      <c r="BX6656" s="451"/>
      <c r="BY6656" s="451"/>
      <c r="BZ6656" s="451"/>
      <c r="CA6656" s="451"/>
      <c r="CB6656" s="451"/>
      <c r="CC6656" s="451"/>
      <c r="CD6656" s="451"/>
      <c r="CE6656" s="451"/>
      <c r="CF6656" s="451"/>
      <c r="CG6656" s="451"/>
      <c r="CH6656" s="451"/>
      <c r="CI6656" s="451"/>
      <c r="CJ6656" s="451"/>
      <c r="CK6656" s="451"/>
      <c r="CL6656" s="451"/>
      <c r="CM6656" s="451"/>
      <c r="CN6656" s="451"/>
      <c r="CO6656" s="451"/>
      <c r="CP6656" s="451"/>
      <c r="CQ6656" s="451"/>
      <c r="CR6656" s="451"/>
      <c r="CS6656" s="451"/>
      <c r="CT6656" s="451"/>
      <c r="CU6656" s="451"/>
      <c r="CV6656" s="451"/>
      <c r="CW6656" s="451"/>
      <c r="CX6656" s="451"/>
      <c r="CY6656" s="451"/>
      <c r="CZ6656" s="451"/>
      <c r="DA6656" s="451"/>
      <c r="DB6656" s="451"/>
      <c r="DC6656" s="451"/>
      <c r="DD6656" s="451"/>
      <c r="DE6656" s="451"/>
      <c r="DF6656" s="451"/>
      <c r="DG6656" s="451"/>
      <c r="DH6656" s="451"/>
      <c r="DI6656" s="451"/>
      <c r="DJ6656" s="451"/>
      <c r="DK6656" s="451"/>
      <c r="DL6656" s="451"/>
      <c r="DM6656" s="451"/>
      <c r="DN6656" s="451"/>
      <c r="DO6656" s="451"/>
      <c r="DP6656" s="451"/>
      <c r="DQ6656" s="451"/>
      <c r="DR6656" s="451"/>
      <c r="DS6656" s="451"/>
      <c r="DT6656" s="451"/>
      <c r="DU6656" s="451"/>
      <c r="DV6656" s="451"/>
      <c r="DW6656" s="451"/>
      <c r="DX6656" s="451"/>
      <c r="DY6656" s="451"/>
      <c r="DZ6656" s="451"/>
      <c r="EA6656" s="451"/>
      <c r="EB6656" s="451"/>
      <c r="EC6656" s="451"/>
      <c r="ED6656" s="451"/>
      <c r="EE6656" s="451"/>
      <c r="EF6656" s="451"/>
      <c r="EG6656" s="451"/>
      <c r="EH6656" s="451"/>
      <c r="EI6656" s="451"/>
      <c r="EJ6656" s="451"/>
      <c r="EK6656" s="451"/>
      <c r="EL6656" s="451"/>
      <c r="EM6656" s="451"/>
      <c r="EN6656" s="451"/>
      <c r="EO6656" s="451"/>
      <c r="EP6656" s="451"/>
      <c r="EQ6656" s="451"/>
      <c r="ER6656" s="451"/>
      <c r="ES6656" s="451"/>
    </row>
    <row r="6657" spans="1:149" ht="15" hidden="1" customHeight="1">
      <c r="A6657" s="468">
        <v>45562</v>
      </c>
      <c r="B6657" s="208" t="s">
        <v>5403</v>
      </c>
      <c r="C6657" s="208" t="s">
        <v>27</v>
      </c>
      <c r="D6657" s="211">
        <v>-257000</v>
      </c>
      <c r="E6657" s="212">
        <v>45536</v>
      </c>
      <c r="F6657" s="208" t="s">
        <v>2531</v>
      </c>
      <c r="G6657" s="201" t="s">
        <v>1489</v>
      </c>
      <c r="H6657" s="208" t="s">
        <v>147</v>
      </c>
      <c r="I6657" s="208"/>
      <c r="J6657" s="209"/>
      <c r="K6657" s="209"/>
      <c r="L6657" s="209"/>
      <c r="M6657" s="209"/>
      <c r="N6657" s="209"/>
      <c r="O6657" s="209"/>
      <c r="P6657" s="209"/>
      <c r="Q6657" s="209"/>
      <c r="R6657" s="209"/>
      <c r="S6657" s="209"/>
      <c r="T6657" s="209"/>
      <c r="U6657" s="451"/>
      <c r="V6657" s="451"/>
      <c r="W6657" s="451"/>
      <c r="X6657" s="451"/>
      <c r="Y6657" s="451"/>
      <c r="Z6657" s="451"/>
      <c r="AA6657" s="451"/>
      <c r="AB6657" s="451"/>
      <c r="AC6657" s="451"/>
      <c r="AD6657" s="451"/>
      <c r="AE6657" s="451"/>
      <c r="AF6657" s="451"/>
      <c r="AG6657" s="451"/>
      <c r="AH6657" s="451"/>
      <c r="AI6657" s="451"/>
      <c r="AJ6657" s="451"/>
      <c r="AK6657" s="451"/>
      <c r="AL6657" s="451"/>
      <c r="AM6657" s="451"/>
      <c r="AN6657" s="451"/>
      <c r="AO6657" s="451"/>
      <c r="AP6657" s="451"/>
      <c r="AQ6657" s="451"/>
      <c r="AR6657" s="451"/>
      <c r="AS6657" s="451"/>
      <c r="AT6657" s="451"/>
      <c r="AU6657" s="451"/>
      <c r="AV6657" s="451"/>
      <c r="AW6657" s="451"/>
      <c r="AX6657" s="451"/>
      <c r="AY6657" s="451"/>
      <c r="AZ6657" s="451"/>
      <c r="BA6657" s="451"/>
      <c r="BB6657" s="451"/>
      <c r="BC6657" s="451"/>
      <c r="BD6657" s="451"/>
      <c r="BE6657" s="451"/>
      <c r="BF6657" s="451"/>
      <c r="BG6657" s="451"/>
      <c r="BH6657" s="451"/>
      <c r="BI6657" s="451"/>
      <c r="BJ6657" s="451"/>
      <c r="BK6657" s="451"/>
      <c r="BL6657" s="451"/>
      <c r="BM6657" s="451"/>
      <c r="BN6657" s="451"/>
      <c r="BO6657" s="451"/>
      <c r="BP6657" s="451"/>
      <c r="BQ6657" s="451"/>
      <c r="BR6657" s="451"/>
      <c r="BS6657" s="451"/>
      <c r="BT6657" s="451"/>
      <c r="BU6657" s="451"/>
      <c r="BV6657" s="451"/>
      <c r="BW6657" s="451"/>
      <c r="BX6657" s="451"/>
      <c r="BY6657" s="451"/>
      <c r="BZ6657" s="451"/>
      <c r="CA6657" s="451"/>
      <c r="CB6657" s="451"/>
      <c r="CC6657" s="451"/>
      <c r="CD6657" s="451"/>
      <c r="CE6657" s="451"/>
      <c r="CF6657" s="451"/>
      <c r="CG6657" s="451"/>
      <c r="CH6657" s="451"/>
      <c r="CI6657" s="451"/>
      <c r="CJ6657" s="451"/>
      <c r="CK6657" s="451"/>
      <c r="CL6657" s="451"/>
      <c r="CM6657" s="451"/>
      <c r="CN6657" s="451"/>
      <c r="CO6657" s="451"/>
      <c r="CP6657" s="451"/>
      <c r="CQ6657" s="451"/>
      <c r="CR6657" s="451"/>
      <c r="CS6657" s="451"/>
      <c r="CT6657" s="451"/>
      <c r="CU6657" s="451"/>
      <c r="CV6657" s="451"/>
      <c r="CW6657" s="451"/>
      <c r="CX6657" s="451"/>
      <c r="CY6657" s="451"/>
      <c r="CZ6657" s="451"/>
      <c r="DA6657" s="451"/>
      <c r="DB6657" s="451"/>
      <c r="DC6657" s="451"/>
      <c r="DD6657" s="451"/>
      <c r="DE6657" s="451"/>
      <c r="DF6657" s="451"/>
      <c r="DG6657" s="451"/>
      <c r="DH6657" s="451"/>
      <c r="DI6657" s="451"/>
      <c r="DJ6657" s="451"/>
      <c r="DK6657" s="451"/>
      <c r="DL6657" s="451"/>
      <c r="DM6657" s="451"/>
      <c r="DN6657" s="451"/>
      <c r="DO6657" s="451"/>
      <c r="DP6657" s="451"/>
      <c r="DQ6657" s="451"/>
      <c r="DR6657" s="451"/>
      <c r="DS6657" s="451"/>
      <c r="DT6657" s="451"/>
      <c r="DU6657" s="451"/>
      <c r="DV6657" s="451"/>
      <c r="DW6657" s="451"/>
      <c r="DX6657" s="451"/>
      <c r="DY6657" s="451"/>
      <c r="DZ6657" s="451"/>
      <c r="EA6657" s="451"/>
      <c r="EB6657" s="451"/>
      <c r="EC6657" s="451"/>
      <c r="ED6657" s="451"/>
      <c r="EE6657" s="451"/>
      <c r="EF6657" s="451"/>
      <c r="EG6657" s="451"/>
      <c r="EH6657" s="451"/>
      <c r="EI6657" s="451"/>
      <c r="EJ6657" s="451"/>
      <c r="EK6657" s="451"/>
      <c r="EL6657" s="451"/>
      <c r="EM6657" s="451"/>
      <c r="EN6657" s="451"/>
      <c r="EO6657" s="451"/>
      <c r="EP6657" s="451"/>
      <c r="EQ6657" s="451"/>
      <c r="ER6657" s="451"/>
      <c r="ES6657" s="451"/>
    </row>
    <row r="6658" spans="1:149" ht="15" hidden="1" customHeight="1">
      <c r="A6658" s="468">
        <v>45562</v>
      </c>
      <c r="B6658" s="208" t="s">
        <v>5403</v>
      </c>
      <c r="C6658" s="208" t="s">
        <v>27</v>
      </c>
      <c r="D6658" s="211">
        <v>-257000</v>
      </c>
      <c r="E6658" s="212">
        <v>45536</v>
      </c>
      <c r="F6658" s="208" t="s">
        <v>2531</v>
      </c>
      <c r="G6658" s="208" t="s">
        <v>4294</v>
      </c>
      <c r="H6658" s="208" t="s">
        <v>1156</v>
      </c>
      <c r="I6658" s="208"/>
      <c r="J6658" s="209"/>
      <c r="K6658" s="209"/>
      <c r="L6658" s="209"/>
      <c r="M6658" s="209"/>
      <c r="N6658" s="209"/>
      <c r="O6658" s="209"/>
      <c r="P6658" s="209"/>
      <c r="Q6658" s="209"/>
      <c r="R6658" s="209"/>
      <c r="S6658" s="209"/>
      <c r="T6658" s="209"/>
      <c r="U6658" s="451"/>
      <c r="V6658" s="451"/>
      <c r="W6658" s="451"/>
      <c r="X6658" s="451"/>
      <c r="Y6658" s="451"/>
      <c r="Z6658" s="451"/>
      <c r="AA6658" s="451"/>
      <c r="AB6658" s="451"/>
      <c r="AC6658" s="451"/>
      <c r="AD6658" s="451"/>
      <c r="AE6658" s="451"/>
      <c r="AF6658" s="451"/>
      <c r="AG6658" s="451"/>
      <c r="AH6658" s="451"/>
      <c r="AI6658" s="451"/>
      <c r="AJ6658" s="451"/>
      <c r="AK6658" s="451"/>
      <c r="AL6658" s="451"/>
      <c r="AM6658" s="451"/>
      <c r="AN6658" s="451"/>
      <c r="AO6658" s="451"/>
      <c r="AP6658" s="451"/>
      <c r="AQ6658" s="451"/>
      <c r="AR6658" s="451"/>
      <c r="AS6658" s="451"/>
      <c r="AT6658" s="451"/>
      <c r="AU6658" s="451"/>
      <c r="AV6658" s="451"/>
      <c r="AW6658" s="451"/>
      <c r="AX6658" s="451"/>
      <c r="AY6658" s="451"/>
      <c r="AZ6658" s="451"/>
      <c r="BA6658" s="451"/>
      <c r="BB6658" s="451"/>
      <c r="BC6658" s="451"/>
      <c r="BD6658" s="451"/>
      <c r="BE6658" s="451"/>
      <c r="BF6658" s="451"/>
      <c r="BG6658" s="451"/>
      <c r="BH6658" s="451"/>
      <c r="BI6658" s="451"/>
      <c r="BJ6658" s="451"/>
      <c r="BK6658" s="451"/>
      <c r="BL6658" s="451"/>
      <c r="BM6658" s="451"/>
      <c r="BN6658" s="451"/>
      <c r="BO6658" s="451"/>
      <c r="BP6658" s="451"/>
      <c r="BQ6658" s="451"/>
      <c r="BR6658" s="451"/>
      <c r="BS6658" s="451"/>
      <c r="BT6658" s="451"/>
      <c r="BU6658" s="451"/>
      <c r="BV6658" s="451"/>
      <c r="BW6658" s="451"/>
      <c r="BX6658" s="451"/>
      <c r="BY6658" s="451"/>
      <c r="BZ6658" s="451"/>
      <c r="CA6658" s="451"/>
      <c r="CB6658" s="451"/>
      <c r="CC6658" s="451"/>
      <c r="CD6658" s="451"/>
      <c r="CE6658" s="451"/>
      <c r="CF6658" s="451"/>
      <c r="CG6658" s="451"/>
      <c r="CH6658" s="451"/>
      <c r="CI6658" s="451"/>
      <c r="CJ6658" s="451"/>
      <c r="CK6658" s="451"/>
      <c r="CL6658" s="451"/>
      <c r="CM6658" s="451"/>
      <c r="CN6658" s="451"/>
      <c r="CO6658" s="451"/>
      <c r="CP6658" s="451"/>
      <c r="CQ6658" s="451"/>
      <c r="CR6658" s="451"/>
      <c r="CS6658" s="451"/>
      <c r="CT6658" s="451"/>
      <c r="CU6658" s="451"/>
      <c r="CV6658" s="451"/>
      <c r="CW6658" s="451"/>
      <c r="CX6658" s="451"/>
      <c r="CY6658" s="451"/>
      <c r="CZ6658" s="451"/>
      <c r="DA6658" s="451"/>
      <c r="DB6658" s="451"/>
      <c r="DC6658" s="451"/>
      <c r="DD6658" s="451"/>
      <c r="DE6658" s="451"/>
      <c r="DF6658" s="451"/>
      <c r="DG6658" s="451"/>
      <c r="DH6658" s="451"/>
      <c r="DI6658" s="451"/>
      <c r="DJ6658" s="451"/>
      <c r="DK6658" s="451"/>
      <c r="DL6658" s="451"/>
      <c r="DM6658" s="451"/>
      <c r="DN6658" s="451"/>
      <c r="DO6658" s="451"/>
      <c r="DP6658" s="451"/>
      <c r="DQ6658" s="451"/>
      <c r="DR6658" s="451"/>
      <c r="DS6658" s="451"/>
      <c r="DT6658" s="451"/>
      <c r="DU6658" s="451"/>
      <c r="DV6658" s="451"/>
      <c r="DW6658" s="451"/>
      <c r="DX6658" s="451"/>
      <c r="DY6658" s="451"/>
      <c r="DZ6658" s="451"/>
      <c r="EA6658" s="451"/>
      <c r="EB6658" s="451"/>
      <c r="EC6658" s="451"/>
      <c r="ED6658" s="451"/>
      <c r="EE6658" s="451"/>
      <c r="EF6658" s="451"/>
      <c r="EG6658" s="451"/>
      <c r="EH6658" s="451"/>
      <c r="EI6658" s="451"/>
      <c r="EJ6658" s="451"/>
      <c r="EK6658" s="451"/>
      <c r="EL6658" s="451"/>
      <c r="EM6658" s="451"/>
      <c r="EN6658" s="451"/>
      <c r="EO6658" s="451"/>
      <c r="EP6658" s="451"/>
      <c r="EQ6658" s="451"/>
      <c r="ER6658" s="451"/>
      <c r="ES6658" s="451"/>
    </row>
    <row r="6659" spans="1:149" ht="15" hidden="1" customHeight="1">
      <c r="A6659" s="468">
        <v>45562</v>
      </c>
      <c r="B6659" s="208" t="s">
        <v>5403</v>
      </c>
      <c r="C6659" s="208" t="s">
        <v>27</v>
      </c>
      <c r="D6659" s="211">
        <v>-257000</v>
      </c>
      <c r="E6659" s="212">
        <v>45536</v>
      </c>
      <c r="F6659" s="208" t="s">
        <v>109</v>
      </c>
      <c r="G6659" s="208" t="s">
        <v>3529</v>
      </c>
      <c r="H6659" s="208" t="s">
        <v>147</v>
      </c>
      <c r="I6659" s="208"/>
      <c r="J6659" s="209"/>
      <c r="K6659" s="209"/>
      <c r="L6659" s="209"/>
      <c r="M6659" s="209"/>
      <c r="N6659" s="209"/>
      <c r="O6659" s="209"/>
      <c r="P6659" s="209"/>
      <c r="Q6659" s="209"/>
      <c r="R6659" s="209"/>
      <c r="S6659" s="209"/>
      <c r="T6659" s="209"/>
      <c r="U6659" s="451"/>
      <c r="V6659" s="451"/>
      <c r="W6659" s="451"/>
      <c r="X6659" s="451"/>
      <c r="Y6659" s="451"/>
      <c r="Z6659" s="451"/>
      <c r="AA6659" s="451"/>
      <c r="AB6659" s="451"/>
      <c r="AC6659" s="451"/>
      <c r="AD6659" s="451"/>
      <c r="AE6659" s="451"/>
      <c r="AF6659" s="451"/>
      <c r="AG6659" s="451"/>
      <c r="AH6659" s="451"/>
      <c r="AI6659" s="451"/>
      <c r="AJ6659" s="451"/>
      <c r="AK6659" s="451"/>
      <c r="AL6659" s="451"/>
      <c r="AM6659" s="451"/>
      <c r="AN6659" s="451"/>
      <c r="AO6659" s="451"/>
      <c r="AP6659" s="451"/>
      <c r="AQ6659" s="451"/>
      <c r="AR6659" s="451"/>
      <c r="AS6659" s="451"/>
      <c r="AT6659" s="451"/>
      <c r="AU6659" s="451"/>
      <c r="AV6659" s="451"/>
      <c r="AW6659" s="451"/>
      <c r="AX6659" s="451"/>
      <c r="AY6659" s="451"/>
      <c r="AZ6659" s="451"/>
      <c r="BA6659" s="451"/>
      <c r="BB6659" s="451"/>
      <c r="BC6659" s="451"/>
      <c r="BD6659" s="451"/>
      <c r="BE6659" s="451"/>
      <c r="BF6659" s="451"/>
      <c r="BG6659" s="451"/>
      <c r="BH6659" s="451"/>
      <c r="BI6659" s="451"/>
      <c r="BJ6659" s="451"/>
      <c r="BK6659" s="451"/>
      <c r="BL6659" s="451"/>
      <c r="BM6659" s="451"/>
      <c r="BN6659" s="451"/>
      <c r="BO6659" s="451"/>
      <c r="BP6659" s="451"/>
      <c r="BQ6659" s="451"/>
      <c r="BR6659" s="451"/>
      <c r="BS6659" s="451"/>
      <c r="BT6659" s="451"/>
      <c r="BU6659" s="451"/>
      <c r="BV6659" s="451"/>
      <c r="BW6659" s="451"/>
      <c r="BX6659" s="451"/>
      <c r="BY6659" s="451"/>
      <c r="BZ6659" s="451"/>
      <c r="CA6659" s="451"/>
      <c r="CB6659" s="451"/>
      <c r="CC6659" s="451"/>
      <c r="CD6659" s="451"/>
      <c r="CE6659" s="451"/>
      <c r="CF6659" s="451"/>
      <c r="CG6659" s="451"/>
      <c r="CH6659" s="451"/>
      <c r="CI6659" s="451"/>
      <c r="CJ6659" s="451"/>
      <c r="CK6659" s="451"/>
      <c r="CL6659" s="451"/>
      <c r="CM6659" s="451"/>
      <c r="CN6659" s="451"/>
      <c r="CO6659" s="451"/>
      <c r="CP6659" s="451"/>
      <c r="CQ6659" s="451"/>
      <c r="CR6659" s="451"/>
      <c r="CS6659" s="451"/>
      <c r="CT6659" s="451"/>
      <c r="CU6659" s="451"/>
      <c r="CV6659" s="451"/>
      <c r="CW6659" s="451"/>
      <c r="CX6659" s="451"/>
      <c r="CY6659" s="451"/>
      <c r="CZ6659" s="451"/>
      <c r="DA6659" s="451"/>
      <c r="DB6659" s="451"/>
      <c r="DC6659" s="451"/>
      <c r="DD6659" s="451"/>
      <c r="DE6659" s="451"/>
      <c r="DF6659" s="451"/>
      <c r="DG6659" s="451"/>
      <c r="DH6659" s="451"/>
      <c r="DI6659" s="451"/>
      <c r="DJ6659" s="451"/>
      <c r="DK6659" s="451"/>
      <c r="DL6659" s="451"/>
      <c r="DM6659" s="451"/>
      <c r="DN6659" s="451"/>
      <c r="DO6659" s="451"/>
      <c r="DP6659" s="451"/>
      <c r="DQ6659" s="451"/>
      <c r="DR6659" s="451"/>
      <c r="DS6659" s="451"/>
      <c r="DT6659" s="451"/>
      <c r="DU6659" s="451"/>
      <c r="DV6659" s="451"/>
      <c r="DW6659" s="451"/>
      <c r="DX6659" s="451"/>
      <c r="DY6659" s="451"/>
      <c r="DZ6659" s="451"/>
      <c r="EA6659" s="451"/>
      <c r="EB6659" s="451"/>
      <c r="EC6659" s="451"/>
      <c r="ED6659" s="451"/>
      <c r="EE6659" s="451"/>
      <c r="EF6659" s="451"/>
      <c r="EG6659" s="451"/>
      <c r="EH6659" s="451"/>
      <c r="EI6659" s="451"/>
      <c r="EJ6659" s="451"/>
      <c r="EK6659" s="451"/>
      <c r="EL6659" s="451"/>
      <c r="EM6659" s="451"/>
      <c r="EN6659" s="451"/>
      <c r="EO6659" s="451"/>
      <c r="EP6659" s="451"/>
      <c r="EQ6659" s="451"/>
      <c r="ER6659" s="451"/>
      <c r="ES6659" s="451"/>
    </row>
    <row r="6660" spans="1:149" ht="15" hidden="1" customHeight="1">
      <c r="A6660" s="468">
        <v>45562</v>
      </c>
      <c r="B6660" s="208" t="s">
        <v>5404</v>
      </c>
      <c r="C6660" s="208" t="s">
        <v>27</v>
      </c>
      <c r="D6660" s="211">
        <v>-679000</v>
      </c>
      <c r="E6660" s="212">
        <v>45536</v>
      </c>
      <c r="F6660" s="208" t="s">
        <v>109</v>
      </c>
      <c r="G6660" s="208" t="s">
        <v>3529</v>
      </c>
      <c r="H6660" s="208" t="s">
        <v>147</v>
      </c>
      <c r="I6660" s="208"/>
      <c r="J6660" s="209"/>
      <c r="K6660" s="209"/>
      <c r="L6660" s="209"/>
      <c r="M6660" s="209"/>
      <c r="N6660" s="209"/>
      <c r="O6660" s="209"/>
      <c r="P6660" s="209"/>
      <c r="Q6660" s="209"/>
      <c r="R6660" s="209"/>
      <c r="S6660" s="209"/>
      <c r="T6660" s="209"/>
      <c r="U6660" s="451"/>
      <c r="V6660" s="451"/>
      <c r="W6660" s="451"/>
      <c r="X6660" s="451"/>
      <c r="Y6660" s="451"/>
      <c r="Z6660" s="451"/>
      <c r="AA6660" s="451"/>
      <c r="AB6660" s="451"/>
      <c r="AC6660" s="451"/>
      <c r="AD6660" s="451"/>
      <c r="AE6660" s="451"/>
      <c r="AF6660" s="451"/>
      <c r="AG6660" s="451"/>
      <c r="AH6660" s="451"/>
      <c r="AI6660" s="451"/>
      <c r="AJ6660" s="451"/>
      <c r="AK6660" s="451"/>
      <c r="AL6660" s="451"/>
      <c r="AM6660" s="451"/>
      <c r="AN6660" s="451"/>
      <c r="AO6660" s="451"/>
      <c r="AP6660" s="451"/>
      <c r="AQ6660" s="451"/>
      <c r="AR6660" s="451"/>
      <c r="AS6660" s="451"/>
      <c r="AT6660" s="451"/>
      <c r="AU6660" s="451"/>
      <c r="AV6660" s="451"/>
      <c r="AW6660" s="451"/>
      <c r="AX6660" s="451"/>
      <c r="AY6660" s="451"/>
      <c r="AZ6660" s="451"/>
      <c r="BA6660" s="451"/>
      <c r="BB6660" s="451"/>
      <c r="BC6660" s="451"/>
      <c r="BD6660" s="451"/>
      <c r="BE6660" s="451"/>
      <c r="BF6660" s="451"/>
      <c r="BG6660" s="451"/>
      <c r="BH6660" s="451"/>
      <c r="BI6660" s="451"/>
      <c r="BJ6660" s="451"/>
      <c r="BK6660" s="451"/>
      <c r="BL6660" s="451"/>
      <c r="BM6660" s="451"/>
      <c r="BN6660" s="451"/>
      <c r="BO6660" s="451"/>
      <c r="BP6660" s="451"/>
      <c r="BQ6660" s="451"/>
      <c r="BR6660" s="451"/>
      <c r="BS6660" s="451"/>
      <c r="BT6660" s="451"/>
      <c r="BU6660" s="451"/>
      <c r="BV6660" s="451"/>
      <c r="BW6660" s="451"/>
      <c r="BX6660" s="451"/>
      <c r="BY6660" s="451"/>
      <c r="BZ6660" s="451"/>
      <c r="CA6660" s="451"/>
      <c r="CB6660" s="451"/>
      <c r="CC6660" s="451"/>
      <c r="CD6660" s="451"/>
      <c r="CE6660" s="451"/>
      <c r="CF6660" s="451"/>
      <c r="CG6660" s="451"/>
      <c r="CH6660" s="451"/>
      <c r="CI6660" s="451"/>
      <c r="CJ6660" s="451"/>
      <c r="CK6660" s="451"/>
      <c r="CL6660" s="451"/>
      <c r="CM6660" s="451"/>
      <c r="CN6660" s="451"/>
      <c r="CO6660" s="451"/>
      <c r="CP6660" s="451"/>
      <c r="CQ6660" s="451"/>
      <c r="CR6660" s="451"/>
      <c r="CS6660" s="451"/>
      <c r="CT6660" s="451"/>
      <c r="CU6660" s="451"/>
      <c r="CV6660" s="451"/>
      <c r="CW6660" s="451"/>
      <c r="CX6660" s="451"/>
      <c r="CY6660" s="451"/>
      <c r="CZ6660" s="451"/>
      <c r="DA6660" s="451"/>
      <c r="DB6660" s="451"/>
      <c r="DC6660" s="451"/>
      <c r="DD6660" s="451"/>
      <c r="DE6660" s="451"/>
      <c r="DF6660" s="451"/>
      <c r="DG6660" s="451"/>
      <c r="DH6660" s="451"/>
      <c r="DI6660" s="451"/>
      <c r="DJ6660" s="451"/>
      <c r="DK6660" s="451"/>
      <c r="DL6660" s="451"/>
      <c r="DM6660" s="451"/>
      <c r="DN6660" s="451"/>
      <c r="DO6660" s="451"/>
      <c r="DP6660" s="451"/>
      <c r="DQ6660" s="451"/>
      <c r="DR6660" s="451"/>
      <c r="DS6660" s="451"/>
      <c r="DT6660" s="451"/>
      <c r="DU6660" s="451"/>
      <c r="DV6660" s="451"/>
      <c r="DW6660" s="451"/>
      <c r="DX6660" s="451"/>
      <c r="DY6660" s="451"/>
      <c r="DZ6660" s="451"/>
      <c r="EA6660" s="451"/>
      <c r="EB6660" s="451"/>
      <c r="EC6660" s="451"/>
      <c r="ED6660" s="451"/>
      <c r="EE6660" s="451"/>
      <c r="EF6660" s="451"/>
      <c r="EG6660" s="451"/>
      <c r="EH6660" s="451"/>
      <c r="EI6660" s="451"/>
      <c r="EJ6660" s="451"/>
      <c r="EK6660" s="451"/>
      <c r="EL6660" s="451"/>
      <c r="EM6660" s="451"/>
      <c r="EN6660" s="451"/>
      <c r="EO6660" s="451"/>
      <c r="EP6660" s="451"/>
      <c r="EQ6660" s="451"/>
      <c r="ER6660" s="451"/>
      <c r="ES6660" s="451"/>
    </row>
    <row r="6661" spans="1:149" s="209" customFormat="1" ht="15" hidden="1" customHeight="1">
      <c r="A6661" s="468">
        <v>45562</v>
      </c>
      <c r="B6661" s="208" t="s">
        <v>5405</v>
      </c>
      <c r="C6661" s="208" t="s">
        <v>27</v>
      </c>
      <c r="D6661" s="718">
        <v>-685500</v>
      </c>
      <c r="E6661" s="212">
        <v>45536</v>
      </c>
      <c r="F6661" s="208" t="s">
        <v>109</v>
      </c>
      <c r="G6661" s="201" t="s">
        <v>581</v>
      </c>
      <c r="H6661" s="208"/>
      <c r="I6661" s="208"/>
    </row>
    <row r="6662" spans="1:149" s="209" customFormat="1" ht="15" hidden="1" customHeight="1">
      <c r="A6662" s="468">
        <v>45562</v>
      </c>
      <c r="B6662" s="208" t="s">
        <v>5406</v>
      </c>
      <c r="C6662" s="208" t="s">
        <v>27</v>
      </c>
      <c r="D6662" s="718">
        <v>-685500</v>
      </c>
      <c r="E6662" s="212">
        <v>45536</v>
      </c>
      <c r="F6662" s="208" t="s">
        <v>109</v>
      </c>
      <c r="G6662" s="201" t="s">
        <v>581</v>
      </c>
      <c r="H6662" s="208"/>
      <c r="I6662" s="208"/>
    </row>
    <row r="6663" spans="1:149" s="209" customFormat="1" ht="15" hidden="1" customHeight="1">
      <c r="A6663" s="468">
        <v>45562</v>
      </c>
      <c r="B6663" s="208" t="s">
        <v>5407</v>
      </c>
      <c r="C6663" s="208" t="s">
        <v>27</v>
      </c>
      <c r="D6663" s="718">
        <v>-685500</v>
      </c>
      <c r="E6663" s="212">
        <v>45536</v>
      </c>
      <c r="F6663" s="208" t="s">
        <v>109</v>
      </c>
      <c r="G6663" s="201" t="s">
        <v>581</v>
      </c>
      <c r="H6663" s="208"/>
      <c r="I6663" s="208"/>
    </row>
    <row r="6664" spans="1:149" s="209" customFormat="1" ht="15" hidden="1" customHeight="1">
      <c r="A6664" s="468">
        <v>45562</v>
      </c>
      <c r="B6664" s="208" t="s">
        <v>5408</v>
      </c>
      <c r="C6664" s="208" t="s">
        <v>27</v>
      </c>
      <c r="D6664" s="718">
        <v>-685500</v>
      </c>
      <c r="E6664" s="212">
        <v>45536</v>
      </c>
      <c r="F6664" s="208" t="s">
        <v>109</v>
      </c>
      <c r="G6664" s="201" t="s">
        <v>581</v>
      </c>
      <c r="H6664" s="208"/>
      <c r="I6664" s="208"/>
    </row>
    <row r="6665" spans="1:149" s="209" customFormat="1" ht="15" hidden="1" customHeight="1">
      <c r="A6665" s="468">
        <v>45562</v>
      </c>
      <c r="B6665" s="208" t="s">
        <v>5409</v>
      </c>
      <c r="C6665" s="208" t="s">
        <v>27</v>
      </c>
      <c r="D6665" s="718">
        <v>-1231000</v>
      </c>
      <c r="E6665" s="212">
        <v>45536</v>
      </c>
      <c r="F6665" s="208" t="s">
        <v>109</v>
      </c>
      <c r="G6665" s="201" t="s">
        <v>581</v>
      </c>
      <c r="H6665" s="208"/>
      <c r="I6665" s="475" t="s">
        <v>5410</v>
      </c>
    </row>
    <row r="6666" spans="1:149" ht="15" hidden="1" customHeight="1">
      <c r="A6666" s="468">
        <v>45562</v>
      </c>
      <c r="B6666" s="208" t="s">
        <v>5411</v>
      </c>
      <c r="C6666" s="208" t="s">
        <v>27</v>
      </c>
      <c r="D6666" s="211">
        <v>-715170</v>
      </c>
      <c r="E6666" s="212">
        <v>45536</v>
      </c>
      <c r="F6666" s="208" t="s">
        <v>109</v>
      </c>
      <c r="G6666" s="208" t="s">
        <v>2809</v>
      </c>
      <c r="H6666" s="208" t="s">
        <v>4814</v>
      </c>
      <c r="I6666" s="208"/>
      <c r="J6666" s="209"/>
      <c r="K6666" s="209"/>
      <c r="L6666" s="209"/>
      <c r="M6666" s="209"/>
      <c r="N6666" s="209"/>
      <c r="O6666" s="209"/>
      <c r="P6666" s="209"/>
      <c r="Q6666" s="209"/>
      <c r="R6666" s="209"/>
      <c r="S6666" s="209"/>
      <c r="T6666" s="209"/>
      <c r="U6666" s="451"/>
      <c r="V6666" s="451"/>
      <c r="W6666" s="451"/>
      <c r="X6666" s="451"/>
      <c r="Y6666" s="451"/>
      <c r="Z6666" s="451"/>
      <c r="AA6666" s="451"/>
      <c r="AB6666" s="451"/>
      <c r="AC6666" s="451"/>
      <c r="AD6666" s="451"/>
      <c r="AE6666" s="451"/>
      <c r="AF6666" s="451"/>
      <c r="AG6666" s="451"/>
      <c r="AH6666" s="451"/>
      <c r="AI6666" s="451"/>
      <c r="AJ6666" s="451"/>
      <c r="AK6666" s="451"/>
      <c r="AL6666" s="451"/>
      <c r="AM6666" s="451"/>
      <c r="AN6666" s="451"/>
      <c r="AO6666" s="451"/>
      <c r="AP6666" s="451"/>
      <c r="AQ6666" s="451"/>
      <c r="AR6666" s="451"/>
      <c r="AS6666" s="451"/>
      <c r="AT6666" s="451"/>
      <c r="AU6666" s="451"/>
      <c r="AV6666" s="451"/>
      <c r="AW6666" s="451"/>
      <c r="AX6666" s="451"/>
      <c r="AY6666" s="451"/>
      <c r="AZ6666" s="451"/>
      <c r="BA6666" s="451"/>
      <c r="BB6666" s="451"/>
      <c r="BC6666" s="451"/>
      <c r="BD6666" s="451"/>
      <c r="BE6666" s="451"/>
      <c r="BF6666" s="451"/>
      <c r="BG6666" s="451"/>
      <c r="BH6666" s="451"/>
      <c r="BI6666" s="451"/>
      <c r="BJ6666" s="451"/>
      <c r="BK6666" s="451"/>
      <c r="BL6666" s="451"/>
      <c r="BM6666" s="451"/>
      <c r="BN6666" s="451"/>
      <c r="BO6666" s="451"/>
      <c r="BP6666" s="451"/>
      <c r="BQ6666" s="451"/>
      <c r="BR6666" s="451"/>
      <c r="BS6666" s="451"/>
      <c r="BT6666" s="451"/>
      <c r="BU6666" s="451"/>
      <c r="BV6666" s="451"/>
      <c r="BW6666" s="451"/>
      <c r="BX6666" s="451"/>
      <c r="BY6666" s="451"/>
      <c r="BZ6666" s="451"/>
      <c r="CA6666" s="451"/>
      <c r="CB6666" s="451"/>
      <c r="CC6666" s="451"/>
      <c r="CD6666" s="451"/>
      <c r="CE6666" s="451"/>
      <c r="CF6666" s="451"/>
      <c r="CG6666" s="451"/>
      <c r="CH6666" s="451"/>
      <c r="CI6666" s="451"/>
      <c r="CJ6666" s="451"/>
      <c r="CK6666" s="451"/>
      <c r="CL6666" s="451"/>
      <c r="CM6666" s="451"/>
      <c r="CN6666" s="451"/>
      <c r="CO6666" s="451"/>
      <c r="CP6666" s="451"/>
      <c r="CQ6666" s="451"/>
      <c r="CR6666" s="451"/>
      <c r="CS6666" s="451"/>
      <c r="CT6666" s="451"/>
      <c r="CU6666" s="451"/>
      <c r="CV6666" s="451"/>
      <c r="CW6666" s="451"/>
      <c r="CX6666" s="451"/>
      <c r="CY6666" s="451"/>
      <c r="CZ6666" s="451"/>
      <c r="DA6666" s="451"/>
      <c r="DB6666" s="451"/>
      <c r="DC6666" s="451"/>
      <c r="DD6666" s="451"/>
      <c r="DE6666" s="451"/>
      <c r="DF6666" s="451"/>
      <c r="DG6666" s="451"/>
      <c r="DH6666" s="451"/>
      <c r="DI6666" s="451"/>
      <c r="DJ6666" s="451"/>
      <c r="DK6666" s="451"/>
      <c r="DL6666" s="451"/>
      <c r="DM6666" s="451"/>
      <c r="DN6666" s="451"/>
      <c r="DO6666" s="451"/>
      <c r="DP6666" s="451"/>
      <c r="DQ6666" s="451"/>
      <c r="DR6666" s="451"/>
      <c r="DS6666" s="451"/>
      <c r="DT6666" s="451"/>
      <c r="DU6666" s="451"/>
      <c r="DV6666" s="451"/>
      <c r="DW6666" s="451"/>
      <c r="DX6666" s="451"/>
      <c r="DY6666" s="451"/>
      <c r="DZ6666" s="451"/>
      <c r="EA6666" s="451"/>
      <c r="EB6666" s="451"/>
      <c r="EC6666" s="451"/>
      <c r="ED6666" s="451"/>
      <c r="EE6666" s="451"/>
      <c r="EF6666" s="451"/>
      <c r="EG6666" s="451"/>
      <c r="EH6666" s="451"/>
      <c r="EI6666" s="451"/>
      <c r="EJ6666" s="451"/>
      <c r="EK6666" s="451"/>
      <c r="EL6666" s="451"/>
      <c r="EM6666" s="451"/>
      <c r="EN6666" s="451"/>
      <c r="EO6666" s="451"/>
      <c r="EP6666" s="451"/>
      <c r="EQ6666" s="451"/>
      <c r="ER6666" s="451"/>
      <c r="ES6666" s="451"/>
    </row>
    <row r="6667" spans="1:149" ht="15" hidden="1" customHeight="1">
      <c r="A6667" s="468">
        <v>45562</v>
      </c>
      <c r="B6667" s="208" t="s">
        <v>5412</v>
      </c>
      <c r="C6667" s="208" t="s">
        <v>27</v>
      </c>
      <c r="D6667" s="211">
        <v>-3588945</v>
      </c>
      <c r="E6667" s="212">
        <v>45536</v>
      </c>
      <c r="F6667" s="84" t="s">
        <v>111</v>
      </c>
      <c r="G6667" s="208"/>
      <c r="H6667" s="208"/>
      <c r="I6667" s="208"/>
      <c r="J6667" s="209"/>
      <c r="K6667" s="209"/>
      <c r="L6667" s="209"/>
      <c r="M6667" s="209"/>
      <c r="N6667" s="209"/>
      <c r="O6667" s="209"/>
      <c r="P6667" s="209"/>
      <c r="Q6667" s="209"/>
      <c r="R6667" s="209"/>
      <c r="S6667" s="209"/>
      <c r="T6667" s="209"/>
      <c r="U6667" s="451"/>
      <c r="V6667" s="451"/>
      <c r="W6667" s="451"/>
      <c r="X6667" s="451"/>
      <c r="Y6667" s="451"/>
      <c r="Z6667" s="451"/>
      <c r="AA6667" s="451"/>
      <c r="AB6667" s="451"/>
      <c r="AC6667" s="451"/>
      <c r="AD6667" s="451"/>
      <c r="AE6667" s="451"/>
      <c r="AF6667" s="451"/>
      <c r="AG6667" s="451"/>
      <c r="AH6667" s="451"/>
      <c r="AI6667" s="451"/>
      <c r="AJ6667" s="451"/>
      <c r="AK6667" s="451"/>
      <c r="AL6667" s="451"/>
      <c r="AM6667" s="451"/>
      <c r="AN6667" s="451"/>
      <c r="AO6667" s="451"/>
      <c r="AP6667" s="451"/>
      <c r="AQ6667" s="451"/>
      <c r="AR6667" s="451"/>
      <c r="AS6667" s="451"/>
      <c r="AT6667" s="451"/>
      <c r="AU6667" s="451"/>
      <c r="AV6667" s="451"/>
      <c r="AW6667" s="451"/>
      <c r="AX6667" s="451"/>
      <c r="AY6667" s="451"/>
      <c r="AZ6667" s="451"/>
      <c r="BA6667" s="451"/>
      <c r="BB6667" s="451"/>
      <c r="BC6667" s="451"/>
      <c r="BD6667" s="451"/>
      <c r="BE6667" s="451"/>
      <c r="BF6667" s="451"/>
      <c r="BG6667" s="451"/>
      <c r="BH6667" s="451"/>
      <c r="BI6667" s="451"/>
      <c r="BJ6667" s="451"/>
      <c r="BK6667" s="451"/>
      <c r="BL6667" s="451"/>
      <c r="BM6667" s="451"/>
      <c r="BN6667" s="451"/>
      <c r="BO6667" s="451"/>
      <c r="BP6667" s="451"/>
      <c r="BQ6667" s="451"/>
      <c r="BR6667" s="451"/>
      <c r="BS6667" s="451"/>
      <c r="BT6667" s="451"/>
      <c r="BU6667" s="451"/>
      <c r="BV6667" s="451"/>
      <c r="BW6667" s="451"/>
      <c r="BX6667" s="451"/>
      <c r="BY6667" s="451"/>
      <c r="BZ6667" s="451"/>
      <c r="CA6667" s="451"/>
      <c r="CB6667" s="451"/>
      <c r="CC6667" s="451"/>
      <c r="CD6667" s="451"/>
      <c r="CE6667" s="451"/>
      <c r="CF6667" s="451"/>
      <c r="CG6667" s="451"/>
      <c r="CH6667" s="451"/>
      <c r="CI6667" s="451"/>
      <c r="CJ6667" s="451"/>
      <c r="CK6667" s="451"/>
      <c r="CL6667" s="451"/>
      <c r="CM6667" s="451"/>
      <c r="CN6667" s="451"/>
      <c r="CO6667" s="451"/>
      <c r="CP6667" s="451"/>
      <c r="CQ6667" s="451"/>
      <c r="CR6667" s="451"/>
      <c r="CS6667" s="451"/>
      <c r="CT6667" s="451"/>
      <c r="CU6667" s="451"/>
      <c r="CV6667" s="451"/>
      <c r="CW6667" s="451"/>
      <c r="CX6667" s="451"/>
      <c r="CY6667" s="451"/>
      <c r="CZ6667" s="451"/>
      <c r="DA6667" s="451"/>
      <c r="DB6667" s="451"/>
      <c r="DC6667" s="451"/>
      <c r="DD6667" s="451"/>
      <c r="DE6667" s="451"/>
      <c r="DF6667" s="451"/>
      <c r="DG6667" s="451"/>
      <c r="DH6667" s="451"/>
      <c r="DI6667" s="451"/>
      <c r="DJ6667" s="451"/>
      <c r="DK6667" s="451"/>
      <c r="DL6667" s="451"/>
      <c r="DM6667" s="451"/>
      <c r="DN6667" s="451"/>
      <c r="DO6667" s="451"/>
      <c r="DP6667" s="451"/>
      <c r="DQ6667" s="451"/>
      <c r="DR6667" s="451"/>
      <c r="DS6667" s="451"/>
      <c r="DT6667" s="451"/>
      <c r="DU6667" s="451"/>
      <c r="DV6667" s="451"/>
      <c r="DW6667" s="451"/>
      <c r="DX6667" s="451"/>
      <c r="DY6667" s="451"/>
      <c r="DZ6667" s="451"/>
      <c r="EA6667" s="451"/>
      <c r="EB6667" s="451"/>
      <c r="EC6667" s="451"/>
      <c r="ED6667" s="451"/>
      <c r="EE6667" s="451"/>
      <c r="EF6667" s="451"/>
      <c r="EG6667" s="451"/>
      <c r="EH6667" s="451"/>
      <c r="EI6667" s="451"/>
      <c r="EJ6667" s="451"/>
      <c r="EK6667" s="451"/>
      <c r="EL6667" s="451"/>
      <c r="EM6667" s="451"/>
      <c r="EN6667" s="451"/>
      <c r="EO6667" s="451"/>
      <c r="EP6667" s="451"/>
      <c r="EQ6667" s="451"/>
      <c r="ER6667" s="451"/>
      <c r="ES6667" s="451"/>
    </row>
    <row r="6668" spans="1:149" ht="15" hidden="1" customHeight="1">
      <c r="A6668" s="468">
        <v>45562</v>
      </c>
      <c r="B6668" s="208" t="s">
        <v>5413</v>
      </c>
      <c r="C6668" s="208" t="s">
        <v>27</v>
      </c>
      <c r="D6668" s="211">
        <v>-2655397</v>
      </c>
      <c r="E6668" s="212">
        <v>45536</v>
      </c>
      <c r="F6668" s="208" t="s">
        <v>207</v>
      </c>
      <c r="G6668" s="208" t="s">
        <v>207</v>
      </c>
      <c r="H6668" s="208"/>
      <c r="I6668" s="208"/>
      <c r="J6668" s="209"/>
      <c r="K6668" s="209"/>
      <c r="L6668" s="209"/>
      <c r="M6668" s="209"/>
      <c r="N6668" s="209"/>
      <c r="O6668" s="209"/>
      <c r="P6668" s="209"/>
      <c r="Q6668" s="209"/>
      <c r="R6668" s="209"/>
      <c r="S6668" s="209"/>
      <c r="T6668" s="209"/>
      <c r="U6668" s="451"/>
      <c r="V6668" s="451"/>
      <c r="W6668" s="451"/>
      <c r="X6668" s="451"/>
      <c r="Y6668" s="451"/>
      <c r="Z6668" s="451"/>
      <c r="AA6668" s="451"/>
      <c r="AB6668" s="451"/>
      <c r="AC6668" s="451"/>
      <c r="AD6668" s="451"/>
      <c r="AE6668" s="451"/>
      <c r="AF6668" s="451"/>
      <c r="AG6668" s="451"/>
      <c r="AH6668" s="451"/>
      <c r="AI6668" s="451"/>
      <c r="AJ6668" s="451"/>
      <c r="AK6668" s="451"/>
      <c r="AL6668" s="451"/>
      <c r="AM6668" s="451"/>
      <c r="AN6668" s="451"/>
      <c r="AO6668" s="451"/>
      <c r="AP6668" s="451"/>
      <c r="AQ6668" s="451"/>
      <c r="AR6668" s="451"/>
      <c r="AS6668" s="451"/>
      <c r="AT6668" s="451"/>
      <c r="AU6668" s="451"/>
      <c r="AV6668" s="451"/>
      <c r="AW6668" s="451"/>
      <c r="AX6668" s="451"/>
      <c r="AY6668" s="451"/>
      <c r="AZ6668" s="451"/>
      <c r="BA6668" s="451"/>
      <c r="BB6668" s="451"/>
      <c r="BC6668" s="451"/>
      <c r="BD6668" s="451"/>
      <c r="BE6668" s="451"/>
      <c r="BF6668" s="451"/>
      <c r="BG6668" s="451"/>
      <c r="BH6668" s="451"/>
      <c r="BI6668" s="451"/>
      <c r="BJ6668" s="451"/>
      <c r="BK6668" s="451"/>
      <c r="BL6668" s="451"/>
      <c r="BM6668" s="451"/>
      <c r="BN6668" s="451"/>
      <c r="BO6668" s="451"/>
      <c r="BP6668" s="451"/>
      <c r="BQ6668" s="451"/>
      <c r="BR6668" s="451"/>
      <c r="BS6668" s="451"/>
      <c r="BT6668" s="451"/>
      <c r="BU6668" s="451"/>
      <c r="BV6668" s="451"/>
      <c r="BW6668" s="451"/>
      <c r="BX6668" s="451"/>
      <c r="BY6668" s="451"/>
      <c r="BZ6668" s="451"/>
      <c r="CA6668" s="451"/>
      <c r="CB6668" s="451"/>
      <c r="CC6668" s="451"/>
      <c r="CD6668" s="451"/>
      <c r="CE6668" s="451"/>
      <c r="CF6668" s="451"/>
      <c r="CG6668" s="451"/>
      <c r="CH6668" s="451"/>
      <c r="CI6668" s="451"/>
      <c r="CJ6668" s="451"/>
      <c r="CK6668" s="451"/>
      <c r="CL6668" s="451"/>
      <c r="CM6668" s="451"/>
      <c r="CN6668" s="451"/>
      <c r="CO6668" s="451"/>
      <c r="CP6668" s="451"/>
      <c r="CQ6668" s="451"/>
      <c r="CR6668" s="451"/>
      <c r="CS6668" s="451"/>
      <c r="CT6668" s="451"/>
      <c r="CU6668" s="451"/>
      <c r="CV6668" s="451"/>
      <c r="CW6668" s="451"/>
      <c r="CX6668" s="451"/>
      <c r="CY6668" s="451"/>
      <c r="CZ6668" s="451"/>
      <c r="DA6668" s="451"/>
      <c r="DB6668" s="451"/>
      <c r="DC6668" s="451"/>
      <c r="DD6668" s="451"/>
      <c r="DE6668" s="451"/>
      <c r="DF6668" s="451"/>
      <c r="DG6668" s="451"/>
      <c r="DH6668" s="451"/>
      <c r="DI6668" s="451"/>
      <c r="DJ6668" s="451"/>
      <c r="DK6668" s="451"/>
      <c r="DL6668" s="451"/>
      <c r="DM6668" s="451"/>
      <c r="DN6668" s="451"/>
      <c r="DO6668" s="451"/>
      <c r="DP6668" s="451"/>
      <c r="DQ6668" s="451"/>
      <c r="DR6668" s="451"/>
      <c r="DS6668" s="451"/>
      <c r="DT6668" s="451"/>
      <c r="DU6668" s="451"/>
      <c r="DV6668" s="451"/>
      <c r="DW6668" s="451"/>
      <c r="DX6668" s="451"/>
      <c r="DY6668" s="451"/>
      <c r="DZ6668" s="451"/>
      <c r="EA6668" s="451"/>
      <c r="EB6668" s="451"/>
      <c r="EC6668" s="451"/>
      <c r="ED6668" s="451"/>
      <c r="EE6668" s="451"/>
      <c r="EF6668" s="451"/>
      <c r="EG6668" s="451"/>
      <c r="EH6668" s="451"/>
      <c r="EI6668" s="451"/>
      <c r="EJ6668" s="451"/>
      <c r="EK6668" s="451"/>
      <c r="EL6668" s="451"/>
      <c r="EM6668" s="451"/>
      <c r="EN6668" s="451"/>
      <c r="EO6668" s="451"/>
      <c r="EP6668" s="451"/>
      <c r="EQ6668" s="451"/>
      <c r="ER6668" s="451"/>
      <c r="ES6668" s="451"/>
    </row>
    <row r="6669" spans="1:149" ht="15" hidden="1" customHeight="1">
      <c r="A6669" s="468">
        <v>45562</v>
      </c>
      <c r="B6669" s="208" t="s">
        <v>5414</v>
      </c>
      <c r="C6669" s="208" t="s">
        <v>27</v>
      </c>
      <c r="D6669" s="211">
        <v>-7300712.5899999999</v>
      </c>
      <c r="E6669" s="212">
        <v>45536</v>
      </c>
      <c r="F6669" s="208" t="s">
        <v>2531</v>
      </c>
      <c r="G6669" s="208" t="s">
        <v>4725</v>
      </c>
      <c r="H6669" s="208" t="s">
        <v>212</v>
      </c>
      <c r="I6669" s="208"/>
      <c r="J6669" s="209"/>
      <c r="K6669" s="209"/>
      <c r="L6669" s="209"/>
      <c r="M6669" s="209"/>
      <c r="N6669" s="209"/>
      <c r="O6669" s="209"/>
      <c r="P6669" s="209"/>
      <c r="Q6669" s="209"/>
      <c r="R6669" s="209"/>
      <c r="S6669" s="209"/>
      <c r="T6669" s="209"/>
      <c r="U6669" s="451"/>
      <c r="V6669" s="451"/>
      <c r="W6669" s="451"/>
      <c r="X6669" s="451"/>
      <c r="Y6669" s="451"/>
      <c r="Z6669" s="451"/>
      <c r="AA6669" s="451"/>
      <c r="AB6669" s="451"/>
      <c r="AC6669" s="451"/>
      <c r="AD6669" s="451"/>
      <c r="AE6669" s="451"/>
      <c r="AF6669" s="451"/>
      <c r="AG6669" s="451"/>
      <c r="AH6669" s="451"/>
      <c r="AI6669" s="451"/>
      <c r="AJ6669" s="451"/>
      <c r="AK6669" s="451"/>
      <c r="AL6669" s="451"/>
      <c r="AM6669" s="451"/>
      <c r="AN6669" s="451"/>
      <c r="AO6669" s="451"/>
      <c r="AP6669" s="451"/>
      <c r="AQ6669" s="451"/>
      <c r="AR6669" s="451"/>
      <c r="AS6669" s="451"/>
      <c r="AT6669" s="451"/>
      <c r="AU6669" s="451"/>
      <c r="AV6669" s="451"/>
      <c r="AW6669" s="451"/>
      <c r="AX6669" s="451"/>
      <c r="AY6669" s="451"/>
      <c r="AZ6669" s="451"/>
      <c r="BA6669" s="451"/>
      <c r="BB6669" s="451"/>
      <c r="BC6669" s="451"/>
      <c r="BD6669" s="451"/>
      <c r="BE6669" s="451"/>
      <c r="BF6669" s="451"/>
      <c r="BG6669" s="451"/>
      <c r="BH6669" s="451"/>
      <c r="BI6669" s="451"/>
      <c r="BJ6669" s="451"/>
      <c r="BK6669" s="451"/>
      <c r="BL6669" s="451"/>
      <c r="BM6669" s="451"/>
      <c r="BN6669" s="451"/>
      <c r="BO6669" s="451"/>
      <c r="BP6669" s="451"/>
      <c r="BQ6669" s="451"/>
      <c r="BR6669" s="451"/>
      <c r="BS6669" s="451"/>
      <c r="BT6669" s="451"/>
      <c r="BU6669" s="451"/>
      <c r="BV6669" s="451"/>
      <c r="BW6669" s="451"/>
      <c r="BX6669" s="451"/>
      <c r="BY6669" s="451"/>
      <c r="BZ6669" s="451"/>
      <c r="CA6669" s="451"/>
      <c r="CB6669" s="451"/>
      <c r="CC6669" s="451"/>
      <c r="CD6669" s="451"/>
      <c r="CE6669" s="451"/>
      <c r="CF6669" s="451"/>
      <c r="CG6669" s="451"/>
      <c r="CH6669" s="451"/>
      <c r="CI6669" s="451"/>
      <c r="CJ6669" s="451"/>
      <c r="CK6669" s="451"/>
      <c r="CL6669" s="451"/>
      <c r="CM6669" s="451"/>
      <c r="CN6669" s="451"/>
      <c r="CO6669" s="451"/>
      <c r="CP6669" s="451"/>
      <c r="CQ6669" s="451"/>
      <c r="CR6669" s="451"/>
      <c r="CS6669" s="451"/>
      <c r="CT6669" s="451"/>
      <c r="CU6669" s="451"/>
      <c r="CV6669" s="451"/>
      <c r="CW6669" s="451"/>
      <c r="CX6669" s="451"/>
      <c r="CY6669" s="451"/>
      <c r="CZ6669" s="451"/>
      <c r="DA6669" s="451"/>
      <c r="DB6669" s="451"/>
      <c r="DC6669" s="451"/>
      <c r="DD6669" s="451"/>
      <c r="DE6669" s="451"/>
      <c r="DF6669" s="451"/>
      <c r="DG6669" s="451"/>
      <c r="DH6669" s="451"/>
      <c r="DI6669" s="451"/>
      <c r="DJ6669" s="451"/>
      <c r="DK6669" s="451"/>
      <c r="DL6669" s="451"/>
      <c r="DM6669" s="451"/>
      <c r="DN6669" s="451"/>
      <c r="DO6669" s="451"/>
      <c r="DP6669" s="451"/>
      <c r="DQ6669" s="451"/>
      <c r="DR6669" s="451"/>
      <c r="DS6669" s="451"/>
      <c r="DT6669" s="451"/>
      <c r="DU6669" s="451"/>
      <c r="DV6669" s="451"/>
      <c r="DW6669" s="451"/>
      <c r="DX6669" s="451"/>
      <c r="DY6669" s="451"/>
      <c r="DZ6669" s="451"/>
      <c r="EA6669" s="451"/>
      <c r="EB6669" s="451"/>
      <c r="EC6669" s="451"/>
      <c r="ED6669" s="451"/>
      <c r="EE6669" s="451"/>
      <c r="EF6669" s="451"/>
      <c r="EG6669" s="451"/>
      <c r="EH6669" s="451"/>
      <c r="EI6669" s="451"/>
      <c r="EJ6669" s="451"/>
      <c r="EK6669" s="451"/>
      <c r="EL6669" s="451"/>
      <c r="EM6669" s="451"/>
      <c r="EN6669" s="451"/>
      <c r="EO6669" s="451"/>
      <c r="EP6669" s="451"/>
      <c r="EQ6669" s="451"/>
      <c r="ER6669" s="451"/>
      <c r="ES6669" s="451"/>
    </row>
    <row r="6670" spans="1:149" ht="15" hidden="1" customHeight="1">
      <c r="A6670" s="468">
        <v>45562</v>
      </c>
      <c r="B6670" s="208" t="s">
        <v>5415</v>
      </c>
      <c r="C6670" s="208" t="s">
        <v>146</v>
      </c>
      <c r="D6670" s="211">
        <v>-15000</v>
      </c>
      <c r="E6670" s="212">
        <v>45536</v>
      </c>
      <c r="F6670" s="208" t="s">
        <v>130</v>
      </c>
      <c r="G6670" s="208" t="s">
        <v>257</v>
      </c>
      <c r="H6670" s="201" t="s">
        <v>663</v>
      </c>
      <c r="I6670" s="208" t="s">
        <v>3742</v>
      </c>
      <c r="J6670" s="209"/>
      <c r="K6670" s="209"/>
      <c r="L6670" s="209"/>
      <c r="M6670" s="209"/>
      <c r="N6670" s="209"/>
      <c r="O6670" s="209"/>
      <c r="P6670" s="209"/>
      <c r="Q6670" s="209"/>
      <c r="R6670" s="209"/>
      <c r="S6670" s="209"/>
      <c r="T6670" s="209"/>
    </row>
    <row r="6671" spans="1:149" ht="15" hidden="1" customHeight="1">
      <c r="A6671" s="468">
        <v>45562</v>
      </c>
      <c r="B6671" s="208" t="s">
        <v>2663</v>
      </c>
      <c r="C6671" s="208" t="s">
        <v>146</v>
      </c>
      <c r="D6671" s="211">
        <v>-82000</v>
      </c>
      <c r="E6671" s="212">
        <v>45536</v>
      </c>
      <c r="F6671" s="208" t="s">
        <v>109</v>
      </c>
      <c r="G6671" s="201" t="s">
        <v>1306</v>
      </c>
      <c r="H6671" s="81" t="s">
        <v>138</v>
      </c>
      <c r="I6671" s="208"/>
      <c r="J6671" s="209"/>
      <c r="K6671" s="209"/>
      <c r="L6671" s="209"/>
      <c r="M6671" s="209"/>
      <c r="N6671" s="209"/>
      <c r="O6671" s="209"/>
      <c r="P6671" s="209"/>
      <c r="Q6671" s="209"/>
      <c r="R6671" s="209"/>
      <c r="S6671" s="209"/>
      <c r="T6671" s="209"/>
    </row>
    <row r="6672" spans="1:149" ht="15" hidden="1" customHeight="1">
      <c r="A6672" s="468">
        <v>45562</v>
      </c>
      <c r="B6672" s="208" t="s">
        <v>2663</v>
      </c>
      <c r="C6672" s="208" t="s">
        <v>146</v>
      </c>
      <c r="D6672" s="211">
        <v>-42000</v>
      </c>
      <c r="E6672" s="212">
        <v>45536</v>
      </c>
      <c r="F6672" s="208" t="s">
        <v>2531</v>
      </c>
      <c r="G6672" s="201" t="s">
        <v>1489</v>
      </c>
      <c r="H6672" s="81" t="s">
        <v>138</v>
      </c>
      <c r="I6672" s="208"/>
      <c r="J6672" s="209"/>
      <c r="K6672" s="209"/>
      <c r="L6672" s="209"/>
      <c r="M6672" s="209"/>
      <c r="N6672" s="209"/>
      <c r="O6672" s="209"/>
      <c r="P6672" s="209"/>
      <c r="Q6672" s="209"/>
      <c r="R6672" s="209"/>
      <c r="S6672" s="209"/>
      <c r="T6672" s="209"/>
    </row>
    <row r="6673" spans="1:149" ht="15" hidden="1" customHeight="1">
      <c r="A6673" s="468">
        <v>45562</v>
      </c>
      <c r="B6673" s="208" t="s">
        <v>2663</v>
      </c>
      <c r="C6673" s="208" t="s">
        <v>146</v>
      </c>
      <c r="D6673" s="211">
        <v>-21000</v>
      </c>
      <c r="E6673" s="212">
        <v>45536</v>
      </c>
      <c r="F6673" s="208" t="s">
        <v>109</v>
      </c>
      <c r="G6673" s="208" t="s">
        <v>3529</v>
      </c>
      <c r="H6673" s="81" t="s">
        <v>138</v>
      </c>
      <c r="I6673" s="208"/>
      <c r="J6673" s="209"/>
      <c r="K6673" s="209"/>
      <c r="L6673" s="209"/>
      <c r="M6673" s="209"/>
      <c r="N6673" s="209"/>
      <c r="O6673" s="209"/>
      <c r="P6673" s="209"/>
      <c r="Q6673" s="209"/>
      <c r="R6673" s="209"/>
      <c r="S6673" s="209"/>
      <c r="T6673" s="209"/>
    </row>
    <row r="6674" spans="1:149" ht="15" hidden="1" customHeight="1">
      <c r="A6674" s="468">
        <v>45562</v>
      </c>
      <c r="B6674" s="208" t="s">
        <v>2663</v>
      </c>
      <c r="C6674" s="208" t="s">
        <v>146</v>
      </c>
      <c r="D6674" s="211">
        <v>-21000</v>
      </c>
      <c r="E6674" s="212">
        <v>45536</v>
      </c>
      <c r="F6674" s="208" t="s">
        <v>130</v>
      </c>
      <c r="G6674" s="208" t="s">
        <v>130</v>
      </c>
      <c r="H6674" s="81" t="s">
        <v>138</v>
      </c>
      <c r="I6674" s="208"/>
      <c r="J6674" s="209"/>
      <c r="K6674" s="209"/>
      <c r="L6674" s="209"/>
      <c r="M6674" s="209"/>
      <c r="N6674" s="209"/>
      <c r="O6674" s="209"/>
      <c r="P6674" s="209"/>
      <c r="Q6674" s="209"/>
      <c r="R6674" s="209"/>
      <c r="S6674" s="209"/>
      <c r="T6674" s="209"/>
    </row>
    <row r="6675" spans="1:149" ht="15" hidden="1" customHeight="1">
      <c r="A6675" s="468">
        <v>45562</v>
      </c>
      <c r="B6675" s="208" t="s">
        <v>2663</v>
      </c>
      <c r="C6675" s="208" t="s">
        <v>146</v>
      </c>
      <c r="D6675" s="211">
        <v>-7000</v>
      </c>
      <c r="E6675" s="212">
        <v>45536</v>
      </c>
      <c r="F6675" s="208" t="s">
        <v>2531</v>
      </c>
      <c r="G6675" s="208" t="s">
        <v>450</v>
      </c>
      <c r="H6675" s="81" t="s">
        <v>138</v>
      </c>
      <c r="I6675" s="208"/>
      <c r="J6675" s="209"/>
      <c r="K6675" s="209"/>
      <c r="L6675" s="209"/>
      <c r="M6675" s="209"/>
      <c r="N6675" s="209"/>
      <c r="O6675" s="209"/>
      <c r="P6675" s="209"/>
      <c r="Q6675" s="209"/>
      <c r="R6675" s="209"/>
      <c r="S6675" s="209"/>
      <c r="T6675" s="209"/>
    </row>
    <row r="6676" spans="1:149" ht="15" hidden="1" customHeight="1">
      <c r="A6676" s="468">
        <v>45562</v>
      </c>
      <c r="B6676" s="208" t="s">
        <v>5416</v>
      </c>
      <c r="C6676" s="208" t="s">
        <v>146</v>
      </c>
      <c r="D6676" s="211">
        <v>-12000</v>
      </c>
      <c r="E6676" s="212">
        <v>45536</v>
      </c>
      <c r="F6676" s="208" t="s">
        <v>109</v>
      </c>
      <c r="G6676" s="654" t="s">
        <v>2585</v>
      </c>
      <c r="H6676" s="81" t="s">
        <v>138</v>
      </c>
      <c r="I6676" s="208" t="s">
        <v>2052</v>
      </c>
      <c r="J6676" s="209"/>
      <c r="K6676" s="209"/>
      <c r="L6676" s="209"/>
      <c r="M6676" s="209"/>
      <c r="N6676" s="209"/>
      <c r="O6676" s="209"/>
      <c r="P6676" s="209"/>
      <c r="Q6676" s="209"/>
      <c r="R6676" s="209"/>
      <c r="S6676" s="209"/>
      <c r="T6676" s="209"/>
    </row>
    <row r="6677" spans="1:149" s="451" customFormat="1" ht="15" hidden="1" customHeight="1">
      <c r="A6677" s="468">
        <v>45562</v>
      </c>
      <c r="B6677" s="208" t="s">
        <v>5417</v>
      </c>
      <c r="C6677" s="208" t="s">
        <v>146</v>
      </c>
      <c r="D6677" s="211">
        <v>-12000</v>
      </c>
      <c r="E6677" s="212">
        <v>45536</v>
      </c>
      <c r="F6677" s="208" t="s">
        <v>109</v>
      </c>
      <c r="G6677" s="654" t="s">
        <v>2585</v>
      </c>
      <c r="H6677" s="81" t="s">
        <v>138</v>
      </c>
      <c r="I6677" s="208" t="s">
        <v>2052</v>
      </c>
      <c r="J6677" s="209"/>
      <c r="K6677" s="209"/>
      <c r="L6677" s="209"/>
      <c r="M6677" s="209"/>
      <c r="N6677" s="209"/>
      <c r="O6677" s="209"/>
      <c r="P6677" s="209"/>
      <c r="Q6677" s="209"/>
      <c r="R6677" s="209"/>
      <c r="S6677" s="209"/>
      <c r="T6677" s="209"/>
      <c r="U6677" s="165"/>
      <c r="V6677" s="165"/>
      <c r="W6677" s="165"/>
      <c r="X6677" s="165"/>
      <c r="Y6677" s="165"/>
      <c r="Z6677" s="165"/>
      <c r="AA6677" s="165"/>
      <c r="AB6677" s="165"/>
      <c r="AC6677" s="165"/>
      <c r="AD6677" s="165"/>
      <c r="AE6677" s="165"/>
      <c r="AF6677" s="165"/>
      <c r="AG6677" s="165"/>
      <c r="AH6677" s="165"/>
      <c r="AI6677" s="165"/>
      <c r="AJ6677" s="165"/>
      <c r="AK6677" s="165"/>
      <c r="AL6677" s="165"/>
      <c r="AM6677" s="165"/>
      <c r="AN6677" s="165"/>
      <c r="AO6677" s="165"/>
      <c r="AP6677" s="165"/>
      <c r="AQ6677" s="165"/>
      <c r="AR6677" s="165"/>
      <c r="AS6677" s="165"/>
      <c r="AT6677" s="165"/>
      <c r="AU6677" s="165"/>
      <c r="AV6677" s="165"/>
      <c r="AW6677" s="165"/>
      <c r="AX6677" s="165"/>
      <c r="AY6677" s="165"/>
      <c r="AZ6677" s="165"/>
      <c r="BA6677" s="165"/>
      <c r="BB6677" s="165"/>
      <c r="BC6677" s="165"/>
      <c r="BD6677" s="165"/>
      <c r="BE6677" s="165"/>
      <c r="BF6677" s="165"/>
      <c r="BG6677" s="165"/>
      <c r="BH6677" s="165"/>
      <c r="BI6677" s="165"/>
      <c r="BJ6677" s="165"/>
      <c r="BK6677" s="165"/>
      <c r="BL6677" s="165"/>
      <c r="BM6677" s="165"/>
      <c r="BN6677" s="165"/>
      <c r="BO6677" s="165"/>
      <c r="BP6677" s="165"/>
      <c r="BQ6677" s="165"/>
      <c r="BR6677" s="165"/>
      <c r="BS6677" s="165"/>
      <c r="BT6677" s="165"/>
      <c r="BU6677" s="165"/>
      <c r="BV6677" s="165"/>
      <c r="BW6677" s="165"/>
      <c r="BX6677" s="165"/>
      <c r="BY6677" s="165"/>
      <c r="BZ6677" s="165"/>
      <c r="CA6677" s="165"/>
      <c r="CB6677" s="165"/>
      <c r="CC6677" s="165"/>
      <c r="CD6677" s="165"/>
      <c r="CE6677" s="165"/>
      <c r="CF6677" s="165"/>
      <c r="CG6677" s="165"/>
      <c r="CH6677" s="165"/>
      <c r="CI6677" s="165"/>
      <c r="CJ6677" s="165"/>
      <c r="CK6677" s="165"/>
      <c r="CL6677" s="165"/>
      <c r="CM6677" s="165"/>
      <c r="CN6677" s="165"/>
      <c r="CO6677" s="165"/>
      <c r="CP6677" s="165"/>
      <c r="CQ6677" s="165"/>
      <c r="CR6677" s="165"/>
      <c r="CS6677" s="165"/>
      <c r="CT6677" s="165"/>
      <c r="CU6677" s="165"/>
      <c r="CV6677" s="165"/>
      <c r="CW6677" s="165"/>
      <c r="CX6677" s="165"/>
      <c r="CY6677" s="165"/>
      <c r="CZ6677" s="165"/>
      <c r="DA6677" s="165"/>
      <c r="DB6677" s="165"/>
      <c r="DC6677" s="165"/>
      <c r="DD6677" s="165"/>
      <c r="DE6677" s="165"/>
      <c r="DF6677" s="165"/>
      <c r="DG6677" s="165"/>
      <c r="DH6677" s="165"/>
      <c r="DI6677" s="165"/>
      <c r="DJ6677" s="165"/>
      <c r="DK6677" s="165"/>
      <c r="DL6677" s="165"/>
      <c r="DM6677" s="165"/>
      <c r="DN6677" s="165"/>
      <c r="DO6677" s="165"/>
      <c r="DP6677" s="165"/>
      <c r="DQ6677" s="165"/>
      <c r="DR6677" s="165"/>
      <c r="DS6677" s="165"/>
      <c r="DT6677" s="165"/>
      <c r="DU6677" s="165"/>
      <c r="DV6677" s="165"/>
      <c r="DW6677" s="165"/>
      <c r="DX6677" s="165"/>
      <c r="DY6677" s="165"/>
      <c r="DZ6677" s="165"/>
      <c r="EA6677" s="165"/>
      <c r="EB6677" s="165"/>
      <c r="EC6677" s="165"/>
      <c r="ED6677" s="165"/>
      <c r="EE6677" s="165"/>
      <c r="EF6677" s="165"/>
      <c r="EG6677" s="165"/>
      <c r="EH6677" s="165"/>
      <c r="EI6677" s="165"/>
      <c r="EJ6677" s="165"/>
      <c r="EK6677" s="165"/>
      <c r="EL6677" s="165"/>
      <c r="EM6677" s="165"/>
      <c r="EN6677" s="165"/>
      <c r="EO6677" s="165"/>
      <c r="EP6677" s="165"/>
      <c r="EQ6677" s="165"/>
      <c r="ER6677" s="165"/>
      <c r="ES6677" s="165"/>
    </row>
    <row r="6678" spans="1:149" s="451" customFormat="1" ht="15" hidden="1" customHeight="1">
      <c r="A6678" s="468">
        <v>45564</v>
      </c>
      <c r="B6678" s="208" t="s">
        <v>4772</v>
      </c>
      <c r="C6678" s="208" t="s">
        <v>146</v>
      </c>
      <c r="D6678" s="211">
        <v>-23800</v>
      </c>
      <c r="E6678" s="212">
        <v>45536</v>
      </c>
      <c r="F6678" s="208" t="s">
        <v>130</v>
      </c>
      <c r="G6678" s="208" t="s">
        <v>257</v>
      </c>
      <c r="H6678" s="81" t="s">
        <v>138</v>
      </c>
      <c r="I6678" s="208" t="s">
        <v>63</v>
      </c>
      <c r="J6678" s="209"/>
      <c r="K6678" s="209"/>
      <c r="L6678" s="209"/>
      <c r="M6678" s="209"/>
      <c r="N6678" s="209"/>
      <c r="O6678" s="209"/>
      <c r="P6678" s="209"/>
      <c r="Q6678" s="209"/>
      <c r="R6678" s="209"/>
      <c r="S6678" s="209"/>
      <c r="T6678" s="209"/>
      <c r="U6678" s="165"/>
      <c r="V6678" s="165"/>
      <c r="W6678" s="165"/>
      <c r="X6678" s="165"/>
      <c r="Y6678" s="165"/>
      <c r="Z6678" s="165"/>
      <c r="AA6678" s="165"/>
      <c r="AB6678" s="165"/>
      <c r="AC6678" s="165"/>
      <c r="AD6678" s="165"/>
      <c r="AE6678" s="165"/>
      <c r="AF6678" s="165"/>
      <c r="AG6678" s="165"/>
      <c r="AH6678" s="165"/>
      <c r="AI6678" s="165"/>
      <c r="AJ6678" s="165"/>
      <c r="AK6678" s="165"/>
      <c r="AL6678" s="165"/>
      <c r="AM6678" s="165"/>
      <c r="AN6678" s="165"/>
      <c r="AO6678" s="165"/>
      <c r="AP6678" s="165"/>
      <c r="AQ6678" s="165"/>
      <c r="AR6678" s="165"/>
      <c r="AS6678" s="165"/>
      <c r="AT6678" s="165"/>
      <c r="AU6678" s="165"/>
      <c r="AV6678" s="165"/>
      <c r="AW6678" s="165"/>
      <c r="AX6678" s="165"/>
      <c r="AY6678" s="165"/>
      <c r="AZ6678" s="165"/>
      <c r="BA6678" s="165"/>
      <c r="BB6678" s="165"/>
      <c r="BC6678" s="165"/>
      <c r="BD6678" s="165"/>
      <c r="BE6678" s="165"/>
      <c r="BF6678" s="165"/>
      <c r="BG6678" s="165"/>
      <c r="BH6678" s="165"/>
      <c r="BI6678" s="165"/>
      <c r="BJ6678" s="165"/>
      <c r="BK6678" s="165"/>
      <c r="BL6678" s="165"/>
      <c r="BM6678" s="165"/>
      <c r="BN6678" s="165"/>
      <c r="BO6678" s="165"/>
      <c r="BP6678" s="165"/>
      <c r="BQ6678" s="165"/>
      <c r="BR6678" s="165"/>
      <c r="BS6678" s="165"/>
      <c r="BT6678" s="165"/>
      <c r="BU6678" s="165"/>
      <c r="BV6678" s="165"/>
      <c r="BW6678" s="165"/>
      <c r="BX6678" s="165"/>
      <c r="BY6678" s="165"/>
      <c r="BZ6678" s="165"/>
      <c r="CA6678" s="165"/>
      <c r="CB6678" s="165"/>
      <c r="CC6678" s="165"/>
      <c r="CD6678" s="165"/>
      <c r="CE6678" s="165"/>
      <c r="CF6678" s="165"/>
      <c r="CG6678" s="165"/>
      <c r="CH6678" s="165"/>
      <c r="CI6678" s="165"/>
      <c r="CJ6678" s="165"/>
      <c r="CK6678" s="165"/>
      <c r="CL6678" s="165"/>
      <c r="CM6678" s="165"/>
      <c r="CN6678" s="165"/>
      <c r="CO6678" s="165"/>
      <c r="CP6678" s="165"/>
      <c r="CQ6678" s="165"/>
      <c r="CR6678" s="165"/>
      <c r="CS6678" s="165"/>
      <c r="CT6678" s="165"/>
      <c r="CU6678" s="165"/>
      <c r="CV6678" s="165"/>
      <c r="CW6678" s="165"/>
      <c r="CX6678" s="165"/>
      <c r="CY6678" s="165"/>
      <c r="CZ6678" s="165"/>
      <c r="DA6678" s="165"/>
      <c r="DB6678" s="165"/>
      <c r="DC6678" s="165"/>
      <c r="DD6678" s="165"/>
      <c r="DE6678" s="165"/>
      <c r="DF6678" s="165"/>
      <c r="DG6678" s="165"/>
      <c r="DH6678" s="165"/>
      <c r="DI6678" s="165"/>
      <c r="DJ6678" s="165"/>
      <c r="DK6678" s="165"/>
      <c r="DL6678" s="165"/>
      <c r="DM6678" s="165"/>
      <c r="DN6678" s="165"/>
      <c r="DO6678" s="165"/>
      <c r="DP6678" s="165"/>
      <c r="DQ6678" s="165"/>
      <c r="DR6678" s="165"/>
      <c r="DS6678" s="165"/>
      <c r="DT6678" s="165"/>
      <c r="DU6678" s="165"/>
      <c r="DV6678" s="165"/>
      <c r="DW6678" s="165"/>
      <c r="DX6678" s="165"/>
      <c r="DY6678" s="165"/>
      <c r="DZ6678" s="165"/>
      <c r="EA6678" s="165"/>
      <c r="EB6678" s="165"/>
      <c r="EC6678" s="165"/>
      <c r="ED6678" s="165"/>
      <c r="EE6678" s="165"/>
      <c r="EF6678" s="165"/>
      <c r="EG6678" s="165"/>
      <c r="EH6678" s="165"/>
      <c r="EI6678" s="165"/>
      <c r="EJ6678" s="165"/>
      <c r="EK6678" s="165"/>
      <c r="EL6678" s="165"/>
      <c r="EM6678" s="165"/>
      <c r="EN6678" s="165"/>
      <c r="EO6678" s="165"/>
      <c r="EP6678" s="165"/>
      <c r="EQ6678" s="165"/>
      <c r="ER6678" s="165"/>
      <c r="ES6678" s="165"/>
    </row>
    <row r="6679" spans="1:149" s="451" customFormat="1" ht="15" hidden="1" customHeight="1">
      <c r="A6679" s="468">
        <v>45565</v>
      </c>
      <c r="B6679" s="208" t="s">
        <v>5418</v>
      </c>
      <c r="C6679" s="208" t="s">
        <v>146</v>
      </c>
      <c r="D6679" s="211">
        <v>-544000</v>
      </c>
      <c r="E6679" s="212">
        <v>45536</v>
      </c>
      <c r="F6679" s="208" t="s">
        <v>130</v>
      </c>
      <c r="G6679" s="208" t="s">
        <v>130</v>
      </c>
      <c r="H6679" s="208"/>
      <c r="I6679" s="208"/>
      <c r="J6679" s="209"/>
      <c r="K6679" s="209"/>
      <c r="L6679" s="209"/>
      <c r="M6679" s="209"/>
      <c r="N6679" s="209"/>
      <c r="O6679" s="209"/>
      <c r="P6679" s="209"/>
      <c r="Q6679" s="209"/>
      <c r="R6679" s="209"/>
      <c r="S6679" s="209"/>
      <c r="T6679" s="209"/>
      <c r="U6679" s="165"/>
      <c r="V6679" s="165"/>
      <c r="W6679" s="165"/>
      <c r="X6679" s="165"/>
      <c r="Y6679" s="165"/>
      <c r="Z6679" s="165"/>
      <c r="AA6679" s="165"/>
      <c r="AB6679" s="165"/>
      <c r="AC6679" s="165"/>
      <c r="AD6679" s="165"/>
      <c r="AE6679" s="165"/>
      <c r="AF6679" s="165"/>
      <c r="AG6679" s="165"/>
      <c r="AH6679" s="165"/>
      <c r="AI6679" s="165"/>
      <c r="AJ6679" s="165"/>
      <c r="AK6679" s="165"/>
      <c r="AL6679" s="165"/>
      <c r="AM6679" s="165"/>
      <c r="AN6679" s="165"/>
      <c r="AO6679" s="165"/>
      <c r="AP6679" s="165"/>
      <c r="AQ6679" s="165"/>
      <c r="AR6679" s="165"/>
      <c r="AS6679" s="165"/>
      <c r="AT6679" s="165"/>
      <c r="AU6679" s="165"/>
      <c r="AV6679" s="165"/>
      <c r="AW6679" s="165"/>
      <c r="AX6679" s="165"/>
      <c r="AY6679" s="165"/>
      <c r="AZ6679" s="165"/>
      <c r="BA6679" s="165"/>
      <c r="BB6679" s="165"/>
      <c r="BC6679" s="165"/>
      <c r="BD6679" s="165"/>
      <c r="BE6679" s="165"/>
      <c r="BF6679" s="165"/>
      <c r="BG6679" s="165"/>
      <c r="BH6679" s="165"/>
      <c r="BI6679" s="165"/>
      <c r="BJ6679" s="165"/>
      <c r="BK6679" s="165"/>
      <c r="BL6679" s="165"/>
      <c r="BM6679" s="165"/>
      <c r="BN6679" s="165"/>
      <c r="BO6679" s="165"/>
      <c r="BP6679" s="165"/>
      <c r="BQ6679" s="165"/>
      <c r="BR6679" s="165"/>
      <c r="BS6679" s="165"/>
      <c r="BT6679" s="165"/>
      <c r="BU6679" s="165"/>
      <c r="BV6679" s="165"/>
      <c r="BW6679" s="165"/>
      <c r="BX6679" s="165"/>
      <c r="BY6679" s="165"/>
      <c r="BZ6679" s="165"/>
      <c r="CA6679" s="165"/>
      <c r="CB6679" s="165"/>
      <c r="CC6679" s="165"/>
      <c r="CD6679" s="165"/>
      <c r="CE6679" s="165"/>
      <c r="CF6679" s="165"/>
      <c r="CG6679" s="165"/>
      <c r="CH6679" s="165"/>
      <c r="CI6679" s="165"/>
      <c r="CJ6679" s="165"/>
      <c r="CK6679" s="165"/>
      <c r="CL6679" s="165"/>
      <c r="CM6679" s="165"/>
      <c r="CN6679" s="165"/>
      <c r="CO6679" s="165"/>
      <c r="CP6679" s="165"/>
      <c r="CQ6679" s="165"/>
      <c r="CR6679" s="165"/>
      <c r="CS6679" s="165"/>
      <c r="CT6679" s="165"/>
      <c r="CU6679" s="165"/>
      <c r="CV6679" s="165"/>
      <c r="CW6679" s="165"/>
      <c r="CX6679" s="165"/>
      <c r="CY6679" s="165"/>
      <c r="CZ6679" s="165"/>
      <c r="DA6679" s="165"/>
      <c r="DB6679" s="165"/>
      <c r="DC6679" s="165"/>
      <c r="DD6679" s="165"/>
      <c r="DE6679" s="165"/>
      <c r="DF6679" s="165"/>
      <c r="DG6679" s="165"/>
      <c r="DH6679" s="165"/>
      <c r="DI6679" s="165"/>
      <c r="DJ6679" s="165"/>
      <c r="DK6679" s="165"/>
      <c r="DL6679" s="165"/>
      <c r="DM6679" s="165"/>
      <c r="DN6679" s="165"/>
      <c r="DO6679" s="165"/>
      <c r="DP6679" s="165"/>
      <c r="DQ6679" s="165"/>
      <c r="DR6679" s="165"/>
      <c r="DS6679" s="165"/>
      <c r="DT6679" s="165"/>
      <c r="DU6679" s="165"/>
      <c r="DV6679" s="165"/>
      <c r="DW6679" s="165"/>
      <c r="DX6679" s="165"/>
      <c r="DY6679" s="165"/>
      <c r="DZ6679" s="165"/>
      <c r="EA6679" s="165"/>
      <c r="EB6679" s="165"/>
      <c r="EC6679" s="165"/>
      <c r="ED6679" s="165"/>
      <c r="EE6679" s="165"/>
      <c r="EF6679" s="165"/>
      <c r="EG6679" s="165"/>
      <c r="EH6679" s="165"/>
      <c r="EI6679" s="165"/>
      <c r="EJ6679" s="165"/>
      <c r="EK6679" s="165"/>
      <c r="EL6679" s="165"/>
      <c r="EM6679" s="165"/>
      <c r="EN6679" s="165"/>
      <c r="EO6679" s="165"/>
      <c r="EP6679" s="165"/>
      <c r="EQ6679" s="165"/>
      <c r="ER6679" s="165"/>
      <c r="ES6679" s="165"/>
    </row>
    <row r="6680" spans="1:149" s="451" customFormat="1" ht="15" hidden="1" customHeight="1">
      <c r="A6680" s="468">
        <v>45565</v>
      </c>
      <c r="B6680" s="208" t="s">
        <v>5419</v>
      </c>
      <c r="C6680" s="208" t="s">
        <v>27</v>
      </c>
      <c r="D6680" s="211">
        <v>-284766</v>
      </c>
      <c r="E6680" s="212">
        <v>45536</v>
      </c>
      <c r="F6680" s="208" t="s">
        <v>110</v>
      </c>
      <c r="G6680" s="208" t="s">
        <v>3245</v>
      </c>
      <c r="H6680" s="208"/>
      <c r="I6680" s="208"/>
      <c r="J6680" s="209"/>
      <c r="K6680" s="209"/>
      <c r="L6680" s="209"/>
      <c r="M6680" s="209"/>
      <c r="N6680" s="209"/>
      <c r="O6680" s="209"/>
      <c r="P6680" s="209"/>
      <c r="Q6680" s="209"/>
      <c r="R6680" s="209"/>
      <c r="S6680" s="209"/>
      <c r="T6680" s="209"/>
    </row>
    <row r="6681" spans="1:149" ht="15" hidden="1" customHeight="1">
      <c r="A6681" s="468">
        <v>45565</v>
      </c>
      <c r="B6681" s="208" t="s">
        <v>5420</v>
      </c>
      <c r="C6681" s="208" t="s">
        <v>27</v>
      </c>
      <c r="D6681" s="211">
        <v>-3728711</v>
      </c>
      <c r="E6681" s="212">
        <v>45536</v>
      </c>
      <c r="F6681" s="208" t="s">
        <v>130</v>
      </c>
      <c r="G6681" s="208" t="s">
        <v>130</v>
      </c>
      <c r="H6681" s="208"/>
      <c r="I6681" s="208"/>
      <c r="J6681" s="209"/>
      <c r="K6681" s="209"/>
      <c r="L6681" s="209"/>
      <c r="M6681" s="209"/>
      <c r="N6681" s="209"/>
      <c r="O6681" s="209"/>
      <c r="P6681" s="209"/>
      <c r="Q6681" s="209"/>
      <c r="R6681" s="209"/>
      <c r="S6681" s="209"/>
      <c r="T6681" s="209"/>
      <c r="U6681" s="451"/>
      <c r="V6681" s="451"/>
      <c r="W6681" s="451"/>
      <c r="X6681" s="451"/>
      <c r="Y6681" s="451"/>
      <c r="Z6681" s="451"/>
      <c r="AA6681" s="451"/>
      <c r="AB6681" s="451"/>
      <c r="AC6681" s="451"/>
      <c r="AD6681" s="451"/>
      <c r="AE6681" s="451"/>
      <c r="AF6681" s="451"/>
      <c r="AG6681" s="451"/>
      <c r="AH6681" s="451"/>
      <c r="AI6681" s="451"/>
      <c r="AJ6681" s="451"/>
      <c r="AK6681" s="451"/>
      <c r="AL6681" s="451"/>
      <c r="AM6681" s="451"/>
      <c r="AN6681" s="451"/>
      <c r="AO6681" s="451"/>
      <c r="AP6681" s="451"/>
      <c r="AQ6681" s="451"/>
      <c r="AR6681" s="451"/>
      <c r="AS6681" s="451"/>
      <c r="AT6681" s="451"/>
      <c r="AU6681" s="451"/>
      <c r="AV6681" s="451"/>
      <c r="AW6681" s="451"/>
      <c r="AX6681" s="451"/>
      <c r="AY6681" s="451"/>
      <c r="AZ6681" s="451"/>
      <c r="BA6681" s="451"/>
      <c r="BB6681" s="451"/>
      <c r="BC6681" s="451"/>
      <c r="BD6681" s="451"/>
      <c r="BE6681" s="451"/>
      <c r="BF6681" s="451"/>
      <c r="BG6681" s="451"/>
      <c r="BH6681" s="451"/>
      <c r="BI6681" s="451"/>
      <c r="BJ6681" s="451"/>
      <c r="BK6681" s="451"/>
      <c r="BL6681" s="451"/>
      <c r="BM6681" s="451"/>
      <c r="BN6681" s="451"/>
      <c r="BO6681" s="451"/>
      <c r="BP6681" s="451"/>
      <c r="BQ6681" s="451"/>
      <c r="BR6681" s="451"/>
      <c r="BS6681" s="451"/>
      <c r="BT6681" s="451"/>
      <c r="BU6681" s="451"/>
      <c r="BV6681" s="451"/>
      <c r="BW6681" s="451"/>
      <c r="BX6681" s="451"/>
      <c r="BY6681" s="451"/>
      <c r="BZ6681" s="451"/>
      <c r="CA6681" s="451"/>
      <c r="CB6681" s="451"/>
      <c r="CC6681" s="451"/>
      <c r="CD6681" s="451"/>
      <c r="CE6681" s="451"/>
      <c r="CF6681" s="451"/>
      <c r="CG6681" s="451"/>
      <c r="CH6681" s="451"/>
      <c r="CI6681" s="451"/>
      <c r="CJ6681" s="451"/>
      <c r="CK6681" s="451"/>
      <c r="CL6681" s="451"/>
      <c r="CM6681" s="451"/>
      <c r="CN6681" s="451"/>
      <c r="CO6681" s="451"/>
      <c r="CP6681" s="451"/>
      <c r="CQ6681" s="451"/>
      <c r="CR6681" s="451"/>
      <c r="CS6681" s="451"/>
      <c r="CT6681" s="451"/>
      <c r="CU6681" s="451"/>
      <c r="CV6681" s="451"/>
      <c r="CW6681" s="451"/>
      <c r="CX6681" s="451"/>
      <c r="CY6681" s="451"/>
      <c r="CZ6681" s="451"/>
      <c r="DA6681" s="451"/>
      <c r="DB6681" s="451"/>
      <c r="DC6681" s="451"/>
      <c r="DD6681" s="451"/>
      <c r="DE6681" s="451"/>
      <c r="DF6681" s="451"/>
      <c r="DG6681" s="451"/>
      <c r="DH6681" s="451"/>
      <c r="DI6681" s="451"/>
      <c r="DJ6681" s="451"/>
      <c r="DK6681" s="451"/>
      <c r="DL6681" s="451"/>
      <c r="DM6681" s="451"/>
      <c r="DN6681" s="451"/>
      <c r="DO6681" s="451"/>
      <c r="DP6681" s="451"/>
      <c r="DQ6681" s="451"/>
      <c r="DR6681" s="451"/>
      <c r="DS6681" s="451"/>
      <c r="DT6681" s="451"/>
      <c r="DU6681" s="451"/>
      <c r="DV6681" s="451"/>
      <c r="DW6681" s="451"/>
      <c r="DX6681" s="451"/>
      <c r="DY6681" s="451"/>
      <c r="DZ6681" s="451"/>
      <c r="EA6681" s="451"/>
      <c r="EB6681" s="451"/>
      <c r="EC6681" s="451"/>
      <c r="ED6681" s="451"/>
      <c r="EE6681" s="451"/>
      <c r="EF6681" s="451"/>
      <c r="EG6681" s="451"/>
      <c r="EH6681" s="451"/>
      <c r="EI6681" s="451"/>
      <c r="EJ6681" s="451"/>
      <c r="EK6681" s="451"/>
      <c r="EL6681" s="451"/>
      <c r="EM6681" s="451"/>
      <c r="EN6681" s="451"/>
      <c r="EO6681" s="451"/>
      <c r="EP6681" s="451"/>
      <c r="EQ6681" s="451"/>
      <c r="ER6681" s="451"/>
      <c r="ES6681" s="451"/>
    </row>
    <row r="6682" spans="1:149" s="451" customFormat="1" ht="15" hidden="1" customHeight="1">
      <c r="A6682" s="468">
        <v>45565</v>
      </c>
      <c r="B6682" s="208" t="s">
        <v>4392</v>
      </c>
      <c r="C6682" s="208" t="s">
        <v>27</v>
      </c>
      <c r="D6682" s="211">
        <v>-2577099</v>
      </c>
      <c r="E6682" s="212">
        <v>45536</v>
      </c>
      <c r="F6682" s="208" t="s">
        <v>130</v>
      </c>
      <c r="G6682" s="208" t="s">
        <v>130</v>
      </c>
      <c r="H6682" s="201" t="s">
        <v>318</v>
      </c>
      <c r="I6682" s="208"/>
      <c r="J6682" s="209"/>
      <c r="K6682" s="209"/>
      <c r="L6682" s="209"/>
      <c r="M6682" s="209"/>
      <c r="N6682" s="209"/>
      <c r="O6682" s="209"/>
      <c r="P6682" s="209"/>
      <c r="Q6682" s="209"/>
      <c r="R6682" s="209"/>
      <c r="S6682" s="209"/>
      <c r="T6682" s="209"/>
    </row>
    <row r="6683" spans="1:149" ht="15" hidden="1" customHeight="1">
      <c r="A6683" s="468">
        <v>45565</v>
      </c>
      <c r="B6683" s="208" t="s">
        <v>5421</v>
      </c>
      <c r="C6683" s="208" t="s">
        <v>27</v>
      </c>
      <c r="D6683" s="211">
        <v>-248472</v>
      </c>
      <c r="E6683" s="212">
        <v>45536</v>
      </c>
      <c r="F6683" s="208" t="s">
        <v>130</v>
      </c>
      <c r="G6683" s="208" t="s">
        <v>130</v>
      </c>
      <c r="H6683" s="208" t="s">
        <v>323</v>
      </c>
      <c r="I6683" s="208"/>
      <c r="J6683" s="209"/>
      <c r="K6683" s="209"/>
      <c r="L6683" s="209"/>
      <c r="M6683" s="209"/>
      <c r="N6683" s="209"/>
      <c r="O6683" s="209"/>
      <c r="P6683" s="209"/>
      <c r="Q6683" s="209"/>
      <c r="R6683" s="209"/>
      <c r="S6683" s="209"/>
      <c r="T6683" s="209"/>
      <c r="U6683" s="451"/>
      <c r="V6683" s="451"/>
      <c r="W6683" s="451"/>
      <c r="X6683" s="451"/>
      <c r="Y6683" s="451"/>
      <c r="Z6683" s="451"/>
      <c r="AA6683" s="451"/>
      <c r="AB6683" s="451"/>
      <c r="AC6683" s="451"/>
      <c r="AD6683" s="451"/>
      <c r="AE6683" s="451"/>
      <c r="AF6683" s="451"/>
      <c r="AG6683" s="451"/>
      <c r="AH6683" s="451"/>
      <c r="AI6683" s="451"/>
      <c r="AJ6683" s="451"/>
      <c r="AK6683" s="451"/>
      <c r="AL6683" s="451"/>
      <c r="AM6683" s="451"/>
      <c r="AN6683" s="451"/>
      <c r="AO6683" s="451"/>
      <c r="AP6683" s="451"/>
      <c r="AQ6683" s="451"/>
      <c r="AR6683" s="451"/>
      <c r="AS6683" s="451"/>
      <c r="AT6683" s="451"/>
      <c r="AU6683" s="451"/>
      <c r="AV6683" s="451"/>
      <c r="AW6683" s="451"/>
      <c r="AX6683" s="451"/>
      <c r="AY6683" s="451"/>
      <c r="AZ6683" s="451"/>
      <c r="BA6683" s="451"/>
      <c r="BB6683" s="451"/>
      <c r="BC6683" s="451"/>
      <c r="BD6683" s="451"/>
      <c r="BE6683" s="451"/>
      <c r="BF6683" s="451"/>
      <c r="BG6683" s="451"/>
      <c r="BH6683" s="451"/>
      <c r="BI6683" s="451"/>
      <c r="BJ6683" s="451"/>
      <c r="BK6683" s="451"/>
      <c r="BL6683" s="451"/>
      <c r="BM6683" s="451"/>
      <c r="BN6683" s="451"/>
      <c r="BO6683" s="451"/>
      <c r="BP6683" s="451"/>
      <c r="BQ6683" s="451"/>
      <c r="BR6683" s="451"/>
      <c r="BS6683" s="451"/>
      <c r="BT6683" s="451"/>
      <c r="BU6683" s="451"/>
      <c r="BV6683" s="451"/>
      <c r="BW6683" s="451"/>
      <c r="BX6683" s="451"/>
      <c r="BY6683" s="451"/>
      <c r="BZ6683" s="451"/>
      <c r="CA6683" s="451"/>
      <c r="CB6683" s="451"/>
      <c r="CC6683" s="451"/>
      <c r="CD6683" s="451"/>
      <c r="CE6683" s="451"/>
      <c r="CF6683" s="451"/>
      <c r="CG6683" s="451"/>
      <c r="CH6683" s="451"/>
      <c r="CI6683" s="451"/>
      <c r="CJ6683" s="451"/>
      <c r="CK6683" s="451"/>
      <c r="CL6683" s="451"/>
      <c r="CM6683" s="451"/>
      <c r="CN6683" s="451"/>
      <c r="CO6683" s="451"/>
      <c r="CP6683" s="451"/>
      <c r="CQ6683" s="451"/>
      <c r="CR6683" s="451"/>
      <c r="CS6683" s="451"/>
      <c r="CT6683" s="451"/>
      <c r="CU6683" s="451"/>
      <c r="CV6683" s="451"/>
      <c r="CW6683" s="451"/>
      <c r="CX6683" s="451"/>
      <c r="CY6683" s="451"/>
      <c r="CZ6683" s="451"/>
      <c r="DA6683" s="451"/>
      <c r="DB6683" s="451"/>
      <c r="DC6683" s="451"/>
      <c r="DD6683" s="451"/>
      <c r="DE6683" s="451"/>
      <c r="DF6683" s="451"/>
      <c r="DG6683" s="451"/>
      <c r="DH6683" s="451"/>
      <c r="DI6683" s="451"/>
      <c r="DJ6683" s="451"/>
      <c r="DK6683" s="451"/>
      <c r="DL6683" s="451"/>
      <c r="DM6683" s="451"/>
      <c r="DN6683" s="451"/>
      <c r="DO6683" s="451"/>
      <c r="DP6683" s="451"/>
      <c r="DQ6683" s="451"/>
      <c r="DR6683" s="451"/>
      <c r="DS6683" s="451"/>
      <c r="DT6683" s="451"/>
      <c r="DU6683" s="451"/>
      <c r="DV6683" s="451"/>
      <c r="DW6683" s="451"/>
      <c r="DX6683" s="451"/>
      <c r="DY6683" s="451"/>
      <c r="DZ6683" s="451"/>
      <c r="EA6683" s="451"/>
      <c r="EB6683" s="451"/>
      <c r="EC6683" s="451"/>
      <c r="ED6683" s="451"/>
      <c r="EE6683" s="451"/>
      <c r="EF6683" s="451"/>
      <c r="EG6683" s="451"/>
      <c r="EH6683" s="451"/>
      <c r="EI6683" s="451"/>
      <c r="EJ6683" s="451"/>
      <c r="EK6683" s="451"/>
      <c r="EL6683" s="451"/>
      <c r="EM6683" s="451"/>
      <c r="EN6683" s="451"/>
      <c r="EO6683" s="451"/>
      <c r="EP6683" s="451"/>
      <c r="EQ6683" s="451"/>
      <c r="ER6683" s="451"/>
      <c r="ES6683" s="451"/>
    </row>
    <row r="6684" spans="1:149" ht="15" hidden="1" customHeight="1">
      <c r="A6684" s="468">
        <v>45565</v>
      </c>
      <c r="B6684" s="208" t="s">
        <v>5422</v>
      </c>
      <c r="C6684" s="208" t="s">
        <v>27</v>
      </c>
      <c r="D6684" s="211">
        <v>8439643.1099999994</v>
      </c>
      <c r="E6684" s="212">
        <v>45536</v>
      </c>
      <c r="F6684" s="208" t="s">
        <v>108</v>
      </c>
      <c r="G6684" s="208"/>
      <c r="H6684" s="208"/>
      <c r="I6684" s="208"/>
      <c r="J6684" s="209"/>
      <c r="K6684" s="209"/>
      <c r="L6684" s="209"/>
      <c r="M6684" s="209"/>
      <c r="N6684" s="209"/>
      <c r="O6684" s="209"/>
      <c r="P6684" s="209"/>
      <c r="Q6684" s="209"/>
      <c r="R6684" s="209"/>
      <c r="S6684" s="209"/>
      <c r="T6684" s="209"/>
    </row>
    <row r="6685" spans="1:149" ht="15" hidden="1" customHeight="1">
      <c r="A6685" s="468">
        <v>45565</v>
      </c>
      <c r="B6685" s="208" t="s">
        <v>1939</v>
      </c>
      <c r="C6685" s="208" t="s">
        <v>146</v>
      </c>
      <c r="D6685" s="211">
        <v>-111900</v>
      </c>
      <c r="E6685" s="212">
        <v>45536</v>
      </c>
      <c r="F6685" s="208" t="s">
        <v>109</v>
      </c>
      <c r="G6685" s="208" t="s">
        <v>4625</v>
      </c>
      <c r="H6685" s="208"/>
      <c r="I6685" s="208"/>
      <c r="J6685" s="209"/>
      <c r="K6685" s="209"/>
      <c r="L6685" s="209"/>
      <c r="M6685" s="209"/>
      <c r="N6685" s="209"/>
      <c r="O6685" s="209"/>
      <c r="P6685" s="209"/>
      <c r="Q6685" s="209"/>
      <c r="R6685" s="209"/>
      <c r="S6685" s="209"/>
      <c r="T6685" s="209"/>
    </row>
    <row r="6686" spans="1:149" ht="15" hidden="1" customHeight="1">
      <c r="A6686" s="468">
        <v>45565</v>
      </c>
      <c r="B6686" s="208" t="s">
        <v>1939</v>
      </c>
      <c r="C6686" s="208" t="s">
        <v>146</v>
      </c>
      <c r="D6686" s="211">
        <v>-111900</v>
      </c>
      <c r="E6686" s="212">
        <v>45536</v>
      </c>
      <c r="F6686" s="208" t="s">
        <v>109</v>
      </c>
      <c r="G6686" s="208" t="s">
        <v>5423</v>
      </c>
      <c r="H6686" s="208"/>
      <c r="I6686" s="208"/>
      <c r="J6686" s="209"/>
      <c r="K6686" s="209"/>
      <c r="L6686" s="209"/>
      <c r="M6686" s="209"/>
      <c r="N6686" s="209"/>
      <c r="O6686" s="209"/>
      <c r="P6686" s="209"/>
      <c r="Q6686" s="209"/>
      <c r="R6686" s="209"/>
      <c r="S6686" s="209"/>
      <c r="T6686" s="209"/>
    </row>
    <row r="6687" spans="1:149" s="476" customFormat="1" ht="15" hidden="1" customHeight="1">
      <c r="A6687" s="468">
        <v>45567</v>
      </c>
      <c r="B6687" s="208" t="s">
        <v>5424</v>
      </c>
      <c r="C6687" s="208" t="s">
        <v>146</v>
      </c>
      <c r="D6687" s="211">
        <v>-96000</v>
      </c>
      <c r="E6687" s="212">
        <v>45566</v>
      </c>
      <c r="F6687" s="208" t="s">
        <v>130</v>
      </c>
      <c r="G6687" s="208" t="s">
        <v>130</v>
      </c>
      <c r="H6687" s="374" t="s">
        <v>2724</v>
      </c>
      <c r="I6687" s="208"/>
      <c r="J6687" s="209"/>
      <c r="K6687" s="209"/>
      <c r="L6687" s="209"/>
      <c r="M6687" s="209"/>
      <c r="N6687" s="209"/>
      <c r="O6687" s="209"/>
      <c r="P6687" s="209"/>
      <c r="Q6687" s="209"/>
      <c r="R6687" s="209"/>
      <c r="S6687" s="209"/>
      <c r="T6687" s="209"/>
    </row>
    <row r="6688" spans="1:149" ht="15" hidden="1" customHeight="1">
      <c r="A6688" s="468">
        <v>45566</v>
      </c>
      <c r="B6688" s="208" t="s">
        <v>5425</v>
      </c>
      <c r="C6688" s="208" t="s">
        <v>146</v>
      </c>
      <c r="D6688" s="211">
        <v>-8000</v>
      </c>
      <c r="E6688" s="212">
        <v>45566</v>
      </c>
      <c r="F6688" s="208" t="s">
        <v>109</v>
      </c>
      <c r="G6688" s="654" t="s">
        <v>2585</v>
      </c>
      <c r="H6688" s="81" t="s">
        <v>138</v>
      </c>
      <c r="I6688" s="208"/>
      <c r="J6688" s="209"/>
      <c r="K6688" s="209"/>
      <c r="L6688" s="209"/>
      <c r="M6688" s="209"/>
      <c r="N6688" s="209"/>
      <c r="O6688" s="209"/>
      <c r="P6688" s="209"/>
      <c r="Q6688" s="209"/>
      <c r="R6688" s="209"/>
      <c r="S6688" s="209"/>
      <c r="T6688" s="209"/>
    </row>
    <row r="6689" spans="1:20" ht="15" hidden="1" customHeight="1">
      <c r="A6689" s="468">
        <v>45566</v>
      </c>
      <c r="B6689" s="208" t="s">
        <v>5426</v>
      </c>
      <c r="C6689" s="208" t="s">
        <v>146</v>
      </c>
      <c r="D6689" s="211">
        <v>-167000</v>
      </c>
      <c r="E6689" s="212">
        <v>45566</v>
      </c>
      <c r="F6689" s="208" t="s">
        <v>109</v>
      </c>
      <c r="G6689" s="201" t="s">
        <v>581</v>
      </c>
      <c r="H6689" s="208"/>
      <c r="I6689" s="208"/>
      <c r="J6689" s="209"/>
      <c r="K6689" s="209"/>
      <c r="L6689" s="209"/>
      <c r="M6689" s="209"/>
      <c r="N6689" s="209"/>
      <c r="O6689" s="209"/>
      <c r="P6689" s="209"/>
      <c r="Q6689" s="209"/>
      <c r="R6689" s="209"/>
      <c r="S6689" s="209"/>
      <c r="T6689" s="209"/>
    </row>
    <row r="6690" spans="1:20" ht="15" hidden="1" customHeight="1">
      <c r="A6690" s="468">
        <v>45567</v>
      </c>
      <c r="B6690" s="208" t="s">
        <v>5427</v>
      </c>
      <c r="C6690" s="208" t="s">
        <v>146</v>
      </c>
      <c r="D6690" s="211">
        <v>-30000</v>
      </c>
      <c r="E6690" s="212">
        <v>45566</v>
      </c>
      <c r="F6690" s="208" t="s">
        <v>130</v>
      </c>
      <c r="G6690" s="208" t="s">
        <v>130</v>
      </c>
      <c r="H6690" s="374" t="s">
        <v>2724</v>
      </c>
      <c r="I6690" s="208"/>
      <c r="J6690" s="209"/>
      <c r="K6690" s="209"/>
      <c r="L6690" s="209"/>
      <c r="M6690" s="209"/>
      <c r="N6690" s="209"/>
      <c r="O6690" s="209"/>
      <c r="P6690" s="209"/>
      <c r="Q6690" s="209"/>
      <c r="R6690" s="209"/>
      <c r="S6690" s="209"/>
      <c r="T6690" s="209"/>
    </row>
    <row r="6691" spans="1:20" ht="15" hidden="1" customHeight="1">
      <c r="A6691" s="468">
        <v>45567</v>
      </c>
      <c r="B6691" s="208" t="s">
        <v>5428</v>
      </c>
      <c r="C6691" s="208" t="s">
        <v>146</v>
      </c>
      <c r="D6691" s="211">
        <v>-24800</v>
      </c>
      <c r="E6691" s="212">
        <v>45566</v>
      </c>
      <c r="F6691" s="208" t="s">
        <v>130</v>
      </c>
      <c r="G6691" s="208" t="s">
        <v>130</v>
      </c>
      <c r="H6691" s="81" t="s">
        <v>138</v>
      </c>
      <c r="I6691" s="208"/>
      <c r="J6691" s="209"/>
      <c r="K6691" s="209"/>
      <c r="L6691" s="209"/>
      <c r="M6691" s="209"/>
      <c r="N6691" s="209"/>
      <c r="O6691" s="209"/>
      <c r="P6691" s="209"/>
      <c r="Q6691" s="209"/>
      <c r="R6691" s="209"/>
      <c r="S6691" s="209"/>
      <c r="T6691" s="209"/>
    </row>
    <row r="6692" spans="1:20" ht="15" hidden="1" customHeight="1">
      <c r="A6692" s="468">
        <v>45566</v>
      </c>
      <c r="B6692" s="208" t="s">
        <v>5429</v>
      </c>
      <c r="C6692" s="208" t="s">
        <v>146</v>
      </c>
      <c r="D6692" s="211">
        <v>-120000</v>
      </c>
      <c r="E6692" s="212">
        <v>45566</v>
      </c>
      <c r="F6692" s="208" t="s">
        <v>109</v>
      </c>
      <c r="G6692" s="208" t="s">
        <v>10</v>
      </c>
      <c r="H6692" s="208" t="s">
        <v>175</v>
      </c>
      <c r="I6692" s="208" t="s">
        <v>5430</v>
      </c>
      <c r="J6692" s="209"/>
      <c r="K6692" s="209"/>
      <c r="L6692" s="209"/>
      <c r="M6692" s="209"/>
      <c r="N6692" s="209"/>
      <c r="O6692" s="209"/>
      <c r="P6692" s="209"/>
      <c r="Q6692" s="209"/>
      <c r="R6692" s="209"/>
      <c r="S6692" s="209"/>
      <c r="T6692" s="209"/>
    </row>
    <row r="6693" spans="1:20" ht="15" hidden="1" customHeight="1">
      <c r="A6693" s="468">
        <v>45566</v>
      </c>
      <c r="B6693" s="208" t="s">
        <v>5431</v>
      </c>
      <c r="C6693" s="208" t="s">
        <v>146</v>
      </c>
      <c r="D6693" s="211">
        <v>-20000</v>
      </c>
      <c r="E6693" s="212">
        <v>45566</v>
      </c>
      <c r="F6693" s="208" t="s">
        <v>109</v>
      </c>
      <c r="G6693" s="208" t="s">
        <v>10</v>
      </c>
      <c r="H6693" s="201" t="s">
        <v>416</v>
      </c>
      <c r="I6693" s="208" t="s">
        <v>5430</v>
      </c>
      <c r="J6693" s="209"/>
      <c r="K6693" s="209"/>
      <c r="L6693" s="209"/>
      <c r="M6693" s="209"/>
      <c r="N6693" s="209"/>
      <c r="O6693" s="209"/>
      <c r="P6693" s="209"/>
      <c r="Q6693" s="209"/>
      <c r="R6693" s="209"/>
      <c r="S6693" s="209"/>
      <c r="T6693" s="209"/>
    </row>
    <row r="6694" spans="1:20" ht="15" hidden="1" customHeight="1">
      <c r="A6694" s="468">
        <v>45565</v>
      </c>
      <c r="B6694" s="208" t="s">
        <v>5432</v>
      </c>
      <c r="C6694" s="208" t="s">
        <v>146</v>
      </c>
      <c r="D6694" s="211">
        <v>-40000</v>
      </c>
      <c r="E6694" s="212">
        <v>45566</v>
      </c>
      <c r="F6694" s="208" t="s">
        <v>110</v>
      </c>
      <c r="G6694" s="201" t="s">
        <v>1489</v>
      </c>
      <c r="H6694" s="81" t="s">
        <v>138</v>
      </c>
      <c r="I6694" s="208" t="s">
        <v>5430</v>
      </c>
      <c r="J6694" s="209"/>
      <c r="K6694" s="209"/>
      <c r="L6694" s="209"/>
      <c r="M6694" s="209"/>
      <c r="N6694" s="209"/>
      <c r="O6694" s="209"/>
      <c r="P6694" s="209"/>
      <c r="Q6694" s="209"/>
      <c r="R6694" s="209"/>
      <c r="S6694" s="209"/>
      <c r="T6694" s="209"/>
    </row>
    <row r="6695" spans="1:20" ht="15" hidden="1" customHeight="1">
      <c r="A6695" s="468">
        <v>45565</v>
      </c>
      <c r="B6695" s="208" t="s">
        <v>5433</v>
      </c>
      <c r="C6695" s="208" t="s">
        <v>146</v>
      </c>
      <c r="D6695" s="211">
        <v>-15000</v>
      </c>
      <c r="E6695" s="212">
        <v>45566</v>
      </c>
      <c r="F6695" s="208" t="s">
        <v>110</v>
      </c>
      <c r="G6695" s="201" t="s">
        <v>1489</v>
      </c>
      <c r="H6695" s="81" t="s">
        <v>138</v>
      </c>
      <c r="I6695" s="208" t="s">
        <v>5430</v>
      </c>
      <c r="J6695" s="209"/>
      <c r="K6695" s="209"/>
      <c r="L6695" s="209"/>
      <c r="M6695" s="209"/>
      <c r="N6695" s="209"/>
      <c r="O6695" s="209"/>
      <c r="P6695" s="209"/>
      <c r="Q6695" s="209"/>
      <c r="R6695" s="209"/>
      <c r="S6695" s="209"/>
      <c r="T6695" s="209"/>
    </row>
    <row r="6696" spans="1:20" ht="15" hidden="1" customHeight="1">
      <c r="A6696" s="468">
        <v>45565</v>
      </c>
      <c r="B6696" s="208" t="s">
        <v>5434</v>
      </c>
      <c r="C6696" s="208" t="s">
        <v>146</v>
      </c>
      <c r="D6696" s="211">
        <v>-700</v>
      </c>
      <c r="E6696" s="212">
        <v>45566</v>
      </c>
      <c r="F6696" s="208" t="s">
        <v>110</v>
      </c>
      <c r="G6696" s="201" t="s">
        <v>1489</v>
      </c>
      <c r="H6696" s="208" t="s">
        <v>2941</v>
      </c>
      <c r="I6696" s="208" t="s">
        <v>5430</v>
      </c>
      <c r="J6696" s="209"/>
      <c r="K6696" s="209"/>
      <c r="L6696" s="209"/>
      <c r="M6696" s="209"/>
      <c r="N6696" s="209"/>
      <c r="O6696" s="209"/>
      <c r="P6696" s="209"/>
      <c r="Q6696" s="209"/>
      <c r="R6696" s="209"/>
      <c r="S6696" s="209"/>
      <c r="T6696" s="209"/>
    </row>
    <row r="6697" spans="1:20" ht="15" hidden="1" customHeight="1">
      <c r="A6697" s="468">
        <v>45565</v>
      </c>
      <c r="B6697" s="208" t="s">
        <v>5435</v>
      </c>
      <c r="C6697" s="208" t="s">
        <v>146</v>
      </c>
      <c r="D6697" s="211">
        <v>-2200</v>
      </c>
      <c r="E6697" s="212">
        <v>45566</v>
      </c>
      <c r="F6697" s="208" t="s">
        <v>110</v>
      </c>
      <c r="G6697" s="201" t="s">
        <v>1489</v>
      </c>
      <c r="H6697" s="208" t="s">
        <v>2941</v>
      </c>
      <c r="I6697" s="208" t="s">
        <v>5430</v>
      </c>
      <c r="J6697" s="209"/>
      <c r="K6697" s="209"/>
      <c r="L6697" s="209"/>
      <c r="M6697" s="209"/>
      <c r="N6697" s="209"/>
      <c r="O6697" s="209"/>
      <c r="P6697" s="209"/>
      <c r="Q6697" s="209"/>
      <c r="R6697" s="209"/>
      <c r="S6697" s="209"/>
      <c r="T6697" s="209"/>
    </row>
    <row r="6698" spans="1:20" ht="15" hidden="1" customHeight="1">
      <c r="A6698" s="468">
        <v>45565</v>
      </c>
      <c r="B6698" s="208" t="s">
        <v>5436</v>
      </c>
      <c r="C6698" s="208" t="s">
        <v>146</v>
      </c>
      <c r="D6698" s="211">
        <v>-90000</v>
      </c>
      <c r="E6698" s="212">
        <v>45566</v>
      </c>
      <c r="F6698" s="208" t="s">
        <v>109</v>
      </c>
      <c r="G6698" s="201" t="s">
        <v>1306</v>
      </c>
      <c r="H6698" s="208" t="s">
        <v>175</v>
      </c>
      <c r="I6698" s="208" t="s">
        <v>5430</v>
      </c>
      <c r="J6698" s="209"/>
      <c r="K6698" s="209"/>
      <c r="L6698" s="209"/>
      <c r="M6698" s="209"/>
      <c r="N6698" s="209"/>
      <c r="O6698" s="209"/>
      <c r="P6698" s="209"/>
      <c r="Q6698" s="209"/>
      <c r="R6698" s="209"/>
      <c r="S6698" s="209"/>
      <c r="T6698" s="209"/>
    </row>
    <row r="6699" spans="1:20" ht="15" hidden="1" customHeight="1">
      <c r="A6699" s="468">
        <v>45565</v>
      </c>
      <c r="B6699" s="208" t="s">
        <v>5437</v>
      </c>
      <c r="C6699" s="208" t="s">
        <v>146</v>
      </c>
      <c r="D6699" s="211">
        <v>-27001</v>
      </c>
      <c r="E6699" s="212">
        <v>45566</v>
      </c>
      <c r="F6699" s="208" t="s">
        <v>110</v>
      </c>
      <c r="G6699" s="201" t="s">
        <v>1489</v>
      </c>
      <c r="H6699" s="208" t="s">
        <v>2941</v>
      </c>
      <c r="I6699" s="208" t="s">
        <v>5430</v>
      </c>
      <c r="J6699" s="209"/>
      <c r="K6699" s="209"/>
      <c r="L6699" s="209"/>
      <c r="M6699" s="209"/>
      <c r="N6699" s="209"/>
      <c r="O6699" s="209"/>
      <c r="P6699" s="209"/>
      <c r="Q6699" s="209"/>
      <c r="R6699" s="209"/>
      <c r="S6699" s="209"/>
      <c r="T6699" s="209"/>
    </row>
    <row r="6700" spans="1:20" ht="15" hidden="1" customHeight="1">
      <c r="A6700" s="468">
        <v>45566</v>
      </c>
      <c r="B6700" s="208" t="s">
        <v>5438</v>
      </c>
      <c r="C6700" s="208" t="s">
        <v>146</v>
      </c>
      <c r="D6700" s="211">
        <v>-12400</v>
      </c>
      <c r="E6700" s="212">
        <v>45566</v>
      </c>
      <c r="F6700" s="208" t="s">
        <v>130</v>
      </c>
      <c r="G6700" s="208" t="s">
        <v>130</v>
      </c>
      <c r="H6700" s="81" t="s">
        <v>138</v>
      </c>
      <c r="I6700" s="208" t="s">
        <v>5430</v>
      </c>
      <c r="J6700" s="209"/>
      <c r="K6700" s="209"/>
      <c r="L6700" s="209"/>
      <c r="M6700" s="209"/>
      <c r="N6700" s="209"/>
      <c r="O6700" s="209"/>
      <c r="P6700" s="209"/>
      <c r="Q6700" s="209"/>
      <c r="R6700" s="209"/>
      <c r="S6700" s="209"/>
      <c r="T6700" s="209"/>
    </row>
    <row r="6701" spans="1:20" ht="15" hidden="1" customHeight="1">
      <c r="A6701" s="468">
        <v>45566</v>
      </c>
      <c r="B6701" s="208" t="s">
        <v>5439</v>
      </c>
      <c r="C6701" s="208" t="s">
        <v>146</v>
      </c>
      <c r="D6701" s="211">
        <v>-6500</v>
      </c>
      <c r="E6701" s="212">
        <v>45566</v>
      </c>
      <c r="F6701" s="208" t="s">
        <v>110</v>
      </c>
      <c r="G6701" s="208" t="s">
        <v>4294</v>
      </c>
      <c r="H6701" s="208" t="s">
        <v>175</v>
      </c>
      <c r="I6701" s="208" t="s">
        <v>5430</v>
      </c>
      <c r="J6701" s="209"/>
      <c r="K6701" s="209"/>
      <c r="L6701" s="209"/>
      <c r="M6701" s="209"/>
      <c r="N6701" s="209"/>
      <c r="O6701" s="209"/>
      <c r="P6701" s="209"/>
      <c r="Q6701" s="209"/>
      <c r="R6701" s="209"/>
      <c r="S6701" s="209"/>
      <c r="T6701" s="209"/>
    </row>
    <row r="6702" spans="1:20" ht="15" hidden="1" customHeight="1">
      <c r="A6702" s="468">
        <v>45566</v>
      </c>
      <c r="B6702" s="208" t="s">
        <v>5440</v>
      </c>
      <c r="C6702" s="208" t="s">
        <v>146</v>
      </c>
      <c r="D6702" s="211">
        <v>-14000</v>
      </c>
      <c r="E6702" s="212">
        <v>45566</v>
      </c>
      <c r="F6702" s="208" t="s">
        <v>110</v>
      </c>
      <c r="G6702" s="201" t="s">
        <v>1489</v>
      </c>
      <c r="H6702" s="208" t="s">
        <v>2941</v>
      </c>
      <c r="I6702" s="208" t="s">
        <v>5430</v>
      </c>
      <c r="J6702" s="209"/>
      <c r="K6702" s="209"/>
      <c r="L6702" s="209"/>
      <c r="M6702" s="209"/>
      <c r="N6702" s="209"/>
      <c r="O6702" s="209"/>
      <c r="P6702" s="209"/>
      <c r="Q6702" s="209"/>
      <c r="R6702" s="209"/>
      <c r="S6702" s="209"/>
      <c r="T6702" s="209"/>
    </row>
    <row r="6703" spans="1:20" ht="15" hidden="1" customHeight="1">
      <c r="A6703" s="468">
        <v>45566</v>
      </c>
      <c r="B6703" s="208" t="s">
        <v>5441</v>
      </c>
      <c r="C6703" s="208" t="s">
        <v>146</v>
      </c>
      <c r="D6703" s="211">
        <v>-81600</v>
      </c>
      <c r="E6703" s="212">
        <v>45566</v>
      </c>
      <c r="F6703" s="208" t="s">
        <v>110</v>
      </c>
      <c r="G6703" s="208" t="s">
        <v>4294</v>
      </c>
      <c r="H6703" s="208" t="s">
        <v>175</v>
      </c>
      <c r="I6703" s="208" t="s">
        <v>5430</v>
      </c>
      <c r="J6703" s="209"/>
      <c r="K6703" s="209"/>
      <c r="L6703" s="209"/>
      <c r="M6703" s="209"/>
      <c r="N6703" s="209"/>
      <c r="O6703" s="209"/>
      <c r="P6703" s="209"/>
      <c r="Q6703" s="209"/>
      <c r="R6703" s="209"/>
      <c r="S6703" s="209"/>
      <c r="T6703" s="209"/>
    </row>
    <row r="6704" spans="1:20" ht="15" hidden="1" customHeight="1">
      <c r="A6704" s="468">
        <v>45566</v>
      </c>
      <c r="B6704" s="208" t="s">
        <v>5442</v>
      </c>
      <c r="C6704" s="208" t="s">
        <v>146</v>
      </c>
      <c r="D6704" s="211">
        <v>-18000</v>
      </c>
      <c r="E6704" s="212">
        <v>45566</v>
      </c>
      <c r="F6704" s="208" t="s">
        <v>110</v>
      </c>
      <c r="G6704" s="208" t="s">
        <v>4294</v>
      </c>
      <c r="H6704" s="208" t="s">
        <v>175</v>
      </c>
      <c r="I6704" s="208" t="s">
        <v>5430</v>
      </c>
      <c r="J6704" s="209"/>
      <c r="K6704" s="209"/>
      <c r="L6704" s="209"/>
      <c r="M6704" s="209"/>
      <c r="N6704" s="209"/>
      <c r="O6704" s="209"/>
      <c r="P6704" s="209"/>
      <c r="Q6704" s="209"/>
      <c r="R6704" s="209"/>
      <c r="S6704" s="209"/>
      <c r="T6704" s="209"/>
    </row>
    <row r="6705" spans="1:20" ht="15" hidden="1" customHeight="1">
      <c r="A6705" s="468">
        <v>45566</v>
      </c>
      <c r="B6705" s="208" t="s">
        <v>5443</v>
      </c>
      <c r="C6705" s="208" t="s">
        <v>146</v>
      </c>
      <c r="D6705" s="211">
        <v>-52200</v>
      </c>
      <c r="E6705" s="212">
        <v>45566</v>
      </c>
      <c r="F6705" s="208" t="s">
        <v>110</v>
      </c>
      <c r="G6705" s="208" t="s">
        <v>4294</v>
      </c>
      <c r="H6705" s="208" t="s">
        <v>175</v>
      </c>
      <c r="I6705" s="208" t="s">
        <v>5430</v>
      </c>
      <c r="J6705" s="209"/>
      <c r="K6705" s="209"/>
      <c r="L6705" s="209"/>
      <c r="M6705" s="209"/>
      <c r="N6705" s="209"/>
      <c r="O6705" s="209"/>
      <c r="P6705" s="209"/>
      <c r="Q6705" s="209"/>
      <c r="R6705" s="209"/>
      <c r="S6705" s="209"/>
      <c r="T6705" s="209"/>
    </row>
    <row r="6706" spans="1:20" ht="15" hidden="1" customHeight="1">
      <c r="A6706" s="468">
        <v>45566</v>
      </c>
      <c r="B6706" s="208" t="s">
        <v>5444</v>
      </c>
      <c r="C6706" s="208" t="s">
        <v>146</v>
      </c>
      <c r="D6706" s="211">
        <v>-15000</v>
      </c>
      <c r="E6706" s="212">
        <v>45566</v>
      </c>
      <c r="F6706" s="208" t="s">
        <v>110</v>
      </c>
      <c r="G6706" s="208" t="s">
        <v>4294</v>
      </c>
      <c r="H6706" s="208" t="s">
        <v>175</v>
      </c>
      <c r="I6706" s="208" t="s">
        <v>5430</v>
      </c>
      <c r="J6706" s="209"/>
      <c r="K6706" s="209"/>
      <c r="L6706" s="209"/>
      <c r="M6706" s="209"/>
      <c r="N6706" s="209"/>
      <c r="O6706" s="209"/>
      <c r="P6706" s="209"/>
      <c r="Q6706" s="209"/>
      <c r="R6706" s="209"/>
      <c r="S6706" s="209"/>
      <c r="T6706" s="209"/>
    </row>
    <row r="6707" spans="1:20" ht="15" hidden="1" customHeight="1">
      <c r="A6707" s="468">
        <v>45566</v>
      </c>
      <c r="B6707" s="208" t="s">
        <v>5445</v>
      </c>
      <c r="C6707" s="208" t="s">
        <v>146</v>
      </c>
      <c r="D6707" s="211">
        <v>-32000</v>
      </c>
      <c r="E6707" s="212">
        <v>45566</v>
      </c>
      <c r="F6707" s="208" t="s">
        <v>110</v>
      </c>
      <c r="G6707" s="201" t="s">
        <v>1489</v>
      </c>
      <c r="H6707" s="208" t="s">
        <v>2941</v>
      </c>
      <c r="I6707" s="208" t="s">
        <v>5430</v>
      </c>
      <c r="J6707" s="209"/>
      <c r="K6707" s="209"/>
      <c r="L6707" s="209"/>
      <c r="M6707" s="209"/>
      <c r="N6707" s="209"/>
      <c r="O6707" s="209"/>
      <c r="P6707" s="209"/>
      <c r="Q6707" s="209"/>
      <c r="R6707" s="209"/>
      <c r="S6707" s="209"/>
      <c r="T6707" s="209"/>
    </row>
    <row r="6708" spans="1:20" ht="15" hidden="1" customHeight="1">
      <c r="A6708" s="468">
        <v>45566</v>
      </c>
      <c r="B6708" s="208" t="s">
        <v>5446</v>
      </c>
      <c r="C6708" s="208" t="s">
        <v>146</v>
      </c>
      <c r="D6708" s="211">
        <v>-15200</v>
      </c>
      <c r="E6708" s="212">
        <v>45566</v>
      </c>
      <c r="F6708" s="208" t="s">
        <v>130</v>
      </c>
      <c r="G6708" s="208" t="s">
        <v>130</v>
      </c>
      <c r="H6708" s="208" t="s">
        <v>2444</v>
      </c>
      <c r="I6708" s="208" t="s">
        <v>5430</v>
      </c>
      <c r="J6708" s="209"/>
      <c r="K6708" s="209"/>
      <c r="L6708" s="209"/>
      <c r="M6708" s="209"/>
      <c r="N6708" s="209"/>
      <c r="O6708" s="209"/>
      <c r="P6708" s="209"/>
      <c r="Q6708" s="209"/>
      <c r="R6708" s="209"/>
      <c r="S6708" s="209"/>
      <c r="T6708" s="209"/>
    </row>
    <row r="6709" spans="1:20" ht="15" hidden="1" customHeight="1">
      <c r="A6709" s="468">
        <v>45566</v>
      </c>
      <c r="B6709" s="208" t="s">
        <v>5447</v>
      </c>
      <c r="C6709" s="208" t="s">
        <v>146</v>
      </c>
      <c r="D6709" s="211">
        <v>-63000</v>
      </c>
      <c r="E6709" s="212">
        <v>45566</v>
      </c>
      <c r="F6709" s="208" t="s">
        <v>110</v>
      </c>
      <c r="G6709" s="208" t="s">
        <v>4294</v>
      </c>
      <c r="H6709" s="208" t="s">
        <v>5448</v>
      </c>
      <c r="I6709" s="208" t="s">
        <v>5430</v>
      </c>
      <c r="J6709" s="209"/>
      <c r="K6709" s="209"/>
      <c r="L6709" s="209"/>
      <c r="M6709" s="209"/>
      <c r="N6709" s="209"/>
      <c r="O6709" s="209"/>
      <c r="P6709" s="209"/>
      <c r="Q6709" s="209"/>
      <c r="R6709" s="209"/>
      <c r="S6709" s="209"/>
      <c r="T6709" s="209"/>
    </row>
    <row r="6710" spans="1:20" ht="15" hidden="1" customHeight="1">
      <c r="A6710" s="468">
        <v>45566</v>
      </c>
      <c r="B6710" s="208" t="s">
        <v>5449</v>
      </c>
      <c r="C6710" s="208" t="s">
        <v>146</v>
      </c>
      <c r="D6710" s="211">
        <v>-7000</v>
      </c>
      <c r="E6710" s="212">
        <v>45566</v>
      </c>
      <c r="F6710" s="208" t="s">
        <v>110</v>
      </c>
      <c r="G6710" s="201" t="s">
        <v>1489</v>
      </c>
      <c r="H6710" s="81" t="s">
        <v>138</v>
      </c>
      <c r="I6710" s="208" t="s">
        <v>5430</v>
      </c>
      <c r="J6710" s="209"/>
      <c r="K6710" s="209"/>
      <c r="L6710" s="209"/>
      <c r="M6710" s="209"/>
      <c r="N6710" s="209"/>
      <c r="O6710" s="209"/>
      <c r="P6710" s="209"/>
      <c r="Q6710" s="209"/>
      <c r="R6710" s="209"/>
      <c r="S6710" s="209"/>
      <c r="T6710" s="209"/>
    </row>
    <row r="6711" spans="1:20" ht="15" hidden="1" customHeight="1">
      <c r="A6711" s="468">
        <v>45566</v>
      </c>
      <c r="B6711" s="208" t="s">
        <v>5450</v>
      </c>
      <c r="C6711" s="208" t="s">
        <v>146</v>
      </c>
      <c r="D6711" s="211">
        <v>-10000</v>
      </c>
      <c r="E6711" s="212">
        <v>45566</v>
      </c>
      <c r="F6711" s="208" t="s">
        <v>110</v>
      </c>
      <c r="G6711" s="208" t="s">
        <v>4294</v>
      </c>
      <c r="H6711" s="81" t="s">
        <v>138</v>
      </c>
      <c r="I6711" s="208" t="s">
        <v>5430</v>
      </c>
      <c r="J6711" s="209"/>
      <c r="K6711" s="209"/>
      <c r="L6711" s="209"/>
      <c r="M6711" s="209"/>
      <c r="N6711" s="209"/>
      <c r="O6711" s="209"/>
      <c r="P6711" s="209"/>
      <c r="Q6711" s="209"/>
      <c r="R6711" s="209"/>
      <c r="S6711" s="209"/>
      <c r="T6711" s="209"/>
    </row>
    <row r="6712" spans="1:20" ht="15" hidden="1" customHeight="1">
      <c r="A6712" s="468">
        <v>45567</v>
      </c>
      <c r="B6712" s="208" t="s">
        <v>5451</v>
      </c>
      <c r="C6712" s="208" t="s">
        <v>146</v>
      </c>
      <c r="D6712" s="211">
        <v>-600</v>
      </c>
      <c r="E6712" s="212">
        <v>45566</v>
      </c>
      <c r="F6712" s="208" t="s">
        <v>130</v>
      </c>
      <c r="G6712" s="208" t="s">
        <v>130</v>
      </c>
      <c r="H6712" s="208" t="s">
        <v>323</v>
      </c>
      <c r="I6712" s="208"/>
      <c r="J6712" s="209"/>
      <c r="K6712" s="209"/>
      <c r="L6712" s="209"/>
      <c r="M6712" s="209"/>
      <c r="N6712" s="209"/>
      <c r="O6712" s="209"/>
      <c r="P6712" s="209"/>
      <c r="Q6712" s="209"/>
      <c r="R6712" s="209"/>
      <c r="S6712" s="209"/>
      <c r="T6712" s="209"/>
    </row>
    <row r="6713" spans="1:20" ht="15" hidden="1" customHeight="1">
      <c r="A6713" s="468">
        <v>45568</v>
      </c>
      <c r="B6713" s="208" t="s">
        <v>5452</v>
      </c>
      <c r="C6713" s="208" t="s">
        <v>146</v>
      </c>
      <c r="D6713" s="211">
        <v>-16050</v>
      </c>
      <c r="E6713" s="212">
        <v>45566</v>
      </c>
      <c r="F6713" s="208" t="s">
        <v>130</v>
      </c>
      <c r="G6713" s="208" t="s">
        <v>130</v>
      </c>
      <c r="H6713" s="208" t="s">
        <v>2444</v>
      </c>
      <c r="I6713" s="208"/>
      <c r="J6713" s="209"/>
      <c r="K6713" s="209"/>
      <c r="L6713" s="209"/>
      <c r="M6713" s="209"/>
      <c r="N6713" s="209"/>
      <c r="O6713" s="209"/>
      <c r="P6713" s="209"/>
      <c r="Q6713" s="209"/>
      <c r="R6713" s="209"/>
      <c r="S6713" s="209"/>
      <c r="T6713" s="209"/>
    </row>
    <row r="6714" spans="1:20" ht="15" hidden="1" customHeight="1">
      <c r="A6714" s="468">
        <v>45568</v>
      </c>
      <c r="B6714" s="208" t="s">
        <v>5250</v>
      </c>
      <c r="C6714" s="208" t="s">
        <v>146</v>
      </c>
      <c r="D6714" s="211">
        <v>-21000</v>
      </c>
      <c r="E6714" s="212">
        <v>45566</v>
      </c>
      <c r="F6714" s="208" t="s">
        <v>109</v>
      </c>
      <c r="G6714" s="201" t="s">
        <v>1306</v>
      </c>
      <c r="H6714" s="81" t="s">
        <v>138</v>
      </c>
      <c r="I6714" s="208"/>
      <c r="J6714" s="209"/>
      <c r="K6714" s="209"/>
      <c r="L6714" s="209"/>
      <c r="M6714" s="209"/>
      <c r="N6714" s="209"/>
      <c r="O6714" s="209"/>
      <c r="P6714" s="209"/>
      <c r="Q6714" s="209"/>
      <c r="R6714" s="209"/>
      <c r="S6714" s="209"/>
      <c r="T6714" s="209"/>
    </row>
    <row r="6715" spans="1:20" ht="15" hidden="1" customHeight="1">
      <c r="A6715" s="468">
        <v>45568</v>
      </c>
      <c r="B6715" s="208" t="s">
        <v>5250</v>
      </c>
      <c r="C6715" s="208" t="s">
        <v>146</v>
      </c>
      <c r="D6715" s="211">
        <v>-7000</v>
      </c>
      <c r="E6715" s="212">
        <v>45566</v>
      </c>
      <c r="F6715" s="208" t="s">
        <v>207</v>
      </c>
      <c r="G6715" s="208" t="s">
        <v>5453</v>
      </c>
      <c r="H6715" s="81" t="s">
        <v>138</v>
      </c>
      <c r="I6715" s="208"/>
      <c r="J6715" s="209"/>
      <c r="K6715" s="209"/>
      <c r="L6715" s="209"/>
      <c r="M6715" s="209"/>
      <c r="N6715" s="209"/>
      <c r="O6715" s="209"/>
      <c r="P6715" s="209"/>
      <c r="Q6715" s="209"/>
      <c r="R6715" s="209"/>
      <c r="S6715" s="209"/>
      <c r="T6715" s="209"/>
    </row>
    <row r="6716" spans="1:20" ht="15" hidden="1" customHeight="1">
      <c r="A6716" s="468">
        <v>45568</v>
      </c>
      <c r="B6716" s="208" t="s">
        <v>5250</v>
      </c>
      <c r="C6716" s="208" t="s">
        <v>146</v>
      </c>
      <c r="D6716" s="211">
        <v>-14000</v>
      </c>
      <c r="E6716" s="212">
        <v>45566</v>
      </c>
      <c r="F6716" s="208" t="s">
        <v>110</v>
      </c>
      <c r="G6716" s="201" t="s">
        <v>1489</v>
      </c>
      <c r="H6716" s="81" t="s">
        <v>138</v>
      </c>
      <c r="I6716" s="208"/>
      <c r="J6716" s="209"/>
      <c r="K6716" s="209"/>
      <c r="L6716" s="209"/>
      <c r="M6716" s="209"/>
      <c r="N6716" s="209"/>
      <c r="O6716" s="209"/>
      <c r="P6716" s="209"/>
      <c r="Q6716" s="209"/>
      <c r="R6716" s="209"/>
      <c r="S6716" s="209"/>
      <c r="T6716" s="209"/>
    </row>
    <row r="6717" spans="1:20" ht="15" hidden="1" customHeight="1">
      <c r="A6717" s="468">
        <v>45567</v>
      </c>
      <c r="B6717" s="208" t="s">
        <v>3846</v>
      </c>
      <c r="C6717" s="208" t="s">
        <v>146</v>
      </c>
      <c r="D6717" s="211">
        <v>-112000</v>
      </c>
      <c r="E6717" s="212">
        <v>45566</v>
      </c>
      <c r="F6717" s="208" t="s">
        <v>109</v>
      </c>
      <c r="G6717" s="201" t="s">
        <v>1306</v>
      </c>
      <c r="H6717" s="81" t="s">
        <v>138</v>
      </c>
      <c r="I6717" s="208"/>
      <c r="J6717" s="209"/>
      <c r="K6717" s="209"/>
      <c r="L6717" s="209"/>
      <c r="M6717" s="209"/>
      <c r="N6717" s="209"/>
      <c r="O6717" s="209"/>
      <c r="P6717" s="209"/>
      <c r="Q6717" s="209"/>
      <c r="R6717" s="209"/>
      <c r="S6717" s="209"/>
      <c r="T6717" s="209"/>
    </row>
    <row r="6718" spans="1:20" ht="15" hidden="1" customHeight="1">
      <c r="A6718" s="468">
        <v>45566</v>
      </c>
      <c r="B6718" s="208" t="s">
        <v>5454</v>
      </c>
      <c r="C6718" s="208" t="s">
        <v>27</v>
      </c>
      <c r="D6718" s="211">
        <v>-1575000</v>
      </c>
      <c r="E6718" s="212">
        <v>45566</v>
      </c>
      <c r="F6718" s="208" t="s">
        <v>109</v>
      </c>
      <c r="G6718" s="201" t="s">
        <v>581</v>
      </c>
      <c r="H6718" s="208"/>
      <c r="I6718" s="208"/>
      <c r="J6718" s="209"/>
      <c r="K6718" s="209"/>
      <c r="L6718" s="209"/>
      <c r="M6718" s="209"/>
      <c r="N6718" s="209"/>
      <c r="O6718" s="209"/>
      <c r="P6718" s="209"/>
      <c r="Q6718" s="209"/>
      <c r="R6718" s="209"/>
      <c r="S6718" s="209"/>
      <c r="T6718" s="209"/>
    </row>
    <row r="6719" spans="1:20" ht="15" hidden="1" customHeight="1">
      <c r="A6719" s="468">
        <v>45567</v>
      </c>
      <c r="B6719" s="208" t="s">
        <v>3846</v>
      </c>
      <c r="C6719" s="208" t="s">
        <v>146</v>
      </c>
      <c r="D6719" s="211">
        <v>-384109</v>
      </c>
      <c r="E6719" s="212">
        <v>45566</v>
      </c>
      <c r="F6719" s="208" t="s">
        <v>110</v>
      </c>
      <c r="G6719" s="201" t="s">
        <v>1489</v>
      </c>
      <c r="H6719" s="81" t="s">
        <v>138</v>
      </c>
      <c r="I6719" s="208"/>
      <c r="J6719" s="209"/>
      <c r="K6719" s="209"/>
      <c r="L6719" s="209"/>
      <c r="M6719" s="209"/>
      <c r="N6719" s="209"/>
      <c r="O6719" s="209"/>
      <c r="P6719" s="209"/>
      <c r="Q6719" s="209"/>
      <c r="R6719" s="209"/>
      <c r="S6719" s="209"/>
      <c r="T6719" s="209"/>
    </row>
    <row r="6720" spans="1:20" ht="15" hidden="1" customHeight="1">
      <c r="A6720" s="468">
        <v>45567</v>
      </c>
      <c r="B6720" s="208" t="s">
        <v>3846</v>
      </c>
      <c r="C6720" s="208" t="s">
        <v>146</v>
      </c>
      <c r="D6720" s="211">
        <v>-30000</v>
      </c>
      <c r="E6720" s="212">
        <v>45566</v>
      </c>
      <c r="F6720" s="208" t="s">
        <v>207</v>
      </c>
      <c r="G6720" s="208" t="s">
        <v>5453</v>
      </c>
      <c r="H6720" s="81" t="s">
        <v>138</v>
      </c>
      <c r="I6720" s="208"/>
      <c r="J6720" s="209"/>
      <c r="K6720" s="209"/>
      <c r="L6720" s="209"/>
      <c r="M6720" s="209"/>
      <c r="N6720" s="209"/>
      <c r="O6720" s="209"/>
      <c r="P6720" s="209"/>
      <c r="Q6720" s="209"/>
      <c r="R6720" s="209"/>
      <c r="S6720" s="209"/>
      <c r="T6720" s="209"/>
    </row>
    <row r="6721" spans="1:20" ht="15" hidden="1" customHeight="1">
      <c r="A6721" s="468">
        <v>45567</v>
      </c>
      <c r="B6721" s="208" t="s">
        <v>3846</v>
      </c>
      <c r="C6721" s="208" t="s">
        <v>146</v>
      </c>
      <c r="D6721" s="211">
        <v>-30000</v>
      </c>
      <c r="E6721" s="212">
        <v>45566</v>
      </c>
      <c r="F6721" s="208" t="s">
        <v>110</v>
      </c>
      <c r="G6721" s="208" t="s">
        <v>450</v>
      </c>
      <c r="H6721" s="81" t="s">
        <v>138</v>
      </c>
      <c r="I6721" s="475" t="s">
        <v>5410</v>
      </c>
      <c r="J6721" s="209"/>
      <c r="K6721" s="209"/>
      <c r="L6721" s="209"/>
      <c r="M6721" s="209"/>
      <c r="N6721" s="209"/>
      <c r="O6721" s="209"/>
      <c r="P6721" s="209"/>
      <c r="Q6721" s="209"/>
      <c r="R6721" s="209"/>
      <c r="S6721" s="209"/>
      <c r="T6721" s="209"/>
    </row>
    <row r="6722" spans="1:20" ht="15" hidden="1" customHeight="1">
      <c r="A6722" s="468">
        <v>45567</v>
      </c>
      <c r="B6722" s="208" t="s">
        <v>3846</v>
      </c>
      <c r="C6722" s="208" t="s">
        <v>146</v>
      </c>
      <c r="D6722" s="211">
        <v>-37000</v>
      </c>
      <c r="E6722" s="212">
        <v>45566</v>
      </c>
      <c r="F6722" s="208" t="s">
        <v>109</v>
      </c>
      <c r="G6722" s="208" t="s">
        <v>3529</v>
      </c>
      <c r="H6722" s="81" t="s">
        <v>138</v>
      </c>
      <c r="I6722" s="208"/>
      <c r="J6722" s="209"/>
      <c r="K6722" s="209"/>
      <c r="L6722" s="209"/>
      <c r="M6722" s="209"/>
      <c r="N6722" s="209"/>
      <c r="O6722" s="209"/>
      <c r="P6722" s="209"/>
      <c r="Q6722" s="209"/>
      <c r="R6722" s="209"/>
      <c r="S6722" s="209"/>
      <c r="T6722" s="209"/>
    </row>
    <row r="6723" spans="1:20" ht="15" hidden="1" customHeight="1">
      <c r="A6723" s="468">
        <v>45567</v>
      </c>
      <c r="B6723" s="208" t="s">
        <v>3846</v>
      </c>
      <c r="C6723" s="208" t="s">
        <v>146</v>
      </c>
      <c r="D6723" s="211">
        <v>-24000</v>
      </c>
      <c r="E6723" s="212">
        <v>45566</v>
      </c>
      <c r="F6723" s="208" t="s">
        <v>109</v>
      </c>
      <c r="G6723" s="208" t="s">
        <v>10</v>
      </c>
      <c r="H6723" s="81" t="s">
        <v>138</v>
      </c>
      <c r="I6723" s="208"/>
      <c r="J6723" s="209"/>
      <c r="K6723" s="209"/>
      <c r="L6723" s="209"/>
      <c r="M6723" s="209"/>
      <c r="N6723" s="209"/>
      <c r="O6723" s="209"/>
      <c r="P6723" s="209"/>
      <c r="Q6723" s="209"/>
      <c r="R6723" s="209"/>
      <c r="S6723" s="209"/>
      <c r="T6723" s="209"/>
    </row>
    <row r="6724" spans="1:20" ht="15" hidden="1" customHeight="1">
      <c r="A6724" s="468">
        <v>45567</v>
      </c>
      <c r="B6724" s="208" t="s">
        <v>3716</v>
      </c>
      <c r="C6724" s="208" t="s">
        <v>4314</v>
      </c>
      <c r="D6724" s="211">
        <v>-6580</v>
      </c>
      <c r="E6724" s="212">
        <v>45566</v>
      </c>
      <c r="F6724" s="208" t="s">
        <v>110</v>
      </c>
      <c r="G6724" s="201" t="s">
        <v>1489</v>
      </c>
      <c r="H6724" s="81" t="s">
        <v>138</v>
      </c>
      <c r="I6724" s="208"/>
      <c r="J6724" s="209"/>
      <c r="K6724" s="209"/>
      <c r="L6724" s="209"/>
      <c r="M6724" s="209"/>
      <c r="N6724" s="209"/>
      <c r="O6724" s="209"/>
      <c r="P6724" s="209"/>
      <c r="Q6724" s="209"/>
      <c r="R6724" s="209"/>
      <c r="S6724" s="209"/>
      <c r="T6724" s="209"/>
    </row>
    <row r="6725" spans="1:20" ht="15" hidden="1" customHeight="1">
      <c r="A6725" s="468">
        <v>45567</v>
      </c>
      <c r="B6725" s="208" t="s">
        <v>4133</v>
      </c>
      <c r="C6725" s="208" t="s">
        <v>4314</v>
      </c>
      <c r="D6725" s="211">
        <v>-3948</v>
      </c>
      <c r="E6725" s="212">
        <v>45566</v>
      </c>
      <c r="F6725" s="208" t="s">
        <v>110</v>
      </c>
      <c r="G6725" s="201" t="s">
        <v>1489</v>
      </c>
      <c r="H6725" s="81" t="s">
        <v>138</v>
      </c>
      <c r="I6725" s="208"/>
      <c r="J6725" s="209"/>
      <c r="K6725" s="209"/>
      <c r="L6725" s="209"/>
      <c r="M6725" s="209"/>
      <c r="N6725" s="209"/>
      <c r="O6725" s="209"/>
      <c r="P6725" s="209"/>
      <c r="Q6725" s="209"/>
      <c r="R6725" s="209"/>
      <c r="S6725" s="209"/>
      <c r="T6725" s="209"/>
    </row>
    <row r="6726" spans="1:20" s="533" customFormat="1" ht="15" hidden="1" customHeight="1">
      <c r="A6726" s="468">
        <v>45566</v>
      </c>
      <c r="B6726" s="208" t="s">
        <v>4126</v>
      </c>
      <c r="C6726" s="208" t="s">
        <v>3331</v>
      </c>
      <c r="D6726" s="211">
        <v>-11111111</v>
      </c>
      <c r="E6726" s="212">
        <v>45566</v>
      </c>
      <c r="F6726" s="84" t="s">
        <v>111</v>
      </c>
      <c r="G6726" s="208"/>
      <c r="H6726" s="208"/>
      <c r="I6726" s="208"/>
      <c r="J6726" s="209"/>
      <c r="K6726" s="209"/>
      <c r="L6726" s="209"/>
      <c r="M6726" s="209"/>
      <c r="N6726" s="209"/>
      <c r="O6726" s="209"/>
      <c r="P6726" s="209"/>
      <c r="Q6726" s="209"/>
      <c r="R6726" s="209"/>
      <c r="S6726" s="209"/>
      <c r="T6726" s="209"/>
    </row>
    <row r="6727" spans="1:20" s="533" customFormat="1" ht="15" hidden="1" customHeight="1">
      <c r="A6727" s="468">
        <v>45566</v>
      </c>
      <c r="B6727" s="208" t="s">
        <v>4126</v>
      </c>
      <c r="C6727" s="208" t="s">
        <v>3331</v>
      </c>
      <c r="D6727" s="211">
        <v>-3849627</v>
      </c>
      <c r="E6727" s="212">
        <v>45566</v>
      </c>
      <c r="F6727" s="208" t="s">
        <v>118</v>
      </c>
      <c r="G6727" s="208"/>
      <c r="H6727" s="208"/>
      <c r="I6727" s="208"/>
      <c r="J6727" s="209"/>
      <c r="K6727" s="209"/>
      <c r="L6727" s="209"/>
      <c r="M6727" s="209"/>
      <c r="N6727" s="209"/>
      <c r="O6727" s="209"/>
      <c r="P6727" s="209"/>
      <c r="Q6727" s="209"/>
      <c r="R6727" s="209"/>
      <c r="S6727" s="209"/>
      <c r="T6727" s="209"/>
    </row>
    <row r="6728" spans="1:20" s="533" customFormat="1" ht="15" hidden="1" customHeight="1">
      <c r="A6728" s="468">
        <v>45566</v>
      </c>
      <c r="B6728" s="208" t="s">
        <v>5455</v>
      </c>
      <c r="C6728" s="208" t="s">
        <v>3331</v>
      </c>
      <c r="D6728" s="211">
        <v>2682171</v>
      </c>
      <c r="E6728" s="212">
        <v>45566</v>
      </c>
      <c r="F6728" s="208" t="s">
        <v>108</v>
      </c>
      <c r="G6728" s="686"/>
      <c r="H6728" s="208"/>
      <c r="I6728" s="208"/>
      <c r="J6728" s="209"/>
      <c r="K6728" s="209"/>
      <c r="L6728" s="209"/>
      <c r="M6728" s="209"/>
      <c r="N6728" s="209"/>
      <c r="O6728" s="209"/>
      <c r="P6728" s="209"/>
      <c r="Q6728" s="209"/>
      <c r="R6728" s="209"/>
      <c r="S6728" s="209"/>
      <c r="T6728" s="209"/>
    </row>
    <row r="6729" spans="1:20" s="476" customFormat="1" ht="15" hidden="1" customHeight="1">
      <c r="A6729" s="468">
        <v>45566</v>
      </c>
      <c r="B6729" s="208" t="s">
        <v>5456</v>
      </c>
      <c r="C6729" s="208" t="s">
        <v>27</v>
      </c>
      <c r="D6729" s="211">
        <v>-32000</v>
      </c>
      <c r="E6729" s="212">
        <v>45566</v>
      </c>
      <c r="F6729" s="208" t="s">
        <v>130</v>
      </c>
      <c r="G6729" s="208" t="s">
        <v>257</v>
      </c>
      <c r="H6729" s="208" t="s">
        <v>1032</v>
      </c>
      <c r="I6729" s="475" t="s">
        <v>5410</v>
      </c>
      <c r="J6729" s="209"/>
      <c r="K6729" s="209"/>
      <c r="L6729" s="209"/>
      <c r="M6729" s="209"/>
      <c r="N6729" s="209"/>
      <c r="O6729" s="209"/>
      <c r="P6729" s="209"/>
      <c r="Q6729" s="209"/>
      <c r="R6729" s="209"/>
      <c r="S6729" s="209"/>
      <c r="T6729" s="209"/>
    </row>
    <row r="6730" spans="1:20" ht="15" hidden="1" customHeight="1">
      <c r="A6730" s="468">
        <v>45566</v>
      </c>
      <c r="B6730" s="208" t="s">
        <v>5457</v>
      </c>
      <c r="C6730" s="208" t="s">
        <v>27</v>
      </c>
      <c r="D6730" s="211">
        <v>-255500</v>
      </c>
      <c r="E6730" s="212">
        <v>45566</v>
      </c>
      <c r="F6730" s="208" t="s">
        <v>130</v>
      </c>
      <c r="G6730" s="208" t="s">
        <v>130</v>
      </c>
      <c r="H6730" s="208" t="s">
        <v>2444</v>
      </c>
      <c r="I6730" s="208"/>
      <c r="J6730" s="209"/>
      <c r="K6730" s="209"/>
      <c r="L6730" s="209"/>
      <c r="M6730" s="209"/>
      <c r="N6730" s="209"/>
      <c r="O6730" s="209"/>
      <c r="P6730" s="209"/>
      <c r="Q6730" s="209"/>
      <c r="R6730" s="209"/>
      <c r="S6730" s="209"/>
      <c r="T6730" s="209"/>
    </row>
    <row r="6731" spans="1:20" ht="15" hidden="1" customHeight="1">
      <c r="A6731" s="468">
        <v>45566</v>
      </c>
      <c r="B6731" s="208" t="s">
        <v>5458</v>
      </c>
      <c r="C6731" s="208" t="s">
        <v>27</v>
      </c>
      <c r="D6731" s="211">
        <v>-2418336</v>
      </c>
      <c r="E6731" s="212">
        <v>45566</v>
      </c>
      <c r="F6731" s="208" t="s">
        <v>109</v>
      </c>
      <c r="G6731" s="201" t="s">
        <v>581</v>
      </c>
      <c r="H6731" s="208"/>
      <c r="I6731" s="208"/>
      <c r="J6731" s="209"/>
      <c r="K6731" s="209"/>
      <c r="L6731" s="209"/>
      <c r="M6731" s="209"/>
      <c r="N6731" s="209"/>
      <c r="O6731" s="209"/>
      <c r="P6731" s="209"/>
      <c r="Q6731" s="209"/>
      <c r="R6731" s="209"/>
      <c r="S6731" s="209"/>
      <c r="T6731" s="209"/>
    </row>
    <row r="6732" spans="1:20" ht="15" hidden="1" customHeight="1">
      <c r="A6732" s="468">
        <v>45566</v>
      </c>
      <c r="B6732" s="208" t="s">
        <v>5459</v>
      </c>
      <c r="C6732" s="208" t="s">
        <v>27</v>
      </c>
      <c r="D6732" s="211">
        <v>-725900</v>
      </c>
      <c r="E6732" s="212">
        <v>45566</v>
      </c>
      <c r="F6732" s="208" t="s">
        <v>110</v>
      </c>
      <c r="G6732" s="201" t="s">
        <v>1489</v>
      </c>
      <c r="H6732" s="81" t="s">
        <v>138</v>
      </c>
      <c r="I6732" s="208"/>
      <c r="J6732" s="209"/>
      <c r="K6732" s="209"/>
      <c r="L6732" s="209"/>
      <c r="M6732" s="209"/>
      <c r="N6732" s="209"/>
      <c r="O6732" s="209"/>
      <c r="P6732" s="209"/>
      <c r="Q6732" s="209"/>
      <c r="R6732" s="209"/>
      <c r="S6732" s="209"/>
      <c r="T6732" s="209"/>
    </row>
    <row r="6733" spans="1:20" ht="15" hidden="1" customHeight="1">
      <c r="A6733" s="468">
        <v>45566</v>
      </c>
      <c r="B6733" s="208" t="s">
        <v>5460</v>
      </c>
      <c r="C6733" s="208" t="s">
        <v>27</v>
      </c>
      <c r="D6733" s="211">
        <v>-261800</v>
      </c>
      <c r="E6733" s="212">
        <v>45566</v>
      </c>
      <c r="F6733" s="208" t="s">
        <v>110</v>
      </c>
      <c r="G6733" s="208" t="s">
        <v>3245</v>
      </c>
      <c r="H6733" s="208" t="s">
        <v>175</v>
      </c>
      <c r="I6733" s="475" t="s">
        <v>5410</v>
      </c>
      <c r="J6733" s="209"/>
      <c r="K6733" s="209"/>
      <c r="L6733" s="209"/>
      <c r="M6733" s="209"/>
      <c r="N6733" s="209"/>
      <c r="O6733" s="209"/>
      <c r="P6733" s="209"/>
      <c r="Q6733" s="209"/>
      <c r="R6733" s="209"/>
      <c r="S6733" s="209"/>
      <c r="T6733" s="209"/>
    </row>
    <row r="6734" spans="1:20" ht="15" hidden="1" customHeight="1">
      <c r="A6734" s="468">
        <v>45566</v>
      </c>
      <c r="B6734" s="208" t="s">
        <v>5461</v>
      </c>
      <c r="C6734" s="208" t="s">
        <v>27</v>
      </c>
      <c r="D6734" s="211">
        <v>-2160000</v>
      </c>
      <c r="E6734" s="212">
        <v>45566</v>
      </c>
      <c r="F6734" s="208" t="s">
        <v>109</v>
      </c>
      <c r="G6734" s="654" t="s">
        <v>2585</v>
      </c>
      <c r="H6734" s="201" t="s">
        <v>631</v>
      </c>
      <c r="I6734" s="475" t="s">
        <v>5410</v>
      </c>
      <c r="J6734" s="209"/>
      <c r="K6734" s="209"/>
      <c r="L6734" s="209"/>
      <c r="M6734" s="209"/>
      <c r="N6734" s="209"/>
      <c r="O6734" s="209"/>
      <c r="P6734" s="209"/>
      <c r="Q6734" s="209"/>
      <c r="R6734" s="209"/>
      <c r="S6734" s="209"/>
      <c r="T6734" s="209"/>
    </row>
    <row r="6735" spans="1:20" ht="15" hidden="1" customHeight="1">
      <c r="A6735" s="468">
        <v>45566</v>
      </c>
      <c r="B6735" s="208" t="s">
        <v>5461</v>
      </c>
      <c r="C6735" s="208" t="s">
        <v>27</v>
      </c>
      <c r="D6735" s="211">
        <v>-2052000</v>
      </c>
      <c r="E6735" s="212">
        <v>45566</v>
      </c>
      <c r="F6735" s="208" t="s">
        <v>109</v>
      </c>
      <c r="G6735" s="208" t="s">
        <v>3529</v>
      </c>
      <c r="H6735" s="201" t="s">
        <v>631</v>
      </c>
      <c r="I6735" s="208"/>
      <c r="J6735" s="209"/>
      <c r="K6735" s="209"/>
      <c r="L6735" s="209"/>
      <c r="M6735" s="209"/>
      <c r="N6735" s="209"/>
      <c r="O6735" s="209"/>
      <c r="P6735" s="209"/>
      <c r="Q6735" s="209"/>
      <c r="R6735" s="209"/>
      <c r="S6735" s="209"/>
      <c r="T6735" s="209"/>
    </row>
    <row r="6736" spans="1:20" ht="15" hidden="1" customHeight="1">
      <c r="A6736" s="468">
        <v>45566</v>
      </c>
      <c r="B6736" s="208" t="s">
        <v>5458</v>
      </c>
      <c r="C6736" s="208" t="s">
        <v>27</v>
      </c>
      <c r="D6736" s="211">
        <v>-2418336</v>
      </c>
      <c r="E6736" s="212">
        <v>45566</v>
      </c>
      <c r="F6736" s="208" t="s">
        <v>109</v>
      </c>
      <c r="G6736" s="201" t="s">
        <v>583</v>
      </c>
      <c r="H6736" s="208"/>
      <c r="I6736" s="208"/>
      <c r="J6736" s="209"/>
      <c r="K6736" s="209"/>
      <c r="L6736" s="209"/>
      <c r="M6736" s="209"/>
      <c r="N6736" s="209"/>
      <c r="O6736" s="209"/>
      <c r="P6736" s="209"/>
      <c r="Q6736" s="209"/>
      <c r="R6736" s="209"/>
      <c r="S6736" s="209"/>
      <c r="T6736" s="209"/>
    </row>
    <row r="6737" spans="1:20" ht="15" hidden="1" customHeight="1">
      <c r="A6737" s="468">
        <v>45566</v>
      </c>
      <c r="B6737" s="208" t="s">
        <v>5462</v>
      </c>
      <c r="C6737" s="208" t="s">
        <v>27</v>
      </c>
      <c r="D6737" s="211">
        <v>-920000</v>
      </c>
      <c r="E6737" s="212">
        <v>45566</v>
      </c>
      <c r="F6737" s="208" t="s">
        <v>109</v>
      </c>
      <c r="G6737" s="201" t="s">
        <v>581</v>
      </c>
      <c r="H6737" s="208"/>
      <c r="I6737" s="208"/>
      <c r="J6737" s="209"/>
      <c r="K6737" s="209"/>
      <c r="L6737" s="209"/>
      <c r="M6737" s="209"/>
      <c r="N6737" s="209"/>
      <c r="O6737" s="209"/>
      <c r="P6737" s="209"/>
      <c r="Q6737" s="209"/>
      <c r="R6737" s="209"/>
      <c r="S6737" s="209"/>
      <c r="T6737" s="209"/>
    </row>
    <row r="6738" spans="1:20" ht="15" hidden="1" customHeight="1">
      <c r="A6738" s="468">
        <v>45566</v>
      </c>
      <c r="B6738" s="208" t="s">
        <v>5463</v>
      </c>
      <c r="C6738" s="208" t="s">
        <v>27</v>
      </c>
      <c r="D6738" s="211">
        <v>-572000</v>
      </c>
      <c r="E6738" s="212">
        <v>45566</v>
      </c>
      <c r="F6738" s="208" t="s">
        <v>110</v>
      </c>
      <c r="G6738" s="201" t="s">
        <v>1489</v>
      </c>
      <c r="H6738" s="208" t="s">
        <v>2941</v>
      </c>
      <c r="I6738" s="208"/>
      <c r="J6738" s="209"/>
      <c r="K6738" s="209"/>
      <c r="L6738" s="209"/>
      <c r="M6738" s="209"/>
      <c r="N6738" s="209"/>
      <c r="O6738" s="209"/>
      <c r="P6738" s="209"/>
      <c r="Q6738" s="209"/>
      <c r="R6738" s="209"/>
      <c r="S6738" s="209"/>
      <c r="T6738" s="209"/>
    </row>
    <row r="6739" spans="1:20" ht="15" hidden="1" customHeight="1">
      <c r="A6739" s="468">
        <v>45566</v>
      </c>
      <c r="B6739" s="208" t="s">
        <v>5464</v>
      </c>
      <c r="C6739" s="208" t="s">
        <v>27</v>
      </c>
      <c r="D6739" s="211">
        <v>-2361000</v>
      </c>
      <c r="E6739" s="212">
        <v>45566</v>
      </c>
      <c r="F6739" s="208" t="s">
        <v>109</v>
      </c>
      <c r="G6739" s="201" t="s">
        <v>583</v>
      </c>
      <c r="H6739" s="208"/>
      <c r="I6739" s="208"/>
      <c r="J6739" s="209"/>
      <c r="K6739" s="209"/>
      <c r="L6739" s="209"/>
      <c r="M6739" s="209"/>
      <c r="N6739" s="209"/>
      <c r="O6739" s="209"/>
      <c r="P6739" s="209"/>
      <c r="Q6739" s="209"/>
      <c r="R6739" s="209"/>
      <c r="S6739" s="209"/>
      <c r="T6739" s="209"/>
    </row>
    <row r="6740" spans="1:20" ht="15" hidden="1" customHeight="1">
      <c r="A6740" s="468">
        <v>45566</v>
      </c>
      <c r="B6740" s="208" t="s">
        <v>5465</v>
      </c>
      <c r="C6740" s="208" t="s">
        <v>27</v>
      </c>
      <c r="D6740" s="211">
        <v>-831600</v>
      </c>
      <c r="E6740" s="212">
        <v>45566</v>
      </c>
      <c r="F6740" s="208" t="s">
        <v>109</v>
      </c>
      <c r="G6740" s="201" t="s">
        <v>581</v>
      </c>
      <c r="H6740" s="208"/>
      <c r="I6740" s="208"/>
      <c r="J6740" s="209"/>
      <c r="K6740" s="209"/>
      <c r="L6740" s="209"/>
      <c r="M6740" s="209"/>
      <c r="N6740" s="209"/>
      <c r="O6740" s="209"/>
      <c r="P6740" s="209"/>
      <c r="Q6740" s="209"/>
      <c r="R6740" s="209"/>
      <c r="S6740" s="209"/>
      <c r="T6740" s="209"/>
    </row>
    <row r="6741" spans="1:20" ht="15" hidden="1" customHeight="1">
      <c r="A6741" s="468">
        <v>45566</v>
      </c>
      <c r="B6741" s="208" t="s">
        <v>5466</v>
      </c>
      <c r="C6741" s="208" t="s">
        <v>27</v>
      </c>
      <c r="D6741" s="718">
        <v>-27536643</v>
      </c>
      <c r="E6741" s="212">
        <v>45566</v>
      </c>
      <c r="F6741" s="208" t="s">
        <v>109</v>
      </c>
      <c r="G6741" s="201" t="s">
        <v>581</v>
      </c>
      <c r="H6741" s="208"/>
      <c r="I6741" s="208"/>
      <c r="J6741" s="209"/>
      <c r="K6741" s="209"/>
      <c r="L6741" s="209"/>
      <c r="M6741" s="209"/>
      <c r="N6741" s="209"/>
      <c r="O6741" s="209"/>
      <c r="P6741" s="209"/>
      <c r="Q6741" s="209"/>
      <c r="R6741" s="209"/>
      <c r="S6741" s="209"/>
      <c r="T6741" s="209"/>
    </row>
    <row r="6742" spans="1:20" ht="15" hidden="1" customHeight="1">
      <c r="A6742" s="468">
        <v>45567</v>
      </c>
      <c r="B6742" s="208" t="s">
        <v>3846</v>
      </c>
      <c r="C6742" s="208" t="s">
        <v>146</v>
      </c>
      <c r="D6742" s="211">
        <v>-30000</v>
      </c>
      <c r="E6742" s="212">
        <v>45566</v>
      </c>
      <c r="F6742" s="208" t="s">
        <v>109</v>
      </c>
      <c r="G6742" s="201" t="s">
        <v>581</v>
      </c>
      <c r="H6742" s="208"/>
      <c r="I6742" s="208"/>
      <c r="J6742" s="209"/>
      <c r="K6742" s="209"/>
      <c r="L6742" s="209"/>
      <c r="M6742" s="209"/>
      <c r="N6742" s="209"/>
      <c r="O6742" s="209"/>
      <c r="P6742" s="209"/>
      <c r="Q6742" s="209"/>
      <c r="R6742" s="209"/>
      <c r="S6742" s="209"/>
      <c r="T6742" s="209"/>
    </row>
    <row r="6743" spans="1:20" ht="15" hidden="1" customHeight="1">
      <c r="A6743" s="468">
        <v>45566</v>
      </c>
      <c r="B6743" s="208" t="s">
        <v>5467</v>
      </c>
      <c r="C6743" s="208" t="s">
        <v>27</v>
      </c>
      <c r="D6743" s="211">
        <v>-617600</v>
      </c>
      <c r="E6743" s="212">
        <v>45566</v>
      </c>
      <c r="F6743" s="208" t="s">
        <v>130</v>
      </c>
      <c r="G6743" s="208" t="s">
        <v>130</v>
      </c>
      <c r="H6743" s="208" t="s">
        <v>852</v>
      </c>
      <c r="I6743" s="208"/>
      <c r="J6743" s="209"/>
      <c r="K6743" s="209"/>
      <c r="L6743" s="209"/>
      <c r="M6743" s="209"/>
      <c r="N6743" s="209"/>
      <c r="O6743" s="209"/>
      <c r="P6743" s="209"/>
      <c r="Q6743" s="209"/>
      <c r="R6743" s="209"/>
      <c r="S6743" s="209"/>
      <c r="T6743" s="209"/>
    </row>
    <row r="6744" spans="1:20" ht="15" hidden="1" customHeight="1">
      <c r="A6744" s="468">
        <v>45566</v>
      </c>
      <c r="B6744" s="208" t="s">
        <v>5468</v>
      </c>
      <c r="C6744" s="208" t="s">
        <v>27</v>
      </c>
      <c r="D6744" s="211">
        <v>-15521830</v>
      </c>
      <c r="E6744" s="212">
        <v>45566</v>
      </c>
      <c r="F6744" s="208" t="s">
        <v>110</v>
      </c>
      <c r="G6744" s="208" t="s">
        <v>5469</v>
      </c>
      <c r="H6744" s="201" t="s">
        <v>418</v>
      </c>
      <c r="I6744" s="208"/>
      <c r="J6744" s="209"/>
      <c r="K6744" s="209"/>
      <c r="L6744" s="209"/>
      <c r="M6744" s="209"/>
      <c r="N6744" s="209"/>
      <c r="O6744" s="209"/>
      <c r="P6744" s="209"/>
      <c r="Q6744" s="209"/>
      <c r="R6744" s="209"/>
      <c r="S6744" s="209"/>
      <c r="T6744" s="209"/>
    </row>
    <row r="6745" spans="1:20" ht="15" hidden="1" customHeight="1">
      <c r="A6745" s="468">
        <v>45566</v>
      </c>
      <c r="B6745" s="208" t="s">
        <v>5470</v>
      </c>
      <c r="C6745" s="208" t="s">
        <v>27</v>
      </c>
      <c r="D6745" s="211">
        <v>-46811682</v>
      </c>
      <c r="E6745" s="212">
        <v>45566</v>
      </c>
      <c r="F6745" s="208" t="s">
        <v>109</v>
      </c>
      <c r="G6745" s="208" t="s">
        <v>4986</v>
      </c>
      <c r="H6745" s="208" t="s">
        <v>212</v>
      </c>
      <c r="I6745" s="208"/>
      <c r="J6745" s="209"/>
      <c r="K6745" s="209"/>
      <c r="L6745" s="209"/>
      <c r="M6745" s="209"/>
      <c r="N6745" s="209"/>
      <c r="O6745" s="209"/>
      <c r="P6745" s="209"/>
      <c r="Q6745" s="209"/>
      <c r="R6745" s="209"/>
      <c r="S6745" s="209"/>
      <c r="T6745" s="209"/>
    </row>
    <row r="6746" spans="1:20" ht="15" hidden="1" customHeight="1">
      <c r="A6746" s="468">
        <v>45566</v>
      </c>
      <c r="B6746" s="208" t="s">
        <v>5471</v>
      </c>
      <c r="C6746" s="208" t="s">
        <v>27</v>
      </c>
      <c r="D6746" s="211">
        <v>-20000</v>
      </c>
      <c r="E6746" s="212">
        <v>45566</v>
      </c>
      <c r="F6746" s="208" t="s">
        <v>130</v>
      </c>
      <c r="G6746" s="208" t="s">
        <v>130</v>
      </c>
      <c r="H6746" s="208" t="s">
        <v>2444</v>
      </c>
      <c r="I6746" s="208"/>
      <c r="J6746" s="209"/>
      <c r="K6746" s="209"/>
      <c r="L6746" s="209"/>
      <c r="M6746" s="209"/>
      <c r="N6746" s="209"/>
      <c r="O6746" s="209"/>
      <c r="P6746" s="209"/>
      <c r="Q6746" s="209"/>
      <c r="R6746" s="209"/>
      <c r="S6746" s="209"/>
      <c r="T6746" s="209"/>
    </row>
    <row r="6747" spans="1:20" ht="15" hidden="1" customHeight="1">
      <c r="A6747" s="468">
        <v>45566</v>
      </c>
      <c r="B6747" s="208" t="s">
        <v>5472</v>
      </c>
      <c r="C6747" s="208" t="s">
        <v>27</v>
      </c>
      <c r="D6747" s="211">
        <v>-822226</v>
      </c>
      <c r="E6747" s="212">
        <v>45566</v>
      </c>
      <c r="F6747" s="208" t="s">
        <v>110</v>
      </c>
      <c r="G6747" s="208" t="s">
        <v>5469</v>
      </c>
      <c r="H6747" s="201" t="s">
        <v>585</v>
      </c>
      <c r="I6747" s="208"/>
      <c r="J6747" s="209"/>
      <c r="K6747" s="209"/>
      <c r="L6747" s="209"/>
      <c r="M6747" s="209"/>
      <c r="N6747" s="209"/>
      <c r="O6747" s="209"/>
      <c r="P6747" s="209"/>
      <c r="Q6747" s="209"/>
      <c r="R6747" s="209"/>
      <c r="S6747" s="209"/>
      <c r="T6747" s="209"/>
    </row>
    <row r="6748" spans="1:20" ht="15" hidden="1" customHeight="1">
      <c r="A6748" s="468">
        <v>45566</v>
      </c>
      <c r="B6748" s="208" t="s">
        <v>5473</v>
      </c>
      <c r="C6748" s="208" t="s">
        <v>27</v>
      </c>
      <c r="D6748" s="211">
        <v>-900000</v>
      </c>
      <c r="E6748" s="212">
        <v>45566</v>
      </c>
      <c r="F6748" s="208" t="s">
        <v>130</v>
      </c>
      <c r="G6748" s="208" t="s">
        <v>130</v>
      </c>
      <c r="H6748" s="208" t="s">
        <v>2176</v>
      </c>
      <c r="I6748" s="208"/>
      <c r="J6748" s="209"/>
      <c r="K6748" s="209"/>
      <c r="L6748" s="209"/>
      <c r="M6748" s="209"/>
      <c r="N6748" s="209"/>
      <c r="O6748" s="209"/>
      <c r="P6748" s="209"/>
      <c r="Q6748" s="209"/>
      <c r="R6748" s="209"/>
      <c r="S6748" s="209"/>
      <c r="T6748" s="209"/>
    </row>
    <row r="6749" spans="1:20" ht="15" hidden="1" customHeight="1">
      <c r="A6749" s="468">
        <v>45567</v>
      </c>
      <c r="B6749" s="208" t="s">
        <v>5474</v>
      </c>
      <c r="C6749" s="208" t="s">
        <v>27</v>
      </c>
      <c r="D6749" s="211">
        <v>-299880</v>
      </c>
      <c r="E6749" s="212">
        <v>45566</v>
      </c>
      <c r="F6749" s="208" t="s">
        <v>130</v>
      </c>
      <c r="G6749" s="208" t="s">
        <v>130</v>
      </c>
      <c r="H6749" s="208" t="s">
        <v>323</v>
      </c>
      <c r="I6749" s="208"/>
      <c r="J6749" s="209"/>
      <c r="K6749" s="209"/>
      <c r="L6749" s="209"/>
      <c r="M6749" s="209"/>
      <c r="N6749" s="209"/>
      <c r="O6749" s="209"/>
      <c r="P6749" s="209"/>
      <c r="Q6749" s="209"/>
      <c r="R6749" s="209"/>
      <c r="S6749" s="209"/>
      <c r="T6749" s="209"/>
    </row>
    <row r="6750" spans="1:20" ht="15" hidden="1" customHeight="1">
      <c r="A6750" s="468">
        <v>45567</v>
      </c>
      <c r="B6750" s="208" t="s">
        <v>5475</v>
      </c>
      <c r="C6750" s="208" t="s">
        <v>27</v>
      </c>
      <c r="D6750" s="211">
        <v>-1540000</v>
      </c>
      <c r="E6750" s="212">
        <v>45566</v>
      </c>
      <c r="F6750" s="208" t="s">
        <v>109</v>
      </c>
      <c r="G6750" s="201" t="s">
        <v>583</v>
      </c>
      <c r="H6750" s="208"/>
      <c r="I6750" s="208"/>
      <c r="J6750" s="209"/>
      <c r="K6750" s="209"/>
      <c r="L6750" s="209"/>
      <c r="M6750" s="209"/>
      <c r="N6750" s="209"/>
      <c r="O6750" s="209"/>
      <c r="P6750" s="209"/>
      <c r="Q6750" s="209"/>
      <c r="R6750" s="209"/>
      <c r="S6750" s="209"/>
      <c r="T6750" s="209"/>
    </row>
    <row r="6751" spans="1:20" ht="15" hidden="1" customHeight="1">
      <c r="A6751" s="468">
        <v>45567</v>
      </c>
      <c r="B6751" s="208" t="s">
        <v>5476</v>
      </c>
      <c r="C6751" s="208" t="s">
        <v>27</v>
      </c>
      <c r="D6751" s="211">
        <v>-1789899</v>
      </c>
      <c r="E6751" s="212">
        <v>45566</v>
      </c>
      <c r="F6751" s="208" t="s">
        <v>109</v>
      </c>
      <c r="G6751" s="601" t="s">
        <v>581</v>
      </c>
      <c r="H6751" s="208"/>
      <c r="I6751" s="208"/>
      <c r="J6751" s="209"/>
      <c r="K6751" s="209"/>
      <c r="L6751" s="209"/>
      <c r="M6751" s="209"/>
      <c r="N6751" s="209"/>
      <c r="O6751" s="209"/>
      <c r="P6751" s="209"/>
      <c r="Q6751" s="209"/>
      <c r="R6751" s="209"/>
      <c r="S6751" s="209"/>
      <c r="T6751" s="209"/>
    </row>
    <row r="6752" spans="1:20" ht="15" hidden="1" customHeight="1">
      <c r="A6752" s="468">
        <v>45567</v>
      </c>
      <c r="B6752" s="208" t="s">
        <v>5477</v>
      </c>
      <c r="C6752" s="208" t="s">
        <v>27</v>
      </c>
      <c r="D6752" s="211">
        <v>-408090</v>
      </c>
      <c r="E6752" s="212">
        <v>45566</v>
      </c>
      <c r="F6752" s="208" t="s">
        <v>109</v>
      </c>
      <c r="G6752" s="208" t="s">
        <v>2809</v>
      </c>
      <c r="H6752" s="208" t="s">
        <v>4814</v>
      </c>
      <c r="I6752" s="208"/>
      <c r="J6752" s="209"/>
      <c r="K6752" s="209"/>
      <c r="L6752" s="209"/>
      <c r="M6752" s="209"/>
      <c r="N6752" s="209"/>
      <c r="O6752" s="209"/>
      <c r="P6752" s="209"/>
      <c r="Q6752" s="209"/>
      <c r="R6752" s="209"/>
      <c r="S6752" s="209"/>
      <c r="T6752" s="209"/>
    </row>
    <row r="6753" spans="1:20" ht="15" hidden="1" customHeight="1">
      <c r="A6753" s="468">
        <v>45568</v>
      </c>
      <c r="B6753" s="208" t="s">
        <v>1311</v>
      </c>
      <c r="C6753" s="208" t="s">
        <v>27</v>
      </c>
      <c r="D6753" s="211">
        <v>-3408618</v>
      </c>
      <c r="E6753" s="212">
        <v>45566</v>
      </c>
      <c r="F6753" s="208" t="s">
        <v>110</v>
      </c>
      <c r="G6753" s="201" t="s">
        <v>1489</v>
      </c>
      <c r="H6753" s="201" t="s">
        <v>1463</v>
      </c>
      <c r="I6753" s="208"/>
      <c r="J6753" s="209"/>
      <c r="K6753" s="209"/>
      <c r="L6753" s="209"/>
      <c r="M6753" s="209"/>
      <c r="N6753" s="209"/>
      <c r="O6753" s="209"/>
      <c r="P6753" s="209"/>
      <c r="Q6753" s="209"/>
      <c r="R6753" s="209"/>
      <c r="S6753" s="209"/>
      <c r="T6753" s="209"/>
    </row>
    <row r="6754" spans="1:20" ht="15" hidden="1" customHeight="1">
      <c r="A6754" s="468">
        <v>45568</v>
      </c>
      <c r="B6754" s="208" t="s">
        <v>4826</v>
      </c>
      <c r="C6754" s="208" t="s">
        <v>27</v>
      </c>
      <c r="D6754" s="211">
        <v>-334000</v>
      </c>
      <c r="E6754" s="212">
        <v>45566</v>
      </c>
      <c r="F6754" s="208" t="s">
        <v>109</v>
      </c>
      <c r="G6754" s="208" t="s">
        <v>4986</v>
      </c>
      <c r="H6754" s="208" t="s">
        <v>323</v>
      </c>
      <c r="I6754" s="208"/>
      <c r="J6754" s="209"/>
      <c r="K6754" s="209"/>
      <c r="L6754" s="209"/>
      <c r="M6754" s="209"/>
      <c r="N6754" s="209"/>
      <c r="O6754" s="209"/>
      <c r="P6754" s="209"/>
      <c r="Q6754" s="209"/>
      <c r="R6754" s="209"/>
      <c r="S6754" s="209"/>
      <c r="T6754" s="209"/>
    </row>
    <row r="6755" spans="1:20" ht="15" hidden="1" customHeight="1">
      <c r="A6755" s="468">
        <v>45567</v>
      </c>
      <c r="B6755" s="208" t="s">
        <v>5478</v>
      </c>
      <c r="C6755" s="208" t="s">
        <v>146</v>
      </c>
      <c r="D6755" s="211">
        <v>-20000</v>
      </c>
      <c r="E6755" s="212">
        <v>45566</v>
      </c>
      <c r="F6755" s="208" t="s">
        <v>109</v>
      </c>
      <c r="G6755" s="201" t="s">
        <v>581</v>
      </c>
      <c r="H6755" s="208"/>
      <c r="I6755" s="208" t="s">
        <v>5479</v>
      </c>
      <c r="J6755" s="209"/>
      <c r="K6755" s="209"/>
      <c r="L6755" s="209"/>
      <c r="M6755" s="209"/>
      <c r="N6755" s="209"/>
      <c r="O6755" s="209"/>
      <c r="P6755" s="209"/>
      <c r="Q6755" s="209"/>
      <c r="R6755" s="209"/>
      <c r="S6755" s="209"/>
      <c r="T6755" s="209"/>
    </row>
    <row r="6756" spans="1:20" ht="15" hidden="1" customHeight="1">
      <c r="A6756" s="468">
        <v>45568</v>
      </c>
      <c r="B6756" s="208" t="s">
        <v>5480</v>
      </c>
      <c r="C6756" s="208" t="s">
        <v>27</v>
      </c>
      <c r="D6756" s="211">
        <v>-3833950</v>
      </c>
      <c r="E6756" s="212">
        <v>45566</v>
      </c>
      <c r="F6756" s="208" t="s">
        <v>130</v>
      </c>
      <c r="G6756" s="208" t="s">
        <v>130</v>
      </c>
      <c r="H6756" s="208" t="s">
        <v>1038</v>
      </c>
      <c r="I6756" s="208"/>
      <c r="J6756" s="209"/>
      <c r="K6756" s="209"/>
      <c r="L6756" s="209"/>
      <c r="M6756" s="209"/>
      <c r="N6756" s="209"/>
      <c r="O6756" s="209"/>
      <c r="P6756" s="209"/>
      <c r="Q6756" s="209"/>
      <c r="R6756" s="209"/>
      <c r="S6756" s="209"/>
      <c r="T6756" s="209"/>
    </row>
    <row r="6757" spans="1:20" ht="15" hidden="1" customHeight="1">
      <c r="A6757" s="468">
        <v>45568</v>
      </c>
      <c r="B6757" s="208" t="s">
        <v>5481</v>
      </c>
      <c r="C6757" s="208" t="s">
        <v>27</v>
      </c>
      <c r="D6757" s="211">
        <v>-537648</v>
      </c>
      <c r="E6757" s="212">
        <v>45566</v>
      </c>
      <c r="F6757" s="208" t="s">
        <v>130</v>
      </c>
      <c r="G6757" s="208" t="s">
        <v>130</v>
      </c>
      <c r="H6757" s="208" t="s">
        <v>323</v>
      </c>
      <c r="I6757" s="208"/>
      <c r="J6757" s="209"/>
      <c r="K6757" s="209"/>
      <c r="L6757" s="209"/>
      <c r="M6757" s="209"/>
      <c r="N6757" s="209"/>
      <c r="O6757" s="209"/>
      <c r="P6757" s="209"/>
      <c r="Q6757" s="209"/>
      <c r="R6757" s="209"/>
      <c r="S6757" s="209"/>
      <c r="T6757" s="209"/>
    </row>
    <row r="6758" spans="1:20" ht="15" hidden="1" customHeight="1">
      <c r="A6758" s="468">
        <v>45568</v>
      </c>
      <c r="B6758" s="208" t="s">
        <v>5482</v>
      </c>
      <c r="C6758" s="208" t="s">
        <v>27</v>
      </c>
      <c r="D6758" s="211">
        <v>-1500000</v>
      </c>
      <c r="E6758" s="212">
        <v>45566</v>
      </c>
      <c r="F6758" s="208" t="s">
        <v>109</v>
      </c>
      <c r="G6758" s="208" t="s">
        <v>2809</v>
      </c>
      <c r="H6758" s="629" t="s">
        <v>5483</v>
      </c>
      <c r="I6758" s="475" t="s">
        <v>5410</v>
      </c>
      <c r="J6758" s="209"/>
      <c r="K6758" s="209"/>
      <c r="L6758" s="209"/>
      <c r="M6758" s="209"/>
      <c r="N6758" s="209"/>
      <c r="O6758" s="209"/>
      <c r="P6758" s="209"/>
      <c r="Q6758" s="209"/>
      <c r="R6758" s="209"/>
      <c r="S6758" s="209"/>
      <c r="T6758" s="209"/>
    </row>
    <row r="6759" spans="1:20" ht="15" hidden="1" customHeight="1">
      <c r="A6759" s="468">
        <v>45568</v>
      </c>
      <c r="B6759" s="208" t="s">
        <v>5484</v>
      </c>
      <c r="C6759" s="208" t="s">
        <v>27</v>
      </c>
      <c r="D6759" s="211">
        <v>-900000</v>
      </c>
      <c r="E6759" s="212">
        <v>45566</v>
      </c>
      <c r="F6759" s="208" t="s">
        <v>130</v>
      </c>
      <c r="G6759" s="208" t="s">
        <v>130</v>
      </c>
      <c r="H6759" s="208" t="s">
        <v>2176</v>
      </c>
      <c r="I6759" s="475" t="s">
        <v>5410</v>
      </c>
      <c r="J6759" s="209"/>
      <c r="K6759" s="209"/>
      <c r="L6759" s="209"/>
      <c r="M6759" s="209"/>
      <c r="N6759" s="209"/>
      <c r="O6759" s="209"/>
      <c r="P6759" s="209"/>
      <c r="Q6759" s="209"/>
      <c r="R6759" s="209"/>
      <c r="S6759" s="209"/>
      <c r="T6759" s="209"/>
    </row>
    <row r="6760" spans="1:20" ht="15" hidden="1" customHeight="1">
      <c r="A6760" s="468">
        <v>45568</v>
      </c>
      <c r="B6760" s="208" t="s">
        <v>5485</v>
      </c>
      <c r="C6760" s="208" t="s">
        <v>27</v>
      </c>
      <c r="D6760" s="211">
        <v>-160650</v>
      </c>
      <c r="E6760" s="212">
        <v>45566</v>
      </c>
      <c r="F6760" s="208" t="s">
        <v>110</v>
      </c>
      <c r="G6760" s="208" t="s">
        <v>130</v>
      </c>
      <c r="H6760" s="208" t="s">
        <v>2444</v>
      </c>
      <c r="I6760" s="208"/>
      <c r="J6760" s="209"/>
      <c r="K6760" s="209"/>
      <c r="L6760" s="209"/>
      <c r="M6760" s="209"/>
      <c r="N6760" s="209"/>
      <c r="O6760" s="209"/>
      <c r="P6760" s="209"/>
      <c r="Q6760" s="209"/>
      <c r="R6760" s="209"/>
      <c r="S6760" s="209"/>
      <c r="T6760" s="209"/>
    </row>
    <row r="6761" spans="1:20" ht="15" hidden="1" customHeight="1">
      <c r="A6761" s="468">
        <v>45568</v>
      </c>
      <c r="B6761" s="208" t="s">
        <v>5486</v>
      </c>
      <c r="C6761" s="208" t="s">
        <v>27</v>
      </c>
      <c r="D6761" s="211">
        <v>-1139263</v>
      </c>
      <c r="E6761" s="212">
        <v>45566</v>
      </c>
      <c r="F6761" s="208" t="s">
        <v>130</v>
      </c>
      <c r="G6761" s="208" t="s">
        <v>257</v>
      </c>
      <c r="H6761" s="633" t="s">
        <v>1031</v>
      </c>
      <c r="I6761" s="475" t="s">
        <v>5410</v>
      </c>
      <c r="J6761" s="209"/>
      <c r="K6761" s="209"/>
      <c r="L6761" s="209"/>
      <c r="M6761" s="209"/>
      <c r="N6761" s="209"/>
      <c r="O6761" s="209"/>
      <c r="P6761" s="209"/>
      <c r="Q6761" s="209"/>
      <c r="R6761" s="209"/>
      <c r="S6761" s="209"/>
      <c r="T6761" s="209"/>
    </row>
    <row r="6762" spans="1:20" ht="15" hidden="1" customHeight="1">
      <c r="A6762" s="468">
        <v>45567</v>
      </c>
      <c r="B6762" s="208" t="s">
        <v>5487</v>
      </c>
      <c r="C6762" s="208" t="s">
        <v>146</v>
      </c>
      <c r="D6762" s="211">
        <v>-12000</v>
      </c>
      <c r="E6762" s="212">
        <v>45566</v>
      </c>
      <c r="F6762" s="208" t="s">
        <v>109</v>
      </c>
      <c r="G6762" s="201" t="s">
        <v>581</v>
      </c>
      <c r="H6762" s="208"/>
      <c r="I6762" s="208" t="s">
        <v>5479</v>
      </c>
      <c r="J6762" s="209"/>
      <c r="K6762" s="209"/>
      <c r="L6762" s="209"/>
      <c r="M6762" s="209"/>
      <c r="N6762" s="209"/>
      <c r="O6762" s="209"/>
      <c r="P6762" s="209"/>
      <c r="Q6762" s="209"/>
      <c r="R6762" s="209"/>
      <c r="S6762" s="209"/>
      <c r="T6762" s="209"/>
    </row>
    <row r="6763" spans="1:20" ht="15" hidden="1" customHeight="1">
      <c r="A6763" s="468">
        <v>45568</v>
      </c>
      <c r="B6763" s="208" t="s">
        <v>5488</v>
      </c>
      <c r="C6763" s="208" t="s">
        <v>27</v>
      </c>
      <c r="D6763" s="211">
        <v>-6500000</v>
      </c>
      <c r="E6763" s="212">
        <v>45566</v>
      </c>
      <c r="F6763" s="208" t="s">
        <v>109</v>
      </c>
      <c r="G6763" s="201" t="s">
        <v>581</v>
      </c>
      <c r="H6763" s="208"/>
      <c r="I6763" s="208"/>
      <c r="J6763" s="209"/>
      <c r="K6763" s="209"/>
      <c r="L6763" s="209"/>
      <c r="M6763" s="209"/>
      <c r="N6763" s="209"/>
      <c r="O6763" s="209"/>
      <c r="P6763" s="209"/>
      <c r="Q6763" s="209"/>
      <c r="R6763" s="209"/>
      <c r="S6763" s="209"/>
      <c r="T6763" s="209"/>
    </row>
    <row r="6764" spans="1:20" ht="15" hidden="1" customHeight="1">
      <c r="A6764" s="468">
        <v>45568</v>
      </c>
      <c r="B6764" s="208" t="s">
        <v>5489</v>
      </c>
      <c r="C6764" s="208" t="s">
        <v>27</v>
      </c>
      <c r="D6764" s="211">
        <v>-6800</v>
      </c>
      <c r="E6764" s="212">
        <v>45566</v>
      </c>
      <c r="F6764" s="208" t="s">
        <v>130</v>
      </c>
      <c r="G6764" s="208" t="s">
        <v>130</v>
      </c>
      <c r="H6764" s="208" t="s">
        <v>2421</v>
      </c>
      <c r="I6764" s="208"/>
      <c r="J6764" s="209"/>
      <c r="K6764" s="209"/>
      <c r="L6764" s="209"/>
      <c r="M6764" s="209"/>
      <c r="N6764" s="209"/>
      <c r="O6764" s="209"/>
      <c r="P6764" s="209"/>
      <c r="Q6764" s="209"/>
      <c r="R6764" s="209"/>
      <c r="S6764" s="209"/>
      <c r="T6764" s="209"/>
    </row>
    <row r="6765" spans="1:20" ht="15" hidden="1" customHeight="1">
      <c r="A6765" s="468">
        <v>45568</v>
      </c>
      <c r="B6765" s="208" t="s">
        <v>5490</v>
      </c>
      <c r="C6765" s="208" t="s">
        <v>27</v>
      </c>
      <c r="D6765" s="718">
        <v>-13375300</v>
      </c>
      <c r="E6765" s="212">
        <v>45566</v>
      </c>
      <c r="F6765" s="208" t="s">
        <v>109</v>
      </c>
      <c r="G6765" s="201" t="s">
        <v>581</v>
      </c>
      <c r="H6765" s="208"/>
      <c r="I6765" s="208"/>
      <c r="J6765" s="209"/>
      <c r="K6765" s="209"/>
      <c r="L6765" s="209"/>
      <c r="M6765" s="209"/>
      <c r="N6765" s="209"/>
      <c r="O6765" s="209"/>
      <c r="P6765" s="209"/>
      <c r="Q6765" s="209"/>
      <c r="R6765" s="209"/>
      <c r="S6765" s="209"/>
      <c r="T6765" s="209"/>
    </row>
    <row r="6766" spans="1:20" ht="15" hidden="1" customHeight="1">
      <c r="A6766" s="468">
        <v>45568</v>
      </c>
      <c r="B6766" s="208" t="s">
        <v>5491</v>
      </c>
      <c r="C6766" s="208" t="s">
        <v>27</v>
      </c>
      <c r="D6766" s="211">
        <v>-16418</v>
      </c>
      <c r="E6766" s="212">
        <v>45566</v>
      </c>
      <c r="F6766" s="208" t="s">
        <v>130</v>
      </c>
      <c r="G6766" s="208" t="s">
        <v>130</v>
      </c>
      <c r="H6766" s="208" t="s">
        <v>406</v>
      </c>
      <c r="I6766" s="208"/>
      <c r="J6766" s="209"/>
      <c r="K6766" s="209"/>
      <c r="L6766" s="209"/>
      <c r="M6766" s="209"/>
      <c r="N6766" s="209"/>
      <c r="O6766" s="209"/>
      <c r="P6766" s="209"/>
      <c r="Q6766" s="209"/>
      <c r="R6766" s="209"/>
      <c r="S6766" s="209"/>
      <c r="T6766" s="209"/>
    </row>
    <row r="6767" spans="1:20" ht="15" hidden="1" customHeight="1">
      <c r="A6767" s="468">
        <v>45568</v>
      </c>
      <c r="B6767" s="208" t="s">
        <v>5492</v>
      </c>
      <c r="C6767" s="208" t="s">
        <v>27</v>
      </c>
      <c r="D6767" s="211">
        <v>-676303</v>
      </c>
      <c r="E6767" s="212">
        <v>45566</v>
      </c>
      <c r="F6767" s="208" t="s">
        <v>109</v>
      </c>
      <c r="G6767" s="201" t="s">
        <v>581</v>
      </c>
      <c r="H6767" s="208"/>
      <c r="I6767" s="208"/>
      <c r="J6767" s="209"/>
      <c r="K6767" s="209"/>
      <c r="L6767" s="209"/>
      <c r="M6767" s="209"/>
      <c r="N6767" s="209"/>
      <c r="O6767" s="209"/>
      <c r="P6767" s="209"/>
      <c r="Q6767" s="209"/>
      <c r="R6767" s="209"/>
      <c r="S6767" s="209"/>
      <c r="T6767" s="209"/>
    </row>
    <row r="6768" spans="1:20" ht="15" hidden="1" customHeight="1">
      <c r="A6768" s="468">
        <v>45568</v>
      </c>
      <c r="B6768" s="687" t="s">
        <v>5493</v>
      </c>
      <c r="C6768" s="208" t="s">
        <v>27</v>
      </c>
      <c r="D6768" s="211">
        <v>-325500000</v>
      </c>
      <c r="E6768" s="212">
        <v>45566</v>
      </c>
      <c r="F6768" s="208" t="s">
        <v>4859</v>
      </c>
      <c r="G6768" s="208" t="s">
        <v>4860</v>
      </c>
      <c r="H6768" s="208"/>
      <c r="I6768" s="208"/>
      <c r="J6768" s="209"/>
      <c r="K6768" s="209"/>
      <c r="L6768" s="209"/>
      <c r="M6768" s="209"/>
      <c r="N6768" s="209"/>
      <c r="O6768" s="209"/>
      <c r="P6768" s="209"/>
      <c r="Q6768" s="209"/>
      <c r="R6768" s="209"/>
      <c r="S6768" s="209"/>
      <c r="T6768" s="209"/>
    </row>
    <row r="6769" spans="1:20" ht="15" hidden="1" customHeight="1">
      <c r="A6769" s="468">
        <v>45569</v>
      </c>
      <c r="B6769" s="208" t="s">
        <v>5494</v>
      </c>
      <c r="C6769" s="208" t="s">
        <v>27</v>
      </c>
      <c r="D6769" s="211">
        <v>-314800</v>
      </c>
      <c r="E6769" s="212">
        <v>45566</v>
      </c>
      <c r="F6769" s="208" t="s">
        <v>130</v>
      </c>
      <c r="G6769" s="208" t="s">
        <v>130</v>
      </c>
      <c r="H6769" s="208" t="s">
        <v>852</v>
      </c>
      <c r="I6769" s="208"/>
      <c r="J6769" s="209"/>
      <c r="K6769" s="209"/>
      <c r="L6769" s="209"/>
      <c r="M6769" s="209"/>
      <c r="N6769" s="209"/>
      <c r="O6769" s="209"/>
      <c r="P6769" s="209"/>
      <c r="Q6769" s="209"/>
      <c r="R6769" s="209"/>
      <c r="S6769" s="209"/>
      <c r="T6769" s="209"/>
    </row>
    <row r="6770" spans="1:20" ht="15" hidden="1" customHeight="1">
      <c r="A6770" s="468">
        <v>45569</v>
      </c>
      <c r="B6770" s="209" t="s">
        <v>5495</v>
      </c>
      <c r="C6770" s="208" t="s">
        <v>27</v>
      </c>
      <c r="D6770" s="211">
        <v>-268398</v>
      </c>
      <c r="E6770" s="212">
        <v>45566</v>
      </c>
      <c r="F6770" s="208" t="s">
        <v>109</v>
      </c>
      <c r="G6770" s="208" t="s">
        <v>4986</v>
      </c>
      <c r="H6770" s="201" t="s">
        <v>318</v>
      </c>
      <c r="I6770" s="208"/>
      <c r="J6770" s="209"/>
      <c r="K6770" s="209"/>
      <c r="L6770" s="209"/>
      <c r="M6770" s="209"/>
      <c r="N6770" s="209"/>
      <c r="O6770" s="209"/>
      <c r="P6770" s="209"/>
      <c r="Q6770" s="209"/>
      <c r="R6770" s="209"/>
      <c r="S6770" s="209"/>
      <c r="T6770" s="209"/>
    </row>
    <row r="6771" spans="1:20" ht="15" hidden="1" customHeight="1">
      <c r="A6771" s="468">
        <v>45566</v>
      </c>
      <c r="B6771" s="208" t="s">
        <v>5496</v>
      </c>
      <c r="C6771" s="208" t="s">
        <v>27</v>
      </c>
      <c r="D6771" s="211">
        <v>636092380</v>
      </c>
      <c r="E6771" s="212">
        <v>45566</v>
      </c>
      <c r="F6771" s="208" t="s">
        <v>109</v>
      </c>
      <c r="G6771" s="208" t="s">
        <v>4986</v>
      </c>
      <c r="H6771" s="208" t="s">
        <v>461</v>
      </c>
      <c r="I6771" s="208"/>
      <c r="J6771" s="209"/>
      <c r="K6771" s="209"/>
      <c r="L6771" s="209"/>
      <c r="M6771" s="209"/>
      <c r="N6771" s="209"/>
      <c r="O6771" s="209"/>
      <c r="P6771" s="209"/>
      <c r="Q6771" s="209"/>
      <c r="R6771" s="209"/>
      <c r="S6771" s="209"/>
      <c r="T6771" s="209"/>
    </row>
    <row r="6772" spans="1:20" ht="15" hidden="1" customHeight="1">
      <c r="A6772" s="468">
        <v>45567</v>
      </c>
      <c r="B6772" s="208" t="s">
        <v>5497</v>
      </c>
      <c r="C6772" s="208" t="s">
        <v>27</v>
      </c>
      <c r="D6772" s="211">
        <v>6210000</v>
      </c>
      <c r="E6772" s="212">
        <v>45566</v>
      </c>
      <c r="F6772" s="208" t="s">
        <v>109</v>
      </c>
      <c r="G6772" s="201" t="s">
        <v>1306</v>
      </c>
      <c r="H6772" s="208"/>
      <c r="I6772" s="475" t="s">
        <v>5410</v>
      </c>
      <c r="J6772" s="209"/>
      <c r="K6772" s="209"/>
      <c r="L6772" s="209"/>
      <c r="M6772" s="209"/>
      <c r="N6772" s="209"/>
      <c r="O6772" s="209"/>
      <c r="P6772" s="209"/>
      <c r="Q6772" s="209"/>
      <c r="R6772" s="209"/>
      <c r="S6772" s="209"/>
      <c r="T6772" s="209"/>
    </row>
    <row r="6773" spans="1:20" ht="15" hidden="1" customHeight="1">
      <c r="A6773" s="468">
        <v>45566</v>
      </c>
      <c r="B6773" s="81" t="s">
        <v>5498</v>
      </c>
      <c r="C6773" s="208" t="s">
        <v>643</v>
      </c>
      <c r="D6773" s="211">
        <v>-423721.4</v>
      </c>
      <c r="E6773" s="212">
        <v>45566</v>
      </c>
      <c r="F6773" s="208" t="s">
        <v>130</v>
      </c>
      <c r="G6773" s="208" t="s">
        <v>130</v>
      </c>
      <c r="H6773" s="208" t="s">
        <v>1245</v>
      </c>
      <c r="I6773" s="208"/>
      <c r="J6773" s="209"/>
      <c r="K6773" s="209"/>
      <c r="L6773" s="209"/>
      <c r="M6773" s="209"/>
      <c r="N6773" s="209"/>
      <c r="O6773" s="209"/>
      <c r="P6773" s="209"/>
      <c r="Q6773" s="209"/>
      <c r="R6773" s="209"/>
      <c r="S6773" s="209"/>
      <c r="T6773" s="209"/>
    </row>
    <row r="6774" spans="1:20" ht="15" hidden="1" customHeight="1">
      <c r="A6774" s="468">
        <v>45566</v>
      </c>
      <c r="B6774" s="81" t="s">
        <v>3018</v>
      </c>
      <c r="C6774" s="208" t="s">
        <v>643</v>
      </c>
      <c r="D6774" s="211">
        <v>-253440</v>
      </c>
      <c r="E6774" s="212">
        <v>45566</v>
      </c>
      <c r="F6774" s="208" t="s">
        <v>130</v>
      </c>
      <c r="G6774" s="208" t="s">
        <v>257</v>
      </c>
      <c r="H6774" s="208" t="s">
        <v>2272</v>
      </c>
      <c r="I6774" s="208"/>
      <c r="J6774" s="209"/>
      <c r="K6774" s="209"/>
      <c r="L6774" s="209"/>
      <c r="M6774" s="209"/>
      <c r="N6774" s="209"/>
      <c r="O6774" s="209"/>
      <c r="P6774" s="209"/>
      <c r="Q6774" s="209"/>
      <c r="R6774" s="209"/>
      <c r="S6774" s="209"/>
      <c r="T6774" s="209"/>
    </row>
    <row r="6775" spans="1:20" ht="15" hidden="1" customHeight="1">
      <c r="A6775" s="468">
        <v>45566</v>
      </c>
      <c r="B6775" s="81" t="s">
        <v>3676</v>
      </c>
      <c r="C6775" s="208" t="s">
        <v>643</v>
      </c>
      <c r="D6775" s="211">
        <v>-7000</v>
      </c>
      <c r="E6775" s="212">
        <v>45566</v>
      </c>
      <c r="F6775" s="208" t="s">
        <v>130</v>
      </c>
      <c r="G6775" s="208" t="s">
        <v>130</v>
      </c>
      <c r="H6775" s="208" t="s">
        <v>1245</v>
      </c>
      <c r="I6775" s="208"/>
      <c r="J6775" s="209"/>
      <c r="K6775" s="209"/>
      <c r="L6775" s="209"/>
      <c r="M6775" s="209"/>
      <c r="N6775" s="209"/>
      <c r="O6775" s="209"/>
      <c r="P6775" s="209"/>
      <c r="Q6775" s="209"/>
      <c r="R6775" s="209"/>
      <c r="S6775" s="209"/>
      <c r="T6775" s="209"/>
    </row>
    <row r="6776" spans="1:20" ht="15" hidden="1" customHeight="1">
      <c r="A6776" s="468">
        <v>45566</v>
      </c>
      <c r="B6776" s="81" t="s">
        <v>5499</v>
      </c>
      <c r="C6776" s="208" t="s">
        <v>643</v>
      </c>
      <c r="D6776" s="211">
        <v>-65556</v>
      </c>
      <c r="E6776" s="212">
        <v>45566</v>
      </c>
      <c r="F6776" s="208" t="s">
        <v>130</v>
      </c>
      <c r="G6776" s="208" t="s">
        <v>257</v>
      </c>
      <c r="H6776" s="208" t="s">
        <v>303</v>
      </c>
      <c r="I6776" s="208"/>
      <c r="J6776" s="209"/>
      <c r="K6776" s="209"/>
      <c r="L6776" s="209"/>
      <c r="M6776" s="209"/>
      <c r="N6776" s="209"/>
      <c r="O6776" s="209"/>
      <c r="P6776" s="209"/>
      <c r="Q6776" s="209"/>
      <c r="R6776" s="209"/>
      <c r="S6776" s="209"/>
      <c r="T6776" s="209"/>
    </row>
    <row r="6777" spans="1:20" ht="15" hidden="1" customHeight="1">
      <c r="A6777" s="468">
        <v>45566</v>
      </c>
      <c r="B6777" s="81" t="s">
        <v>4781</v>
      </c>
      <c r="C6777" s="208" t="s">
        <v>643</v>
      </c>
      <c r="D6777" s="211">
        <v>-65000</v>
      </c>
      <c r="E6777" s="212">
        <v>45566</v>
      </c>
      <c r="F6777" s="208" t="s">
        <v>130</v>
      </c>
      <c r="G6777" s="208" t="s">
        <v>257</v>
      </c>
      <c r="H6777" s="208" t="s">
        <v>303</v>
      </c>
      <c r="I6777" s="208"/>
      <c r="J6777" s="209"/>
      <c r="K6777" s="209"/>
      <c r="L6777" s="209"/>
      <c r="M6777" s="209"/>
      <c r="N6777" s="209"/>
      <c r="O6777" s="209"/>
      <c r="P6777" s="209"/>
      <c r="Q6777" s="209"/>
      <c r="R6777" s="209"/>
      <c r="S6777" s="209"/>
      <c r="T6777" s="209"/>
    </row>
    <row r="6778" spans="1:20" ht="15" hidden="1" customHeight="1">
      <c r="A6778" s="468">
        <v>45567</v>
      </c>
      <c r="B6778" s="81" t="s">
        <v>5500</v>
      </c>
      <c r="C6778" s="208" t="s">
        <v>643</v>
      </c>
      <c r="D6778" s="211">
        <v>-1960793.79</v>
      </c>
      <c r="E6778" s="212">
        <v>45566</v>
      </c>
      <c r="F6778" s="208" t="s">
        <v>130</v>
      </c>
      <c r="G6778" s="208" t="s">
        <v>130</v>
      </c>
      <c r="H6778" s="208" t="s">
        <v>1245</v>
      </c>
      <c r="I6778" s="208"/>
      <c r="J6778" s="209"/>
      <c r="K6778" s="209"/>
      <c r="L6778" s="209"/>
      <c r="M6778" s="209"/>
      <c r="N6778" s="209"/>
      <c r="O6778" s="209"/>
      <c r="P6778" s="209"/>
      <c r="Q6778" s="209"/>
      <c r="R6778" s="209"/>
      <c r="S6778" s="209"/>
      <c r="T6778" s="209"/>
    </row>
    <row r="6779" spans="1:20" ht="15" hidden="1" customHeight="1">
      <c r="A6779" s="468">
        <v>45567</v>
      </c>
      <c r="B6779" s="81" t="s">
        <v>3676</v>
      </c>
      <c r="C6779" s="208" t="s">
        <v>643</v>
      </c>
      <c r="D6779" s="211">
        <v>-9000</v>
      </c>
      <c r="E6779" s="212">
        <v>45566</v>
      </c>
      <c r="F6779" s="208" t="s">
        <v>130</v>
      </c>
      <c r="G6779" s="208" t="s">
        <v>130</v>
      </c>
      <c r="H6779" s="208" t="s">
        <v>1245</v>
      </c>
      <c r="I6779" s="208"/>
      <c r="J6779" s="209"/>
      <c r="K6779" s="209"/>
      <c r="L6779" s="209"/>
      <c r="M6779" s="209"/>
      <c r="N6779" s="209"/>
      <c r="O6779" s="209"/>
      <c r="P6779" s="209"/>
      <c r="Q6779" s="209"/>
      <c r="R6779" s="209"/>
      <c r="S6779" s="209"/>
      <c r="T6779" s="209"/>
    </row>
    <row r="6780" spans="1:20" ht="15" hidden="1" customHeight="1">
      <c r="A6780" s="468">
        <v>45567</v>
      </c>
      <c r="B6780" s="81" t="s">
        <v>4339</v>
      </c>
      <c r="C6780" s="208" t="s">
        <v>643</v>
      </c>
      <c r="D6780" s="211">
        <v>-15000</v>
      </c>
      <c r="E6780" s="212">
        <v>45566</v>
      </c>
      <c r="F6780" s="208" t="s">
        <v>130</v>
      </c>
      <c r="G6780" s="208" t="s">
        <v>257</v>
      </c>
      <c r="H6780" s="208" t="s">
        <v>303</v>
      </c>
      <c r="I6780" s="208"/>
      <c r="J6780" s="209"/>
      <c r="K6780" s="209"/>
      <c r="L6780" s="209"/>
      <c r="M6780" s="209"/>
      <c r="N6780" s="209"/>
      <c r="O6780" s="209"/>
      <c r="P6780" s="209"/>
      <c r="Q6780" s="209"/>
      <c r="R6780" s="209"/>
      <c r="S6780" s="209"/>
      <c r="T6780" s="209"/>
    </row>
    <row r="6781" spans="1:20" ht="15" hidden="1" customHeight="1">
      <c r="A6781" s="468">
        <v>45568</v>
      </c>
      <c r="B6781" s="81" t="s">
        <v>4129</v>
      </c>
      <c r="C6781" s="208" t="s">
        <v>643</v>
      </c>
      <c r="D6781" s="211">
        <v>-94600</v>
      </c>
      <c r="E6781" s="212">
        <v>45566</v>
      </c>
      <c r="F6781" s="208" t="s">
        <v>130</v>
      </c>
      <c r="G6781" s="208" t="s">
        <v>257</v>
      </c>
      <c r="H6781" s="208" t="s">
        <v>659</v>
      </c>
      <c r="I6781" s="208"/>
      <c r="J6781" s="209"/>
      <c r="K6781" s="209"/>
      <c r="L6781" s="209"/>
      <c r="M6781" s="209"/>
      <c r="N6781" s="209"/>
      <c r="O6781" s="209"/>
      <c r="P6781" s="209"/>
      <c r="Q6781" s="209"/>
      <c r="R6781" s="209"/>
      <c r="S6781" s="209"/>
      <c r="T6781" s="209"/>
    </row>
    <row r="6782" spans="1:20" ht="15" hidden="1" customHeight="1">
      <c r="A6782" s="468">
        <v>45569</v>
      </c>
      <c r="B6782" s="81" t="s">
        <v>5501</v>
      </c>
      <c r="C6782" s="208" t="s">
        <v>643</v>
      </c>
      <c r="D6782" s="211">
        <v>-14500</v>
      </c>
      <c r="E6782" s="212">
        <v>45566</v>
      </c>
      <c r="F6782" s="208" t="s">
        <v>130</v>
      </c>
      <c r="G6782" s="208" t="s">
        <v>257</v>
      </c>
      <c r="H6782" s="208" t="s">
        <v>303</v>
      </c>
      <c r="I6782" s="208"/>
      <c r="J6782" s="209"/>
      <c r="K6782" s="209"/>
      <c r="L6782" s="209"/>
      <c r="M6782" s="209"/>
      <c r="N6782" s="209"/>
      <c r="O6782" s="209"/>
      <c r="P6782" s="209"/>
      <c r="Q6782" s="209"/>
      <c r="R6782" s="209"/>
      <c r="S6782" s="209"/>
      <c r="T6782" s="209"/>
    </row>
    <row r="6783" spans="1:20" ht="14.15" hidden="1">
      <c r="A6783" s="468">
        <v>45569</v>
      </c>
      <c r="B6783" s="208" t="s">
        <v>5502</v>
      </c>
      <c r="C6783" s="208" t="s">
        <v>27</v>
      </c>
      <c r="D6783" s="211">
        <v>-637200</v>
      </c>
      <c r="E6783" s="212">
        <v>45566</v>
      </c>
      <c r="F6783" s="208" t="s">
        <v>110</v>
      </c>
      <c r="G6783" s="208" t="s">
        <v>5503</v>
      </c>
      <c r="H6783" s="208" t="s">
        <v>147</v>
      </c>
      <c r="I6783" s="208"/>
      <c r="J6783" s="209"/>
      <c r="K6783" s="209"/>
      <c r="L6783" s="209"/>
      <c r="M6783" s="209"/>
      <c r="N6783" s="209"/>
      <c r="O6783" s="209"/>
      <c r="P6783" s="209"/>
      <c r="Q6783" s="209"/>
      <c r="R6783" s="209"/>
      <c r="S6783" s="209"/>
      <c r="T6783" s="209"/>
    </row>
    <row r="6784" spans="1:20" ht="14.15" hidden="1">
      <c r="A6784" s="468">
        <v>45568</v>
      </c>
      <c r="B6784" s="208" t="s">
        <v>5504</v>
      </c>
      <c r="C6784" s="208" t="s">
        <v>27</v>
      </c>
      <c r="D6784" s="211">
        <v>-476000</v>
      </c>
      <c r="E6784" s="212">
        <v>45566</v>
      </c>
      <c r="F6784" s="208" t="s">
        <v>109</v>
      </c>
      <c r="G6784" s="201" t="s">
        <v>581</v>
      </c>
      <c r="H6784" s="208"/>
      <c r="I6784" s="208"/>
      <c r="J6784" s="209"/>
      <c r="K6784" s="209"/>
      <c r="L6784" s="209"/>
      <c r="M6784" s="209"/>
      <c r="N6784" s="209"/>
      <c r="O6784" s="209"/>
      <c r="P6784" s="209"/>
      <c r="Q6784" s="209"/>
      <c r="R6784" s="209"/>
      <c r="S6784" s="209"/>
      <c r="T6784" s="209"/>
    </row>
    <row r="6785" spans="1:20" ht="14.15" hidden="1">
      <c r="A6785" s="468">
        <v>45568</v>
      </c>
      <c r="B6785" s="208" t="s">
        <v>5505</v>
      </c>
      <c r="C6785" s="208" t="s">
        <v>27</v>
      </c>
      <c r="D6785" s="211">
        <v>-1240000</v>
      </c>
      <c r="E6785" s="212">
        <v>45566</v>
      </c>
      <c r="F6785" s="208" t="s">
        <v>109</v>
      </c>
      <c r="G6785" s="201" t="s">
        <v>581</v>
      </c>
      <c r="H6785" s="208"/>
      <c r="I6785" s="208"/>
      <c r="J6785" s="209"/>
      <c r="K6785" s="209"/>
      <c r="L6785" s="209"/>
      <c r="M6785" s="209"/>
      <c r="N6785" s="209"/>
      <c r="O6785" s="209"/>
      <c r="P6785" s="209"/>
      <c r="Q6785" s="209"/>
      <c r="R6785" s="209"/>
      <c r="S6785" s="209"/>
      <c r="T6785" s="209"/>
    </row>
    <row r="6786" spans="1:20" ht="14.15" hidden="1">
      <c r="A6786" s="468">
        <v>45569</v>
      </c>
      <c r="B6786" s="208" t="s">
        <v>5506</v>
      </c>
      <c r="C6786" s="208" t="s">
        <v>27</v>
      </c>
      <c r="D6786" s="211">
        <v>-1000000</v>
      </c>
      <c r="E6786" s="212">
        <v>45566</v>
      </c>
      <c r="F6786" s="208" t="s">
        <v>130</v>
      </c>
      <c r="G6786" s="208" t="s">
        <v>130</v>
      </c>
      <c r="H6786" s="374" t="s">
        <v>2724</v>
      </c>
      <c r="I6786" s="208"/>
      <c r="J6786" s="209"/>
      <c r="K6786" s="209"/>
      <c r="L6786" s="209"/>
      <c r="M6786" s="209"/>
      <c r="N6786" s="209"/>
      <c r="O6786" s="209"/>
      <c r="P6786" s="209"/>
      <c r="Q6786" s="209"/>
      <c r="R6786" s="209"/>
      <c r="S6786" s="209"/>
      <c r="T6786" s="209"/>
    </row>
    <row r="6787" spans="1:20" ht="14.15" hidden="1">
      <c r="A6787" s="468">
        <v>45569</v>
      </c>
      <c r="B6787" s="208" t="s">
        <v>5507</v>
      </c>
      <c r="C6787" s="208" t="s">
        <v>27</v>
      </c>
      <c r="D6787" s="211">
        <v>-2624763</v>
      </c>
      <c r="E6787" s="212">
        <v>45566</v>
      </c>
      <c r="F6787" s="208" t="s">
        <v>110</v>
      </c>
      <c r="G6787" s="208" t="s">
        <v>5503</v>
      </c>
      <c r="H6787" s="208" t="s">
        <v>147</v>
      </c>
      <c r="I6787" s="475" t="s">
        <v>5410</v>
      </c>
      <c r="J6787" s="209"/>
      <c r="K6787" s="209"/>
      <c r="L6787" s="209"/>
      <c r="M6787" s="209"/>
      <c r="N6787" s="209"/>
      <c r="O6787" s="209"/>
      <c r="P6787" s="209"/>
      <c r="Q6787" s="209"/>
      <c r="R6787" s="209"/>
      <c r="S6787" s="209"/>
      <c r="T6787" s="209"/>
    </row>
    <row r="6788" spans="1:20" ht="14.15" hidden="1">
      <c r="A6788" s="468">
        <v>45566</v>
      </c>
      <c r="B6788" s="208" t="s">
        <v>5508</v>
      </c>
      <c r="C6788" s="208" t="s">
        <v>4783</v>
      </c>
      <c r="D6788" s="211">
        <v>-5147982</v>
      </c>
      <c r="E6788" s="212">
        <v>45566</v>
      </c>
      <c r="F6788" s="84" t="s">
        <v>111</v>
      </c>
      <c r="G6788" s="208"/>
      <c r="H6788" s="208"/>
      <c r="I6788" s="208"/>
      <c r="J6788" s="209"/>
      <c r="K6788" s="209"/>
      <c r="L6788" s="209"/>
      <c r="M6788" s="209"/>
      <c r="N6788" s="209"/>
      <c r="O6788" s="209"/>
      <c r="P6788" s="209"/>
      <c r="Q6788" s="209"/>
      <c r="R6788" s="209"/>
      <c r="S6788" s="209"/>
      <c r="T6788" s="209"/>
    </row>
    <row r="6789" spans="1:20" ht="14.15" hidden="1">
      <c r="A6789" s="468">
        <v>45568</v>
      </c>
      <c r="B6789" s="208" t="s">
        <v>5509</v>
      </c>
      <c r="C6789" s="208" t="s">
        <v>146</v>
      </c>
      <c r="D6789" s="211">
        <v>-20000</v>
      </c>
      <c r="E6789" s="212">
        <v>45566</v>
      </c>
      <c r="F6789" s="208" t="s">
        <v>109</v>
      </c>
      <c r="G6789" s="201" t="s">
        <v>581</v>
      </c>
      <c r="H6789" s="208"/>
      <c r="I6789" s="208" t="s">
        <v>5479</v>
      </c>
      <c r="J6789" s="209"/>
      <c r="K6789" s="209"/>
      <c r="L6789" s="209"/>
      <c r="M6789" s="209"/>
      <c r="N6789" s="209"/>
      <c r="O6789" s="209"/>
      <c r="P6789" s="209"/>
      <c r="Q6789" s="209"/>
      <c r="R6789" s="209"/>
      <c r="S6789" s="209"/>
      <c r="T6789" s="209"/>
    </row>
    <row r="6790" spans="1:20" ht="14.15" hidden="1">
      <c r="A6790" s="468">
        <v>45569</v>
      </c>
      <c r="B6790" s="208" t="s">
        <v>5510</v>
      </c>
      <c r="C6790" s="208" t="s">
        <v>27</v>
      </c>
      <c r="D6790" s="211">
        <v>-750000</v>
      </c>
      <c r="E6790" s="212">
        <v>45566</v>
      </c>
      <c r="F6790" s="208" t="s">
        <v>109</v>
      </c>
      <c r="G6790" s="201" t="s">
        <v>581</v>
      </c>
      <c r="H6790" s="208"/>
      <c r="I6790" s="208"/>
      <c r="J6790" s="209"/>
      <c r="K6790" s="209"/>
      <c r="L6790" s="209"/>
      <c r="M6790" s="209"/>
      <c r="N6790" s="209"/>
      <c r="O6790" s="209"/>
      <c r="P6790" s="209"/>
      <c r="Q6790" s="209"/>
      <c r="R6790" s="209"/>
      <c r="S6790" s="209"/>
      <c r="T6790" s="209"/>
    </row>
    <row r="6791" spans="1:20" ht="14.15" hidden="1">
      <c r="A6791" s="468">
        <v>45569</v>
      </c>
      <c r="B6791" s="208" t="s">
        <v>5510</v>
      </c>
      <c r="C6791" s="208" t="s">
        <v>27</v>
      </c>
      <c r="D6791" s="211">
        <v>-4954969</v>
      </c>
      <c r="E6791" s="212">
        <v>45566</v>
      </c>
      <c r="F6791" s="208" t="s">
        <v>109</v>
      </c>
      <c r="G6791" s="201" t="s">
        <v>583</v>
      </c>
      <c r="H6791" s="208"/>
      <c r="I6791" s="208"/>
      <c r="J6791" s="209"/>
      <c r="K6791" s="209"/>
      <c r="L6791" s="209"/>
      <c r="M6791" s="209"/>
      <c r="N6791" s="209"/>
      <c r="O6791" s="209"/>
      <c r="P6791" s="209"/>
      <c r="Q6791" s="209"/>
      <c r="R6791" s="209"/>
      <c r="S6791" s="209"/>
      <c r="T6791" s="209"/>
    </row>
    <row r="6792" spans="1:20" ht="14.15" hidden="1">
      <c r="A6792" s="468">
        <v>45569</v>
      </c>
      <c r="B6792" s="208" t="s">
        <v>5511</v>
      </c>
      <c r="C6792" s="208" t="s">
        <v>146</v>
      </c>
      <c r="D6792" s="211">
        <v>-18000</v>
      </c>
      <c r="E6792" s="212">
        <v>45566</v>
      </c>
      <c r="F6792" s="208" t="s">
        <v>109</v>
      </c>
      <c r="G6792" s="201" t="s">
        <v>581</v>
      </c>
      <c r="H6792" s="208"/>
      <c r="I6792" s="475" t="s">
        <v>5410</v>
      </c>
      <c r="J6792" s="209"/>
      <c r="K6792" s="209"/>
      <c r="L6792" s="209"/>
      <c r="M6792" s="209"/>
      <c r="N6792" s="209"/>
      <c r="O6792" s="209"/>
      <c r="P6792" s="209"/>
      <c r="Q6792" s="209"/>
      <c r="R6792" s="209"/>
      <c r="S6792" s="209"/>
      <c r="T6792" s="209"/>
    </row>
    <row r="6793" spans="1:20" ht="14.15" hidden="1">
      <c r="A6793" s="468">
        <v>45569</v>
      </c>
      <c r="B6793" s="208" t="s">
        <v>5512</v>
      </c>
      <c r="C6793" s="208" t="s">
        <v>27</v>
      </c>
      <c r="D6793" s="211">
        <v>1000000</v>
      </c>
      <c r="E6793" s="212">
        <v>45566</v>
      </c>
      <c r="F6793" s="208" t="s">
        <v>130</v>
      </c>
      <c r="G6793" s="208" t="s">
        <v>130</v>
      </c>
      <c r="H6793" s="208" t="s">
        <v>3622</v>
      </c>
      <c r="I6793" s="208"/>
      <c r="J6793" s="209"/>
      <c r="K6793" s="209"/>
      <c r="L6793" s="209"/>
      <c r="M6793" s="209"/>
      <c r="N6793" s="209"/>
      <c r="O6793" s="209"/>
      <c r="P6793" s="209"/>
      <c r="Q6793" s="209"/>
      <c r="R6793" s="209"/>
      <c r="S6793" s="209"/>
      <c r="T6793" s="209"/>
    </row>
    <row r="6794" spans="1:20" ht="14.15" hidden="1">
      <c r="A6794" s="468">
        <v>45569</v>
      </c>
      <c r="B6794" s="208" t="s">
        <v>4228</v>
      </c>
      <c r="C6794" s="208" t="s">
        <v>643</v>
      </c>
      <c r="D6794" s="211">
        <v>-84332.39</v>
      </c>
      <c r="E6794" s="212">
        <v>45566</v>
      </c>
      <c r="F6794" s="208" t="s">
        <v>130</v>
      </c>
      <c r="G6794" s="208" t="s">
        <v>130</v>
      </c>
      <c r="H6794" s="208" t="s">
        <v>1245</v>
      </c>
      <c r="I6794" s="208"/>
      <c r="J6794" s="209"/>
      <c r="K6794" s="209"/>
      <c r="L6794" s="209"/>
      <c r="M6794" s="209"/>
      <c r="N6794" s="209"/>
      <c r="O6794" s="209"/>
      <c r="P6794" s="209"/>
      <c r="Q6794" s="209"/>
      <c r="R6794" s="209"/>
      <c r="S6794" s="209"/>
      <c r="T6794" s="209"/>
    </row>
    <row r="6795" spans="1:20" ht="14.15" hidden="1">
      <c r="A6795" s="468">
        <v>45565</v>
      </c>
      <c r="B6795" s="208" t="s">
        <v>1939</v>
      </c>
      <c r="C6795" s="208" t="s">
        <v>146</v>
      </c>
      <c r="D6795" s="211">
        <v>-111900</v>
      </c>
      <c r="E6795" s="212">
        <v>45536</v>
      </c>
      <c r="F6795" s="208" t="s">
        <v>109</v>
      </c>
      <c r="G6795" s="208" t="s">
        <v>5513</v>
      </c>
      <c r="H6795" s="208"/>
      <c r="I6795" s="208"/>
      <c r="J6795" s="209"/>
      <c r="K6795" s="209"/>
      <c r="L6795" s="209"/>
      <c r="M6795" s="209"/>
      <c r="N6795" s="209"/>
      <c r="O6795" s="209"/>
      <c r="P6795" s="209"/>
      <c r="Q6795" s="209"/>
      <c r="R6795" s="209"/>
      <c r="S6795" s="209"/>
      <c r="T6795" s="209"/>
    </row>
    <row r="6796" spans="1:20" ht="14.15" hidden="1">
      <c r="A6796" s="468">
        <v>45565</v>
      </c>
      <c r="B6796" s="208" t="s">
        <v>1939</v>
      </c>
      <c r="C6796" s="208" t="s">
        <v>146</v>
      </c>
      <c r="D6796" s="211">
        <v>-111900</v>
      </c>
      <c r="E6796" s="212">
        <v>45536</v>
      </c>
      <c r="F6796" s="208" t="s">
        <v>109</v>
      </c>
      <c r="G6796" s="208" t="s">
        <v>10</v>
      </c>
      <c r="H6796" s="208"/>
      <c r="I6796" s="208"/>
      <c r="J6796" s="209"/>
      <c r="K6796" s="209"/>
      <c r="L6796" s="209"/>
      <c r="M6796" s="209"/>
      <c r="N6796" s="209"/>
      <c r="O6796" s="209"/>
      <c r="P6796" s="209"/>
      <c r="Q6796" s="209"/>
      <c r="R6796" s="209"/>
      <c r="S6796" s="209"/>
      <c r="T6796" s="209"/>
    </row>
    <row r="6797" spans="1:20" ht="15" hidden="1" customHeight="1">
      <c r="A6797" s="468">
        <v>45566</v>
      </c>
      <c r="B6797" s="208" t="s">
        <v>5514</v>
      </c>
      <c r="C6797" s="208" t="s">
        <v>146</v>
      </c>
      <c r="D6797" s="211">
        <v>-12000</v>
      </c>
      <c r="E6797" s="212">
        <v>45536</v>
      </c>
      <c r="F6797" s="208" t="s">
        <v>109</v>
      </c>
      <c r="G6797" s="654" t="s">
        <v>2585</v>
      </c>
      <c r="H6797" s="81" t="s">
        <v>138</v>
      </c>
      <c r="I6797" s="208" t="s">
        <v>2052</v>
      </c>
      <c r="J6797" s="209"/>
      <c r="K6797" s="209"/>
      <c r="L6797" s="209"/>
      <c r="M6797" s="209"/>
      <c r="N6797" s="209"/>
      <c r="O6797" s="209"/>
      <c r="P6797" s="209"/>
      <c r="Q6797" s="209"/>
      <c r="R6797" s="209"/>
      <c r="S6797" s="209"/>
      <c r="T6797" s="209"/>
    </row>
    <row r="6798" spans="1:20" ht="15" hidden="1" customHeight="1">
      <c r="A6798" s="468">
        <v>45566</v>
      </c>
      <c r="B6798" s="208" t="s">
        <v>5514</v>
      </c>
      <c r="C6798" s="208" t="s">
        <v>146</v>
      </c>
      <c r="D6798" s="211">
        <v>-12000</v>
      </c>
      <c r="E6798" s="212">
        <v>45536</v>
      </c>
      <c r="F6798" s="208" t="s">
        <v>109</v>
      </c>
      <c r="G6798" s="654" t="s">
        <v>2585</v>
      </c>
      <c r="H6798" s="81" t="s">
        <v>138</v>
      </c>
      <c r="I6798" s="208" t="s">
        <v>2052</v>
      </c>
      <c r="J6798" s="209"/>
      <c r="K6798" s="209"/>
      <c r="L6798" s="209"/>
      <c r="M6798" s="209"/>
      <c r="N6798" s="209"/>
      <c r="O6798" s="209"/>
      <c r="P6798" s="209"/>
      <c r="Q6798" s="209"/>
      <c r="R6798" s="209"/>
      <c r="S6798" s="209"/>
      <c r="T6798" s="209"/>
    </row>
    <row r="6799" spans="1:20" ht="15" hidden="1" customHeight="1">
      <c r="A6799" s="468">
        <v>45568</v>
      </c>
      <c r="B6799" s="208" t="s">
        <v>5515</v>
      </c>
      <c r="C6799" s="208" t="s">
        <v>146</v>
      </c>
      <c r="D6799" s="211">
        <v>-85500</v>
      </c>
      <c r="E6799" s="212">
        <v>45566</v>
      </c>
      <c r="F6799" s="208" t="s">
        <v>109</v>
      </c>
      <c r="G6799" s="208" t="s">
        <v>10</v>
      </c>
      <c r="H6799" s="208" t="s">
        <v>175</v>
      </c>
      <c r="I6799" s="208" t="s">
        <v>5430</v>
      </c>
      <c r="J6799" s="209"/>
      <c r="K6799" s="209"/>
      <c r="L6799" s="209"/>
      <c r="M6799" s="209"/>
      <c r="N6799" s="209"/>
      <c r="O6799" s="209"/>
      <c r="P6799" s="209"/>
      <c r="Q6799" s="209"/>
      <c r="R6799" s="209"/>
      <c r="S6799" s="209"/>
      <c r="T6799" s="209"/>
    </row>
    <row r="6800" spans="1:20" ht="15" hidden="1" customHeight="1">
      <c r="A6800" s="468">
        <v>45567</v>
      </c>
      <c r="B6800" s="208" t="s">
        <v>5516</v>
      </c>
      <c r="C6800" s="208" t="s">
        <v>146</v>
      </c>
      <c r="D6800" s="211">
        <v>-5000</v>
      </c>
      <c r="E6800" s="212">
        <v>45566</v>
      </c>
      <c r="F6800" s="208" t="s">
        <v>110</v>
      </c>
      <c r="G6800" s="208" t="s">
        <v>4294</v>
      </c>
      <c r="H6800" s="208" t="s">
        <v>175</v>
      </c>
      <c r="I6800" s="208" t="s">
        <v>5430</v>
      </c>
      <c r="J6800" s="209"/>
      <c r="K6800" s="209"/>
      <c r="L6800" s="209"/>
      <c r="M6800" s="209"/>
      <c r="N6800" s="209"/>
      <c r="O6800" s="209"/>
      <c r="P6800" s="209"/>
      <c r="Q6800" s="209"/>
      <c r="R6800" s="209"/>
      <c r="S6800" s="209"/>
      <c r="T6800" s="209"/>
    </row>
    <row r="6801" spans="1:20" ht="15" hidden="1" customHeight="1">
      <c r="A6801" s="468">
        <v>45567</v>
      </c>
      <c r="B6801" s="209" t="s">
        <v>5517</v>
      </c>
      <c r="C6801" s="208" t="s">
        <v>146</v>
      </c>
      <c r="D6801" s="211">
        <v>-7000</v>
      </c>
      <c r="E6801" s="212">
        <v>45566</v>
      </c>
      <c r="F6801" s="208" t="s">
        <v>110</v>
      </c>
      <c r="G6801" s="208" t="s">
        <v>5469</v>
      </c>
      <c r="H6801" s="208" t="s">
        <v>175</v>
      </c>
      <c r="I6801" s="475" t="s">
        <v>5410</v>
      </c>
      <c r="J6801" s="209"/>
      <c r="K6801" s="209"/>
      <c r="L6801" s="209"/>
      <c r="M6801" s="209"/>
      <c r="N6801" s="209"/>
      <c r="O6801" s="209"/>
      <c r="P6801" s="209"/>
      <c r="Q6801" s="209"/>
      <c r="R6801" s="209"/>
      <c r="S6801" s="209"/>
      <c r="T6801" s="209"/>
    </row>
    <row r="6802" spans="1:20" ht="15" hidden="1" customHeight="1">
      <c r="A6802" s="468">
        <v>45567</v>
      </c>
      <c r="B6802" s="208" t="s">
        <v>5518</v>
      </c>
      <c r="C6802" s="208" t="s">
        <v>146</v>
      </c>
      <c r="D6802" s="211">
        <v>-3300</v>
      </c>
      <c r="E6802" s="212">
        <v>45566</v>
      </c>
      <c r="F6802" s="208" t="s">
        <v>110</v>
      </c>
      <c r="G6802" s="208" t="s">
        <v>4294</v>
      </c>
      <c r="H6802" s="208" t="s">
        <v>175</v>
      </c>
      <c r="I6802" s="208" t="s">
        <v>5430</v>
      </c>
      <c r="J6802" s="209"/>
      <c r="K6802" s="209"/>
      <c r="L6802" s="209"/>
      <c r="M6802" s="209"/>
      <c r="N6802" s="209"/>
      <c r="O6802" s="209"/>
      <c r="P6802" s="209"/>
      <c r="Q6802" s="209"/>
      <c r="R6802" s="209"/>
      <c r="S6802" s="209"/>
      <c r="T6802" s="209"/>
    </row>
    <row r="6803" spans="1:20" ht="15" hidden="1" customHeight="1">
      <c r="A6803" s="468">
        <v>45567</v>
      </c>
      <c r="B6803" s="208" t="s">
        <v>5519</v>
      </c>
      <c r="C6803" s="208" t="s">
        <v>146</v>
      </c>
      <c r="D6803" s="211">
        <v>-85382</v>
      </c>
      <c r="E6803" s="212">
        <v>45566</v>
      </c>
      <c r="F6803" s="208" t="s">
        <v>109</v>
      </c>
      <c r="G6803" s="208" t="s">
        <v>3529</v>
      </c>
      <c r="H6803" s="201" t="s">
        <v>310</v>
      </c>
      <c r="I6803" s="475" t="s">
        <v>5410</v>
      </c>
      <c r="J6803" s="209"/>
      <c r="K6803" s="209"/>
      <c r="L6803" s="209"/>
      <c r="M6803" s="209"/>
      <c r="N6803" s="209"/>
      <c r="O6803" s="209"/>
      <c r="P6803" s="209"/>
      <c r="Q6803" s="209"/>
      <c r="R6803" s="209"/>
      <c r="S6803" s="209"/>
      <c r="T6803" s="209"/>
    </row>
    <row r="6804" spans="1:20" ht="15" hidden="1" customHeight="1">
      <c r="A6804" s="468">
        <v>45567</v>
      </c>
      <c r="B6804" s="208" t="s">
        <v>5520</v>
      </c>
      <c r="C6804" s="208" t="s">
        <v>146</v>
      </c>
      <c r="D6804" s="211">
        <v>-20000</v>
      </c>
      <c r="E6804" s="212">
        <v>45566</v>
      </c>
      <c r="F6804" s="208" t="s">
        <v>110</v>
      </c>
      <c r="G6804" s="208" t="s">
        <v>4294</v>
      </c>
      <c r="H6804" s="201" t="s">
        <v>416</v>
      </c>
      <c r="I6804" s="208" t="s">
        <v>5430</v>
      </c>
      <c r="J6804" s="209"/>
      <c r="K6804" s="209"/>
      <c r="L6804" s="209"/>
      <c r="M6804" s="209"/>
      <c r="N6804" s="209"/>
      <c r="O6804" s="209"/>
      <c r="P6804" s="209"/>
      <c r="Q6804" s="209"/>
      <c r="R6804" s="209"/>
      <c r="S6804" s="209"/>
      <c r="T6804" s="209"/>
    </row>
    <row r="6805" spans="1:20" ht="15" hidden="1" customHeight="1">
      <c r="A6805" s="468">
        <v>45568</v>
      </c>
      <c r="B6805" s="208" t="s">
        <v>5521</v>
      </c>
      <c r="C6805" s="208" t="s">
        <v>146</v>
      </c>
      <c r="D6805" s="211">
        <v>-215401</v>
      </c>
      <c r="E6805" s="212">
        <v>45566</v>
      </c>
      <c r="F6805" s="208" t="s">
        <v>110</v>
      </c>
      <c r="G6805" s="208" t="s">
        <v>4294</v>
      </c>
      <c r="H6805" s="208" t="s">
        <v>175</v>
      </c>
      <c r="I6805" s="475" t="s">
        <v>5410</v>
      </c>
      <c r="J6805" s="209"/>
      <c r="K6805" s="209"/>
      <c r="L6805" s="209"/>
      <c r="M6805" s="209"/>
      <c r="N6805" s="209"/>
      <c r="O6805" s="209"/>
      <c r="P6805" s="209"/>
      <c r="Q6805" s="209"/>
      <c r="R6805" s="209"/>
      <c r="S6805" s="209"/>
      <c r="T6805" s="209"/>
    </row>
    <row r="6806" spans="1:20" ht="15" hidden="1" customHeight="1">
      <c r="A6806" s="468">
        <v>45568</v>
      </c>
      <c r="B6806" s="208" t="s">
        <v>5522</v>
      </c>
      <c r="C6806" s="208" t="s">
        <v>146</v>
      </c>
      <c r="D6806" s="211">
        <v>-28046</v>
      </c>
      <c r="E6806" s="212">
        <v>45566</v>
      </c>
      <c r="F6806" s="208" t="s">
        <v>110</v>
      </c>
      <c r="G6806" s="201" t="s">
        <v>1489</v>
      </c>
      <c r="H6806" s="208" t="s">
        <v>2941</v>
      </c>
      <c r="I6806" s="208" t="s">
        <v>5430</v>
      </c>
      <c r="J6806" s="209"/>
      <c r="K6806" s="209"/>
      <c r="L6806" s="209"/>
      <c r="M6806" s="209"/>
      <c r="N6806" s="209"/>
      <c r="O6806" s="209"/>
      <c r="P6806" s="209"/>
      <c r="Q6806" s="209"/>
      <c r="R6806" s="209"/>
      <c r="S6806" s="209"/>
      <c r="T6806" s="209"/>
    </row>
    <row r="6807" spans="1:20" ht="15" hidden="1" customHeight="1">
      <c r="A6807" s="468">
        <v>45568</v>
      </c>
      <c r="B6807" s="208" t="s">
        <v>5523</v>
      </c>
      <c r="C6807" s="208" t="s">
        <v>146</v>
      </c>
      <c r="D6807" s="211">
        <v>-15000</v>
      </c>
      <c r="E6807" s="212">
        <v>45566</v>
      </c>
      <c r="F6807" s="208" t="s">
        <v>110</v>
      </c>
      <c r="G6807" s="201" t="s">
        <v>1489</v>
      </c>
      <c r="H6807" s="208" t="s">
        <v>2941</v>
      </c>
      <c r="I6807" s="475" t="s">
        <v>5410</v>
      </c>
      <c r="J6807" s="209"/>
      <c r="K6807" s="209"/>
      <c r="L6807" s="209"/>
      <c r="M6807" s="209"/>
      <c r="N6807" s="209"/>
      <c r="O6807" s="209"/>
      <c r="P6807" s="209"/>
      <c r="Q6807" s="209"/>
      <c r="R6807" s="209"/>
      <c r="S6807" s="209"/>
      <c r="T6807" s="209"/>
    </row>
    <row r="6808" spans="1:20" ht="15" hidden="1" customHeight="1">
      <c r="A6808" s="468">
        <v>45558</v>
      </c>
      <c r="B6808" s="208" t="s">
        <v>4748</v>
      </c>
      <c r="C6808" s="208" t="s">
        <v>146</v>
      </c>
      <c r="D6808" s="211">
        <v>-8000</v>
      </c>
      <c r="E6808" s="212">
        <v>45566</v>
      </c>
      <c r="F6808" s="208" t="s">
        <v>130</v>
      </c>
      <c r="G6808" s="208" t="s">
        <v>257</v>
      </c>
      <c r="H6808" s="208" t="s">
        <v>303</v>
      </c>
      <c r="I6808" s="208" t="s">
        <v>63</v>
      </c>
      <c r="J6808" s="209"/>
      <c r="K6808" s="209"/>
      <c r="L6808" s="209"/>
      <c r="M6808" s="209"/>
      <c r="N6808" s="209"/>
      <c r="O6808" s="209"/>
      <c r="P6808" s="209"/>
      <c r="Q6808" s="209"/>
      <c r="R6808" s="209"/>
      <c r="S6808" s="209"/>
      <c r="T6808" s="209"/>
    </row>
    <row r="6809" spans="1:20" ht="15" hidden="1" customHeight="1">
      <c r="A6809" s="468">
        <v>45558</v>
      </c>
      <c r="B6809" s="208" t="s">
        <v>5524</v>
      </c>
      <c r="C6809" s="208" t="s">
        <v>146</v>
      </c>
      <c r="D6809" s="211">
        <v>-60000</v>
      </c>
      <c r="E6809" s="212">
        <v>45566</v>
      </c>
      <c r="F6809" s="208" t="s">
        <v>130</v>
      </c>
      <c r="G6809" s="208" t="s">
        <v>257</v>
      </c>
      <c r="H6809" s="81" t="s">
        <v>138</v>
      </c>
      <c r="I6809" s="208" t="s">
        <v>63</v>
      </c>
      <c r="J6809" s="209"/>
      <c r="K6809" s="209"/>
      <c r="L6809" s="209"/>
      <c r="M6809" s="209"/>
      <c r="N6809" s="209"/>
      <c r="O6809" s="209"/>
      <c r="P6809" s="209"/>
      <c r="Q6809" s="209"/>
      <c r="R6809" s="209"/>
      <c r="S6809" s="209"/>
      <c r="T6809" s="209"/>
    </row>
    <row r="6810" spans="1:20" ht="15" hidden="1" customHeight="1">
      <c r="A6810" s="468">
        <v>45558</v>
      </c>
      <c r="B6810" s="208" t="s">
        <v>3535</v>
      </c>
      <c r="C6810" s="208" t="s">
        <v>146</v>
      </c>
      <c r="D6810" s="211">
        <v>-61000</v>
      </c>
      <c r="E6810" s="212">
        <v>45566</v>
      </c>
      <c r="F6810" s="208" t="s">
        <v>130</v>
      </c>
      <c r="G6810" s="208" t="s">
        <v>257</v>
      </c>
      <c r="H6810" s="208" t="s">
        <v>303</v>
      </c>
      <c r="I6810" s="208" t="s">
        <v>63</v>
      </c>
      <c r="J6810" s="209"/>
      <c r="K6810" s="209"/>
      <c r="L6810" s="209"/>
      <c r="M6810" s="209"/>
      <c r="N6810" s="209"/>
      <c r="O6810" s="209"/>
      <c r="P6810" s="209"/>
      <c r="Q6810" s="209"/>
      <c r="R6810" s="209"/>
      <c r="S6810" s="209"/>
      <c r="T6810" s="209"/>
    </row>
    <row r="6811" spans="1:20" ht="15" hidden="1" customHeight="1">
      <c r="A6811" s="468">
        <v>45558</v>
      </c>
      <c r="B6811" s="208" t="s">
        <v>5525</v>
      </c>
      <c r="C6811" s="208" t="s">
        <v>146</v>
      </c>
      <c r="D6811" s="211">
        <v>-56600</v>
      </c>
      <c r="E6811" s="212">
        <v>45566</v>
      </c>
      <c r="F6811" s="208" t="s">
        <v>130</v>
      </c>
      <c r="G6811" s="208" t="s">
        <v>257</v>
      </c>
      <c r="H6811" s="208" t="s">
        <v>303</v>
      </c>
      <c r="I6811" s="208" t="s">
        <v>63</v>
      </c>
      <c r="J6811" s="209"/>
      <c r="K6811" s="209"/>
      <c r="L6811" s="209"/>
      <c r="M6811" s="209"/>
      <c r="N6811" s="209"/>
      <c r="O6811" s="209"/>
      <c r="P6811" s="209"/>
      <c r="Q6811" s="209"/>
      <c r="R6811" s="209"/>
      <c r="S6811" s="209"/>
      <c r="T6811" s="209"/>
    </row>
    <row r="6812" spans="1:20" ht="15" hidden="1" customHeight="1">
      <c r="A6812" s="468">
        <v>45558</v>
      </c>
      <c r="B6812" s="208" t="s">
        <v>5526</v>
      </c>
      <c r="C6812" s="208" t="s">
        <v>146</v>
      </c>
      <c r="D6812" s="211">
        <v>-8200</v>
      </c>
      <c r="E6812" s="212">
        <v>45566</v>
      </c>
      <c r="F6812" s="208" t="s">
        <v>130</v>
      </c>
      <c r="G6812" s="208" t="s">
        <v>257</v>
      </c>
      <c r="H6812" s="81" t="s">
        <v>138</v>
      </c>
      <c r="I6812" s="208" t="s">
        <v>63</v>
      </c>
      <c r="J6812" s="209"/>
      <c r="K6812" s="209"/>
      <c r="L6812" s="209"/>
      <c r="M6812" s="209"/>
      <c r="N6812" s="209"/>
      <c r="O6812" s="209"/>
      <c r="P6812" s="209"/>
      <c r="Q6812" s="209"/>
      <c r="R6812" s="209"/>
      <c r="S6812" s="209"/>
      <c r="T6812" s="209"/>
    </row>
    <row r="6813" spans="1:20" ht="15" hidden="1" customHeight="1">
      <c r="A6813" s="468">
        <v>45558</v>
      </c>
      <c r="B6813" s="208" t="s">
        <v>853</v>
      </c>
      <c r="C6813" s="208" t="s">
        <v>146</v>
      </c>
      <c r="D6813" s="211">
        <v>-9200</v>
      </c>
      <c r="E6813" s="212">
        <v>45566</v>
      </c>
      <c r="F6813" s="208" t="s">
        <v>130</v>
      </c>
      <c r="G6813" s="208" t="s">
        <v>257</v>
      </c>
      <c r="H6813" s="81" t="s">
        <v>138</v>
      </c>
      <c r="I6813" s="208" t="s">
        <v>63</v>
      </c>
      <c r="J6813" s="209"/>
      <c r="K6813" s="209"/>
      <c r="L6813" s="209"/>
      <c r="M6813" s="209"/>
      <c r="N6813" s="209"/>
      <c r="O6813" s="209"/>
      <c r="P6813" s="209"/>
      <c r="Q6813" s="209"/>
      <c r="R6813" s="209"/>
      <c r="S6813" s="209"/>
      <c r="T6813" s="209"/>
    </row>
    <row r="6814" spans="1:20" ht="15" hidden="1" customHeight="1">
      <c r="A6814" s="468">
        <v>45558</v>
      </c>
      <c r="B6814" s="208" t="s">
        <v>5527</v>
      </c>
      <c r="C6814" s="208" t="s">
        <v>146</v>
      </c>
      <c r="D6814" s="211">
        <v>-37000</v>
      </c>
      <c r="E6814" s="212">
        <v>45566</v>
      </c>
      <c r="F6814" s="208" t="s">
        <v>130</v>
      </c>
      <c r="G6814" s="208" t="s">
        <v>257</v>
      </c>
      <c r="H6814" s="81" t="s">
        <v>138</v>
      </c>
      <c r="I6814" s="208" t="s">
        <v>63</v>
      </c>
      <c r="J6814" s="209"/>
      <c r="K6814" s="209"/>
      <c r="L6814" s="209"/>
      <c r="M6814" s="209"/>
      <c r="N6814" s="209"/>
      <c r="O6814" s="209"/>
      <c r="P6814" s="209"/>
      <c r="Q6814" s="209"/>
      <c r="R6814" s="209"/>
      <c r="S6814" s="209"/>
      <c r="T6814" s="209"/>
    </row>
    <row r="6815" spans="1:20" s="476" customFormat="1" ht="15" hidden="1" customHeight="1">
      <c r="A6815" s="468">
        <v>46667</v>
      </c>
      <c r="B6815" s="208" t="s">
        <v>5528</v>
      </c>
      <c r="C6815" s="208" t="s">
        <v>146</v>
      </c>
      <c r="D6815" s="211">
        <v>-14000</v>
      </c>
      <c r="E6815" s="212">
        <v>45566</v>
      </c>
      <c r="F6815" s="208" t="s">
        <v>130</v>
      </c>
      <c r="G6815" s="208" t="s">
        <v>130</v>
      </c>
      <c r="H6815" s="81" t="s">
        <v>138</v>
      </c>
      <c r="I6815" s="208"/>
      <c r="J6815" s="209"/>
      <c r="K6815" s="209"/>
      <c r="L6815" s="209"/>
      <c r="M6815" s="209"/>
      <c r="N6815" s="209"/>
      <c r="O6815" s="209"/>
      <c r="P6815" s="209"/>
      <c r="Q6815" s="209"/>
      <c r="R6815" s="209"/>
      <c r="S6815" s="209"/>
      <c r="T6815" s="209"/>
    </row>
    <row r="6816" spans="1:20" ht="15" hidden="1" customHeight="1">
      <c r="A6816" s="468">
        <v>45568</v>
      </c>
      <c r="B6816" s="208" t="s">
        <v>5529</v>
      </c>
      <c r="C6816" s="208" t="s">
        <v>146</v>
      </c>
      <c r="D6816" s="208">
        <v>-24000</v>
      </c>
      <c r="E6816" s="212">
        <v>45566</v>
      </c>
      <c r="F6816" s="208" t="s">
        <v>207</v>
      </c>
      <c r="G6816" s="208" t="s">
        <v>207</v>
      </c>
      <c r="H6816" s="81" t="s">
        <v>138</v>
      </c>
      <c r="I6816" s="208" t="s">
        <v>59</v>
      </c>
      <c r="J6816" s="209"/>
      <c r="K6816" s="209"/>
      <c r="L6816" s="209"/>
      <c r="M6816" s="209"/>
      <c r="N6816" s="209"/>
      <c r="O6816" s="209"/>
      <c r="P6816" s="209"/>
      <c r="Q6816" s="209"/>
      <c r="R6816" s="209"/>
      <c r="S6816" s="209"/>
      <c r="T6816" s="209"/>
    </row>
    <row r="6817" spans="1:20" ht="15" hidden="1" customHeight="1">
      <c r="A6817" s="468">
        <v>45569</v>
      </c>
      <c r="B6817" s="208" t="s">
        <v>5530</v>
      </c>
      <c r="C6817" s="208" t="s">
        <v>146</v>
      </c>
      <c r="D6817" s="211">
        <v>-50000</v>
      </c>
      <c r="E6817" s="212">
        <v>45566</v>
      </c>
      <c r="F6817" s="208" t="s">
        <v>109</v>
      </c>
      <c r="G6817" s="208" t="s">
        <v>4225</v>
      </c>
      <c r="H6817" s="208" t="s">
        <v>147</v>
      </c>
      <c r="I6817" s="208" t="s">
        <v>5430</v>
      </c>
      <c r="J6817" s="209"/>
      <c r="K6817" s="209"/>
      <c r="L6817" s="209"/>
      <c r="M6817" s="209"/>
      <c r="N6817" s="209"/>
      <c r="O6817" s="209"/>
      <c r="P6817" s="209"/>
      <c r="Q6817" s="209"/>
      <c r="R6817" s="209"/>
      <c r="S6817" s="209"/>
      <c r="T6817" s="209"/>
    </row>
    <row r="6818" spans="1:20" ht="15" hidden="1" customHeight="1">
      <c r="A6818" s="468">
        <v>45569</v>
      </c>
      <c r="B6818" s="208" t="s">
        <v>5531</v>
      </c>
      <c r="C6818" s="208" t="s">
        <v>146</v>
      </c>
      <c r="D6818" s="211">
        <v>-5800</v>
      </c>
      <c r="E6818" s="212">
        <v>45566</v>
      </c>
      <c r="F6818" s="208" t="s">
        <v>130</v>
      </c>
      <c r="G6818" s="208" t="s">
        <v>130</v>
      </c>
      <c r="H6818" s="208" t="s">
        <v>2444</v>
      </c>
      <c r="I6818" s="208" t="s">
        <v>5430</v>
      </c>
      <c r="J6818" s="209"/>
      <c r="K6818" s="209"/>
      <c r="L6818" s="209"/>
      <c r="M6818" s="209"/>
      <c r="N6818" s="209"/>
      <c r="O6818" s="209"/>
      <c r="P6818" s="209"/>
      <c r="Q6818" s="209"/>
      <c r="R6818" s="209"/>
      <c r="S6818" s="209"/>
      <c r="T6818" s="209"/>
    </row>
    <row r="6819" spans="1:20" ht="15" hidden="1" customHeight="1">
      <c r="A6819" s="468">
        <v>45569</v>
      </c>
      <c r="B6819" s="208" t="s">
        <v>5532</v>
      </c>
      <c r="C6819" s="208" t="s">
        <v>146</v>
      </c>
      <c r="D6819" s="211">
        <v>-18000</v>
      </c>
      <c r="E6819" s="212">
        <v>45566</v>
      </c>
      <c r="F6819" s="208" t="s">
        <v>110</v>
      </c>
      <c r="G6819" s="208" t="s">
        <v>5503</v>
      </c>
      <c r="H6819" s="208" t="s">
        <v>175</v>
      </c>
      <c r="I6819" s="208" t="s">
        <v>5430</v>
      </c>
      <c r="J6819" s="209"/>
      <c r="K6819" s="209"/>
      <c r="L6819" s="209"/>
      <c r="M6819" s="209"/>
      <c r="N6819" s="209"/>
      <c r="O6819" s="209"/>
      <c r="P6819" s="209"/>
      <c r="Q6819" s="209"/>
      <c r="R6819" s="209"/>
      <c r="S6819" s="209"/>
      <c r="T6819" s="209"/>
    </row>
    <row r="6820" spans="1:20" ht="15" hidden="1" customHeight="1">
      <c r="A6820" s="468">
        <v>45570</v>
      </c>
      <c r="B6820" s="208" t="s">
        <v>5533</v>
      </c>
      <c r="C6820" s="208" t="s">
        <v>146</v>
      </c>
      <c r="D6820" s="209">
        <v>-100750</v>
      </c>
      <c r="E6820" s="212">
        <v>45566</v>
      </c>
      <c r="F6820" s="208" t="s">
        <v>110</v>
      </c>
      <c r="G6820" s="208" t="s">
        <v>5503</v>
      </c>
      <c r="H6820" s="201" t="s">
        <v>416</v>
      </c>
      <c r="I6820" s="208" t="s">
        <v>5430</v>
      </c>
      <c r="J6820" s="209"/>
      <c r="K6820" s="209"/>
      <c r="L6820" s="209"/>
      <c r="M6820" s="209"/>
      <c r="N6820" s="209"/>
      <c r="O6820" s="209"/>
      <c r="P6820" s="209"/>
      <c r="Q6820" s="209"/>
      <c r="R6820" s="209"/>
      <c r="S6820" s="209"/>
      <c r="T6820" s="209"/>
    </row>
    <row r="6821" spans="1:20" ht="15" hidden="1" customHeight="1">
      <c r="A6821" s="468">
        <v>45572</v>
      </c>
      <c r="B6821" s="208" t="s">
        <v>5534</v>
      </c>
      <c r="C6821" s="208" t="s">
        <v>146</v>
      </c>
      <c r="D6821" s="211">
        <v>-12733</v>
      </c>
      <c r="E6821" s="212">
        <v>45566</v>
      </c>
      <c r="F6821" s="208" t="s">
        <v>110</v>
      </c>
      <c r="G6821" s="201" t="s">
        <v>1489</v>
      </c>
      <c r="H6821" s="208" t="s">
        <v>2941</v>
      </c>
      <c r="I6821" s="208" t="s">
        <v>5430</v>
      </c>
      <c r="J6821" s="209"/>
      <c r="K6821" s="209"/>
      <c r="L6821" s="209"/>
      <c r="M6821" s="209"/>
      <c r="N6821" s="209"/>
      <c r="O6821" s="209"/>
      <c r="P6821" s="209"/>
      <c r="Q6821" s="209"/>
      <c r="R6821" s="209"/>
      <c r="S6821" s="209"/>
      <c r="T6821" s="209"/>
    </row>
    <row r="6822" spans="1:20" ht="15" hidden="1" customHeight="1">
      <c r="A6822" s="468">
        <v>45572</v>
      </c>
      <c r="B6822" s="208" t="s">
        <v>5535</v>
      </c>
      <c r="C6822" s="208" t="s">
        <v>146</v>
      </c>
      <c r="D6822" s="211">
        <v>-135030</v>
      </c>
      <c r="E6822" s="212">
        <v>45566</v>
      </c>
      <c r="F6822" s="208" t="s">
        <v>110</v>
      </c>
      <c r="G6822" s="201" t="s">
        <v>1489</v>
      </c>
      <c r="H6822" s="208" t="s">
        <v>2941</v>
      </c>
      <c r="I6822" s="208" t="s">
        <v>5430</v>
      </c>
      <c r="J6822" s="209"/>
      <c r="K6822" s="209"/>
      <c r="L6822" s="209"/>
      <c r="M6822" s="209"/>
      <c r="N6822" s="209"/>
      <c r="O6822" s="209"/>
      <c r="P6822" s="209"/>
      <c r="Q6822" s="209"/>
      <c r="R6822" s="209"/>
      <c r="S6822" s="209"/>
      <c r="T6822" s="209"/>
    </row>
    <row r="6823" spans="1:20" ht="15" hidden="1" customHeight="1">
      <c r="A6823" s="468">
        <v>45572</v>
      </c>
      <c r="B6823" s="208" t="s">
        <v>5536</v>
      </c>
      <c r="C6823" s="208" t="s">
        <v>146</v>
      </c>
      <c r="D6823" s="211">
        <v>-14000</v>
      </c>
      <c r="E6823" s="212">
        <v>45566</v>
      </c>
      <c r="F6823" s="208" t="s">
        <v>110</v>
      </c>
      <c r="G6823" s="201" t="s">
        <v>1489</v>
      </c>
      <c r="H6823" s="208" t="s">
        <v>2941</v>
      </c>
      <c r="I6823" s="208" t="s">
        <v>5430</v>
      </c>
      <c r="J6823" s="209"/>
      <c r="K6823" s="209"/>
      <c r="L6823" s="209"/>
      <c r="M6823" s="209"/>
      <c r="N6823" s="209"/>
      <c r="O6823" s="209"/>
      <c r="P6823" s="209"/>
      <c r="Q6823" s="209"/>
      <c r="R6823" s="209"/>
      <c r="S6823" s="209"/>
      <c r="T6823" s="209"/>
    </row>
    <row r="6824" spans="1:20" ht="15" hidden="1" customHeight="1">
      <c r="A6824" s="468">
        <v>45572</v>
      </c>
      <c r="B6824" s="208" t="s">
        <v>5537</v>
      </c>
      <c r="C6824" s="208" t="s">
        <v>146</v>
      </c>
      <c r="D6824" s="211">
        <v>-55599</v>
      </c>
      <c r="E6824" s="212">
        <v>45566</v>
      </c>
      <c r="F6824" s="208" t="s">
        <v>109</v>
      </c>
      <c r="G6824" s="208" t="s">
        <v>4225</v>
      </c>
      <c r="H6824" s="208" t="s">
        <v>175</v>
      </c>
      <c r="I6824" s="208" t="s">
        <v>5430</v>
      </c>
      <c r="J6824" s="209"/>
      <c r="K6824" s="209"/>
      <c r="L6824" s="209"/>
      <c r="M6824" s="209"/>
      <c r="N6824" s="209"/>
      <c r="O6824" s="209"/>
      <c r="P6824" s="209"/>
      <c r="Q6824" s="209"/>
      <c r="R6824" s="209"/>
      <c r="S6824" s="209"/>
      <c r="T6824" s="209"/>
    </row>
    <row r="6825" spans="1:20" ht="15" hidden="1" customHeight="1">
      <c r="A6825" s="468">
        <v>45572</v>
      </c>
      <c r="B6825" s="208" t="s">
        <v>5538</v>
      </c>
      <c r="C6825" s="208" t="s">
        <v>146</v>
      </c>
      <c r="D6825" s="211">
        <v>-20000</v>
      </c>
      <c r="E6825" s="212">
        <v>45566</v>
      </c>
      <c r="F6825" s="208" t="s">
        <v>207</v>
      </c>
      <c r="G6825" s="208" t="s">
        <v>207</v>
      </c>
      <c r="H6825" s="81" t="s">
        <v>138</v>
      </c>
      <c r="I6825" s="208" t="s">
        <v>5430</v>
      </c>
      <c r="J6825" s="209"/>
      <c r="K6825" s="209"/>
      <c r="L6825" s="209"/>
      <c r="M6825" s="209"/>
      <c r="N6825" s="209"/>
      <c r="O6825" s="209"/>
      <c r="P6825" s="209"/>
      <c r="Q6825" s="209"/>
      <c r="R6825" s="209"/>
      <c r="S6825" s="209"/>
      <c r="T6825" s="209"/>
    </row>
    <row r="6826" spans="1:20" ht="15" hidden="1" customHeight="1">
      <c r="A6826" s="468">
        <v>45572</v>
      </c>
      <c r="B6826" s="208" t="s">
        <v>5539</v>
      </c>
      <c r="C6826" s="208" t="s">
        <v>146</v>
      </c>
      <c r="D6826" s="211">
        <v>-10000</v>
      </c>
      <c r="E6826" s="212">
        <v>45566</v>
      </c>
      <c r="F6826" s="208" t="s">
        <v>207</v>
      </c>
      <c r="G6826" s="208" t="s">
        <v>207</v>
      </c>
      <c r="H6826" s="81" t="s">
        <v>138</v>
      </c>
      <c r="I6826" s="208" t="s">
        <v>5430</v>
      </c>
      <c r="J6826" s="209"/>
      <c r="K6826" s="209"/>
      <c r="L6826" s="209"/>
      <c r="M6826" s="209"/>
      <c r="N6826" s="209"/>
      <c r="O6826" s="209"/>
      <c r="P6826" s="209"/>
      <c r="Q6826" s="209"/>
      <c r="R6826" s="209"/>
      <c r="S6826" s="209"/>
      <c r="T6826" s="209"/>
    </row>
    <row r="6827" spans="1:20" ht="15" hidden="1" customHeight="1">
      <c r="A6827" s="468">
        <v>45572</v>
      </c>
      <c r="B6827" s="208" t="s">
        <v>5540</v>
      </c>
      <c r="C6827" s="208" t="s">
        <v>146</v>
      </c>
      <c r="D6827" s="211">
        <v>-6200</v>
      </c>
      <c r="E6827" s="212">
        <v>45566</v>
      </c>
      <c r="F6827" s="208" t="s">
        <v>110</v>
      </c>
      <c r="G6827" s="201" t="s">
        <v>1489</v>
      </c>
      <c r="H6827" s="81" t="s">
        <v>138</v>
      </c>
      <c r="I6827" s="208" t="s">
        <v>5430</v>
      </c>
      <c r="J6827" s="209"/>
      <c r="K6827" s="209"/>
      <c r="L6827" s="209"/>
      <c r="M6827" s="209"/>
      <c r="N6827" s="209"/>
      <c r="O6827" s="209"/>
      <c r="P6827" s="209"/>
      <c r="Q6827" s="209"/>
      <c r="R6827" s="209"/>
      <c r="S6827" s="209"/>
      <c r="T6827" s="209"/>
    </row>
    <row r="6828" spans="1:20" ht="15" hidden="1" customHeight="1">
      <c r="A6828" s="468">
        <v>45572</v>
      </c>
      <c r="B6828" s="208" t="s">
        <v>5541</v>
      </c>
      <c r="C6828" s="208" t="s">
        <v>146</v>
      </c>
      <c r="D6828" s="211">
        <v>-19500</v>
      </c>
      <c r="E6828" s="212">
        <v>45566</v>
      </c>
      <c r="F6828" s="208" t="s">
        <v>110</v>
      </c>
      <c r="G6828" s="201" t="s">
        <v>1489</v>
      </c>
      <c r="H6828" s="81" t="s">
        <v>138</v>
      </c>
      <c r="I6828" s="208" t="s">
        <v>5430</v>
      </c>
      <c r="J6828" s="209"/>
      <c r="K6828" s="209"/>
      <c r="L6828" s="209"/>
      <c r="M6828" s="209"/>
      <c r="N6828" s="209"/>
      <c r="O6828" s="209"/>
      <c r="P6828" s="209"/>
      <c r="Q6828" s="209"/>
      <c r="R6828" s="209"/>
      <c r="S6828" s="209"/>
      <c r="T6828" s="209"/>
    </row>
    <row r="6829" spans="1:20" ht="15" hidden="1" customHeight="1">
      <c r="A6829" s="468">
        <v>45572</v>
      </c>
      <c r="B6829" s="208" t="s">
        <v>5542</v>
      </c>
      <c r="C6829" s="208" t="s">
        <v>146</v>
      </c>
      <c r="D6829" s="211">
        <v>-6500</v>
      </c>
      <c r="E6829" s="212">
        <v>45566</v>
      </c>
      <c r="F6829" s="208" t="s">
        <v>110</v>
      </c>
      <c r="G6829" s="201" t="s">
        <v>1489</v>
      </c>
      <c r="H6829" s="81" t="s">
        <v>138</v>
      </c>
      <c r="I6829" s="208" t="s">
        <v>5430</v>
      </c>
      <c r="J6829" s="209"/>
      <c r="K6829" s="209"/>
      <c r="L6829" s="209"/>
      <c r="M6829" s="209"/>
      <c r="N6829" s="209"/>
      <c r="O6829" s="209"/>
      <c r="P6829" s="209"/>
      <c r="Q6829" s="209"/>
      <c r="R6829" s="209"/>
      <c r="S6829" s="209"/>
      <c r="T6829" s="209"/>
    </row>
    <row r="6830" spans="1:20" ht="15" hidden="1" customHeight="1">
      <c r="A6830" s="468">
        <v>45572</v>
      </c>
      <c r="B6830" s="208" t="s">
        <v>5543</v>
      </c>
      <c r="C6830" s="208" t="s">
        <v>146</v>
      </c>
      <c r="D6830" s="211">
        <v>-12000</v>
      </c>
      <c r="E6830" s="212">
        <v>45566</v>
      </c>
      <c r="F6830" s="208" t="s">
        <v>109</v>
      </c>
      <c r="G6830" s="208" t="s">
        <v>4225</v>
      </c>
      <c r="H6830" s="81" t="s">
        <v>138</v>
      </c>
      <c r="I6830" s="208" t="s">
        <v>5430</v>
      </c>
      <c r="J6830" s="209"/>
      <c r="K6830" s="209"/>
      <c r="L6830" s="209"/>
      <c r="M6830" s="209"/>
      <c r="N6830" s="209"/>
      <c r="O6830" s="209"/>
      <c r="P6830" s="209"/>
      <c r="Q6830" s="209"/>
      <c r="R6830" s="209"/>
      <c r="S6830" s="209"/>
      <c r="T6830" s="209"/>
    </row>
    <row r="6831" spans="1:20" ht="15" hidden="1" customHeight="1">
      <c r="A6831" s="468">
        <v>45572</v>
      </c>
      <c r="B6831" s="208" t="s">
        <v>5544</v>
      </c>
      <c r="C6831" s="208" t="s">
        <v>146</v>
      </c>
      <c r="D6831" s="211">
        <v>-12000</v>
      </c>
      <c r="E6831" s="212">
        <v>45566</v>
      </c>
      <c r="F6831" s="208" t="s">
        <v>109</v>
      </c>
      <c r="G6831" s="208" t="s">
        <v>4225</v>
      </c>
      <c r="H6831" s="81" t="s">
        <v>138</v>
      </c>
      <c r="I6831" s="208" t="s">
        <v>5430</v>
      </c>
      <c r="J6831" s="209"/>
      <c r="K6831" s="209"/>
      <c r="L6831" s="209"/>
      <c r="M6831" s="209"/>
      <c r="N6831" s="209"/>
      <c r="O6831" s="209"/>
      <c r="P6831" s="209"/>
      <c r="Q6831" s="209"/>
      <c r="R6831" s="209"/>
      <c r="S6831" s="209"/>
      <c r="T6831" s="209"/>
    </row>
    <row r="6832" spans="1:20" ht="15" hidden="1" customHeight="1">
      <c r="A6832" s="468">
        <v>45572</v>
      </c>
      <c r="B6832" s="208" t="s">
        <v>5545</v>
      </c>
      <c r="C6832" s="208" t="s">
        <v>146</v>
      </c>
      <c r="D6832" s="211">
        <v>-167992.57</v>
      </c>
      <c r="E6832" s="212">
        <v>45566</v>
      </c>
      <c r="F6832" s="208" t="s">
        <v>109</v>
      </c>
      <c r="G6832" s="208" t="s">
        <v>4225</v>
      </c>
      <c r="H6832" s="208" t="s">
        <v>175</v>
      </c>
      <c r="I6832" s="208" t="s">
        <v>5430</v>
      </c>
      <c r="J6832" s="209"/>
      <c r="K6832" s="209"/>
      <c r="L6832" s="209"/>
      <c r="M6832" s="209"/>
      <c r="N6832" s="209"/>
      <c r="O6832" s="209"/>
      <c r="P6832" s="209"/>
      <c r="Q6832" s="209"/>
      <c r="R6832" s="209"/>
      <c r="S6832" s="209"/>
      <c r="T6832" s="209"/>
    </row>
    <row r="6833" spans="1:20" ht="15" hidden="1" customHeight="1">
      <c r="A6833" s="468">
        <v>45573</v>
      </c>
      <c r="B6833" s="208" t="s">
        <v>5546</v>
      </c>
      <c r="C6833" s="208" t="s">
        <v>146</v>
      </c>
      <c r="D6833" s="211">
        <v>-40000</v>
      </c>
      <c r="E6833" s="212">
        <v>45566</v>
      </c>
      <c r="F6833" s="208" t="s">
        <v>109</v>
      </c>
      <c r="G6833" s="208" t="s">
        <v>4986</v>
      </c>
      <c r="H6833" s="81" t="s">
        <v>138</v>
      </c>
      <c r="I6833" s="208" t="s">
        <v>5430</v>
      </c>
      <c r="J6833" s="209"/>
      <c r="K6833" s="209"/>
      <c r="L6833" s="209"/>
      <c r="M6833" s="209"/>
      <c r="N6833" s="209"/>
      <c r="O6833" s="209"/>
      <c r="P6833" s="209"/>
      <c r="Q6833" s="209"/>
      <c r="R6833" s="209"/>
      <c r="S6833" s="209"/>
      <c r="T6833" s="209"/>
    </row>
    <row r="6834" spans="1:20" ht="15" hidden="1" customHeight="1">
      <c r="A6834" s="468">
        <v>45569</v>
      </c>
      <c r="B6834" s="208" t="s">
        <v>5547</v>
      </c>
      <c r="C6834" s="208" t="s">
        <v>146</v>
      </c>
      <c r="D6834" s="211">
        <v>-33000</v>
      </c>
      <c r="E6834" s="212">
        <v>45566</v>
      </c>
      <c r="F6834" s="208" t="s">
        <v>109</v>
      </c>
      <c r="G6834" s="201" t="s">
        <v>581</v>
      </c>
      <c r="H6834" s="208"/>
      <c r="I6834" s="208" t="s">
        <v>5430</v>
      </c>
      <c r="J6834" s="209"/>
      <c r="K6834" s="209"/>
      <c r="L6834" s="209"/>
      <c r="M6834" s="209"/>
      <c r="N6834" s="209"/>
      <c r="O6834" s="209"/>
      <c r="P6834" s="209"/>
      <c r="Q6834" s="209"/>
      <c r="R6834" s="209"/>
      <c r="S6834" s="209"/>
      <c r="T6834" s="209"/>
    </row>
    <row r="6835" spans="1:20" ht="15" hidden="1" customHeight="1">
      <c r="A6835" s="468">
        <v>45569</v>
      </c>
      <c r="B6835" s="208" t="s">
        <v>5548</v>
      </c>
      <c r="C6835" s="208" t="s">
        <v>146</v>
      </c>
      <c r="D6835" s="211">
        <v>-5000</v>
      </c>
      <c r="E6835" s="212">
        <v>45566</v>
      </c>
      <c r="F6835" s="208" t="s">
        <v>109</v>
      </c>
      <c r="G6835" s="201" t="s">
        <v>581</v>
      </c>
      <c r="H6835" s="208"/>
      <c r="I6835" s="208" t="s">
        <v>5430</v>
      </c>
      <c r="J6835" s="209"/>
      <c r="K6835" s="209"/>
      <c r="L6835" s="209"/>
      <c r="M6835" s="209"/>
      <c r="N6835" s="209"/>
      <c r="O6835" s="209"/>
      <c r="P6835" s="209"/>
      <c r="Q6835" s="209"/>
      <c r="R6835" s="209"/>
      <c r="S6835" s="209"/>
      <c r="T6835" s="209"/>
    </row>
    <row r="6836" spans="1:20" ht="15" hidden="1" customHeight="1">
      <c r="A6836" s="468">
        <v>45572</v>
      </c>
      <c r="B6836" s="208" t="s">
        <v>5549</v>
      </c>
      <c r="C6836" s="208" t="s">
        <v>146</v>
      </c>
      <c r="D6836" s="211">
        <v>-7000</v>
      </c>
      <c r="E6836" s="212">
        <v>45566</v>
      </c>
      <c r="F6836" s="208" t="s">
        <v>109</v>
      </c>
      <c r="G6836" s="201" t="s">
        <v>581</v>
      </c>
      <c r="H6836" s="208"/>
      <c r="I6836" s="208" t="s">
        <v>5430</v>
      </c>
      <c r="J6836" s="209"/>
      <c r="K6836" s="209"/>
      <c r="L6836" s="209"/>
      <c r="M6836" s="209"/>
      <c r="N6836" s="209"/>
      <c r="O6836" s="209"/>
      <c r="P6836" s="209"/>
      <c r="Q6836" s="209"/>
      <c r="R6836" s="209"/>
      <c r="S6836" s="209"/>
      <c r="T6836" s="209"/>
    </row>
    <row r="6837" spans="1:20" ht="15" hidden="1" customHeight="1">
      <c r="A6837" s="468">
        <v>45572</v>
      </c>
      <c r="B6837" s="208" t="s">
        <v>5550</v>
      </c>
      <c r="C6837" s="208" t="s">
        <v>146</v>
      </c>
      <c r="D6837" s="211">
        <v>-10000</v>
      </c>
      <c r="E6837" s="212">
        <v>45566</v>
      </c>
      <c r="F6837" s="208" t="s">
        <v>109</v>
      </c>
      <c r="G6837" s="201" t="s">
        <v>581</v>
      </c>
      <c r="H6837" s="208"/>
      <c r="I6837" s="208" t="s">
        <v>5430</v>
      </c>
      <c r="J6837" s="209"/>
      <c r="K6837" s="209"/>
      <c r="L6837" s="209"/>
      <c r="M6837" s="209"/>
      <c r="N6837" s="209"/>
      <c r="O6837" s="209"/>
      <c r="P6837" s="209"/>
      <c r="Q6837" s="209"/>
      <c r="R6837" s="209"/>
      <c r="S6837" s="209"/>
      <c r="T6837" s="209"/>
    </row>
    <row r="6838" spans="1:20" ht="15" hidden="1" customHeight="1">
      <c r="A6838" s="468">
        <v>45574</v>
      </c>
      <c r="B6838" s="208" t="s">
        <v>5551</v>
      </c>
      <c r="C6838" s="208" t="s">
        <v>146</v>
      </c>
      <c r="D6838" s="211">
        <v>-15000</v>
      </c>
      <c r="E6838" s="212">
        <v>45566</v>
      </c>
      <c r="F6838" s="208" t="s">
        <v>109</v>
      </c>
      <c r="G6838" s="208" t="s">
        <v>10</v>
      </c>
      <c r="H6838" s="201" t="s">
        <v>416</v>
      </c>
      <c r="I6838" s="208" t="s">
        <v>5430</v>
      </c>
      <c r="J6838" s="209"/>
      <c r="K6838" s="209"/>
      <c r="L6838" s="209"/>
      <c r="M6838" s="209"/>
      <c r="N6838" s="209"/>
      <c r="O6838" s="209"/>
      <c r="P6838" s="209"/>
      <c r="Q6838" s="209"/>
      <c r="R6838" s="209"/>
      <c r="S6838" s="209"/>
      <c r="T6838" s="209"/>
    </row>
    <row r="6839" spans="1:20" ht="15" hidden="1" customHeight="1">
      <c r="A6839" s="468">
        <v>45574</v>
      </c>
      <c r="B6839" s="208" t="s">
        <v>5552</v>
      </c>
      <c r="C6839" s="688" t="s">
        <v>146</v>
      </c>
      <c r="D6839" s="211">
        <v>-30000</v>
      </c>
      <c r="E6839" s="212">
        <v>45566</v>
      </c>
      <c r="F6839" s="208" t="s">
        <v>130</v>
      </c>
      <c r="G6839" s="208" t="s">
        <v>257</v>
      </c>
      <c r="H6839" s="81" t="s">
        <v>138</v>
      </c>
      <c r="I6839" s="208" t="s">
        <v>5324</v>
      </c>
      <c r="J6839" s="209"/>
      <c r="K6839" s="209"/>
      <c r="L6839" s="209"/>
      <c r="M6839" s="209"/>
      <c r="N6839" s="209"/>
      <c r="O6839" s="209"/>
      <c r="P6839" s="209"/>
      <c r="Q6839" s="209"/>
      <c r="R6839" s="209"/>
      <c r="S6839" s="209"/>
      <c r="T6839" s="209"/>
    </row>
    <row r="6840" spans="1:20" ht="15" hidden="1" customHeight="1">
      <c r="A6840" s="468">
        <v>45574</v>
      </c>
      <c r="B6840" s="208" t="s">
        <v>5553</v>
      </c>
      <c r="C6840" s="688" t="s">
        <v>146</v>
      </c>
      <c r="D6840" s="211">
        <v>-32000</v>
      </c>
      <c r="E6840" s="212">
        <v>45566</v>
      </c>
      <c r="F6840" s="208" t="s">
        <v>130</v>
      </c>
      <c r="G6840" s="208" t="s">
        <v>257</v>
      </c>
      <c r="H6840" s="81" t="s">
        <v>138</v>
      </c>
      <c r="I6840" s="208" t="s">
        <v>5324</v>
      </c>
      <c r="J6840" s="209"/>
      <c r="K6840" s="209"/>
      <c r="L6840" s="209"/>
      <c r="M6840" s="209"/>
      <c r="N6840" s="209"/>
      <c r="O6840" s="209"/>
      <c r="P6840" s="209"/>
      <c r="Q6840" s="209"/>
      <c r="R6840" s="209"/>
      <c r="S6840" s="209"/>
      <c r="T6840" s="209"/>
    </row>
    <row r="6841" spans="1:20" ht="15" hidden="1" customHeight="1">
      <c r="A6841" s="468">
        <v>45574</v>
      </c>
      <c r="B6841" s="208" t="s">
        <v>5554</v>
      </c>
      <c r="C6841" s="688" t="s">
        <v>146</v>
      </c>
      <c r="D6841" s="211">
        <v>-26000</v>
      </c>
      <c r="E6841" s="212">
        <v>45566</v>
      </c>
      <c r="F6841" s="208" t="s">
        <v>130</v>
      </c>
      <c r="G6841" s="208" t="s">
        <v>257</v>
      </c>
      <c r="H6841" s="81" t="s">
        <v>138</v>
      </c>
      <c r="I6841" s="208" t="s">
        <v>5324</v>
      </c>
      <c r="J6841" s="209"/>
      <c r="K6841" s="209"/>
      <c r="L6841" s="209"/>
      <c r="M6841" s="209"/>
      <c r="N6841" s="209"/>
      <c r="O6841" s="209"/>
      <c r="P6841" s="209"/>
      <c r="Q6841" s="209"/>
      <c r="R6841" s="209"/>
      <c r="S6841" s="209"/>
      <c r="T6841" s="209"/>
    </row>
    <row r="6842" spans="1:20" ht="15" hidden="1" customHeight="1">
      <c r="A6842" s="468">
        <v>45574</v>
      </c>
      <c r="B6842" s="208" t="s">
        <v>5555</v>
      </c>
      <c r="C6842" s="688" t="s">
        <v>146</v>
      </c>
      <c r="D6842" s="211">
        <v>-60000</v>
      </c>
      <c r="E6842" s="212">
        <v>45566</v>
      </c>
      <c r="F6842" s="208" t="s">
        <v>130</v>
      </c>
      <c r="G6842" s="208" t="s">
        <v>257</v>
      </c>
      <c r="H6842" s="208" t="s">
        <v>303</v>
      </c>
      <c r="I6842" s="475" t="s">
        <v>5410</v>
      </c>
      <c r="J6842" s="209"/>
      <c r="K6842" s="209"/>
      <c r="L6842" s="209"/>
      <c r="M6842" s="209"/>
      <c r="N6842" s="209"/>
      <c r="O6842" s="209"/>
      <c r="P6842" s="209"/>
      <c r="Q6842" s="209"/>
      <c r="R6842" s="209"/>
      <c r="S6842" s="209"/>
      <c r="T6842" s="209"/>
    </row>
    <row r="6843" spans="1:20" ht="15" hidden="1" customHeight="1">
      <c r="A6843" s="468">
        <v>45574</v>
      </c>
      <c r="B6843" s="208" t="s">
        <v>5556</v>
      </c>
      <c r="C6843" s="208" t="s">
        <v>146</v>
      </c>
      <c r="D6843" s="208">
        <v>-18000</v>
      </c>
      <c r="E6843" s="212">
        <v>45566</v>
      </c>
      <c r="F6843" s="208" t="s">
        <v>109</v>
      </c>
      <c r="G6843" s="201" t="s">
        <v>581</v>
      </c>
      <c r="H6843" s="208"/>
      <c r="I6843" s="208" t="s">
        <v>5479</v>
      </c>
      <c r="J6843" s="209"/>
      <c r="K6843" s="209"/>
      <c r="L6843" s="209"/>
      <c r="M6843" s="209"/>
      <c r="N6843" s="209"/>
      <c r="O6843" s="209"/>
      <c r="P6843" s="209"/>
      <c r="Q6843" s="209"/>
      <c r="R6843" s="209"/>
      <c r="S6843" s="209"/>
      <c r="T6843" s="209"/>
    </row>
    <row r="6844" spans="1:20" ht="15" hidden="1" customHeight="1">
      <c r="A6844" s="468">
        <v>45574</v>
      </c>
      <c r="B6844" s="208" t="s">
        <v>5557</v>
      </c>
      <c r="C6844" s="208" t="s">
        <v>146</v>
      </c>
      <c r="D6844" s="208">
        <v>-14000</v>
      </c>
      <c r="E6844" s="212">
        <v>45566</v>
      </c>
      <c r="F6844" s="208" t="s">
        <v>109</v>
      </c>
      <c r="G6844" s="201" t="s">
        <v>581</v>
      </c>
      <c r="H6844" s="208"/>
      <c r="I6844" s="208" t="s">
        <v>5479</v>
      </c>
      <c r="J6844" s="209"/>
      <c r="K6844" s="209"/>
      <c r="L6844" s="209"/>
      <c r="M6844" s="209"/>
      <c r="N6844" s="209"/>
      <c r="O6844" s="209"/>
      <c r="P6844" s="209"/>
      <c r="Q6844" s="209"/>
      <c r="R6844" s="209"/>
      <c r="S6844" s="209"/>
      <c r="T6844" s="209"/>
    </row>
    <row r="6845" spans="1:20" ht="15" hidden="1" customHeight="1">
      <c r="A6845" s="468">
        <v>45574</v>
      </c>
      <c r="B6845" s="208" t="s">
        <v>5558</v>
      </c>
      <c r="C6845" s="208" t="s">
        <v>146</v>
      </c>
      <c r="D6845" s="208">
        <v>-10000</v>
      </c>
      <c r="E6845" s="212">
        <v>45566</v>
      </c>
      <c r="F6845" s="208" t="s">
        <v>109</v>
      </c>
      <c r="G6845" s="201" t="s">
        <v>581</v>
      </c>
      <c r="H6845" s="208"/>
      <c r="I6845" s="208" t="s">
        <v>5479</v>
      </c>
      <c r="J6845" s="209"/>
      <c r="K6845" s="209"/>
      <c r="L6845" s="209"/>
      <c r="M6845" s="209"/>
      <c r="N6845" s="209"/>
      <c r="O6845" s="209"/>
      <c r="P6845" s="209"/>
      <c r="Q6845" s="209"/>
      <c r="R6845" s="209"/>
      <c r="S6845" s="209"/>
      <c r="T6845" s="209"/>
    </row>
    <row r="6846" spans="1:20" ht="15" hidden="1" customHeight="1">
      <c r="A6846" s="468">
        <v>45574</v>
      </c>
      <c r="B6846" s="208" t="s">
        <v>5559</v>
      </c>
      <c r="C6846" s="208" t="s">
        <v>146</v>
      </c>
      <c r="D6846" s="450">
        <v>-25000</v>
      </c>
      <c r="E6846" s="212">
        <v>45566</v>
      </c>
      <c r="F6846" s="208" t="s">
        <v>109</v>
      </c>
      <c r="G6846" s="208" t="s">
        <v>10</v>
      </c>
      <c r="H6846" s="208"/>
      <c r="I6846" s="208" t="s">
        <v>5479</v>
      </c>
      <c r="J6846" s="209"/>
      <c r="K6846" s="209"/>
      <c r="L6846" s="209"/>
      <c r="M6846" s="209"/>
      <c r="N6846" s="209"/>
      <c r="O6846" s="209"/>
      <c r="P6846" s="209"/>
      <c r="Q6846" s="209"/>
      <c r="R6846" s="209"/>
      <c r="S6846" s="209"/>
      <c r="T6846" s="209"/>
    </row>
    <row r="6847" spans="1:20" ht="15" hidden="1" customHeight="1">
      <c r="A6847" s="468">
        <v>45574</v>
      </c>
      <c r="B6847" s="208" t="s">
        <v>5560</v>
      </c>
      <c r="C6847" s="208" t="s">
        <v>146</v>
      </c>
      <c r="D6847" s="450">
        <v>-16000</v>
      </c>
      <c r="E6847" s="212">
        <v>45566</v>
      </c>
      <c r="F6847" s="208" t="s">
        <v>109</v>
      </c>
      <c r="G6847" s="208" t="s">
        <v>10</v>
      </c>
      <c r="H6847" s="208"/>
      <c r="I6847" s="208" t="s">
        <v>5479</v>
      </c>
      <c r="J6847" s="209"/>
      <c r="K6847" s="209"/>
      <c r="L6847" s="209"/>
      <c r="M6847" s="209"/>
      <c r="N6847" s="209"/>
      <c r="O6847" s="209"/>
      <c r="P6847" s="209"/>
      <c r="Q6847" s="209"/>
      <c r="R6847" s="209"/>
      <c r="S6847" s="209"/>
      <c r="T6847" s="209"/>
    </row>
    <row r="6848" spans="1:20" ht="15" hidden="1" customHeight="1">
      <c r="A6848" s="468">
        <v>45575</v>
      </c>
      <c r="B6848" s="208" t="s">
        <v>5561</v>
      </c>
      <c r="C6848" s="208" t="s">
        <v>146</v>
      </c>
      <c r="D6848" s="450">
        <v>-18000</v>
      </c>
      <c r="E6848" s="212">
        <v>45566</v>
      </c>
      <c r="F6848" s="208" t="s">
        <v>109</v>
      </c>
      <c r="G6848" s="208" t="s">
        <v>10</v>
      </c>
      <c r="H6848" s="208"/>
      <c r="I6848" s="208" t="s">
        <v>5479</v>
      </c>
      <c r="J6848" s="209"/>
      <c r="K6848" s="209"/>
      <c r="L6848" s="209"/>
      <c r="M6848" s="209"/>
      <c r="N6848" s="209"/>
      <c r="O6848" s="209"/>
      <c r="P6848" s="209"/>
      <c r="Q6848" s="209"/>
      <c r="R6848" s="209"/>
      <c r="S6848" s="209"/>
      <c r="T6848" s="209"/>
    </row>
    <row r="6849" spans="1:20" ht="15" hidden="1" customHeight="1">
      <c r="A6849" s="468">
        <v>45568</v>
      </c>
      <c r="B6849" s="208" t="s">
        <v>5562</v>
      </c>
      <c r="C6849" s="688" t="s">
        <v>146</v>
      </c>
      <c r="D6849" s="211">
        <v>-9999</v>
      </c>
      <c r="E6849" s="212">
        <v>45566</v>
      </c>
      <c r="F6849" s="208" t="s">
        <v>110</v>
      </c>
      <c r="G6849" s="201" t="s">
        <v>1489</v>
      </c>
      <c r="H6849" s="208" t="s">
        <v>2941</v>
      </c>
      <c r="I6849" s="208" t="s">
        <v>5430</v>
      </c>
      <c r="J6849" s="209"/>
      <c r="K6849" s="209"/>
      <c r="L6849" s="209"/>
      <c r="M6849" s="209"/>
      <c r="N6849" s="209"/>
      <c r="O6849" s="209"/>
      <c r="P6849" s="209"/>
      <c r="Q6849" s="209"/>
      <c r="R6849" s="209"/>
      <c r="S6849" s="209"/>
      <c r="T6849" s="209"/>
    </row>
    <row r="6850" spans="1:20" ht="15" hidden="1" customHeight="1">
      <c r="A6850" s="468">
        <v>45573</v>
      </c>
      <c r="B6850" s="208" t="s">
        <v>5563</v>
      </c>
      <c r="C6850" s="688" t="s">
        <v>146</v>
      </c>
      <c r="D6850" s="211">
        <v>-44000</v>
      </c>
      <c r="E6850" s="212">
        <v>45566</v>
      </c>
      <c r="F6850" s="208" t="s">
        <v>130</v>
      </c>
      <c r="G6850" s="208" t="s">
        <v>130</v>
      </c>
      <c r="H6850" s="81" t="s">
        <v>138</v>
      </c>
      <c r="I6850" s="208" t="s">
        <v>5430</v>
      </c>
      <c r="J6850" s="209"/>
      <c r="K6850" s="209"/>
      <c r="L6850" s="209"/>
      <c r="M6850" s="209"/>
      <c r="N6850" s="209"/>
      <c r="O6850" s="209"/>
      <c r="P6850" s="209"/>
      <c r="Q6850" s="209"/>
      <c r="R6850" s="209"/>
      <c r="S6850" s="209"/>
      <c r="T6850" s="209"/>
    </row>
    <row r="6851" spans="1:20" ht="15" hidden="1" customHeight="1">
      <c r="A6851" s="468">
        <v>45573</v>
      </c>
      <c r="B6851" s="208" t="s">
        <v>5564</v>
      </c>
      <c r="C6851" s="688" t="s">
        <v>146</v>
      </c>
      <c r="D6851" s="211">
        <v>-28000</v>
      </c>
      <c r="E6851" s="212">
        <v>45566</v>
      </c>
      <c r="F6851" s="208" t="s">
        <v>109</v>
      </c>
      <c r="G6851" s="208" t="s">
        <v>4986</v>
      </c>
      <c r="H6851" s="208" t="s">
        <v>147</v>
      </c>
      <c r="I6851" s="208" t="s">
        <v>5430</v>
      </c>
      <c r="J6851" s="209"/>
      <c r="K6851" s="209"/>
      <c r="L6851" s="209"/>
      <c r="M6851" s="209"/>
      <c r="N6851" s="209"/>
      <c r="O6851" s="209"/>
      <c r="P6851" s="209"/>
      <c r="Q6851" s="209"/>
      <c r="R6851" s="209"/>
      <c r="S6851" s="209"/>
      <c r="T6851" s="209"/>
    </row>
    <row r="6852" spans="1:20" ht="15" hidden="1" customHeight="1">
      <c r="A6852" s="468">
        <v>45573</v>
      </c>
      <c r="B6852" s="208" t="s">
        <v>5565</v>
      </c>
      <c r="C6852" s="208" t="s">
        <v>146</v>
      </c>
      <c r="D6852" s="211">
        <v>-20000</v>
      </c>
      <c r="E6852" s="212">
        <v>45566</v>
      </c>
      <c r="F6852" s="208" t="s">
        <v>109</v>
      </c>
      <c r="G6852" s="208" t="s">
        <v>4986</v>
      </c>
      <c r="H6852" s="81" t="s">
        <v>138</v>
      </c>
      <c r="I6852" s="208" t="s">
        <v>5430</v>
      </c>
      <c r="J6852" s="209"/>
      <c r="K6852" s="209"/>
      <c r="L6852" s="209"/>
      <c r="M6852" s="209"/>
      <c r="N6852" s="209"/>
      <c r="O6852" s="209"/>
      <c r="P6852" s="209"/>
      <c r="Q6852" s="209"/>
      <c r="R6852" s="209"/>
      <c r="S6852" s="209"/>
      <c r="T6852" s="209"/>
    </row>
    <row r="6853" spans="1:20" ht="15" hidden="1" customHeight="1">
      <c r="A6853" s="468">
        <v>45573</v>
      </c>
      <c r="B6853" s="208" t="s">
        <v>5566</v>
      </c>
      <c r="C6853" s="208" t="s">
        <v>146</v>
      </c>
      <c r="D6853" s="211">
        <v>-6000</v>
      </c>
      <c r="E6853" s="212">
        <v>45566</v>
      </c>
      <c r="F6853" s="208" t="s">
        <v>109</v>
      </c>
      <c r="G6853" s="208" t="s">
        <v>4986</v>
      </c>
      <c r="H6853" s="81" t="s">
        <v>138</v>
      </c>
      <c r="I6853" s="208" t="s">
        <v>5430</v>
      </c>
      <c r="J6853" s="209"/>
      <c r="K6853" s="209"/>
      <c r="L6853" s="209"/>
      <c r="M6853" s="209"/>
      <c r="N6853" s="209"/>
      <c r="O6853" s="209"/>
      <c r="P6853" s="209"/>
      <c r="Q6853" s="209"/>
      <c r="R6853" s="209"/>
      <c r="S6853" s="209"/>
      <c r="T6853" s="209"/>
    </row>
    <row r="6854" spans="1:20" ht="15" hidden="1" customHeight="1">
      <c r="A6854" s="468">
        <v>45575</v>
      </c>
      <c r="B6854" s="208" t="s">
        <v>5567</v>
      </c>
      <c r="C6854" s="208" t="s">
        <v>146</v>
      </c>
      <c r="D6854" s="211">
        <v>-15200</v>
      </c>
      <c r="E6854" s="212">
        <v>45566</v>
      </c>
      <c r="F6854" s="208" t="s">
        <v>109</v>
      </c>
      <c r="G6854" s="208" t="s">
        <v>4225</v>
      </c>
      <c r="H6854" s="208" t="s">
        <v>175</v>
      </c>
      <c r="I6854" s="208" t="s">
        <v>5430</v>
      </c>
      <c r="J6854" s="209"/>
      <c r="K6854" s="209"/>
      <c r="L6854" s="209"/>
      <c r="M6854" s="209"/>
      <c r="N6854" s="209"/>
      <c r="O6854" s="209"/>
      <c r="P6854" s="209"/>
      <c r="Q6854" s="209"/>
      <c r="R6854" s="209"/>
      <c r="S6854" s="209"/>
      <c r="T6854" s="209"/>
    </row>
    <row r="6855" spans="1:20" ht="15" hidden="1" customHeight="1">
      <c r="A6855" s="468">
        <v>45574</v>
      </c>
      <c r="B6855" s="208" t="s">
        <v>5568</v>
      </c>
      <c r="C6855" s="688" t="s">
        <v>146</v>
      </c>
      <c r="D6855" s="211">
        <v>-21760</v>
      </c>
      <c r="E6855" s="212">
        <v>45566</v>
      </c>
      <c r="F6855" s="208" t="s">
        <v>110</v>
      </c>
      <c r="G6855" s="201" t="s">
        <v>1489</v>
      </c>
      <c r="H6855" s="208" t="s">
        <v>2941</v>
      </c>
      <c r="I6855" s="208" t="s">
        <v>5430</v>
      </c>
      <c r="J6855" s="209"/>
      <c r="K6855" s="209"/>
      <c r="L6855" s="209"/>
      <c r="M6855" s="209"/>
      <c r="N6855" s="209"/>
      <c r="O6855" s="209"/>
      <c r="P6855" s="209"/>
      <c r="Q6855" s="209"/>
      <c r="R6855" s="209"/>
      <c r="S6855" s="209"/>
      <c r="T6855" s="209"/>
    </row>
    <row r="6856" spans="1:20" ht="15" hidden="1" customHeight="1">
      <c r="A6856" s="468">
        <v>45574</v>
      </c>
      <c r="B6856" s="208" t="s">
        <v>5569</v>
      </c>
      <c r="C6856" s="208" t="s">
        <v>146</v>
      </c>
      <c r="D6856" s="211">
        <v>-6500</v>
      </c>
      <c r="E6856" s="212">
        <v>45566</v>
      </c>
      <c r="F6856" s="208" t="s">
        <v>109</v>
      </c>
      <c r="G6856" s="208" t="s">
        <v>4986</v>
      </c>
      <c r="H6856" s="208" t="s">
        <v>175</v>
      </c>
      <c r="I6856" s="208" t="s">
        <v>5430</v>
      </c>
      <c r="J6856" s="209"/>
      <c r="K6856" s="209"/>
      <c r="L6856" s="209"/>
      <c r="M6856" s="209"/>
      <c r="N6856" s="209"/>
      <c r="O6856" s="209"/>
      <c r="P6856" s="209"/>
      <c r="Q6856" s="209"/>
      <c r="R6856" s="209"/>
      <c r="S6856" s="209"/>
      <c r="T6856" s="209"/>
    </row>
    <row r="6857" spans="1:20" ht="15" hidden="1" customHeight="1">
      <c r="A6857" s="468">
        <v>45574</v>
      </c>
      <c r="B6857" s="208" t="s">
        <v>5570</v>
      </c>
      <c r="C6857" s="688" t="s">
        <v>146</v>
      </c>
      <c r="D6857" s="211">
        <v>-15000</v>
      </c>
      <c r="E6857" s="212">
        <v>45566</v>
      </c>
      <c r="F6857" s="208" t="s">
        <v>207</v>
      </c>
      <c r="G6857" s="208" t="s">
        <v>3838</v>
      </c>
      <c r="H6857" s="208" t="s">
        <v>175</v>
      </c>
      <c r="I6857" s="208" t="s">
        <v>5430</v>
      </c>
      <c r="J6857" s="209"/>
      <c r="K6857" s="209"/>
      <c r="L6857" s="209"/>
      <c r="M6857" s="209"/>
      <c r="N6857" s="209"/>
      <c r="O6857" s="209"/>
      <c r="P6857" s="209"/>
      <c r="Q6857" s="209"/>
      <c r="R6857" s="209"/>
      <c r="S6857" s="209"/>
      <c r="T6857" s="209"/>
    </row>
    <row r="6858" spans="1:20" ht="15" hidden="1" customHeight="1">
      <c r="A6858" s="468">
        <v>45574</v>
      </c>
      <c r="B6858" s="208" t="s">
        <v>5571</v>
      </c>
      <c r="C6858" s="208" t="s">
        <v>146</v>
      </c>
      <c r="D6858" s="211">
        <v>-67100</v>
      </c>
      <c r="E6858" s="212">
        <v>45566</v>
      </c>
      <c r="F6858" s="208" t="s">
        <v>109</v>
      </c>
      <c r="G6858" s="208" t="s">
        <v>4986</v>
      </c>
      <c r="H6858" s="208" t="s">
        <v>175</v>
      </c>
      <c r="I6858" s="208" t="s">
        <v>5430</v>
      </c>
      <c r="J6858" s="209"/>
      <c r="K6858" s="209"/>
      <c r="L6858" s="209"/>
      <c r="M6858" s="209"/>
      <c r="N6858" s="209"/>
      <c r="O6858" s="209"/>
      <c r="P6858" s="209"/>
      <c r="Q6858" s="209"/>
      <c r="R6858" s="209"/>
      <c r="S6858" s="209"/>
      <c r="T6858" s="209"/>
    </row>
    <row r="6859" spans="1:20" ht="15" hidden="1" customHeight="1">
      <c r="A6859" s="468">
        <v>45575</v>
      </c>
      <c r="B6859" s="208" t="s">
        <v>5572</v>
      </c>
      <c r="C6859" s="688" t="s">
        <v>146</v>
      </c>
      <c r="D6859" s="211">
        <v>-18000</v>
      </c>
      <c r="E6859" s="212">
        <v>45566</v>
      </c>
      <c r="F6859" s="208" t="s">
        <v>110</v>
      </c>
      <c r="G6859" s="201" t="s">
        <v>1489</v>
      </c>
      <c r="H6859" s="208" t="s">
        <v>2941</v>
      </c>
      <c r="I6859" s="208" t="s">
        <v>5430</v>
      </c>
      <c r="J6859" s="209"/>
      <c r="K6859" s="209"/>
      <c r="L6859" s="209"/>
      <c r="M6859" s="209"/>
      <c r="N6859" s="209"/>
      <c r="O6859" s="209"/>
      <c r="P6859" s="209"/>
      <c r="Q6859" s="209"/>
      <c r="R6859" s="209"/>
      <c r="S6859" s="209"/>
      <c r="T6859" s="209"/>
    </row>
    <row r="6860" spans="1:20" ht="15" hidden="1" customHeight="1">
      <c r="A6860" s="468">
        <v>45575</v>
      </c>
      <c r="B6860" s="208" t="s">
        <v>5573</v>
      </c>
      <c r="C6860" s="688" t="s">
        <v>146</v>
      </c>
      <c r="D6860" s="211">
        <v>-25000</v>
      </c>
      <c r="E6860" s="212">
        <v>45566</v>
      </c>
      <c r="F6860" s="208" t="s">
        <v>110</v>
      </c>
      <c r="G6860" s="201" t="s">
        <v>1489</v>
      </c>
      <c r="H6860" s="81" t="s">
        <v>138</v>
      </c>
      <c r="I6860" s="208" t="s">
        <v>5430</v>
      </c>
      <c r="J6860" s="209"/>
      <c r="K6860" s="209"/>
      <c r="L6860" s="209"/>
      <c r="M6860" s="209"/>
      <c r="N6860" s="209"/>
      <c r="O6860" s="209"/>
      <c r="P6860" s="209"/>
      <c r="Q6860" s="209"/>
      <c r="R6860" s="209"/>
      <c r="S6860" s="209"/>
      <c r="T6860" s="209"/>
    </row>
    <row r="6861" spans="1:20" ht="15" hidden="1" customHeight="1">
      <c r="A6861" s="468">
        <v>45575</v>
      </c>
      <c r="B6861" s="208" t="s">
        <v>5574</v>
      </c>
      <c r="C6861" s="688" t="s">
        <v>146</v>
      </c>
      <c r="D6861" s="211">
        <v>-38620</v>
      </c>
      <c r="E6861" s="212">
        <v>45566</v>
      </c>
      <c r="F6861" s="208" t="s">
        <v>110</v>
      </c>
      <c r="G6861" s="201" t="s">
        <v>1489</v>
      </c>
      <c r="H6861" s="208" t="s">
        <v>2941</v>
      </c>
      <c r="I6861" s="208" t="s">
        <v>5430</v>
      </c>
      <c r="J6861" s="209"/>
      <c r="K6861" s="209"/>
      <c r="L6861" s="209"/>
      <c r="M6861" s="209"/>
      <c r="N6861" s="209"/>
      <c r="O6861" s="209"/>
      <c r="P6861" s="209"/>
      <c r="Q6861" s="209"/>
      <c r="R6861" s="209"/>
      <c r="S6861" s="209"/>
      <c r="T6861" s="209"/>
    </row>
    <row r="6862" spans="1:20" ht="15" hidden="1" customHeight="1">
      <c r="A6862" s="468">
        <v>45575</v>
      </c>
      <c r="B6862" s="208" t="s">
        <v>5575</v>
      </c>
      <c r="C6862" s="208" t="s">
        <v>146</v>
      </c>
      <c r="D6862" s="211">
        <v>-41927</v>
      </c>
      <c r="E6862" s="212">
        <v>45566</v>
      </c>
      <c r="F6862" s="208" t="s">
        <v>109</v>
      </c>
      <c r="G6862" s="208" t="s">
        <v>4225</v>
      </c>
      <c r="H6862" s="208" t="s">
        <v>175</v>
      </c>
      <c r="I6862" s="208" t="s">
        <v>5430</v>
      </c>
      <c r="J6862" s="209"/>
      <c r="K6862" s="209"/>
      <c r="L6862" s="209"/>
      <c r="M6862" s="209"/>
      <c r="N6862" s="209"/>
      <c r="O6862" s="209"/>
      <c r="P6862" s="209"/>
      <c r="Q6862" s="209"/>
      <c r="R6862" s="209"/>
      <c r="S6862" s="209"/>
      <c r="T6862" s="209"/>
    </row>
    <row r="6863" spans="1:20" ht="15" hidden="1" customHeight="1">
      <c r="A6863" s="468">
        <v>45575</v>
      </c>
      <c r="B6863" s="208" t="s">
        <v>5576</v>
      </c>
      <c r="C6863" s="208" t="s">
        <v>146</v>
      </c>
      <c r="D6863" s="211">
        <v>-48000</v>
      </c>
      <c r="E6863" s="212">
        <v>45566</v>
      </c>
      <c r="F6863" s="208" t="s">
        <v>109</v>
      </c>
      <c r="G6863" s="201" t="s">
        <v>581</v>
      </c>
      <c r="H6863" s="208"/>
      <c r="I6863" s="208" t="s">
        <v>5430</v>
      </c>
      <c r="J6863" s="209"/>
      <c r="K6863" s="209"/>
      <c r="L6863" s="209"/>
      <c r="M6863" s="209"/>
      <c r="N6863" s="209"/>
      <c r="O6863" s="209"/>
      <c r="P6863" s="209"/>
      <c r="Q6863" s="209"/>
      <c r="R6863" s="209"/>
      <c r="S6863" s="209"/>
      <c r="T6863" s="209"/>
    </row>
    <row r="6864" spans="1:20" ht="15" hidden="1" customHeight="1">
      <c r="A6864" s="468">
        <v>45575</v>
      </c>
      <c r="B6864" s="208" t="s">
        <v>5577</v>
      </c>
      <c r="C6864" s="208" t="s">
        <v>146</v>
      </c>
      <c r="D6864" s="211">
        <v>-10000</v>
      </c>
      <c r="E6864" s="212">
        <v>45566</v>
      </c>
      <c r="F6864" s="208" t="s">
        <v>109</v>
      </c>
      <c r="G6864" s="201" t="s">
        <v>581</v>
      </c>
      <c r="H6864" s="208"/>
      <c r="I6864" s="208" t="s">
        <v>5430</v>
      </c>
      <c r="J6864" s="209"/>
      <c r="K6864" s="209"/>
      <c r="L6864" s="209"/>
      <c r="M6864" s="209"/>
      <c r="N6864" s="209"/>
      <c r="O6864" s="209"/>
      <c r="P6864" s="209"/>
      <c r="Q6864" s="209"/>
      <c r="R6864" s="209"/>
      <c r="S6864" s="209"/>
      <c r="T6864" s="209"/>
    </row>
    <row r="6865" spans="1:20" ht="15" hidden="1" customHeight="1">
      <c r="A6865" s="468">
        <v>45573</v>
      </c>
      <c r="B6865" s="208" t="s">
        <v>2663</v>
      </c>
      <c r="C6865" s="688" t="s">
        <v>146</v>
      </c>
      <c r="D6865" s="211">
        <v>-42000</v>
      </c>
      <c r="E6865" s="212">
        <v>45566</v>
      </c>
      <c r="F6865" s="208" t="s">
        <v>130</v>
      </c>
      <c r="G6865" s="208" t="s">
        <v>130</v>
      </c>
      <c r="H6865" s="81" t="s">
        <v>138</v>
      </c>
      <c r="I6865" s="208"/>
      <c r="J6865" s="209"/>
      <c r="K6865" s="209"/>
      <c r="L6865" s="209"/>
      <c r="M6865" s="209"/>
      <c r="N6865" s="209"/>
      <c r="O6865" s="209"/>
      <c r="P6865" s="209"/>
      <c r="Q6865" s="209"/>
      <c r="R6865" s="209"/>
      <c r="S6865" s="209"/>
      <c r="T6865" s="209"/>
    </row>
    <row r="6866" spans="1:20" ht="15" hidden="1" customHeight="1">
      <c r="A6866" s="468">
        <v>45573</v>
      </c>
      <c r="B6866" s="208" t="s">
        <v>2663</v>
      </c>
      <c r="C6866" s="208" t="s">
        <v>146</v>
      </c>
      <c r="D6866" s="211">
        <v>-21000</v>
      </c>
      <c r="E6866" s="212">
        <v>45566</v>
      </c>
      <c r="F6866" s="208" t="s">
        <v>109</v>
      </c>
      <c r="G6866" s="201" t="s">
        <v>1306</v>
      </c>
      <c r="H6866" s="81" t="s">
        <v>138</v>
      </c>
      <c r="I6866" s="475" t="s">
        <v>5410</v>
      </c>
      <c r="J6866" s="209"/>
      <c r="K6866" s="209"/>
      <c r="L6866" s="209"/>
      <c r="M6866" s="209"/>
      <c r="N6866" s="209"/>
      <c r="O6866" s="209"/>
      <c r="P6866" s="209"/>
      <c r="Q6866" s="209"/>
      <c r="R6866" s="209"/>
      <c r="S6866" s="209"/>
      <c r="T6866" s="209"/>
    </row>
    <row r="6867" spans="1:20" ht="15" hidden="1" customHeight="1">
      <c r="A6867" s="468">
        <v>45573</v>
      </c>
      <c r="B6867" s="208" t="s">
        <v>2663</v>
      </c>
      <c r="C6867" s="208" t="s">
        <v>146</v>
      </c>
      <c r="D6867" s="211">
        <v>-21000</v>
      </c>
      <c r="E6867" s="212">
        <v>45566</v>
      </c>
      <c r="F6867" s="208" t="s">
        <v>109</v>
      </c>
      <c r="G6867" s="201" t="s">
        <v>581</v>
      </c>
      <c r="H6867" s="81" t="s">
        <v>138</v>
      </c>
      <c r="I6867" s="208"/>
      <c r="J6867" s="209"/>
      <c r="K6867" s="209"/>
      <c r="L6867" s="209"/>
      <c r="M6867" s="209"/>
      <c r="N6867" s="209"/>
      <c r="O6867" s="209"/>
      <c r="P6867" s="209"/>
      <c r="Q6867" s="209"/>
      <c r="R6867" s="209"/>
      <c r="S6867" s="209"/>
      <c r="T6867" s="209"/>
    </row>
    <row r="6868" spans="1:20" ht="15" hidden="1" customHeight="1">
      <c r="A6868" s="468">
        <v>45573</v>
      </c>
      <c r="B6868" s="208" t="s">
        <v>2663</v>
      </c>
      <c r="C6868" s="688" t="s">
        <v>146</v>
      </c>
      <c r="D6868" s="211">
        <v>-7000</v>
      </c>
      <c r="E6868" s="212">
        <v>45566</v>
      </c>
      <c r="F6868" s="208" t="s">
        <v>110</v>
      </c>
      <c r="G6868" s="201" t="s">
        <v>1489</v>
      </c>
      <c r="H6868" s="81" t="s">
        <v>138</v>
      </c>
      <c r="I6868" s="208"/>
      <c r="J6868" s="209"/>
      <c r="K6868" s="209"/>
      <c r="L6868" s="209"/>
      <c r="M6868" s="209"/>
      <c r="N6868" s="209"/>
      <c r="O6868" s="209"/>
      <c r="P6868" s="209"/>
      <c r="Q6868" s="209"/>
      <c r="R6868" s="209"/>
      <c r="S6868" s="209"/>
      <c r="T6868" s="209"/>
    </row>
    <row r="6869" spans="1:20" ht="15" hidden="1" customHeight="1">
      <c r="A6869" s="468">
        <v>45573</v>
      </c>
      <c r="B6869" s="208" t="s">
        <v>2663</v>
      </c>
      <c r="C6869" s="688" t="s">
        <v>146</v>
      </c>
      <c r="D6869" s="211">
        <v>-21000</v>
      </c>
      <c r="E6869" s="212">
        <v>45566</v>
      </c>
      <c r="F6869" s="208" t="s">
        <v>207</v>
      </c>
      <c r="G6869" s="208" t="s">
        <v>5453</v>
      </c>
      <c r="H6869" s="81" t="s">
        <v>138</v>
      </c>
      <c r="I6869" s="208"/>
      <c r="J6869" s="209"/>
      <c r="K6869" s="209"/>
      <c r="L6869" s="209"/>
      <c r="M6869" s="209"/>
      <c r="N6869" s="209"/>
      <c r="O6869" s="209"/>
      <c r="P6869" s="209"/>
      <c r="Q6869" s="209"/>
      <c r="R6869" s="209"/>
      <c r="S6869" s="209"/>
      <c r="T6869" s="209"/>
    </row>
    <row r="6870" spans="1:20" ht="15" hidden="1" customHeight="1">
      <c r="A6870" s="468">
        <v>45573</v>
      </c>
      <c r="B6870" s="208" t="s">
        <v>2663</v>
      </c>
      <c r="C6870" s="688" t="s">
        <v>146</v>
      </c>
      <c r="D6870" s="211">
        <v>-21000</v>
      </c>
      <c r="E6870" s="212">
        <v>45566</v>
      </c>
      <c r="F6870" s="208" t="s">
        <v>110</v>
      </c>
      <c r="G6870" s="208" t="s">
        <v>4294</v>
      </c>
      <c r="H6870" s="81" t="s">
        <v>138</v>
      </c>
      <c r="I6870" s="208"/>
      <c r="J6870" s="209"/>
      <c r="K6870" s="209"/>
      <c r="L6870" s="209"/>
      <c r="M6870" s="209"/>
      <c r="N6870" s="209"/>
      <c r="O6870" s="209"/>
      <c r="P6870" s="209"/>
      <c r="Q6870" s="209"/>
      <c r="R6870" s="209"/>
      <c r="S6870" s="209"/>
      <c r="T6870" s="209"/>
    </row>
    <row r="6871" spans="1:20" ht="15" hidden="1" customHeight="1">
      <c r="A6871" s="468">
        <v>45573</v>
      </c>
      <c r="B6871" s="208" t="s">
        <v>2663</v>
      </c>
      <c r="C6871" s="208" t="s">
        <v>146</v>
      </c>
      <c r="D6871" s="211">
        <v>-14000</v>
      </c>
      <c r="E6871" s="212">
        <v>45566</v>
      </c>
      <c r="F6871" s="208" t="s">
        <v>109</v>
      </c>
      <c r="G6871" s="208" t="s">
        <v>3529</v>
      </c>
      <c r="H6871" s="81" t="s">
        <v>138</v>
      </c>
      <c r="I6871" s="208"/>
      <c r="J6871" s="209"/>
      <c r="K6871" s="209"/>
      <c r="L6871" s="209"/>
      <c r="M6871" s="209"/>
      <c r="N6871" s="209"/>
      <c r="O6871" s="209"/>
      <c r="P6871" s="209"/>
      <c r="Q6871" s="209"/>
      <c r="R6871" s="209"/>
      <c r="S6871" s="209"/>
      <c r="T6871" s="209"/>
    </row>
    <row r="6872" spans="1:20" ht="15" hidden="1" customHeight="1">
      <c r="A6872" s="468">
        <v>45573</v>
      </c>
      <c r="B6872" s="208" t="s">
        <v>2663</v>
      </c>
      <c r="C6872" s="208" t="s">
        <v>146</v>
      </c>
      <c r="D6872" s="211">
        <v>-14000</v>
      </c>
      <c r="E6872" s="212">
        <v>45566</v>
      </c>
      <c r="F6872" s="208" t="s">
        <v>109</v>
      </c>
      <c r="G6872" s="208" t="s">
        <v>10</v>
      </c>
      <c r="H6872" s="81" t="s">
        <v>138</v>
      </c>
      <c r="I6872" s="208"/>
      <c r="J6872" s="209"/>
      <c r="K6872" s="209"/>
      <c r="L6872" s="209"/>
      <c r="M6872" s="209"/>
      <c r="N6872" s="209"/>
      <c r="O6872" s="209"/>
      <c r="P6872" s="209"/>
      <c r="Q6872" s="209"/>
      <c r="R6872" s="209"/>
      <c r="S6872" s="209"/>
      <c r="T6872" s="209"/>
    </row>
    <row r="6873" spans="1:20" ht="15" hidden="1" customHeight="1">
      <c r="A6873" s="468">
        <v>45573</v>
      </c>
      <c r="B6873" s="208" t="s">
        <v>2663</v>
      </c>
      <c r="C6873" s="208" t="s">
        <v>146</v>
      </c>
      <c r="D6873" s="211">
        <v>-7000</v>
      </c>
      <c r="E6873" s="212">
        <v>45566</v>
      </c>
      <c r="F6873" s="208" t="s">
        <v>109</v>
      </c>
      <c r="G6873" s="208" t="s">
        <v>4986</v>
      </c>
      <c r="H6873" s="81" t="s">
        <v>138</v>
      </c>
      <c r="I6873" s="208"/>
      <c r="J6873" s="209"/>
      <c r="K6873" s="209"/>
      <c r="L6873" s="209"/>
      <c r="M6873" s="209"/>
      <c r="N6873" s="209"/>
      <c r="O6873" s="209"/>
      <c r="P6873" s="209"/>
      <c r="Q6873" s="209"/>
      <c r="R6873" s="209"/>
      <c r="S6873" s="209"/>
      <c r="T6873" s="209"/>
    </row>
    <row r="6874" spans="1:20" ht="15" hidden="1" customHeight="1">
      <c r="A6874" s="468">
        <v>45575</v>
      </c>
      <c r="B6874" s="208" t="s">
        <v>5578</v>
      </c>
      <c r="C6874" s="208" t="s">
        <v>146</v>
      </c>
      <c r="D6874" s="211">
        <v>-50000</v>
      </c>
      <c r="E6874" s="212">
        <v>45566</v>
      </c>
      <c r="F6874" s="208" t="s">
        <v>109</v>
      </c>
      <c r="G6874" s="208" t="s">
        <v>4225</v>
      </c>
      <c r="H6874" s="81" t="s">
        <v>138</v>
      </c>
      <c r="I6874" s="208"/>
      <c r="J6874" s="209"/>
      <c r="K6874" s="209"/>
      <c r="L6874" s="209"/>
      <c r="M6874" s="209"/>
      <c r="N6874" s="209"/>
      <c r="O6874" s="209"/>
      <c r="P6874" s="209"/>
      <c r="Q6874" s="209"/>
      <c r="R6874" s="209"/>
      <c r="S6874" s="209"/>
      <c r="T6874" s="209"/>
    </row>
    <row r="6875" spans="1:20" ht="15" hidden="1" customHeight="1">
      <c r="A6875" s="468">
        <v>45575</v>
      </c>
      <c r="B6875" s="208" t="s">
        <v>5578</v>
      </c>
      <c r="C6875" s="688" t="s">
        <v>146</v>
      </c>
      <c r="D6875" s="211">
        <v>-310000</v>
      </c>
      <c r="E6875" s="212">
        <v>45566</v>
      </c>
      <c r="F6875" s="208" t="s">
        <v>110</v>
      </c>
      <c r="G6875" s="201" t="s">
        <v>1489</v>
      </c>
      <c r="H6875" s="81" t="s">
        <v>138</v>
      </c>
      <c r="I6875" s="208"/>
      <c r="J6875" s="209"/>
      <c r="K6875" s="209"/>
      <c r="L6875" s="209"/>
      <c r="M6875" s="209"/>
      <c r="N6875" s="209"/>
      <c r="O6875" s="209"/>
      <c r="P6875" s="209"/>
      <c r="Q6875" s="209"/>
      <c r="R6875" s="209"/>
      <c r="S6875" s="209"/>
      <c r="T6875" s="209"/>
    </row>
    <row r="6876" spans="1:20" ht="15" hidden="1" customHeight="1">
      <c r="A6876" s="468">
        <v>45575</v>
      </c>
      <c r="B6876" s="208" t="s">
        <v>5578</v>
      </c>
      <c r="C6876" s="688" t="s">
        <v>146</v>
      </c>
      <c r="D6876" s="211">
        <v>-15000</v>
      </c>
      <c r="E6876" s="212">
        <v>45566</v>
      </c>
      <c r="F6876" s="208" t="s">
        <v>207</v>
      </c>
      <c r="G6876" s="208" t="s">
        <v>5453</v>
      </c>
      <c r="H6876" s="81" t="s">
        <v>138</v>
      </c>
      <c r="I6876" s="208"/>
      <c r="J6876" s="209"/>
      <c r="K6876" s="209"/>
      <c r="L6876" s="209"/>
      <c r="M6876" s="209"/>
      <c r="N6876" s="209"/>
      <c r="O6876" s="209"/>
      <c r="P6876" s="209"/>
      <c r="Q6876" s="209"/>
      <c r="R6876" s="209"/>
      <c r="S6876" s="209"/>
      <c r="T6876" s="209"/>
    </row>
    <row r="6877" spans="1:20" ht="15" hidden="1" customHeight="1">
      <c r="A6877" s="468">
        <v>45575</v>
      </c>
      <c r="B6877" s="208" t="s">
        <v>5578</v>
      </c>
      <c r="C6877" s="688" t="s">
        <v>146</v>
      </c>
      <c r="D6877" s="211">
        <v>-347016</v>
      </c>
      <c r="E6877" s="212">
        <v>45566</v>
      </c>
      <c r="F6877" s="208" t="s">
        <v>110</v>
      </c>
      <c r="G6877" s="208" t="s">
        <v>4294</v>
      </c>
      <c r="H6877" s="81" t="s">
        <v>138</v>
      </c>
      <c r="I6877" s="208"/>
      <c r="J6877" s="209"/>
      <c r="K6877" s="209"/>
      <c r="L6877" s="209"/>
      <c r="M6877" s="209"/>
      <c r="N6877" s="209"/>
      <c r="O6877" s="209"/>
      <c r="P6877" s="209"/>
      <c r="Q6877" s="209"/>
      <c r="R6877" s="209"/>
      <c r="S6877" s="209"/>
      <c r="T6877" s="209"/>
    </row>
    <row r="6878" spans="1:20" ht="15" hidden="1" customHeight="1">
      <c r="A6878" s="468">
        <v>45575</v>
      </c>
      <c r="B6878" s="208" t="s">
        <v>5578</v>
      </c>
      <c r="C6878" s="208" t="s">
        <v>146</v>
      </c>
      <c r="D6878" s="211">
        <v>-15000</v>
      </c>
      <c r="E6878" s="212">
        <v>45566</v>
      </c>
      <c r="F6878" s="208" t="s">
        <v>109</v>
      </c>
      <c r="G6878" s="208" t="s">
        <v>3529</v>
      </c>
      <c r="H6878" s="81" t="s">
        <v>138</v>
      </c>
      <c r="I6878" s="208"/>
      <c r="J6878" s="209"/>
      <c r="K6878" s="209"/>
      <c r="L6878" s="209"/>
      <c r="M6878" s="209"/>
      <c r="N6878" s="209"/>
      <c r="O6878" s="209"/>
      <c r="P6878" s="209"/>
      <c r="Q6878" s="209"/>
      <c r="R6878" s="209"/>
      <c r="S6878" s="209"/>
      <c r="T6878" s="209"/>
    </row>
    <row r="6879" spans="1:20" ht="15" hidden="1" customHeight="1">
      <c r="A6879" s="468">
        <v>45575</v>
      </c>
      <c r="B6879" s="208" t="s">
        <v>3190</v>
      </c>
      <c r="C6879" s="208" t="s">
        <v>4314</v>
      </c>
      <c r="D6879" s="211">
        <v>-7490</v>
      </c>
      <c r="E6879" s="212">
        <v>45566</v>
      </c>
      <c r="F6879" s="208" t="s">
        <v>110</v>
      </c>
      <c r="G6879" s="208" t="s">
        <v>4294</v>
      </c>
      <c r="H6879" s="81" t="s">
        <v>138</v>
      </c>
      <c r="I6879" s="208"/>
      <c r="J6879" s="209"/>
      <c r="K6879" s="209"/>
      <c r="L6879" s="209"/>
      <c r="M6879" s="209"/>
      <c r="N6879" s="209"/>
      <c r="O6879" s="209"/>
      <c r="P6879" s="209"/>
      <c r="Q6879" s="209"/>
      <c r="R6879" s="209"/>
      <c r="S6879" s="209"/>
      <c r="T6879" s="209"/>
    </row>
    <row r="6880" spans="1:20" ht="15" hidden="1" customHeight="1">
      <c r="A6880" s="468">
        <v>45575</v>
      </c>
      <c r="B6880" s="208" t="s">
        <v>4133</v>
      </c>
      <c r="C6880" s="208" t="s">
        <v>4314</v>
      </c>
      <c r="D6880" s="211">
        <v>-4494</v>
      </c>
      <c r="E6880" s="212">
        <v>45566</v>
      </c>
      <c r="F6880" s="208" t="s">
        <v>110</v>
      </c>
      <c r="G6880" s="208" t="s">
        <v>4294</v>
      </c>
      <c r="H6880" s="81" t="s">
        <v>138</v>
      </c>
      <c r="I6880" s="208"/>
      <c r="J6880" s="209"/>
      <c r="K6880" s="209"/>
      <c r="L6880" s="209"/>
      <c r="M6880" s="209"/>
      <c r="N6880" s="209"/>
      <c r="O6880" s="209"/>
      <c r="P6880" s="209"/>
      <c r="Q6880" s="209"/>
      <c r="R6880" s="209"/>
      <c r="S6880" s="209"/>
      <c r="T6880" s="209"/>
    </row>
    <row r="6881" spans="1:20" ht="15" hidden="1" customHeight="1">
      <c r="A6881" s="468">
        <v>45563</v>
      </c>
      <c r="B6881" s="208" t="s">
        <v>5579</v>
      </c>
      <c r="C6881" s="208" t="s">
        <v>146</v>
      </c>
      <c r="D6881" s="211">
        <v>-120000</v>
      </c>
      <c r="E6881" s="212">
        <v>45566</v>
      </c>
      <c r="F6881" s="208" t="s">
        <v>109</v>
      </c>
      <c r="G6881" s="201" t="s">
        <v>581</v>
      </c>
      <c r="H6881" s="208"/>
      <c r="I6881" s="208" t="s">
        <v>1347</v>
      </c>
      <c r="J6881" s="209"/>
      <c r="K6881" s="209"/>
      <c r="L6881" s="209"/>
      <c r="M6881" s="209"/>
      <c r="N6881" s="209"/>
      <c r="O6881" s="209"/>
      <c r="P6881" s="209"/>
      <c r="Q6881" s="209"/>
      <c r="R6881" s="209"/>
      <c r="S6881" s="209"/>
      <c r="T6881" s="209"/>
    </row>
    <row r="6882" spans="1:20" ht="15" hidden="1" customHeight="1">
      <c r="A6882" s="468">
        <v>45563</v>
      </c>
      <c r="B6882" s="208" t="s">
        <v>5580</v>
      </c>
      <c r="C6882" s="208" t="s">
        <v>146</v>
      </c>
      <c r="D6882" s="211">
        <v>-30000</v>
      </c>
      <c r="E6882" s="212">
        <v>45566</v>
      </c>
      <c r="F6882" s="208" t="s">
        <v>109</v>
      </c>
      <c r="G6882" s="201" t="s">
        <v>581</v>
      </c>
      <c r="H6882" s="208"/>
      <c r="I6882" s="208" t="s">
        <v>1347</v>
      </c>
      <c r="J6882" s="209"/>
      <c r="K6882" s="209"/>
      <c r="L6882" s="209"/>
      <c r="M6882" s="209"/>
      <c r="N6882" s="209"/>
      <c r="O6882" s="209"/>
      <c r="P6882" s="209"/>
      <c r="Q6882" s="209"/>
      <c r="R6882" s="209"/>
      <c r="S6882" s="209"/>
      <c r="T6882" s="209"/>
    </row>
    <row r="6883" spans="1:20" ht="15" hidden="1" customHeight="1">
      <c r="A6883" s="468">
        <v>45564</v>
      </c>
      <c r="B6883" s="208" t="s">
        <v>5581</v>
      </c>
      <c r="C6883" s="208" t="s">
        <v>146</v>
      </c>
      <c r="D6883" s="211">
        <v>-105000</v>
      </c>
      <c r="E6883" s="212">
        <v>45566</v>
      </c>
      <c r="F6883" s="208" t="s">
        <v>109</v>
      </c>
      <c r="G6883" s="201" t="s">
        <v>581</v>
      </c>
      <c r="H6883" s="208"/>
      <c r="I6883" s="208" t="s">
        <v>1347</v>
      </c>
      <c r="J6883" s="209"/>
      <c r="K6883" s="209"/>
      <c r="L6883" s="209"/>
      <c r="M6883" s="209"/>
      <c r="N6883" s="209"/>
      <c r="O6883" s="209"/>
      <c r="P6883" s="209"/>
      <c r="Q6883" s="209"/>
      <c r="R6883" s="209"/>
      <c r="S6883" s="209"/>
      <c r="T6883" s="209"/>
    </row>
    <row r="6884" spans="1:20" ht="15" hidden="1" customHeight="1">
      <c r="A6884" s="468">
        <v>45565</v>
      </c>
      <c r="B6884" s="208" t="s">
        <v>5582</v>
      </c>
      <c r="C6884" s="208" t="s">
        <v>146</v>
      </c>
      <c r="D6884" s="211">
        <v>-30000</v>
      </c>
      <c r="E6884" s="212">
        <v>45566</v>
      </c>
      <c r="F6884" s="208" t="s">
        <v>109</v>
      </c>
      <c r="G6884" s="201" t="s">
        <v>581</v>
      </c>
      <c r="H6884" s="208"/>
      <c r="I6884" s="208" t="s">
        <v>1347</v>
      </c>
      <c r="J6884" s="209"/>
      <c r="K6884" s="209"/>
      <c r="L6884" s="209"/>
      <c r="M6884" s="209"/>
      <c r="N6884" s="209"/>
      <c r="O6884" s="209"/>
      <c r="P6884" s="209"/>
      <c r="Q6884" s="209"/>
      <c r="R6884" s="209"/>
      <c r="S6884" s="209"/>
      <c r="T6884" s="209"/>
    </row>
    <row r="6885" spans="1:20" ht="15" hidden="1" customHeight="1">
      <c r="A6885" s="468">
        <v>45565</v>
      </c>
      <c r="B6885" s="208" t="s">
        <v>5583</v>
      </c>
      <c r="C6885" s="208" t="s">
        <v>146</v>
      </c>
      <c r="D6885" s="211">
        <v>-88500</v>
      </c>
      <c r="E6885" s="212">
        <v>45566</v>
      </c>
      <c r="F6885" s="208" t="s">
        <v>109</v>
      </c>
      <c r="G6885" s="201" t="s">
        <v>581</v>
      </c>
      <c r="H6885" s="208"/>
      <c r="I6885" s="208" t="s">
        <v>1347</v>
      </c>
      <c r="J6885" s="209"/>
      <c r="K6885" s="209"/>
      <c r="L6885" s="209"/>
      <c r="M6885" s="209"/>
      <c r="N6885" s="209"/>
      <c r="O6885" s="209"/>
      <c r="P6885" s="209"/>
      <c r="Q6885" s="209"/>
      <c r="R6885" s="209"/>
      <c r="S6885" s="209"/>
      <c r="T6885" s="209"/>
    </row>
    <row r="6886" spans="1:20" ht="15" hidden="1" customHeight="1">
      <c r="A6886" s="468">
        <v>45566</v>
      </c>
      <c r="B6886" s="208" t="s">
        <v>5584</v>
      </c>
      <c r="C6886" s="208" t="s">
        <v>146</v>
      </c>
      <c r="D6886" s="211">
        <v>-30000</v>
      </c>
      <c r="E6886" s="212">
        <v>45566</v>
      </c>
      <c r="F6886" s="208" t="s">
        <v>109</v>
      </c>
      <c r="G6886" s="201" t="s">
        <v>581</v>
      </c>
      <c r="H6886" s="208"/>
      <c r="I6886" s="208" t="s">
        <v>1347</v>
      </c>
      <c r="J6886" s="209"/>
      <c r="K6886" s="209"/>
      <c r="L6886" s="209"/>
      <c r="M6886" s="209"/>
      <c r="N6886" s="209"/>
      <c r="O6886" s="209"/>
      <c r="P6886" s="209"/>
      <c r="Q6886" s="209"/>
      <c r="R6886" s="209"/>
      <c r="S6886" s="209"/>
      <c r="T6886" s="209"/>
    </row>
    <row r="6887" spans="1:20" ht="15" hidden="1" customHeight="1">
      <c r="A6887" s="468">
        <v>45567</v>
      </c>
      <c r="B6887" s="208" t="s">
        <v>5585</v>
      </c>
      <c r="C6887" s="208" t="s">
        <v>146</v>
      </c>
      <c r="D6887" s="211">
        <v>-160000</v>
      </c>
      <c r="E6887" s="212">
        <v>45566</v>
      </c>
      <c r="F6887" s="208" t="s">
        <v>109</v>
      </c>
      <c r="G6887" s="201" t="s">
        <v>581</v>
      </c>
      <c r="H6887" s="208"/>
      <c r="I6887" s="208" t="s">
        <v>1347</v>
      </c>
      <c r="J6887" s="209"/>
      <c r="K6887" s="209"/>
      <c r="L6887" s="209"/>
      <c r="M6887" s="209"/>
      <c r="N6887" s="209"/>
      <c r="O6887" s="209"/>
      <c r="P6887" s="209"/>
      <c r="Q6887" s="209"/>
      <c r="R6887" s="209"/>
      <c r="S6887" s="209"/>
      <c r="T6887" s="209"/>
    </row>
    <row r="6888" spans="1:20" ht="15" hidden="1" customHeight="1">
      <c r="A6888" s="468">
        <v>45567</v>
      </c>
      <c r="B6888" s="208" t="s">
        <v>5586</v>
      </c>
      <c r="C6888" s="208" t="s">
        <v>146</v>
      </c>
      <c r="D6888" s="211">
        <v>-60500</v>
      </c>
      <c r="E6888" s="212">
        <v>45566</v>
      </c>
      <c r="F6888" s="208" t="s">
        <v>109</v>
      </c>
      <c r="G6888" s="201" t="s">
        <v>581</v>
      </c>
      <c r="H6888" s="208"/>
      <c r="I6888" s="208" t="s">
        <v>1347</v>
      </c>
      <c r="J6888" s="209"/>
      <c r="K6888" s="209"/>
      <c r="L6888" s="209"/>
      <c r="M6888" s="209"/>
      <c r="N6888" s="209"/>
      <c r="O6888" s="209"/>
      <c r="P6888" s="209"/>
      <c r="Q6888" s="209"/>
      <c r="R6888" s="209"/>
      <c r="S6888" s="209"/>
      <c r="T6888" s="209"/>
    </row>
    <row r="6889" spans="1:20" ht="15" hidden="1" customHeight="1">
      <c r="A6889" s="468">
        <v>45567</v>
      </c>
      <c r="B6889" s="208" t="s">
        <v>5587</v>
      </c>
      <c r="C6889" s="208" t="s">
        <v>146</v>
      </c>
      <c r="D6889" s="211">
        <v>-12000</v>
      </c>
      <c r="E6889" s="212">
        <v>45566</v>
      </c>
      <c r="F6889" s="208" t="s">
        <v>109</v>
      </c>
      <c r="G6889" s="201" t="s">
        <v>581</v>
      </c>
      <c r="H6889" s="208"/>
      <c r="I6889" s="208" t="s">
        <v>1347</v>
      </c>
      <c r="J6889" s="209"/>
      <c r="K6889" s="209"/>
      <c r="L6889" s="209"/>
      <c r="M6889" s="209"/>
      <c r="N6889" s="209"/>
      <c r="O6889" s="209"/>
      <c r="P6889" s="209"/>
      <c r="Q6889" s="209"/>
      <c r="R6889" s="209"/>
      <c r="S6889" s="209"/>
      <c r="T6889" s="209"/>
    </row>
    <row r="6890" spans="1:20" ht="15" hidden="1" customHeight="1">
      <c r="A6890" s="468">
        <v>45567</v>
      </c>
      <c r="B6890" s="208" t="s">
        <v>5588</v>
      </c>
      <c r="C6890" s="208" t="s">
        <v>146</v>
      </c>
      <c r="D6890" s="211">
        <v>-15000</v>
      </c>
      <c r="E6890" s="212">
        <v>45566</v>
      </c>
      <c r="F6890" s="208" t="s">
        <v>109</v>
      </c>
      <c r="G6890" s="201" t="s">
        <v>581</v>
      </c>
      <c r="H6890" s="208"/>
      <c r="I6890" s="208" t="s">
        <v>1347</v>
      </c>
      <c r="J6890" s="209"/>
      <c r="K6890" s="209"/>
      <c r="L6890" s="209"/>
      <c r="M6890" s="209"/>
      <c r="N6890" s="209"/>
      <c r="O6890" s="209"/>
      <c r="P6890" s="209"/>
      <c r="Q6890" s="209"/>
      <c r="R6890" s="209"/>
      <c r="S6890" s="209"/>
      <c r="T6890" s="209"/>
    </row>
    <row r="6891" spans="1:20" ht="15" hidden="1" customHeight="1">
      <c r="A6891" s="468">
        <v>45568</v>
      </c>
      <c r="B6891" s="208" t="s">
        <v>5589</v>
      </c>
      <c r="C6891" s="208" t="s">
        <v>146</v>
      </c>
      <c r="D6891" s="211">
        <v>-28500</v>
      </c>
      <c r="E6891" s="212">
        <v>45566</v>
      </c>
      <c r="F6891" s="208" t="s">
        <v>109</v>
      </c>
      <c r="G6891" s="201" t="s">
        <v>581</v>
      </c>
      <c r="H6891" s="208"/>
      <c r="I6891" s="208" t="s">
        <v>1347</v>
      </c>
      <c r="J6891" s="209"/>
      <c r="K6891" s="209"/>
      <c r="L6891" s="209"/>
      <c r="M6891" s="209"/>
      <c r="N6891" s="209"/>
      <c r="O6891" s="209"/>
      <c r="P6891" s="209"/>
      <c r="Q6891" s="209"/>
      <c r="R6891" s="209"/>
      <c r="S6891" s="209"/>
      <c r="T6891" s="209"/>
    </row>
    <row r="6892" spans="1:20" ht="15" hidden="1" customHeight="1">
      <c r="A6892" s="468">
        <v>45568</v>
      </c>
      <c r="B6892" s="208" t="s">
        <v>5590</v>
      </c>
      <c r="C6892" s="208" t="s">
        <v>146</v>
      </c>
      <c r="D6892" s="211">
        <v>-20000</v>
      </c>
      <c r="E6892" s="212">
        <v>45566</v>
      </c>
      <c r="F6892" s="208" t="s">
        <v>109</v>
      </c>
      <c r="G6892" s="201" t="s">
        <v>581</v>
      </c>
      <c r="H6892" s="208"/>
      <c r="I6892" s="208" t="s">
        <v>1347</v>
      </c>
      <c r="J6892" s="209"/>
      <c r="K6892" s="209"/>
      <c r="L6892" s="209"/>
      <c r="M6892" s="209"/>
      <c r="N6892" s="209"/>
      <c r="O6892" s="209"/>
      <c r="P6892" s="209"/>
      <c r="Q6892" s="209"/>
      <c r="R6892" s="209"/>
      <c r="S6892" s="209"/>
      <c r="T6892" s="209"/>
    </row>
    <row r="6893" spans="1:20" ht="15" hidden="1" customHeight="1">
      <c r="A6893" s="468">
        <v>45569</v>
      </c>
      <c r="B6893" s="208" t="s">
        <v>5591</v>
      </c>
      <c r="C6893" s="208" t="s">
        <v>146</v>
      </c>
      <c r="D6893" s="211">
        <v>-40000</v>
      </c>
      <c r="E6893" s="212">
        <v>45566</v>
      </c>
      <c r="F6893" s="208" t="s">
        <v>109</v>
      </c>
      <c r="G6893" s="201" t="s">
        <v>581</v>
      </c>
      <c r="H6893" s="208"/>
      <c r="I6893" s="208" t="s">
        <v>1347</v>
      </c>
      <c r="J6893" s="209"/>
      <c r="K6893" s="209"/>
      <c r="L6893" s="209"/>
      <c r="M6893" s="209"/>
      <c r="N6893" s="209"/>
      <c r="O6893" s="209"/>
      <c r="P6893" s="209"/>
      <c r="Q6893" s="209"/>
      <c r="R6893" s="209"/>
      <c r="S6893" s="209"/>
      <c r="T6893" s="209"/>
    </row>
    <row r="6894" spans="1:20" ht="15" hidden="1" customHeight="1">
      <c r="A6894" s="468">
        <v>45569</v>
      </c>
      <c r="B6894" s="208" t="s">
        <v>5592</v>
      </c>
      <c r="C6894" s="208" t="s">
        <v>146</v>
      </c>
      <c r="D6894" s="211">
        <v>-40000</v>
      </c>
      <c r="E6894" s="212">
        <v>45566</v>
      </c>
      <c r="F6894" s="208" t="s">
        <v>109</v>
      </c>
      <c r="G6894" s="201" t="s">
        <v>581</v>
      </c>
      <c r="H6894" s="208"/>
      <c r="I6894" s="208" t="s">
        <v>1347</v>
      </c>
      <c r="J6894" s="209"/>
      <c r="K6894" s="209"/>
      <c r="L6894" s="209"/>
      <c r="M6894" s="209"/>
      <c r="N6894" s="209"/>
      <c r="O6894" s="209"/>
      <c r="P6894" s="209"/>
      <c r="Q6894" s="209"/>
      <c r="R6894" s="209"/>
      <c r="S6894" s="209"/>
      <c r="T6894" s="209"/>
    </row>
    <row r="6895" spans="1:20" ht="15" hidden="1" customHeight="1">
      <c r="A6895" s="468">
        <v>45569</v>
      </c>
      <c r="B6895" s="208" t="s">
        <v>5593</v>
      </c>
      <c r="C6895" s="208" t="s">
        <v>146</v>
      </c>
      <c r="D6895" s="211">
        <v>-30000</v>
      </c>
      <c r="E6895" s="212">
        <v>45566</v>
      </c>
      <c r="F6895" s="208" t="s">
        <v>109</v>
      </c>
      <c r="G6895" s="201" t="s">
        <v>581</v>
      </c>
      <c r="H6895" s="208"/>
      <c r="I6895" s="208" t="s">
        <v>1347</v>
      </c>
      <c r="J6895" s="209"/>
      <c r="K6895" s="209"/>
      <c r="L6895" s="209"/>
      <c r="M6895" s="209"/>
      <c r="N6895" s="209"/>
      <c r="O6895" s="209"/>
      <c r="P6895" s="209"/>
      <c r="Q6895" s="209"/>
      <c r="R6895" s="209"/>
      <c r="S6895" s="209"/>
      <c r="T6895" s="209"/>
    </row>
    <row r="6896" spans="1:20" ht="15" hidden="1" customHeight="1">
      <c r="A6896" s="468">
        <v>45569</v>
      </c>
      <c r="B6896" s="208" t="s">
        <v>5594</v>
      </c>
      <c r="C6896" s="208" t="s">
        <v>146</v>
      </c>
      <c r="D6896" s="211">
        <v>-25000</v>
      </c>
      <c r="E6896" s="212">
        <v>45566</v>
      </c>
      <c r="F6896" s="208" t="s">
        <v>109</v>
      </c>
      <c r="G6896" s="201" t="s">
        <v>581</v>
      </c>
      <c r="H6896" s="208"/>
      <c r="I6896" s="208" t="s">
        <v>1347</v>
      </c>
      <c r="J6896" s="209"/>
      <c r="K6896" s="209"/>
      <c r="L6896" s="209"/>
      <c r="M6896" s="209"/>
      <c r="N6896" s="209"/>
      <c r="O6896" s="209"/>
      <c r="P6896" s="209"/>
      <c r="Q6896" s="209"/>
      <c r="R6896" s="209"/>
      <c r="S6896" s="209"/>
      <c r="T6896" s="209"/>
    </row>
    <row r="6897" spans="1:20" ht="15" hidden="1" customHeight="1">
      <c r="A6897" s="468">
        <v>45570</v>
      </c>
      <c r="B6897" s="208" t="s">
        <v>5595</v>
      </c>
      <c r="C6897" s="208" t="s">
        <v>146</v>
      </c>
      <c r="D6897" s="211">
        <v>-20000</v>
      </c>
      <c r="E6897" s="212">
        <v>45566</v>
      </c>
      <c r="F6897" s="208" t="s">
        <v>109</v>
      </c>
      <c r="G6897" s="201" t="s">
        <v>581</v>
      </c>
      <c r="H6897" s="208"/>
      <c r="I6897" s="208" t="s">
        <v>1347</v>
      </c>
      <c r="J6897" s="209"/>
      <c r="K6897" s="209"/>
      <c r="L6897" s="209"/>
      <c r="M6897" s="209"/>
      <c r="N6897" s="209"/>
      <c r="O6897" s="209"/>
      <c r="P6897" s="209"/>
      <c r="Q6897" s="209"/>
      <c r="R6897" s="209"/>
      <c r="S6897" s="209"/>
      <c r="T6897" s="209"/>
    </row>
    <row r="6898" spans="1:20" ht="15" hidden="1" customHeight="1">
      <c r="A6898" s="468">
        <v>45570</v>
      </c>
      <c r="B6898" s="208" t="s">
        <v>5596</v>
      </c>
      <c r="C6898" s="208" t="s">
        <v>146</v>
      </c>
      <c r="D6898" s="211">
        <v>-163000</v>
      </c>
      <c r="E6898" s="212">
        <v>45566</v>
      </c>
      <c r="F6898" s="208" t="s">
        <v>109</v>
      </c>
      <c r="G6898" s="201" t="s">
        <v>581</v>
      </c>
      <c r="H6898" s="208"/>
      <c r="I6898" s="208" t="s">
        <v>1347</v>
      </c>
      <c r="J6898" s="209"/>
      <c r="K6898" s="209"/>
      <c r="L6898" s="209"/>
      <c r="M6898" s="209"/>
      <c r="N6898" s="209"/>
      <c r="O6898" s="209"/>
      <c r="P6898" s="209"/>
      <c r="Q6898" s="209"/>
      <c r="R6898" s="209"/>
      <c r="S6898" s="209"/>
      <c r="T6898" s="209"/>
    </row>
    <row r="6899" spans="1:20" ht="15" hidden="1" customHeight="1">
      <c r="A6899" s="468">
        <v>45570</v>
      </c>
      <c r="B6899" s="208" t="s">
        <v>5597</v>
      </c>
      <c r="C6899" s="208" t="s">
        <v>146</v>
      </c>
      <c r="D6899" s="718">
        <v>-13500</v>
      </c>
      <c r="E6899" s="212">
        <v>45566</v>
      </c>
      <c r="F6899" s="208" t="s">
        <v>109</v>
      </c>
      <c r="G6899" s="201" t="s">
        <v>581</v>
      </c>
      <c r="H6899" s="208"/>
      <c r="I6899" s="208" t="s">
        <v>1347</v>
      </c>
      <c r="J6899" s="209"/>
      <c r="K6899" s="209"/>
      <c r="L6899" s="209"/>
      <c r="M6899" s="209"/>
      <c r="N6899" s="209"/>
      <c r="O6899" s="209"/>
      <c r="P6899" s="209"/>
      <c r="Q6899" s="209"/>
      <c r="R6899" s="209"/>
      <c r="S6899" s="209"/>
      <c r="T6899" s="209"/>
    </row>
    <row r="6900" spans="1:20" ht="15" hidden="1" customHeight="1">
      <c r="A6900" s="468">
        <v>45570</v>
      </c>
      <c r="B6900" s="208" t="s">
        <v>5598</v>
      </c>
      <c r="C6900" s="208" t="s">
        <v>146</v>
      </c>
      <c r="D6900" s="211">
        <v>-120000</v>
      </c>
      <c r="E6900" s="212">
        <v>45566</v>
      </c>
      <c r="F6900" s="208" t="s">
        <v>109</v>
      </c>
      <c r="G6900" s="201" t="s">
        <v>581</v>
      </c>
      <c r="H6900" s="208"/>
      <c r="I6900" s="208" t="s">
        <v>1347</v>
      </c>
      <c r="J6900" s="209"/>
      <c r="K6900" s="209"/>
      <c r="L6900" s="209"/>
      <c r="M6900" s="209"/>
      <c r="N6900" s="209"/>
      <c r="O6900" s="209"/>
      <c r="P6900" s="209"/>
      <c r="Q6900" s="209"/>
      <c r="R6900" s="209"/>
      <c r="S6900" s="209"/>
      <c r="T6900" s="209"/>
    </row>
    <row r="6901" spans="1:20" ht="15" hidden="1" customHeight="1">
      <c r="A6901" s="468">
        <v>45572</v>
      </c>
      <c r="B6901" s="208" t="s">
        <v>2139</v>
      </c>
      <c r="C6901" s="208" t="s">
        <v>146</v>
      </c>
      <c r="D6901" s="718">
        <v>-13500</v>
      </c>
      <c r="E6901" s="212">
        <v>45566</v>
      </c>
      <c r="F6901" s="208" t="s">
        <v>109</v>
      </c>
      <c r="G6901" s="201" t="s">
        <v>581</v>
      </c>
      <c r="H6901" s="208"/>
      <c r="I6901" s="208" t="s">
        <v>1347</v>
      </c>
      <c r="J6901" s="209"/>
      <c r="K6901" s="209"/>
      <c r="L6901" s="209"/>
      <c r="M6901" s="209"/>
      <c r="N6901" s="209"/>
      <c r="O6901" s="209"/>
      <c r="P6901" s="209"/>
      <c r="Q6901" s="209"/>
      <c r="R6901" s="209"/>
      <c r="S6901" s="209"/>
      <c r="T6901" s="209"/>
    </row>
    <row r="6902" spans="1:20" ht="15" hidden="1" customHeight="1">
      <c r="A6902" s="468">
        <v>45572</v>
      </c>
      <c r="B6902" s="208" t="s">
        <v>5599</v>
      </c>
      <c r="C6902" s="208" t="s">
        <v>146</v>
      </c>
      <c r="D6902" s="211">
        <v>-70000</v>
      </c>
      <c r="E6902" s="212">
        <v>45566</v>
      </c>
      <c r="F6902" s="208" t="s">
        <v>109</v>
      </c>
      <c r="G6902" s="208" t="s">
        <v>10</v>
      </c>
      <c r="H6902" s="208"/>
      <c r="I6902" s="208" t="s">
        <v>1347</v>
      </c>
      <c r="J6902" s="209"/>
      <c r="K6902" s="209"/>
      <c r="L6902" s="209"/>
      <c r="M6902" s="209"/>
      <c r="N6902" s="209"/>
      <c r="O6902" s="209"/>
      <c r="P6902" s="209"/>
      <c r="Q6902" s="209"/>
      <c r="R6902" s="209"/>
      <c r="S6902" s="209"/>
      <c r="T6902" s="209"/>
    </row>
    <row r="6903" spans="1:20" ht="15" hidden="1" customHeight="1">
      <c r="A6903" s="468">
        <v>45572</v>
      </c>
      <c r="B6903" s="208" t="s">
        <v>5600</v>
      </c>
      <c r="C6903" s="208" t="s">
        <v>146</v>
      </c>
      <c r="D6903" s="211">
        <v>-17000</v>
      </c>
      <c r="E6903" s="212">
        <v>45566</v>
      </c>
      <c r="F6903" s="208" t="s">
        <v>109</v>
      </c>
      <c r="G6903" s="208" t="s">
        <v>10</v>
      </c>
      <c r="H6903" s="208"/>
      <c r="I6903" s="208" t="s">
        <v>1347</v>
      </c>
      <c r="J6903" s="209"/>
      <c r="K6903" s="209"/>
      <c r="L6903" s="209"/>
      <c r="M6903" s="209"/>
      <c r="N6903" s="209"/>
      <c r="O6903" s="209"/>
      <c r="P6903" s="209"/>
      <c r="Q6903" s="209"/>
      <c r="R6903" s="209"/>
      <c r="S6903" s="209"/>
      <c r="T6903" s="209"/>
    </row>
    <row r="6904" spans="1:20" ht="15" hidden="1" customHeight="1">
      <c r="A6904" s="468">
        <v>45572</v>
      </c>
      <c r="B6904" s="208" t="s">
        <v>5601</v>
      </c>
      <c r="C6904" s="208" t="s">
        <v>146</v>
      </c>
      <c r="D6904" s="211">
        <v>-107000</v>
      </c>
      <c r="E6904" s="212">
        <v>45566</v>
      </c>
      <c r="F6904" s="208" t="s">
        <v>109</v>
      </c>
      <c r="G6904" s="208" t="s">
        <v>10</v>
      </c>
      <c r="H6904" s="208"/>
      <c r="I6904" s="208" t="s">
        <v>1347</v>
      </c>
      <c r="J6904" s="209"/>
      <c r="K6904" s="209"/>
      <c r="L6904" s="209"/>
      <c r="M6904" s="209"/>
      <c r="N6904" s="209"/>
      <c r="O6904" s="209"/>
      <c r="P6904" s="209"/>
      <c r="Q6904" s="209"/>
      <c r="R6904" s="209"/>
      <c r="S6904" s="209"/>
      <c r="T6904" s="209"/>
    </row>
    <row r="6905" spans="1:20" ht="15" hidden="1" customHeight="1">
      <c r="A6905" s="468">
        <v>45572</v>
      </c>
      <c r="B6905" s="208" t="s">
        <v>5602</v>
      </c>
      <c r="C6905" s="208" t="s">
        <v>146</v>
      </c>
      <c r="D6905" s="211">
        <v>-15900</v>
      </c>
      <c r="E6905" s="212">
        <v>45566</v>
      </c>
      <c r="F6905" s="208" t="s">
        <v>109</v>
      </c>
      <c r="G6905" s="208" t="s">
        <v>10</v>
      </c>
      <c r="H6905" s="208"/>
      <c r="I6905" s="208" t="s">
        <v>1347</v>
      </c>
      <c r="J6905" s="209"/>
      <c r="K6905" s="209"/>
      <c r="L6905" s="209"/>
      <c r="M6905" s="209"/>
      <c r="N6905" s="209"/>
      <c r="O6905" s="209"/>
      <c r="P6905" s="209"/>
      <c r="Q6905" s="209"/>
      <c r="R6905" s="209"/>
      <c r="S6905" s="209"/>
      <c r="T6905" s="209"/>
    </row>
    <row r="6906" spans="1:20" ht="15" hidden="1" customHeight="1">
      <c r="A6906" s="468">
        <v>45573</v>
      </c>
      <c r="B6906" s="208" t="s">
        <v>5603</v>
      </c>
      <c r="C6906" s="208" t="s">
        <v>146</v>
      </c>
      <c r="D6906" s="211">
        <v>-107000</v>
      </c>
      <c r="E6906" s="212">
        <v>45566</v>
      </c>
      <c r="F6906" s="208" t="s">
        <v>109</v>
      </c>
      <c r="G6906" s="208" t="s">
        <v>10</v>
      </c>
      <c r="H6906" s="208"/>
      <c r="I6906" s="208" t="s">
        <v>1347</v>
      </c>
      <c r="J6906" s="209"/>
      <c r="K6906" s="209"/>
      <c r="L6906" s="209"/>
      <c r="M6906" s="209"/>
      <c r="N6906" s="209"/>
      <c r="O6906" s="209"/>
      <c r="P6906" s="209"/>
      <c r="Q6906" s="209"/>
      <c r="R6906" s="209"/>
      <c r="S6906" s="209"/>
      <c r="T6906" s="209"/>
    </row>
    <row r="6907" spans="1:20" ht="15" hidden="1" customHeight="1">
      <c r="A6907" s="468">
        <v>45573</v>
      </c>
      <c r="B6907" s="208" t="s">
        <v>5604</v>
      </c>
      <c r="C6907" s="208" t="s">
        <v>146</v>
      </c>
      <c r="D6907" s="211">
        <v>-13000</v>
      </c>
      <c r="E6907" s="212">
        <v>45566</v>
      </c>
      <c r="F6907" s="208" t="s">
        <v>109</v>
      </c>
      <c r="G6907" s="208" t="s">
        <v>10</v>
      </c>
      <c r="H6907" s="208"/>
      <c r="I6907" s="208" t="s">
        <v>1347</v>
      </c>
      <c r="J6907" s="209"/>
      <c r="K6907" s="209"/>
      <c r="L6907" s="209"/>
      <c r="M6907" s="209"/>
      <c r="N6907" s="209"/>
      <c r="O6907" s="209"/>
      <c r="P6907" s="209"/>
      <c r="Q6907" s="209"/>
      <c r="R6907" s="209"/>
      <c r="S6907" s="209"/>
      <c r="T6907" s="209"/>
    </row>
    <row r="6908" spans="1:20" ht="15" hidden="1" customHeight="1">
      <c r="A6908" s="468">
        <v>45574</v>
      </c>
      <c r="B6908" s="208" t="s">
        <v>5605</v>
      </c>
      <c r="C6908" s="208" t="s">
        <v>146</v>
      </c>
      <c r="D6908" s="211">
        <v>-31000</v>
      </c>
      <c r="E6908" s="212">
        <v>45566</v>
      </c>
      <c r="F6908" s="208" t="s">
        <v>109</v>
      </c>
      <c r="G6908" s="208" t="s">
        <v>10</v>
      </c>
      <c r="H6908" s="208"/>
      <c r="I6908" s="208" t="s">
        <v>1347</v>
      </c>
      <c r="J6908" s="209"/>
      <c r="K6908" s="209"/>
      <c r="L6908" s="209"/>
      <c r="M6908" s="209"/>
      <c r="N6908" s="209"/>
      <c r="O6908" s="209"/>
      <c r="P6908" s="209"/>
      <c r="Q6908" s="209"/>
      <c r="R6908" s="209"/>
      <c r="S6908" s="209"/>
      <c r="T6908" s="209"/>
    </row>
    <row r="6909" spans="1:20" ht="15" hidden="1" customHeight="1">
      <c r="A6909" s="468">
        <v>45574</v>
      </c>
      <c r="B6909" s="208" t="s">
        <v>5606</v>
      </c>
      <c r="C6909" s="208" t="s">
        <v>146</v>
      </c>
      <c r="D6909" s="211">
        <v>-11500</v>
      </c>
      <c r="E6909" s="212">
        <v>45566</v>
      </c>
      <c r="F6909" s="208" t="s">
        <v>109</v>
      </c>
      <c r="G6909" s="208" t="s">
        <v>10</v>
      </c>
      <c r="H6909" s="208"/>
      <c r="I6909" s="208" t="s">
        <v>1347</v>
      </c>
      <c r="J6909" s="209"/>
      <c r="K6909" s="209"/>
      <c r="L6909" s="209"/>
      <c r="M6909" s="209"/>
      <c r="N6909" s="209"/>
      <c r="O6909" s="209"/>
      <c r="P6909" s="209"/>
      <c r="Q6909" s="209"/>
      <c r="R6909" s="209"/>
      <c r="S6909" s="209"/>
      <c r="T6909" s="209"/>
    </row>
    <row r="6910" spans="1:20" ht="15" hidden="1" customHeight="1">
      <c r="A6910" s="468">
        <v>45574</v>
      </c>
      <c r="B6910" s="208" t="s">
        <v>5607</v>
      </c>
      <c r="C6910" s="208" t="s">
        <v>146</v>
      </c>
      <c r="D6910" s="211">
        <v>-125000</v>
      </c>
      <c r="E6910" s="212">
        <v>45566</v>
      </c>
      <c r="F6910" s="208" t="s">
        <v>109</v>
      </c>
      <c r="G6910" s="208" t="s">
        <v>10</v>
      </c>
      <c r="H6910" s="208"/>
      <c r="I6910" s="208" t="s">
        <v>1347</v>
      </c>
      <c r="J6910" s="209"/>
      <c r="K6910" s="209"/>
      <c r="L6910" s="209"/>
      <c r="M6910" s="209"/>
      <c r="N6910" s="209"/>
      <c r="O6910" s="209"/>
      <c r="P6910" s="209"/>
      <c r="Q6910" s="209"/>
      <c r="R6910" s="209"/>
      <c r="S6910" s="209"/>
      <c r="T6910" s="209"/>
    </row>
    <row r="6911" spans="1:20" ht="15" hidden="1" customHeight="1">
      <c r="A6911" s="468">
        <v>45574</v>
      </c>
      <c r="B6911" s="208" t="s">
        <v>5608</v>
      </c>
      <c r="C6911" s="208" t="s">
        <v>146</v>
      </c>
      <c r="D6911" s="211">
        <v>-11300</v>
      </c>
      <c r="E6911" s="212">
        <v>45566</v>
      </c>
      <c r="F6911" s="208" t="s">
        <v>109</v>
      </c>
      <c r="G6911" s="208" t="s">
        <v>10</v>
      </c>
      <c r="H6911" s="208"/>
      <c r="I6911" s="208" t="s">
        <v>1347</v>
      </c>
      <c r="J6911" s="209"/>
      <c r="K6911" s="209"/>
      <c r="L6911" s="209"/>
      <c r="M6911" s="209"/>
      <c r="N6911" s="209"/>
      <c r="O6911" s="209"/>
      <c r="P6911" s="209"/>
      <c r="Q6911" s="209"/>
      <c r="R6911" s="209"/>
      <c r="S6911" s="209"/>
      <c r="T6911" s="209"/>
    </row>
    <row r="6912" spans="1:20" ht="15" hidden="1" customHeight="1">
      <c r="A6912" s="468">
        <v>45575</v>
      </c>
      <c r="B6912" s="208" t="s">
        <v>5609</v>
      </c>
      <c r="C6912" s="208" t="s">
        <v>146</v>
      </c>
      <c r="D6912" s="211">
        <v>-13500</v>
      </c>
      <c r="E6912" s="212">
        <v>45566</v>
      </c>
      <c r="F6912" s="208" t="s">
        <v>109</v>
      </c>
      <c r="G6912" s="208" t="s">
        <v>10</v>
      </c>
      <c r="H6912" s="208"/>
      <c r="I6912" s="208" t="s">
        <v>1347</v>
      </c>
      <c r="J6912" s="209"/>
      <c r="K6912" s="209"/>
      <c r="L6912" s="209"/>
      <c r="M6912" s="209"/>
      <c r="N6912" s="209"/>
      <c r="O6912" s="209"/>
      <c r="P6912" s="209"/>
      <c r="Q6912" s="209"/>
      <c r="R6912" s="209"/>
      <c r="S6912" s="209"/>
      <c r="T6912" s="209"/>
    </row>
    <row r="6913" spans="1:20" ht="15" hidden="1" customHeight="1">
      <c r="A6913" s="468">
        <v>45575</v>
      </c>
      <c r="B6913" s="208" t="s">
        <v>5610</v>
      </c>
      <c r="C6913" s="208" t="s">
        <v>146</v>
      </c>
      <c r="D6913" s="211">
        <v>-600000</v>
      </c>
      <c r="E6913" s="212">
        <v>45566</v>
      </c>
      <c r="F6913" s="208" t="s">
        <v>109</v>
      </c>
      <c r="G6913" s="201" t="s">
        <v>581</v>
      </c>
      <c r="H6913" s="208"/>
      <c r="I6913" s="208" t="s">
        <v>1347</v>
      </c>
      <c r="J6913" s="209"/>
      <c r="K6913" s="209"/>
      <c r="L6913" s="209"/>
      <c r="M6913" s="209"/>
      <c r="N6913" s="209"/>
      <c r="O6913" s="209"/>
      <c r="P6913" s="209"/>
      <c r="Q6913" s="209"/>
      <c r="R6913" s="209"/>
      <c r="S6913" s="209"/>
      <c r="T6913" s="209"/>
    </row>
    <row r="6914" spans="1:20" ht="15" hidden="1" customHeight="1">
      <c r="A6914" s="468">
        <v>45575</v>
      </c>
      <c r="B6914" s="790" t="s">
        <v>5611</v>
      </c>
      <c r="C6914" s="208" t="s">
        <v>146</v>
      </c>
      <c r="D6914" s="211">
        <v>-50000</v>
      </c>
      <c r="E6914" s="212">
        <v>45566</v>
      </c>
      <c r="F6914" s="208" t="s">
        <v>109</v>
      </c>
      <c r="G6914" s="201" t="s">
        <v>581</v>
      </c>
      <c r="H6914" s="208"/>
      <c r="I6914" s="208" t="s">
        <v>1347</v>
      </c>
      <c r="J6914" s="209"/>
      <c r="K6914" s="209"/>
      <c r="L6914" s="209"/>
      <c r="M6914" s="209"/>
      <c r="N6914" s="209"/>
      <c r="O6914" s="209"/>
      <c r="P6914" s="209"/>
      <c r="Q6914" s="209"/>
      <c r="R6914" s="209"/>
      <c r="S6914" s="209"/>
      <c r="T6914" s="209"/>
    </row>
    <row r="6915" spans="1:20" ht="15" hidden="1" customHeight="1">
      <c r="A6915" s="468">
        <v>45575</v>
      </c>
      <c r="B6915" s="208" t="s">
        <v>5612</v>
      </c>
      <c r="C6915" s="208" t="s">
        <v>146</v>
      </c>
      <c r="D6915" s="211">
        <v>-10000</v>
      </c>
      <c r="E6915" s="212">
        <v>45566</v>
      </c>
      <c r="F6915" s="208" t="s">
        <v>130</v>
      </c>
      <c r="G6915" s="208" t="s">
        <v>257</v>
      </c>
      <c r="H6915" s="81" t="s">
        <v>138</v>
      </c>
      <c r="I6915" s="208"/>
      <c r="J6915" s="209"/>
      <c r="K6915" s="209"/>
      <c r="L6915" s="209"/>
      <c r="M6915" s="209"/>
      <c r="N6915" s="209"/>
      <c r="O6915" s="209"/>
      <c r="P6915" s="209"/>
      <c r="Q6915" s="209"/>
      <c r="R6915" s="209"/>
      <c r="S6915" s="209"/>
      <c r="T6915" s="209"/>
    </row>
    <row r="6916" spans="1:20" ht="15" hidden="1" customHeight="1">
      <c r="A6916" s="468">
        <v>45575</v>
      </c>
      <c r="B6916" s="208" t="s">
        <v>5613</v>
      </c>
      <c r="C6916" s="208" t="s">
        <v>146</v>
      </c>
      <c r="D6916" s="211">
        <v>-23000</v>
      </c>
      <c r="E6916" s="212">
        <v>45566</v>
      </c>
      <c r="F6916" s="208" t="s">
        <v>130</v>
      </c>
      <c r="G6916" s="208" t="s">
        <v>257</v>
      </c>
      <c r="H6916" s="81" t="s">
        <v>138</v>
      </c>
      <c r="I6916" s="475" t="s">
        <v>5410</v>
      </c>
      <c r="J6916" s="209"/>
      <c r="K6916" s="209"/>
      <c r="L6916" s="209"/>
      <c r="M6916" s="209"/>
      <c r="N6916" s="209"/>
      <c r="O6916" s="209"/>
      <c r="P6916" s="209"/>
      <c r="Q6916" s="209"/>
      <c r="R6916" s="209"/>
      <c r="S6916" s="209"/>
      <c r="T6916" s="209"/>
    </row>
    <row r="6917" spans="1:20" s="558" customFormat="1" ht="15" hidden="1" customHeight="1">
      <c r="A6917" s="689">
        <v>45572</v>
      </c>
      <c r="B6917" s="684" t="s">
        <v>5614</v>
      </c>
      <c r="C6917" s="684" t="s">
        <v>27</v>
      </c>
      <c r="D6917" s="526">
        <v>-8365617.6900000004</v>
      </c>
      <c r="E6917" s="212">
        <v>45566</v>
      </c>
      <c r="F6917" s="84" t="s">
        <v>111</v>
      </c>
      <c r="G6917" s="684"/>
      <c r="H6917" s="684"/>
      <c r="I6917" s="684"/>
      <c r="J6917" s="690"/>
      <c r="K6917" s="690"/>
      <c r="L6917" s="690"/>
      <c r="M6917" s="690"/>
      <c r="N6917" s="690"/>
      <c r="O6917" s="690"/>
      <c r="P6917" s="690"/>
      <c r="Q6917" s="690"/>
      <c r="R6917" s="690"/>
      <c r="S6917" s="690"/>
      <c r="T6917" s="690"/>
    </row>
    <row r="6918" spans="1:20" ht="15" hidden="1" customHeight="1">
      <c r="A6918" s="468">
        <v>45572</v>
      </c>
      <c r="B6918" s="208" t="s">
        <v>5615</v>
      </c>
      <c r="C6918" s="208" t="s">
        <v>27</v>
      </c>
      <c r="D6918" s="211">
        <v>-1078858</v>
      </c>
      <c r="E6918" s="212">
        <v>45566</v>
      </c>
      <c r="F6918" s="208" t="s">
        <v>130</v>
      </c>
      <c r="G6918" s="208" t="s">
        <v>130</v>
      </c>
      <c r="H6918" s="208" t="s">
        <v>323</v>
      </c>
      <c r="I6918" s="208"/>
      <c r="J6918" s="209"/>
      <c r="K6918" s="209"/>
      <c r="L6918" s="209"/>
      <c r="M6918" s="209"/>
      <c r="N6918" s="209"/>
      <c r="O6918" s="209"/>
      <c r="P6918" s="209"/>
      <c r="Q6918" s="209"/>
      <c r="R6918" s="209"/>
      <c r="S6918" s="209"/>
      <c r="T6918" s="209"/>
    </row>
    <row r="6919" spans="1:20" ht="15" hidden="1" customHeight="1">
      <c r="A6919" s="468">
        <v>45572</v>
      </c>
      <c r="B6919" s="208" t="s">
        <v>5616</v>
      </c>
      <c r="C6919" s="208" t="s">
        <v>27</v>
      </c>
      <c r="D6919" s="211">
        <v>-184370</v>
      </c>
      <c r="E6919" s="212">
        <v>45566</v>
      </c>
      <c r="F6919" s="208" t="s">
        <v>130</v>
      </c>
      <c r="G6919" s="208" t="s">
        <v>130</v>
      </c>
      <c r="H6919" s="208" t="s">
        <v>852</v>
      </c>
      <c r="I6919" s="208"/>
      <c r="J6919" s="209"/>
      <c r="K6919" s="209"/>
      <c r="L6919" s="209"/>
      <c r="M6919" s="209"/>
      <c r="N6919" s="209"/>
      <c r="O6919" s="209"/>
      <c r="P6919" s="209"/>
      <c r="Q6919" s="209"/>
      <c r="R6919" s="209"/>
      <c r="S6919" s="209"/>
      <c r="T6919" s="209"/>
    </row>
    <row r="6920" spans="1:20" ht="15" hidden="1" customHeight="1">
      <c r="A6920" s="468">
        <v>45573</v>
      </c>
      <c r="B6920" s="208" t="s">
        <v>5617</v>
      </c>
      <c r="C6920" s="208" t="s">
        <v>27</v>
      </c>
      <c r="D6920" s="211">
        <v>-3180320</v>
      </c>
      <c r="E6920" s="212">
        <v>45566</v>
      </c>
      <c r="F6920" s="208" t="s">
        <v>130</v>
      </c>
      <c r="G6920" s="208" t="s">
        <v>130</v>
      </c>
      <c r="H6920" s="208" t="s">
        <v>2444</v>
      </c>
      <c r="I6920" s="208"/>
      <c r="J6920" s="209"/>
      <c r="K6920" s="209"/>
      <c r="L6920" s="209"/>
      <c r="M6920" s="209"/>
      <c r="N6920" s="209"/>
      <c r="O6920" s="209"/>
      <c r="P6920" s="209"/>
      <c r="Q6920" s="209"/>
      <c r="R6920" s="209"/>
      <c r="S6920" s="209"/>
      <c r="T6920" s="209"/>
    </row>
    <row r="6921" spans="1:20" ht="15" hidden="1" customHeight="1">
      <c r="A6921" s="468">
        <v>45573</v>
      </c>
      <c r="B6921" s="208" t="s">
        <v>5618</v>
      </c>
      <c r="C6921" s="208" t="s">
        <v>27</v>
      </c>
      <c r="D6921" s="211">
        <v>-13788000</v>
      </c>
      <c r="E6921" s="212">
        <v>45566</v>
      </c>
      <c r="F6921" s="208" t="s">
        <v>109</v>
      </c>
      <c r="G6921" s="208" t="s">
        <v>4625</v>
      </c>
      <c r="H6921" s="208" t="s">
        <v>1038</v>
      </c>
      <c r="I6921" s="208"/>
      <c r="J6921" s="209"/>
      <c r="K6921" s="209"/>
      <c r="L6921" s="209"/>
      <c r="M6921" s="209"/>
      <c r="N6921" s="209"/>
      <c r="O6921" s="209"/>
      <c r="P6921" s="209"/>
      <c r="Q6921" s="209"/>
      <c r="R6921" s="209"/>
      <c r="S6921" s="209"/>
      <c r="T6921" s="209"/>
    </row>
    <row r="6922" spans="1:20" ht="15" hidden="1" customHeight="1">
      <c r="A6922" s="468">
        <v>45573</v>
      </c>
      <c r="B6922" s="208" t="s">
        <v>5619</v>
      </c>
      <c r="C6922" s="208" t="s">
        <v>27</v>
      </c>
      <c r="D6922" s="211">
        <v>-791175</v>
      </c>
      <c r="E6922" s="212">
        <v>45566</v>
      </c>
      <c r="F6922" s="208" t="s">
        <v>130</v>
      </c>
      <c r="G6922" s="208" t="s">
        <v>130</v>
      </c>
      <c r="H6922" s="208" t="s">
        <v>852</v>
      </c>
      <c r="I6922" s="208"/>
      <c r="J6922" s="209"/>
      <c r="K6922" s="209"/>
      <c r="L6922" s="209"/>
      <c r="M6922" s="209"/>
      <c r="N6922" s="209"/>
      <c r="O6922" s="209"/>
      <c r="P6922" s="209"/>
      <c r="Q6922" s="209"/>
      <c r="R6922" s="209"/>
      <c r="S6922" s="209"/>
      <c r="T6922" s="209"/>
    </row>
    <row r="6923" spans="1:20" ht="15" hidden="1" customHeight="1">
      <c r="A6923" s="468">
        <v>45573</v>
      </c>
      <c r="B6923" s="208" t="s">
        <v>5620</v>
      </c>
      <c r="C6923" s="208" t="s">
        <v>27</v>
      </c>
      <c r="D6923" s="211">
        <v>-150000</v>
      </c>
      <c r="E6923" s="212">
        <v>45566</v>
      </c>
      <c r="F6923" s="208" t="s">
        <v>109</v>
      </c>
      <c r="G6923" s="208" t="s">
        <v>2809</v>
      </c>
      <c r="H6923" s="208" t="s">
        <v>4814</v>
      </c>
      <c r="I6923" s="208"/>
      <c r="J6923" s="209"/>
      <c r="K6923" s="209"/>
      <c r="L6923" s="209"/>
      <c r="M6923" s="209"/>
      <c r="N6923" s="209"/>
      <c r="O6923" s="209"/>
      <c r="P6923" s="209"/>
      <c r="Q6923" s="209"/>
      <c r="R6923" s="209"/>
      <c r="S6923" s="209"/>
      <c r="T6923" s="209"/>
    </row>
    <row r="6924" spans="1:20" ht="15" hidden="1" customHeight="1">
      <c r="A6924" s="468">
        <v>45573</v>
      </c>
      <c r="B6924" s="208" t="s">
        <v>5621</v>
      </c>
      <c r="C6924" s="208" t="s">
        <v>27</v>
      </c>
      <c r="D6924" s="211">
        <v>-196350</v>
      </c>
      <c r="E6924" s="212">
        <v>45566</v>
      </c>
      <c r="F6924" s="208" t="s">
        <v>130</v>
      </c>
      <c r="G6924" s="208" t="s">
        <v>130</v>
      </c>
      <c r="H6924" s="208" t="s">
        <v>323</v>
      </c>
      <c r="I6924" s="208"/>
      <c r="J6924" s="209"/>
      <c r="K6924" s="209"/>
      <c r="L6924" s="209"/>
      <c r="M6924" s="209"/>
      <c r="N6924" s="209"/>
      <c r="O6924" s="209"/>
      <c r="P6924" s="209"/>
      <c r="Q6924" s="209"/>
      <c r="R6924" s="209"/>
      <c r="S6924" s="209"/>
      <c r="T6924" s="209"/>
    </row>
    <row r="6925" spans="1:20" ht="15" hidden="1" customHeight="1">
      <c r="A6925" s="468">
        <v>45573</v>
      </c>
      <c r="B6925" s="208" t="s">
        <v>5621</v>
      </c>
      <c r="C6925" s="208" t="s">
        <v>27</v>
      </c>
      <c r="D6925" s="211">
        <v>-436128</v>
      </c>
      <c r="E6925" s="212">
        <v>45566</v>
      </c>
      <c r="F6925" s="208" t="s">
        <v>109</v>
      </c>
      <c r="G6925" s="201" t="s">
        <v>581</v>
      </c>
      <c r="H6925" s="208"/>
      <c r="I6925" s="208"/>
      <c r="J6925" s="209"/>
      <c r="K6925" s="209"/>
      <c r="L6925" s="209"/>
      <c r="M6925" s="209"/>
      <c r="N6925" s="209"/>
      <c r="O6925" s="209"/>
      <c r="P6925" s="209"/>
      <c r="Q6925" s="209"/>
      <c r="R6925" s="209"/>
      <c r="S6925" s="209"/>
      <c r="T6925" s="209"/>
    </row>
    <row r="6926" spans="1:20" ht="15" hidden="1" customHeight="1">
      <c r="A6926" s="468">
        <v>45573</v>
      </c>
      <c r="B6926" s="208" t="s">
        <v>5622</v>
      </c>
      <c r="C6926" s="208" t="s">
        <v>27</v>
      </c>
      <c r="D6926" s="211">
        <v>-180000</v>
      </c>
      <c r="E6926" s="212">
        <v>45566</v>
      </c>
      <c r="F6926" s="208" t="s">
        <v>130</v>
      </c>
      <c r="G6926" s="208" t="s">
        <v>130</v>
      </c>
      <c r="H6926" s="208" t="s">
        <v>323</v>
      </c>
      <c r="I6926" s="208"/>
      <c r="J6926" s="209"/>
      <c r="K6926" s="209"/>
      <c r="L6926" s="209"/>
      <c r="M6926" s="209"/>
      <c r="N6926" s="209"/>
      <c r="O6926" s="209"/>
      <c r="P6926" s="209"/>
      <c r="Q6926" s="209"/>
      <c r="R6926" s="209"/>
      <c r="S6926" s="209"/>
      <c r="T6926" s="209"/>
    </row>
    <row r="6927" spans="1:20" ht="15" hidden="1" customHeight="1">
      <c r="A6927" s="468">
        <v>45573</v>
      </c>
      <c r="B6927" s="208" t="s">
        <v>5623</v>
      </c>
      <c r="C6927" s="208" t="s">
        <v>27</v>
      </c>
      <c r="D6927" s="211">
        <v>-55001</v>
      </c>
      <c r="E6927" s="212">
        <v>45566</v>
      </c>
      <c r="F6927" s="208" t="s">
        <v>130</v>
      </c>
      <c r="G6927" s="208" t="s">
        <v>130</v>
      </c>
      <c r="H6927" s="374" t="s">
        <v>2724</v>
      </c>
      <c r="I6927" s="208"/>
      <c r="J6927" s="209"/>
      <c r="K6927" s="209"/>
      <c r="L6927" s="209"/>
      <c r="M6927" s="209"/>
      <c r="N6927" s="209"/>
      <c r="O6927" s="209"/>
      <c r="P6927" s="209"/>
      <c r="Q6927" s="209"/>
      <c r="R6927" s="209"/>
      <c r="S6927" s="209"/>
      <c r="T6927" s="209"/>
    </row>
    <row r="6928" spans="1:20" ht="15" hidden="1" customHeight="1">
      <c r="A6928" s="468">
        <v>45573</v>
      </c>
      <c r="B6928" s="208" t="s">
        <v>5624</v>
      </c>
      <c r="C6928" s="208" t="s">
        <v>27</v>
      </c>
      <c r="D6928" s="211">
        <v>-419900</v>
      </c>
      <c r="E6928" s="212">
        <v>45566</v>
      </c>
      <c r="F6928" s="208" t="s">
        <v>110</v>
      </c>
      <c r="G6928" s="208" t="s">
        <v>5469</v>
      </c>
      <c r="H6928" s="206" t="s">
        <v>5625</v>
      </c>
      <c r="I6928" s="208"/>
      <c r="J6928" s="209"/>
      <c r="K6928" s="209"/>
      <c r="L6928" s="209"/>
      <c r="M6928" s="209"/>
      <c r="N6928" s="209"/>
      <c r="O6928" s="209"/>
      <c r="P6928" s="209"/>
      <c r="Q6928" s="209"/>
      <c r="R6928" s="209"/>
      <c r="S6928" s="209"/>
      <c r="T6928" s="209"/>
    </row>
    <row r="6929" spans="1:20" ht="15" hidden="1" customHeight="1">
      <c r="A6929" s="468">
        <v>45573</v>
      </c>
      <c r="B6929" s="208" t="s">
        <v>5626</v>
      </c>
      <c r="C6929" s="208" t="s">
        <v>27</v>
      </c>
      <c r="D6929" s="211">
        <v>-19976950</v>
      </c>
      <c r="E6929" s="212">
        <v>45566</v>
      </c>
      <c r="F6929" s="208" t="s">
        <v>110</v>
      </c>
      <c r="G6929" s="208" t="s">
        <v>5503</v>
      </c>
      <c r="H6929" s="201" t="s">
        <v>418</v>
      </c>
      <c r="I6929" s="208"/>
      <c r="J6929" s="209"/>
      <c r="K6929" s="209"/>
      <c r="L6929" s="209"/>
      <c r="M6929" s="209"/>
      <c r="N6929" s="209"/>
      <c r="O6929" s="209"/>
      <c r="P6929" s="209"/>
      <c r="Q6929" s="209"/>
      <c r="R6929" s="209"/>
      <c r="S6929" s="209"/>
      <c r="T6929" s="209"/>
    </row>
    <row r="6930" spans="1:20" ht="15" hidden="1" customHeight="1">
      <c r="A6930" s="468">
        <v>45573</v>
      </c>
      <c r="B6930" s="208" t="s">
        <v>5627</v>
      </c>
      <c r="C6930" s="208" t="s">
        <v>27</v>
      </c>
      <c r="D6930" s="211">
        <v>-1590000</v>
      </c>
      <c r="E6930" s="212">
        <v>45566</v>
      </c>
      <c r="F6930" s="208" t="s">
        <v>109</v>
      </c>
      <c r="G6930" s="201" t="s">
        <v>581</v>
      </c>
      <c r="H6930" s="208"/>
      <c r="I6930" s="208"/>
      <c r="J6930" s="209"/>
      <c r="K6930" s="209"/>
      <c r="L6930" s="209"/>
      <c r="M6930" s="209"/>
      <c r="N6930" s="209"/>
      <c r="O6930" s="209"/>
      <c r="P6930" s="209"/>
      <c r="Q6930" s="209"/>
      <c r="R6930" s="209"/>
      <c r="S6930" s="209"/>
      <c r="T6930" s="209"/>
    </row>
    <row r="6931" spans="1:20" ht="15" hidden="1" customHeight="1">
      <c r="A6931" s="468">
        <v>45573</v>
      </c>
      <c r="B6931" s="208" t="s">
        <v>5628</v>
      </c>
      <c r="C6931" s="208" t="s">
        <v>27</v>
      </c>
      <c r="D6931" s="211">
        <v>-197690</v>
      </c>
      <c r="E6931" s="212">
        <v>45566</v>
      </c>
      <c r="F6931" s="208" t="s">
        <v>130</v>
      </c>
      <c r="G6931" s="208" t="s">
        <v>130</v>
      </c>
      <c r="H6931" s="208" t="s">
        <v>249</v>
      </c>
      <c r="I6931" s="208"/>
      <c r="J6931" s="209"/>
      <c r="K6931" s="209"/>
      <c r="L6931" s="209"/>
      <c r="M6931" s="209"/>
      <c r="N6931" s="209"/>
      <c r="O6931" s="209"/>
      <c r="P6931" s="209"/>
      <c r="Q6931" s="209"/>
      <c r="R6931" s="209"/>
      <c r="S6931" s="209"/>
      <c r="T6931" s="209"/>
    </row>
    <row r="6932" spans="1:20" ht="15" hidden="1" customHeight="1">
      <c r="A6932" s="468">
        <v>45573</v>
      </c>
      <c r="B6932" s="208" t="s">
        <v>5629</v>
      </c>
      <c r="C6932" s="208" t="s">
        <v>27</v>
      </c>
      <c r="D6932" s="211">
        <v>-6393036</v>
      </c>
      <c r="E6932" s="212">
        <v>45566</v>
      </c>
      <c r="F6932" s="208" t="s">
        <v>130</v>
      </c>
      <c r="G6932" s="208" t="s">
        <v>130</v>
      </c>
      <c r="H6932" s="208" t="s">
        <v>1038</v>
      </c>
      <c r="I6932" s="475" t="s">
        <v>5410</v>
      </c>
      <c r="J6932" s="209"/>
      <c r="K6932" s="209"/>
      <c r="L6932" s="209"/>
      <c r="M6932" s="209"/>
      <c r="N6932" s="209"/>
      <c r="O6932" s="209"/>
      <c r="P6932" s="209"/>
      <c r="Q6932" s="209"/>
      <c r="R6932" s="209"/>
      <c r="S6932" s="209"/>
      <c r="T6932" s="209"/>
    </row>
    <row r="6933" spans="1:20" ht="15" hidden="1" customHeight="1">
      <c r="A6933" s="468">
        <v>45573</v>
      </c>
      <c r="B6933" s="208" t="s">
        <v>5630</v>
      </c>
      <c r="C6933" s="208" t="s">
        <v>27</v>
      </c>
      <c r="D6933" s="211">
        <v>-2399900</v>
      </c>
      <c r="E6933" s="212">
        <v>45566</v>
      </c>
      <c r="F6933" s="208" t="s">
        <v>109</v>
      </c>
      <c r="G6933" s="208" t="s">
        <v>4986</v>
      </c>
      <c r="H6933" s="208" t="s">
        <v>212</v>
      </c>
      <c r="I6933" s="208"/>
      <c r="J6933" s="209"/>
      <c r="K6933" s="209"/>
      <c r="L6933" s="209"/>
      <c r="M6933" s="209"/>
      <c r="N6933" s="209"/>
      <c r="O6933" s="209"/>
      <c r="P6933" s="209"/>
      <c r="Q6933" s="209"/>
      <c r="R6933" s="209"/>
      <c r="S6933" s="209"/>
      <c r="T6933" s="209"/>
    </row>
    <row r="6934" spans="1:20" ht="15" hidden="1" customHeight="1">
      <c r="A6934" s="468">
        <v>45573</v>
      </c>
      <c r="B6934" s="208" t="s">
        <v>5631</v>
      </c>
      <c r="C6934" s="208" t="s">
        <v>27</v>
      </c>
      <c r="D6934" s="211">
        <v>-200000</v>
      </c>
      <c r="E6934" s="212">
        <v>45566</v>
      </c>
      <c r="F6934" s="208" t="s">
        <v>130</v>
      </c>
      <c r="G6934" s="208" t="s">
        <v>130</v>
      </c>
      <c r="H6934" s="201" t="s">
        <v>318</v>
      </c>
      <c r="I6934" s="475" t="s">
        <v>5410</v>
      </c>
      <c r="J6934" s="209"/>
      <c r="K6934" s="209"/>
      <c r="L6934" s="209"/>
      <c r="M6934" s="209"/>
      <c r="N6934" s="209"/>
      <c r="O6934" s="209"/>
      <c r="P6934" s="209"/>
      <c r="Q6934" s="209"/>
      <c r="R6934" s="209"/>
      <c r="S6934" s="209"/>
      <c r="T6934" s="209"/>
    </row>
    <row r="6935" spans="1:20" ht="15" hidden="1" customHeight="1">
      <c r="A6935" s="468">
        <v>45573</v>
      </c>
      <c r="B6935" s="208" t="s">
        <v>5632</v>
      </c>
      <c r="C6935" s="208" t="s">
        <v>27</v>
      </c>
      <c r="D6935" s="211">
        <v>-20900</v>
      </c>
      <c r="E6935" s="212">
        <v>45566</v>
      </c>
      <c r="F6935" s="208" t="s">
        <v>109</v>
      </c>
      <c r="G6935" s="208" t="s">
        <v>2809</v>
      </c>
      <c r="H6935" s="208" t="s">
        <v>5633</v>
      </c>
      <c r="I6935" s="208"/>
      <c r="J6935" s="209"/>
      <c r="K6935" s="209"/>
      <c r="L6935" s="209"/>
      <c r="M6935" s="209"/>
      <c r="N6935" s="209"/>
      <c r="O6935" s="209"/>
      <c r="P6935" s="209"/>
      <c r="Q6935" s="209"/>
      <c r="R6935" s="209"/>
      <c r="S6935" s="209"/>
      <c r="T6935" s="209"/>
    </row>
    <row r="6936" spans="1:20" ht="15" hidden="1" customHeight="1">
      <c r="A6936" s="468">
        <v>45573</v>
      </c>
      <c r="B6936" s="208" t="s">
        <v>5634</v>
      </c>
      <c r="C6936" s="208" t="s">
        <v>27</v>
      </c>
      <c r="D6936" s="211">
        <v>-658319</v>
      </c>
      <c r="E6936" s="212">
        <v>45566</v>
      </c>
      <c r="F6936" s="208" t="s">
        <v>130</v>
      </c>
      <c r="G6936" s="208" t="s">
        <v>130</v>
      </c>
      <c r="H6936" s="208" t="s">
        <v>249</v>
      </c>
      <c r="I6936" s="208"/>
      <c r="J6936" s="209"/>
      <c r="K6936" s="209"/>
      <c r="L6936" s="209"/>
      <c r="M6936" s="209"/>
      <c r="N6936" s="209"/>
      <c r="O6936" s="209"/>
      <c r="P6936" s="209"/>
      <c r="Q6936" s="209"/>
      <c r="R6936" s="209"/>
      <c r="S6936" s="209"/>
      <c r="T6936" s="209"/>
    </row>
    <row r="6937" spans="1:20" ht="15" hidden="1" customHeight="1">
      <c r="A6937" s="468">
        <v>45573</v>
      </c>
      <c r="B6937" s="208" t="s">
        <v>4872</v>
      </c>
      <c r="C6937" s="208" t="s">
        <v>27</v>
      </c>
      <c r="D6937" s="211">
        <v>-149600</v>
      </c>
      <c r="E6937" s="212">
        <v>45566</v>
      </c>
      <c r="F6937" s="208" t="s">
        <v>109</v>
      </c>
      <c r="G6937" s="208" t="s">
        <v>2809</v>
      </c>
      <c r="H6937" s="208" t="s">
        <v>4814</v>
      </c>
      <c r="I6937" s="208"/>
      <c r="J6937" s="209"/>
      <c r="K6937" s="209"/>
      <c r="L6937" s="209"/>
      <c r="M6937" s="209"/>
      <c r="N6937" s="209"/>
      <c r="O6937" s="209"/>
      <c r="P6937" s="209"/>
      <c r="Q6937" s="209"/>
      <c r="R6937" s="209"/>
      <c r="S6937" s="209"/>
      <c r="T6937" s="209"/>
    </row>
    <row r="6938" spans="1:20" ht="15" hidden="1" customHeight="1">
      <c r="A6938" s="468">
        <v>45573</v>
      </c>
      <c r="B6938" s="208" t="s">
        <v>5635</v>
      </c>
      <c r="C6938" s="208" t="s">
        <v>27</v>
      </c>
      <c r="D6938" s="211">
        <v>-1240000</v>
      </c>
      <c r="E6938" s="212">
        <v>45566</v>
      </c>
      <c r="F6938" s="208" t="s">
        <v>109</v>
      </c>
      <c r="G6938" s="201" t="s">
        <v>581</v>
      </c>
      <c r="H6938" s="208"/>
      <c r="I6938" s="208"/>
      <c r="J6938" s="209"/>
      <c r="K6938" s="209"/>
      <c r="L6938" s="209"/>
      <c r="M6938" s="209"/>
      <c r="N6938" s="209"/>
      <c r="O6938" s="209"/>
      <c r="P6938" s="209"/>
      <c r="Q6938" s="209"/>
      <c r="R6938" s="209"/>
      <c r="S6938" s="209"/>
      <c r="T6938" s="209"/>
    </row>
    <row r="6939" spans="1:20" ht="15" hidden="1" customHeight="1">
      <c r="A6939" s="468">
        <v>45573</v>
      </c>
      <c r="B6939" s="208" t="s">
        <v>5636</v>
      </c>
      <c r="C6939" s="208" t="s">
        <v>27</v>
      </c>
      <c r="D6939" s="211">
        <v>-430000</v>
      </c>
      <c r="E6939" s="212">
        <v>45566</v>
      </c>
      <c r="F6939" s="208" t="s">
        <v>110</v>
      </c>
      <c r="G6939" s="208" t="s">
        <v>4294</v>
      </c>
      <c r="H6939" s="208" t="s">
        <v>175</v>
      </c>
      <c r="I6939" s="208"/>
      <c r="J6939" s="209"/>
      <c r="K6939" s="209"/>
      <c r="L6939" s="209"/>
      <c r="M6939" s="209"/>
      <c r="N6939" s="209"/>
      <c r="O6939" s="209"/>
      <c r="P6939" s="209"/>
      <c r="Q6939" s="209"/>
      <c r="R6939" s="209"/>
      <c r="S6939" s="209"/>
      <c r="T6939" s="209"/>
    </row>
    <row r="6940" spans="1:20" ht="15" hidden="1" customHeight="1">
      <c r="A6940" s="468">
        <v>45573</v>
      </c>
      <c r="B6940" s="208" t="s">
        <v>5637</v>
      </c>
      <c r="C6940" s="208" t="s">
        <v>27</v>
      </c>
      <c r="D6940" s="211">
        <v>-1237500</v>
      </c>
      <c r="E6940" s="212">
        <v>45566</v>
      </c>
      <c r="F6940" s="208" t="s">
        <v>109</v>
      </c>
      <c r="G6940" s="208" t="s">
        <v>10</v>
      </c>
      <c r="H6940" s="81" t="s">
        <v>138</v>
      </c>
      <c r="I6940" s="208"/>
      <c r="J6940" s="209"/>
      <c r="K6940" s="209"/>
      <c r="L6940" s="209"/>
      <c r="M6940" s="209"/>
      <c r="N6940" s="209"/>
      <c r="O6940" s="209"/>
      <c r="P6940" s="209"/>
      <c r="Q6940" s="209"/>
      <c r="R6940" s="209"/>
      <c r="S6940" s="209"/>
      <c r="T6940" s="209"/>
    </row>
    <row r="6941" spans="1:20" ht="15" hidden="1" customHeight="1">
      <c r="A6941" s="468">
        <v>45573</v>
      </c>
      <c r="B6941" s="208" t="s">
        <v>5638</v>
      </c>
      <c r="C6941" s="208" t="s">
        <v>27</v>
      </c>
      <c r="D6941" s="211">
        <v>-1633772</v>
      </c>
      <c r="E6941" s="212">
        <v>45566</v>
      </c>
      <c r="F6941" s="208" t="s">
        <v>110</v>
      </c>
      <c r="G6941" s="208" t="s">
        <v>4294</v>
      </c>
      <c r="H6941" s="208" t="s">
        <v>212</v>
      </c>
      <c r="I6941" s="208"/>
      <c r="J6941" s="209"/>
      <c r="K6941" s="209"/>
      <c r="L6941" s="209"/>
      <c r="M6941" s="209"/>
      <c r="N6941" s="209"/>
      <c r="O6941" s="209"/>
      <c r="P6941" s="209"/>
      <c r="Q6941" s="209"/>
      <c r="R6941" s="209"/>
      <c r="S6941" s="209"/>
      <c r="T6941" s="209"/>
    </row>
    <row r="6942" spans="1:20" ht="15" hidden="1" customHeight="1">
      <c r="A6942" s="468">
        <v>45575</v>
      </c>
      <c r="B6942" s="208" t="s">
        <v>5639</v>
      </c>
      <c r="C6942" s="208" t="s">
        <v>27</v>
      </c>
      <c r="D6942" s="211">
        <v>-3123691</v>
      </c>
      <c r="E6942" s="212">
        <v>45566</v>
      </c>
      <c r="F6942" s="208" t="s">
        <v>110</v>
      </c>
      <c r="G6942" s="208" t="s">
        <v>5469</v>
      </c>
      <c r="H6942" s="201" t="s">
        <v>418</v>
      </c>
      <c r="I6942" s="208"/>
      <c r="J6942" s="209"/>
      <c r="K6942" s="209"/>
      <c r="L6942" s="209"/>
      <c r="M6942" s="209"/>
      <c r="N6942" s="209"/>
      <c r="O6942" s="209"/>
      <c r="P6942" s="209"/>
      <c r="Q6942" s="209"/>
      <c r="R6942" s="209"/>
      <c r="S6942" s="209"/>
      <c r="T6942" s="209"/>
    </row>
    <row r="6943" spans="1:20" ht="15" hidden="1" customHeight="1">
      <c r="A6943" s="468">
        <v>45575</v>
      </c>
      <c r="B6943" s="208" t="s">
        <v>5640</v>
      </c>
      <c r="C6943" s="208" t="s">
        <v>27</v>
      </c>
      <c r="D6943" s="211">
        <v>-623020</v>
      </c>
      <c r="E6943" s="212">
        <v>45566</v>
      </c>
      <c r="F6943" s="208" t="s">
        <v>130</v>
      </c>
      <c r="G6943" s="208" t="s">
        <v>130</v>
      </c>
      <c r="H6943" s="208" t="s">
        <v>852</v>
      </c>
      <c r="I6943" s="208"/>
      <c r="J6943" s="209"/>
      <c r="K6943" s="209"/>
      <c r="L6943" s="209"/>
      <c r="M6943" s="209"/>
      <c r="N6943" s="209"/>
      <c r="O6943" s="209"/>
      <c r="P6943" s="209"/>
      <c r="Q6943" s="209"/>
      <c r="R6943" s="209"/>
      <c r="S6943" s="209"/>
      <c r="T6943" s="209"/>
    </row>
    <row r="6944" spans="1:20" ht="15" hidden="1" customHeight="1">
      <c r="A6944" s="468">
        <v>45575</v>
      </c>
      <c r="B6944" s="208" t="s">
        <v>5641</v>
      </c>
      <c r="C6944" s="208" t="s">
        <v>27</v>
      </c>
      <c r="D6944" s="211">
        <v>-34633000</v>
      </c>
      <c r="E6944" s="212">
        <v>45566</v>
      </c>
      <c r="F6944" s="208" t="s">
        <v>3679</v>
      </c>
      <c r="G6944" s="208"/>
      <c r="H6944" s="208"/>
      <c r="I6944" s="208"/>
      <c r="J6944" s="209"/>
      <c r="K6944" s="209"/>
      <c r="L6944" s="209"/>
      <c r="M6944" s="209"/>
      <c r="N6944" s="209"/>
      <c r="O6944" s="209"/>
      <c r="P6944" s="209"/>
      <c r="Q6944" s="209"/>
      <c r="R6944" s="209"/>
      <c r="S6944" s="209"/>
      <c r="T6944" s="209"/>
    </row>
    <row r="6945" spans="1:20" ht="15" hidden="1" customHeight="1">
      <c r="A6945" s="468">
        <v>45575</v>
      </c>
      <c r="B6945" s="208" t="s">
        <v>5642</v>
      </c>
      <c r="C6945" s="208" t="s">
        <v>27</v>
      </c>
      <c r="D6945" s="211">
        <v>-60000</v>
      </c>
      <c r="E6945" s="212">
        <v>45566</v>
      </c>
      <c r="F6945" s="208" t="s">
        <v>3679</v>
      </c>
      <c r="G6945" s="208"/>
      <c r="H6945" s="208"/>
      <c r="I6945" s="208"/>
      <c r="J6945" s="209"/>
      <c r="K6945" s="209"/>
      <c r="L6945" s="209"/>
      <c r="M6945" s="209"/>
      <c r="N6945" s="209"/>
      <c r="O6945" s="209"/>
      <c r="P6945" s="209"/>
      <c r="Q6945" s="209"/>
      <c r="R6945" s="209"/>
      <c r="S6945" s="209"/>
      <c r="T6945" s="209"/>
    </row>
    <row r="6946" spans="1:20" ht="15" hidden="1" customHeight="1">
      <c r="A6946" s="468">
        <v>45575</v>
      </c>
      <c r="B6946" s="208" t="s">
        <v>5643</v>
      </c>
      <c r="C6946" s="208" t="s">
        <v>27</v>
      </c>
      <c r="D6946" s="211">
        <v>-708000</v>
      </c>
      <c r="E6946" s="212">
        <v>45566</v>
      </c>
      <c r="F6946" s="208" t="s">
        <v>109</v>
      </c>
      <c r="G6946" s="208" t="s">
        <v>2809</v>
      </c>
      <c r="H6946" s="208" t="s">
        <v>5633</v>
      </c>
      <c r="I6946" s="208"/>
      <c r="J6946" s="209"/>
      <c r="K6946" s="209"/>
      <c r="L6946" s="209"/>
      <c r="M6946" s="209"/>
      <c r="N6946" s="209"/>
      <c r="O6946" s="209"/>
      <c r="P6946" s="209"/>
      <c r="Q6946" s="209"/>
      <c r="R6946" s="209"/>
      <c r="S6946" s="209"/>
      <c r="T6946" s="209"/>
    </row>
    <row r="6947" spans="1:20" ht="15" hidden="1" customHeight="1">
      <c r="A6947" s="468">
        <v>45575</v>
      </c>
      <c r="B6947" s="208" t="s">
        <v>5644</v>
      </c>
      <c r="C6947" s="208" t="s">
        <v>27</v>
      </c>
      <c r="D6947" s="211">
        <v>-7720808</v>
      </c>
      <c r="E6947" s="212">
        <v>45566</v>
      </c>
      <c r="F6947" s="208" t="s">
        <v>109</v>
      </c>
      <c r="G6947" s="601" t="s">
        <v>581</v>
      </c>
      <c r="H6947" s="208"/>
      <c r="I6947" s="208"/>
      <c r="J6947" s="209"/>
      <c r="K6947" s="209"/>
      <c r="L6947" s="209"/>
      <c r="M6947" s="209"/>
      <c r="N6947" s="209"/>
      <c r="O6947" s="209"/>
      <c r="P6947" s="209"/>
      <c r="Q6947" s="209"/>
      <c r="R6947" s="209"/>
      <c r="S6947" s="209"/>
      <c r="T6947" s="209"/>
    </row>
    <row r="6948" spans="1:20" ht="15" hidden="1" customHeight="1">
      <c r="A6948" s="468">
        <v>45575</v>
      </c>
      <c r="B6948" s="208" t="s">
        <v>3346</v>
      </c>
      <c r="C6948" s="208" t="s">
        <v>27</v>
      </c>
      <c r="D6948" s="211">
        <v>-1673000</v>
      </c>
      <c r="E6948" s="212">
        <v>45566</v>
      </c>
      <c r="F6948" s="208" t="s">
        <v>110</v>
      </c>
      <c r="G6948" s="208" t="s">
        <v>5503</v>
      </c>
      <c r="H6948" s="208" t="s">
        <v>212</v>
      </c>
      <c r="I6948" s="208"/>
      <c r="J6948" s="209"/>
      <c r="K6948" s="209"/>
      <c r="L6948" s="209"/>
      <c r="M6948" s="209"/>
      <c r="N6948" s="209"/>
      <c r="O6948" s="209"/>
      <c r="P6948" s="209"/>
      <c r="Q6948" s="209"/>
      <c r="R6948" s="209"/>
      <c r="S6948" s="209"/>
      <c r="T6948" s="209"/>
    </row>
    <row r="6949" spans="1:20" ht="15" hidden="1" customHeight="1">
      <c r="A6949" s="468">
        <v>45575</v>
      </c>
      <c r="B6949" s="208" t="s">
        <v>5645</v>
      </c>
      <c r="C6949" s="208" t="s">
        <v>27</v>
      </c>
      <c r="D6949" s="211">
        <v>-550000</v>
      </c>
      <c r="E6949" s="212">
        <v>45566</v>
      </c>
      <c r="F6949" s="208" t="s">
        <v>110</v>
      </c>
      <c r="G6949" s="208" t="s">
        <v>5503</v>
      </c>
      <c r="H6949" s="208" t="s">
        <v>175</v>
      </c>
      <c r="I6949" s="208"/>
      <c r="J6949" s="209"/>
      <c r="K6949" s="209"/>
      <c r="L6949" s="209"/>
      <c r="M6949" s="209"/>
      <c r="N6949" s="209"/>
      <c r="O6949" s="209"/>
      <c r="P6949" s="209"/>
      <c r="Q6949" s="209"/>
      <c r="R6949" s="209"/>
      <c r="S6949" s="209"/>
      <c r="T6949" s="209"/>
    </row>
    <row r="6950" spans="1:20" ht="15" hidden="1" customHeight="1">
      <c r="A6950" s="468">
        <v>45575</v>
      </c>
      <c r="B6950" s="208" t="s">
        <v>4877</v>
      </c>
      <c r="C6950" s="208" t="s">
        <v>27</v>
      </c>
      <c r="D6950" s="211">
        <v>-40000</v>
      </c>
      <c r="E6950" s="212">
        <v>45566</v>
      </c>
      <c r="F6950" s="208" t="s">
        <v>110</v>
      </c>
      <c r="G6950" s="201" t="s">
        <v>1489</v>
      </c>
      <c r="H6950" s="201" t="s">
        <v>212</v>
      </c>
      <c r="I6950" s="208"/>
      <c r="J6950" s="209"/>
      <c r="K6950" s="209"/>
      <c r="L6950" s="209"/>
      <c r="M6950" s="209"/>
      <c r="N6950" s="209"/>
      <c r="O6950" s="209"/>
      <c r="P6950" s="209"/>
      <c r="Q6950" s="209"/>
      <c r="R6950" s="209"/>
      <c r="S6950" s="209"/>
      <c r="T6950" s="209"/>
    </row>
    <row r="6951" spans="1:20" ht="15" hidden="1" customHeight="1">
      <c r="A6951" s="468">
        <v>45575</v>
      </c>
      <c r="B6951" s="208" t="s">
        <v>4877</v>
      </c>
      <c r="C6951" s="208" t="s">
        <v>27</v>
      </c>
      <c r="D6951" s="211">
        <v>-700000</v>
      </c>
      <c r="E6951" s="212">
        <v>45566</v>
      </c>
      <c r="F6951" s="208" t="s">
        <v>110</v>
      </c>
      <c r="G6951" s="208" t="s">
        <v>5503</v>
      </c>
      <c r="H6951" s="208" t="s">
        <v>212</v>
      </c>
      <c r="I6951" s="208"/>
      <c r="J6951" s="209"/>
      <c r="K6951" s="209"/>
      <c r="L6951" s="209"/>
      <c r="M6951" s="209"/>
      <c r="N6951" s="209"/>
      <c r="O6951" s="209"/>
      <c r="P6951" s="209"/>
      <c r="Q6951" s="209"/>
      <c r="R6951" s="209"/>
      <c r="S6951" s="209"/>
      <c r="T6951" s="209"/>
    </row>
    <row r="6952" spans="1:20" ht="15" hidden="1" customHeight="1">
      <c r="A6952" s="468">
        <v>45575</v>
      </c>
      <c r="B6952" s="208" t="s">
        <v>5159</v>
      </c>
      <c r="C6952" s="208" t="s">
        <v>27</v>
      </c>
      <c r="D6952" s="211">
        <v>-1120000</v>
      </c>
      <c r="E6952" s="212">
        <v>45566</v>
      </c>
      <c r="F6952" s="208" t="s">
        <v>109</v>
      </c>
      <c r="G6952" s="201" t="s">
        <v>581</v>
      </c>
      <c r="H6952" s="208"/>
      <c r="I6952" s="208"/>
      <c r="J6952" s="209"/>
      <c r="K6952" s="209"/>
      <c r="L6952" s="209"/>
      <c r="M6952" s="209"/>
      <c r="N6952" s="209"/>
      <c r="O6952" s="209"/>
      <c r="P6952" s="209"/>
      <c r="Q6952" s="209"/>
      <c r="R6952" s="209"/>
      <c r="S6952" s="209"/>
      <c r="T6952" s="209"/>
    </row>
    <row r="6953" spans="1:20" ht="15" hidden="1" customHeight="1">
      <c r="A6953" s="468">
        <v>45575</v>
      </c>
      <c r="B6953" s="208" t="s">
        <v>5646</v>
      </c>
      <c r="C6953" s="208" t="s">
        <v>27</v>
      </c>
      <c r="D6953" s="211">
        <v>-990000</v>
      </c>
      <c r="E6953" s="212">
        <v>45566</v>
      </c>
      <c r="F6953" s="208" t="s">
        <v>109</v>
      </c>
      <c r="G6953" s="208" t="s">
        <v>10</v>
      </c>
      <c r="H6953" s="81" t="s">
        <v>138</v>
      </c>
      <c r="I6953" s="208"/>
      <c r="J6953" s="209"/>
      <c r="K6953" s="209"/>
      <c r="L6953" s="209"/>
      <c r="M6953" s="209"/>
      <c r="N6953" s="209"/>
      <c r="O6953" s="209"/>
      <c r="P6953" s="209"/>
      <c r="Q6953" s="209"/>
      <c r="R6953" s="209"/>
      <c r="S6953" s="209"/>
      <c r="T6953" s="209"/>
    </row>
    <row r="6954" spans="1:20" ht="15" hidden="1" customHeight="1">
      <c r="A6954" s="468">
        <v>45575</v>
      </c>
      <c r="B6954" s="208" t="s">
        <v>5647</v>
      </c>
      <c r="C6954" s="208" t="s">
        <v>27</v>
      </c>
      <c r="D6954" s="211">
        <v>-1169000</v>
      </c>
      <c r="E6954" s="212">
        <v>45566</v>
      </c>
      <c r="F6954" s="208" t="s">
        <v>109</v>
      </c>
      <c r="G6954" s="201" t="s">
        <v>581</v>
      </c>
      <c r="H6954" s="208"/>
      <c r="I6954" s="208"/>
      <c r="J6954" s="209"/>
      <c r="K6954" s="209"/>
      <c r="L6954" s="209"/>
      <c r="M6954" s="209"/>
      <c r="N6954" s="209"/>
      <c r="O6954" s="209"/>
      <c r="P6954" s="209"/>
      <c r="Q6954" s="209"/>
      <c r="R6954" s="209"/>
      <c r="S6954" s="209"/>
      <c r="T6954" s="209"/>
    </row>
    <row r="6955" spans="1:20" ht="15" hidden="1" customHeight="1">
      <c r="A6955" s="468">
        <v>45575</v>
      </c>
      <c r="B6955" s="208" t="s">
        <v>5648</v>
      </c>
      <c r="C6955" s="208" t="s">
        <v>27</v>
      </c>
      <c r="D6955" s="211">
        <v>-3549830</v>
      </c>
      <c r="E6955" s="212">
        <v>45566</v>
      </c>
      <c r="F6955" s="208" t="s">
        <v>110</v>
      </c>
      <c r="G6955" s="208" t="s">
        <v>5503</v>
      </c>
      <c r="H6955" s="208" t="s">
        <v>147</v>
      </c>
      <c r="I6955" s="208"/>
      <c r="J6955" s="209"/>
      <c r="K6955" s="209"/>
      <c r="L6955" s="209"/>
      <c r="M6955" s="209"/>
      <c r="N6955" s="209"/>
      <c r="O6955" s="209"/>
      <c r="P6955" s="209"/>
      <c r="Q6955" s="209"/>
      <c r="R6955" s="209"/>
      <c r="S6955" s="209"/>
      <c r="T6955" s="209"/>
    </row>
    <row r="6956" spans="1:20" ht="15" hidden="1" customHeight="1">
      <c r="A6956" s="468">
        <v>45575</v>
      </c>
      <c r="B6956" s="208" t="s">
        <v>5649</v>
      </c>
      <c r="C6956" s="208" t="s">
        <v>27</v>
      </c>
      <c r="D6956" s="211">
        <v>-700621</v>
      </c>
      <c r="E6956" s="212">
        <v>45566</v>
      </c>
      <c r="F6956" s="208" t="s">
        <v>130</v>
      </c>
      <c r="G6956" s="208" t="s">
        <v>257</v>
      </c>
      <c r="H6956" s="208" t="s">
        <v>2272</v>
      </c>
      <c r="I6956" s="208"/>
      <c r="J6956" s="209"/>
      <c r="K6956" s="209"/>
      <c r="L6956" s="209"/>
      <c r="M6956" s="209"/>
      <c r="N6956" s="209"/>
      <c r="O6956" s="209"/>
      <c r="P6956" s="209"/>
      <c r="Q6956" s="209"/>
      <c r="R6956" s="209"/>
      <c r="S6956" s="209"/>
      <c r="T6956" s="209"/>
    </row>
    <row r="6957" spans="1:20" ht="15" hidden="1" customHeight="1">
      <c r="A6957" s="468">
        <v>45575</v>
      </c>
      <c r="B6957" s="208" t="s">
        <v>1337</v>
      </c>
      <c r="C6957" s="208" t="s">
        <v>27</v>
      </c>
      <c r="D6957" s="718">
        <v>-50000000</v>
      </c>
      <c r="E6957" s="212">
        <v>45566</v>
      </c>
      <c r="F6957" s="208" t="s">
        <v>109</v>
      </c>
      <c r="G6957" s="201" t="s">
        <v>581</v>
      </c>
      <c r="H6957" s="208" t="s">
        <v>5448</v>
      </c>
      <c r="I6957" s="208"/>
      <c r="J6957" s="209"/>
      <c r="K6957" s="209"/>
      <c r="L6957" s="209"/>
      <c r="M6957" s="209"/>
      <c r="N6957" s="209"/>
      <c r="O6957" s="209"/>
      <c r="P6957" s="209"/>
      <c r="Q6957" s="209"/>
      <c r="R6957" s="209"/>
      <c r="S6957" s="209"/>
      <c r="T6957" s="209"/>
    </row>
    <row r="6958" spans="1:20" ht="15" hidden="1" customHeight="1">
      <c r="A6958" s="468">
        <v>45575</v>
      </c>
      <c r="B6958" s="208" t="s">
        <v>1337</v>
      </c>
      <c r="C6958" s="208" t="s">
        <v>27</v>
      </c>
      <c r="D6958" s="718">
        <v>-32000000</v>
      </c>
      <c r="E6958" s="212">
        <v>45566</v>
      </c>
      <c r="F6958" s="208" t="s">
        <v>109</v>
      </c>
      <c r="G6958" s="201" t="s">
        <v>583</v>
      </c>
      <c r="H6958" s="208" t="s">
        <v>5448</v>
      </c>
      <c r="I6958" s="208"/>
      <c r="J6958" s="209"/>
      <c r="K6958" s="209"/>
      <c r="L6958" s="209"/>
      <c r="M6958" s="209"/>
      <c r="N6958" s="209"/>
      <c r="O6958" s="209"/>
      <c r="P6958" s="209"/>
      <c r="Q6958" s="209"/>
      <c r="R6958" s="209"/>
      <c r="S6958" s="209"/>
      <c r="T6958" s="209"/>
    </row>
    <row r="6959" spans="1:20" ht="15" hidden="1" customHeight="1">
      <c r="A6959" s="468">
        <v>45575</v>
      </c>
      <c r="B6959" s="208" t="s">
        <v>1337</v>
      </c>
      <c r="C6959" s="208" t="s">
        <v>27</v>
      </c>
      <c r="D6959" s="211">
        <v>-1669159</v>
      </c>
      <c r="E6959" s="212">
        <v>45566</v>
      </c>
      <c r="F6959" s="208" t="s">
        <v>110</v>
      </c>
      <c r="G6959" s="208" t="s">
        <v>5503</v>
      </c>
      <c r="H6959" s="201" t="s">
        <v>310</v>
      </c>
      <c r="I6959" s="208"/>
      <c r="J6959" s="209"/>
      <c r="K6959" s="209"/>
      <c r="L6959" s="209"/>
      <c r="M6959" s="209"/>
      <c r="N6959" s="209"/>
      <c r="O6959" s="209"/>
      <c r="P6959" s="209"/>
      <c r="Q6959" s="209"/>
      <c r="R6959" s="209"/>
      <c r="S6959" s="209"/>
      <c r="T6959" s="209"/>
    </row>
    <row r="6960" spans="1:20" ht="15" hidden="1" customHeight="1">
      <c r="A6960" s="468">
        <v>45575</v>
      </c>
      <c r="B6960" s="208" t="s">
        <v>5650</v>
      </c>
      <c r="C6960" s="208" t="s">
        <v>27</v>
      </c>
      <c r="D6960" s="211">
        <v>-801046</v>
      </c>
      <c r="E6960" s="212">
        <v>45566</v>
      </c>
      <c r="F6960" s="208" t="s">
        <v>110</v>
      </c>
      <c r="G6960" s="208" t="s">
        <v>5503</v>
      </c>
      <c r="H6960" s="201" t="s">
        <v>585</v>
      </c>
      <c r="I6960" s="208"/>
      <c r="J6960" s="209"/>
      <c r="K6960" s="209"/>
      <c r="L6960" s="209"/>
      <c r="M6960" s="209"/>
      <c r="N6960" s="209"/>
      <c r="O6960" s="209"/>
      <c r="P6960" s="209"/>
      <c r="Q6960" s="209"/>
      <c r="R6960" s="209"/>
      <c r="S6960" s="209"/>
      <c r="T6960" s="209"/>
    </row>
    <row r="6961" spans="1:20" ht="15" hidden="1" customHeight="1">
      <c r="A6961" s="468">
        <v>45576</v>
      </c>
      <c r="B6961" s="208" t="s">
        <v>4641</v>
      </c>
      <c r="C6961" s="208" t="s">
        <v>27</v>
      </c>
      <c r="D6961" s="718">
        <v>-1228700</v>
      </c>
      <c r="E6961" s="212">
        <v>45566</v>
      </c>
      <c r="F6961" s="208" t="s">
        <v>109</v>
      </c>
      <c r="G6961" s="201" t="s">
        <v>581</v>
      </c>
      <c r="H6961" s="208" t="s">
        <v>147</v>
      </c>
      <c r="I6961" s="208"/>
      <c r="J6961" s="209"/>
      <c r="K6961" s="209"/>
      <c r="L6961" s="209"/>
      <c r="M6961" s="209"/>
      <c r="N6961" s="209"/>
      <c r="O6961" s="209"/>
      <c r="P6961" s="209"/>
      <c r="Q6961" s="209"/>
      <c r="R6961" s="209"/>
      <c r="S6961" s="209"/>
      <c r="T6961" s="209"/>
    </row>
    <row r="6962" spans="1:20" ht="15" hidden="1" customHeight="1">
      <c r="A6962" s="468">
        <v>45576</v>
      </c>
      <c r="B6962" s="208" t="s">
        <v>4642</v>
      </c>
      <c r="C6962" s="208" t="s">
        <v>27</v>
      </c>
      <c r="D6962" s="211">
        <v>-843865</v>
      </c>
      <c r="E6962" s="212">
        <v>45566</v>
      </c>
      <c r="F6962" s="208" t="s">
        <v>109</v>
      </c>
      <c r="G6962" s="208" t="s">
        <v>4225</v>
      </c>
      <c r="H6962" s="208" t="s">
        <v>147</v>
      </c>
      <c r="I6962" s="208"/>
      <c r="J6962" s="209"/>
      <c r="K6962" s="209"/>
      <c r="L6962" s="209"/>
      <c r="M6962" s="209"/>
      <c r="N6962" s="209"/>
      <c r="O6962" s="209"/>
      <c r="P6962" s="209"/>
      <c r="Q6962" s="209"/>
      <c r="R6962" s="209"/>
      <c r="S6962" s="209"/>
      <c r="T6962" s="209"/>
    </row>
    <row r="6963" spans="1:20" ht="15" hidden="1" customHeight="1">
      <c r="A6963" s="468">
        <v>45576</v>
      </c>
      <c r="B6963" s="208" t="s">
        <v>4644</v>
      </c>
      <c r="C6963" s="208" t="s">
        <v>27</v>
      </c>
      <c r="D6963" s="211">
        <v>-1048665</v>
      </c>
      <c r="E6963" s="212">
        <v>45566</v>
      </c>
      <c r="F6963" s="208" t="s">
        <v>110</v>
      </c>
      <c r="G6963" s="201" t="s">
        <v>1489</v>
      </c>
      <c r="H6963" s="208" t="s">
        <v>147</v>
      </c>
      <c r="I6963" s="208"/>
      <c r="J6963" s="209"/>
      <c r="K6963" s="209"/>
      <c r="L6963" s="209"/>
      <c r="M6963" s="209"/>
      <c r="N6963" s="209"/>
      <c r="O6963" s="209"/>
      <c r="P6963" s="209"/>
      <c r="Q6963" s="209"/>
      <c r="R6963" s="209"/>
      <c r="S6963" s="209"/>
      <c r="T6963" s="209"/>
    </row>
    <row r="6964" spans="1:20" ht="15" hidden="1" customHeight="1">
      <c r="A6964" s="468">
        <v>45576</v>
      </c>
      <c r="B6964" s="208" t="s">
        <v>4648</v>
      </c>
      <c r="C6964" s="208" t="s">
        <v>27</v>
      </c>
      <c r="D6964" s="211">
        <v>-732840</v>
      </c>
      <c r="E6964" s="212">
        <v>45566</v>
      </c>
      <c r="F6964" s="208" t="s">
        <v>130</v>
      </c>
      <c r="G6964" s="208" t="s">
        <v>130</v>
      </c>
      <c r="H6964" s="208" t="s">
        <v>2421</v>
      </c>
      <c r="I6964" s="208"/>
      <c r="J6964" s="209"/>
      <c r="K6964" s="209"/>
      <c r="L6964" s="209"/>
      <c r="M6964" s="209"/>
      <c r="N6964" s="209"/>
      <c r="O6964" s="209"/>
      <c r="P6964" s="209"/>
      <c r="Q6964" s="209"/>
      <c r="R6964" s="209"/>
      <c r="S6964" s="209"/>
      <c r="T6964" s="209"/>
    </row>
    <row r="6965" spans="1:20" ht="15" hidden="1" customHeight="1">
      <c r="A6965" s="468">
        <v>45576</v>
      </c>
      <c r="B6965" s="208" t="s">
        <v>4649</v>
      </c>
      <c r="C6965" s="208" t="s">
        <v>27</v>
      </c>
      <c r="D6965" s="211">
        <v>-685500</v>
      </c>
      <c r="E6965" s="212">
        <v>45566</v>
      </c>
      <c r="F6965" s="208" t="s">
        <v>110</v>
      </c>
      <c r="G6965" s="201" t="s">
        <v>1489</v>
      </c>
      <c r="H6965" s="208" t="s">
        <v>147</v>
      </c>
      <c r="I6965" s="208"/>
      <c r="J6965" s="209"/>
      <c r="K6965" s="209"/>
      <c r="L6965" s="209"/>
      <c r="M6965" s="209"/>
      <c r="N6965" s="209"/>
      <c r="O6965" s="209"/>
      <c r="P6965" s="209"/>
      <c r="Q6965" s="209"/>
      <c r="R6965" s="209"/>
      <c r="S6965" s="209"/>
      <c r="T6965" s="209"/>
    </row>
    <row r="6966" spans="1:20" ht="15" hidden="1" customHeight="1">
      <c r="A6966" s="468">
        <v>45576</v>
      </c>
      <c r="B6966" s="208" t="s">
        <v>4650</v>
      </c>
      <c r="C6966" s="208" t="s">
        <v>27</v>
      </c>
      <c r="D6966" s="211">
        <v>-293800</v>
      </c>
      <c r="E6966" s="212">
        <v>45566</v>
      </c>
      <c r="F6966" s="208" t="s">
        <v>110</v>
      </c>
      <c r="G6966" s="201" t="s">
        <v>1489</v>
      </c>
      <c r="H6966" s="201" t="s">
        <v>508</v>
      </c>
      <c r="I6966" s="208"/>
      <c r="J6966" s="209"/>
      <c r="K6966" s="209"/>
      <c r="L6966" s="209"/>
      <c r="M6966" s="209"/>
      <c r="N6966" s="209"/>
      <c r="O6966" s="209"/>
      <c r="P6966" s="209"/>
      <c r="Q6966" s="209"/>
      <c r="R6966" s="209"/>
      <c r="S6966" s="209"/>
      <c r="T6966" s="209"/>
    </row>
    <row r="6967" spans="1:20" ht="15" hidden="1" customHeight="1">
      <c r="A6967" s="468">
        <v>45576</v>
      </c>
      <c r="B6967" s="208" t="s">
        <v>4650</v>
      </c>
      <c r="C6967" s="208" t="s">
        <v>27</v>
      </c>
      <c r="D6967" s="211">
        <v>-293800</v>
      </c>
      <c r="E6967" s="212">
        <v>45566</v>
      </c>
      <c r="F6967" s="208" t="s">
        <v>109</v>
      </c>
      <c r="G6967" s="208" t="s">
        <v>4986</v>
      </c>
      <c r="H6967" s="201" t="s">
        <v>508</v>
      </c>
      <c r="I6967" s="208"/>
      <c r="J6967" s="209"/>
      <c r="K6967" s="209"/>
      <c r="L6967" s="209"/>
      <c r="M6967" s="209"/>
      <c r="N6967" s="209"/>
      <c r="O6967" s="209"/>
      <c r="P6967" s="209"/>
      <c r="Q6967" s="209"/>
      <c r="R6967" s="209"/>
      <c r="S6967" s="209"/>
      <c r="T6967" s="209"/>
    </row>
    <row r="6968" spans="1:20" ht="15" hidden="1" customHeight="1">
      <c r="A6968" s="468">
        <v>45576</v>
      </c>
      <c r="B6968" s="208" t="s">
        <v>4650</v>
      </c>
      <c r="C6968" s="208" t="s">
        <v>27</v>
      </c>
      <c r="D6968" s="211">
        <v>-293800</v>
      </c>
      <c r="E6968" s="212">
        <v>45566</v>
      </c>
      <c r="F6968" s="208" t="s">
        <v>109</v>
      </c>
      <c r="G6968" s="208" t="s">
        <v>4225</v>
      </c>
      <c r="H6968" s="201" t="s">
        <v>508</v>
      </c>
      <c r="I6968" s="208"/>
      <c r="J6968" s="209"/>
      <c r="K6968" s="209"/>
      <c r="L6968" s="209"/>
      <c r="M6968" s="209"/>
      <c r="N6968" s="209"/>
      <c r="O6968" s="209"/>
      <c r="P6968" s="209"/>
      <c r="Q6968" s="209"/>
      <c r="R6968" s="209"/>
      <c r="S6968" s="209"/>
      <c r="T6968" s="209"/>
    </row>
    <row r="6969" spans="1:20" ht="15" hidden="1" customHeight="1">
      <c r="A6969" s="468">
        <v>45576</v>
      </c>
      <c r="B6969" s="208" t="s">
        <v>4652</v>
      </c>
      <c r="C6969" s="208" t="s">
        <v>27</v>
      </c>
      <c r="D6969" s="211">
        <v>-1001000</v>
      </c>
      <c r="E6969" s="212">
        <v>45566</v>
      </c>
      <c r="F6969" s="208" t="s">
        <v>109</v>
      </c>
      <c r="G6969" s="208" t="s">
        <v>4986</v>
      </c>
      <c r="H6969" s="208" t="s">
        <v>147</v>
      </c>
      <c r="I6969" s="208"/>
      <c r="J6969" s="209"/>
      <c r="K6969" s="209"/>
      <c r="L6969" s="209"/>
      <c r="M6969" s="209"/>
      <c r="N6969" s="209"/>
      <c r="O6969" s="209"/>
      <c r="P6969" s="209"/>
      <c r="Q6969" s="209"/>
      <c r="R6969" s="209"/>
      <c r="S6969" s="209"/>
      <c r="T6969" s="209"/>
    </row>
    <row r="6970" spans="1:20" ht="15" hidden="1" customHeight="1">
      <c r="A6970" s="468">
        <v>45576</v>
      </c>
      <c r="B6970" s="208" t="s">
        <v>4653</v>
      </c>
      <c r="C6970" s="208" t="s">
        <v>27</v>
      </c>
      <c r="D6970" s="211">
        <v>-679000</v>
      </c>
      <c r="E6970" s="212">
        <v>45566</v>
      </c>
      <c r="F6970" s="208" t="s">
        <v>109</v>
      </c>
      <c r="G6970" s="208" t="s">
        <v>4986</v>
      </c>
      <c r="H6970" s="208" t="s">
        <v>147</v>
      </c>
      <c r="I6970" s="208"/>
      <c r="J6970" s="209"/>
      <c r="K6970" s="209"/>
      <c r="L6970" s="209"/>
      <c r="M6970" s="209"/>
      <c r="N6970" s="209"/>
      <c r="O6970" s="209"/>
      <c r="P6970" s="209"/>
      <c r="Q6970" s="209"/>
      <c r="R6970" s="209"/>
      <c r="S6970" s="209"/>
      <c r="T6970" s="209"/>
    </row>
    <row r="6971" spans="1:20" ht="15" hidden="1" customHeight="1">
      <c r="A6971" s="468">
        <v>45576</v>
      </c>
      <c r="B6971" s="208" t="s">
        <v>4656</v>
      </c>
      <c r="C6971" s="208" t="s">
        <v>27</v>
      </c>
      <c r="D6971" s="211">
        <v>-2024000</v>
      </c>
      <c r="E6971" s="212">
        <v>45566</v>
      </c>
      <c r="F6971" s="208" t="s">
        <v>130</v>
      </c>
      <c r="G6971" s="208" t="s">
        <v>130</v>
      </c>
      <c r="H6971" s="208" t="s">
        <v>2421</v>
      </c>
      <c r="I6971" s="208"/>
      <c r="J6971" s="209"/>
      <c r="K6971" s="209"/>
      <c r="L6971" s="209"/>
      <c r="M6971" s="209"/>
      <c r="N6971" s="209"/>
      <c r="O6971" s="209"/>
      <c r="P6971" s="209"/>
      <c r="Q6971" s="209"/>
      <c r="R6971" s="209"/>
      <c r="S6971" s="209"/>
      <c r="T6971" s="209"/>
    </row>
    <row r="6972" spans="1:20" ht="15" hidden="1" customHeight="1">
      <c r="A6972" s="468">
        <v>45576</v>
      </c>
      <c r="B6972" s="208" t="s">
        <v>4658</v>
      </c>
      <c r="C6972" s="208" t="s">
        <v>27</v>
      </c>
      <c r="D6972" s="211">
        <v>-817000</v>
      </c>
      <c r="E6972" s="212">
        <v>45566</v>
      </c>
      <c r="F6972" s="208" t="s">
        <v>130</v>
      </c>
      <c r="G6972" s="208" t="s">
        <v>130</v>
      </c>
      <c r="H6972" s="208" t="s">
        <v>2421</v>
      </c>
      <c r="I6972" s="208"/>
      <c r="J6972" s="209"/>
      <c r="K6972" s="209"/>
      <c r="L6972" s="209"/>
      <c r="M6972" s="209"/>
      <c r="N6972" s="209"/>
      <c r="O6972" s="209"/>
      <c r="P6972" s="209"/>
      <c r="Q6972" s="209"/>
      <c r="R6972" s="209"/>
      <c r="S6972" s="209"/>
      <c r="T6972" s="209"/>
    </row>
    <row r="6973" spans="1:20" ht="15" hidden="1" customHeight="1">
      <c r="A6973" s="468">
        <v>45576</v>
      </c>
      <c r="B6973" s="208" t="s">
        <v>4696</v>
      </c>
      <c r="C6973" s="208" t="s">
        <v>27</v>
      </c>
      <c r="D6973" s="211">
        <v>-650000</v>
      </c>
      <c r="E6973" s="212">
        <v>45566</v>
      </c>
      <c r="F6973" s="208" t="s">
        <v>130</v>
      </c>
      <c r="G6973" s="208" t="s">
        <v>130</v>
      </c>
      <c r="H6973" s="208" t="s">
        <v>2421</v>
      </c>
      <c r="I6973" s="208"/>
      <c r="J6973" s="209"/>
      <c r="K6973" s="209"/>
      <c r="L6973" s="209"/>
      <c r="M6973" s="209"/>
      <c r="N6973" s="209"/>
      <c r="O6973" s="209"/>
      <c r="P6973" s="209"/>
      <c r="Q6973" s="209"/>
      <c r="R6973" s="209"/>
      <c r="S6973" s="209"/>
      <c r="T6973" s="209"/>
    </row>
    <row r="6974" spans="1:20" ht="15" hidden="1" customHeight="1">
      <c r="A6974" s="468">
        <v>45576</v>
      </c>
      <c r="B6974" s="208" t="s">
        <v>4661</v>
      </c>
      <c r="C6974" s="208" t="s">
        <v>27</v>
      </c>
      <c r="D6974" s="718">
        <v>-955000</v>
      </c>
      <c r="E6974" s="212">
        <v>45566</v>
      </c>
      <c r="F6974" s="208" t="s">
        <v>109</v>
      </c>
      <c r="G6974" s="201" t="s">
        <v>581</v>
      </c>
      <c r="H6974" s="208"/>
      <c r="I6974" s="208"/>
      <c r="J6974" s="209"/>
      <c r="K6974" s="209"/>
      <c r="L6974" s="209"/>
      <c r="M6974" s="209"/>
      <c r="N6974" s="209"/>
      <c r="O6974" s="209"/>
      <c r="P6974" s="209"/>
      <c r="Q6974" s="209"/>
      <c r="R6974" s="209"/>
      <c r="S6974" s="209"/>
      <c r="T6974" s="209"/>
    </row>
    <row r="6975" spans="1:20" ht="15" hidden="1" customHeight="1">
      <c r="A6975" s="468">
        <v>45576</v>
      </c>
      <c r="B6975" s="208" t="s">
        <v>4662</v>
      </c>
      <c r="C6975" s="208" t="s">
        <v>27</v>
      </c>
      <c r="D6975" s="718">
        <v>-652000</v>
      </c>
      <c r="E6975" s="212">
        <v>45566</v>
      </c>
      <c r="F6975" s="208" t="s">
        <v>109</v>
      </c>
      <c r="G6975" s="201" t="s">
        <v>581</v>
      </c>
      <c r="H6975" s="208"/>
      <c r="I6975" s="208"/>
      <c r="J6975" s="209"/>
      <c r="K6975" s="209"/>
      <c r="L6975" s="209"/>
      <c r="M6975" s="209"/>
      <c r="N6975" s="209"/>
      <c r="O6975" s="209"/>
      <c r="P6975" s="209"/>
      <c r="Q6975" s="209"/>
      <c r="R6975" s="209"/>
      <c r="S6975" s="209"/>
      <c r="T6975" s="209"/>
    </row>
    <row r="6976" spans="1:20" ht="15" hidden="1" customHeight="1">
      <c r="A6976" s="468">
        <v>45576</v>
      </c>
      <c r="B6976" s="208" t="s">
        <v>4663</v>
      </c>
      <c r="C6976" s="208" t="s">
        <v>27</v>
      </c>
      <c r="D6976" s="211">
        <v>-657400</v>
      </c>
      <c r="E6976" s="212">
        <v>45566</v>
      </c>
      <c r="F6976" s="208" t="s">
        <v>109</v>
      </c>
      <c r="G6976" s="208" t="s">
        <v>4225</v>
      </c>
      <c r="H6976" s="208" t="s">
        <v>147</v>
      </c>
      <c r="I6976" s="208"/>
      <c r="J6976" s="209"/>
      <c r="K6976" s="209"/>
      <c r="L6976" s="209"/>
      <c r="M6976" s="209"/>
      <c r="N6976" s="209"/>
      <c r="O6976" s="209"/>
      <c r="P6976" s="209"/>
      <c r="Q6976" s="209"/>
      <c r="R6976" s="209"/>
      <c r="S6976" s="209"/>
      <c r="T6976" s="209"/>
    </row>
    <row r="6977" spans="1:20" ht="15" hidden="1" customHeight="1">
      <c r="A6977" s="468">
        <v>45576</v>
      </c>
      <c r="B6977" s="208" t="s">
        <v>4664</v>
      </c>
      <c r="C6977" s="208" t="s">
        <v>27</v>
      </c>
      <c r="D6977" s="718">
        <v>-679000</v>
      </c>
      <c r="E6977" s="212">
        <v>45566</v>
      </c>
      <c r="F6977" s="208" t="s">
        <v>109</v>
      </c>
      <c r="G6977" s="201" t="s">
        <v>581</v>
      </c>
      <c r="H6977" s="208"/>
      <c r="I6977" s="208"/>
      <c r="J6977" s="209"/>
      <c r="K6977" s="209"/>
      <c r="L6977" s="209"/>
      <c r="M6977" s="209"/>
      <c r="N6977" s="209"/>
      <c r="O6977" s="209"/>
      <c r="P6977" s="209"/>
      <c r="Q6977" s="209"/>
      <c r="R6977" s="209"/>
      <c r="S6977" s="209"/>
      <c r="T6977" s="209"/>
    </row>
    <row r="6978" spans="1:20" ht="15" hidden="1" customHeight="1">
      <c r="A6978" s="468">
        <v>45576</v>
      </c>
      <c r="B6978" s="208" t="s">
        <v>4665</v>
      </c>
      <c r="C6978" s="208" t="s">
        <v>27</v>
      </c>
      <c r="D6978" s="211">
        <v>-964200</v>
      </c>
      <c r="E6978" s="212">
        <v>45566</v>
      </c>
      <c r="F6978" s="208" t="s">
        <v>110</v>
      </c>
      <c r="G6978" s="208" t="s">
        <v>4294</v>
      </c>
      <c r="H6978" s="208" t="s">
        <v>147</v>
      </c>
      <c r="I6978" s="208"/>
      <c r="J6978" s="209"/>
      <c r="K6978" s="209"/>
      <c r="L6978" s="209"/>
      <c r="M6978" s="209"/>
      <c r="N6978" s="209"/>
      <c r="O6978" s="209"/>
      <c r="P6978" s="209"/>
      <c r="Q6978" s="209"/>
      <c r="R6978" s="209"/>
      <c r="S6978" s="209"/>
      <c r="T6978" s="209"/>
    </row>
    <row r="6979" spans="1:20" ht="15" hidden="1" customHeight="1">
      <c r="A6979" s="468">
        <v>45576</v>
      </c>
      <c r="B6979" s="208" t="s">
        <v>4666</v>
      </c>
      <c r="C6979" s="208" t="s">
        <v>27</v>
      </c>
      <c r="D6979" s="211">
        <v>-731500</v>
      </c>
      <c r="E6979" s="212">
        <v>45566</v>
      </c>
      <c r="F6979" s="208" t="s">
        <v>110</v>
      </c>
      <c r="G6979" s="201" t="s">
        <v>1489</v>
      </c>
      <c r="H6979" s="208" t="s">
        <v>147</v>
      </c>
      <c r="I6979" s="208"/>
      <c r="J6979" s="209"/>
      <c r="K6979" s="209"/>
      <c r="L6979" s="209"/>
      <c r="M6979" s="209"/>
      <c r="N6979" s="209"/>
      <c r="O6979" s="209"/>
      <c r="P6979" s="209"/>
      <c r="Q6979" s="209"/>
      <c r="R6979" s="209"/>
      <c r="S6979" s="209"/>
      <c r="T6979" s="209"/>
    </row>
    <row r="6980" spans="1:20" ht="15" hidden="1" customHeight="1">
      <c r="A6980" s="468">
        <v>45576</v>
      </c>
      <c r="B6980" s="208" t="s">
        <v>4668</v>
      </c>
      <c r="C6980" s="208" t="s">
        <v>27</v>
      </c>
      <c r="D6980" s="211">
        <v>-487500</v>
      </c>
      <c r="E6980" s="212">
        <v>45566</v>
      </c>
      <c r="F6980" s="208" t="s">
        <v>130</v>
      </c>
      <c r="G6980" s="208" t="s">
        <v>130</v>
      </c>
      <c r="H6980" s="208" t="s">
        <v>2421</v>
      </c>
      <c r="I6980" s="208"/>
      <c r="J6980" s="209"/>
      <c r="K6980" s="209"/>
      <c r="L6980" s="209"/>
      <c r="M6980" s="209"/>
      <c r="N6980" s="209"/>
      <c r="O6980" s="209"/>
      <c r="P6980" s="209"/>
      <c r="Q6980" s="209"/>
      <c r="R6980" s="209"/>
      <c r="S6980" s="209"/>
      <c r="T6980" s="209"/>
    </row>
    <row r="6981" spans="1:20" ht="15" hidden="1" customHeight="1">
      <c r="A6981" s="468">
        <v>45576</v>
      </c>
      <c r="B6981" s="208" t="s">
        <v>4669</v>
      </c>
      <c r="C6981" s="208" t="s">
        <v>27</v>
      </c>
      <c r="D6981" s="718">
        <v>-679000</v>
      </c>
      <c r="E6981" s="212">
        <v>45566</v>
      </c>
      <c r="F6981" s="208" t="s">
        <v>109</v>
      </c>
      <c r="G6981" s="201" t="s">
        <v>581</v>
      </c>
      <c r="H6981" s="208"/>
      <c r="I6981" s="208"/>
      <c r="J6981" s="209"/>
      <c r="K6981" s="209"/>
      <c r="L6981" s="209"/>
      <c r="M6981" s="209"/>
      <c r="N6981" s="209"/>
      <c r="O6981" s="209"/>
      <c r="P6981" s="209"/>
      <c r="Q6981" s="209"/>
      <c r="R6981" s="209"/>
      <c r="S6981" s="209"/>
      <c r="T6981" s="209"/>
    </row>
    <row r="6982" spans="1:20" ht="15" hidden="1" customHeight="1">
      <c r="A6982" s="468">
        <v>45576</v>
      </c>
      <c r="B6982" s="208" t="s">
        <v>4670</v>
      </c>
      <c r="C6982" s="208" t="s">
        <v>27</v>
      </c>
      <c r="D6982" s="718">
        <v>-1038260</v>
      </c>
      <c r="E6982" s="212">
        <v>45566</v>
      </c>
      <c r="F6982" s="208" t="s">
        <v>109</v>
      </c>
      <c r="G6982" s="201" t="s">
        <v>581</v>
      </c>
      <c r="H6982" s="208"/>
      <c r="I6982" s="208"/>
      <c r="J6982" s="209"/>
      <c r="K6982" s="209"/>
      <c r="L6982" s="209"/>
      <c r="M6982" s="209"/>
      <c r="N6982" s="209"/>
      <c r="O6982" s="209"/>
      <c r="P6982" s="209"/>
      <c r="Q6982" s="209"/>
      <c r="R6982" s="209"/>
      <c r="S6982" s="209"/>
      <c r="T6982" s="209"/>
    </row>
    <row r="6983" spans="1:20" ht="15" hidden="1" customHeight="1">
      <c r="A6983" s="468">
        <v>45576</v>
      </c>
      <c r="B6983" s="208" t="s">
        <v>4673</v>
      </c>
      <c r="C6983" s="208" t="s">
        <v>27</v>
      </c>
      <c r="D6983" s="718">
        <v>-679000</v>
      </c>
      <c r="E6983" s="212">
        <v>45566</v>
      </c>
      <c r="F6983" s="208" t="s">
        <v>109</v>
      </c>
      <c r="G6983" s="201" t="s">
        <v>581</v>
      </c>
      <c r="H6983" s="208"/>
      <c r="I6983" s="208"/>
      <c r="J6983" s="209"/>
      <c r="K6983" s="209"/>
      <c r="L6983" s="209"/>
      <c r="M6983" s="209"/>
      <c r="N6983" s="209"/>
      <c r="O6983" s="209"/>
      <c r="P6983" s="209"/>
      <c r="Q6983" s="209"/>
      <c r="R6983" s="209"/>
      <c r="S6983" s="209"/>
      <c r="T6983" s="209"/>
    </row>
    <row r="6984" spans="1:20" ht="15" hidden="1" customHeight="1">
      <c r="A6984" s="468">
        <v>45576</v>
      </c>
      <c r="B6984" s="208" t="s">
        <v>4674</v>
      </c>
      <c r="C6984" s="208" t="s">
        <v>27</v>
      </c>
      <c r="D6984" s="718">
        <v>-679000</v>
      </c>
      <c r="E6984" s="212">
        <v>45566</v>
      </c>
      <c r="F6984" s="208" t="s">
        <v>109</v>
      </c>
      <c r="G6984" s="201" t="s">
        <v>581</v>
      </c>
      <c r="H6984" s="208"/>
      <c r="I6984" s="208"/>
      <c r="J6984" s="209"/>
      <c r="K6984" s="209"/>
      <c r="L6984" s="209"/>
      <c r="M6984" s="209"/>
      <c r="N6984" s="209"/>
      <c r="O6984" s="209"/>
      <c r="P6984" s="209"/>
      <c r="Q6984" s="209"/>
      <c r="R6984" s="209"/>
      <c r="S6984" s="209"/>
      <c r="T6984" s="209"/>
    </row>
    <row r="6985" spans="1:20" ht="15" hidden="1" customHeight="1">
      <c r="A6985" s="468">
        <v>45576</v>
      </c>
      <c r="B6985" s="208" t="s">
        <v>4675</v>
      </c>
      <c r="C6985" s="208" t="s">
        <v>27</v>
      </c>
      <c r="D6985" s="718">
        <v>-679000</v>
      </c>
      <c r="E6985" s="212">
        <v>45566</v>
      </c>
      <c r="F6985" s="208" t="s">
        <v>109</v>
      </c>
      <c r="G6985" s="201" t="s">
        <v>581</v>
      </c>
      <c r="H6985" s="208"/>
      <c r="I6985" s="208"/>
      <c r="J6985" s="209"/>
      <c r="K6985" s="209"/>
      <c r="L6985" s="209"/>
      <c r="M6985" s="209"/>
      <c r="N6985" s="209"/>
      <c r="O6985" s="209"/>
      <c r="P6985" s="209"/>
      <c r="Q6985" s="209"/>
      <c r="R6985" s="209"/>
      <c r="S6985" s="209"/>
      <c r="T6985" s="209"/>
    </row>
    <row r="6986" spans="1:20" ht="15" hidden="1" customHeight="1">
      <c r="A6986" s="468">
        <v>45576</v>
      </c>
      <c r="B6986" s="208" t="s">
        <v>4676</v>
      </c>
      <c r="C6986" s="208" t="s">
        <v>27</v>
      </c>
      <c r="D6986" s="718">
        <v>-679000</v>
      </c>
      <c r="E6986" s="212">
        <v>45566</v>
      </c>
      <c r="F6986" s="208" t="s">
        <v>109</v>
      </c>
      <c r="G6986" s="201" t="s">
        <v>581</v>
      </c>
      <c r="H6986" s="208"/>
      <c r="I6986" s="208"/>
      <c r="J6986" s="209"/>
      <c r="K6986" s="209"/>
      <c r="L6986" s="209"/>
      <c r="M6986" s="209"/>
      <c r="N6986" s="209"/>
      <c r="O6986" s="209"/>
      <c r="P6986" s="209"/>
      <c r="Q6986" s="209"/>
      <c r="R6986" s="209"/>
      <c r="S6986" s="209"/>
      <c r="T6986" s="209"/>
    </row>
    <row r="6987" spans="1:20" ht="15" hidden="1" customHeight="1">
      <c r="A6987" s="468">
        <v>45576</v>
      </c>
      <c r="B6987" s="208" t="s">
        <v>4677</v>
      </c>
      <c r="C6987" s="208" t="s">
        <v>27</v>
      </c>
      <c r="D6987" s="718">
        <v>-679000</v>
      </c>
      <c r="E6987" s="212">
        <v>45566</v>
      </c>
      <c r="F6987" s="208" t="s">
        <v>109</v>
      </c>
      <c r="G6987" s="201" t="s">
        <v>581</v>
      </c>
      <c r="H6987" s="208"/>
      <c r="I6987" s="208"/>
      <c r="J6987" s="209"/>
      <c r="K6987" s="209"/>
      <c r="L6987" s="209"/>
      <c r="M6987" s="209"/>
      <c r="N6987" s="209"/>
      <c r="O6987" s="209"/>
      <c r="P6987" s="209"/>
      <c r="Q6987" s="209"/>
      <c r="R6987" s="209"/>
      <c r="S6987" s="209"/>
      <c r="T6987" s="209"/>
    </row>
    <row r="6988" spans="1:20" ht="15" hidden="1" customHeight="1">
      <c r="A6988" s="468">
        <v>45576</v>
      </c>
      <c r="B6988" s="208" t="s">
        <v>4678</v>
      </c>
      <c r="C6988" s="208" t="s">
        <v>27</v>
      </c>
      <c r="D6988" s="718">
        <v>-679000</v>
      </c>
      <c r="E6988" s="212">
        <v>45566</v>
      </c>
      <c r="F6988" s="208" t="s">
        <v>109</v>
      </c>
      <c r="G6988" s="201" t="s">
        <v>581</v>
      </c>
      <c r="H6988" s="208"/>
      <c r="I6988" s="208"/>
      <c r="J6988" s="209"/>
      <c r="K6988" s="209"/>
      <c r="L6988" s="209"/>
      <c r="M6988" s="209"/>
      <c r="N6988" s="209"/>
      <c r="O6988" s="209"/>
      <c r="P6988" s="209"/>
      <c r="Q6988" s="209"/>
      <c r="R6988" s="209"/>
      <c r="S6988" s="209"/>
      <c r="T6988" s="209"/>
    </row>
    <row r="6989" spans="1:20" ht="15" hidden="1" customHeight="1">
      <c r="A6989" s="468">
        <v>45576</v>
      </c>
      <c r="B6989" s="208" t="s">
        <v>4679</v>
      </c>
      <c r="C6989" s="208" t="s">
        <v>27</v>
      </c>
      <c r="D6989" s="718">
        <v>-679000</v>
      </c>
      <c r="E6989" s="212">
        <v>45566</v>
      </c>
      <c r="F6989" s="208" t="s">
        <v>109</v>
      </c>
      <c r="G6989" s="201" t="s">
        <v>581</v>
      </c>
      <c r="H6989" s="208"/>
      <c r="I6989" s="208"/>
      <c r="J6989" s="209"/>
      <c r="K6989" s="209"/>
      <c r="L6989" s="209"/>
      <c r="M6989" s="209"/>
      <c r="N6989" s="209"/>
      <c r="O6989" s="209"/>
      <c r="P6989" s="209"/>
      <c r="Q6989" s="209"/>
      <c r="R6989" s="209"/>
      <c r="S6989" s="209"/>
      <c r="T6989" s="209"/>
    </row>
    <row r="6990" spans="1:20" ht="15" hidden="1" customHeight="1">
      <c r="A6990" s="468">
        <v>45576</v>
      </c>
      <c r="B6990" s="208" t="s">
        <v>4680</v>
      </c>
      <c r="C6990" s="208" t="s">
        <v>27</v>
      </c>
      <c r="D6990" s="718">
        <v>-679000</v>
      </c>
      <c r="E6990" s="212">
        <v>45566</v>
      </c>
      <c r="F6990" s="208" t="s">
        <v>109</v>
      </c>
      <c r="G6990" s="201" t="s">
        <v>581</v>
      </c>
      <c r="H6990" s="208"/>
      <c r="I6990" s="208"/>
      <c r="J6990" s="209"/>
      <c r="K6990" s="209"/>
      <c r="L6990" s="209"/>
      <c r="M6990" s="209"/>
      <c r="N6990" s="209"/>
      <c r="O6990" s="209"/>
      <c r="P6990" s="209"/>
      <c r="Q6990" s="209"/>
      <c r="R6990" s="209"/>
      <c r="S6990" s="209"/>
      <c r="T6990" s="209"/>
    </row>
    <row r="6991" spans="1:20" ht="15" hidden="1" customHeight="1">
      <c r="A6991" s="468">
        <v>45576</v>
      </c>
      <c r="B6991" s="208" t="s">
        <v>4993</v>
      </c>
      <c r="C6991" s="208" t="s">
        <v>27</v>
      </c>
      <c r="D6991" s="211">
        <v>-679000</v>
      </c>
      <c r="E6991" s="212">
        <v>45566</v>
      </c>
      <c r="F6991" s="208" t="s">
        <v>130</v>
      </c>
      <c r="G6991" s="208" t="s">
        <v>130</v>
      </c>
      <c r="H6991" s="208" t="s">
        <v>2421</v>
      </c>
      <c r="I6991" s="208"/>
      <c r="J6991" s="209"/>
      <c r="K6991" s="209"/>
      <c r="L6991" s="209"/>
      <c r="M6991" s="209"/>
      <c r="N6991" s="209"/>
      <c r="O6991" s="209"/>
      <c r="P6991" s="209"/>
      <c r="Q6991" s="209"/>
      <c r="R6991" s="209"/>
      <c r="S6991" s="209"/>
      <c r="T6991" s="209"/>
    </row>
    <row r="6992" spans="1:20" ht="15" hidden="1" customHeight="1">
      <c r="A6992" s="468">
        <v>45576</v>
      </c>
      <c r="B6992" s="208" t="s">
        <v>4687</v>
      </c>
      <c r="C6992" s="208" t="s">
        <v>27</v>
      </c>
      <c r="D6992" s="211">
        <v>-226333</v>
      </c>
      <c r="E6992" s="212">
        <v>45566</v>
      </c>
      <c r="F6992" s="208" t="s">
        <v>110</v>
      </c>
      <c r="G6992" s="201" t="s">
        <v>1489</v>
      </c>
      <c r="H6992" s="201" t="s">
        <v>508</v>
      </c>
      <c r="I6992" s="208"/>
      <c r="J6992" s="209"/>
      <c r="K6992" s="209"/>
      <c r="L6992" s="209"/>
      <c r="M6992" s="209"/>
      <c r="N6992" s="209"/>
      <c r="O6992" s="209"/>
      <c r="P6992" s="209"/>
      <c r="Q6992" s="209"/>
      <c r="R6992" s="209"/>
      <c r="S6992" s="209"/>
      <c r="T6992" s="209"/>
    </row>
    <row r="6993" spans="1:20" ht="15" hidden="1" customHeight="1">
      <c r="A6993" s="468">
        <v>45576</v>
      </c>
      <c r="B6993" s="208" t="s">
        <v>4687</v>
      </c>
      <c r="C6993" s="208" t="s">
        <v>27</v>
      </c>
      <c r="D6993" s="211">
        <v>-226333</v>
      </c>
      <c r="E6993" s="212">
        <v>45566</v>
      </c>
      <c r="F6993" s="208" t="s">
        <v>109</v>
      </c>
      <c r="G6993" s="208" t="s">
        <v>4986</v>
      </c>
      <c r="H6993" s="201" t="s">
        <v>508</v>
      </c>
      <c r="I6993" s="208"/>
      <c r="J6993" s="209"/>
      <c r="K6993" s="209"/>
      <c r="L6993" s="209"/>
      <c r="M6993" s="209"/>
      <c r="N6993" s="209"/>
      <c r="O6993" s="209"/>
      <c r="P6993" s="209"/>
      <c r="Q6993" s="209"/>
      <c r="R6993" s="209"/>
      <c r="S6993" s="209"/>
      <c r="T6993" s="209"/>
    </row>
    <row r="6994" spans="1:20" ht="15" hidden="1" customHeight="1">
      <c r="A6994" s="468">
        <v>45576</v>
      </c>
      <c r="B6994" s="208" t="s">
        <v>4687</v>
      </c>
      <c r="C6994" s="208" t="s">
        <v>27</v>
      </c>
      <c r="D6994" s="211">
        <v>-226334</v>
      </c>
      <c r="E6994" s="212">
        <v>45566</v>
      </c>
      <c r="F6994" s="208" t="s">
        <v>109</v>
      </c>
      <c r="G6994" s="208" t="s">
        <v>4225</v>
      </c>
      <c r="H6994" s="201" t="s">
        <v>508</v>
      </c>
      <c r="I6994" s="475" t="s">
        <v>5410</v>
      </c>
      <c r="J6994" s="209"/>
      <c r="K6994" s="209"/>
      <c r="L6994" s="209"/>
      <c r="M6994" s="209"/>
      <c r="N6994" s="209"/>
      <c r="O6994" s="209"/>
      <c r="P6994" s="209"/>
      <c r="Q6994" s="209"/>
      <c r="R6994" s="209"/>
      <c r="S6994" s="209"/>
      <c r="T6994" s="209"/>
    </row>
    <row r="6995" spans="1:20" ht="15" hidden="1" customHeight="1">
      <c r="A6995" s="468">
        <v>45576</v>
      </c>
      <c r="B6995" s="208" t="s">
        <v>4681</v>
      </c>
      <c r="C6995" s="208" t="s">
        <v>27</v>
      </c>
      <c r="D6995" s="211">
        <v>-679000</v>
      </c>
      <c r="E6995" s="212">
        <v>45566</v>
      </c>
      <c r="F6995" s="208" t="s">
        <v>109</v>
      </c>
      <c r="G6995" s="208" t="s">
        <v>4986</v>
      </c>
      <c r="H6995" s="208" t="s">
        <v>147</v>
      </c>
      <c r="I6995" s="208"/>
      <c r="J6995" s="209"/>
      <c r="K6995" s="209"/>
      <c r="L6995" s="209"/>
      <c r="M6995" s="209"/>
      <c r="N6995" s="209"/>
      <c r="O6995" s="209"/>
      <c r="P6995" s="209"/>
      <c r="Q6995" s="209"/>
      <c r="R6995" s="209"/>
      <c r="S6995" s="209"/>
      <c r="T6995" s="209"/>
    </row>
    <row r="6996" spans="1:20" ht="15" hidden="1" customHeight="1">
      <c r="A6996" s="468">
        <v>45576</v>
      </c>
      <c r="B6996" s="208" t="s">
        <v>4682</v>
      </c>
      <c r="C6996" s="208" t="s">
        <v>27</v>
      </c>
      <c r="D6996" s="211">
        <v>-679000</v>
      </c>
      <c r="E6996" s="212">
        <v>45566</v>
      </c>
      <c r="F6996" s="208" t="s">
        <v>109</v>
      </c>
      <c r="G6996" s="208" t="s">
        <v>4986</v>
      </c>
      <c r="H6996" s="208" t="s">
        <v>147</v>
      </c>
      <c r="I6996" s="208"/>
      <c r="J6996" s="209"/>
      <c r="K6996" s="209"/>
      <c r="L6996" s="209"/>
      <c r="M6996" s="209"/>
      <c r="N6996" s="209"/>
      <c r="O6996" s="209"/>
      <c r="P6996" s="209"/>
      <c r="Q6996" s="209"/>
      <c r="R6996" s="209"/>
      <c r="S6996" s="209"/>
      <c r="T6996" s="209"/>
    </row>
    <row r="6997" spans="1:20" ht="15" hidden="1" customHeight="1">
      <c r="A6997" s="468">
        <v>45576</v>
      </c>
      <c r="B6997" s="208" t="s">
        <v>4683</v>
      </c>
      <c r="C6997" s="208" t="s">
        <v>27</v>
      </c>
      <c r="D6997" s="718">
        <v>-630400</v>
      </c>
      <c r="E6997" s="212">
        <v>45566</v>
      </c>
      <c r="F6997" s="208" t="s">
        <v>109</v>
      </c>
      <c r="G6997" s="201" t="s">
        <v>581</v>
      </c>
      <c r="H6997" s="208"/>
      <c r="I6997" s="208"/>
      <c r="J6997" s="209"/>
      <c r="K6997" s="209"/>
      <c r="L6997" s="209"/>
      <c r="M6997" s="209"/>
      <c r="N6997" s="209"/>
      <c r="O6997" s="209"/>
      <c r="P6997" s="209"/>
      <c r="Q6997" s="209"/>
      <c r="R6997" s="209"/>
      <c r="S6997" s="209"/>
      <c r="T6997" s="209"/>
    </row>
    <row r="6998" spans="1:20" ht="15" hidden="1" customHeight="1">
      <c r="A6998" s="468">
        <v>45576</v>
      </c>
      <c r="B6998" s="208" t="s">
        <v>4684</v>
      </c>
      <c r="C6998" s="208" t="s">
        <v>27</v>
      </c>
      <c r="D6998" s="211">
        <v>-718000</v>
      </c>
      <c r="E6998" s="212">
        <v>45566</v>
      </c>
      <c r="F6998" s="208" t="s">
        <v>110</v>
      </c>
      <c r="G6998" s="201" t="s">
        <v>1489</v>
      </c>
      <c r="H6998" s="208" t="s">
        <v>147</v>
      </c>
      <c r="I6998" s="208"/>
      <c r="J6998" s="209"/>
      <c r="K6998" s="209"/>
      <c r="L6998" s="209"/>
      <c r="M6998" s="209"/>
      <c r="N6998" s="209"/>
      <c r="O6998" s="209"/>
      <c r="P6998" s="209"/>
      <c r="Q6998" s="209"/>
      <c r="R6998" s="209"/>
      <c r="S6998" s="209"/>
      <c r="T6998" s="209"/>
    </row>
    <row r="6999" spans="1:20" ht="15" hidden="1" customHeight="1">
      <c r="A6999" s="468">
        <v>45576</v>
      </c>
      <c r="B6999" s="208" t="s">
        <v>4685</v>
      </c>
      <c r="C6999" s="208" t="s">
        <v>27</v>
      </c>
      <c r="D6999" s="211">
        <v>-679000</v>
      </c>
      <c r="E6999" s="212">
        <v>45566</v>
      </c>
      <c r="F6999" s="208" t="s">
        <v>110</v>
      </c>
      <c r="G6999" s="201" t="s">
        <v>1489</v>
      </c>
      <c r="H6999" s="208" t="s">
        <v>147</v>
      </c>
      <c r="I6999" s="208"/>
      <c r="J6999" s="209"/>
      <c r="K6999" s="209"/>
      <c r="L6999" s="209"/>
      <c r="M6999" s="209"/>
      <c r="N6999" s="209"/>
      <c r="O6999" s="209"/>
      <c r="P6999" s="209"/>
      <c r="Q6999" s="209"/>
      <c r="R6999" s="209"/>
      <c r="S6999" s="209"/>
      <c r="T6999" s="209"/>
    </row>
    <row r="7000" spans="1:20" ht="15" hidden="1" customHeight="1">
      <c r="A7000" s="468">
        <v>45576</v>
      </c>
      <c r="B7000" s="208" t="s">
        <v>4994</v>
      </c>
      <c r="C7000" s="208" t="s">
        <v>27</v>
      </c>
      <c r="D7000" s="211">
        <v>-706300</v>
      </c>
      <c r="E7000" s="212">
        <v>45566</v>
      </c>
      <c r="F7000" s="208" t="s">
        <v>130</v>
      </c>
      <c r="G7000" s="208" t="s">
        <v>130</v>
      </c>
      <c r="H7000" s="208" t="s">
        <v>2421</v>
      </c>
      <c r="I7000" s="208"/>
      <c r="J7000" s="209"/>
      <c r="K7000" s="209"/>
      <c r="L7000" s="209"/>
      <c r="M7000" s="209"/>
      <c r="N7000" s="209"/>
      <c r="O7000" s="209"/>
      <c r="P7000" s="209"/>
      <c r="Q7000" s="209"/>
      <c r="R7000" s="209"/>
      <c r="S7000" s="209"/>
      <c r="T7000" s="209"/>
    </row>
    <row r="7001" spans="1:20" ht="15" hidden="1" customHeight="1">
      <c r="A7001" s="468">
        <v>45576</v>
      </c>
      <c r="B7001" s="208" t="s">
        <v>4692</v>
      </c>
      <c r="C7001" s="208" t="s">
        <v>27</v>
      </c>
      <c r="D7001" s="718">
        <v>-679000</v>
      </c>
      <c r="E7001" s="212">
        <v>45566</v>
      </c>
      <c r="F7001" s="208" t="s">
        <v>109</v>
      </c>
      <c r="G7001" s="201" t="s">
        <v>581</v>
      </c>
      <c r="H7001" s="208"/>
      <c r="I7001" s="208"/>
      <c r="J7001" s="209"/>
      <c r="K7001" s="209"/>
      <c r="L7001" s="209"/>
      <c r="M7001" s="209"/>
      <c r="N7001" s="209"/>
      <c r="O7001" s="209"/>
      <c r="P7001" s="209"/>
      <c r="Q7001" s="209"/>
      <c r="R7001" s="209"/>
      <c r="S7001" s="209"/>
      <c r="T7001" s="209"/>
    </row>
    <row r="7002" spans="1:20" ht="15" hidden="1" customHeight="1">
      <c r="A7002" s="468">
        <v>45576</v>
      </c>
      <c r="B7002" s="208" t="s">
        <v>4693</v>
      </c>
      <c r="C7002" s="208" t="s">
        <v>27</v>
      </c>
      <c r="D7002" s="718">
        <v>-679000</v>
      </c>
      <c r="E7002" s="212">
        <v>45566</v>
      </c>
      <c r="F7002" s="208" t="s">
        <v>109</v>
      </c>
      <c r="G7002" s="201" t="s">
        <v>581</v>
      </c>
      <c r="H7002" s="208"/>
      <c r="I7002" s="208"/>
      <c r="J7002" s="209"/>
      <c r="K7002" s="209"/>
      <c r="L7002" s="209"/>
      <c r="M7002" s="209"/>
      <c r="N7002" s="209"/>
      <c r="O7002" s="209"/>
      <c r="P7002" s="209"/>
      <c r="Q7002" s="209"/>
      <c r="R7002" s="209"/>
      <c r="S7002" s="209"/>
      <c r="T7002" s="209"/>
    </row>
    <row r="7003" spans="1:20" ht="15" hidden="1" customHeight="1">
      <c r="A7003" s="468">
        <v>45576</v>
      </c>
      <c r="B7003" s="208" t="s">
        <v>4694</v>
      </c>
      <c r="C7003" s="208" t="s">
        <v>27</v>
      </c>
      <c r="D7003" s="718">
        <v>-679000</v>
      </c>
      <c r="E7003" s="212">
        <v>45566</v>
      </c>
      <c r="F7003" s="208" t="s">
        <v>109</v>
      </c>
      <c r="G7003" s="201" t="s">
        <v>581</v>
      </c>
      <c r="H7003" s="208"/>
      <c r="I7003" s="208"/>
      <c r="J7003" s="209"/>
      <c r="K7003" s="209"/>
      <c r="L7003" s="209"/>
      <c r="M7003" s="209"/>
      <c r="N7003" s="209"/>
      <c r="O7003" s="209"/>
      <c r="P7003" s="209"/>
      <c r="Q7003" s="209"/>
      <c r="R7003" s="209"/>
      <c r="S7003" s="209"/>
      <c r="T7003" s="209"/>
    </row>
    <row r="7004" spans="1:20" ht="15" hidden="1" customHeight="1">
      <c r="A7004" s="468">
        <v>45576</v>
      </c>
      <c r="B7004" s="208" t="s">
        <v>4695</v>
      </c>
      <c r="C7004" s="208" t="s">
        <v>27</v>
      </c>
      <c r="D7004" s="718">
        <v>-679000</v>
      </c>
      <c r="E7004" s="212">
        <v>45566</v>
      </c>
      <c r="F7004" s="208" t="s">
        <v>109</v>
      </c>
      <c r="G7004" s="201" t="s">
        <v>581</v>
      </c>
      <c r="H7004" s="208"/>
      <c r="I7004" s="208"/>
      <c r="J7004" s="209"/>
      <c r="K7004" s="209"/>
      <c r="L7004" s="209"/>
      <c r="M7004" s="209"/>
      <c r="N7004" s="209"/>
      <c r="O7004" s="209"/>
      <c r="P7004" s="209"/>
      <c r="Q7004" s="209"/>
      <c r="R7004" s="209"/>
      <c r="S7004" s="209"/>
      <c r="T7004" s="209"/>
    </row>
    <row r="7005" spans="1:20" ht="15" hidden="1" customHeight="1">
      <c r="A7005" s="468">
        <v>45576</v>
      </c>
      <c r="B7005" s="208" t="s">
        <v>4700</v>
      </c>
      <c r="C7005" s="208" t="s">
        <v>27</v>
      </c>
      <c r="D7005" s="718">
        <v>-679000</v>
      </c>
      <c r="E7005" s="212">
        <v>45566</v>
      </c>
      <c r="F7005" s="208" t="s">
        <v>109</v>
      </c>
      <c r="G7005" s="201" t="s">
        <v>581</v>
      </c>
      <c r="H7005" s="208"/>
      <c r="I7005" s="208"/>
      <c r="J7005" s="209"/>
      <c r="K7005" s="209"/>
      <c r="L7005" s="209"/>
      <c r="M7005" s="209"/>
      <c r="N7005" s="209"/>
      <c r="O7005" s="209"/>
      <c r="P7005" s="209"/>
      <c r="Q7005" s="209"/>
      <c r="R7005" s="209"/>
      <c r="S7005" s="209"/>
      <c r="T7005" s="209"/>
    </row>
    <row r="7006" spans="1:20" ht="15" hidden="1" customHeight="1">
      <c r="A7006" s="468">
        <v>45576</v>
      </c>
      <c r="B7006" s="208" t="s">
        <v>4995</v>
      </c>
      <c r="C7006" s="208" t="s">
        <v>27</v>
      </c>
      <c r="D7006" s="718">
        <v>-679000</v>
      </c>
      <c r="E7006" s="212">
        <v>45566</v>
      </c>
      <c r="F7006" s="208" t="s">
        <v>109</v>
      </c>
      <c r="G7006" s="201" t="s">
        <v>581</v>
      </c>
      <c r="H7006" s="208"/>
      <c r="I7006" s="208"/>
      <c r="J7006" s="209"/>
      <c r="K7006" s="209"/>
      <c r="L7006" s="209"/>
      <c r="M7006" s="209"/>
      <c r="N7006" s="209"/>
      <c r="O7006" s="209"/>
      <c r="P7006" s="209"/>
      <c r="Q7006" s="209"/>
      <c r="R7006" s="209"/>
      <c r="S7006" s="209"/>
      <c r="T7006" s="209"/>
    </row>
    <row r="7007" spans="1:20" ht="15" hidden="1" customHeight="1">
      <c r="A7007" s="468">
        <v>45576</v>
      </c>
      <c r="B7007" s="208" t="s">
        <v>4702</v>
      </c>
      <c r="C7007" s="208" t="s">
        <v>27</v>
      </c>
      <c r="D7007" s="718">
        <v>-679000</v>
      </c>
      <c r="E7007" s="212">
        <v>45566</v>
      </c>
      <c r="F7007" s="208" t="s">
        <v>109</v>
      </c>
      <c r="G7007" s="201" t="s">
        <v>581</v>
      </c>
      <c r="H7007" s="208"/>
      <c r="I7007" s="208"/>
      <c r="J7007" s="209"/>
      <c r="K7007" s="209"/>
      <c r="L7007" s="209"/>
      <c r="M7007" s="209"/>
      <c r="N7007" s="209"/>
      <c r="O7007" s="209"/>
      <c r="P7007" s="209"/>
      <c r="Q7007" s="209"/>
      <c r="R7007" s="209"/>
      <c r="S7007" s="209"/>
      <c r="T7007" s="209"/>
    </row>
    <row r="7008" spans="1:20" ht="15" hidden="1" customHeight="1">
      <c r="A7008" s="468">
        <v>45576</v>
      </c>
      <c r="B7008" s="208" t="s">
        <v>4703</v>
      </c>
      <c r="C7008" s="208" t="s">
        <v>27</v>
      </c>
      <c r="D7008" s="718">
        <v>-679000</v>
      </c>
      <c r="E7008" s="212">
        <v>45566</v>
      </c>
      <c r="F7008" s="208" t="s">
        <v>109</v>
      </c>
      <c r="G7008" s="201" t="s">
        <v>581</v>
      </c>
      <c r="H7008" s="208"/>
      <c r="I7008" s="208"/>
      <c r="J7008" s="209"/>
      <c r="K7008" s="209"/>
      <c r="L7008" s="209"/>
      <c r="M7008" s="209"/>
      <c r="N7008" s="209"/>
      <c r="O7008" s="209"/>
      <c r="P7008" s="209"/>
      <c r="Q7008" s="209"/>
      <c r="R7008" s="209"/>
      <c r="S7008" s="209"/>
      <c r="T7008" s="209"/>
    </row>
    <row r="7009" spans="1:20" ht="15" hidden="1" customHeight="1">
      <c r="A7009" s="468">
        <v>45576</v>
      </c>
      <c r="B7009" s="208" t="s">
        <v>4704</v>
      </c>
      <c r="C7009" s="208" t="s">
        <v>27</v>
      </c>
      <c r="D7009" s="718">
        <v>-679000</v>
      </c>
      <c r="E7009" s="212">
        <v>45566</v>
      </c>
      <c r="F7009" s="208" t="s">
        <v>109</v>
      </c>
      <c r="G7009" s="201" t="s">
        <v>581</v>
      </c>
      <c r="H7009" s="208"/>
      <c r="I7009" s="208"/>
      <c r="J7009" s="209"/>
      <c r="K7009" s="209"/>
      <c r="L7009" s="209"/>
      <c r="M7009" s="209"/>
      <c r="N7009" s="209"/>
      <c r="O7009" s="209"/>
      <c r="P7009" s="209"/>
      <c r="Q7009" s="209"/>
      <c r="R7009" s="209"/>
      <c r="S7009" s="209"/>
      <c r="T7009" s="209"/>
    </row>
    <row r="7010" spans="1:20" ht="15" hidden="1" customHeight="1">
      <c r="A7010" s="468">
        <v>45576</v>
      </c>
      <c r="B7010" s="208" t="s">
        <v>4705</v>
      </c>
      <c r="C7010" s="208" t="s">
        <v>27</v>
      </c>
      <c r="D7010" s="718">
        <v>-679000</v>
      </c>
      <c r="E7010" s="212">
        <v>45566</v>
      </c>
      <c r="F7010" s="208" t="s">
        <v>109</v>
      </c>
      <c r="G7010" s="201" t="s">
        <v>581</v>
      </c>
      <c r="H7010" s="208"/>
      <c r="I7010" s="208"/>
      <c r="J7010" s="209"/>
      <c r="K7010" s="209"/>
      <c r="L7010" s="209"/>
      <c r="M7010" s="209"/>
      <c r="N7010" s="209"/>
      <c r="O7010" s="209"/>
      <c r="P7010" s="209"/>
      <c r="Q7010" s="209"/>
      <c r="R7010" s="209"/>
      <c r="S7010" s="209"/>
      <c r="T7010" s="209"/>
    </row>
    <row r="7011" spans="1:20" ht="15" hidden="1" customHeight="1">
      <c r="A7011" s="468">
        <v>45576</v>
      </c>
      <c r="B7011" s="208" t="s">
        <v>4996</v>
      </c>
      <c r="C7011" s="208" t="s">
        <v>27</v>
      </c>
      <c r="D7011" s="211">
        <v>-657400</v>
      </c>
      <c r="E7011" s="212">
        <v>45566</v>
      </c>
      <c r="F7011" s="208" t="s">
        <v>109</v>
      </c>
      <c r="G7011" s="208" t="s">
        <v>4225</v>
      </c>
      <c r="H7011" s="208" t="s">
        <v>147</v>
      </c>
      <c r="I7011" s="475" t="s">
        <v>5410</v>
      </c>
      <c r="J7011" s="209"/>
      <c r="K7011" s="209"/>
      <c r="L7011" s="209"/>
      <c r="M7011" s="209"/>
      <c r="N7011" s="209"/>
      <c r="O7011" s="209"/>
      <c r="P7011" s="209"/>
      <c r="Q7011" s="209"/>
      <c r="R7011" s="209"/>
      <c r="S7011" s="209"/>
      <c r="T7011" s="209"/>
    </row>
    <row r="7012" spans="1:20" ht="15" hidden="1" customHeight="1">
      <c r="A7012" s="468">
        <v>45576</v>
      </c>
      <c r="B7012" s="208" t="s">
        <v>4997</v>
      </c>
      <c r="C7012" s="208" t="s">
        <v>27</v>
      </c>
      <c r="D7012" s="718">
        <v>-679000</v>
      </c>
      <c r="E7012" s="212">
        <v>45566</v>
      </c>
      <c r="F7012" s="208" t="s">
        <v>109</v>
      </c>
      <c r="G7012" s="201" t="s">
        <v>581</v>
      </c>
      <c r="H7012" s="208"/>
      <c r="I7012" s="208"/>
      <c r="J7012" s="209"/>
      <c r="K7012" s="209"/>
      <c r="L7012" s="209"/>
      <c r="M7012" s="209"/>
      <c r="N7012" s="209"/>
      <c r="O7012" s="209"/>
      <c r="P7012" s="209"/>
      <c r="Q7012" s="209"/>
      <c r="R7012" s="209"/>
      <c r="S7012" s="209"/>
      <c r="T7012" s="209"/>
    </row>
    <row r="7013" spans="1:20" ht="15" hidden="1" customHeight="1">
      <c r="A7013" s="468">
        <v>45576</v>
      </c>
      <c r="B7013" s="208" t="s">
        <v>4998</v>
      </c>
      <c r="C7013" s="208" t="s">
        <v>27</v>
      </c>
      <c r="D7013" s="718">
        <v>-679000</v>
      </c>
      <c r="E7013" s="212">
        <v>45566</v>
      </c>
      <c r="F7013" s="208" t="s">
        <v>109</v>
      </c>
      <c r="G7013" s="201" t="s">
        <v>581</v>
      </c>
      <c r="H7013" s="208"/>
      <c r="I7013" s="208"/>
      <c r="J7013" s="209"/>
      <c r="K7013" s="209"/>
      <c r="L7013" s="209"/>
      <c r="M7013" s="209"/>
      <c r="N7013" s="209"/>
      <c r="O7013" s="209"/>
      <c r="P7013" s="209"/>
      <c r="Q7013" s="209"/>
      <c r="R7013" s="209"/>
      <c r="S7013" s="209"/>
      <c r="T7013" s="209"/>
    </row>
    <row r="7014" spans="1:20" ht="15" hidden="1" customHeight="1">
      <c r="A7014" s="468">
        <v>45576</v>
      </c>
      <c r="B7014" s="208" t="s">
        <v>4999</v>
      </c>
      <c r="C7014" s="208" t="s">
        <v>27</v>
      </c>
      <c r="D7014" s="718">
        <v>-679000</v>
      </c>
      <c r="E7014" s="212">
        <v>45566</v>
      </c>
      <c r="F7014" s="208" t="s">
        <v>109</v>
      </c>
      <c r="G7014" s="201" t="s">
        <v>581</v>
      </c>
      <c r="H7014" s="208"/>
      <c r="I7014" s="208"/>
      <c r="J7014" s="209"/>
      <c r="K7014" s="209"/>
      <c r="L7014" s="209"/>
      <c r="M7014" s="209"/>
      <c r="N7014" s="209"/>
      <c r="O7014" s="209"/>
      <c r="P7014" s="209"/>
      <c r="Q7014" s="209"/>
      <c r="R7014" s="209"/>
      <c r="S7014" s="209"/>
      <c r="T7014" s="209"/>
    </row>
    <row r="7015" spans="1:20" ht="15" hidden="1" customHeight="1">
      <c r="A7015" s="468">
        <v>45576</v>
      </c>
      <c r="B7015" s="208" t="s">
        <v>5000</v>
      </c>
      <c r="C7015" s="208" t="s">
        <v>27</v>
      </c>
      <c r="D7015" s="718">
        <v>-679000</v>
      </c>
      <c r="E7015" s="212">
        <v>45566</v>
      </c>
      <c r="F7015" s="208" t="s">
        <v>109</v>
      </c>
      <c r="G7015" s="201" t="s">
        <v>581</v>
      </c>
      <c r="H7015" s="208"/>
      <c r="I7015" s="208"/>
      <c r="J7015" s="209"/>
      <c r="K7015" s="209"/>
      <c r="L7015" s="209"/>
      <c r="M7015" s="209"/>
      <c r="N7015" s="209"/>
      <c r="O7015" s="209"/>
      <c r="P7015" s="209"/>
      <c r="Q7015" s="209"/>
      <c r="R7015" s="209"/>
      <c r="S7015" s="209"/>
      <c r="T7015" s="209"/>
    </row>
    <row r="7016" spans="1:20" ht="15" hidden="1" customHeight="1">
      <c r="A7016" s="468">
        <v>45576</v>
      </c>
      <c r="B7016" s="208" t="s">
        <v>5651</v>
      </c>
      <c r="C7016" s="208" t="s">
        <v>27</v>
      </c>
      <c r="D7016" s="718">
        <v>-679000</v>
      </c>
      <c r="E7016" s="212">
        <v>45566</v>
      </c>
      <c r="F7016" s="208" t="s">
        <v>109</v>
      </c>
      <c r="G7016" s="201" t="s">
        <v>581</v>
      </c>
      <c r="H7016" s="208"/>
      <c r="I7016" s="208"/>
      <c r="J7016" s="209"/>
      <c r="K7016" s="209"/>
      <c r="L7016" s="209"/>
      <c r="M7016" s="209"/>
      <c r="N7016" s="209"/>
      <c r="O7016" s="209"/>
      <c r="P7016" s="209"/>
      <c r="Q7016" s="209"/>
      <c r="R7016" s="209"/>
      <c r="S7016" s="209"/>
      <c r="T7016" s="209"/>
    </row>
    <row r="7017" spans="1:20" ht="15" hidden="1" customHeight="1">
      <c r="A7017" s="468">
        <v>45576</v>
      </c>
      <c r="B7017" s="208" t="s">
        <v>5652</v>
      </c>
      <c r="C7017" s="208" t="s">
        <v>27</v>
      </c>
      <c r="D7017" s="211">
        <v>-679000</v>
      </c>
      <c r="E7017" s="212">
        <v>45566</v>
      </c>
      <c r="F7017" s="208" t="s">
        <v>109</v>
      </c>
      <c r="G7017" s="208" t="s">
        <v>4986</v>
      </c>
      <c r="H7017" s="208" t="s">
        <v>147</v>
      </c>
      <c r="I7017" s="208"/>
      <c r="J7017" s="209"/>
      <c r="K7017" s="209"/>
      <c r="L7017" s="209"/>
      <c r="M7017" s="209"/>
      <c r="N7017" s="209"/>
      <c r="O7017" s="209"/>
      <c r="P7017" s="209"/>
      <c r="Q7017" s="209"/>
      <c r="R7017" s="209"/>
      <c r="S7017" s="209"/>
      <c r="T7017" s="209"/>
    </row>
    <row r="7018" spans="1:20" ht="15" hidden="1" customHeight="1">
      <c r="A7018" s="468">
        <v>45576</v>
      </c>
      <c r="B7018" s="208" t="s">
        <v>5653</v>
      </c>
      <c r="C7018" s="208" t="s">
        <v>27</v>
      </c>
      <c r="D7018" s="211">
        <v>-679000</v>
      </c>
      <c r="E7018" s="212">
        <v>45566</v>
      </c>
      <c r="F7018" s="208" t="s">
        <v>109</v>
      </c>
      <c r="G7018" s="208" t="s">
        <v>4986</v>
      </c>
      <c r="H7018" s="208" t="s">
        <v>147</v>
      </c>
      <c r="I7018" s="208"/>
      <c r="J7018" s="209"/>
      <c r="K7018" s="209"/>
      <c r="L7018" s="209"/>
      <c r="M7018" s="209"/>
      <c r="N7018" s="209"/>
      <c r="O7018" s="209"/>
      <c r="P7018" s="209"/>
      <c r="Q7018" s="209"/>
      <c r="R7018" s="209"/>
      <c r="S7018" s="209"/>
      <c r="T7018" s="209"/>
    </row>
    <row r="7019" spans="1:20" ht="15" hidden="1" customHeight="1">
      <c r="A7019" s="468">
        <v>45576</v>
      </c>
      <c r="B7019" s="208" t="s">
        <v>5654</v>
      </c>
      <c r="C7019" s="208" t="s">
        <v>27</v>
      </c>
      <c r="D7019" s="211">
        <v>-679000</v>
      </c>
      <c r="E7019" s="212">
        <v>45566</v>
      </c>
      <c r="F7019" s="208" t="s">
        <v>109</v>
      </c>
      <c r="G7019" s="208" t="s">
        <v>4986</v>
      </c>
      <c r="H7019" s="208" t="s">
        <v>147</v>
      </c>
      <c r="I7019" s="208"/>
      <c r="J7019" s="209"/>
      <c r="K7019" s="209"/>
      <c r="L7019" s="209"/>
      <c r="M7019" s="209"/>
      <c r="N7019" s="209"/>
      <c r="O7019" s="209"/>
      <c r="P7019" s="209"/>
      <c r="Q7019" s="209"/>
      <c r="R7019" s="209"/>
      <c r="S7019" s="209"/>
      <c r="T7019" s="209"/>
    </row>
    <row r="7020" spans="1:20" ht="15" hidden="1" customHeight="1">
      <c r="A7020" s="468">
        <v>45576</v>
      </c>
      <c r="B7020" s="208" t="s">
        <v>5655</v>
      </c>
      <c r="C7020" s="208" t="s">
        <v>27</v>
      </c>
      <c r="D7020" s="211">
        <v>-679000</v>
      </c>
      <c r="E7020" s="212">
        <v>45566</v>
      </c>
      <c r="F7020" s="208" t="s">
        <v>109</v>
      </c>
      <c r="G7020" s="208" t="s">
        <v>4986</v>
      </c>
      <c r="H7020" s="208" t="s">
        <v>147</v>
      </c>
      <c r="I7020" s="208"/>
      <c r="J7020" s="209"/>
      <c r="K7020" s="209"/>
      <c r="L7020" s="209"/>
      <c r="M7020" s="209"/>
      <c r="N7020" s="209"/>
      <c r="O7020" s="209"/>
      <c r="P7020" s="209"/>
      <c r="Q7020" s="209"/>
      <c r="R7020" s="209"/>
      <c r="S7020" s="209"/>
      <c r="T7020" s="209"/>
    </row>
    <row r="7021" spans="1:20" ht="15" hidden="1" customHeight="1">
      <c r="A7021" s="468">
        <v>45576</v>
      </c>
      <c r="B7021" s="208" t="s">
        <v>5656</v>
      </c>
      <c r="C7021" s="208" t="s">
        <v>27</v>
      </c>
      <c r="D7021" s="211">
        <v>-679000</v>
      </c>
      <c r="E7021" s="212">
        <v>45566</v>
      </c>
      <c r="F7021" s="208" t="s">
        <v>109</v>
      </c>
      <c r="G7021" s="208" t="s">
        <v>4986</v>
      </c>
      <c r="H7021" s="208" t="s">
        <v>147</v>
      </c>
      <c r="I7021" s="208"/>
      <c r="J7021" s="209"/>
      <c r="K7021" s="209"/>
      <c r="L7021" s="209"/>
      <c r="M7021" s="209"/>
      <c r="N7021" s="209"/>
      <c r="O7021" s="209"/>
      <c r="P7021" s="209"/>
      <c r="Q7021" s="209"/>
      <c r="R7021" s="209"/>
      <c r="S7021" s="209"/>
      <c r="T7021" s="209"/>
    </row>
    <row r="7022" spans="1:20" ht="15" hidden="1" customHeight="1">
      <c r="A7022" s="468">
        <v>45576</v>
      </c>
      <c r="B7022" s="208" t="s">
        <v>5657</v>
      </c>
      <c r="C7022" s="208" t="s">
        <v>27</v>
      </c>
      <c r="D7022" s="211">
        <v>-771000</v>
      </c>
      <c r="E7022" s="212">
        <v>45566</v>
      </c>
      <c r="F7022" s="208" t="s">
        <v>110</v>
      </c>
      <c r="G7022" s="208" t="s">
        <v>5503</v>
      </c>
      <c r="H7022" s="208" t="s">
        <v>147</v>
      </c>
      <c r="I7022" s="208"/>
      <c r="J7022" s="209"/>
      <c r="K7022" s="209"/>
      <c r="L7022" s="209"/>
      <c r="M7022" s="209"/>
      <c r="N7022" s="209"/>
      <c r="O7022" s="209"/>
      <c r="P7022" s="209"/>
      <c r="Q7022" s="209"/>
      <c r="R7022" s="209"/>
      <c r="S7022" s="209"/>
      <c r="T7022" s="209"/>
    </row>
    <row r="7023" spans="1:20" ht="15" hidden="1" customHeight="1">
      <c r="A7023" s="468">
        <v>45576</v>
      </c>
      <c r="B7023" s="208" t="s">
        <v>5658</v>
      </c>
      <c r="C7023" s="208" t="s">
        <v>27</v>
      </c>
      <c r="D7023" s="211">
        <v>-771000</v>
      </c>
      <c r="E7023" s="212">
        <v>45566</v>
      </c>
      <c r="F7023" s="208" t="s">
        <v>110</v>
      </c>
      <c r="G7023" s="208" t="s">
        <v>5503</v>
      </c>
      <c r="H7023" s="208" t="s">
        <v>147</v>
      </c>
      <c r="I7023" s="208"/>
      <c r="J7023" s="209"/>
      <c r="K7023" s="209"/>
      <c r="L7023" s="209"/>
      <c r="M7023" s="209"/>
      <c r="N7023" s="209"/>
      <c r="O7023" s="209"/>
      <c r="P7023" s="209"/>
      <c r="Q7023" s="209"/>
      <c r="R7023" s="209"/>
      <c r="S7023" s="209"/>
      <c r="T7023" s="209"/>
    </row>
    <row r="7024" spans="1:20" ht="15" hidden="1" customHeight="1">
      <c r="A7024" s="468">
        <v>45576</v>
      </c>
      <c r="B7024" s="208" t="s">
        <v>5659</v>
      </c>
      <c r="C7024" s="208" t="s">
        <v>27</v>
      </c>
      <c r="D7024" s="802">
        <v>-588466.66666666674</v>
      </c>
      <c r="E7024" s="212">
        <v>45566</v>
      </c>
      <c r="F7024" s="208" t="s">
        <v>109</v>
      </c>
      <c r="G7024" s="201" t="s">
        <v>581</v>
      </c>
      <c r="H7024" s="208"/>
      <c r="I7024" s="208"/>
      <c r="J7024" s="209"/>
      <c r="K7024" s="209"/>
      <c r="L7024" s="209"/>
      <c r="M7024" s="209"/>
      <c r="N7024" s="209"/>
      <c r="O7024" s="209"/>
      <c r="P7024" s="209"/>
      <c r="Q7024" s="209"/>
      <c r="R7024" s="209"/>
      <c r="S7024" s="209"/>
      <c r="T7024" s="209"/>
    </row>
    <row r="7025" spans="1:20" ht="15" hidden="1" customHeight="1">
      <c r="A7025" s="468">
        <v>45576</v>
      </c>
      <c r="B7025" s="208" t="s">
        <v>5660</v>
      </c>
      <c r="C7025" s="208" t="s">
        <v>27</v>
      </c>
      <c r="D7025" s="802">
        <v>-588466.66666666674</v>
      </c>
      <c r="E7025" s="212">
        <v>45566</v>
      </c>
      <c r="F7025" s="208" t="s">
        <v>109</v>
      </c>
      <c r="G7025" s="201" t="s">
        <v>581</v>
      </c>
      <c r="H7025" s="208"/>
      <c r="I7025" s="208"/>
      <c r="J7025" s="209"/>
      <c r="K7025" s="209"/>
      <c r="L7025" s="209"/>
      <c r="M7025" s="209"/>
      <c r="N7025" s="209"/>
      <c r="O7025" s="209"/>
      <c r="P7025" s="209"/>
      <c r="Q7025" s="209"/>
      <c r="R7025" s="209"/>
      <c r="S7025" s="209"/>
      <c r="T7025" s="209"/>
    </row>
    <row r="7026" spans="1:20" ht="15" hidden="1" customHeight="1">
      <c r="A7026" s="468">
        <v>45576</v>
      </c>
      <c r="B7026" s="208" t="s">
        <v>5661</v>
      </c>
      <c r="C7026" s="208" t="s">
        <v>27</v>
      </c>
      <c r="D7026" s="802">
        <v>-588466.66666666674</v>
      </c>
      <c r="E7026" s="212">
        <v>45566</v>
      </c>
      <c r="F7026" s="208" t="s">
        <v>109</v>
      </c>
      <c r="G7026" s="201" t="s">
        <v>581</v>
      </c>
      <c r="H7026" s="208"/>
      <c r="I7026" s="208"/>
      <c r="J7026" s="209"/>
      <c r="K7026" s="209"/>
      <c r="L7026" s="209"/>
      <c r="M7026" s="209"/>
      <c r="N7026" s="209"/>
      <c r="O7026" s="209"/>
      <c r="P7026" s="209"/>
      <c r="Q7026" s="209"/>
      <c r="R7026" s="209"/>
      <c r="S7026" s="209"/>
      <c r="T7026" s="209"/>
    </row>
    <row r="7027" spans="1:20" ht="15" hidden="1" customHeight="1">
      <c r="A7027" s="468">
        <v>45576</v>
      </c>
      <c r="B7027" s="208" t="s">
        <v>5662</v>
      </c>
      <c r="C7027" s="208" t="s">
        <v>27</v>
      </c>
      <c r="D7027" s="802">
        <v>-588466.66666666674</v>
      </c>
      <c r="E7027" s="212">
        <v>45566</v>
      </c>
      <c r="F7027" s="208" t="s">
        <v>109</v>
      </c>
      <c r="G7027" s="201" t="s">
        <v>581</v>
      </c>
      <c r="H7027" s="208"/>
      <c r="I7027" s="208"/>
      <c r="J7027" s="209"/>
      <c r="K7027" s="209"/>
      <c r="L7027" s="209"/>
      <c r="M7027" s="209"/>
      <c r="N7027" s="209"/>
      <c r="O7027" s="209"/>
      <c r="P7027" s="209"/>
      <c r="Q7027" s="209"/>
      <c r="R7027" s="209"/>
      <c r="S7027" s="209"/>
      <c r="T7027" s="209"/>
    </row>
    <row r="7028" spans="1:20" ht="15" hidden="1" customHeight="1">
      <c r="A7028" s="468">
        <v>45576</v>
      </c>
      <c r="B7028" s="208" t="s">
        <v>5663</v>
      </c>
      <c r="C7028" s="208" t="s">
        <v>27</v>
      </c>
      <c r="D7028" s="211">
        <v>-219000</v>
      </c>
      <c r="E7028" s="212">
        <v>45566</v>
      </c>
      <c r="F7028" s="208" t="s">
        <v>130</v>
      </c>
      <c r="G7028" s="208" t="s">
        <v>130</v>
      </c>
      <c r="H7028" s="208" t="s">
        <v>2444</v>
      </c>
      <c r="I7028" s="208"/>
      <c r="J7028" s="209"/>
      <c r="K7028" s="209"/>
      <c r="L7028" s="209"/>
      <c r="M7028" s="209"/>
      <c r="N7028" s="209"/>
      <c r="O7028" s="209"/>
      <c r="P7028" s="209"/>
      <c r="Q7028" s="209"/>
      <c r="R7028" s="209"/>
      <c r="S7028" s="209"/>
      <c r="T7028" s="209"/>
    </row>
    <row r="7029" spans="1:20" ht="15" hidden="1" customHeight="1">
      <c r="A7029" s="468">
        <v>45576</v>
      </c>
      <c r="B7029" s="208" t="s">
        <v>5664</v>
      </c>
      <c r="C7029" s="208" t="s">
        <v>27</v>
      </c>
      <c r="D7029" s="211">
        <v>-1450000</v>
      </c>
      <c r="E7029" s="212">
        <v>45566</v>
      </c>
      <c r="F7029" s="208" t="s">
        <v>130</v>
      </c>
      <c r="G7029" s="208" t="s">
        <v>130</v>
      </c>
      <c r="H7029" s="208" t="s">
        <v>852</v>
      </c>
      <c r="I7029" s="208"/>
      <c r="J7029" s="209"/>
      <c r="K7029" s="209"/>
      <c r="L7029" s="209"/>
      <c r="M7029" s="209"/>
      <c r="N7029" s="209"/>
      <c r="O7029" s="209"/>
      <c r="P7029" s="209"/>
      <c r="Q7029" s="209"/>
      <c r="R7029" s="209"/>
      <c r="S7029" s="209"/>
      <c r="T7029" s="209"/>
    </row>
    <row r="7030" spans="1:20" ht="15" hidden="1" customHeight="1">
      <c r="A7030" s="468">
        <v>45576</v>
      </c>
      <c r="B7030" s="208" t="s">
        <v>5665</v>
      </c>
      <c r="C7030" s="208" t="s">
        <v>27</v>
      </c>
      <c r="D7030" s="211">
        <v>-679000</v>
      </c>
      <c r="E7030" s="212">
        <v>45566</v>
      </c>
      <c r="F7030" s="208" t="s">
        <v>109</v>
      </c>
      <c r="G7030" s="201" t="s">
        <v>581</v>
      </c>
      <c r="H7030" s="208"/>
      <c r="I7030" s="208"/>
      <c r="J7030" s="209"/>
      <c r="K7030" s="209"/>
      <c r="L7030" s="209"/>
      <c r="M7030" s="209"/>
      <c r="N7030" s="209"/>
      <c r="O7030" s="209"/>
      <c r="P7030" s="209"/>
      <c r="Q7030" s="209"/>
      <c r="R7030" s="209"/>
      <c r="S7030" s="209"/>
      <c r="T7030" s="209"/>
    </row>
    <row r="7031" spans="1:20" ht="15" hidden="1" customHeight="1">
      <c r="A7031" s="468">
        <v>45576</v>
      </c>
      <c r="B7031" s="790" t="s">
        <v>5666</v>
      </c>
      <c r="C7031" s="208" t="s">
        <v>27</v>
      </c>
      <c r="D7031" s="211">
        <v>-507515</v>
      </c>
      <c r="E7031" s="212">
        <v>45566</v>
      </c>
      <c r="F7031" s="208" t="s">
        <v>109</v>
      </c>
      <c r="G7031" s="208" t="s">
        <v>10</v>
      </c>
      <c r="H7031" s="208"/>
      <c r="I7031" s="208"/>
      <c r="J7031" s="209"/>
      <c r="K7031" s="209"/>
      <c r="L7031" s="209"/>
      <c r="M7031" s="209"/>
      <c r="N7031" s="209"/>
      <c r="O7031" s="209"/>
      <c r="P7031" s="209"/>
      <c r="Q7031" s="209"/>
      <c r="R7031" s="209"/>
      <c r="S7031" s="209"/>
      <c r="T7031" s="209"/>
    </row>
    <row r="7032" spans="1:20" ht="15" hidden="1" customHeight="1">
      <c r="A7032" s="468">
        <v>45576</v>
      </c>
      <c r="B7032" s="208" t="s">
        <v>5667</v>
      </c>
      <c r="C7032" s="208" t="s">
        <v>3331</v>
      </c>
      <c r="D7032" s="211">
        <v>-1629835</v>
      </c>
      <c r="E7032" s="212">
        <v>45566</v>
      </c>
      <c r="F7032" s="208" t="s">
        <v>110</v>
      </c>
      <c r="G7032" s="208" t="s">
        <v>5503</v>
      </c>
      <c r="H7032" s="208" t="s">
        <v>175</v>
      </c>
      <c r="I7032" s="208"/>
      <c r="J7032" s="209"/>
      <c r="K7032" s="209"/>
      <c r="L7032" s="209"/>
      <c r="M7032" s="209"/>
      <c r="N7032" s="209"/>
      <c r="O7032" s="209"/>
      <c r="P7032" s="209"/>
      <c r="Q7032" s="209"/>
      <c r="R7032" s="209"/>
      <c r="S7032" s="209"/>
      <c r="T7032" s="209"/>
    </row>
    <row r="7033" spans="1:20" ht="15" hidden="1" customHeight="1">
      <c r="A7033" s="468">
        <v>45576</v>
      </c>
      <c r="B7033" s="208" t="s">
        <v>5668</v>
      </c>
      <c r="C7033" s="208" t="s">
        <v>3331</v>
      </c>
      <c r="D7033" s="211">
        <v>60000</v>
      </c>
      <c r="E7033" s="212">
        <v>45566</v>
      </c>
      <c r="F7033" s="208" t="s">
        <v>130</v>
      </c>
      <c r="G7033" s="208" t="s">
        <v>130</v>
      </c>
      <c r="H7033" s="208" t="s">
        <v>2444</v>
      </c>
      <c r="I7033" s="208"/>
      <c r="J7033" s="209"/>
      <c r="K7033" s="209"/>
      <c r="L7033" s="209"/>
      <c r="M7033" s="209"/>
      <c r="N7033" s="209"/>
      <c r="O7033" s="209"/>
      <c r="P7033" s="209"/>
      <c r="Q7033" s="209"/>
      <c r="R7033" s="209"/>
      <c r="S7033" s="209"/>
      <c r="T7033" s="209"/>
    </row>
    <row r="7034" spans="1:20" ht="13.2" hidden="1" customHeight="1">
      <c r="A7034" s="468">
        <v>45572</v>
      </c>
      <c r="B7034" s="208" t="s">
        <v>5669</v>
      </c>
      <c r="C7034" s="208" t="s">
        <v>3331</v>
      </c>
      <c r="D7034" s="211">
        <v>-60000</v>
      </c>
      <c r="E7034" s="212">
        <v>45566</v>
      </c>
      <c r="F7034" s="208" t="s">
        <v>110</v>
      </c>
      <c r="G7034" s="208" t="s">
        <v>5503</v>
      </c>
      <c r="H7034" s="81" t="s">
        <v>138</v>
      </c>
      <c r="I7034" s="208" t="s">
        <v>47</v>
      </c>
      <c r="J7034" s="209"/>
      <c r="K7034" s="209"/>
      <c r="L7034" s="209"/>
      <c r="M7034" s="209"/>
      <c r="N7034" s="209"/>
      <c r="O7034" s="209"/>
      <c r="P7034" s="209"/>
      <c r="Q7034" s="209"/>
      <c r="R7034" s="209"/>
      <c r="S7034" s="209"/>
      <c r="T7034" s="209"/>
    </row>
    <row r="7035" spans="1:20" ht="15" hidden="1" customHeight="1">
      <c r="A7035" s="468">
        <v>45572</v>
      </c>
      <c r="B7035" s="208" t="s">
        <v>5670</v>
      </c>
      <c r="C7035" s="208" t="s">
        <v>3331</v>
      </c>
      <c r="D7035" s="211">
        <v>-10000</v>
      </c>
      <c r="E7035" s="212">
        <v>45566</v>
      </c>
      <c r="F7035" s="208" t="s">
        <v>110</v>
      </c>
      <c r="G7035" s="208" t="s">
        <v>5503</v>
      </c>
      <c r="H7035" s="208" t="s">
        <v>147</v>
      </c>
      <c r="I7035" s="208" t="s">
        <v>47</v>
      </c>
      <c r="J7035" s="209"/>
      <c r="K7035" s="209"/>
      <c r="L7035" s="209"/>
      <c r="M7035" s="209"/>
      <c r="N7035" s="209"/>
      <c r="O7035" s="209"/>
      <c r="P7035" s="209"/>
      <c r="Q7035" s="209"/>
      <c r="R7035" s="209"/>
      <c r="S7035" s="209"/>
      <c r="T7035" s="209"/>
    </row>
    <row r="7036" spans="1:20" ht="15" hidden="1" customHeight="1">
      <c r="A7036" s="468">
        <v>45572</v>
      </c>
      <c r="B7036" s="208" t="s">
        <v>5671</v>
      </c>
      <c r="C7036" s="208" t="s">
        <v>3331</v>
      </c>
      <c r="D7036" s="211">
        <v>-20800</v>
      </c>
      <c r="E7036" s="212">
        <v>45566</v>
      </c>
      <c r="F7036" s="208" t="s">
        <v>110</v>
      </c>
      <c r="G7036" s="208" t="s">
        <v>5503</v>
      </c>
      <c r="H7036" s="208" t="s">
        <v>147</v>
      </c>
      <c r="I7036" s="208" t="s">
        <v>47</v>
      </c>
      <c r="J7036" s="209"/>
      <c r="K7036" s="209"/>
      <c r="L7036" s="209"/>
      <c r="M7036" s="209"/>
      <c r="N7036" s="209"/>
      <c r="O7036" s="209"/>
      <c r="P7036" s="209"/>
      <c r="Q7036" s="209"/>
      <c r="R7036" s="209"/>
      <c r="S7036" s="209"/>
      <c r="T7036" s="209"/>
    </row>
    <row r="7037" spans="1:20" ht="15" hidden="1" customHeight="1">
      <c r="A7037" s="468">
        <v>45572</v>
      </c>
      <c r="B7037" s="208" t="s">
        <v>5672</v>
      </c>
      <c r="C7037" s="208" t="s">
        <v>3331</v>
      </c>
      <c r="D7037" s="211">
        <v>-213999</v>
      </c>
      <c r="E7037" s="212">
        <v>45566</v>
      </c>
      <c r="F7037" s="208" t="s">
        <v>110</v>
      </c>
      <c r="G7037" s="208" t="s">
        <v>5503</v>
      </c>
      <c r="H7037" s="208" t="s">
        <v>147</v>
      </c>
      <c r="I7037" s="208" t="s">
        <v>47</v>
      </c>
      <c r="J7037" s="209"/>
      <c r="K7037" s="209"/>
      <c r="L7037" s="209"/>
      <c r="M7037" s="209"/>
      <c r="N7037" s="209"/>
      <c r="O7037" s="209"/>
      <c r="P7037" s="209"/>
      <c r="Q7037" s="209"/>
      <c r="R7037" s="209"/>
      <c r="S7037" s="209"/>
      <c r="T7037" s="209"/>
    </row>
    <row r="7038" spans="1:20" ht="15" hidden="1" customHeight="1">
      <c r="A7038" s="468">
        <v>45573</v>
      </c>
      <c r="B7038" s="208" t="s">
        <v>5673</v>
      </c>
      <c r="C7038" s="208" t="s">
        <v>3331</v>
      </c>
      <c r="D7038" s="211">
        <v>-13300</v>
      </c>
      <c r="E7038" s="212">
        <v>45566</v>
      </c>
      <c r="F7038" s="208" t="s">
        <v>110</v>
      </c>
      <c r="G7038" s="208" t="s">
        <v>5503</v>
      </c>
      <c r="H7038" s="81" t="s">
        <v>138</v>
      </c>
      <c r="I7038" s="208" t="s">
        <v>47</v>
      </c>
      <c r="J7038" s="209"/>
      <c r="K7038" s="209"/>
      <c r="L7038" s="209"/>
      <c r="M7038" s="209"/>
      <c r="N7038" s="209"/>
      <c r="O7038" s="209"/>
      <c r="P7038" s="209"/>
      <c r="Q7038" s="209"/>
      <c r="R7038" s="209"/>
      <c r="S7038" s="209"/>
      <c r="T7038" s="209"/>
    </row>
    <row r="7039" spans="1:20" ht="15" hidden="1" customHeight="1">
      <c r="A7039" s="468">
        <v>45573</v>
      </c>
      <c r="B7039" s="208" t="s">
        <v>5665</v>
      </c>
      <c r="C7039" s="208" t="s">
        <v>3331</v>
      </c>
      <c r="D7039" s="211">
        <v>-160000</v>
      </c>
      <c r="E7039" s="212">
        <v>45566</v>
      </c>
      <c r="F7039" s="208" t="s">
        <v>110</v>
      </c>
      <c r="G7039" s="208" t="s">
        <v>5503</v>
      </c>
      <c r="H7039" s="81" t="s">
        <v>138</v>
      </c>
      <c r="I7039" s="208" t="s">
        <v>47</v>
      </c>
      <c r="J7039" s="209"/>
      <c r="K7039" s="209"/>
      <c r="L7039" s="209"/>
      <c r="M7039" s="209"/>
      <c r="N7039" s="209"/>
      <c r="O7039" s="209"/>
      <c r="P7039" s="209"/>
      <c r="Q7039" s="209"/>
      <c r="R7039" s="209"/>
      <c r="S7039" s="209"/>
      <c r="T7039" s="209"/>
    </row>
    <row r="7040" spans="1:20" ht="15" hidden="1" customHeight="1">
      <c r="A7040" s="468">
        <v>45573</v>
      </c>
      <c r="B7040" s="208" t="s">
        <v>5674</v>
      </c>
      <c r="C7040" s="208" t="s">
        <v>3331</v>
      </c>
      <c r="D7040" s="211">
        <v>-10000</v>
      </c>
      <c r="E7040" s="212">
        <v>45566</v>
      </c>
      <c r="F7040" s="208" t="s">
        <v>110</v>
      </c>
      <c r="G7040" s="208" t="s">
        <v>5503</v>
      </c>
      <c r="H7040" s="208" t="s">
        <v>147</v>
      </c>
      <c r="I7040" s="208" t="s">
        <v>47</v>
      </c>
      <c r="J7040" s="209"/>
      <c r="K7040" s="209"/>
      <c r="L7040" s="209"/>
      <c r="M7040" s="209"/>
      <c r="N7040" s="209"/>
      <c r="O7040" s="209"/>
      <c r="P7040" s="209"/>
      <c r="Q7040" s="209"/>
      <c r="R7040" s="209"/>
      <c r="S7040" s="209"/>
      <c r="T7040" s="209"/>
    </row>
    <row r="7041" spans="1:20" ht="15" hidden="1" customHeight="1">
      <c r="A7041" s="468">
        <v>45573</v>
      </c>
      <c r="B7041" s="208" t="s">
        <v>5675</v>
      </c>
      <c r="C7041" s="208" t="s">
        <v>3331</v>
      </c>
      <c r="D7041" s="211">
        <v>-16000</v>
      </c>
      <c r="E7041" s="212">
        <v>45566</v>
      </c>
      <c r="F7041" s="208" t="s">
        <v>110</v>
      </c>
      <c r="G7041" s="208" t="s">
        <v>5503</v>
      </c>
      <c r="H7041" s="208" t="s">
        <v>147</v>
      </c>
      <c r="I7041" s="208" t="s">
        <v>47</v>
      </c>
      <c r="J7041" s="209"/>
      <c r="K7041" s="209"/>
      <c r="L7041" s="209"/>
      <c r="M7041" s="209"/>
      <c r="N7041" s="209"/>
      <c r="O7041" s="209"/>
      <c r="P7041" s="209"/>
      <c r="Q7041" s="209"/>
      <c r="R7041" s="209"/>
      <c r="S7041" s="209"/>
      <c r="T7041" s="209"/>
    </row>
    <row r="7042" spans="1:20" ht="15" hidden="1" customHeight="1">
      <c r="A7042" s="468">
        <v>45573</v>
      </c>
      <c r="B7042" s="208" t="s">
        <v>5676</v>
      </c>
      <c r="C7042" s="208" t="s">
        <v>3331</v>
      </c>
      <c r="D7042" s="211">
        <v>-14600</v>
      </c>
      <c r="E7042" s="212">
        <v>45566</v>
      </c>
      <c r="F7042" s="208" t="s">
        <v>110</v>
      </c>
      <c r="G7042" s="208" t="s">
        <v>5503</v>
      </c>
      <c r="H7042" s="81" t="s">
        <v>138</v>
      </c>
      <c r="I7042" s="208" t="s">
        <v>47</v>
      </c>
      <c r="J7042" s="209"/>
      <c r="K7042" s="209"/>
      <c r="L7042" s="209"/>
      <c r="M7042" s="209"/>
      <c r="N7042" s="209"/>
      <c r="O7042" s="209"/>
      <c r="P7042" s="209"/>
      <c r="Q7042" s="209"/>
      <c r="R7042" s="209"/>
      <c r="S7042" s="209"/>
      <c r="T7042" s="209"/>
    </row>
    <row r="7043" spans="1:20" ht="15" hidden="1" customHeight="1">
      <c r="A7043" s="468">
        <v>45574</v>
      </c>
      <c r="B7043" s="208" t="s">
        <v>5677</v>
      </c>
      <c r="C7043" s="208" t="s">
        <v>3331</v>
      </c>
      <c r="D7043" s="211">
        <v>-12700</v>
      </c>
      <c r="E7043" s="212">
        <v>45566</v>
      </c>
      <c r="F7043" s="208" t="s">
        <v>110</v>
      </c>
      <c r="G7043" s="208" t="s">
        <v>5503</v>
      </c>
      <c r="H7043" s="81" t="s">
        <v>138</v>
      </c>
      <c r="I7043" s="208" t="s">
        <v>47</v>
      </c>
      <c r="J7043" s="209"/>
      <c r="K7043" s="209"/>
      <c r="L7043" s="209"/>
      <c r="M7043" s="209"/>
      <c r="N7043" s="209"/>
      <c r="O7043" s="209"/>
      <c r="P7043" s="209"/>
      <c r="Q7043" s="209"/>
      <c r="R7043" s="209"/>
      <c r="S7043" s="209"/>
      <c r="T7043" s="209"/>
    </row>
    <row r="7044" spans="1:20" ht="15" hidden="1" customHeight="1">
      <c r="A7044" s="468">
        <v>45574</v>
      </c>
      <c r="B7044" s="208" t="s">
        <v>2149</v>
      </c>
      <c r="C7044" s="208" t="s">
        <v>3331</v>
      </c>
      <c r="D7044" s="211">
        <v>-10000</v>
      </c>
      <c r="E7044" s="212">
        <v>45566</v>
      </c>
      <c r="F7044" s="208" t="s">
        <v>110</v>
      </c>
      <c r="G7044" s="208" t="s">
        <v>5503</v>
      </c>
      <c r="H7044" s="208" t="s">
        <v>147</v>
      </c>
      <c r="I7044" s="208" t="s">
        <v>47</v>
      </c>
      <c r="J7044" s="209"/>
      <c r="K7044" s="209"/>
      <c r="L7044" s="209"/>
      <c r="M7044" s="209"/>
      <c r="N7044" s="209"/>
      <c r="O7044" s="209"/>
      <c r="P7044" s="209"/>
      <c r="Q7044" s="209"/>
      <c r="R7044" s="209"/>
      <c r="S7044" s="209"/>
      <c r="T7044" s="209"/>
    </row>
    <row r="7045" spans="1:20" ht="15" hidden="1" customHeight="1">
      <c r="A7045" s="468">
        <v>45574</v>
      </c>
      <c r="B7045" s="208" t="s">
        <v>5678</v>
      </c>
      <c r="C7045" s="208" t="s">
        <v>3331</v>
      </c>
      <c r="D7045" s="211">
        <v>-70000</v>
      </c>
      <c r="E7045" s="212">
        <v>45566</v>
      </c>
      <c r="F7045" s="208" t="s">
        <v>110</v>
      </c>
      <c r="G7045" s="208" t="s">
        <v>5503</v>
      </c>
      <c r="H7045" s="208" t="s">
        <v>147</v>
      </c>
      <c r="I7045" s="208" t="s">
        <v>47</v>
      </c>
      <c r="J7045" s="209"/>
      <c r="K7045" s="209"/>
      <c r="L7045" s="209"/>
      <c r="M7045" s="209"/>
      <c r="N7045" s="209"/>
      <c r="O7045" s="209"/>
      <c r="P7045" s="209"/>
      <c r="Q7045" s="209"/>
      <c r="R7045" s="209"/>
      <c r="S7045" s="209"/>
      <c r="T7045" s="209"/>
    </row>
    <row r="7046" spans="1:20" ht="15" hidden="1" customHeight="1">
      <c r="A7046" s="468">
        <v>45574</v>
      </c>
      <c r="B7046" s="208" t="s">
        <v>5676</v>
      </c>
      <c r="C7046" s="208" t="s">
        <v>3331</v>
      </c>
      <c r="D7046" s="211">
        <v>-11400</v>
      </c>
      <c r="E7046" s="212">
        <v>45566</v>
      </c>
      <c r="F7046" s="208" t="s">
        <v>110</v>
      </c>
      <c r="G7046" s="208" t="s">
        <v>5503</v>
      </c>
      <c r="H7046" s="81" t="s">
        <v>138</v>
      </c>
      <c r="I7046" s="208" t="s">
        <v>47</v>
      </c>
      <c r="J7046" s="209"/>
      <c r="K7046" s="209"/>
      <c r="L7046" s="209"/>
      <c r="M7046" s="209"/>
      <c r="N7046" s="209"/>
      <c r="O7046" s="209"/>
      <c r="P7046" s="209"/>
      <c r="Q7046" s="209"/>
      <c r="R7046" s="209"/>
      <c r="S7046" s="209"/>
      <c r="T7046" s="209"/>
    </row>
    <row r="7047" spans="1:20" ht="15" hidden="1" customHeight="1">
      <c r="A7047" s="468">
        <v>45565</v>
      </c>
      <c r="B7047" s="208" t="s">
        <v>5679</v>
      </c>
      <c r="C7047" s="208" t="s">
        <v>3331</v>
      </c>
      <c r="D7047" s="211">
        <v>-12000</v>
      </c>
      <c r="E7047" s="212">
        <v>45566</v>
      </c>
      <c r="F7047" s="208" t="s">
        <v>109</v>
      </c>
      <c r="G7047" s="208" t="s">
        <v>10</v>
      </c>
      <c r="H7047" s="81" t="s">
        <v>138</v>
      </c>
      <c r="I7047" s="208" t="s">
        <v>47</v>
      </c>
      <c r="J7047" s="209"/>
      <c r="K7047" s="209"/>
      <c r="L7047" s="209"/>
      <c r="M7047" s="209"/>
      <c r="N7047" s="209"/>
      <c r="O7047" s="209"/>
      <c r="P7047" s="209"/>
      <c r="Q7047" s="209"/>
      <c r="R7047" s="209"/>
      <c r="S7047" s="209"/>
      <c r="T7047" s="209"/>
    </row>
    <row r="7048" spans="1:20" ht="15" hidden="1" customHeight="1">
      <c r="A7048" s="468">
        <v>45569</v>
      </c>
      <c r="B7048" s="208" t="s">
        <v>5680</v>
      </c>
      <c r="C7048" s="208" t="s">
        <v>3331</v>
      </c>
      <c r="D7048" s="211">
        <v>-25400</v>
      </c>
      <c r="E7048" s="212">
        <v>45566</v>
      </c>
      <c r="F7048" s="208" t="s">
        <v>109</v>
      </c>
      <c r="G7048" s="208" t="s">
        <v>10</v>
      </c>
      <c r="H7048" s="208" t="s">
        <v>147</v>
      </c>
      <c r="I7048" s="208" t="s">
        <v>47</v>
      </c>
      <c r="J7048" s="209"/>
      <c r="K7048" s="209"/>
      <c r="L7048" s="209"/>
      <c r="M7048" s="209"/>
      <c r="N7048" s="209"/>
      <c r="O7048" s="209"/>
      <c r="P7048" s="209"/>
      <c r="Q7048" s="209"/>
      <c r="R7048" s="209"/>
      <c r="S7048" s="209"/>
      <c r="T7048" s="209"/>
    </row>
    <row r="7049" spans="1:20" ht="15" hidden="1" customHeight="1">
      <c r="A7049" s="468">
        <v>45569</v>
      </c>
      <c r="B7049" s="208" t="s">
        <v>5681</v>
      </c>
      <c r="C7049" s="208" t="s">
        <v>3331</v>
      </c>
      <c r="D7049" s="211">
        <v>-84500</v>
      </c>
      <c r="E7049" s="212">
        <v>45566</v>
      </c>
      <c r="F7049" s="208" t="s">
        <v>109</v>
      </c>
      <c r="G7049" s="208" t="s">
        <v>10</v>
      </c>
      <c r="H7049" s="208" t="s">
        <v>147</v>
      </c>
      <c r="I7049" s="208" t="s">
        <v>47</v>
      </c>
      <c r="J7049" s="209"/>
      <c r="K7049" s="209"/>
      <c r="L7049" s="209"/>
      <c r="M7049" s="209"/>
      <c r="N7049" s="209"/>
      <c r="O7049" s="209"/>
      <c r="P7049" s="209"/>
      <c r="Q7049" s="209"/>
      <c r="R7049" s="209"/>
      <c r="S7049" s="209"/>
      <c r="T7049" s="209"/>
    </row>
    <row r="7050" spans="1:20" ht="15" hidden="1" customHeight="1">
      <c r="A7050" s="468">
        <v>45569</v>
      </c>
      <c r="B7050" s="208" t="s">
        <v>5682</v>
      </c>
      <c r="C7050" s="208" t="s">
        <v>3331</v>
      </c>
      <c r="D7050" s="211">
        <v>-37401</v>
      </c>
      <c r="E7050" s="212">
        <v>45566</v>
      </c>
      <c r="F7050" s="208" t="s">
        <v>109</v>
      </c>
      <c r="G7050" s="208" t="s">
        <v>10</v>
      </c>
      <c r="H7050" s="81" t="s">
        <v>138</v>
      </c>
      <c r="I7050" s="208"/>
      <c r="J7050" s="209"/>
      <c r="K7050" s="209"/>
      <c r="L7050" s="209"/>
      <c r="M7050" s="209"/>
      <c r="N7050" s="209"/>
      <c r="O7050" s="209"/>
      <c r="P7050" s="209"/>
      <c r="Q7050" s="209"/>
      <c r="R7050" s="209"/>
      <c r="S7050" s="209"/>
      <c r="T7050" s="209"/>
    </row>
    <row r="7051" spans="1:20" ht="15" hidden="1" customHeight="1">
      <c r="A7051" s="468">
        <v>45569</v>
      </c>
      <c r="B7051" s="208" t="s">
        <v>5683</v>
      </c>
      <c r="C7051" s="208" t="s">
        <v>3331</v>
      </c>
      <c r="D7051" s="211">
        <v>-200000</v>
      </c>
      <c r="E7051" s="212">
        <v>45566</v>
      </c>
      <c r="F7051" s="208" t="s">
        <v>110</v>
      </c>
      <c r="G7051" s="208" t="s">
        <v>4294</v>
      </c>
      <c r="H7051" s="208" t="s">
        <v>147</v>
      </c>
      <c r="I7051" s="208" t="s">
        <v>47</v>
      </c>
      <c r="J7051" s="209"/>
      <c r="K7051" s="209"/>
      <c r="L7051" s="209"/>
      <c r="M7051" s="209"/>
      <c r="N7051" s="209"/>
      <c r="O7051" s="209"/>
      <c r="P7051" s="209"/>
      <c r="Q7051" s="209"/>
      <c r="R7051" s="209"/>
      <c r="S7051" s="209"/>
      <c r="T7051" s="209"/>
    </row>
    <row r="7052" spans="1:20" ht="15" hidden="1" customHeight="1">
      <c r="A7052" s="468">
        <v>45575</v>
      </c>
      <c r="B7052" s="208" t="s">
        <v>5679</v>
      </c>
      <c r="C7052" s="208" t="s">
        <v>146</v>
      </c>
      <c r="D7052" s="211">
        <v>-6000</v>
      </c>
      <c r="E7052" s="212">
        <v>45566</v>
      </c>
      <c r="F7052" s="208" t="s">
        <v>109</v>
      </c>
      <c r="G7052" s="208" t="s">
        <v>10</v>
      </c>
      <c r="H7052" s="208" t="s">
        <v>147</v>
      </c>
      <c r="I7052" s="208" t="s">
        <v>47</v>
      </c>
      <c r="J7052" s="209"/>
      <c r="K7052" s="209"/>
      <c r="L7052" s="209"/>
      <c r="M7052" s="209"/>
      <c r="N7052" s="209"/>
      <c r="O7052" s="209"/>
      <c r="P7052" s="209"/>
      <c r="Q7052" s="209"/>
      <c r="R7052" s="209"/>
      <c r="S7052" s="209"/>
      <c r="T7052" s="209"/>
    </row>
    <row r="7053" spans="1:20" ht="15" hidden="1" customHeight="1">
      <c r="A7053" s="468">
        <v>45575</v>
      </c>
      <c r="B7053" s="208" t="s">
        <v>5684</v>
      </c>
      <c r="C7053" s="208" t="s">
        <v>146</v>
      </c>
      <c r="D7053" s="211">
        <v>-8000</v>
      </c>
      <c r="E7053" s="212">
        <v>45566</v>
      </c>
      <c r="F7053" s="208" t="s">
        <v>110</v>
      </c>
      <c r="G7053" s="208" t="s">
        <v>5469</v>
      </c>
      <c r="H7053" s="81" t="s">
        <v>138</v>
      </c>
      <c r="I7053" s="208" t="s">
        <v>47</v>
      </c>
      <c r="J7053" s="209"/>
      <c r="K7053" s="209"/>
      <c r="L7053" s="209"/>
      <c r="M7053" s="209"/>
      <c r="N7053" s="209"/>
      <c r="O7053" s="209"/>
      <c r="P7053" s="209"/>
      <c r="Q7053" s="209"/>
      <c r="R7053" s="209"/>
      <c r="S7053" s="209"/>
      <c r="T7053" s="209"/>
    </row>
    <row r="7054" spans="1:20" ht="15" hidden="1" customHeight="1">
      <c r="A7054" s="468">
        <v>45575</v>
      </c>
      <c r="B7054" s="208" t="s">
        <v>5685</v>
      </c>
      <c r="C7054" s="208" t="s">
        <v>146</v>
      </c>
      <c r="D7054" s="211">
        <v>-6000</v>
      </c>
      <c r="E7054" s="212">
        <v>45566</v>
      </c>
      <c r="F7054" s="208" t="s">
        <v>110</v>
      </c>
      <c r="G7054" s="208" t="s">
        <v>5469</v>
      </c>
      <c r="H7054" s="81" t="s">
        <v>138</v>
      </c>
      <c r="I7054" s="208" t="s">
        <v>47</v>
      </c>
      <c r="J7054" s="209"/>
      <c r="K7054" s="209"/>
      <c r="L7054" s="209"/>
      <c r="M7054" s="209"/>
      <c r="N7054" s="209"/>
      <c r="O7054" s="209"/>
      <c r="P7054" s="209"/>
      <c r="Q7054" s="209"/>
      <c r="R7054" s="209"/>
      <c r="S7054" s="209"/>
      <c r="T7054" s="209"/>
    </row>
    <row r="7055" spans="1:20" ht="15" hidden="1" customHeight="1">
      <c r="A7055" s="468">
        <v>45575</v>
      </c>
      <c r="B7055" s="208" t="s">
        <v>5686</v>
      </c>
      <c r="C7055" s="208" t="s">
        <v>146</v>
      </c>
      <c r="D7055" s="211">
        <v>-6000</v>
      </c>
      <c r="E7055" s="212">
        <v>45566</v>
      </c>
      <c r="F7055" s="208" t="s">
        <v>110</v>
      </c>
      <c r="G7055" s="208" t="s">
        <v>5469</v>
      </c>
      <c r="H7055" s="81" t="s">
        <v>138</v>
      </c>
      <c r="I7055" s="208" t="s">
        <v>47</v>
      </c>
      <c r="J7055" s="209"/>
      <c r="K7055" s="209"/>
      <c r="L7055" s="209"/>
      <c r="M7055" s="209"/>
      <c r="N7055" s="209"/>
      <c r="O7055" s="209"/>
      <c r="P7055" s="209"/>
      <c r="Q7055" s="209"/>
      <c r="R7055" s="209"/>
      <c r="S7055" s="209"/>
      <c r="T7055" s="209"/>
    </row>
    <row r="7056" spans="1:20" ht="15" hidden="1" customHeight="1">
      <c r="A7056" s="468">
        <v>45575</v>
      </c>
      <c r="B7056" s="208" t="s">
        <v>5686</v>
      </c>
      <c r="C7056" s="208" t="s">
        <v>146</v>
      </c>
      <c r="D7056" s="211">
        <v>-6000</v>
      </c>
      <c r="E7056" s="212">
        <v>45566</v>
      </c>
      <c r="F7056" s="208" t="s">
        <v>110</v>
      </c>
      <c r="G7056" s="208" t="s">
        <v>5469</v>
      </c>
      <c r="H7056" s="81" t="s">
        <v>138</v>
      </c>
      <c r="I7056" s="208" t="s">
        <v>47</v>
      </c>
      <c r="J7056" s="209"/>
      <c r="K7056" s="209"/>
      <c r="L7056" s="209"/>
      <c r="M7056" s="209"/>
      <c r="N7056" s="209"/>
      <c r="O7056" s="209"/>
      <c r="P7056" s="209"/>
      <c r="Q7056" s="209"/>
      <c r="R7056" s="209"/>
      <c r="S7056" s="209"/>
      <c r="T7056" s="209"/>
    </row>
    <row r="7057" spans="1:20" ht="15" hidden="1" customHeight="1">
      <c r="A7057" s="468">
        <v>45575</v>
      </c>
      <c r="B7057" s="208" t="s">
        <v>5687</v>
      </c>
      <c r="C7057" s="208" t="s">
        <v>146</v>
      </c>
      <c r="D7057" s="211">
        <v>-8000</v>
      </c>
      <c r="E7057" s="212">
        <v>45566</v>
      </c>
      <c r="F7057" s="208" t="s">
        <v>109</v>
      </c>
      <c r="G7057" s="208" t="s">
        <v>10</v>
      </c>
      <c r="H7057" s="81" t="s">
        <v>138</v>
      </c>
      <c r="I7057" s="208" t="s">
        <v>47</v>
      </c>
      <c r="J7057" s="209"/>
      <c r="K7057" s="209"/>
      <c r="L7057" s="209"/>
      <c r="M7057" s="209"/>
      <c r="N7057" s="209"/>
      <c r="O7057" s="209"/>
      <c r="P7057" s="209"/>
      <c r="Q7057" s="209"/>
      <c r="R7057" s="209"/>
      <c r="S7057" s="209"/>
      <c r="T7057" s="209"/>
    </row>
    <row r="7058" spans="1:20" ht="15" hidden="1" customHeight="1">
      <c r="A7058" s="468">
        <v>45572</v>
      </c>
      <c r="B7058" s="208" t="s">
        <v>5688</v>
      </c>
      <c r="C7058" s="208" t="s">
        <v>27</v>
      </c>
      <c r="D7058" s="211">
        <v>-1000000</v>
      </c>
      <c r="E7058" s="212">
        <v>45566</v>
      </c>
      <c r="F7058" s="208" t="s">
        <v>130</v>
      </c>
      <c r="G7058" s="208" t="s">
        <v>130</v>
      </c>
      <c r="H7058" s="374" t="s">
        <v>2724</v>
      </c>
      <c r="I7058" s="475" t="s">
        <v>5410</v>
      </c>
      <c r="J7058" s="209"/>
      <c r="K7058" s="209"/>
      <c r="L7058" s="209"/>
      <c r="M7058" s="209"/>
      <c r="N7058" s="209"/>
      <c r="O7058" s="209"/>
      <c r="P7058" s="209"/>
      <c r="Q7058" s="209"/>
      <c r="R7058" s="209"/>
      <c r="S7058" s="209"/>
      <c r="T7058" s="209"/>
    </row>
    <row r="7059" spans="1:20" ht="15" hidden="1" customHeight="1">
      <c r="A7059" s="468">
        <v>45572</v>
      </c>
      <c r="B7059" s="208" t="s">
        <v>5689</v>
      </c>
      <c r="C7059" s="208" t="s">
        <v>27</v>
      </c>
      <c r="D7059" s="211">
        <v>-173754231</v>
      </c>
      <c r="E7059" s="212">
        <v>45566</v>
      </c>
      <c r="F7059" s="208" t="s">
        <v>109</v>
      </c>
      <c r="G7059" s="208" t="s">
        <v>4986</v>
      </c>
      <c r="H7059" s="201" t="s">
        <v>123</v>
      </c>
      <c r="I7059" s="208"/>
      <c r="J7059" s="209"/>
      <c r="K7059" s="209"/>
      <c r="L7059" s="209"/>
      <c r="M7059" s="209"/>
      <c r="N7059" s="209"/>
      <c r="O7059" s="209"/>
      <c r="P7059" s="209"/>
      <c r="Q7059" s="209"/>
      <c r="R7059" s="209"/>
      <c r="S7059" s="209"/>
      <c r="T7059" s="209"/>
    </row>
    <row r="7060" spans="1:20" ht="15" hidden="1" customHeight="1">
      <c r="A7060" s="468">
        <v>45572</v>
      </c>
      <c r="B7060" s="208" t="s">
        <v>5690</v>
      </c>
      <c r="C7060" s="208" t="s">
        <v>27</v>
      </c>
      <c r="D7060" s="211">
        <v>200000000</v>
      </c>
      <c r="E7060" s="212">
        <v>45566</v>
      </c>
      <c r="F7060" s="208" t="s">
        <v>707</v>
      </c>
      <c r="G7060" s="208" t="s">
        <v>10</v>
      </c>
      <c r="H7060" s="208"/>
      <c r="I7060" s="208"/>
      <c r="J7060" s="209"/>
      <c r="K7060" s="209"/>
      <c r="L7060" s="209"/>
      <c r="M7060" s="209"/>
      <c r="N7060" s="209"/>
      <c r="O7060" s="209"/>
      <c r="P7060" s="209"/>
      <c r="Q7060" s="209"/>
      <c r="R7060" s="209"/>
      <c r="S7060" s="209"/>
      <c r="T7060" s="209"/>
    </row>
    <row r="7061" spans="1:20" ht="15" hidden="1" customHeight="1">
      <c r="A7061" s="468">
        <v>45576</v>
      </c>
      <c r="B7061" s="208" t="s">
        <v>5691</v>
      </c>
      <c r="C7061" s="208" t="s">
        <v>27</v>
      </c>
      <c r="D7061" s="211">
        <v>200000000</v>
      </c>
      <c r="E7061" s="212">
        <v>45566</v>
      </c>
      <c r="F7061" s="883" t="s">
        <v>707</v>
      </c>
      <c r="G7061" s="201" t="s">
        <v>581</v>
      </c>
      <c r="H7061" s="208"/>
      <c r="I7061" s="208"/>
      <c r="J7061" s="209"/>
      <c r="K7061" s="209"/>
      <c r="L7061" s="209"/>
      <c r="M7061" s="209"/>
      <c r="N7061" s="209"/>
      <c r="O7061" s="209"/>
      <c r="P7061" s="209"/>
      <c r="Q7061" s="209"/>
      <c r="R7061" s="209"/>
      <c r="S7061" s="209"/>
      <c r="T7061" s="209"/>
    </row>
    <row r="7062" spans="1:20" ht="15" hidden="1" customHeight="1">
      <c r="A7062" s="468">
        <v>45576</v>
      </c>
      <c r="B7062" s="208" t="s">
        <v>5692</v>
      </c>
      <c r="C7062" s="208" t="s">
        <v>27</v>
      </c>
      <c r="D7062" s="211">
        <v>679000</v>
      </c>
      <c r="E7062" s="212">
        <v>45566</v>
      </c>
      <c r="F7062" s="208" t="s">
        <v>109</v>
      </c>
      <c r="G7062" s="201" t="s">
        <v>581</v>
      </c>
      <c r="H7062" s="208"/>
      <c r="I7062" s="208"/>
      <c r="J7062" s="209"/>
      <c r="K7062" s="209"/>
      <c r="L7062" s="209"/>
      <c r="M7062" s="209"/>
      <c r="N7062" s="209"/>
      <c r="O7062" s="209"/>
      <c r="P7062" s="209"/>
      <c r="Q7062" s="209"/>
      <c r="R7062" s="209"/>
      <c r="S7062" s="209"/>
      <c r="T7062" s="209"/>
    </row>
    <row r="7063" spans="1:20" ht="15" hidden="1" customHeight="1">
      <c r="A7063" s="468">
        <v>45574</v>
      </c>
      <c r="B7063" s="208" t="s">
        <v>5693</v>
      </c>
      <c r="C7063" s="208" t="s">
        <v>3331</v>
      </c>
      <c r="D7063" s="211">
        <v>472850</v>
      </c>
      <c r="E7063" s="212">
        <v>45566</v>
      </c>
      <c r="F7063" s="208" t="s">
        <v>108</v>
      </c>
      <c r="G7063" s="208"/>
      <c r="H7063" s="208"/>
      <c r="I7063" s="208"/>
      <c r="J7063" s="209"/>
      <c r="K7063" s="209"/>
      <c r="L7063" s="209"/>
      <c r="M7063" s="209"/>
      <c r="N7063" s="209"/>
      <c r="O7063" s="209"/>
      <c r="P7063" s="209"/>
      <c r="Q7063" s="209"/>
      <c r="R7063" s="209"/>
      <c r="S7063" s="209"/>
      <c r="T7063" s="209"/>
    </row>
    <row r="7064" spans="1:20" ht="15" hidden="1" customHeight="1">
      <c r="A7064" s="468">
        <v>45575</v>
      </c>
      <c r="B7064" s="208" t="s">
        <v>1836</v>
      </c>
      <c r="C7064" s="208" t="s">
        <v>3331</v>
      </c>
      <c r="D7064" s="211">
        <v>2413303</v>
      </c>
      <c r="E7064" s="212">
        <v>45566</v>
      </c>
      <c r="F7064" s="208" t="s">
        <v>108</v>
      </c>
      <c r="G7064" s="208"/>
      <c r="H7064" s="208"/>
      <c r="I7064" s="208"/>
      <c r="J7064" s="209"/>
      <c r="K7064" s="209"/>
      <c r="L7064" s="209"/>
      <c r="M7064" s="209"/>
      <c r="N7064" s="209"/>
      <c r="O7064" s="209"/>
      <c r="P7064" s="209"/>
      <c r="Q7064" s="209"/>
      <c r="R7064" s="209"/>
      <c r="S7064" s="209"/>
      <c r="T7064" s="209"/>
    </row>
    <row r="7065" spans="1:20" ht="15" hidden="1" customHeight="1">
      <c r="A7065" s="468">
        <v>45573</v>
      </c>
      <c r="B7065" s="208" t="s">
        <v>5694</v>
      </c>
      <c r="C7065" s="208" t="s">
        <v>4783</v>
      </c>
      <c r="D7065" s="718">
        <v>-350000000</v>
      </c>
      <c r="E7065" s="212">
        <v>45566</v>
      </c>
      <c r="F7065" s="208" t="s">
        <v>109</v>
      </c>
      <c r="G7065" s="601" t="s">
        <v>581</v>
      </c>
      <c r="H7065" s="201" t="s">
        <v>123</v>
      </c>
      <c r="I7065" s="208"/>
      <c r="J7065" s="209"/>
      <c r="K7065" s="209"/>
      <c r="L7065" s="209"/>
      <c r="M7065" s="209"/>
      <c r="N7065" s="209"/>
      <c r="O7065" s="209"/>
      <c r="P7065" s="209"/>
      <c r="Q7065" s="209"/>
      <c r="R7065" s="209"/>
      <c r="S7065" s="209"/>
      <c r="T7065" s="209"/>
    </row>
    <row r="7066" spans="1:20" ht="15" hidden="1" customHeight="1">
      <c r="A7066" s="468">
        <v>45573</v>
      </c>
      <c r="B7066" s="208" t="s">
        <v>5695</v>
      </c>
      <c r="C7066" s="208" t="s">
        <v>4783</v>
      </c>
      <c r="D7066" s="211">
        <v>-208000000</v>
      </c>
      <c r="E7066" s="212">
        <v>45566</v>
      </c>
      <c r="F7066" s="208" t="s">
        <v>4625</v>
      </c>
      <c r="G7066" s="208" t="s">
        <v>4625</v>
      </c>
      <c r="H7066" s="208"/>
      <c r="I7066" s="208"/>
      <c r="J7066" s="209"/>
      <c r="K7066" s="209"/>
      <c r="L7066" s="209"/>
      <c r="M7066" s="209"/>
      <c r="N7066" s="209"/>
      <c r="O7066" s="209"/>
      <c r="P7066" s="209"/>
      <c r="Q7066" s="209"/>
      <c r="R7066" s="209"/>
      <c r="S7066" s="209"/>
      <c r="T7066" s="209"/>
    </row>
    <row r="7067" spans="1:20" ht="15" hidden="1" customHeight="1">
      <c r="A7067" s="468">
        <v>45573</v>
      </c>
      <c r="B7067" s="208" t="s">
        <v>5626</v>
      </c>
      <c r="C7067" s="208" t="s">
        <v>4783</v>
      </c>
      <c r="D7067" s="718">
        <v>-250000000</v>
      </c>
      <c r="E7067" s="212">
        <v>45566</v>
      </c>
      <c r="F7067" s="208" t="s">
        <v>109</v>
      </c>
      <c r="G7067" s="601" t="s">
        <v>581</v>
      </c>
      <c r="H7067" s="201" t="s">
        <v>123</v>
      </c>
      <c r="I7067" s="208"/>
      <c r="J7067" s="209"/>
      <c r="K7067" s="209"/>
      <c r="L7067" s="209"/>
      <c r="M7067" s="209"/>
      <c r="N7067" s="209"/>
      <c r="O7067" s="209"/>
      <c r="P7067" s="209"/>
      <c r="Q7067" s="209"/>
      <c r="R7067" s="209"/>
      <c r="S7067" s="209"/>
      <c r="T7067" s="209"/>
    </row>
    <row r="7068" spans="1:20" ht="15" hidden="1" customHeight="1">
      <c r="A7068" s="468">
        <v>45572</v>
      </c>
      <c r="B7068" s="208" t="s">
        <v>5696</v>
      </c>
      <c r="C7068" s="208" t="s">
        <v>4783</v>
      </c>
      <c r="D7068" s="211">
        <v>500000000</v>
      </c>
      <c r="E7068" s="212">
        <v>45566</v>
      </c>
      <c r="F7068" s="208" t="s">
        <v>707</v>
      </c>
      <c r="G7068" s="208" t="s">
        <v>10</v>
      </c>
      <c r="H7068" s="208"/>
      <c r="I7068" s="208"/>
      <c r="J7068" s="209"/>
      <c r="K7068" s="209"/>
      <c r="L7068" s="209"/>
      <c r="M7068" s="209"/>
      <c r="N7068" s="209"/>
      <c r="O7068" s="209"/>
      <c r="P7068" s="209"/>
      <c r="Q7068" s="209"/>
      <c r="R7068" s="209"/>
      <c r="S7068" s="209"/>
      <c r="T7068" s="209"/>
    </row>
    <row r="7069" spans="1:20" ht="15" hidden="1" customHeight="1">
      <c r="A7069" s="468">
        <v>45574</v>
      </c>
      <c r="B7069" s="208" t="s">
        <v>2267</v>
      </c>
      <c r="C7069" s="208" t="s">
        <v>643</v>
      </c>
      <c r="D7069" s="211">
        <v>-95520</v>
      </c>
      <c r="E7069" s="212">
        <v>45566</v>
      </c>
      <c r="F7069" s="208" t="s">
        <v>130</v>
      </c>
      <c r="G7069" s="208" t="s">
        <v>130</v>
      </c>
      <c r="H7069" s="208" t="s">
        <v>1245</v>
      </c>
      <c r="I7069" s="208"/>
      <c r="J7069" s="209"/>
      <c r="K7069" s="209"/>
      <c r="L7069" s="209"/>
      <c r="M7069" s="209"/>
      <c r="N7069" s="209"/>
      <c r="O7069" s="209"/>
      <c r="P7069" s="209"/>
      <c r="Q7069" s="209"/>
      <c r="R7069" s="209"/>
      <c r="S7069" s="209"/>
      <c r="T7069" s="209"/>
    </row>
    <row r="7070" spans="1:20" ht="15" hidden="1" customHeight="1">
      <c r="A7070" s="468">
        <v>45575</v>
      </c>
      <c r="B7070" s="208" t="s">
        <v>5697</v>
      </c>
      <c r="C7070" s="208" t="s">
        <v>643</v>
      </c>
      <c r="D7070" s="211">
        <v>-70000</v>
      </c>
      <c r="E7070" s="212">
        <v>45566</v>
      </c>
      <c r="F7070" s="208" t="s">
        <v>130</v>
      </c>
      <c r="G7070" s="208" t="s">
        <v>257</v>
      </c>
      <c r="H7070" s="208" t="s">
        <v>303</v>
      </c>
      <c r="I7070" s="208"/>
      <c r="J7070" s="209"/>
      <c r="K7070" s="209"/>
      <c r="L7070" s="209"/>
      <c r="M7070" s="209"/>
      <c r="N7070" s="209"/>
      <c r="O7070" s="209"/>
      <c r="P7070" s="209"/>
      <c r="Q7070" s="209"/>
      <c r="R7070" s="209"/>
      <c r="S7070" s="209"/>
      <c r="T7070" s="209"/>
    </row>
    <row r="7071" spans="1:20" ht="15" hidden="1" customHeight="1">
      <c r="A7071" s="468">
        <v>45575</v>
      </c>
      <c r="B7071" s="208" t="s">
        <v>5698</v>
      </c>
      <c r="C7071" s="208" t="s">
        <v>643</v>
      </c>
      <c r="D7071" s="211">
        <v>75827687</v>
      </c>
      <c r="E7071" s="212">
        <v>45566</v>
      </c>
      <c r="F7071" s="208" t="s">
        <v>109</v>
      </c>
      <c r="G7071" s="208" t="s">
        <v>125</v>
      </c>
      <c r="H7071" s="208"/>
      <c r="I7071" s="475" t="s">
        <v>5410</v>
      </c>
      <c r="J7071" s="209"/>
      <c r="K7071" s="209"/>
      <c r="L7071" s="209"/>
      <c r="M7071" s="209"/>
      <c r="N7071" s="209"/>
      <c r="O7071" s="209"/>
      <c r="P7071" s="209"/>
      <c r="Q7071" s="209"/>
      <c r="R7071" s="209"/>
      <c r="S7071" s="209"/>
      <c r="T7071" s="209"/>
    </row>
    <row r="7072" spans="1:20" ht="15" hidden="1" customHeight="1">
      <c r="A7072" s="468">
        <v>45576</v>
      </c>
      <c r="B7072" s="208" t="s">
        <v>5699</v>
      </c>
      <c r="C7072" s="208" t="s">
        <v>146</v>
      </c>
      <c r="D7072" s="211">
        <v>-60000</v>
      </c>
      <c r="E7072" s="212">
        <v>45566</v>
      </c>
      <c r="F7072" s="208" t="s">
        <v>130</v>
      </c>
      <c r="G7072" s="208" t="s">
        <v>130</v>
      </c>
      <c r="H7072" s="208" t="s">
        <v>2444</v>
      </c>
      <c r="I7072" s="208"/>
      <c r="J7072" s="209"/>
      <c r="K7072" s="209"/>
      <c r="L7072" s="209"/>
      <c r="M7072" s="209"/>
      <c r="N7072" s="209"/>
      <c r="O7072" s="209"/>
      <c r="P7072" s="209"/>
      <c r="Q7072" s="209"/>
      <c r="R7072" s="209"/>
      <c r="S7072" s="209"/>
      <c r="T7072" s="209"/>
    </row>
    <row r="7073" spans="1:20" ht="15" hidden="1" customHeight="1">
      <c r="A7073" s="468">
        <v>45576</v>
      </c>
      <c r="B7073" s="208" t="s">
        <v>5700</v>
      </c>
      <c r="C7073" s="208" t="s">
        <v>146</v>
      </c>
      <c r="D7073" s="211">
        <v>-14000</v>
      </c>
      <c r="E7073" s="212">
        <v>45566</v>
      </c>
      <c r="F7073" s="208" t="s">
        <v>130</v>
      </c>
      <c r="G7073" s="208" t="s">
        <v>130</v>
      </c>
      <c r="H7073" s="208" t="s">
        <v>2444</v>
      </c>
      <c r="I7073" s="208"/>
      <c r="J7073" s="209"/>
      <c r="K7073" s="209"/>
      <c r="L7073" s="209"/>
      <c r="M7073" s="209"/>
      <c r="N7073" s="209"/>
      <c r="O7073" s="209"/>
      <c r="P7073" s="209"/>
      <c r="Q7073" s="209"/>
      <c r="R7073" s="209"/>
      <c r="S7073" s="209"/>
      <c r="T7073" s="209"/>
    </row>
    <row r="7074" spans="1:20" ht="15" hidden="1" customHeight="1">
      <c r="A7074" s="468">
        <v>45568</v>
      </c>
      <c r="B7074" s="208" t="s">
        <v>5106</v>
      </c>
      <c r="C7074" s="208" t="s">
        <v>27</v>
      </c>
      <c r="D7074" s="211">
        <v>-509200</v>
      </c>
      <c r="E7074" s="212">
        <v>45566</v>
      </c>
      <c r="F7074" s="208" t="s">
        <v>109</v>
      </c>
      <c r="G7074" s="208" t="s">
        <v>3529</v>
      </c>
      <c r="H7074" s="208" t="s">
        <v>147</v>
      </c>
      <c r="I7074" s="208"/>
      <c r="J7074" s="209"/>
      <c r="K7074" s="209"/>
      <c r="L7074" s="209"/>
      <c r="M7074" s="209"/>
      <c r="N7074" s="209"/>
      <c r="O7074" s="209"/>
      <c r="P7074" s="209"/>
      <c r="Q7074" s="209"/>
      <c r="R7074" s="209"/>
      <c r="S7074" s="209"/>
      <c r="T7074" s="209"/>
    </row>
    <row r="7075" spans="1:20" ht="15" hidden="1" customHeight="1">
      <c r="A7075" s="468">
        <v>45568</v>
      </c>
      <c r="B7075" s="208" t="s">
        <v>5098</v>
      </c>
      <c r="C7075" s="208" t="s">
        <v>27</v>
      </c>
      <c r="D7075" s="211">
        <v>-651500</v>
      </c>
      <c r="E7075" s="212">
        <v>45566</v>
      </c>
      <c r="F7075" s="208" t="s">
        <v>110</v>
      </c>
      <c r="G7075" s="201" t="s">
        <v>1489</v>
      </c>
      <c r="H7075" s="208" t="s">
        <v>147</v>
      </c>
      <c r="I7075" s="208"/>
      <c r="J7075" s="209"/>
      <c r="K7075" s="209"/>
      <c r="L7075" s="209"/>
      <c r="M7075" s="209"/>
      <c r="N7075" s="209"/>
      <c r="O7075" s="209"/>
      <c r="P7075" s="209"/>
      <c r="Q7075" s="209"/>
      <c r="R7075" s="209"/>
      <c r="S7075" s="209"/>
      <c r="T7075" s="209"/>
    </row>
    <row r="7076" spans="1:20" ht="15" hidden="1" customHeight="1">
      <c r="A7076" s="468">
        <v>45568</v>
      </c>
      <c r="B7076" s="208" t="s">
        <v>5113</v>
      </c>
      <c r="C7076" s="208" t="s">
        <v>27</v>
      </c>
      <c r="D7076" s="211">
        <v>-329800</v>
      </c>
      <c r="E7076" s="212">
        <v>45566</v>
      </c>
      <c r="F7076" s="208" t="s">
        <v>130</v>
      </c>
      <c r="G7076" s="208" t="s">
        <v>130</v>
      </c>
      <c r="H7076" s="208" t="s">
        <v>2421</v>
      </c>
      <c r="I7076" s="208"/>
      <c r="J7076" s="209"/>
      <c r="K7076" s="209"/>
      <c r="L7076" s="209"/>
      <c r="M7076" s="209"/>
      <c r="N7076" s="209"/>
      <c r="O7076" s="209"/>
      <c r="P7076" s="209"/>
      <c r="Q7076" s="209"/>
      <c r="R7076" s="209"/>
      <c r="S7076" s="209"/>
      <c r="T7076" s="209"/>
    </row>
    <row r="7077" spans="1:20" ht="15" hidden="1" customHeight="1">
      <c r="A7077" s="468">
        <v>45568</v>
      </c>
      <c r="B7077" s="208" t="s">
        <v>5099</v>
      </c>
      <c r="C7077" s="208" t="s">
        <v>27</v>
      </c>
      <c r="D7077" s="211">
        <v>-378700</v>
      </c>
      <c r="E7077" s="212">
        <v>45566</v>
      </c>
      <c r="F7077" s="208" t="s">
        <v>110</v>
      </c>
      <c r="G7077" s="201" t="s">
        <v>1489</v>
      </c>
      <c r="H7077" s="208" t="s">
        <v>147</v>
      </c>
      <c r="I7077" s="208"/>
      <c r="J7077" s="209"/>
      <c r="K7077" s="209"/>
      <c r="L7077" s="209"/>
      <c r="M7077" s="209"/>
      <c r="N7077" s="209"/>
      <c r="O7077" s="209"/>
      <c r="P7077" s="209"/>
      <c r="Q7077" s="209"/>
      <c r="R7077" s="209"/>
      <c r="S7077" s="209"/>
      <c r="T7077" s="209"/>
    </row>
    <row r="7078" spans="1:20" ht="15" hidden="1" customHeight="1">
      <c r="A7078" s="468">
        <v>45568</v>
      </c>
      <c r="B7078" s="208" t="s">
        <v>5114</v>
      </c>
      <c r="C7078" s="208" t="s">
        <v>27</v>
      </c>
      <c r="D7078" s="211">
        <v>-375700</v>
      </c>
      <c r="E7078" s="212">
        <v>45566</v>
      </c>
      <c r="F7078" s="208" t="s">
        <v>130</v>
      </c>
      <c r="G7078" s="208" t="s">
        <v>130</v>
      </c>
      <c r="H7078" s="208" t="s">
        <v>2421</v>
      </c>
      <c r="I7078" s="208"/>
      <c r="J7078" s="209"/>
      <c r="K7078" s="209"/>
      <c r="L7078" s="209"/>
      <c r="M7078" s="209"/>
      <c r="N7078" s="209"/>
      <c r="O7078" s="209"/>
      <c r="P7078" s="209"/>
      <c r="Q7078" s="209"/>
      <c r="R7078" s="209"/>
      <c r="S7078" s="209"/>
      <c r="T7078" s="209"/>
    </row>
    <row r="7079" spans="1:20" ht="15" hidden="1" customHeight="1">
      <c r="A7079" s="468">
        <v>45568</v>
      </c>
      <c r="B7079" s="208" t="s">
        <v>5109</v>
      </c>
      <c r="C7079" s="208" t="s">
        <v>27</v>
      </c>
      <c r="D7079" s="211">
        <v>-638600</v>
      </c>
      <c r="E7079" s="212">
        <v>45566</v>
      </c>
      <c r="F7079" s="208" t="s">
        <v>110</v>
      </c>
      <c r="G7079" s="208" t="s">
        <v>4399</v>
      </c>
      <c r="H7079" s="208" t="s">
        <v>147</v>
      </c>
      <c r="I7079" s="208"/>
      <c r="J7079" s="209"/>
      <c r="K7079" s="209"/>
      <c r="L7079" s="209"/>
      <c r="M7079" s="209"/>
      <c r="N7079" s="209"/>
      <c r="O7079" s="209"/>
      <c r="P7079" s="209"/>
      <c r="Q7079" s="209"/>
      <c r="R7079" s="209"/>
      <c r="S7079" s="209"/>
      <c r="T7079" s="209"/>
    </row>
    <row r="7080" spans="1:20" ht="15" hidden="1" customHeight="1">
      <c r="A7080" s="468">
        <v>45568</v>
      </c>
      <c r="B7080" s="208" t="s">
        <v>5110</v>
      </c>
      <c r="C7080" s="208" t="s">
        <v>27</v>
      </c>
      <c r="D7080" s="211">
        <v>-406000</v>
      </c>
      <c r="E7080" s="212">
        <v>45566</v>
      </c>
      <c r="F7080" s="208" t="s">
        <v>110</v>
      </c>
      <c r="G7080" s="208" t="s">
        <v>4399</v>
      </c>
      <c r="H7080" s="208" t="s">
        <v>147</v>
      </c>
      <c r="I7080" s="208"/>
      <c r="J7080" s="209"/>
      <c r="K7080" s="209"/>
      <c r="L7080" s="209"/>
      <c r="M7080" s="209"/>
      <c r="N7080" s="209"/>
      <c r="O7080" s="209"/>
      <c r="P7080" s="209"/>
      <c r="Q7080" s="209"/>
      <c r="R7080" s="209"/>
      <c r="S7080" s="209"/>
      <c r="T7080" s="209"/>
    </row>
    <row r="7081" spans="1:20" ht="15" hidden="1" customHeight="1">
      <c r="A7081" s="468">
        <v>45568</v>
      </c>
      <c r="B7081" s="208" t="s">
        <v>5100</v>
      </c>
      <c r="C7081" s="208" t="s">
        <v>27</v>
      </c>
      <c r="D7081" s="211">
        <v>-413700</v>
      </c>
      <c r="E7081" s="212">
        <v>45566</v>
      </c>
      <c r="F7081" s="208" t="s">
        <v>109</v>
      </c>
      <c r="G7081" s="208" t="s">
        <v>3529</v>
      </c>
      <c r="H7081" s="208" t="s">
        <v>147</v>
      </c>
      <c r="I7081" s="208"/>
      <c r="J7081" s="209"/>
      <c r="K7081" s="209"/>
      <c r="L7081" s="209"/>
      <c r="M7081" s="209"/>
      <c r="N7081" s="209"/>
      <c r="O7081" s="209"/>
      <c r="P7081" s="209"/>
      <c r="Q7081" s="209"/>
      <c r="R7081" s="209"/>
      <c r="S7081" s="209"/>
      <c r="T7081" s="209"/>
    </row>
    <row r="7082" spans="1:20" ht="15" hidden="1" customHeight="1">
      <c r="A7082" s="468">
        <v>45568</v>
      </c>
      <c r="B7082" s="208" t="s">
        <v>5081</v>
      </c>
      <c r="C7082" s="208" t="s">
        <v>27</v>
      </c>
      <c r="D7082" s="211">
        <v>-404800</v>
      </c>
      <c r="E7082" s="212">
        <v>45566</v>
      </c>
      <c r="F7082" s="208" t="s">
        <v>110</v>
      </c>
      <c r="G7082" s="208" t="s">
        <v>4294</v>
      </c>
      <c r="H7082" s="208" t="s">
        <v>147</v>
      </c>
      <c r="I7082" s="208"/>
      <c r="J7082" s="209"/>
      <c r="K7082" s="209"/>
      <c r="L7082" s="209"/>
      <c r="M7082" s="209"/>
      <c r="N7082" s="209"/>
      <c r="O7082" s="209"/>
      <c r="P7082" s="209"/>
      <c r="Q7082" s="209"/>
      <c r="R7082" s="209"/>
      <c r="S7082" s="209"/>
      <c r="T7082" s="209"/>
    </row>
    <row r="7083" spans="1:20" ht="15" hidden="1" customHeight="1">
      <c r="A7083" s="468">
        <v>45568</v>
      </c>
      <c r="B7083" s="208" t="s">
        <v>5107</v>
      </c>
      <c r="C7083" s="208" t="s">
        <v>27</v>
      </c>
      <c r="D7083" s="211">
        <v>-678800</v>
      </c>
      <c r="E7083" s="212">
        <v>45566</v>
      </c>
      <c r="F7083" s="208" t="s">
        <v>110</v>
      </c>
      <c r="G7083" s="208" t="s">
        <v>4294</v>
      </c>
      <c r="H7083" s="208" t="s">
        <v>147</v>
      </c>
      <c r="I7083" s="208"/>
      <c r="J7083" s="209"/>
      <c r="K7083" s="209"/>
      <c r="L7083" s="209"/>
      <c r="M7083" s="209"/>
      <c r="N7083" s="209"/>
      <c r="O7083" s="209"/>
      <c r="P7083" s="209"/>
      <c r="Q7083" s="209"/>
      <c r="R7083" s="209"/>
      <c r="S7083" s="209"/>
      <c r="T7083" s="209"/>
    </row>
    <row r="7084" spans="1:20" ht="15" hidden="1" customHeight="1">
      <c r="A7084" s="468">
        <v>45568</v>
      </c>
      <c r="B7084" s="208" t="s">
        <v>5101</v>
      </c>
      <c r="C7084" s="208" t="s">
        <v>27</v>
      </c>
      <c r="D7084" s="211">
        <v>-402500</v>
      </c>
      <c r="E7084" s="212">
        <v>45566</v>
      </c>
      <c r="F7084" s="208" t="s">
        <v>110</v>
      </c>
      <c r="G7084" s="201" t="s">
        <v>1489</v>
      </c>
      <c r="H7084" s="208" t="s">
        <v>147</v>
      </c>
      <c r="I7084" s="208"/>
      <c r="J7084" s="209"/>
      <c r="K7084" s="209"/>
      <c r="L7084" s="209"/>
      <c r="M7084" s="209"/>
      <c r="N7084" s="209"/>
      <c r="O7084" s="209"/>
      <c r="P7084" s="209"/>
      <c r="Q7084" s="209"/>
      <c r="R7084" s="209"/>
      <c r="S7084" s="209"/>
      <c r="T7084" s="209"/>
    </row>
    <row r="7085" spans="1:20" ht="15" hidden="1" customHeight="1">
      <c r="A7085" s="468">
        <v>45568</v>
      </c>
      <c r="B7085" s="208" t="s">
        <v>5111</v>
      </c>
      <c r="C7085" s="208" t="s">
        <v>27</v>
      </c>
      <c r="D7085" s="211">
        <v>-406000</v>
      </c>
      <c r="E7085" s="212">
        <v>45566</v>
      </c>
      <c r="F7085" s="208" t="s">
        <v>110</v>
      </c>
      <c r="G7085" s="208" t="s">
        <v>4399</v>
      </c>
      <c r="H7085" s="208" t="s">
        <v>147</v>
      </c>
      <c r="I7085" s="208"/>
      <c r="J7085" s="209"/>
      <c r="K7085" s="209"/>
      <c r="L7085" s="209"/>
      <c r="M7085" s="209"/>
      <c r="N7085" s="209"/>
      <c r="O7085" s="209"/>
      <c r="P7085" s="209"/>
      <c r="Q7085" s="209"/>
      <c r="R7085" s="209"/>
      <c r="S7085" s="209"/>
      <c r="T7085" s="209"/>
    </row>
    <row r="7086" spans="1:20" ht="15" hidden="1" customHeight="1">
      <c r="A7086" s="468">
        <v>45568</v>
      </c>
      <c r="B7086" s="208" t="s">
        <v>5102</v>
      </c>
      <c r="C7086" s="208" t="s">
        <v>27</v>
      </c>
      <c r="D7086" s="211">
        <v>-402500</v>
      </c>
      <c r="E7086" s="212">
        <v>45566</v>
      </c>
      <c r="F7086" s="208" t="s">
        <v>110</v>
      </c>
      <c r="G7086" s="201" t="s">
        <v>1489</v>
      </c>
      <c r="H7086" s="208" t="s">
        <v>147</v>
      </c>
      <c r="I7086" s="208"/>
      <c r="J7086" s="209"/>
      <c r="K7086" s="209"/>
      <c r="L7086" s="209"/>
      <c r="M7086" s="209"/>
      <c r="N7086" s="209"/>
      <c r="O7086" s="209"/>
      <c r="P7086" s="209"/>
      <c r="Q7086" s="209"/>
      <c r="R7086" s="209"/>
      <c r="S7086" s="209"/>
      <c r="T7086" s="209"/>
    </row>
    <row r="7087" spans="1:20" ht="15" hidden="1" customHeight="1">
      <c r="A7087" s="468">
        <v>45568</v>
      </c>
      <c r="B7087" s="208" t="s">
        <v>5112</v>
      </c>
      <c r="C7087" s="208" t="s">
        <v>27</v>
      </c>
      <c r="D7087" s="211">
        <v>-406000</v>
      </c>
      <c r="E7087" s="212">
        <v>45566</v>
      </c>
      <c r="F7087" s="208" t="s">
        <v>110</v>
      </c>
      <c r="G7087" s="208" t="s">
        <v>4399</v>
      </c>
      <c r="H7087" s="208" t="s">
        <v>147</v>
      </c>
      <c r="I7087" s="475" t="s">
        <v>5410</v>
      </c>
      <c r="J7087" s="209"/>
      <c r="K7087" s="209"/>
      <c r="L7087" s="209"/>
      <c r="M7087" s="209"/>
      <c r="N7087" s="209"/>
      <c r="O7087" s="209"/>
      <c r="P7087" s="209"/>
      <c r="Q7087" s="209"/>
      <c r="R7087" s="209"/>
      <c r="S7087" s="209"/>
      <c r="T7087" s="209"/>
    </row>
    <row r="7088" spans="1:20" ht="15" hidden="1" customHeight="1">
      <c r="A7088" s="468">
        <v>45568</v>
      </c>
      <c r="B7088" s="208" t="s">
        <v>5103</v>
      </c>
      <c r="C7088" s="208" t="s">
        <v>27</v>
      </c>
      <c r="D7088" s="211">
        <v>-402500</v>
      </c>
      <c r="E7088" s="212">
        <v>45566</v>
      </c>
      <c r="F7088" s="208" t="s">
        <v>110</v>
      </c>
      <c r="G7088" s="201" t="s">
        <v>1489</v>
      </c>
      <c r="H7088" s="208" t="s">
        <v>147</v>
      </c>
      <c r="I7088" s="208"/>
      <c r="J7088" s="209"/>
      <c r="K7088" s="209"/>
      <c r="L7088" s="209"/>
      <c r="M7088" s="209"/>
      <c r="N7088" s="209"/>
      <c r="O7088" s="209"/>
      <c r="P7088" s="209"/>
      <c r="Q7088" s="209"/>
      <c r="R7088" s="209"/>
      <c r="S7088" s="209"/>
      <c r="T7088" s="209"/>
    </row>
    <row r="7089" spans="1:20" ht="15" hidden="1" customHeight="1">
      <c r="A7089" s="468">
        <v>45568</v>
      </c>
      <c r="B7089" s="208" t="s">
        <v>5108</v>
      </c>
      <c r="C7089" s="208" t="s">
        <v>27</v>
      </c>
      <c r="D7089" s="211">
        <v>-413700</v>
      </c>
      <c r="E7089" s="212">
        <v>45566</v>
      </c>
      <c r="F7089" s="208" t="s">
        <v>110</v>
      </c>
      <c r="G7089" s="201" t="s">
        <v>1489</v>
      </c>
      <c r="H7089" s="208" t="s">
        <v>147</v>
      </c>
      <c r="I7089" s="208"/>
      <c r="J7089" s="209"/>
      <c r="K7089" s="209"/>
      <c r="L7089" s="209"/>
      <c r="M7089" s="209"/>
      <c r="N7089" s="209"/>
      <c r="O7089" s="209"/>
      <c r="P7089" s="209"/>
      <c r="Q7089" s="209"/>
      <c r="R7089" s="209"/>
      <c r="S7089" s="209"/>
      <c r="T7089" s="209"/>
    </row>
    <row r="7090" spans="1:20" ht="15" hidden="1" customHeight="1">
      <c r="A7090" s="468">
        <v>45568</v>
      </c>
      <c r="B7090" s="208" t="s">
        <v>5104</v>
      </c>
      <c r="C7090" s="208" t="s">
        <v>27</v>
      </c>
      <c r="D7090" s="211">
        <v>-388300</v>
      </c>
      <c r="E7090" s="212">
        <v>45566</v>
      </c>
      <c r="F7090" s="208" t="s">
        <v>109</v>
      </c>
      <c r="G7090" s="208" t="s">
        <v>3529</v>
      </c>
      <c r="H7090" s="208" t="s">
        <v>147</v>
      </c>
      <c r="I7090" s="208"/>
      <c r="J7090" s="209"/>
      <c r="K7090" s="209"/>
      <c r="L7090" s="209"/>
      <c r="M7090" s="209"/>
      <c r="N7090" s="209"/>
      <c r="O7090" s="209"/>
      <c r="P7090" s="209"/>
      <c r="Q7090" s="209"/>
      <c r="R7090" s="209"/>
      <c r="S7090" s="209"/>
      <c r="T7090" s="209"/>
    </row>
    <row r="7091" spans="1:20" ht="15" hidden="1" customHeight="1">
      <c r="A7091" s="468">
        <v>45568</v>
      </c>
      <c r="B7091" s="208" t="s">
        <v>5701</v>
      </c>
      <c r="C7091" s="208" t="s">
        <v>27</v>
      </c>
      <c r="D7091" s="211">
        <v>-389200</v>
      </c>
      <c r="E7091" s="212">
        <v>45566</v>
      </c>
      <c r="F7091" s="208" t="s">
        <v>109</v>
      </c>
      <c r="G7091" s="208" t="s">
        <v>3529</v>
      </c>
      <c r="H7091" s="208" t="s">
        <v>147</v>
      </c>
      <c r="I7091" s="208"/>
      <c r="J7091" s="209"/>
      <c r="K7091" s="209"/>
      <c r="L7091" s="209"/>
      <c r="M7091" s="209"/>
      <c r="N7091" s="209"/>
      <c r="O7091" s="209"/>
      <c r="P7091" s="209"/>
      <c r="Q7091" s="209"/>
      <c r="R7091" s="209"/>
      <c r="S7091" s="209"/>
      <c r="T7091" s="209"/>
    </row>
    <row r="7092" spans="1:20" ht="15" hidden="1" customHeight="1">
      <c r="A7092" s="468">
        <v>45568</v>
      </c>
      <c r="B7092" s="208" t="s">
        <v>5702</v>
      </c>
      <c r="C7092" s="208" t="s">
        <v>27</v>
      </c>
      <c r="D7092" s="211">
        <v>-258000</v>
      </c>
      <c r="E7092" s="212">
        <v>45566</v>
      </c>
      <c r="F7092" s="208" t="s">
        <v>109</v>
      </c>
      <c r="G7092" s="208" t="s">
        <v>4986</v>
      </c>
      <c r="H7092" s="208" t="s">
        <v>147</v>
      </c>
      <c r="I7092" s="475" t="s">
        <v>5410</v>
      </c>
      <c r="J7092" s="209"/>
      <c r="K7092" s="209"/>
      <c r="L7092" s="209"/>
      <c r="M7092" s="209"/>
      <c r="N7092" s="209"/>
      <c r="O7092" s="209"/>
      <c r="P7092" s="209"/>
      <c r="Q7092" s="209"/>
      <c r="R7092" s="209"/>
      <c r="S7092" s="209"/>
      <c r="T7092" s="209"/>
    </row>
    <row r="7093" spans="1:20" ht="15" hidden="1" customHeight="1">
      <c r="A7093" s="468">
        <v>45568</v>
      </c>
      <c r="B7093" s="208" t="s">
        <v>5702</v>
      </c>
      <c r="C7093" s="208" t="s">
        <v>27</v>
      </c>
      <c r="D7093" s="211">
        <v>-258000</v>
      </c>
      <c r="E7093" s="212">
        <v>45566</v>
      </c>
      <c r="F7093" s="208" t="s">
        <v>109</v>
      </c>
      <c r="G7093" s="208" t="s">
        <v>3529</v>
      </c>
      <c r="H7093" s="208" t="s">
        <v>147</v>
      </c>
      <c r="I7093" s="208"/>
      <c r="J7093" s="209"/>
      <c r="K7093" s="209"/>
      <c r="L7093" s="209"/>
      <c r="M7093" s="209"/>
      <c r="N7093" s="209"/>
      <c r="O7093" s="209"/>
      <c r="P7093" s="209"/>
      <c r="Q7093" s="209"/>
      <c r="R7093" s="209"/>
      <c r="S7093" s="209"/>
      <c r="T7093" s="209"/>
    </row>
    <row r="7094" spans="1:20" ht="15" hidden="1" customHeight="1">
      <c r="A7094" s="468">
        <v>45568</v>
      </c>
      <c r="B7094" s="208" t="s">
        <v>5702</v>
      </c>
      <c r="C7094" s="208" t="s">
        <v>27</v>
      </c>
      <c r="D7094" s="211">
        <v>-258000</v>
      </c>
      <c r="E7094" s="212">
        <v>45566</v>
      </c>
      <c r="F7094" s="208" t="s">
        <v>110</v>
      </c>
      <c r="G7094" s="208" t="s">
        <v>4294</v>
      </c>
      <c r="H7094" s="208" t="s">
        <v>147</v>
      </c>
      <c r="I7094" s="208"/>
      <c r="J7094" s="209"/>
      <c r="K7094" s="209"/>
      <c r="L7094" s="209"/>
      <c r="M7094" s="209"/>
      <c r="N7094" s="209"/>
      <c r="O7094" s="209"/>
      <c r="P7094" s="209"/>
      <c r="Q7094" s="209"/>
      <c r="R7094" s="209"/>
      <c r="S7094" s="209"/>
      <c r="T7094" s="209"/>
    </row>
    <row r="7095" spans="1:20" ht="15" hidden="1" customHeight="1">
      <c r="A7095" s="468">
        <v>45568</v>
      </c>
      <c r="B7095" s="208" t="s">
        <v>5703</v>
      </c>
      <c r="C7095" s="208" t="s">
        <v>27</v>
      </c>
      <c r="D7095" s="211">
        <v>-296967</v>
      </c>
      <c r="E7095" s="212">
        <v>45566</v>
      </c>
      <c r="F7095" s="208" t="s">
        <v>110</v>
      </c>
      <c r="G7095" s="201" t="s">
        <v>1489</v>
      </c>
      <c r="H7095" s="208" t="s">
        <v>147</v>
      </c>
      <c r="I7095" s="208"/>
      <c r="J7095" s="209"/>
      <c r="K7095" s="209"/>
      <c r="L7095" s="209"/>
      <c r="M7095" s="209"/>
      <c r="N7095" s="209"/>
      <c r="O7095" s="209"/>
      <c r="P7095" s="209"/>
      <c r="Q7095" s="209"/>
      <c r="R7095" s="209"/>
      <c r="S7095" s="209"/>
      <c r="T7095" s="209"/>
    </row>
    <row r="7096" spans="1:20" ht="15" hidden="1" customHeight="1">
      <c r="A7096" s="468">
        <v>45568</v>
      </c>
      <c r="B7096" s="208" t="s">
        <v>5703</v>
      </c>
      <c r="C7096" s="208" t="s">
        <v>27</v>
      </c>
      <c r="D7096" s="211">
        <v>-296967</v>
      </c>
      <c r="E7096" s="212">
        <v>45566</v>
      </c>
      <c r="F7096" s="208" t="s">
        <v>109</v>
      </c>
      <c r="G7096" s="208" t="s">
        <v>3529</v>
      </c>
      <c r="H7096" s="208" t="s">
        <v>147</v>
      </c>
      <c r="I7096" s="208"/>
      <c r="J7096" s="209"/>
      <c r="K7096" s="209"/>
      <c r="L7096" s="209"/>
      <c r="M7096" s="209"/>
      <c r="N7096" s="209"/>
      <c r="O7096" s="209"/>
      <c r="P7096" s="209"/>
      <c r="Q7096" s="209"/>
      <c r="R7096" s="209"/>
      <c r="S7096" s="209"/>
      <c r="T7096" s="209"/>
    </row>
    <row r="7097" spans="1:20" ht="15" hidden="1" customHeight="1">
      <c r="A7097" s="468">
        <v>45568</v>
      </c>
      <c r="B7097" s="208" t="s">
        <v>5703</v>
      </c>
      <c r="C7097" s="208" t="s">
        <v>27</v>
      </c>
      <c r="D7097" s="211">
        <v>-296966</v>
      </c>
      <c r="E7097" s="212">
        <v>45566</v>
      </c>
      <c r="F7097" s="208" t="s">
        <v>110</v>
      </c>
      <c r="G7097" s="208" t="s">
        <v>4294</v>
      </c>
      <c r="H7097" s="208" t="s">
        <v>147</v>
      </c>
      <c r="I7097" s="475" t="s">
        <v>5410</v>
      </c>
      <c r="J7097" s="209"/>
      <c r="K7097" s="209"/>
      <c r="L7097" s="209"/>
      <c r="M7097" s="209"/>
      <c r="N7097" s="209"/>
      <c r="O7097" s="209"/>
      <c r="P7097" s="209"/>
      <c r="Q7097" s="209"/>
      <c r="R7097" s="209"/>
      <c r="S7097" s="209"/>
      <c r="T7097" s="209"/>
    </row>
    <row r="7098" spans="1:20" ht="15" hidden="1" customHeight="1">
      <c r="A7098" s="468">
        <v>45568</v>
      </c>
      <c r="B7098" s="208" t="s">
        <v>5704</v>
      </c>
      <c r="C7098" s="208" t="s">
        <v>27</v>
      </c>
      <c r="D7098" s="211">
        <v>-659200</v>
      </c>
      <c r="E7098" s="212">
        <v>45566</v>
      </c>
      <c r="F7098" s="208" t="s">
        <v>109</v>
      </c>
      <c r="G7098" s="201" t="s">
        <v>581</v>
      </c>
      <c r="H7098" s="208"/>
      <c r="I7098" s="208"/>
      <c r="J7098" s="209"/>
      <c r="K7098" s="209"/>
      <c r="L7098" s="209"/>
      <c r="M7098" s="209"/>
      <c r="N7098" s="209"/>
      <c r="O7098" s="209"/>
      <c r="P7098" s="209"/>
      <c r="Q7098" s="209"/>
      <c r="R7098" s="209"/>
      <c r="S7098" s="209"/>
      <c r="T7098" s="209"/>
    </row>
    <row r="7099" spans="1:20" ht="15" hidden="1" customHeight="1">
      <c r="A7099" s="468">
        <v>45568</v>
      </c>
      <c r="B7099" s="208" t="s">
        <v>5704</v>
      </c>
      <c r="C7099" s="208" t="s">
        <v>27</v>
      </c>
      <c r="D7099" s="211">
        <v>-659200</v>
      </c>
      <c r="E7099" s="212">
        <v>45566</v>
      </c>
      <c r="F7099" s="208" t="s">
        <v>109</v>
      </c>
      <c r="G7099" s="201" t="s">
        <v>583</v>
      </c>
      <c r="H7099" s="208"/>
      <c r="I7099" s="208"/>
      <c r="J7099" s="209"/>
      <c r="K7099" s="209"/>
      <c r="L7099" s="209"/>
      <c r="M7099" s="209"/>
      <c r="N7099" s="209"/>
      <c r="O7099" s="209"/>
      <c r="P7099" s="209"/>
      <c r="Q7099" s="209"/>
      <c r="R7099" s="209"/>
      <c r="S7099" s="209"/>
      <c r="T7099" s="209"/>
    </row>
    <row r="7100" spans="1:20" ht="15" hidden="1" customHeight="1">
      <c r="A7100" s="468">
        <v>45568</v>
      </c>
      <c r="B7100" s="208" t="s">
        <v>5704</v>
      </c>
      <c r="C7100" s="208" t="s">
        <v>27</v>
      </c>
      <c r="D7100" s="211">
        <v>-659200</v>
      </c>
      <c r="E7100" s="212">
        <v>45566</v>
      </c>
      <c r="F7100" s="208" t="s">
        <v>109</v>
      </c>
      <c r="G7100" s="208" t="s">
        <v>3529</v>
      </c>
      <c r="H7100" s="208" t="s">
        <v>147</v>
      </c>
      <c r="I7100" s="208"/>
      <c r="J7100" s="209"/>
      <c r="K7100" s="209"/>
      <c r="L7100" s="209"/>
      <c r="M7100" s="209"/>
      <c r="N7100" s="209"/>
      <c r="O7100" s="209"/>
      <c r="P7100" s="209"/>
      <c r="Q7100" s="209"/>
      <c r="R7100" s="209"/>
      <c r="S7100" s="209"/>
      <c r="T7100" s="209"/>
    </row>
    <row r="7101" spans="1:20" ht="15" hidden="1" customHeight="1">
      <c r="A7101" s="468">
        <v>45568</v>
      </c>
      <c r="B7101" s="208" t="s">
        <v>5705</v>
      </c>
      <c r="C7101" s="208" t="s">
        <v>27</v>
      </c>
      <c r="D7101" s="211">
        <v>-1021700</v>
      </c>
      <c r="E7101" s="212">
        <v>45566</v>
      </c>
      <c r="F7101" s="208" t="s">
        <v>109</v>
      </c>
      <c r="G7101" s="208" t="s">
        <v>5503</v>
      </c>
      <c r="H7101" s="208" t="s">
        <v>147</v>
      </c>
      <c r="I7101" s="475" t="s">
        <v>5410</v>
      </c>
      <c r="J7101" s="209"/>
      <c r="K7101" s="209"/>
      <c r="L7101" s="209"/>
      <c r="M7101" s="209"/>
      <c r="N7101" s="209"/>
      <c r="O7101" s="209"/>
      <c r="P7101" s="209"/>
      <c r="Q7101" s="209"/>
      <c r="R7101" s="209"/>
      <c r="S7101" s="209"/>
      <c r="T7101" s="209"/>
    </row>
    <row r="7102" spans="1:20" ht="15" hidden="1" customHeight="1">
      <c r="A7102" s="468">
        <v>45568</v>
      </c>
      <c r="B7102" s="208" t="s">
        <v>5134</v>
      </c>
      <c r="C7102" s="208" t="s">
        <v>27</v>
      </c>
      <c r="D7102" s="211">
        <v>-774000</v>
      </c>
      <c r="E7102" s="212">
        <v>45566</v>
      </c>
      <c r="F7102" s="208" t="s">
        <v>110</v>
      </c>
      <c r="G7102" s="208" t="s">
        <v>5469</v>
      </c>
      <c r="H7102" s="201" t="s">
        <v>508</v>
      </c>
      <c r="I7102" s="475" t="s">
        <v>5410</v>
      </c>
      <c r="J7102" s="209"/>
      <c r="K7102" s="209"/>
      <c r="L7102" s="209"/>
      <c r="M7102" s="209"/>
      <c r="N7102" s="209"/>
      <c r="O7102" s="209"/>
      <c r="P7102" s="209"/>
      <c r="Q7102" s="209"/>
      <c r="R7102" s="209"/>
      <c r="S7102" s="209"/>
      <c r="T7102" s="209"/>
    </row>
    <row r="7103" spans="1:20" ht="15" hidden="1" customHeight="1">
      <c r="A7103" s="468">
        <v>45568</v>
      </c>
      <c r="B7103" s="208" t="s">
        <v>5132</v>
      </c>
      <c r="C7103" s="208" t="s">
        <v>27</v>
      </c>
      <c r="D7103" s="718">
        <v>-774000</v>
      </c>
      <c r="E7103" s="212">
        <v>45566</v>
      </c>
      <c r="F7103" s="208" t="s">
        <v>109</v>
      </c>
      <c r="G7103" s="201" t="s">
        <v>581</v>
      </c>
      <c r="H7103" s="208"/>
      <c r="I7103" s="208"/>
      <c r="J7103" s="209"/>
      <c r="K7103" s="209"/>
      <c r="L7103" s="209"/>
      <c r="M7103" s="209"/>
      <c r="N7103" s="209"/>
      <c r="O7103" s="209"/>
      <c r="P7103" s="209"/>
      <c r="Q7103" s="209"/>
      <c r="R7103" s="209"/>
      <c r="S7103" s="209"/>
      <c r="T7103" s="209"/>
    </row>
    <row r="7104" spans="1:20" ht="15" hidden="1" customHeight="1">
      <c r="A7104" s="468">
        <v>45568</v>
      </c>
      <c r="B7104" s="208" t="s">
        <v>5706</v>
      </c>
      <c r="C7104" s="208" t="s">
        <v>27</v>
      </c>
      <c r="D7104" s="211">
        <v>-399800</v>
      </c>
      <c r="E7104" s="212">
        <v>45566</v>
      </c>
      <c r="F7104" s="208" t="s">
        <v>207</v>
      </c>
      <c r="G7104" s="208" t="s">
        <v>207</v>
      </c>
      <c r="H7104" s="208"/>
      <c r="I7104" s="208"/>
      <c r="J7104" s="209"/>
      <c r="K7104" s="209"/>
      <c r="L7104" s="209"/>
      <c r="M7104" s="209"/>
      <c r="N7104" s="209"/>
      <c r="O7104" s="209"/>
      <c r="P7104" s="209"/>
      <c r="Q7104" s="209"/>
      <c r="R7104" s="209"/>
      <c r="S7104" s="209"/>
      <c r="T7104" s="209"/>
    </row>
    <row r="7105" spans="1:20" ht="15" hidden="1" customHeight="1">
      <c r="A7105" s="468">
        <v>45568</v>
      </c>
      <c r="B7105" s="208" t="s">
        <v>5707</v>
      </c>
      <c r="C7105" s="208" t="s">
        <v>27</v>
      </c>
      <c r="D7105" s="211">
        <v>-206400</v>
      </c>
      <c r="E7105" s="212">
        <v>45566</v>
      </c>
      <c r="F7105" s="208" t="s">
        <v>207</v>
      </c>
      <c r="G7105" s="208" t="s">
        <v>207</v>
      </c>
      <c r="H7105" s="208"/>
      <c r="I7105" s="208"/>
      <c r="J7105" s="209"/>
      <c r="K7105" s="209"/>
      <c r="L7105" s="209"/>
      <c r="M7105" s="209"/>
      <c r="N7105" s="209"/>
      <c r="O7105" s="209"/>
      <c r="P7105" s="209"/>
      <c r="Q7105" s="209"/>
      <c r="R7105" s="209"/>
      <c r="S7105" s="209"/>
      <c r="T7105" s="209"/>
    </row>
    <row r="7106" spans="1:20" ht="15" hidden="1" customHeight="1">
      <c r="A7106" s="468">
        <v>45568</v>
      </c>
      <c r="B7106" s="208" t="s">
        <v>5707</v>
      </c>
      <c r="C7106" s="208" t="s">
        <v>27</v>
      </c>
      <c r="D7106" s="211">
        <v>-206400</v>
      </c>
      <c r="E7106" s="212">
        <v>45566</v>
      </c>
      <c r="F7106" s="208" t="s">
        <v>110</v>
      </c>
      <c r="G7106" s="201" t="s">
        <v>1489</v>
      </c>
      <c r="H7106" s="208" t="s">
        <v>147</v>
      </c>
      <c r="I7106" s="208"/>
      <c r="J7106" s="209"/>
      <c r="K7106" s="209"/>
      <c r="L7106" s="209"/>
      <c r="M7106" s="209"/>
      <c r="N7106" s="209"/>
      <c r="O7106" s="209"/>
      <c r="P7106" s="209"/>
      <c r="Q7106" s="209"/>
      <c r="R7106" s="209"/>
      <c r="S7106" s="209"/>
      <c r="T7106" s="209"/>
    </row>
    <row r="7107" spans="1:20" ht="15" hidden="1" customHeight="1">
      <c r="A7107" s="468">
        <v>45568</v>
      </c>
      <c r="B7107" s="208" t="s">
        <v>5707</v>
      </c>
      <c r="C7107" s="208" t="s">
        <v>27</v>
      </c>
      <c r="D7107" s="211">
        <v>-206400</v>
      </c>
      <c r="E7107" s="212">
        <v>45566</v>
      </c>
      <c r="F7107" s="208" t="s">
        <v>109</v>
      </c>
      <c r="G7107" s="208" t="s">
        <v>3529</v>
      </c>
      <c r="H7107" s="208" t="s">
        <v>147</v>
      </c>
      <c r="I7107" s="208"/>
      <c r="J7107" s="209"/>
      <c r="K7107" s="209"/>
      <c r="L7107" s="209"/>
      <c r="M7107" s="209"/>
      <c r="N7107" s="209"/>
      <c r="O7107" s="209"/>
      <c r="P7107" s="209"/>
      <c r="Q7107" s="209"/>
      <c r="R7107" s="209"/>
      <c r="S7107" s="209"/>
      <c r="T7107" s="209"/>
    </row>
    <row r="7108" spans="1:20" ht="15" hidden="1" customHeight="1">
      <c r="A7108" s="468">
        <v>45568</v>
      </c>
      <c r="B7108" s="208" t="s">
        <v>5708</v>
      </c>
      <c r="C7108" s="208" t="s">
        <v>27</v>
      </c>
      <c r="D7108" s="211">
        <v>-179600</v>
      </c>
      <c r="E7108" s="212">
        <v>45566</v>
      </c>
      <c r="F7108" s="208" t="s">
        <v>207</v>
      </c>
      <c r="G7108" s="208" t="s">
        <v>207</v>
      </c>
      <c r="H7108" s="208"/>
      <c r="I7108" s="208"/>
      <c r="J7108" s="209"/>
      <c r="K7108" s="209"/>
      <c r="L7108" s="209"/>
      <c r="M7108" s="209"/>
      <c r="N7108" s="209"/>
      <c r="O7108" s="209"/>
      <c r="P7108" s="209"/>
      <c r="Q7108" s="209"/>
      <c r="R7108" s="209"/>
      <c r="S7108" s="209"/>
      <c r="T7108" s="209"/>
    </row>
    <row r="7109" spans="1:20" ht="15" hidden="1" customHeight="1">
      <c r="A7109" s="468">
        <v>45568</v>
      </c>
      <c r="B7109" s="208" t="s">
        <v>5708</v>
      </c>
      <c r="C7109" s="208" t="s">
        <v>27</v>
      </c>
      <c r="D7109" s="211">
        <v>-179600</v>
      </c>
      <c r="E7109" s="212">
        <v>45566</v>
      </c>
      <c r="F7109" s="208" t="s">
        <v>110</v>
      </c>
      <c r="G7109" s="201" t="s">
        <v>1489</v>
      </c>
      <c r="H7109" s="208" t="s">
        <v>147</v>
      </c>
      <c r="I7109" s="475" t="s">
        <v>5410</v>
      </c>
      <c r="J7109" s="209"/>
      <c r="K7109" s="209"/>
      <c r="L7109" s="209"/>
      <c r="M7109" s="209"/>
      <c r="N7109" s="209"/>
      <c r="O7109" s="209"/>
      <c r="P7109" s="209"/>
      <c r="Q7109" s="209"/>
      <c r="R7109" s="209"/>
      <c r="S7109" s="209"/>
      <c r="T7109" s="209"/>
    </row>
    <row r="7110" spans="1:20" ht="15" hidden="1" customHeight="1">
      <c r="A7110" s="468">
        <v>45568</v>
      </c>
      <c r="B7110" s="208" t="s">
        <v>5708</v>
      </c>
      <c r="C7110" s="208" t="s">
        <v>27</v>
      </c>
      <c r="D7110" s="211">
        <v>-179600</v>
      </c>
      <c r="E7110" s="212">
        <v>45566</v>
      </c>
      <c r="F7110" s="208" t="s">
        <v>109</v>
      </c>
      <c r="G7110" s="208" t="s">
        <v>3529</v>
      </c>
      <c r="H7110" s="208" t="s">
        <v>147</v>
      </c>
      <c r="I7110" s="475" t="s">
        <v>5410</v>
      </c>
      <c r="J7110" s="209"/>
      <c r="K7110" s="209"/>
      <c r="L7110" s="209"/>
      <c r="M7110" s="209"/>
      <c r="N7110" s="209"/>
      <c r="O7110" s="209"/>
      <c r="P7110" s="209"/>
      <c r="Q7110" s="209"/>
      <c r="R7110" s="209"/>
      <c r="S7110" s="209"/>
      <c r="T7110" s="209"/>
    </row>
    <row r="7111" spans="1:20" ht="15" hidden="1" customHeight="1">
      <c r="A7111" s="468">
        <v>45568</v>
      </c>
      <c r="B7111" s="208" t="s">
        <v>5163</v>
      </c>
      <c r="C7111" s="208" t="s">
        <v>27</v>
      </c>
      <c r="D7111" s="211">
        <v>-826500</v>
      </c>
      <c r="E7111" s="212">
        <v>45566</v>
      </c>
      <c r="F7111" s="208" t="s">
        <v>109</v>
      </c>
      <c r="G7111" s="208" t="s">
        <v>2809</v>
      </c>
      <c r="H7111" s="208" t="s">
        <v>2421</v>
      </c>
      <c r="I7111" s="208"/>
      <c r="J7111" s="209"/>
      <c r="K7111" s="209"/>
      <c r="L7111" s="209"/>
      <c r="M7111" s="209"/>
      <c r="N7111" s="209"/>
      <c r="O7111" s="209"/>
      <c r="P7111" s="209"/>
      <c r="Q7111" s="209"/>
      <c r="R7111" s="209"/>
      <c r="S7111" s="209"/>
      <c r="T7111" s="209"/>
    </row>
    <row r="7112" spans="1:20" ht="15" hidden="1" customHeight="1">
      <c r="A7112" s="468">
        <v>45568</v>
      </c>
      <c r="B7112" s="208" t="s">
        <v>5165</v>
      </c>
      <c r="C7112" s="208" t="s">
        <v>27</v>
      </c>
      <c r="D7112" s="211">
        <v>-1562000</v>
      </c>
      <c r="E7112" s="212">
        <v>45566</v>
      </c>
      <c r="F7112" s="208" t="s">
        <v>109</v>
      </c>
      <c r="G7112" s="208" t="s">
        <v>2809</v>
      </c>
      <c r="H7112" s="208" t="s">
        <v>2421</v>
      </c>
      <c r="I7112" s="208"/>
      <c r="J7112" s="209"/>
      <c r="K7112" s="209"/>
      <c r="L7112" s="209"/>
      <c r="M7112" s="209"/>
      <c r="N7112" s="209"/>
      <c r="O7112" s="209"/>
      <c r="P7112" s="209"/>
      <c r="Q7112" s="209"/>
      <c r="R7112" s="209"/>
      <c r="S7112" s="209"/>
      <c r="T7112" s="209"/>
    </row>
    <row r="7113" spans="1:20" ht="15" hidden="1" customHeight="1">
      <c r="A7113" s="468">
        <v>45568</v>
      </c>
      <c r="B7113" s="208" t="s">
        <v>5709</v>
      </c>
      <c r="C7113" s="208" t="s">
        <v>27</v>
      </c>
      <c r="D7113" s="211">
        <v>-809300</v>
      </c>
      <c r="E7113" s="212">
        <v>45566</v>
      </c>
      <c r="F7113" s="208" t="s">
        <v>109</v>
      </c>
      <c r="G7113" s="208" t="s">
        <v>2809</v>
      </c>
      <c r="H7113" s="208" t="s">
        <v>2421</v>
      </c>
      <c r="I7113" s="208"/>
      <c r="J7113" s="209"/>
      <c r="K7113" s="209"/>
      <c r="L7113" s="209"/>
      <c r="M7113" s="209"/>
      <c r="N7113" s="209"/>
      <c r="O7113" s="209"/>
      <c r="P7113" s="209"/>
      <c r="Q7113" s="209"/>
      <c r="R7113" s="209"/>
      <c r="S7113" s="209"/>
      <c r="T7113" s="209"/>
    </row>
    <row r="7114" spans="1:20" ht="15" hidden="1" customHeight="1">
      <c r="A7114" s="468">
        <v>45568</v>
      </c>
      <c r="B7114" s="208" t="s">
        <v>5710</v>
      </c>
      <c r="C7114" s="208" t="s">
        <v>27</v>
      </c>
      <c r="D7114" s="211">
        <v>-613100</v>
      </c>
      <c r="E7114" s="212">
        <v>45566</v>
      </c>
      <c r="F7114" s="208" t="s">
        <v>109</v>
      </c>
      <c r="G7114" s="208" t="s">
        <v>2809</v>
      </c>
      <c r="H7114" s="208" t="s">
        <v>2421</v>
      </c>
      <c r="I7114" s="475" t="s">
        <v>5410</v>
      </c>
      <c r="J7114" s="209"/>
      <c r="K7114" s="209"/>
      <c r="L7114" s="209"/>
      <c r="M7114" s="209"/>
      <c r="N7114" s="209"/>
      <c r="O7114" s="209"/>
      <c r="P7114" s="209"/>
      <c r="Q7114" s="209"/>
      <c r="R7114" s="209"/>
      <c r="S7114" s="209"/>
      <c r="T7114" s="209"/>
    </row>
    <row r="7115" spans="1:20" ht="15" hidden="1" customHeight="1">
      <c r="A7115" s="468">
        <v>45576</v>
      </c>
      <c r="B7115" s="208" t="s">
        <v>5711</v>
      </c>
      <c r="C7115" s="208" t="s">
        <v>27</v>
      </c>
      <c r="D7115" s="211">
        <v>-110000</v>
      </c>
      <c r="E7115" s="212">
        <v>45566</v>
      </c>
      <c r="F7115" s="208" t="s">
        <v>130</v>
      </c>
      <c r="G7115" s="208" t="s">
        <v>130</v>
      </c>
      <c r="H7115" s="81" t="s">
        <v>138</v>
      </c>
      <c r="I7115" s="208"/>
      <c r="J7115" s="209"/>
      <c r="K7115" s="209"/>
      <c r="L7115" s="209"/>
      <c r="M7115" s="209"/>
      <c r="N7115" s="209"/>
      <c r="O7115" s="209"/>
      <c r="P7115" s="209"/>
      <c r="Q7115" s="209"/>
      <c r="R7115" s="209"/>
      <c r="S7115" s="209"/>
      <c r="T7115" s="209"/>
    </row>
    <row r="7116" spans="1:20" s="560" customFormat="1" ht="15" hidden="1" customHeight="1">
      <c r="A7116" s="468">
        <v>45580</v>
      </c>
      <c r="B7116" s="208" t="s">
        <v>2663</v>
      </c>
      <c r="C7116" s="208" t="s">
        <v>146</v>
      </c>
      <c r="D7116" s="211">
        <v>-31000</v>
      </c>
      <c r="E7116" s="212">
        <v>45566</v>
      </c>
      <c r="F7116" s="208" t="s">
        <v>109</v>
      </c>
      <c r="G7116" s="208" t="s">
        <v>3529</v>
      </c>
      <c r="H7116" s="81" t="s">
        <v>138</v>
      </c>
      <c r="I7116" s="208"/>
      <c r="J7116" s="209"/>
      <c r="K7116" s="209"/>
      <c r="L7116" s="209"/>
      <c r="M7116" s="209"/>
      <c r="N7116" s="209"/>
      <c r="O7116" s="209"/>
      <c r="P7116" s="209"/>
      <c r="Q7116" s="209"/>
      <c r="R7116" s="209"/>
      <c r="S7116" s="209"/>
      <c r="T7116" s="209"/>
    </row>
    <row r="7117" spans="1:20" ht="15" hidden="1" customHeight="1">
      <c r="A7117" s="468">
        <v>45580</v>
      </c>
      <c r="B7117" s="208" t="s">
        <v>2663</v>
      </c>
      <c r="C7117" s="208" t="s">
        <v>146</v>
      </c>
      <c r="D7117" s="211">
        <v>-21000</v>
      </c>
      <c r="E7117" s="212">
        <v>45566</v>
      </c>
      <c r="F7117" s="208" t="s">
        <v>109</v>
      </c>
      <c r="G7117" s="208" t="s">
        <v>4986</v>
      </c>
      <c r="H7117" s="81" t="s">
        <v>138</v>
      </c>
      <c r="I7117" s="208"/>
      <c r="J7117" s="209"/>
      <c r="K7117" s="209"/>
      <c r="L7117" s="209"/>
      <c r="M7117" s="209"/>
      <c r="N7117" s="209"/>
      <c r="O7117" s="209"/>
      <c r="P7117" s="209"/>
      <c r="Q7117" s="209"/>
      <c r="R7117" s="209"/>
      <c r="S7117" s="209"/>
      <c r="T7117" s="209"/>
    </row>
    <row r="7118" spans="1:20" ht="15" hidden="1" customHeight="1">
      <c r="A7118" s="468">
        <v>45580</v>
      </c>
      <c r="B7118" s="208" t="s">
        <v>2663</v>
      </c>
      <c r="C7118" s="208" t="s">
        <v>146</v>
      </c>
      <c r="D7118" s="211">
        <v>-36000</v>
      </c>
      <c r="E7118" s="212">
        <v>45566</v>
      </c>
      <c r="F7118" s="208" t="s">
        <v>109</v>
      </c>
      <c r="G7118" s="208" t="s">
        <v>4225</v>
      </c>
      <c r="H7118" s="81" t="s">
        <v>138</v>
      </c>
      <c r="I7118" s="208"/>
      <c r="J7118" s="209"/>
      <c r="K7118" s="209"/>
      <c r="L7118" s="209"/>
      <c r="M7118" s="209"/>
      <c r="N7118" s="209"/>
      <c r="O7118" s="209"/>
      <c r="P7118" s="209"/>
      <c r="Q7118" s="209"/>
      <c r="R7118" s="209"/>
      <c r="S7118" s="209"/>
      <c r="T7118" s="209"/>
    </row>
    <row r="7119" spans="1:20" ht="15" hidden="1" customHeight="1">
      <c r="A7119" s="468">
        <v>45580</v>
      </c>
      <c r="B7119" s="208" t="s">
        <v>2663</v>
      </c>
      <c r="C7119" s="208" t="s">
        <v>146</v>
      </c>
      <c r="D7119" s="211">
        <v>-63000</v>
      </c>
      <c r="E7119" s="212">
        <v>45566</v>
      </c>
      <c r="F7119" s="208" t="s">
        <v>110</v>
      </c>
      <c r="G7119" s="201" t="s">
        <v>1489</v>
      </c>
      <c r="H7119" s="81" t="s">
        <v>138</v>
      </c>
      <c r="I7119" s="208"/>
      <c r="J7119" s="209"/>
      <c r="K7119" s="209"/>
      <c r="L7119" s="209"/>
      <c r="M7119" s="209"/>
      <c r="N7119" s="209"/>
      <c r="O7119" s="209"/>
      <c r="P7119" s="209"/>
      <c r="Q7119" s="209"/>
      <c r="R7119" s="209"/>
      <c r="S7119" s="209"/>
      <c r="T7119" s="209"/>
    </row>
    <row r="7120" spans="1:20" ht="15" hidden="1" customHeight="1">
      <c r="A7120" s="468">
        <v>45580</v>
      </c>
      <c r="B7120" s="208" t="s">
        <v>2663</v>
      </c>
      <c r="C7120" s="208" t="s">
        <v>146</v>
      </c>
      <c r="D7120" s="211">
        <v>-7000</v>
      </c>
      <c r="E7120" s="212">
        <v>45566</v>
      </c>
      <c r="F7120" s="208" t="s">
        <v>109</v>
      </c>
      <c r="G7120" s="208" t="s">
        <v>10</v>
      </c>
      <c r="H7120" s="81" t="s">
        <v>138</v>
      </c>
      <c r="I7120" s="208"/>
      <c r="J7120" s="209"/>
      <c r="K7120" s="209"/>
      <c r="L7120" s="209"/>
      <c r="M7120" s="209"/>
      <c r="N7120" s="209"/>
      <c r="O7120" s="209"/>
      <c r="P7120" s="209"/>
      <c r="Q7120" s="209"/>
      <c r="R7120" s="209"/>
      <c r="S7120" s="209"/>
      <c r="T7120" s="209"/>
    </row>
    <row r="7121" spans="1:20" ht="15" hidden="1" customHeight="1">
      <c r="A7121" s="468">
        <v>45580</v>
      </c>
      <c r="B7121" s="208" t="s">
        <v>2663</v>
      </c>
      <c r="C7121" s="208" t="s">
        <v>146</v>
      </c>
      <c r="D7121" s="211">
        <v>-7000</v>
      </c>
      <c r="E7121" s="212">
        <v>45566</v>
      </c>
      <c r="F7121" s="208" t="s">
        <v>109</v>
      </c>
      <c r="G7121" s="201" t="s">
        <v>581</v>
      </c>
      <c r="H7121" s="208"/>
      <c r="I7121" s="208"/>
      <c r="J7121" s="209"/>
      <c r="K7121" s="209"/>
      <c r="L7121" s="209"/>
      <c r="M7121" s="209"/>
      <c r="N7121" s="209"/>
      <c r="O7121" s="209"/>
      <c r="P7121" s="209"/>
      <c r="Q7121" s="209"/>
      <c r="R7121" s="209"/>
      <c r="S7121" s="209"/>
      <c r="T7121" s="209"/>
    </row>
    <row r="7122" spans="1:20" ht="15" hidden="1" customHeight="1">
      <c r="A7122" s="468">
        <v>45580</v>
      </c>
      <c r="B7122" s="208" t="s">
        <v>2663</v>
      </c>
      <c r="C7122" s="208" t="s">
        <v>146</v>
      </c>
      <c r="D7122" s="211">
        <v>-14000</v>
      </c>
      <c r="E7122" s="212">
        <v>45566</v>
      </c>
      <c r="F7122" s="208" t="s">
        <v>207</v>
      </c>
      <c r="G7122" s="208" t="s">
        <v>5453</v>
      </c>
      <c r="H7122" s="81" t="s">
        <v>138</v>
      </c>
      <c r="I7122" s="208"/>
      <c r="J7122" s="209"/>
      <c r="K7122" s="209"/>
      <c r="L7122" s="209"/>
      <c r="M7122" s="209"/>
      <c r="N7122" s="209"/>
      <c r="O7122" s="209"/>
      <c r="P7122" s="209"/>
      <c r="Q7122" s="209"/>
      <c r="R7122" s="209"/>
      <c r="S7122" s="209"/>
      <c r="T7122" s="209"/>
    </row>
    <row r="7123" spans="1:20" ht="15" hidden="1" customHeight="1">
      <c r="A7123" s="468">
        <v>45581</v>
      </c>
      <c r="B7123" s="208" t="s">
        <v>5712</v>
      </c>
      <c r="C7123" s="208" t="s">
        <v>146</v>
      </c>
      <c r="D7123" s="211">
        <v>-96300</v>
      </c>
      <c r="E7123" s="212">
        <v>45566</v>
      </c>
      <c r="F7123" s="208" t="s">
        <v>130</v>
      </c>
      <c r="G7123" s="208" t="s">
        <v>130</v>
      </c>
      <c r="H7123" s="81" t="s">
        <v>138</v>
      </c>
      <c r="I7123" s="208"/>
      <c r="J7123" s="209"/>
      <c r="K7123" s="209"/>
      <c r="L7123" s="209"/>
      <c r="M7123" s="209"/>
      <c r="N7123" s="209"/>
      <c r="O7123" s="209"/>
      <c r="P7123" s="209"/>
      <c r="Q7123" s="209"/>
      <c r="R7123" s="209"/>
      <c r="S7123" s="209"/>
      <c r="T7123" s="209"/>
    </row>
    <row r="7124" spans="1:20" ht="15" hidden="1" customHeight="1">
      <c r="A7124" s="468">
        <v>45566</v>
      </c>
      <c r="B7124" s="208" t="s">
        <v>5713</v>
      </c>
      <c r="C7124" s="208" t="s">
        <v>146</v>
      </c>
      <c r="D7124" s="211">
        <v>-13000</v>
      </c>
      <c r="E7124" s="212">
        <v>45566</v>
      </c>
      <c r="F7124" s="208" t="s">
        <v>109</v>
      </c>
      <c r="G7124" s="654" t="s">
        <v>2585</v>
      </c>
      <c r="H7124" s="81" t="s">
        <v>138</v>
      </c>
      <c r="I7124" s="208" t="s">
        <v>4362</v>
      </c>
      <c r="J7124" s="209"/>
      <c r="K7124" s="209"/>
      <c r="L7124" s="209"/>
      <c r="M7124" s="209"/>
      <c r="N7124" s="209"/>
      <c r="O7124" s="209"/>
      <c r="P7124" s="209"/>
      <c r="Q7124" s="209"/>
      <c r="R7124" s="209"/>
      <c r="S7124" s="209"/>
      <c r="T7124" s="209"/>
    </row>
    <row r="7125" spans="1:20" ht="15" hidden="1" customHeight="1">
      <c r="A7125" s="468">
        <v>45566</v>
      </c>
      <c r="B7125" s="208" t="s">
        <v>5714</v>
      </c>
      <c r="C7125" s="208" t="s">
        <v>146</v>
      </c>
      <c r="D7125" s="211">
        <v>-13000</v>
      </c>
      <c r="E7125" s="212">
        <v>45566</v>
      </c>
      <c r="F7125" s="208" t="s">
        <v>109</v>
      </c>
      <c r="G7125" s="654" t="s">
        <v>2585</v>
      </c>
      <c r="H7125" s="81" t="s">
        <v>138</v>
      </c>
      <c r="I7125" s="208" t="s">
        <v>4362</v>
      </c>
      <c r="J7125" s="209"/>
      <c r="K7125" s="209"/>
      <c r="L7125" s="209"/>
      <c r="M7125" s="209"/>
      <c r="N7125" s="209"/>
      <c r="O7125" s="209"/>
      <c r="P7125" s="209"/>
      <c r="Q7125" s="209"/>
      <c r="R7125" s="209"/>
      <c r="S7125" s="209"/>
      <c r="T7125" s="209"/>
    </row>
    <row r="7126" spans="1:20" ht="15" hidden="1" customHeight="1">
      <c r="A7126" s="468">
        <v>45572</v>
      </c>
      <c r="B7126" s="208" t="s">
        <v>5715</v>
      </c>
      <c r="C7126" s="208" t="s">
        <v>146</v>
      </c>
      <c r="D7126" s="211">
        <v>-11000</v>
      </c>
      <c r="E7126" s="212">
        <v>45566</v>
      </c>
      <c r="F7126" s="208" t="s">
        <v>110</v>
      </c>
      <c r="G7126" s="208" t="s">
        <v>4249</v>
      </c>
      <c r="H7126" s="208" t="s">
        <v>138</v>
      </c>
      <c r="I7126" s="208" t="s">
        <v>4362</v>
      </c>
      <c r="J7126" s="209"/>
      <c r="K7126" s="209"/>
      <c r="L7126" s="209"/>
      <c r="M7126" s="209"/>
      <c r="N7126" s="209"/>
      <c r="O7126" s="209"/>
      <c r="P7126" s="209"/>
      <c r="Q7126" s="209"/>
      <c r="R7126" s="209"/>
      <c r="S7126" s="209"/>
      <c r="T7126" s="209"/>
    </row>
    <row r="7127" spans="1:20" ht="15" hidden="1" customHeight="1">
      <c r="A7127" s="468">
        <v>45572</v>
      </c>
      <c r="B7127" s="208" t="s">
        <v>5716</v>
      </c>
      <c r="C7127" s="208" t="s">
        <v>146</v>
      </c>
      <c r="D7127" s="211">
        <v>-11000</v>
      </c>
      <c r="E7127" s="212">
        <v>45566</v>
      </c>
      <c r="F7127" s="208" t="s">
        <v>110</v>
      </c>
      <c r="G7127" s="208" t="s">
        <v>4249</v>
      </c>
      <c r="H7127" s="208" t="s">
        <v>138</v>
      </c>
      <c r="I7127" s="475" t="s">
        <v>5410</v>
      </c>
      <c r="J7127" s="209"/>
      <c r="K7127" s="209"/>
      <c r="L7127" s="209"/>
      <c r="M7127" s="209"/>
      <c r="N7127" s="209"/>
      <c r="O7127" s="209"/>
      <c r="P7127" s="209"/>
      <c r="Q7127" s="209"/>
      <c r="R7127" s="209"/>
      <c r="S7127" s="209"/>
      <c r="T7127" s="209"/>
    </row>
    <row r="7128" spans="1:20" ht="15" hidden="1" customHeight="1">
      <c r="A7128" s="468">
        <v>45581</v>
      </c>
      <c r="B7128" s="208" t="s">
        <v>5717</v>
      </c>
      <c r="C7128" s="208" t="s">
        <v>146</v>
      </c>
      <c r="D7128" s="211">
        <v>-200500</v>
      </c>
      <c r="E7128" s="212">
        <v>45566</v>
      </c>
      <c r="F7128" s="208" t="s">
        <v>130</v>
      </c>
      <c r="G7128" s="208" t="s">
        <v>130</v>
      </c>
      <c r="H7128" s="208" t="s">
        <v>2444</v>
      </c>
      <c r="I7128" s="208"/>
      <c r="J7128" s="209"/>
      <c r="K7128" s="209"/>
      <c r="L7128" s="209"/>
      <c r="M7128" s="209"/>
      <c r="N7128" s="209"/>
      <c r="O7128" s="209"/>
      <c r="P7128" s="209"/>
      <c r="Q7128" s="209"/>
      <c r="R7128" s="209"/>
      <c r="S7128" s="209"/>
      <c r="T7128" s="209"/>
    </row>
    <row r="7129" spans="1:20" ht="15" hidden="1" customHeight="1">
      <c r="A7129" s="468">
        <v>45582</v>
      </c>
      <c r="B7129" s="208" t="s">
        <v>2663</v>
      </c>
      <c r="C7129" s="208" t="s">
        <v>146</v>
      </c>
      <c r="D7129" s="211">
        <v>-21000</v>
      </c>
      <c r="E7129" s="212">
        <v>45566</v>
      </c>
      <c r="F7129" s="208" t="s">
        <v>207</v>
      </c>
      <c r="G7129" s="208" t="s">
        <v>5453</v>
      </c>
      <c r="H7129" s="81" t="s">
        <v>138</v>
      </c>
      <c r="I7129" s="208"/>
      <c r="J7129" s="209"/>
      <c r="K7129" s="209"/>
      <c r="L7129" s="209"/>
      <c r="M7129" s="209"/>
      <c r="N7129" s="209"/>
      <c r="O7129" s="209"/>
      <c r="P7129" s="209"/>
      <c r="Q7129" s="209"/>
      <c r="R7129" s="209"/>
      <c r="S7129" s="209"/>
      <c r="T7129" s="209"/>
    </row>
    <row r="7130" spans="1:20" ht="15" hidden="1" customHeight="1">
      <c r="A7130" s="468">
        <v>45582</v>
      </c>
      <c r="B7130" s="208" t="s">
        <v>2663</v>
      </c>
      <c r="C7130" s="208" t="s">
        <v>146</v>
      </c>
      <c r="D7130" s="211">
        <v>-35000</v>
      </c>
      <c r="E7130" s="212">
        <v>45566</v>
      </c>
      <c r="F7130" s="208" t="s">
        <v>110</v>
      </c>
      <c r="G7130" s="208" t="s">
        <v>4294</v>
      </c>
      <c r="H7130" s="81" t="s">
        <v>138</v>
      </c>
      <c r="I7130" s="208"/>
      <c r="J7130" s="209"/>
      <c r="K7130" s="209"/>
      <c r="L7130" s="209"/>
      <c r="M7130" s="209"/>
      <c r="N7130" s="209"/>
      <c r="O7130" s="209"/>
      <c r="P7130" s="209"/>
      <c r="Q7130" s="209"/>
      <c r="R7130" s="209"/>
      <c r="S7130" s="209"/>
      <c r="T7130" s="209"/>
    </row>
    <row r="7131" spans="1:20" ht="15" hidden="1" customHeight="1">
      <c r="A7131" s="468">
        <v>45582</v>
      </c>
      <c r="B7131" s="208" t="s">
        <v>2663</v>
      </c>
      <c r="C7131" s="208" t="s">
        <v>146</v>
      </c>
      <c r="D7131" s="211">
        <v>-56000</v>
      </c>
      <c r="E7131" s="212">
        <v>45566</v>
      </c>
      <c r="F7131" s="208" t="s">
        <v>109</v>
      </c>
      <c r="G7131" s="208" t="s">
        <v>4986</v>
      </c>
      <c r="H7131" s="81" t="s">
        <v>138</v>
      </c>
      <c r="I7131" s="208"/>
      <c r="J7131" s="209"/>
      <c r="K7131" s="209"/>
      <c r="L7131" s="209"/>
      <c r="M7131" s="209"/>
      <c r="N7131" s="209"/>
      <c r="O7131" s="209"/>
      <c r="P7131" s="209"/>
      <c r="Q7131" s="209"/>
      <c r="R7131" s="209"/>
      <c r="S7131" s="209"/>
      <c r="T7131" s="209"/>
    </row>
    <row r="7132" spans="1:20" ht="15" hidden="1" customHeight="1">
      <c r="A7132" s="468">
        <v>45582</v>
      </c>
      <c r="B7132" s="208" t="s">
        <v>2663</v>
      </c>
      <c r="C7132" s="208" t="s">
        <v>146</v>
      </c>
      <c r="D7132" s="211">
        <v>-26000</v>
      </c>
      <c r="E7132" s="212">
        <v>45566</v>
      </c>
      <c r="F7132" s="208" t="s">
        <v>109</v>
      </c>
      <c r="G7132" s="208" t="s">
        <v>4225</v>
      </c>
      <c r="H7132" s="81" t="s">
        <v>138</v>
      </c>
      <c r="I7132" s="208"/>
      <c r="J7132" s="209"/>
      <c r="K7132" s="209"/>
      <c r="L7132" s="209"/>
      <c r="M7132" s="209"/>
      <c r="N7132" s="209"/>
      <c r="O7132" s="209"/>
      <c r="P7132" s="209"/>
      <c r="Q7132" s="209"/>
      <c r="R7132" s="209"/>
      <c r="S7132" s="209"/>
      <c r="T7132" s="209"/>
    </row>
    <row r="7133" spans="1:20" ht="15" hidden="1" customHeight="1">
      <c r="A7133" s="468">
        <v>45582</v>
      </c>
      <c r="B7133" s="208" t="s">
        <v>2663</v>
      </c>
      <c r="C7133" s="208" t="s">
        <v>146</v>
      </c>
      <c r="D7133" s="211">
        <v>-35000</v>
      </c>
      <c r="E7133" s="212">
        <v>45566</v>
      </c>
      <c r="F7133" s="208" t="s">
        <v>110</v>
      </c>
      <c r="G7133" s="201" t="s">
        <v>1489</v>
      </c>
      <c r="H7133" s="81" t="s">
        <v>138</v>
      </c>
      <c r="I7133" s="208"/>
      <c r="J7133" s="209"/>
      <c r="K7133" s="209"/>
      <c r="L7133" s="209"/>
      <c r="M7133" s="209"/>
      <c r="N7133" s="209"/>
      <c r="O7133" s="209"/>
      <c r="P7133" s="209"/>
      <c r="Q7133" s="209"/>
      <c r="R7133" s="209"/>
      <c r="S7133" s="209"/>
      <c r="T7133" s="209"/>
    </row>
    <row r="7134" spans="1:20" ht="15" hidden="1" customHeight="1">
      <c r="A7134" s="468">
        <v>45582</v>
      </c>
      <c r="B7134" s="208" t="s">
        <v>2663</v>
      </c>
      <c r="C7134" s="208" t="s">
        <v>146</v>
      </c>
      <c r="D7134" s="211">
        <v>-7000</v>
      </c>
      <c r="E7134" s="212">
        <v>45566</v>
      </c>
      <c r="F7134" s="208" t="s">
        <v>130</v>
      </c>
      <c r="G7134" s="208" t="s">
        <v>130</v>
      </c>
      <c r="H7134" s="81" t="s">
        <v>138</v>
      </c>
      <c r="I7134" s="475" t="s">
        <v>5410</v>
      </c>
      <c r="J7134" s="209"/>
      <c r="K7134" s="209"/>
      <c r="L7134" s="209"/>
      <c r="M7134" s="209"/>
      <c r="N7134" s="209"/>
      <c r="O7134" s="209"/>
      <c r="P7134" s="209"/>
      <c r="Q7134" s="209"/>
      <c r="R7134" s="209"/>
      <c r="S7134" s="209"/>
      <c r="T7134" s="209"/>
    </row>
    <row r="7135" spans="1:20" ht="15" hidden="1" customHeight="1">
      <c r="A7135" s="468">
        <v>45576</v>
      </c>
      <c r="B7135" s="208" t="s">
        <v>5718</v>
      </c>
      <c r="C7135" s="208" t="s">
        <v>146</v>
      </c>
      <c r="D7135" s="211">
        <v>-2400</v>
      </c>
      <c r="E7135" s="212">
        <v>45566</v>
      </c>
      <c r="F7135" s="208" t="s">
        <v>109</v>
      </c>
      <c r="G7135" s="208" t="s">
        <v>774</v>
      </c>
      <c r="H7135" s="208" t="s">
        <v>175</v>
      </c>
      <c r="I7135" s="475" t="s">
        <v>5410</v>
      </c>
      <c r="J7135" s="209"/>
      <c r="K7135" s="209"/>
      <c r="L7135" s="209"/>
      <c r="M7135" s="209"/>
      <c r="N7135" s="209"/>
      <c r="O7135" s="209"/>
      <c r="P7135" s="209"/>
      <c r="Q7135" s="209"/>
      <c r="R7135" s="209"/>
      <c r="S7135" s="209"/>
      <c r="T7135" s="209"/>
    </row>
    <row r="7136" spans="1:20" ht="15" hidden="1" customHeight="1">
      <c r="A7136" s="468">
        <v>45576</v>
      </c>
      <c r="B7136" s="208" t="s">
        <v>5719</v>
      </c>
      <c r="C7136" s="208" t="s">
        <v>146</v>
      </c>
      <c r="D7136" s="211">
        <v>-28000</v>
      </c>
      <c r="E7136" s="212">
        <v>45566</v>
      </c>
      <c r="F7136" s="208" t="s">
        <v>110</v>
      </c>
      <c r="G7136" s="201" t="s">
        <v>1489</v>
      </c>
      <c r="H7136" s="201" t="s">
        <v>310</v>
      </c>
      <c r="I7136" s="208" t="s">
        <v>5430</v>
      </c>
      <c r="J7136" s="209"/>
      <c r="K7136" s="209"/>
      <c r="L7136" s="209"/>
      <c r="M7136" s="209"/>
      <c r="N7136" s="209"/>
      <c r="O7136" s="209"/>
      <c r="P7136" s="209"/>
      <c r="Q7136" s="209"/>
      <c r="R7136" s="209"/>
      <c r="S7136" s="209"/>
      <c r="T7136" s="209"/>
    </row>
    <row r="7137" spans="1:20" ht="15" hidden="1" customHeight="1">
      <c r="A7137" s="468">
        <v>45576</v>
      </c>
      <c r="B7137" s="208" t="s">
        <v>5720</v>
      </c>
      <c r="C7137" s="208" t="s">
        <v>146</v>
      </c>
      <c r="D7137" s="211">
        <v>-58080</v>
      </c>
      <c r="E7137" s="212">
        <v>45566</v>
      </c>
      <c r="F7137" s="208" t="s">
        <v>110</v>
      </c>
      <c r="G7137" s="201" t="s">
        <v>1489</v>
      </c>
      <c r="H7137" s="208" t="s">
        <v>2941</v>
      </c>
      <c r="I7137" s="208" t="s">
        <v>5430</v>
      </c>
      <c r="J7137" s="209"/>
      <c r="K7137" s="209"/>
      <c r="L7137" s="209"/>
      <c r="M7137" s="209"/>
      <c r="N7137" s="209"/>
      <c r="O7137" s="209"/>
      <c r="P7137" s="209"/>
      <c r="Q7137" s="209"/>
      <c r="R7137" s="209"/>
      <c r="S7137" s="209"/>
      <c r="T7137" s="209"/>
    </row>
    <row r="7138" spans="1:20" ht="15" hidden="1" customHeight="1">
      <c r="A7138" s="468">
        <v>45580</v>
      </c>
      <c r="B7138" s="208" t="s">
        <v>5721</v>
      </c>
      <c r="C7138" s="208" t="s">
        <v>146</v>
      </c>
      <c r="D7138" s="211">
        <v>-60920</v>
      </c>
      <c r="E7138" s="212">
        <v>45566</v>
      </c>
      <c r="F7138" s="208" t="s">
        <v>109</v>
      </c>
      <c r="G7138" s="208" t="s">
        <v>4225</v>
      </c>
      <c r="H7138" s="208" t="s">
        <v>175</v>
      </c>
      <c r="I7138" s="208" t="s">
        <v>5430</v>
      </c>
      <c r="J7138" s="209"/>
      <c r="K7138" s="209"/>
      <c r="L7138" s="209"/>
      <c r="M7138" s="209"/>
      <c r="N7138" s="209"/>
      <c r="O7138" s="209"/>
      <c r="P7138" s="209"/>
      <c r="Q7138" s="209"/>
      <c r="R7138" s="209"/>
      <c r="S7138" s="209"/>
      <c r="T7138" s="209"/>
    </row>
    <row r="7139" spans="1:20" ht="15" hidden="1" customHeight="1">
      <c r="A7139" s="468">
        <v>45580</v>
      </c>
      <c r="B7139" s="208" t="s">
        <v>5440</v>
      </c>
      <c r="C7139" s="208" t="s">
        <v>146</v>
      </c>
      <c r="D7139" s="211">
        <v>-14000</v>
      </c>
      <c r="E7139" s="212">
        <v>45566</v>
      </c>
      <c r="F7139" s="208" t="s">
        <v>110</v>
      </c>
      <c r="G7139" s="201" t="s">
        <v>1489</v>
      </c>
      <c r="H7139" s="208" t="s">
        <v>2941</v>
      </c>
      <c r="I7139" s="208" t="s">
        <v>5430</v>
      </c>
      <c r="J7139" s="209"/>
      <c r="K7139" s="209"/>
      <c r="L7139" s="209"/>
      <c r="M7139" s="209"/>
      <c r="N7139" s="209"/>
      <c r="O7139" s="209"/>
      <c r="P7139" s="209"/>
      <c r="Q7139" s="209"/>
      <c r="R7139" s="209"/>
      <c r="S7139" s="209"/>
      <c r="T7139" s="209"/>
    </row>
    <row r="7140" spans="1:20" ht="15" hidden="1" customHeight="1">
      <c r="A7140" s="468">
        <v>45580</v>
      </c>
      <c r="B7140" s="208" t="s">
        <v>5722</v>
      </c>
      <c r="C7140" s="208" t="s">
        <v>146</v>
      </c>
      <c r="D7140" s="211">
        <v>-60000</v>
      </c>
      <c r="E7140" s="212">
        <v>45566</v>
      </c>
      <c r="F7140" s="208" t="s">
        <v>109</v>
      </c>
      <c r="G7140" s="208" t="s">
        <v>4225</v>
      </c>
      <c r="H7140" s="208" t="s">
        <v>5448</v>
      </c>
      <c r="I7140" s="208" t="s">
        <v>5430</v>
      </c>
      <c r="J7140" s="209"/>
      <c r="K7140" s="209"/>
      <c r="L7140" s="209"/>
      <c r="M7140" s="209"/>
      <c r="N7140" s="209"/>
      <c r="O7140" s="209"/>
      <c r="P7140" s="209"/>
      <c r="Q7140" s="209"/>
      <c r="R7140" s="209"/>
      <c r="S7140" s="209"/>
      <c r="T7140" s="209"/>
    </row>
    <row r="7141" spans="1:20" ht="15" hidden="1" customHeight="1">
      <c r="A7141" s="468">
        <v>45580</v>
      </c>
      <c r="B7141" s="208" t="s">
        <v>5723</v>
      </c>
      <c r="C7141" s="208" t="s">
        <v>146</v>
      </c>
      <c r="D7141" s="211">
        <v>-75000</v>
      </c>
      <c r="E7141" s="212">
        <v>45566</v>
      </c>
      <c r="F7141" s="208" t="s">
        <v>130</v>
      </c>
      <c r="G7141" s="208" t="s">
        <v>130</v>
      </c>
      <c r="H7141" s="208" t="s">
        <v>323</v>
      </c>
      <c r="I7141" s="208" t="s">
        <v>5430</v>
      </c>
      <c r="J7141" s="209"/>
      <c r="K7141" s="209"/>
      <c r="L7141" s="209"/>
      <c r="M7141" s="209"/>
      <c r="N7141" s="209"/>
      <c r="O7141" s="209"/>
      <c r="P7141" s="209"/>
      <c r="Q7141" s="209"/>
      <c r="R7141" s="209"/>
      <c r="S7141" s="209"/>
      <c r="T7141" s="209"/>
    </row>
    <row r="7142" spans="1:20" ht="15" hidden="1" customHeight="1">
      <c r="A7142" s="468">
        <v>45580</v>
      </c>
      <c r="B7142" s="208" t="s">
        <v>5724</v>
      </c>
      <c r="C7142" s="208" t="s">
        <v>146</v>
      </c>
      <c r="D7142" s="211">
        <v>-23287</v>
      </c>
      <c r="E7142" s="212">
        <v>45566</v>
      </c>
      <c r="F7142" s="208" t="s">
        <v>109</v>
      </c>
      <c r="G7142" s="208" t="s">
        <v>4225</v>
      </c>
      <c r="H7142" s="208" t="s">
        <v>175</v>
      </c>
      <c r="I7142" s="208" t="s">
        <v>5430</v>
      </c>
      <c r="J7142" s="209"/>
      <c r="K7142" s="209"/>
      <c r="L7142" s="209"/>
      <c r="M7142" s="209"/>
      <c r="N7142" s="209"/>
      <c r="O7142" s="209"/>
      <c r="P7142" s="209"/>
      <c r="Q7142" s="209"/>
      <c r="R7142" s="209"/>
      <c r="S7142" s="209"/>
      <c r="T7142" s="209"/>
    </row>
    <row r="7143" spans="1:20" ht="15" hidden="1" customHeight="1">
      <c r="A7143" s="468">
        <v>45580</v>
      </c>
      <c r="B7143" s="208" t="s">
        <v>5725</v>
      </c>
      <c r="C7143" s="208" t="s">
        <v>146</v>
      </c>
      <c r="D7143" s="211">
        <v>-2500</v>
      </c>
      <c r="E7143" s="212">
        <v>45566</v>
      </c>
      <c r="F7143" s="208" t="s">
        <v>207</v>
      </c>
      <c r="G7143" s="208" t="s">
        <v>5453</v>
      </c>
      <c r="H7143" s="208" t="s">
        <v>175</v>
      </c>
      <c r="I7143" s="208" t="s">
        <v>5430</v>
      </c>
      <c r="J7143" s="209"/>
      <c r="K7143" s="209"/>
      <c r="L7143" s="209"/>
      <c r="M7143" s="209"/>
      <c r="N7143" s="209"/>
      <c r="O7143" s="209"/>
      <c r="P7143" s="209"/>
      <c r="Q7143" s="209"/>
      <c r="R7143" s="209"/>
      <c r="S7143" s="209"/>
      <c r="T7143" s="209"/>
    </row>
    <row r="7144" spans="1:20" ht="15" hidden="1" customHeight="1">
      <c r="A7144" s="468">
        <v>45580</v>
      </c>
      <c r="B7144" s="208" t="s">
        <v>5726</v>
      </c>
      <c r="C7144" s="208" t="s">
        <v>146</v>
      </c>
      <c r="D7144" s="211">
        <v>-13000</v>
      </c>
      <c r="E7144" s="212">
        <v>45566</v>
      </c>
      <c r="F7144" s="208" t="s">
        <v>109</v>
      </c>
      <c r="G7144" s="208" t="s">
        <v>4225</v>
      </c>
      <c r="H7144" s="208" t="s">
        <v>175</v>
      </c>
      <c r="I7144" s="208" t="s">
        <v>5430</v>
      </c>
      <c r="J7144" s="209"/>
      <c r="K7144" s="209"/>
      <c r="L7144" s="209"/>
      <c r="M7144" s="209"/>
      <c r="N7144" s="209"/>
      <c r="O7144" s="209"/>
      <c r="P7144" s="209"/>
      <c r="Q7144" s="209"/>
      <c r="R7144" s="209"/>
      <c r="S7144" s="209"/>
      <c r="T7144" s="209"/>
    </row>
    <row r="7145" spans="1:20" ht="15" hidden="1" customHeight="1">
      <c r="A7145" s="468">
        <v>45581</v>
      </c>
      <c r="B7145" s="208" t="s">
        <v>5727</v>
      </c>
      <c r="C7145" s="208" t="s">
        <v>146</v>
      </c>
      <c r="D7145" s="211">
        <v>-15000</v>
      </c>
      <c r="E7145" s="212">
        <v>45566</v>
      </c>
      <c r="F7145" s="208" t="s">
        <v>109</v>
      </c>
      <c r="G7145" s="208" t="s">
        <v>4986</v>
      </c>
      <c r="H7145" s="81" t="s">
        <v>138</v>
      </c>
      <c r="I7145" s="208" t="s">
        <v>5430</v>
      </c>
      <c r="J7145" s="209"/>
      <c r="K7145" s="209"/>
      <c r="L7145" s="209"/>
      <c r="M7145" s="209"/>
      <c r="N7145" s="209"/>
      <c r="O7145" s="209"/>
      <c r="P7145" s="209"/>
      <c r="Q7145" s="209"/>
      <c r="R7145" s="209"/>
      <c r="S7145" s="209"/>
      <c r="T7145" s="209"/>
    </row>
    <row r="7146" spans="1:20" ht="15" hidden="1" customHeight="1">
      <c r="A7146" s="468">
        <v>45581</v>
      </c>
      <c r="B7146" s="208" t="s">
        <v>5728</v>
      </c>
      <c r="C7146" s="208" t="s">
        <v>146</v>
      </c>
      <c r="D7146" s="211">
        <v>-6000</v>
      </c>
      <c r="E7146" s="212">
        <v>45566</v>
      </c>
      <c r="F7146" s="208" t="s">
        <v>109</v>
      </c>
      <c r="G7146" s="208" t="s">
        <v>4986</v>
      </c>
      <c r="H7146" s="81" t="s">
        <v>138</v>
      </c>
      <c r="I7146" s="208" t="s">
        <v>5430</v>
      </c>
      <c r="J7146" s="209"/>
      <c r="K7146" s="209"/>
      <c r="L7146" s="209"/>
      <c r="M7146" s="209"/>
      <c r="N7146" s="209"/>
      <c r="O7146" s="209"/>
      <c r="P7146" s="209"/>
      <c r="Q7146" s="209"/>
      <c r="R7146" s="209"/>
      <c r="S7146" s="209"/>
      <c r="T7146" s="209"/>
    </row>
    <row r="7147" spans="1:20" ht="15" hidden="1" customHeight="1">
      <c r="A7147" s="468">
        <v>45581</v>
      </c>
      <c r="B7147" s="208" t="s">
        <v>5729</v>
      </c>
      <c r="C7147" s="208" t="s">
        <v>146</v>
      </c>
      <c r="D7147" s="211">
        <v>-191300</v>
      </c>
      <c r="E7147" s="212">
        <v>45566</v>
      </c>
      <c r="F7147" s="208" t="s">
        <v>109</v>
      </c>
      <c r="G7147" s="208" t="s">
        <v>4986</v>
      </c>
      <c r="H7147" s="208" t="s">
        <v>175</v>
      </c>
      <c r="I7147" s="208" t="s">
        <v>5430</v>
      </c>
      <c r="J7147" s="209"/>
      <c r="K7147" s="209"/>
      <c r="L7147" s="209"/>
      <c r="M7147" s="209"/>
      <c r="N7147" s="209"/>
      <c r="O7147" s="209"/>
      <c r="P7147" s="209"/>
      <c r="Q7147" s="209"/>
      <c r="R7147" s="209"/>
      <c r="S7147" s="209"/>
      <c r="T7147" s="209"/>
    </row>
    <row r="7148" spans="1:20" ht="15" hidden="1" customHeight="1">
      <c r="A7148" s="468">
        <v>45581</v>
      </c>
      <c r="B7148" s="208" t="s">
        <v>5446</v>
      </c>
      <c r="C7148" s="208" t="s">
        <v>146</v>
      </c>
      <c r="D7148" s="211">
        <v>-15200</v>
      </c>
      <c r="E7148" s="212">
        <v>45566</v>
      </c>
      <c r="F7148" s="208" t="s">
        <v>109</v>
      </c>
      <c r="G7148" s="208" t="s">
        <v>4986</v>
      </c>
      <c r="H7148" s="208" t="s">
        <v>147</v>
      </c>
      <c r="I7148" s="208" t="s">
        <v>5430</v>
      </c>
      <c r="J7148" s="209"/>
      <c r="K7148" s="209"/>
      <c r="L7148" s="209"/>
      <c r="M7148" s="209"/>
      <c r="N7148" s="209"/>
      <c r="O7148" s="209"/>
      <c r="P7148" s="209"/>
      <c r="Q7148" s="209"/>
      <c r="R7148" s="209"/>
      <c r="S7148" s="209"/>
      <c r="T7148" s="209"/>
    </row>
    <row r="7149" spans="1:20" ht="15" hidden="1" customHeight="1">
      <c r="A7149" s="468">
        <v>45581</v>
      </c>
      <c r="B7149" s="208" t="s">
        <v>5446</v>
      </c>
      <c r="C7149" s="208" t="s">
        <v>146</v>
      </c>
      <c r="D7149" s="211">
        <v>-15200</v>
      </c>
      <c r="E7149" s="212">
        <v>45566</v>
      </c>
      <c r="F7149" s="208" t="s">
        <v>130</v>
      </c>
      <c r="G7149" s="208" t="s">
        <v>130</v>
      </c>
      <c r="H7149" s="208" t="s">
        <v>2444</v>
      </c>
      <c r="I7149" s="208" t="s">
        <v>5430</v>
      </c>
      <c r="J7149" s="209"/>
      <c r="K7149" s="209"/>
      <c r="L7149" s="209"/>
      <c r="M7149" s="209"/>
      <c r="N7149" s="209"/>
      <c r="O7149" s="209"/>
      <c r="P7149" s="209"/>
      <c r="Q7149" s="209"/>
      <c r="R7149" s="209"/>
      <c r="S7149" s="209"/>
      <c r="T7149" s="209"/>
    </row>
    <row r="7150" spans="1:20" ht="15" hidden="1" customHeight="1">
      <c r="A7150" s="468">
        <v>45581</v>
      </c>
      <c r="B7150" s="208" t="s">
        <v>5730</v>
      </c>
      <c r="C7150" s="208" t="s">
        <v>146</v>
      </c>
      <c r="D7150" s="211">
        <v>-24931</v>
      </c>
      <c r="E7150" s="212">
        <v>45566</v>
      </c>
      <c r="F7150" s="208" t="s">
        <v>109</v>
      </c>
      <c r="G7150" s="208" t="s">
        <v>4225</v>
      </c>
      <c r="H7150" s="208" t="s">
        <v>175</v>
      </c>
      <c r="I7150" s="208" t="s">
        <v>5430</v>
      </c>
      <c r="J7150" s="209"/>
      <c r="K7150" s="209"/>
      <c r="L7150" s="209"/>
      <c r="M7150" s="209"/>
      <c r="N7150" s="209"/>
      <c r="O7150" s="209"/>
      <c r="P7150" s="209"/>
      <c r="Q7150" s="209"/>
      <c r="R7150" s="209"/>
      <c r="S7150" s="209"/>
      <c r="T7150" s="209"/>
    </row>
    <row r="7151" spans="1:20" ht="15" hidden="1" customHeight="1">
      <c r="A7151" s="468">
        <v>45581</v>
      </c>
      <c r="B7151" s="208" t="s">
        <v>5731</v>
      </c>
      <c r="C7151" s="208" t="s">
        <v>146</v>
      </c>
      <c r="D7151" s="211">
        <v>-96400</v>
      </c>
      <c r="E7151" s="212">
        <v>45566</v>
      </c>
      <c r="F7151" s="208" t="s">
        <v>109</v>
      </c>
      <c r="G7151" s="208" t="s">
        <v>4986</v>
      </c>
      <c r="H7151" s="208" t="s">
        <v>175</v>
      </c>
      <c r="I7151" s="208" t="s">
        <v>5430</v>
      </c>
      <c r="J7151" s="209"/>
      <c r="K7151" s="209"/>
      <c r="L7151" s="209"/>
      <c r="M7151" s="209"/>
      <c r="N7151" s="209"/>
      <c r="O7151" s="209"/>
      <c r="P7151" s="209"/>
      <c r="Q7151" s="209"/>
      <c r="R7151" s="209"/>
      <c r="S7151" s="209"/>
      <c r="T7151" s="209"/>
    </row>
    <row r="7152" spans="1:20" ht="15" hidden="1" customHeight="1">
      <c r="A7152" s="468">
        <v>45569</v>
      </c>
      <c r="B7152" s="208" t="s">
        <v>5732</v>
      </c>
      <c r="C7152" s="208" t="s">
        <v>146</v>
      </c>
      <c r="D7152" s="211">
        <v>-10000</v>
      </c>
      <c r="E7152" s="212">
        <v>45566</v>
      </c>
      <c r="F7152" s="208" t="s">
        <v>109</v>
      </c>
      <c r="G7152" s="208" t="s">
        <v>10</v>
      </c>
      <c r="H7152" s="201" t="s">
        <v>416</v>
      </c>
      <c r="I7152" s="208" t="s">
        <v>5430</v>
      </c>
      <c r="J7152" s="209"/>
      <c r="K7152" s="209"/>
      <c r="L7152" s="209"/>
      <c r="M7152" s="209"/>
      <c r="N7152" s="209"/>
      <c r="O7152" s="209"/>
      <c r="P7152" s="209"/>
      <c r="Q7152" s="209"/>
      <c r="R7152" s="209"/>
      <c r="S7152" s="209"/>
      <c r="T7152" s="209"/>
    </row>
    <row r="7153" spans="1:20" ht="15" hidden="1" customHeight="1">
      <c r="A7153" s="468">
        <v>45583</v>
      </c>
      <c r="B7153" s="208" t="s">
        <v>5733</v>
      </c>
      <c r="C7153" s="691" t="s">
        <v>146</v>
      </c>
      <c r="D7153" s="211">
        <v>-7000</v>
      </c>
      <c r="E7153" s="212">
        <v>45566</v>
      </c>
      <c r="F7153" s="208" t="s">
        <v>110</v>
      </c>
      <c r="G7153" s="208" t="s">
        <v>4294</v>
      </c>
      <c r="H7153" s="201" t="s">
        <v>416</v>
      </c>
      <c r="I7153" s="208" t="s">
        <v>5430</v>
      </c>
      <c r="J7153" s="209"/>
      <c r="K7153" s="209"/>
      <c r="L7153" s="209"/>
      <c r="M7153" s="209"/>
      <c r="N7153" s="209"/>
      <c r="O7153" s="209"/>
      <c r="P7153" s="209"/>
      <c r="Q7153" s="209"/>
      <c r="R7153" s="209"/>
      <c r="S7153" s="209"/>
      <c r="T7153" s="209"/>
    </row>
    <row r="7154" spans="1:20" ht="15" hidden="1" customHeight="1">
      <c r="A7154" s="468">
        <v>45584</v>
      </c>
      <c r="B7154" s="208" t="s">
        <v>5734</v>
      </c>
      <c r="C7154" s="691" t="s">
        <v>146</v>
      </c>
      <c r="D7154" s="211">
        <v>-130800</v>
      </c>
      <c r="E7154" s="212">
        <v>45566</v>
      </c>
      <c r="F7154" s="208" t="s">
        <v>110</v>
      </c>
      <c r="G7154" s="201" t="s">
        <v>1489</v>
      </c>
      <c r="H7154" s="201" t="s">
        <v>310</v>
      </c>
      <c r="I7154" s="208" t="s">
        <v>5430</v>
      </c>
      <c r="J7154" s="209"/>
      <c r="K7154" s="209"/>
      <c r="L7154" s="209"/>
      <c r="M7154" s="209"/>
      <c r="N7154" s="209"/>
      <c r="O7154" s="209"/>
      <c r="P7154" s="209"/>
      <c r="Q7154" s="209"/>
      <c r="R7154" s="209"/>
      <c r="S7154" s="209"/>
      <c r="T7154" s="209"/>
    </row>
    <row r="7155" spans="1:20" ht="15" hidden="1" customHeight="1">
      <c r="A7155" s="468">
        <v>45585</v>
      </c>
      <c r="B7155" s="208" t="s">
        <v>5735</v>
      </c>
      <c r="C7155" s="691" t="s">
        <v>146</v>
      </c>
      <c r="D7155" s="211">
        <v>-19000</v>
      </c>
      <c r="E7155" s="212">
        <v>45566</v>
      </c>
      <c r="F7155" s="208" t="s">
        <v>110</v>
      </c>
      <c r="G7155" s="201" t="s">
        <v>1489</v>
      </c>
      <c r="H7155" s="208" t="s">
        <v>2941</v>
      </c>
      <c r="I7155" s="208" t="s">
        <v>5430</v>
      </c>
      <c r="J7155" s="209"/>
      <c r="K7155" s="209"/>
      <c r="L7155" s="209"/>
      <c r="M7155" s="209"/>
      <c r="N7155" s="209"/>
      <c r="O7155" s="209"/>
      <c r="P7155" s="209"/>
      <c r="Q7155" s="209"/>
      <c r="R7155" s="209"/>
      <c r="S7155" s="209"/>
      <c r="T7155" s="209"/>
    </row>
    <row r="7156" spans="1:20" ht="15" hidden="1" customHeight="1">
      <c r="A7156" s="468">
        <v>45586</v>
      </c>
      <c r="B7156" s="208" t="s">
        <v>5736</v>
      </c>
      <c r="C7156" s="691" t="s">
        <v>146</v>
      </c>
      <c r="D7156" s="211">
        <v>-67942</v>
      </c>
      <c r="E7156" s="212">
        <v>45566</v>
      </c>
      <c r="F7156" s="208" t="s">
        <v>110</v>
      </c>
      <c r="G7156" s="201" t="s">
        <v>1489</v>
      </c>
      <c r="H7156" s="208" t="s">
        <v>2941</v>
      </c>
      <c r="I7156" s="208" t="s">
        <v>5430</v>
      </c>
      <c r="J7156" s="209"/>
      <c r="K7156" s="209"/>
      <c r="L7156" s="209"/>
      <c r="M7156" s="209"/>
      <c r="N7156" s="209"/>
      <c r="O7156" s="209"/>
      <c r="P7156" s="209"/>
      <c r="Q7156" s="209"/>
      <c r="R7156" s="209"/>
      <c r="S7156" s="209"/>
      <c r="T7156" s="209"/>
    </row>
    <row r="7157" spans="1:20" ht="15" hidden="1" customHeight="1">
      <c r="A7157" s="468">
        <v>45587</v>
      </c>
      <c r="B7157" s="208" t="s">
        <v>5731</v>
      </c>
      <c r="C7157" s="691" t="s">
        <v>146</v>
      </c>
      <c r="D7157" s="211">
        <v>-240000</v>
      </c>
      <c r="E7157" s="212">
        <v>45566</v>
      </c>
      <c r="F7157" s="208" t="s">
        <v>109</v>
      </c>
      <c r="G7157" s="208" t="s">
        <v>4986</v>
      </c>
      <c r="H7157" s="208" t="s">
        <v>175</v>
      </c>
      <c r="I7157" s="208" t="s">
        <v>5430</v>
      </c>
      <c r="J7157" s="209"/>
      <c r="K7157" s="209"/>
      <c r="L7157" s="209"/>
      <c r="M7157" s="209"/>
      <c r="N7157" s="209"/>
      <c r="O7157" s="209"/>
      <c r="P7157" s="209"/>
      <c r="Q7157" s="209"/>
      <c r="R7157" s="209"/>
      <c r="S7157" s="209"/>
      <c r="T7157" s="209"/>
    </row>
    <row r="7158" spans="1:20" ht="15" hidden="1" customHeight="1">
      <c r="A7158" s="468">
        <v>45583</v>
      </c>
      <c r="B7158" s="208" t="s">
        <v>5737</v>
      </c>
      <c r="C7158" s="208" t="s">
        <v>146</v>
      </c>
      <c r="D7158" s="211">
        <v>-40000</v>
      </c>
      <c r="E7158" s="212">
        <v>45566</v>
      </c>
      <c r="F7158" s="208" t="s">
        <v>110</v>
      </c>
      <c r="G7158" s="208" t="s">
        <v>4294</v>
      </c>
      <c r="H7158" s="81" t="s">
        <v>138</v>
      </c>
      <c r="I7158" s="208"/>
      <c r="J7158" s="209"/>
      <c r="K7158" s="209"/>
      <c r="L7158" s="209"/>
      <c r="M7158" s="209"/>
      <c r="N7158" s="209"/>
      <c r="O7158" s="209"/>
      <c r="P7158" s="209"/>
      <c r="Q7158" s="209"/>
      <c r="R7158" s="209"/>
      <c r="S7158" s="209"/>
      <c r="T7158" s="209"/>
    </row>
    <row r="7159" spans="1:20" ht="15" hidden="1" customHeight="1">
      <c r="A7159" s="468">
        <v>45576</v>
      </c>
      <c r="B7159" s="208" t="s">
        <v>5738</v>
      </c>
      <c r="C7159" s="208" t="s">
        <v>146</v>
      </c>
      <c r="D7159" s="211">
        <v>-120000</v>
      </c>
      <c r="E7159" s="212">
        <v>45566</v>
      </c>
      <c r="F7159" s="208" t="s">
        <v>130</v>
      </c>
      <c r="G7159" s="208" t="s">
        <v>130</v>
      </c>
      <c r="H7159" s="208" t="s">
        <v>323</v>
      </c>
      <c r="I7159" s="208"/>
      <c r="J7159" s="209"/>
      <c r="K7159" s="209"/>
      <c r="L7159" s="209"/>
      <c r="M7159" s="209"/>
      <c r="N7159" s="209"/>
      <c r="O7159" s="209"/>
      <c r="P7159" s="209"/>
      <c r="Q7159" s="209"/>
      <c r="R7159" s="209"/>
      <c r="S7159" s="209"/>
      <c r="T7159" s="209"/>
    </row>
    <row r="7160" spans="1:20" s="563" customFormat="1" ht="15" hidden="1" customHeight="1">
      <c r="A7160" s="468">
        <v>45580</v>
      </c>
      <c r="B7160" s="208" t="s">
        <v>5739</v>
      </c>
      <c r="C7160" s="208" t="s">
        <v>27</v>
      </c>
      <c r="D7160" s="211">
        <v>-96162</v>
      </c>
      <c r="E7160" s="212">
        <v>45566</v>
      </c>
      <c r="F7160" s="208" t="s">
        <v>130</v>
      </c>
      <c r="G7160" s="208" t="s">
        <v>130</v>
      </c>
      <c r="H7160" s="208" t="s">
        <v>406</v>
      </c>
      <c r="I7160" s="475" t="s">
        <v>5410</v>
      </c>
      <c r="J7160" s="209"/>
      <c r="K7160" s="209"/>
      <c r="L7160" s="209"/>
      <c r="M7160" s="209"/>
      <c r="N7160" s="209"/>
      <c r="O7160" s="209"/>
      <c r="P7160" s="209"/>
      <c r="Q7160" s="209"/>
      <c r="R7160" s="209"/>
      <c r="S7160" s="209"/>
      <c r="T7160" s="209"/>
    </row>
    <row r="7161" spans="1:20" ht="15" hidden="1" customHeight="1">
      <c r="A7161" s="468">
        <v>45580</v>
      </c>
      <c r="B7161" s="208" t="s">
        <v>5740</v>
      </c>
      <c r="C7161" s="208" t="s">
        <v>27</v>
      </c>
      <c r="D7161" s="211">
        <v>-588467</v>
      </c>
      <c r="E7161" s="212">
        <v>45566</v>
      </c>
      <c r="F7161" s="208" t="s">
        <v>109</v>
      </c>
      <c r="G7161" s="208" t="s">
        <v>10</v>
      </c>
      <c r="H7161" s="208" t="s">
        <v>147</v>
      </c>
      <c r="I7161" s="208"/>
      <c r="J7161" s="209"/>
      <c r="K7161" s="209"/>
      <c r="L7161" s="209"/>
      <c r="M7161" s="209"/>
      <c r="N7161" s="209"/>
      <c r="O7161" s="209"/>
      <c r="P7161" s="209"/>
      <c r="Q7161" s="209"/>
      <c r="R7161" s="209"/>
      <c r="S7161" s="209"/>
      <c r="T7161" s="209"/>
    </row>
    <row r="7162" spans="1:20" ht="15" hidden="1" customHeight="1">
      <c r="A7162" s="468">
        <v>45580</v>
      </c>
      <c r="B7162" s="208" t="s">
        <v>5741</v>
      </c>
      <c r="C7162" s="208" t="s">
        <v>27</v>
      </c>
      <c r="D7162" s="211">
        <v>-588467</v>
      </c>
      <c r="E7162" s="212">
        <v>45566</v>
      </c>
      <c r="F7162" s="208" t="s">
        <v>109</v>
      </c>
      <c r="G7162" s="208" t="s">
        <v>10</v>
      </c>
      <c r="H7162" s="208" t="s">
        <v>147</v>
      </c>
      <c r="I7162" s="208"/>
      <c r="J7162" s="209"/>
      <c r="K7162" s="209"/>
      <c r="L7162" s="209"/>
      <c r="M7162" s="209"/>
      <c r="N7162" s="209"/>
      <c r="O7162" s="209"/>
      <c r="P7162" s="209"/>
      <c r="Q7162" s="209"/>
      <c r="R7162" s="209"/>
      <c r="S7162" s="209"/>
      <c r="T7162" s="209"/>
    </row>
    <row r="7163" spans="1:20" ht="15" hidden="1" customHeight="1">
      <c r="A7163" s="468">
        <v>45580</v>
      </c>
      <c r="B7163" s="208" t="s">
        <v>5742</v>
      </c>
      <c r="C7163" s="208" t="s">
        <v>27</v>
      </c>
      <c r="D7163" s="211">
        <v>-1228700</v>
      </c>
      <c r="E7163" s="212">
        <v>45566</v>
      </c>
      <c r="F7163" s="208" t="s">
        <v>110</v>
      </c>
      <c r="G7163" s="208" t="s">
        <v>5503</v>
      </c>
      <c r="H7163" s="208" t="s">
        <v>147</v>
      </c>
      <c r="I7163" s="208"/>
      <c r="J7163" s="209"/>
      <c r="K7163" s="209"/>
      <c r="L7163" s="209"/>
      <c r="M7163" s="209"/>
      <c r="N7163" s="209"/>
      <c r="O7163" s="209"/>
      <c r="P7163" s="209"/>
      <c r="Q7163" s="209"/>
      <c r="R7163" s="209"/>
      <c r="S7163" s="209"/>
      <c r="T7163" s="209"/>
    </row>
    <row r="7164" spans="1:20" ht="15" hidden="1" customHeight="1">
      <c r="A7164" s="468">
        <v>45581</v>
      </c>
      <c r="B7164" s="208" t="s">
        <v>5743</v>
      </c>
      <c r="C7164" s="208" t="s">
        <v>27</v>
      </c>
      <c r="D7164" s="526">
        <f>-23361.34-12030.14</f>
        <v>-35391.479999999996</v>
      </c>
      <c r="E7164" s="212">
        <v>45566</v>
      </c>
      <c r="F7164" s="208" t="s">
        <v>109</v>
      </c>
      <c r="G7164" s="201" t="s">
        <v>1306</v>
      </c>
      <c r="H7164" s="208" t="s">
        <v>175</v>
      </c>
      <c r="I7164" s="208"/>
      <c r="J7164" s="209"/>
      <c r="K7164" s="209"/>
      <c r="L7164" s="209"/>
      <c r="M7164" s="209"/>
      <c r="N7164" s="209"/>
      <c r="O7164" s="209"/>
      <c r="P7164" s="209"/>
      <c r="Q7164" s="209"/>
      <c r="R7164" s="209"/>
      <c r="S7164" s="209"/>
      <c r="T7164" s="209"/>
    </row>
    <row r="7165" spans="1:20" ht="15" hidden="1" customHeight="1">
      <c r="A7165" s="468">
        <v>45581</v>
      </c>
      <c r="B7165" s="208" t="s">
        <v>5743</v>
      </c>
      <c r="C7165" s="208" t="s">
        <v>27</v>
      </c>
      <c r="D7165" s="211">
        <f>-163059.11-12030.14</f>
        <v>-175089.25</v>
      </c>
      <c r="E7165" s="212">
        <v>45566</v>
      </c>
      <c r="F7165" s="208" t="s">
        <v>110</v>
      </c>
      <c r="G7165" s="201" t="s">
        <v>1489</v>
      </c>
      <c r="H7165" s="208" t="s">
        <v>2941</v>
      </c>
      <c r="I7165" s="208"/>
      <c r="J7165" s="209"/>
      <c r="K7165" s="209"/>
      <c r="L7165" s="209"/>
      <c r="M7165" s="209"/>
      <c r="N7165" s="209"/>
      <c r="O7165" s="209"/>
      <c r="P7165" s="209"/>
      <c r="Q7165" s="209"/>
      <c r="R7165" s="209"/>
      <c r="S7165" s="209"/>
      <c r="T7165" s="209"/>
    </row>
    <row r="7166" spans="1:20" ht="15" hidden="1" customHeight="1">
      <c r="A7166" s="468">
        <v>45581</v>
      </c>
      <c r="B7166" s="208" t="s">
        <v>5743</v>
      </c>
      <c r="C7166" s="208" t="s">
        <v>27</v>
      </c>
      <c r="D7166" s="211">
        <f>-3529.41-12030.14</f>
        <v>-15559.55</v>
      </c>
      <c r="E7166" s="212">
        <v>45566</v>
      </c>
      <c r="F7166" s="208" t="s">
        <v>109</v>
      </c>
      <c r="G7166" s="208" t="s">
        <v>3529</v>
      </c>
      <c r="H7166" s="208" t="s">
        <v>175</v>
      </c>
      <c r="I7166" s="208"/>
      <c r="J7166" s="209"/>
      <c r="K7166" s="209"/>
      <c r="L7166" s="209"/>
      <c r="M7166" s="209"/>
      <c r="N7166" s="209"/>
      <c r="O7166" s="209"/>
      <c r="P7166" s="209"/>
      <c r="Q7166" s="209"/>
      <c r="R7166" s="209"/>
      <c r="S7166" s="209"/>
      <c r="T7166" s="209"/>
    </row>
    <row r="7167" spans="1:20" ht="15" hidden="1" customHeight="1">
      <c r="A7167" s="468">
        <v>45581</v>
      </c>
      <c r="B7167" s="208" t="s">
        <v>5743</v>
      </c>
      <c r="C7167" s="208" t="s">
        <v>27</v>
      </c>
      <c r="D7167" s="211">
        <f>-206722.69-25501.51</f>
        <v>-232224.2</v>
      </c>
      <c r="E7167" s="212">
        <v>45566</v>
      </c>
      <c r="F7167" s="208" t="s">
        <v>109</v>
      </c>
      <c r="G7167" s="208" t="s">
        <v>3529</v>
      </c>
      <c r="H7167" s="208" t="s">
        <v>175</v>
      </c>
      <c r="I7167" s="208"/>
      <c r="J7167" s="209"/>
      <c r="K7167" s="209"/>
      <c r="L7167" s="209"/>
      <c r="M7167" s="209"/>
      <c r="N7167" s="209"/>
      <c r="O7167" s="209"/>
      <c r="P7167" s="209"/>
      <c r="Q7167" s="209"/>
      <c r="R7167" s="209"/>
      <c r="S7167" s="209"/>
      <c r="T7167" s="209"/>
    </row>
    <row r="7168" spans="1:20" ht="15" hidden="1" customHeight="1">
      <c r="A7168" s="468">
        <v>45581</v>
      </c>
      <c r="B7168" s="208" t="s">
        <v>5743</v>
      </c>
      <c r="C7168" s="208" t="s">
        <v>27</v>
      </c>
      <c r="D7168" s="211">
        <f>-83314.29-25501.51</f>
        <v>-108815.79999999999</v>
      </c>
      <c r="E7168" s="212">
        <v>45566</v>
      </c>
      <c r="F7168" s="208" t="s">
        <v>130</v>
      </c>
      <c r="G7168" s="208" t="s">
        <v>130</v>
      </c>
      <c r="H7168" s="208" t="s">
        <v>2444</v>
      </c>
      <c r="I7168" s="208"/>
      <c r="J7168" s="209"/>
      <c r="K7168" s="209"/>
      <c r="L7168" s="209"/>
      <c r="M7168" s="209"/>
      <c r="N7168" s="209"/>
      <c r="O7168" s="209"/>
      <c r="P7168" s="209"/>
      <c r="Q7168" s="209"/>
      <c r="R7168" s="209"/>
      <c r="S7168" s="209"/>
      <c r="T7168" s="209"/>
    </row>
    <row r="7169" spans="1:20" ht="15" hidden="1" customHeight="1">
      <c r="A7169" s="468">
        <v>45581</v>
      </c>
      <c r="B7169" s="208" t="s">
        <v>5743</v>
      </c>
      <c r="C7169" s="208" t="s">
        <v>27</v>
      </c>
      <c r="D7169" s="211">
        <v>-6539000</v>
      </c>
      <c r="E7169" s="212">
        <v>45566</v>
      </c>
      <c r="F7169" s="208" t="s">
        <v>110</v>
      </c>
      <c r="G7169" s="208" t="s">
        <v>5503</v>
      </c>
      <c r="H7169" s="208" t="s">
        <v>175</v>
      </c>
      <c r="I7169" s="208"/>
      <c r="J7169" s="209"/>
      <c r="K7169" s="209"/>
      <c r="L7169" s="209"/>
      <c r="M7169" s="209"/>
      <c r="N7169" s="209"/>
      <c r="O7169" s="209"/>
      <c r="P7169" s="209"/>
      <c r="Q7169" s="209"/>
      <c r="R7169" s="209"/>
      <c r="S7169" s="209"/>
      <c r="T7169" s="209"/>
    </row>
    <row r="7170" spans="1:20" ht="15" hidden="1" customHeight="1">
      <c r="A7170" s="468">
        <v>45581</v>
      </c>
      <c r="B7170" s="208" t="s">
        <v>5743</v>
      </c>
      <c r="C7170" s="208" t="s">
        <v>27</v>
      </c>
      <c r="D7170" s="211">
        <f>-258991.59-73780.68</f>
        <v>-332772.27</v>
      </c>
      <c r="E7170" s="212">
        <v>45566</v>
      </c>
      <c r="F7170" s="208" t="s">
        <v>110</v>
      </c>
      <c r="G7170" s="208" t="s">
        <v>4294</v>
      </c>
      <c r="H7170" s="208" t="s">
        <v>175</v>
      </c>
      <c r="I7170" s="208"/>
      <c r="J7170" s="209"/>
      <c r="K7170" s="209"/>
      <c r="L7170" s="209"/>
      <c r="M7170" s="209"/>
      <c r="N7170" s="209"/>
      <c r="O7170" s="209"/>
      <c r="P7170" s="209"/>
      <c r="Q7170" s="209"/>
      <c r="R7170" s="209"/>
      <c r="S7170" s="209"/>
      <c r="T7170" s="209"/>
    </row>
    <row r="7171" spans="1:20" ht="15" hidden="1" customHeight="1">
      <c r="A7171" s="468">
        <v>45581</v>
      </c>
      <c r="B7171" s="208" t="s">
        <v>5743</v>
      </c>
      <c r="C7171" s="208" t="s">
        <v>27</v>
      </c>
      <c r="D7171" s="211">
        <f>-517647.06-73780.67</f>
        <v>-591427.73</v>
      </c>
      <c r="E7171" s="212">
        <v>45566</v>
      </c>
      <c r="F7171" s="208" t="s">
        <v>110</v>
      </c>
      <c r="G7171" s="208" t="s">
        <v>4294</v>
      </c>
      <c r="H7171" s="208" t="s">
        <v>175</v>
      </c>
      <c r="I7171" s="475" t="s">
        <v>5410</v>
      </c>
      <c r="J7171" s="209"/>
      <c r="K7171" s="209"/>
      <c r="L7171" s="209"/>
      <c r="M7171" s="209"/>
      <c r="N7171" s="209"/>
      <c r="O7171" s="209"/>
      <c r="P7171" s="209"/>
      <c r="Q7171" s="209"/>
      <c r="R7171" s="209"/>
      <c r="S7171" s="209"/>
      <c r="T7171" s="209"/>
    </row>
    <row r="7172" spans="1:20" ht="15" hidden="1" customHeight="1">
      <c r="A7172" s="468">
        <v>45581</v>
      </c>
      <c r="B7172" s="208" t="s">
        <v>5743</v>
      </c>
      <c r="C7172" s="208" t="s">
        <v>27</v>
      </c>
      <c r="D7172" s="211">
        <v>-260470</v>
      </c>
      <c r="E7172" s="212">
        <v>45566</v>
      </c>
      <c r="F7172" s="208" t="s">
        <v>109</v>
      </c>
      <c r="G7172" s="208" t="s">
        <v>4986</v>
      </c>
      <c r="H7172" s="208" t="s">
        <v>175</v>
      </c>
      <c r="I7172" s="208"/>
      <c r="J7172" s="209"/>
      <c r="K7172" s="209"/>
      <c r="L7172" s="209"/>
      <c r="M7172" s="209"/>
      <c r="N7172" s="209"/>
      <c r="O7172" s="209"/>
      <c r="P7172" s="209"/>
      <c r="Q7172" s="209"/>
      <c r="R7172" s="209"/>
      <c r="S7172" s="209"/>
      <c r="T7172" s="209"/>
    </row>
    <row r="7173" spans="1:20" ht="15" hidden="1" customHeight="1">
      <c r="A7173" s="468">
        <v>45581</v>
      </c>
      <c r="B7173" s="208" t="s">
        <v>5743</v>
      </c>
      <c r="C7173" s="208" t="s">
        <v>27</v>
      </c>
      <c r="D7173" s="211">
        <f>-369705.88-46378.37</f>
        <v>-416084.25</v>
      </c>
      <c r="E7173" s="212">
        <v>45566</v>
      </c>
      <c r="F7173" s="208" t="s">
        <v>109</v>
      </c>
      <c r="G7173" s="208" t="s">
        <v>4986</v>
      </c>
      <c r="H7173" s="208" t="s">
        <v>175</v>
      </c>
      <c r="I7173" s="475" t="s">
        <v>5410</v>
      </c>
      <c r="J7173" s="209"/>
      <c r="K7173" s="209"/>
      <c r="L7173" s="209"/>
      <c r="M7173" s="209"/>
      <c r="N7173" s="209"/>
      <c r="O7173" s="209"/>
      <c r="P7173" s="209"/>
      <c r="Q7173" s="209"/>
      <c r="R7173" s="209"/>
      <c r="S7173" s="209"/>
      <c r="T7173" s="209"/>
    </row>
    <row r="7174" spans="1:20" ht="15" hidden="1" customHeight="1">
      <c r="A7174" s="468">
        <v>45581</v>
      </c>
      <c r="B7174" s="208" t="s">
        <v>5743</v>
      </c>
      <c r="C7174" s="208" t="s">
        <v>27</v>
      </c>
      <c r="D7174" s="211">
        <f>-118487.39-46378.36</f>
        <v>-164865.75</v>
      </c>
      <c r="E7174" s="212">
        <v>45566</v>
      </c>
      <c r="F7174" s="208" t="s">
        <v>109</v>
      </c>
      <c r="G7174" s="208" t="s">
        <v>4225</v>
      </c>
      <c r="H7174" s="208" t="s">
        <v>175</v>
      </c>
      <c r="I7174" s="475" t="s">
        <v>5410</v>
      </c>
      <c r="J7174" s="209"/>
      <c r="K7174" s="209"/>
      <c r="L7174" s="209"/>
      <c r="M7174" s="209"/>
      <c r="N7174" s="209"/>
      <c r="O7174" s="209"/>
      <c r="P7174" s="209"/>
      <c r="Q7174" s="209"/>
      <c r="R7174" s="209"/>
      <c r="S7174" s="209"/>
      <c r="T7174" s="209"/>
    </row>
    <row r="7175" spans="1:20" ht="15" hidden="1" customHeight="1">
      <c r="A7175" s="468">
        <v>45581</v>
      </c>
      <c r="B7175" s="208" t="s">
        <v>5743</v>
      </c>
      <c r="C7175" s="208" t="s">
        <v>27</v>
      </c>
      <c r="D7175" s="211">
        <f>-216366.95-18326.55</f>
        <v>-234693.5</v>
      </c>
      <c r="E7175" s="212">
        <v>45566</v>
      </c>
      <c r="F7175" s="208" t="s">
        <v>109</v>
      </c>
      <c r="G7175" s="201" t="s">
        <v>1306</v>
      </c>
      <c r="H7175" s="208" t="s">
        <v>175</v>
      </c>
      <c r="I7175" s="208"/>
      <c r="J7175" s="209"/>
      <c r="K7175" s="209"/>
      <c r="L7175" s="209"/>
      <c r="M7175" s="209"/>
      <c r="N7175" s="209"/>
      <c r="O7175" s="209"/>
      <c r="P7175" s="209"/>
      <c r="Q7175" s="209"/>
      <c r="R7175" s="209"/>
      <c r="S7175" s="209"/>
      <c r="T7175" s="209"/>
    </row>
    <row r="7176" spans="1:20" ht="15" hidden="1" customHeight="1">
      <c r="A7176" s="468">
        <v>45581</v>
      </c>
      <c r="B7176" s="208" t="s">
        <v>5743</v>
      </c>
      <c r="C7176" s="208" t="s">
        <v>27</v>
      </c>
      <c r="D7176" s="211">
        <f>-8739.5-18337</f>
        <v>-27076.5</v>
      </c>
      <c r="E7176" s="212">
        <v>45566</v>
      </c>
      <c r="F7176" s="208" t="s">
        <v>130</v>
      </c>
      <c r="G7176" s="208" t="s">
        <v>130</v>
      </c>
      <c r="H7176" s="208" t="s">
        <v>2444</v>
      </c>
      <c r="I7176" s="208"/>
      <c r="J7176" s="209"/>
      <c r="K7176" s="209"/>
      <c r="L7176" s="209"/>
      <c r="M7176" s="209"/>
      <c r="N7176" s="209"/>
      <c r="O7176" s="209"/>
      <c r="P7176" s="209"/>
      <c r="Q7176" s="209"/>
      <c r="R7176" s="209"/>
      <c r="S7176" s="209"/>
      <c r="T7176" s="209"/>
    </row>
    <row r="7177" spans="1:20" ht="15" hidden="1" customHeight="1">
      <c r="A7177" s="468">
        <v>45581</v>
      </c>
      <c r="B7177" s="208" t="s">
        <v>5743</v>
      </c>
      <c r="C7177" s="208" t="s">
        <v>27</v>
      </c>
      <c r="D7177" s="211">
        <f>-196521-38496.56</f>
        <v>-235017.56</v>
      </c>
      <c r="E7177" s="212">
        <v>45566</v>
      </c>
      <c r="F7177" s="208" t="s">
        <v>109</v>
      </c>
      <c r="G7177" s="201" t="s">
        <v>1306</v>
      </c>
      <c r="H7177" s="208" t="s">
        <v>175</v>
      </c>
      <c r="I7177" s="208"/>
      <c r="J7177" s="209"/>
      <c r="K7177" s="209"/>
      <c r="L7177" s="209"/>
      <c r="M7177" s="209"/>
      <c r="N7177" s="209"/>
      <c r="O7177" s="209"/>
      <c r="P7177" s="209"/>
      <c r="Q7177" s="209"/>
      <c r="R7177" s="209"/>
      <c r="S7177" s="209"/>
      <c r="T7177" s="209"/>
    </row>
    <row r="7178" spans="1:20" ht="15" hidden="1" customHeight="1">
      <c r="A7178" s="468">
        <v>45581</v>
      </c>
      <c r="B7178" s="208" t="s">
        <v>5743</v>
      </c>
      <c r="C7178" s="208" t="s">
        <v>27</v>
      </c>
      <c r="D7178" s="211">
        <f>-164260.5-38496.56</f>
        <v>-202757.06</v>
      </c>
      <c r="E7178" s="212">
        <v>45566</v>
      </c>
      <c r="F7178" s="208" t="s">
        <v>110</v>
      </c>
      <c r="G7178" s="201" t="s">
        <v>1489</v>
      </c>
      <c r="H7178" s="208" t="s">
        <v>2941</v>
      </c>
      <c r="I7178" s="208"/>
      <c r="J7178" s="209"/>
      <c r="K7178" s="209"/>
      <c r="L7178" s="209"/>
      <c r="M7178" s="209"/>
      <c r="N7178" s="209"/>
      <c r="O7178" s="209"/>
      <c r="P7178" s="209"/>
      <c r="Q7178" s="209"/>
      <c r="R7178" s="209"/>
      <c r="S7178" s="209"/>
      <c r="T7178" s="209"/>
    </row>
    <row r="7179" spans="1:20" ht="15" hidden="1" customHeight="1">
      <c r="A7179" s="468">
        <v>45581</v>
      </c>
      <c r="B7179" s="208" t="s">
        <v>5743</v>
      </c>
      <c r="C7179" s="208" t="s">
        <v>27</v>
      </c>
      <c r="D7179" s="211">
        <f>-247058.82-38496.56</f>
        <v>-285555.38</v>
      </c>
      <c r="E7179" s="212">
        <v>45566</v>
      </c>
      <c r="F7179" s="208" t="s">
        <v>109</v>
      </c>
      <c r="G7179" s="201" t="s">
        <v>581</v>
      </c>
      <c r="H7179" s="208"/>
      <c r="I7179" s="208"/>
      <c r="J7179" s="209"/>
      <c r="K7179" s="209"/>
      <c r="L7179" s="209"/>
      <c r="M7179" s="209"/>
      <c r="N7179" s="209"/>
      <c r="O7179" s="209"/>
      <c r="P7179" s="209"/>
      <c r="Q7179" s="209"/>
      <c r="R7179" s="209"/>
      <c r="S7179" s="209"/>
      <c r="T7179" s="209"/>
    </row>
    <row r="7180" spans="1:20" ht="15" hidden="1" customHeight="1">
      <c r="A7180" s="468">
        <v>45581</v>
      </c>
      <c r="B7180" s="208" t="s">
        <v>5743</v>
      </c>
      <c r="C7180" s="208" t="s">
        <v>27</v>
      </c>
      <c r="D7180" s="211">
        <v>-280600</v>
      </c>
      <c r="E7180" s="212">
        <v>45566</v>
      </c>
      <c r="F7180" s="208" t="s">
        <v>109</v>
      </c>
      <c r="G7180" s="201" t="s">
        <v>1306</v>
      </c>
      <c r="H7180" s="208" t="s">
        <v>175</v>
      </c>
      <c r="I7180" s="208"/>
      <c r="J7180" s="209"/>
      <c r="K7180" s="209"/>
      <c r="L7180" s="209"/>
      <c r="M7180" s="209"/>
      <c r="N7180" s="209"/>
      <c r="O7180" s="209"/>
      <c r="P7180" s="209"/>
      <c r="Q7180" s="209"/>
      <c r="R7180" s="209"/>
      <c r="S7180" s="209"/>
      <c r="T7180" s="209"/>
    </row>
    <row r="7181" spans="1:20" ht="15" hidden="1" customHeight="1">
      <c r="A7181" s="468">
        <v>45581</v>
      </c>
      <c r="B7181" s="208" t="s">
        <v>5743</v>
      </c>
      <c r="C7181" s="208" t="s">
        <v>27</v>
      </c>
      <c r="D7181" s="211">
        <v>-57314.31</v>
      </c>
      <c r="E7181" s="212">
        <v>45566</v>
      </c>
      <c r="F7181" s="208" t="s">
        <v>109</v>
      </c>
      <c r="G7181" s="201" t="s">
        <v>1306</v>
      </c>
      <c r="H7181" s="208" t="s">
        <v>175</v>
      </c>
      <c r="I7181" s="208"/>
      <c r="J7181" s="209"/>
      <c r="K7181" s="209"/>
      <c r="L7181" s="209"/>
      <c r="M7181" s="209"/>
      <c r="N7181" s="209"/>
      <c r="O7181" s="209"/>
      <c r="P7181" s="209"/>
      <c r="Q7181" s="209"/>
      <c r="R7181" s="209"/>
      <c r="S7181" s="209"/>
      <c r="T7181" s="209"/>
    </row>
    <row r="7182" spans="1:20" ht="15" hidden="1" customHeight="1">
      <c r="A7182" s="468">
        <v>45581</v>
      </c>
      <c r="B7182" s="208" t="s">
        <v>5743</v>
      </c>
      <c r="C7182" s="208" t="s">
        <v>27</v>
      </c>
      <c r="D7182" s="211">
        <v>-365885.74</v>
      </c>
      <c r="E7182" s="212">
        <v>45566</v>
      </c>
      <c r="F7182" s="208" t="s">
        <v>110</v>
      </c>
      <c r="G7182" s="201" t="s">
        <v>1489</v>
      </c>
      <c r="H7182" s="208" t="s">
        <v>2941</v>
      </c>
      <c r="I7182" s="208"/>
      <c r="J7182" s="209"/>
      <c r="K7182" s="209"/>
      <c r="L7182" s="209"/>
      <c r="M7182" s="209"/>
      <c r="N7182" s="209"/>
      <c r="O7182" s="209"/>
      <c r="P7182" s="209"/>
      <c r="Q7182" s="209"/>
      <c r="R7182" s="209"/>
      <c r="S7182" s="209"/>
      <c r="T7182" s="209"/>
    </row>
    <row r="7183" spans="1:20" ht="15" hidden="1" customHeight="1">
      <c r="A7183" s="468">
        <v>45581</v>
      </c>
      <c r="B7183" s="208" t="s">
        <v>5743</v>
      </c>
      <c r="C7183" s="208" t="s">
        <v>27</v>
      </c>
      <c r="D7183" s="211">
        <v>-766974.47</v>
      </c>
      <c r="E7183" s="212">
        <v>45566</v>
      </c>
      <c r="F7183" s="208" t="s">
        <v>110</v>
      </c>
      <c r="G7183" s="201" t="s">
        <v>1489</v>
      </c>
      <c r="H7183" s="208" t="s">
        <v>2941</v>
      </c>
      <c r="I7183" s="208"/>
      <c r="J7183" s="209"/>
      <c r="K7183" s="209"/>
      <c r="L7183" s="209"/>
      <c r="M7183" s="209"/>
      <c r="N7183" s="209"/>
      <c r="O7183" s="209"/>
      <c r="P7183" s="209"/>
      <c r="Q7183" s="209"/>
      <c r="R7183" s="209"/>
      <c r="S7183" s="209"/>
      <c r="T7183" s="209"/>
    </row>
    <row r="7184" spans="1:20" ht="15" hidden="1" customHeight="1">
      <c r="A7184" s="468">
        <v>45581</v>
      </c>
      <c r="B7184" s="208" t="s">
        <v>5743</v>
      </c>
      <c r="C7184" s="208" t="s">
        <v>27</v>
      </c>
      <c r="D7184" s="211">
        <v>-630920.54</v>
      </c>
      <c r="E7184" s="212">
        <v>45566</v>
      </c>
      <c r="F7184" s="208" t="s">
        <v>110</v>
      </c>
      <c r="G7184" s="208" t="s">
        <v>4294</v>
      </c>
      <c r="H7184" s="208" t="s">
        <v>175</v>
      </c>
      <c r="I7184" s="208"/>
      <c r="J7184" s="209"/>
      <c r="K7184" s="209"/>
      <c r="L7184" s="209"/>
      <c r="M7184" s="209"/>
      <c r="N7184" s="209"/>
      <c r="O7184" s="209"/>
      <c r="P7184" s="209"/>
      <c r="Q7184" s="209"/>
      <c r="R7184" s="209"/>
      <c r="S7184" s="209"/>
      <c r="T7184" s="209"/>
    </row>
    <row r="7185" spans="1:20" ht="15" hidden="1" customHeight="1">
      <c r="A7185" s="468">
        <v>45581</v>
      </c>
      <c r="B7185" s="208" t="s">
        <v>5743</v>
      </c>
      <c r="C7185" s="208" t="s">
        <v>27</v>
      </c>
      <c r="D7185" s="211">
        <f>-125806.96-18874.12</f>
        <v>-144681.08000000002</v>
      </c>
      <c r="E7185" s="212">
        <v>45566</v>
      </c>
      <c r="F7185" s="208" t="s">
        <v>109</v>
      </c>
      <c r="G7185" s="208" t="s">
        <v>3529</v>
      </c>
      <c r="H7185" s="208" t="s">
        <v>175</v>
      </c>
      <c r="I7185" s="208"/>
      <c r="J7185" s="209"/>
      <c r="K7185" s="209"/>
      <c r="L7185" s="209"/>
      <c r="M7185" s="209"/>
      <c r="N7185" s="209"/>
      <c r="O7185" s="209"/>
      <c r="P7185" s="209"/>
      <c r="Q7185" s="209"/>
      <c r="R7185" s="209"/>
      <c r="S7185" s="209"/>
      <c r="T7185" s="209"/>
    </row>
    <row r="7186" spans="1:20" ht="15" hidden="1" customHeight="1">
      <c r="A7186" s="468">
        <v>45581</v>
      </c>
      <c r="B7186" s="208" t="s">
        <v>5743</v>
      </c>
      <c r="C7186" s="208" t="s">
        <v>27</v>
      </c>
      <c r="D7186" s="211">
        <f>-4621.85-18774.34</f>
        <v>-23396.190000000002</v>
      </c>
      <c r="E7186" s="212">
        <v>45566</v>
      </c>
      <c r="F7186" s="208" t="s">
        <v>109</v>
      </c>
      <c r="G7186" s="654" t="s">
        <v>2585</v>
      </c>
      <c r="H7186" s="208" t="s">
        <v>175</v>
      </c>
      <c r="I7186" s="475" t="s">
        <v>5410</v>
      </c>
      <c r="J7186" s="209"/>
      <c r="K7186" s="209"/>
      <c r="L7186" s="209"/>
      <c r="M7186" s="209"/>
      <c r="N7186" s="209"/>
      <c r="O7186" s="209"/>
      <c r="P7186" s="209"/>
      <c r="Q7186" s="209"/>
      <c r="R7186" s="209"/>
      <c r="S7186" s="209"/>
      <c r="T7186" s="209"/>
    </row>
    <row r="7187" spans="1:20" ht="15" hidden="1" customHeight="1">
      <c r="A7187" s="468">
        <v>45581</v>
      </c>
      <c r="B7187" s="208" t="s">
        <v>5743</v>
      </c>
      <c r="C7187" s="208" t="s">
        <v>27</v>
      </c>
      <c r="D7187" s="211">
        <f>-203308.39-18774.34</f>
        <v>-222082.73</v>
      </c>
      <c r="E7187" s="212">
        <v>45566</v>
      </c>
      <c r="F7187" s="208" t="s">
        <v>130</v>
      </c>
      <c r="G7187" s="208" t="s">
        <v>130</v>
      </c>
      <c r="H7187" s="208" t="s">
        <v>2444</v>
      </c>
      <c r="I7187" s="208"/>
      <c r="J7187" s="209"/>
      <c r="K7187" s="209"/>
      <c r="L7187" s="209"/>
      <c r="M7187" s="209"/>
      <c r="N7187" s="209"/>
      <c r="O7187" s="209"/>
      <c r="P7187" s="209"/>
      <c r="Q7187" s="209"/>
      <c r="R7187" s="209"/>
      <c r="S7187" s="209"/>
      <c r="T7187" s="209"/>
    </row>
    <row r="7188" spans="1:20" ht="15" hidden="1" customHeight="1">
      <c r="A7188" s="468">
        <v>45581</v>
      </c>
      <c r="B7188" s="208" t="s">
        <v>5743</v>
      </c>
      <c r="C7188" s="208" t="s">
        <v>27</v>
      </c>
      <c r="D7188" s="211">
        <f>-122084.03-11089.19</f>
        <v>-133173.22</v>
      </c>
      <c r="E7188" s="212">
        <v>45566</v>
      </c>
      <c r="F7188" s="208" t="s">
        <v>110</v>
      </c>
      <c r="G7188" s="208" t="s">
        <v>4294</v>
      </c>
      <c r="H7188" s="208" t="s">
        <v>175</v>
      </c>
      <c r="I7188" s="208"/>
      <c r="J7188" s="209"/>
      <c r="K7188" s="209"/>
      <c r="L7188" s="209"/>
      <c r="M7188" s="209"/>
      <c r="N7188" s="209"/>
      <c r="O7188" s="209"/>
      <c r="P7188" s="209"/>
      <c r="Q7188" s="209"/>
      <c r="R7188" s="209"/>
      <c r="S7188" s="209"/>
      <c r="T7188" s="209"/>
    </row>
    <row r="7189" spans="1:20" ht="15" hidden="1" customHeight="1">
      <c r="A7189" s="468">
        <v>45581</v>
      </c>
      <c r="B7189" s="208" t="s">
        <v>5743</v>
      </c>
      <c r="C7189" s="208" t="s">
        <v>27</v>
      </c>
      <c r="D7189" s="211">
        <v>-29803.13</v>
      </c>
      <c r="E7189" s="212">
        <v>45566</v>
      </c>
      <c r="F7189" s="208" t="s">
        <v>130</v>
      </c>
      <c r="G7189" s="208" t="s">
        <v>130</v>
      </c>
      <c r="H7189" s="208" t="s">
        <v>2444</v>
      </c>
      <c r="I7189" s="208"/>
      <c r="J7189" s="209"/>
      <c r="K7189" s="209"/>
      <c r="L7189" s="209"/>
      <c r="M7189" s="209"/>
      <c r="N7189" s="209"/>
      <c r="O7189" s="209"/>
      <c r="P7189" s="209"/>
      <c r="Q7189" s="209"/>
      <c r="R7189" s="209"/>
      <c r="S7189" s="209"/>
      <c r="T7189" s="209"/>
    </row>
    <row r="7190" spans="1:20" ht="15" hidden="1" customHeight="1">
      <c r="A7190" s="468">
        <v>45581</v>
      </c>
      <c r="B7190" s="208" t="s">
        <v>5743</v>
      </c>
      <c r="C7190" s="208" t="s">
        <v>27</v>
      </c>
      <c r="D7190" s="211">
        <f>-34294.12-11089.19</f>
        <v>-45383.310000000005</v>
      </c>
      <c r="E7190" s="212">
        <v>45566</v>
      </c>
      <c r="F7190" s="208" t="s">
        <v>109</v>
      </c>
      <c r="G7190" s="208" t="s">
        <v>3529</v>
      </c>
      <c r="H7190" s="208" t="s">
        <v>175</v>
      </c>
      <c r="I7190" s="208"/>
      <c r="J7190" s="209"/>
      <c r="K7190" s="209"/>
      <c r="L7190" s="209"/>
      <c r="M7190" s="209"/>
      <c r="N7190" s="209"/>
      <c r="O7190" s="209"/>
      <c r="P7190" s="209"/>
      <c r="Q7190" s="209"/>
      <c r="R7190" s="209"/>
      <c r="S7190" s="209"/>
      <c r="T7190" s="209"/>
    </row>
    <row r="7191" spans="1:20" ht="15" hidden="1" customHeight="1">
      <c r="A7191" s="468">
        <v>45581</v>
      </c>
      <c r="B7191" s="208" t="s">
        <v>5743</v>
      </c>
      <c r="C7191" s="208" t="s">
        <v>27</v>
      </c>
      <c r="D7191" s="211">
        <v>-146187</v>
      </c>
      <c r="E7191" s="212">
        <v>45566</v>
      </c>
      <c r="F7191" s="208" t="s">
        <v>110</v>
      </c>
      <c r="G7191" s="208" t="s">
        <v>4294</v>
      </c>
      <c r="H7191" s="208" t="s">
        <v>175</v>
      </c>
      <c r="I7191" s="208"/>
      <c r="J7191" s="209"/>
      <c r="K7191" s="209"/>
      <c r="L7191" s="209"/>
      <c r="M7191" s="209"/>
      <c r="N7191" s="209"/>
      <c r="O7191" s="209"/>
      <c r="P7191" s="209"/>
      <c r="Q7191" s="209"/>
      <c r="R7191" s="209"/>
      <c r="S7191" s="209"/>
      <c r="T7191" s="209"/>
    </row>
    <row r="7192" spans="1:20" ht="15" hidden="1" customHeight="1">
      <c r="A7192" s="468">
        <v>45581</v>
      </c>
      <c r="B7192" s="208" t="s">
        <v>5744</v>
      </c>
      <c r="C7192" s="208" t="s">
        <v>27</v>
      </c>
      <c r="D7192" s="211">
        <v>-2909700</v>
      </c>
      <c r="E7192" s="212">
        <v>45566</v>
      </c>
      <c r="F7192" s="208" t="s">
        <v>109</v>
      </c>
      <c r="G7192" s="201" t="s">
        <v>581</v>
      </c>
      <c r="H7192" s="208"/>
      <c r="I7192" s="208"/>
      <c r="J7192" s="209"/>
      <c r="K7192" s="209"/>
      <c r="L7192" s="209"/>
      <c r="M7192" s="209"/>
      <c r="N7192" s="209"/>
      <c r="O7192" s="209"/>
      <c r="P7192" s="209"/>
      <c r="Q7192" s="209"/>
      <c r="R7192" s="209"/>
      <c r="S7192" s="209"/>
      <c r="T7192" s="209"/>
    </row>
    <row r="7193" spans="1:20" ht="15" hidden="1" customHeight="1">
      <c r="A7193" s="468">
        <v>45581</v>
      </c>
      <c r="B7193" s="208" t="s">
        <v>5745</v>
      </c>
      <c r="C7193" s="208" t="s">
        <v>27</v>
      </c>
      <c r="D7193" s="211">
        <v>-8654644</v>
      </c>
      <c r="E7193" s="212">
        <v>45566</v>
      </c>
      <c r="F7193" s="208" t="s">
        <v>109</v>
      </c>
      <c r="G7193" s="201" t="s">
        <v>581</v>
      </c>
      <c r="H7193" s="208"/>
      <c r="I7193" s="208"/>
      <c r="J7193" s="209"/>
      <c r="K7193" s="209"/>
      <c r="L7193" s="209"/>
      <c r="M7193" s="209"/>
      <c r="N7193" s="209"/>
      <c r="O7193" s="209"/>
      <c r="P7193" s="209"/>
      <c r="Q7193" s="209"/>
      <c r="R7193" s="209"/>
      <c r="S7193" s="209"/>
      <c r="T7193" s="209"/>
    </row>
    <row r="7194" spans="1:20" ht="15" hidden="1" customHeight="1">
      <c r="A7194" s="468">
        <v>45581</v>
      </c>
      <c r="B7194" s="208" t="s">
        <v>4719</v>
      </c>
      <c r="C7194" s="208" t="s">
        <v>27</v>
      </c>
      <c r="D7194" s="211">
        <v>-35224</v>
      </c>
      <c r="E7194" s="212">
        <v>45566</v>
      </c>
      <c r="F7194" s="208" t="s">
        <v>130</v>
      </c>
      <c r="G7194" s="208" t="s">
        <v>130</v>
      </c>
      <c r="H7194" s="208" t="s">
        <v>2444</v>
      </c>
      <c r="I7194" s="475" t="s">
        <v>5410</v>
      </c>
      <c r="J7194" s="209"/>
      <c r="K7194" s="209"/>
      <c r="L7194" s="209"/>
      <c r="M7194" s="209"/>
      <c r="N7194" s="209"/>
      <c r="O7194" s="209"/>
      <c r="P7194" s="209"/>
      <c r="Q7194" s="209"/>
      <c r="R7194" s="209"/>
      <c r="S7194" s="209"/>
      <c r="T7194" s="209"/>
    </row>
    <row r="7195" spans="1:20" ht="15" hidden="1" customHeight="1">
      <c r="A7195" s="468">
        <v>45581</v>
      </c>
      <c r="B7195" s="208" t="s">
        <v>4719</v>
      </c>
      <c r="C7195" s="208" t="s">
        <v>27</v>
      </c>
      <c r="D7195" s="211">
        <v>-125800</v>
      </c>
      <c r="E7195" s="212">
        <v>45566</v>
      </c>
      <c r="F7195" s="208" t="s">
        <v>130</v>
      </c>
      <c r="G7195" s="208" t="s">
        <v>130</v>
      </c>
      <c r="H7195" s="208" t="s">
        <v>3939</v>
      </c>
      <c r="I7195" s="475" t="s">
        <v>5410</v>
      </c>
      <c r="J7195" s="209"/>
      <c r="K7195" s="209"/>
      <c r="L7195" s="209"/>
      <c r="M7195" s="209"/>
      <c r="N7195" s="209"/>
      <c r="O7195" s="209"/>
      <c r="P7195" s="209"/>
      <c r="Q7195" s="209"/>
      <c r="R7195" s="209"/>
      <c r="S7195" s="209"/>
      <c r="T7195" s="209"/>
    </row>
    <row r="7196" spans="1:20" ht="15" hidden="1" customHeight="1">
      <c r="A7196" s="468">
        <v>45581</v>
      </c>
      <c r="B7196" s="208" t="s">
        <v>5746</v>
      </c>
      <c r="C7196" s="208" t="s">
        <v>27</v>
      </c>
      <c r="D7196" s="211">
        <v>-110650</v>
      </c>
      <c r="E7196" s="212">
        <v>45566</v>
      </c>
      <c r="F7196" s="208" t="s">
        <v>130</v>
      </c>
      <c r="G7196" s="208" t="s">
        <v>130</v>
      </c>
      <c r="H7196" s="208" t="s">
        <v>249</v>
      </c>
      <c r="I7196" s="208"/>
      <c r="J7196" s="209"/>
      <c r="K7196" s="209"/>
      <c r="L7196" s="209"/>
      <c r="M7196" s="209"/>
      <c r="N7196" s="209"/>
      <c r="O7196" s="209"/>
      <c r="P7196" s="209"/>
      <c r="Q7196" s="209"/>
      <c r="R7196" s="209"/>
      <c r="S7196" s="209"/>
      <c r="T7196" s="209"/>
    </row>
    <row r="7197" spans="1:20" ht="15" hidden="1" customHeight="1">
      <c r="A7197" s="468">
        <v>45581</v>
      </c>
      <c r="B7197" s="208" t="s">
        <v>5747</v>
      </c>
      <c r="C7197" s="208" t="s">
        <v>27</v>
      </c>
      <c r="D7197" s="211">
        <v>-50000</v>
      </c>
      <c r="E7197" s="212">
        <v>45566</v>
      </c>
      <c r="F7197" s="208" t="s">
        <v>109</v>
      </c>
      <c r="G7197" s="208" t="s">
        <v>2809</v>
      </c>
      <c r="H7197" s="208" t="s">
        <v>5066</v>
      </c>
      <c r="I7197" s="208"/>
      <c r="J7197" s="209"/>
      <c r="K7197" s="209"/>
      <c r="L7197" s="209"/>
      <c r="M7197" s="209"/>
      <c r="N7197" s="209"/>
      <c r="O7197" s="209"/>
      <c r="P7197" s="209"/>
      <c r="Q7197" s="209"/>
      <c r="R7197" s="209"/>
      <c r="S7197" s="209"/>
      <c r="T7197" s="209"/>
    </row>
    <row r="7198" spans="1:20" ht="15" hidden="1" customHeight="1">
      <c r="A7198" s="468">
        <v>45581</v>
      </c>
      <c r="B7198" s="208" t="s">
        <v>5747</v>
      </c>
      <c r="C7198" s="208" t="s">
        <v>27</v>
      </c>
      <c r="D7198" s="211">
        <v>-450000</v>
      </c>
      <c r="E7198" s="212">
        <v>45566</v>
      </c>
      <c r="F7198" s="208" t="s">
        <v>109</v>
      </c>
      <c r="G7198" s="208" t="s">
        <v>2809</v>
      </c>
      <c r="H7198" s="208" t="s">
        <v>5066</v>
      </c>
      <c r="I7198" s="208"/>
      <c r="J7198" s="209"/>
      <c r="K7198" s="209"/>
      <c r="L7198" s="209"/>
      <c r="M7198" s="209"/>
      <c r="N7198" s="209"/>
      <c r="O7198" s="209"/>
      <c r="P7198" s="209"/>
      <c r="Q7198" s="209"/>
      <c r="R7198" s="209"/>
      <c r="S7198" s="209"/>
      <c r="T7198" s="209"/>
    </row>
    <row r="7199" spans="1:20" ht="15" hidden="1" customHeight="1">
      <c r="A7199" s="468">
        <v>45581</v>
      </c>
      <c r="B7199" s="208" t="s">
        <v>5748</v>
      </c>
      <c r="C7199" s="208" t="s">
        <v>27</v>
      </c>
      <c r="D7199" s="211">
        <v>-1100000</v>
      </c>
      <c r="E7199" s="212">
        <v>45566</v>
      </c>
      <c r="F7199" s="208" t="s">
        <v>109</v>
      </c>
      <c r="G7199" s="201" t="s">
        <v>581</v>
      </c>
      <c r="H7199" s="208"/>
      <c r="I7199" s="208"/>
      <c r="J7199" s="209"/>
      <c r="K7199" s="209"/>
      <c r="L7199" s="209"/>
      <c r="M7199" s="209"/>
      <c r="N7199" s="209"/>
      <c r="O7199" s="209"/>
      <c r="P7199" s="209"/>
      <c r="Q7199" s="209"/>
      <c r="R7199" s="209"/>
      <c r="S7199" s="209"/>
      <c r="T7199" s="209"/>
    </row>
    <row r="7200" spans="1:20" ht="15" hidden="1" customHeight="1">
      <c r="A7200" s="468">
        <v>45581</v>
      </c>
      <c r="B7200" s="208" t="s">
        <v>5749</v>
      </c>
      <c r="C7200" s="208" t="s">
        <v>27</v>
      </c>
      <c r="D7200" s="211">
        <v>-115200</v>
      </c>
      <c r="E7200" s="212">
        <v>45566</v>
      </c>
      <c r="F7200" s="208" t="s">
        <v>110</v>
      </c>
      <c r="G7200" s="201" t="s">
        <v>1489</v>
      </c>
      <c r="H7200" s="208" t="s">
        <v>147</v>
      </c>
      <c r="I7200" s="208"/>
      <c r="J7200" s="209"/>
      <c r="K7200" s="209"/>
      <c r="L7200" s="209"/>
      <c r="M7200" s="209"/>
      <c r="N7200" s="209"/>
      <c r="O7200" s="209"/>
      <c r="P7200" s="209"/>
      <c r="Q7200" s="209"/>
      <c r="R7200" s="209"/>
      <c r="S7200" s="209"/>
      <c r="T7200" s="209"/>
    </row>
    <row r="7201" spans="1:20" ht="15" hidden="1" customHeight="1">
      <c r="A7201" s="468">
        <v>45581</v>
      </c>
      <c r="B7201" s="208" t="s">
        <v>5750</v>
      </c>
      <c r="C7201" s="208" t="s">
        <v>27</v>
      </c>
      <c r="D7201" s="211">
        <v>-150000</v>
      </c>
      <c r="E7201" s="212">
        <v>45566</v>
      </c>
      <c r="F7201" s="208" t="s">
        <v>109</v>
      </c>
      <c r="G7201" s="208" t="s">
        <v>2809</v>
      </c>
      <c r="H7201" s="208" t="s">
        <v>5059</v>
      </c>
      <c r="I7201" s="208"/>
      <c r="J7201" s="209"/>
      <c r="K7201" s="209"/>
      <c r="L7201" s="209"/>
      <c r="M7201" s="209"/>
      <c r="N7201" s="209"/>
      <c r="O7201" s="209"/>
      <c r="P7201" s="209"/>
      <c r="Q7201" s="209"/>
      <c r="R7201" s="209"/>
      <c r="S7201" s="209"/>
      <c r="T7201" s="209"/>
    </row>
    <row r="7202" spans="1:20" ht="15" hidden="1" customHeight="1">
      <c r="A7202" s="468">
        <v>45581</v>
      </c>
      <c r="B7202" s="208" t="s">
        <v>5462</v>
      </c>
      <c r="C7202" s="208" t="s">
        <v>27</v>
      </c>
      <c r="D7202" s="211">
        <v>-1240000</v>
      </c>
      <c r="E7202" s="212">
        <v>45566</v>
      </c>
      <c r="F7202" s="208" t="s">
        <v>109</v>
      </c>
      <c r="G7202" s="201" t="s">
        <v>581</v>
      </c>
      <c r="H7202" s="208"/>
      <c r="I7202" s="475" t="s">
        <v>5410</v>
      </c>
      <c r="J7202" s="209"/>
      <c r="K7202" s="209"/>
      <c r="L7202" s="209"/>
      <c r="M7202" s="209"/>
      <c r="N7202" s="209"/>
      <c r="O7202" s="209"/>
      <c r="P7202" s="209"/>
      <c r="Q7202" s="209"/>
      <c r="R7202" s="209"/>
      <c r="S7202" s="209"/>
      <c r="T7202" s="209"/>
    </row>
    <row r="7203" spans="1:20" ht="15" hidden="1" customHeight="1">
      <c r="A7203" s="468">
        <v>45581</v>
      </c>
      <c r="B7203" s="208" t="s">
        <v>5462</v>
      </c>
      <c r="C7203" s="208" t="s">
        <v>27</v>
      </c>
      <c r="D7203" s="211">
        <v>-1200000</v>
      </c>
      <c r="E7203" s="212">
        <v>45566</v>
      </c>
      <c r="F7203" s="208" t="s">
        <v>109</v>
      </c>
      <c r="G7203" s="208" t="s">
        <v>10</v>
      </c>
      <c r="H7203" s="208"/>
      <c r="I7203" s="208"/>
      <c r="J7203" s="209"/>
      <c r="K7203" s="209"/>
      <c r="L7203" s="209"/>
      <c r="M7203" s="209"/>
      <c r="N7203" s="209"/>
      <c r="O7203" s="209"/>
      <c r="P7203" s="209"/>
      <c r="Q7203" s="209"/>
      <c r="R7203" s="209"/>
      <c r="S7203" s="209"/>
      <c r="T7203" s="209"/>
    </row>
    <row r="7204" spans="1:20" ht="15" hidden="1" customHeight="1">
      <c r="A7204" s="468">
        <v>45581</v>
      </c>
      <c r="B7204" s="208" t="s">
        <v>5751</v>
      </c>
      <c r="C7204" s="208" t="s">
        <v>27</v>
      </c>
      <c r="D7204" s="718">
        <v>-96250000</v>
      </c>
      <c r="E7204" s="212">
        <v>45566</v>
      </c>
      <c r="F7204" s="208" t="s">
        <v>109</v>
      </c>
      <c r="G7204" s="201" t="s">
        <v>583</v>
      </c>
      <c r="H7204" s="208"/>
      <c r="I7204" s="208"/>
      <c r="J7204" s="209"/>
      <c r="K7204" s="209"/>
      <c r="L7204" s="209"/>
      <c r="M7204" s="209"/>
      <c r="N7204" s="209"/>
      <c r="O7204" s="209"/>
      <c r="P7204" s="209"/>
      <c r="Q7204" s="209"/>
      <c r="R7204" s="209"/>
      <c r="S7204" s="209"/>
      <c r="T7204" s="209"/>
    </row>
    <row r="7205" spans="1:20" ht="15" hidden="1" customHeight="1">
      <c r="A7205" s="468">
        <v>45581</v>
      </c>
      <c r="B7205" s="208" t="s">
        <v>5752</v>
      </c>
      <c r="C7205" s="208" t="s">
        <v>27</v>
      </c>
      <c r="D7205" s="211">
        <v>-300000</v>
      </c>
      <c r="E7205" s="212">
        <v>45566</v>
      </c>
      <c r="F7205" s="208" t="s">
        <v>109</v>
      </c>
      <c r="G7205" s="201" t="s">
        <v>1306</v>
      </c>
      <c r="H7205" s="208" t="s">
        <v>147</v>
      </c>
      <c r="I7205" s="208"/>
      <c r="J7205" s="209"/>
      <c r="K7205" s="209"/>
      <c r="L7205" s="209"/>
      <c r="M7205" s="209"/>
      <c r="N7205" s="209"/>
      <c r="O7205" s="209"/>
      <c r="P7205" s="209"/>
      <c r="Q7205" s="209"/>
      <c r="R7205" s="209"/>
      <c r="S7205" s="209"/>
      <c r="T7205" s="209"/>
    </row>
    <row r="7206" spans="1:20" ht="15" hidden="1" customHeight="1">
      <c r="A7206" s="468">
        <v>45581</v>
      </c>
      <c r="B7206" s="208" t="s">
        <v>5753</v>
      </c>
      <c r="C7206" s="208" t="s">
        <v>27</v>
      </c>
      <c r="D7206" s="211">
        <v>-3840963</v>
      </c>
      <c r="E7206" s="212">
        <v>45566</v>
      </c>
      <c r="F7206" s="208" t="s">
        <v>130</v>
      </c>
      <c r="G7206" s="208" t="s">
        <v>130</v>
      </c>
      <c r="H7206" s="208" t="s">
        <v>1148</v>
      </c>
      <c r="I7206" s="475" t="s">
        <v>5410</v>
      </c>
      <c r="J7206" s="209"/>
      <c r="K7206" s="209"/>
      <c r="L7206" s="209"/>
      <c r="M7206" s="209"/>
      <c r="N7206" s="209"/>
      <c r="O7206" s="209"/>
      <c r="P7206" s="209"/>
      <c r="Q7206" s="209"/>
      <c r="R7206" s="209"/>
      <c r="S7206" s="209"/>
      <c r="T7206" s="209"/>
    </row>
    <row r="7207" spans="1:20" s="561" customFormat="1" ht="15" hidden="1" customHeight="1">
      <c r="A7207" s="468">
        <v>45581</v>
      </c>
      <c r="B7207" s="208" t="s">
        <v>1794</v>
      </c>
      <c r="C7207" s="208" t="s">
        <v>3331</v>
      </c>
      <c r="D7207" s="211">
        <v>-371237</v>
      </c>
      <c r="E7207" s="212">
        <v>45566</v>
      </c>
      <c r="F7207" s="208" t="s">
        <v>130</v>
      </c>
      <c r="G7207" s="208" t="s">
        <v>130</v>
      </c>
      <c r="H7207" s="208" t="s">
        <v>249</v>
      </c>
      <c r="I7207" s="475" t="s">
        <v>5410</v>
      </c>
      <c r="J7207" s="209"/>
      <c r="K7207" s="209"/>
      <c r="L7207" s="209"/>
      <c r="M7207" s="209"/>
      <c r="N7207" s="209"/>
      <c r="O7207" s="209"/>
      <c r="P7207" s="209"/>
      <c r="Q7207" s="209"/>
      <c r="R7207" s="209"/>
      <c r="S7207" s="209"/>
      <c r="T7207" s="209"/>
    </row>
    <row r="7208" spans="1:20" ht="15" hidden="1" customHeight="1">
      <c r="A7208" s="468">
        <v>45581</v>
      </c>
      <c r="B7208" s="208" t="s">
        <v>5021</v>
      </c>
      <c r="C7208" s="208" t="s">
        <v>27</v>
      </c>
      <c r="D7208" s="211">
        <v>-1300000</v>
      </c>
      <c r="E7208" s="212">
        <v>45566</v>
      </c>
      <c r="F7208" s="208" t="s">
        <v>130</v>
      </c>
      <c r="G7208" s="208" t="s">
        <v>130</v>
      </c>
      <c r="H7208" s="208" t="s">
        <v>2421</v>
      </c>
      <c r="I7208" s="208"/>
      <c r="J7208" s="209"/>
      <c r="K7208" s="209"/>
      <c r="L7208" s="209"/>
      <c r="M7208" s="209"/>
      <c r="N7208" s="209"/>
      <c r="O7208" s="209"/>
      <c r="P7208" s="209"/>
      <c r="Q7208" s="209"/>
      <c r="R7208" s="209"/>
      <c r="S7208" s="209"/>
      <c r="T7208" s="209"/>
    </row>
    <row r="7209" spans="1:20" ht="15" hidden="1" customHeight="1">
      <c r="A7209" s="468">
        <v>45581</v>
      </c>
      <c r="B7209" s="208" t="s">
        <v>5754</v>
      </c>
      <c r="C7209" s="208" t="s">
        <v>27</v>
      </c>
      <c r="D7209" s="211">
        <v>-2646000</v>
      </c>
      <c r="E7209" s="212">
        <v>45566</v>
      </c>
      <c r="F7209" s="208" t="s">
        <v>130</v>
      </c>
      <c r="G7209" s="208" t="s">
        <v>130</v>
      </c>
      <c r="H7209" s="208" t="s">
        <v>2176</v>
      </c>
      <c r="I7209" s="475" t="s">
        <v>5410</v>
      </c>
      <c r="J7209" s="209"/>
      <c r="K7209" s="209"/>
      <c r="L7209" s="209"/>
      <c r="M7209" s="209"/>
      <c r="N7209" s="209"/>
      <c r="O7209" s="209"/>
      <c r="P7209" s="209"/>
      <c r="Q7209" s="209"/>
      <c r="R7209" s="209"/>
      <c r="S7209" s="209"/>
      <c r="T7209" s="209"/>
    </row>
    <row r="7210" spans="1:20" ht="15" hidden="1" customHeight="1">
      <c r="A7210" s="468">
        <v>45581</v>
      </c>
      <c r="B7210" s="208" t="s">
        <v>5755</v>
      </c>
      <c r="C7210" s="208" t="s">
        <v>27</v>
      </c>
      <c r="D7210" s="211">
        <v>-624379</v>
      </c>
      <c r="E7210" s="212">
        <v>45566</v>
      </c>
      <c r="F7210" s="208" t="s">
        <v>110</v>
      </c>
      <c r="G7210" s="201" t="s">
        <v>1489</v>
      </c>
      <c r="H7210" s="201" t="s">
        <v>310</v>
      </c>
      <c r="I7210" s="208"/>
      <c r="J7210" s="209"/>
      <c r="K7210" s="209"/>
      <c r="L7210" s="209"/>
      <c r="M7210" s="209"/>
      <c r="N7210" s="209"/>
      <c r="O7210" s="209"/>
      <c r="P7210" s="209"/>
      <c r="Q7210" s="209"/>
      <c r="R7210" s="209"/>
      <c r="S7210" s="209"/>
      <c r="T7210" s="209"/>
    </row>
    <row r="7211" spans="1:20" ht="15" hidden="1" customHeight="1">
      <c r="A7211" s="468">
        <v>45581</v>
      </c>
      <c r="B7211" s="208" t="s">
        <v>5755</v>
      </c>
      <c r="C7211" s="208" t="s">
        <v>27</v>
      </c>
      <c r="D7211" s="211">
        <v>-543366</v>
      </c>
      <c r="E7211" s="212">
        <v>45566</v>
      </c>
      <c r="F7211" s="208" t="s">
        <v>110</v>
      </c>
      <c r="G7211" s="208" t="s">
        <v>4294</v>
      </c>
      <c r="H7211" s="208" t="s">
        <v>175</v>
      </c>
      <c r="I7211" s="475" t="s">
        <v>5410</v>
      </c>
      <c r="J7211" s="209"/>
      <c r="K7211" s="209"/>
      <c r="L7211" s="209"/>
      <c r="M7211" s="209"/>
      <c r="N7211" s="209"/>
      <c r="O7211" s="209"/>
      <c r="P7211" s="209"/>
      <c r="Q7211" s="209"/>
      <c r="R7211" s="209"/>
      <c r="S7211" s="209"/>
      <c r="T7211" s="209"/>
    </row>
    <row r="7212" spans="1:20" ht="15" hidden="1" customHeight="1">
      <c r="A7212" s="468">
        <v>45581</v>
      </c>
      <c r="B7212" s="208" t="s">
        <v>5475</v>
      </c>
      <c r="C7212" s="208" t="s">
        <v>27</v>
      </c>
      <c r="D7212" s="211">
        <v>-1470000</v>
      </c>
      <c r="E7212" s="212">
        <v>45566</v>
      </c>
      <c r="F7212" s="208" t="s">
        <v>109</v>
      </c>
      <c r="G7212" s="201" t="s">
        <v>583</v>
      </c>
      <c r="H7212" s="208"/>
      <c r="I7212" s="208"/>
      <c r="J7212" s="209"/>
      <c r="K7212" s="209"/>
      <c r="L7212" s="209"/>
      <c r="M7212" s="209"/>
      <c r="N7212" s="209"/>
      <c r="O7212" s="209"/>
      <c r="P7212" s="209"/>
      <c r="Q7212" s="209"/>
      <c r="R7212" s="209"/>
      <c r="S7212" s="209"/>
      <c r="T7212" s="209"/>
    </row>
    <row r="7213" spans="1:20" ht="15" hidden="1" customHeight="1">
      <c r="A7213" s="468">
        <v>45581</v>
      </c>
      <c r="B7213" s="208" t="s">
        <v>5756</v>
      </c>
      <c r="C7213" s="208" t="s">
        <v>27</v>
      </c>
      <c r="D7213" s="211">
        <v>-990000</v>
      </c>
      <c r="E7213" s="212">
        <v>45566</v>
      </c>
      <c r="F7213" s="208" t="s">
        <v>109</v>
      </c>
      <c r="G7213" s="208" t="s">
        <v>10</v>
      </c>
      <c r="H7213" s="208"/>
      <c r="I7213" s="208"/>
      <c r="J7213" s="209"/>
      <c r="K7213" s="209"/>
      <c r="L7213" s="209"/>
      <c r="M7213" s="209"/>
      <c r="N7213" s="209"/>
      <c r="O7213" s="209"/>
      <c r="P7213" s="209"/>
      <c r="Q7213" s="209"/>
      <c r="R7213" s="209"/>
      <c r="S7213" s="209"/>
      <c r="T7213" s="209"/>
    </row>
    <row r="7214" spans="1:20" ht="15" hidden="1" customHeight="1">
      <c r="A7214" s="468">
        <v>45581</v>
      </c>
      <c r="B7214" s="208" t="s">
        <v>5757</v>
      </c>
      <c r="C7214" s="208" t="s">
        <v>27</v>
      </c>
      <c r="D7214" s="211">
        <v>-789338</v>
      </c>
      <c r="E7214" s="212">
        <v>45566</v>
      </c>
      <c r="F7214" s="208" t="s">
        <v>130</v>
      </c>
      <c r="G7214" s="208" t="s">
        <v>130</v>
      </c>
      <c r="H7214" s="208" t="s">
        <v>323</v>
      </c>
      <c r="I7214" s="208"/>
      <c r="J7214" s="209"/>
      <c r="K7214" s="209"/>
      <c r="L7214" s="209"/>
      <c r="M7214" s="209"/>
      <c r="N7214" s="209"/>
      <c r="O7214" s="209"/>
      <c r="P7214" s="209"/>
      <c r="Q7214" s="209"/>
      <c r="R7214" s="209"/>
      <c r="S7214" s="209"/>
      <c r="T7214" s="209"/>
    </row>
    <row r="7215" spans="1:20" ht="15" hidden="1" customHeight="1">
      <c r="A7215" s="468">
        <v>45581</v>
      </c>
      <c r="B7215" s="208" t="s">
        <v>5758</v>
      </c>
      <c r="C7215" s="208" t="s">
        <v>27</v>
      </c>
      <c r="D7215" s="211">
        <v>-12681750</v>
      </c>
      <c r="E7215" s="212">
        <v>45566</v>
      </c>
      <c r="F7215" s="208" t="s">
        <v>109</v>
      </c>
      <c r="G7215" s="208" t="s">
        <v>2809</v>
      </c>
      <c r="H7215" s="208" t="s">
        <v>3652</v>
      </c>
      <c r="I7215" s="208"/>
      <c r="J7215" s="209"/>
      <c r="K7215" s="209"/>
      <c r="L7215" s="209"/>
      <c r="M7215" s="209"/>
      <c r="N7215" s="209"/>
      <c r="O7215" s="209"/>
      <c r="P7215" s="209"/>
      <c r="Q7215" s="209"/>
      <c r="R7215" s="209"/>
      <c r="S7215" s="209"/>
      <c r="T7215" s="209"/>
    </row>
    <row r="7216" spans="1:20" ht="15" hidden="1" customHeight="1">
      <c r="A7216" s="468">
        <v>45581</v>
      </c>
      <c r="B7216" s="208" t="s">
        <v>5759</v>
      </c>
      <c r="C7216" s="208" t="s">
        <v>27</v>
      </c>
      <c r="D7216" s="211">
        <v>-636160</v>
      </c>
      <c r="E7216" s="212">
        <v>45566</v>
      </c>
      <c r="F7216" s="208" t="s">
        <v>109</v>
      </c>
      <c r="G7216" s="208" t="s">
        <v>10</v>
      </c>
      <c r="H7216" s="208"/>
      <c r="I7216" s="208"/>
      <c r="J7216" s="209"/>
      <c r="K7216" s="209"/>
      <c r="L7216" s="209"/>
      <c r="M7216" s="209"/>
      <c r="N7216" s="209"/>
      <c r="O7216" s="209"/>
      <c r="P7216" s="209"/>
      <c r="Q7216" s="209"/>
      <c r="R7216" s="209"/>
      <c r="S7216" s="209"/>
      <c r="T7216" s="209"/>
    </row>
    <row r="7217" spans="1:20" ht="15" hidden="1" customHeight="1">
      <c r="A7217" s="468">
        <v>45581</v>
      </c>
      <c r="B7217" s="208" t="s">
        <v>3208</v>
      </c>
      <c r="C7217" s="208" t="s">
        <v>27</v>
      </c>
      <c r="D7217" s="211">
        <v>-916354</v>
      </c>
      <c r="E7217" s="212">
        <v>45566</v>
      </c>
      <c r="F7217" s="208" t="s">
        <v>109</v>
      </c>
      <c r="G7217" s="208" t="s">
        <v>3529</v>
      </c>
      <c r="H7217" s="208" t="s">
        <v>212</v>
      </c>
      <c r="I7217" s="475" t="s">
        <v>5410</v>
      </c>
      <c r="J7217" s="209"/>
      <c r="K7217" s="209"/>
      <c r="L7217" s="209"/>
      <c r="M7217" s="209"/>
      <c r="N7217" s="209"/>
      <c r="O7217" s="209"/>
      <c r="P7217" s="209"/>
      <c r="Q7217" s="209"/>
      <c r="R7217" s="209"/>
      <c r="S7217" s="209"/>
      <c r="T7217" s="209"/>
    </row>
    <row r="7218" spans="1:20" ht="15" hidden="1" customHeight="1">
      <c r="A7218" s="468">
        <v>45581</v>
      </c>
      <c r="B7218" s="208" t="s">
        <v>5760</v>
      </c>
      <c r="C7218" s="208" t="s">
        <v>3331</v>
      </c>
      <c r="D7218" s="211">
        <v>-20900</v>
      </c>
      <c r="E7218" s="212">
        <v>45566</v>
      </c>
      <c r="F7218" s="208" t="s">
        <v>109</v>
      </c>
      <c r="G7218" s="208" t="s">
        <v>2809</v>
      </c>
      <c r="H7218" s="208" t="s">
        <v>5059</v>
      </c>
      <c r="I7218" s="208"/>
      <c r="J7218" s="209"/>
      <c r="K7218" s="209"/>
      <c r="L7218" s="209"/>
      <c r="M7218" s="209"/>
      <c r="N7218" s="209"/>
      <c r="O7218" s="209"/>
      <c r="P7218" s="209"/>
      <c r="Q7218" s="209"/>
      <c r="R7218" s="209"/>
      <c r="S7218" s="209"/>
      <c r="T7218" s="209"/>
    </row>
    <row r="7219" spans="1:20" ht="15" hidden="1" customHeight="1">
      <c r="A7219" s="468">
        <v>45582</v>
      </c>
      <c r="B7219" s="208" t="s">
        <v>5761</v>
      </c>
      <c r="C7219" s="208" t="s">
        <v>27</v>
      </c>
      <c r="D7219" s="211">
        <v>-1215980</v>
      </c>
      <c r="E7219" s="212">
        <v>45566</v>
      </c>
      <c r="F7219" s="208" t="s">
        <v>130</v>
      </c>
      <c r="G7219" s="208" t="s">
        <v>257</v>
      </c>
      <c r="H7219" s="208" t="s">
        <v>2272</v>
      </c>
      <c r="I7219" s="475" t="s">
        <v>5410</v>
      </c>
      <c r="J7219" s="209"/>
      <c r="K7219" s="209"/>
      <c r="L7219" s="209"/>
      <c r="M7219" s="209"/>
      <c r="N7219" s="209"/>
      <c r="O7219" s="209"/>
      <c r="P7219" s="209"/>
      <c r="Q7219" s="209"/>
      <c r="R7219" s="209"/>
      <c r="S7219" s="209"/>
      <c r="T7219" s="209"/>
    </row>
    <row r="7220" spans="1:20" ht="15" hidden="1" customHeight="1">
      <c r="A7220" s="468">
        <v>45582</v>
      </c>
      <c r="B7220" s="208" t="s">
        <v>5762</v>
      </c>
      <c r="C7220" s="208" t="s">
        <v>27</v>
      </c>
      <c r="D7220" s="211">
        <v>-25000</v>
      </c>
      <c r="E7220" s="212">
        <v>45566</v>
      </c>
      <c r="F7220" s="208" t="s">
        <v>130</v>
      </c>
      <c r="G7220" s="208" t="s">
        <v>257</v>
      </c>
      <c r="H7220" s="208" t="s">
        <v>1423</v>
      </c>
      <c r="I7220" s="208" t="s">
        <v>5763</v>
      </c>
      <c r="J7220" s="209"/>
      <c r="K7220" s="209"/>
      <c r="L7220" s="209"/>
      <c r="M7220" s="209"/>
      <c r="N7220" s="209"/>
      <c r="O7220" s="209"/>
      <c r="P7220" s="209"/>
      <c r="Q7220" s="209"/>
      <c r="R7220" s="209"/>
      <c r="S7220" s="209"/>
      <c r="T7220" s="209"/>
    </row>
    <row r="7221" spans="1:20" ht="15" hidden="1" customHeight="1">
      <c r="A7221" s="468">
        <v>45573</v>
      </c>
      <c r="B7221" s="208" t="s">
        <v>5764</v>
      </c>
      <c r="C7221" s="208" t="s">
        <v>27</v>
      </c>
      <c r="D7221" s="211">
        <v>-19500</v>
      </c>
      <c r="E7221" s="212">
        <v>45566</v>
      </c>
      <c r="F7221" s="208" t="s">
        <v>130</v>
      </c>
      <c r="G7221" s="208" t="s">
        <v>257</v>
      </c>
      <c r="H7221" s="208" t="s">
        <v>1423</v>
      </c>
      <c r="I7221" s="208" t="s">
        <v>5763</v>
      </c>
      <c r="J7221" s="209"/>
      <c r="K7221" s="209"/>
      <c r="L7221" s="209"/>
      <c r="M7221" s="209"/>
      <c r="N7221" s="209"/>
      <c r="O7221" s="209"/>
      <c r="P7221" s="209"/>
      <c r="Q7221" s="209"/>
      <c r="R7221" s="209"/>
      <c r="S7221" s="209"/>
      <c r="T7221" s="209"/>
    </row>
    <row r="7222" spans="1:20" ht="15" hidden="1" customHeight="1">
      <c r="A7222" s="468">
        <v>45574</v>
      </c>
      <c r="B7222" s="208" t="s">
        <v>5765</v>
      </c>
      <c r="C7222" s="208" t="s">
        <v>27</v>
      </c>
      <c r="D7222" s="211">
        <v>-60000</v>
      </c>
      <c r="E7222" s="212">
        <v>45566</v>
      </c>
      <c r="F7222" s="208" t="s">
        <v>130</v>
      </c>
      <c r="G7222" s="208" t="s">
        <v>257</v>
      </c>
      <c r="H7222" s="208" t="s">
        <v>1423</v>
      </c>
      <c r="I7222" s="208" t="s">
        <v>5763</v>
      </c>
      <c r="J7222" s="209"/>
      <c r="K7222" s="209"/>
      <c r="L7222" s="209"/>
      <c r="M7222" s="209"/>
      <c r="N7222" s="209"/>
      <c r="O7222" s="209"/>
      <c r="P7222" s="209"/>
      <c r="Q7222" s="209"/>
      <c r="R7222" s="209"/>
      <c r="S7222" s="209"/>
      <c r="T7222" s="209"/>
    </row>
    <row r="7223" spans="1:20" ht="15" hidden="1" customHeight="1">
      <c r="A7223" s="468">
        <v>45574</v>
      </c>
      <c r="B7223" s="208" t="s">
        <v>5766</v>
      </c>
      <c r="C7223" s="208" t="s">
        <v>27</v>
      </c>
      <c r="D7223" s="211">
        <v>-21000</v>
      </c>
      <c r="E7223" s="212">
        <v>45566</v>
      </c>
      <c r="F7223" s="208" t="s">
        <v>130</v>
      </c>
      <c r="G7223" s="208" t="s">
        <v>257</v>
      </c>
      <c r="H7223" s="208" t="s">
        <v>1423</v>
      </c>
      <c r="I7223" s="475" t="s">
        <v>5410</v>
      </c>
      <c r="J7223" s="209"/>
      <c r="K7223" s="209"/>
      <c r="L7223" s="209"/>
      <c r="M7223" s="209"/>
      <c r="N7223" s="209"/>
      <c r="O7223" s="209"/>
      <c r="P7223" s="209"/>
      <c r="Q7223" s="209"/>
      <c r="R7223" s="209"/>
      <c r="S7223" s="209"/>
      <c r="T7223" s="209"/>
    </row>
    <row r="7224" spans="1:20" ht="15" hidden="1" customHeight="1">
      <c r="A7224" s="468">
        <v>45574</v>
      </c>
      <c r="B7224" s="208" t="s">
        <v>5767</v>
      </c>
      <c r="C7224" s="208" t="s">
        <v>27</v>
      </c>
      <c r="D7224" s="211">
        <v>-13980</v>
      </c>
      <c r="E7224" s="212">
        <v>45566</v>
      </c>
      <c r="F7224" s="208" t="s">
        <v>110</v>
      </c>
      <c r="G7224" s="208" t="s">
        <v>5503</v>
      </c>
      <c r="H7224" s="208" t="s">
        <v>175</v>
      </c>
      <c r="I7224" s="208" t="s">
        <v>5763</v>
      </c>
      <c r="J7224" s="209"/>
      <c r="K7224" s="209"/>
      <c r="L7224" s="209"/>
      <c r="M7224" s="209"/>
      <c r="N7224" s="209"/>
      <c r="O7224" s="209"/>
      <c r="P7224" s="209"/>
      <c r="Q7224" s="209"/>
      <c r="R7224" s="209"/>
      <c r="S7224" s="209"/>
      <c r="T7224" s="209"/>
    </row>
    <row r="7225" spans="1:20" ht="15" hidden="1" customHeight="1">
      <c r="A7225" s="468">
        <v>45553</v>
      </c>
      <c r="B7225" s="208" t="s">
        <v>5768</v>
      </c>
      <c r="C7225" s="208" t="s">
        <v>27</v>
      </c>
      <c r="D7225" s="211">
        <v>-136100</v>
      </c>
      <c r="E7225" s="212">
        <v>45566</v>
      </c>
      <c r="F7225" s="208" t="s">
        <v>110</v>
      </c>
      <c r="G7225" s="208" t="s">
        <v>4399</v>
      </c>
      <c r="H7225" s="208" t="s">
        <v>175</v>
      </c>
      <c r="I7225" s="208" t="s">
        <v>5763</v>
      </c>
      <c r="J7225" s="209"/>
      <c r="K7225" s="209"/>
      <c r="L7225" s="209"/>
      <c r="M7225" s="209"/>
      <c r="N7225" s="209"/>
      <c r="O7225" s="209"/>
      <c r="P7225" s="209"/>
      <c r="Q7225" s="209"/>
      <c r="R7225" s="209"/>
      <c r="S7225" s="209"/>
      <c r="T7225" s="209"/>
    </row>
    <row r="7226" spans="1:20" ht="15" hidden="1" customHeight="1">
      <c r="A7226" s="468">
        <v>45554</v>
      </c>
      <c r="B7226" s="208" t="s">
        <v>5769</v>
      </c>
      <c r="C7226" s="208" t="s">
        <v>27</v>
      </c>
      <c r="D7226" s="211">
        <v>-26210</v>
      </c>
      <c r="E7226" s="212">
        <v>45566</v>
      </c>
      <c r="F7226" s="208" t="s">
        <v>110</v>
      </c>
      <c r="G7226" s="208" t="s">
        <v>4399</v>
      </c>
      <c r="H7226" s="208" t="s">
        <v>175</v>
      </c>
      <c r="I7226" s="208" t="s">
        <v>5763</v>
      </c>
      <c r="J7226" s="209"/>
      <c r="K7226" s="209"/>
      <c r="L7226" s="209"/>
      <c r="M7226" s="209"/>
      <c r="N7226" s="209"/>
      <c r="O7226" s="209"/>
      <c r="P7226" s="209"/>
      <c r="Q7226" s="209"/>
      <c r="R7226" s="209"/>
      <c r="S7226" s="209"/>
      <c r="T7226" s="209"/>
    </row>
    <row r="7227" spans="1:20" ht="15" hidden="1" customHeight="1">
      <c r="A7227" s="468">
        <v>45567</v>
      </c>
      <c r="B7227" s="208" t="s">
        <v>5770</v>
      </c>
      <c r="C7227" s="208" t="s">
        <v>27</v>
      </c>
      <c r="D7227" s="211">
        <v>-28000</v>
      </c>
      <c r="E7227" s="212">
        <v>45566</v>
      </c>
      <c r="F7227" s="208" t="s">
        <v>110</v>
      </c>
      <c r="G7227" s="208" t="s">
        <v>4399</v>
      </c>
      <c r="H7227" s="208" t="s">
        <v>147</v>
      </c>
      <c r="I7227" s="208" t="s">
        <v>5763</v>
      </c>
      <c r="J7227" s="209"/>
      <c r="K7227" s="209"/>
      <c r="L7227" s="209"/>
      <c r="M7227" s="209"/>
      <c r="N7227" s="209"/>
      <c r="O7227" s="209"/>
      <c r="P7227" s="209"/>
      <c r="Q7227" s="209"/>
      <c r="R7227" s="209"/>
      <c r="S7227" s="209"/>
      <c r="T7227" s="209"/>
    </row>
    <row r="7228" spans="1:20" ht="15" hidden="1" customHeight="1">
      <c r="A7228" s="468">
        <v>45567</v>
      </c>
      <c r="B7228" s="208" t="s">
        <v>5771</v>
      </c>
      <c r="C7228" s="208" t="s">
        <v>27</v>
      </c>
      <c r="D7228" s="211">
        <v>-37800</v>
      </c>
      <c r="E7228" s="212">
        <v>45566</v>
      </c>
      <c r="F7228" s="208" t="s">
        <v>110</v>
      </c>
      <c r="G7228" s="208" t="s">
        <v>4399</v>
      </c>
      <c r="H7228" s="208" t="s">
        <v>147</v>
      </c>
      <c r="I7228" s="208" t="s">
        <v>5763</v>
      </c>
      <c r="J7228" s="209"/>
      <c r="K7228" s="209"/>
      <c r="L7228" s="209"/>
      <c r="M7228" s="209"/>
      <c r="N7228" s="209"/>
      <c r="O7228" s="209"/>
      <c r="P7228" s="209"/>
      <c r="Q7228" s="209"/>
      <c r="R7228" s="209"/>
      <c r="S7228" s="209"/>
      <c r="T7228" s="209"/>
    </row>
    <row r="7229" spans="1:20" ht="15" hidden="1" customHeight="1">
      <c r="A7229" s="468">
        <v>45582</v>
      </c>
      <c r="B7229" s="208" t="s">
        <v>5772</v>
      </c>
      <c r="C7229" s="208" t="s">
        <v>27</v>
      </c>
      <c r="D7229" s="211">
        <v>-611188</v>
      </c>
      <c r="E7229" s="212">
        <v>45566</v>
      </c>
      <c r="F7229" s="208" t="s">
        <v>130</v>
      </c>
      <c r="G7229" s="208" t="s">
        <v>257</v>
      </c>
      <c r="H7229" s="208" t="s">
        <v>1138</v>
      </c>
      <c r="I7229" s="475" t="s">
        <v>5410</v>
      </c>
      <c r="J7229" s="209"/>
      <c r="K7229" s="209"/>
      <c r="L7229" s="209"/>
      <c r="M7229" s="209"/>
      <c r="N7229" s="209"/>
      <c r="O7229" s="209"/>
      <c r="P7229" s="209"/>
      <c r="Q7229" s="209"/>
      <c r="R7229" s="209"/>
      <c r="S7229" s="209"/>
      <c r="T7229" s="209"/>
    </row>
    <row r="7230" spans="1:20" ht="15" hidden="1" customHeight="1">
      <c r="A7230" s="468">
        <v>45582</v>
      </c>
      <c r="B7230" s="208" t="s">
        <v>5773</v>
      </c>
      <c r="C7230" s="208" t="s">
        <v>27</v>
      </c>
      <c r="D7230" s="211">
        <v>-250000</v>
      </c>
      <c r="E7230" s="212">
        <v>45566</v>
      </c>
      <c r="F7230" s="208" t="s">
        <v>130</v>
      </c>
      <c r="G7230" s="208" t="s">
        <v>130</v>
      </c>
      <c r="H7230" s="208" t="s">
        <v>323</v>
      </c>
      <c r="I7230" s="208"/>
      <c r="J7230" s="209"/>
      <c r="K7230" s="209"/>
      <c r="L7230" s="209"/>
      <c r="M7230" s="209"/>
      <c r="N7230" s="209"/>
      <c r="O7230" s="209"/>
      <c r="P7230" s="209"/>
      <c r="Q7230" s="209"/>
      <c r="R7230" s="209"/>
      <c r="S7230" s="209"/>
      <c r="T7230" s="209"/>
    </row>
    <row r="7231" spans="1:20" ht="15" hidden="1" customHeight="1">
      <c r="A7231" s="468">
        <v>45582</v>
      </c>
      <c r="B7231" s="208" t="s">
        <v>5774</v>
      </c>
      <c r="C7231" s="208" t="s">
        <v>27</v>
      </c>
      <c r="D7231" s="211">
        <v>-15120000</v>
      </c>
      <c r="E7231" s="212">
        <v>45566</v>
      </c>
      <c r="F7231" s="208" t="s">
        <v>109</v>
      </c>
      <c r="G7231" s="208" t="s">
        <v>2809</v>
      </c>
      <c r="H7231" s="208" t="s">
        <v>5775</v>
      </c>
      <c r="I7231" s="475" t="s">
        <v>5410</v>
      </c>
      <c r="J7231" s="209"/>
      <c r="K7231" s="209"/>
      <c r="L7231" s="209"/>
      <c r="M7231" s="209"/>
      <c r="N7231" s="209"/>
      <c r="O7231" s="209"/>
      <c r="P7231" s="209"/>
      <c r="Q7231" s="209"/>
      <c r="R7231" s="209"/>
      <c r="S7231" s="209"/>
      <c r="T7231" s="209"/>
    </row>
    <row r="7232" spans="1:20" ht="15" hidden="1" customHeight="1">
      <c r="A7232" s="468">
        <v>45582</v>
      </c>
      <c r="B7232" s="208" t="s">
        <v>5776</v>
      </c>
      <c r="C7232" s="208" t="s">
        <v>27</v>
      </c>
      <c r="D7232" s="211">
        <v>-980000</v>
      </c>
      <c r="E7232" s="212">
        <v>45566</v>
      </c>
      <c r="F7232" s="208" t="s">
        <v>109</v>
      </c>
      <c r="G7232" s="208" t="s">
        <v>10</v>
      </c>
      <c r="H7232" s="208"/>
      <c r="I7232" s="208"/>
      <c r="J7232" s="209"/>
      <c r="K7232" s="209"/>
      <c r="L7232" s="209"/>
      <c r="M7232" s="209"/>
      <c r="N7232" s="209"/>
      <c r="O7232" s="209"/>
      <c r="P7232" s="209"/>
      <c r="Q7232" s="209"/>
      <c r="R7232" s="209"/>
      <c r="S7232" s="209"/>
      <c r="T7232" s="209"/>
    </row>
    <row r="7233" spans="1:20" ht="15" hidden="1" customHeight="1">
      <c r="A7233" s="468">
        <v>45583</v>
      </c>
      <c r="B7233" s="208" t="s">
        <v>5777</v>
      </c>
      <c r="C7233" s="208" t="s">
        <v>27</v>
      </c>
      <c r="D7233" s="211">
        <v>-1950000</v>
      </c>
      <c r="E7233" s="212">
        <v>45566</v>
      </c>
      <c r="F7233" s="208" t="s">
        <v>109</v>
      </c>
      <c r="G7233" s="201" t="s">
        <v>581</v>
      </c>
      <c r="H7233" s="208"/>
      <c r="I7233" s="208"/>
      <c r="J7233" s="209"/>
      <c r="K7233" s="209"/>
      <c r="L7233" s="209"/>
      <c r="M7233" s="209"/>
      <c r="N7233" s="209"/>
      <c r="O7233" s="209"/>
      <c r="P7233" s="209"/>
      <c r="Q7233" s="209"/>
      <c r="R7233" s="209"/>
      <c r="S7233" s="209"/>
      <c r="T7233" s="209"/>
    </row>
    <row r="7234" spans="1:20" ht="15" hidden="1" customHeight="1">
      <c r="A7234" s="468">
        <v>45583</v>
      </c>
      <c r="B7234" s="208" t="s">
        <v>5778</v>
      </c>
      <c r="C7234" s="208" t="s">
        <v>27</v>
      </c>
      <c r="D7234" s="211">
        <v>-1744640</v>
      </c>
      <c r="E7234" s="212">
        <v>45566</v>
      </c>
      <c r="F7234" s="208" t="s">
        <v>109</v>
      </c>
      <c r="G7234" s="201" t="s">
        <v>581</v>
      </c>
      <c r="H7234" s="208"/>
      <c r="I7234" s="208"/>
      <c r="J7234" s="209"/>
      <c r="K7234" s="209"/>
      <c r="L7234" s="209"/>
      <c r="M7234" s="209"/>
      <c r="N7234" s="209"/>
      <c r="O7234" s="209"/>
      <c r="P7234" s="209"/>
      <c r="Q7234" s="209"/>
      <c r="R7234" s="209"/>
      <c r="S7234" s="209"/>
      <c r="T7234" s="209"/>
    </row>
    <row r="7235" spans="1:20" ht="15" hidden="1" customHeight="1">
      <c r="A7235" s="468">
        <v>45583</v>
      </c>
      <c r="B7235" s="208" t="s">
        <v>5779</v>
      </c>
      <c r="C7235" s="208" t="s">
        <v>27</v>
      </c>
      <c r="D7235" s="211">
        <v>-650000</v>
      </c>
      <c r="E7235" s="212">
        <v>45566</v>
      </c>
      <c r="F7235" s="208" t="s">
        <v>109</v>
      </c>
      <c r="G7235" s="201" t="s">
        <v>1306</v>
      </c>
      <c r="H7235" s="208" t="s">
        <v>147</v>
      </c>
      <c r="I7235" s="475" t="s">
        <v>5410</v>
      </c>
      <c r="J7235" s="209"/>
      <c r="K7235" s="209"/>
      <c r="L7235" s="209"/>
      <c r="M7235" s="209"/>
      <c r="N7235" s="209"/>
      <c r="O7235" s="209"/>
      <c r="P7235" s="209"/>
      <c r="Q7235" s="209"/>
      <c r="R7235" s="209"/>
      <c r="S7235" s="209"/>
      <c r="T7235" s="209"/>
    </row>
    <row r="7236" spans="1:20" ht="15" hidden="1" customHeight="1">
      <c r="A7236" s="468">
        <v>45583</v>
      </c>
      <c r="B7236" s="208" t="s">
        <v>5779</v>
      </c>
      <c r="C7236" s="208" t="s">
        <v>27</v>
      </c>
      <c r="D7236" s="211">
        <v>-650000</v>
      </c>
      <c r="E7236" s="212">
        <v>45566</v>
      </c>
      <c r="F7236" s="208" t="s">
        <v>109</v>
      </c>
      <c r="G7236" s="201" t="s">
        <v>581</v>
      </c>
      <c r="H7236" s="208" t="s">
        <v>147</v>
      </c>
      <c r="I7236" s="208"/>
      <c r="J7236" s="209"/>
      <c r="K7236" s="209"/>
      <c r="L7236" s="209"/>
      <c r="M7236" s="209"/>
      <c r="N7236" s="209"/>
      <c r="O7236" s="209"/>
      <c r="P7236" s="209"/>
      <c r="Q7236" s="209"/>
      <c r="R7236" s="209"/>
      <c r="S7236" s="209"/>
      <c r="T7236" s="209"/>
    </row>
    <row r="7237" spans="1:20" ht="15" hidden="1" customHeight="1">
      <c r="A7237" s="468">
        <v>45583</v>
      </c>
      <c r="B7237" s="208" t="s">
        <v>5779</v>
      </c>
      <c r="C7237" s="208" t="s">
        <v>27</v>
      </c>
      <c r="D7237" s="211">
        <v>-650000</v>
      </c>
      <c r="E7237" s="212">
        <v>45566</v>
      </c>
      <c r="F7237" s="208" t="s">
        <v>110</v>
      </c>
      <c r="G7237" s="201" t="s">
        <v>1489</v>
      </c>
      <c r="H7237" s="208" t="s">
        <v>147</v>
      </c>
      <c r="I7237" s="208"/>
      <c r="J7237" s="209"/>
      <c r="K7237" s="209"/>
      <c r="L7237" s="209"/>
      <c r="M7237" s="209"/>
      <c r="N7237" s="209"/>
      <c r="O7237" s="209"/>
      <c r="P7237" s="209"/>
      <c r="Q7237" s="209"/>
      <c r="R7237" s="209"/>
      <c r="S7237" s="209"/>
      <c r="T7237" s="209"/>
    </row>
    <row r="7238" spans="1:20" ht="15" hidden="1" customHeight="1">
      <c r="A7238" s="468">
        <v>45583</v>
      </c>
      <c r="B7238" s="208" t="s">
        <v>5780</v>
      </c>
      <c r="C7238" s="208" t="s">
        <v>3331</v>
      </c>
      <c r="D7238" s="211">
        <v>-9204788</v>
      </c>
      <c r="E7238" s="212">
        <v>45566</v>
      </c>
      <c r="F7238" s="208" t="s">
        <v>109</v>
      </c>
      <c r="G7238" s="208" t="s">
        <v>10</v>
      </c>
      <c r="H7238" s="201" t="s">
        <v>318</v>
      </c>
      <c r="I7238" s="208"/>
      <c r="J7238" s="209"/>
      <c r="K7238" s="209"/>
      <c r="L7238" s="209"/>
      <c r="M7238" s="209"/>
      <c r="N7238" s="209"/>
      <c r="O7238" s="209"/>
      <c r="P7238" s="209"/>
      <c r="Q7238" s="209"/>
      <c r="R7238" s="209"/>
      <c r="S7238" s="209"/>
      <c r="T7238" s="209"/>
    </row>
    <row r="7239" spans="1:20" ht="15" hidden="1" customHeight="1">
      <c r="A7239" s="468">
        <v>45583</v>
      </c>
      <c r="B7239" s="208" t="s">
        <v>5781</v>
      </c>
      <c r="C7239" s="208" t="s">
        <v>27</v>
      </c>
      <c r="D7239" s="211">
        <v>-2323000</v>
      </c>
      <c r="E7239" s="212">
        <v>45566</v>
      </c>
      <c r="F7239" s="208" t="s">
        <v>130</v>
      </c>
      <c r="G7239" s="208" t="s">
        <v>257</v>
      </c>
      <c r="H7239" s="201" t="s">
        <v>663</v>
      </c>
      <c r="I7239" s="208"/>
      <c r="J7239" s="209"/>
      <c r="K7239" s="209"/>
      <c r="L7239" s="209"/>
      <c r="M7239" s="209"/>
      <c r="N7239" s="209"/>
      <c r="O7239" s="209"/>
      <c r="P7239" s="209"/>
      <c r="Q7239" s="209"/>
      <c r="R7239" s="209"/>
      <c r="S7239" s="209"/>
      <c r="T7239" s="209"/>
    </row>
    <row r="7240" spans="1:20" ht="15" hidden="1" customHeight="1">
      <c r="A7240" s="468">
        <v>45582</v>
      </c>
      <c r="B7240" s="208" t="s">
        <v>5782</v>
      </c>
      <c r="C7240" s="208" t="s">
        <v>27</v>
      </c>
      <c r="D7240" s="211">
        <v>-680890</v>
      </c>
      <c r="E7240" s="212">
        <v>45566</v>
      </c>
      <c r="F7240" s="208" t="s">
        <v>110</v>
      </c>
      <c r="G7240" s="201" t="s">
        <v>1489</v>
      </c>
      <c r="H7240" s="208" t="s">
        <v>2941</v>
      </c>
      <c r="I7240" s="475" t="s">
        <v>5410</v>
      </c>
      <c r="J7240" s="209"/>
      <c r="K7240" s="209"/>
      <c r="L7240" s="209"/>
      <c r="M7240" s="209"/>
      <c r="N7240" s="209"/>
      <c r="O7240" s="209"/>
      <c r="P7240" s="209"/>
      <c r="Q7240" s="209"/>
      <c r="R7240" s="209"/>
      <c r="S7240" s="209"/>
      <c r="T7240" s="209"/>
    </row>
    <row r="7241" spans="1:20" ht="15" hidden="1" customHeight="1">
      <c r="A7241" s="468">
        <v>45582</v>
      </c>
      <c r="B7241" s="208" t="s">
        <v>5783</v>
      </c>
      <c r="C7241" s="208" t="s">
        <v>27</v>
      </c>
      <c r="D7241" s="211">
        <v>-850850</v>
      </c>
      <c r="E7241" s="212">
        <v>45566</v>
      </c>
      <c r="F7241" s="208" t="s">
        <v>110</v>
      </c>
      <c r="G7241" s="208" t="s">
        <v>4399</v>
      </c>
      <c r="H7241" s="208" t="s">
        <v>3637</v>
      </c>
      <c r="I7241" s="475" t="s">
        <v>5410</v>
      </c>
      <c r="J7241" s="209"/>
      <c r="K7241" s="209"/>
      <c r="L7241" s="209"/>
      <c r="M7241" s="209"/>
      <c r="N7241" s="209"/>
      <c r="O7241" s="209"/>
      <c r="P7241" s="209"/>
      <c r="Q7241" s="209"/>
      <c r="R7241" s="209"/>
      <c r="S7241" s="209"/>
      <c r="T7241" s="209"/>
    </row>
    <row r="7242" spans="1:20" ht="15" hidden="1" customHeight="1">
      <c r="A7242" s="468">
        <v>45582</v>
      </c>
      <c r="B7242" s="208" t="s">
        <v>5784</v>
      </c>
      <c r="C7242" s="208" t="s">
        <v>27</v>
      </c>
      <c r="D7242" s="211">
        <v>-795967</v>
      </c>
      <c r="E7242" s="212">
        <v>45566</v>
      </c>
      <c r="F7242" s="208" t="s">
        <v>130</v>
      </c>
      <c r="G7242" s="208" t="s">
        <v>130</v>
      </c>
      <c r="H7242" s="208" t="s">
        <v>323</v>
      </c>
      <c r="I7242" s="475" t="s">
        <v>5410</v>
      </c>
      <c r="J7242" s="209"/>
      <c r="K7242" s="209"/>
      <c r="L7242" s="209"/>
      <c r="M7242" s="209"/>
      <c r="N7242" s="209"/>
      <c r="O7242" s="209"/>
      <c r="P7242" s="209"/>
      <c r="Q7242" s="209"/>
      <c r="R7242" s="209"/>
      <c r="S7242" s="209"/>
      <c r="T7242" s="209"/>
    </row>
    <row r="7243" spans="1:20" ht="15" hidden="1" customHeight="1">
      <c r="A7243" s="468">
        <v>45582</v>
      </c>
      <c r="B7243" s="208" t="s">
        <v>2107</v>
      </c>
      <c r="C7243" s="208" t="s">
        <v>27</v>
      </c>
      <c r="D7243" s="211">
        <v>-700000</v>
      </c>
      <c r="E7243" s="212">
        <v>45566</v>
      </c>
      <c r="F7243" s="208" t="s">
        <v>110</v>
      </c>
      <c r="G7243" s="208" t="s">
        <v>5503</v>
      </c>
      <c r="H7243" s="208" t="s">
        <v>212</v>
      </c>
      <c r="I7243" s="208"/>
      <c r="J7243" s="209"/>
      <c r="K7243" s="209"/>
      <c r="L7243" s="209"/>
      <c r="M7243" s="209"/>
      <c r="N7243" s="209"/>
      <c r="O7243" s="209"/>
      <c r="P7243" s="209"/>
      <c r="Q7243" s="209"/>
      <c r="R7243" s="209"/>
      <c r="S7243" s="209"/>
      <c r="T7243" s="209"/>
    </row>
    <row r="7244" spans="1:20" ht="15" hidden="1" customHeight="1">
      <c r="A7244" s="468">
        <v>45582</v>
      </c>
      <c r="B7244" s="208" t="s">
        <v>5462</v>
      </c>
      <c r="C7244" s="208" t="s">
        <v>27</v>
      </c>
      <c r="D7244" s="211">
        <v>-1120000</v>
      </c>
      <c r="E7244" s="212">
        <v>45566</v>
      </c>
      <c r="F7244" s="208" t="s">
        <v>109</v>
      </c>
      <c r="G7244" s="201" t="s">
        <v>583</v>
      </c>
      <c r="H7244" s="208"/>
      <c r="I7244" s="208"/>
      <c r="J7244" s="209"/>
      <c r="K7244" s="209"/>
      <c r="L7244" s="209"/>
      <c r="M7244" s="209"/>
      <c r="N7244" s="209"/>
      <c r="O7244" s="209"/>
      <c r="P7244" s="209"/>
      <c r="Q7244" s="209"/>
      <c r="R7244" s="209"/>
      <c r="S7244" s="209"/>
      <c r="T7244" s="209"/>
    </row>
    <row r="7245" spans="1:20" ht="15" hidden="1" customHeight="1">
      <c r="A7245" s="468">
        <v>45575</v>
      </c>
      <c r="B7245" s="208" t="s">
        <v>5785</v>
      </c>
      <c r="C7245" s="208" t="s">
        <v>27</v>
      </c>
      <c r="D7245" s="211">
        <v>-34116</v>
      </c>
      <c r="E7245" s="212">
        <v>45566</v>
      </c>
      <c r="F7245" s="208" t="s">
        <v>110</v>
      </c>
      <c r="G7245" s="208" t="s">
        <v>5503</v>
      </c>
      <c r="H7245" s="208" t="s">
        <v>175</v>
      </c>
      <c r="I7245" s="208" t="s">
        <v>5786</v>
      </c>
      <c r="J7245" s="209"/>
      <c r="K7245" s="209"/>
      <c r="L7245" s="209"/>
      <c r="M7245" s="209"/>
      <c r="N7245" s="209"/>
      <c r="O7245" s="209"/>
      <c r="P7245" s="209"/>
      <c r="Q7245" s="209"/>
      <c r="R7245" s="209"/>
      <c r="S7245" s="209"/>
      <c r="T7245" s="209"/>
    </row>
    <row r="7246" spans="1:20" ht="15" hidden="1" customHeight="1">
      <c r="A7246" s="468">
        <v>45576</v>
      </c>
      <c r="B7246" s="208" t="s">
        <v>5787</v>
      </c>
      <c r="C7246" s="208" t="s">
        <v>27</v>
      </c>
      <c r="D7246" s="211">
        <v>-215700</v>
      </c>
      <c r="E7246" s="212">
        <v>45566</v>
      </c>
      <c r="F7246" s="208" t="s">
        <v>110</v>
      </c>
      <c r="G7246" s="208" t="s">
        <v>5503</v>
      </c>
      <c r="H7246" s="208" t="s">
        <v>175</v>
      </c>
      <c r="I7246" s="208" t="s">
        <v>5786</v>
      </c>
      <c r="J7246" s="209"/>
      <c r="K7246" s="209"/>
      <c r="L7246" s="209"/>
      <c r="M7246" s="209"/>
      <c r="N7246" s="209"/>
      <c r="O7246" s="209"/>
      <c r="P7246" s="209"/>
      <c r="Q7246" s="209"/>
      <c r="R7246" s="209"/>
      <c r="S7246" s="209"/>
      <c r="T7246" s="209"/>
    </row>
    <row r="7247" spans="1:20" ht="15" hidden="1" customHeight="1">
      <c r="A7247" s="468">
        <v>45576</v>
      </c>
      <c r="B7247" s="208" t="s">
        <v>5788</v>
      </c>
      <c r="C7247" s="208" t="s">
        <v>27</v>
      </c>
      <c r="D7247" s="211">
        <v>-3400</v>
      </c>
      <c r="E7247" s="212">
        <v>45566</v>
      </c>
      <c r="F7247" s="208" t="s">
        <v>110</v>
      </c>
      <c r="G7247" s="208" t="s">
        <v>5503</v>
      </c>
      <c r="H7247" s="208" t="s">
        <v>175</v>
      </c>
      <c r="I7247" s="208" t="s">
        <v>5786</v>
      </c>
      <c r="J7247" s="209"/>
      <c r="K7247" s="209"/>
      <c r="L7247" s="209"/>
      <c r="M7247" s="209"/>
      <c r="N7247" s="209"/>
      <c r="O7247" s="209"/>
      <c r="P7247" s="209"/>
      <c r="Q7247" s="209"/>
      <c r="R7247" s="209"/>
      <c r="S7247" s="209"/>
      <c r="T7247" s="209"/>
    </row>
    <row r="7248" spans="1:20" ht="15" hidden="1" customHeight="1">
      <c r="A7248" s="468">
        <v>45576</v>
      </c>
      <c r="B7248" s="208" t="s">
        <v>5789</v>
      </c>
      <c r="C7248" s="208" t="s">
        <v>27</v>
      </c>
      <c r="D7248" s="211">
        <v>-90000</v>
      </c>
      <c r="E7248" s="212">
        <v>45566</v>
      </c>
      <c r="F7248" s="208" t="s">
        <v>110</v>
      </c>
      <c r="G7248" s="208" t="s">
        <v>5503</v>
      </c>
      <c r="H7248" s="81" t="s">
        <v>138</v>
      </c>
      <c r="I7248" s="208" t="s">
        <v>5786</v>
      </c>
      <c r="J7248" s="209"/>
      <c r="K7248" s="209"/>
      <c r="L7248" s="209"/>
      <c r="M7248" s="209"/>
      <c r="N7248" s="209"/>
      <c r="O7248" s="209"/>
      <c r="P7248" s="209"/>
      <c r="Q7248" s="209"/>
      <c r="R7248" s="209"/>
      <c r="S7248" s="209"/>
      <c r="T7248" s="209"/>
    </row>
    <row r="7249" spans="1:20" ht="15" hidden="1" customHeight="1">
      <c r="A7249" s="468">
        <v>45577</v>
      </c>
      <c r="B7249" s="208" t="s">
        <v>5790</v>
      </c>
      <c r="C7249" s="208" t="s">
        <v>27</v>
      </c>
      <c r="D7249" s="211">
        <v>-44800</v>
      </c>
      <c r="E7249" s="212">
        <v>45566</v>
      </c>
      <c r="F7249" s="208" t="s">
        <v>110</v>
      </c>
      <c r="G7249" s="208" t="s">
        <v>5503</v>
      </c>
      <c r="H7249" s="208" t="s">
        <v>175</v>
      </c>
      <c r="I7249" s="208" t="s">
        <v>5786</v>
      </c>
      <c r="J7249" s="209"/>
      <c r="K7249" s="209"/>
      <c r="L7249" s="209"/>
      <c r="M7249" s="209"/>
      <c r="N7249" s="209"/>
      <c r="O7249" s="209"/>
      <c r="P7249" s="209"/>
      <c r="Q7249" s="209"/>
      <c r="R7249" s="209"/>
      <c r="S7249" s="209"/>
      <c r="T7249" s="209"/>
    </row>
    <row r="7250" spans="1:20" ht="15" hidden="1" customHeight="1">
      <c r="A7250" s="468">
        <v>45577</v>
      </c>
      <c r="B7250" s="208" t="s">
        <v>5791</v>
      </c>
      <c r="C7250" s="208" t="s">
        <v>27</v>
      </c>
      <c r="D7250" s="211">
        <v>-12401</v>
      </c>
      <c r="E7250" s="212">
        <v>45566</v>
      </c>
      <c r="F7250" s="208" t="s">
        <v>110</v>
      </c>
      <c r="G7250" s="208" t="s">
        <v>5503</v>
      </c>
      <c r="H7250" s="208" t="s">
        <v>175</v>
      </c>
      <c r="I7250" s="208" t="s">
        <v>5786</v>
      </c>
      <c r="J7250" s="209"/>
      <c r="K7250" s="209"/>
      <c r="L7250" s="209"/>
      <c r="M7250" s="209"/>
      <c r="N7250" s="209"/>
      <c r="O7250" s="209"/>
      <c r="P7250" s="209"/>
      <c r="Q7250" s="209"/>
      <c r="R7250" s="209"/>
      <c r="S7250" s="209"/>
      <c r="T7250" s="209"/>
    </row>
    <row r="7251" spans="1:20" ht="15" hidden="1" customHeight="1">
      <c r="A7251" s="468">
        <v>45580</v>
      </c>
      <c r="B7251" s="208" t="s">
        <v>5788</v>
      </c>
      <c r="C7251" s="208" t="s">
        <v>27</v>
      </c>
      <c r="D7251" s="211">
        <v>-3400</v>
      </c>
      <c r="E7251" s="212">
        <v>45566</v>
      </c>
      <c r="F7251" s="208" t="s">
        <v>110</v>
      </c>
      <c r="G7251" s="208" t="s">
        <v>5503</v>
      </c>
      <c r="H7251" s="208" t="s">
        <v>175</v>
      </c>
      <c r="I7251" s="208" t="s">
        <v>5786</v>
      </c>
      <c r="J7251" s="209"/>
      <c r="K7251" s="209"/>
      <c r="L7251" s="209"/>
      <c r="M7251" s="209"/>
      <c r="N7251" s="209"/>
      <c r="O7251" s="209"/>
      <c r="P7251" s="209"/>
      <c r="Q7251" s="209"/>
      <c r="R7251" s="209"/>
      <c r="S7251" s="209"/>
      <c r="T7251" s="209"/>
    </row>
    <row r="7252" spans="1:20" ht="15" hidden="1" customHeight="1">
      <c r="A7252" s="468">
        <v>45580</v>
      </c>
      <c r="B7252" s="208" t="s">
        <v>5792</v>
      </c>
      <c r="C7252" s="208" t="s">
        <v>27</v>
      </c>
      <c r="D7252" s="211">
        <v>-50000</v>
      </c>
      <c r="E7252" s="212">
        <v>45566</v>
      </c>
      <c r="F7252" s="208" t="s">
        <v>110</v>
      </c>
      <c r="G7252" s="208" t="s">
        <v>5503</v>
      </c>
      <c r="H7252" s="81" t="s">
        <v>138</v>
      </c>
      <c r="I7252" s="475" t="s">
        <v>5410</v>
      </c>
      <c r="J7252" s="209"/>
      <c r="K7252" s="209"/>
      <c r="L7252" s="209"/>
      <c r="M7252" s="209"/>
      <c r="N7252" s="209"/>
      <c r="O7252" s="209"/>
      <c r="P7252" s="209"/>
      <c r="Q7252" s="209"/>
      <c r="R7252" s="209"/>
      <c r="S7252" s="209"/>
      <c r="T7252" s="209"/>
    </row>
    <row r="7253" spans="1:20" ht="15" hidden="1" customHeight="1">
      <c r="A7253" s="468">
        <v>45583</v>
      </c>
      <c r="B7253" s="208" t="s">
        <v>5793</v>
      </c>
      <c r="C7253" s="208" t="s">
        <v>27</v>
      </c>
      <c r="D7253" s="211">
        <v>-6832800</v>
      </c>
      <c r="E7253" s="212">
        <v>45566</v>
      </c>
      <c r="F7253" s="208" t="s">
        <v>109</v>
      </c>
      <c r="G7253" s="201" t="s">
        <v>583</v>
      </c>
      <c r="H7253" s="208"/>
      <c r="I7253" s="208"/>
      <c r="J7253" s="209"/>
      <c r="K7253" s="209"/>
      <c r="L7253" s="209"/>
      <c r="M7253" s="209"/>
      <c r="N7253" s="209"/>
      <c r="O7253" s="209"/>
      <c r="P7253" s="209"/>
      <c r="Q7253" s="209"/>
      <c r="R7253" s="209"/>
      <c r="S7253" s="209"/>
      <c r="T7253" s="209"/>
    </row>
    <row r="7254" spans="1:20" ht="15" hidden="1" customHeight="1">
      <c r="A7254" s="468">
        <v>45583</v>
      </c>
      <c r="B7254" s="208" t="s">
        <v>5794</v>
      </c>
      <c r="C7254" s="208" t="s">
        <v>27</v>
      </c>
      <c r="D7254" s="211">
        <v>-1181952</v>
      </c>
      <c r="E7254" s="212">
        <v>45566</v>
      </c>
      <c r="F7254" s="208" t="s">
        <v>130</v>
      </c>
      <c r="G7254" s="208" t="s">
        <v>257</v>
      </c>
      <c r="H7254" s="201" t="s">
        <v>663</v>
      </c>
      <c r="I7254" s="475" t="s">
        <v>5410</v>
      </c>
      <c r="J7254" s="209"/>
      <c r="K7254" s="209"/>
      <c r="L7254" s="209"/>
      <c r="M7254" s="209"/>
      <c r="N7254" s="209"/>
      <c r="O7254" s="209"/>
      <c r="P7254" s="209"/>
      <c r="Q7254" s="209"/>
      <c r="R7254" s="209"/>
      <c r="S7254" s="209"/>
      <c r="T7254" s="209"/>
    </row>
    <row r="7255" spans="1:20" ht="15" hidden="1" customHeight="1">
      <c r="A7255" s="468">
        <v>45583</v>
      </c>
      <c r="B7255" s="208" t="s">
        <v>5795</v>
      </c>
      <c r="C7255" s="208" t="s">
        <v>27</v>
      </c>
      <c r="D7255" s="211">
        <v>-3869676</v>
      </c>
      <c r="E7255" s="212">
        <v>45566</v>
      </c>
      <c r="F7255" s="208" t="s">
        <v>109</v>
      </c>
      <c r="G7255" s="201" t="s">
        <v>581</v>
      </c>
      <c r="H7255" s="208"/>
      <c r="I7255" s="208"/>
      <c r="J7255" s="209"/>
      <c r="K7255" s="209"/>
      <c r="L7255" s="209"/>
      <c r="M7255" s="209"/>
      <c r="N7255" s="209"/>
      <c r="O7255" s="209"/>
      <c r="P7255" s="209"/>
      <c r="Q7255" s="209"/>
      <c r="R7255" s="209"/>
      <c r="S7255" s="209"/>
      <c r="T7255" s="209"/>
    </row>
    <row r="7256" spans="1:20" ht="15" hidden="1" customHeight="1">
      <c r="A7256" s="468">
        <v>45581</v>
      </c>
      <c r="B7256" s="208" t="s">
        <v>5796</v>
      </c>
      <c r="C7256" s="208" t="s">
        <v>27</v>
      </c>
      <c r="D7256" s="211">
        <v>20000000</v>
      </c>
      <c r="E7256" s="212">
        <v>45566</v>
      </c>
      <c r="F7256" s="883" t="s">
        <v>707</v>
      </c>
      <c r="G7256" s="201" t="s">
        <v>581</v>
      </c>
      <c r="H7256" s="208"/>
      <c r="I7256" s="208"/>
      <c r="J7256" s="209"/>
      <c r="K7256" s="209"/>
      <c r="L7256" s="209"/>
      <c r="M7256" s="209"/>
      <c r="N7256" s="209"/>
      <c r="O7256" s="209"/>
      <c r="P7256" s="209"/>
      <c r="Q7256" s="209"/>
      <c r="R7256" s="209"/>
      <c r="S7256" s="209"/>
      <c r="T7256" s="209"/>
    </row>
    <row r="7257" spans="1:20" ht="15" hidden="1" customHeight="1">
      <c r="A7257" s="468">
        <v>45582</v>
      </c>
      <c r="B7257" s="208" t="s">
        <v>5797</v>
      </c>
      <c r="C7257" s="208" t="s">
        <v>27</v>
      </c>
      <c r="D7257" s="211">
        <v>200000000</v>
      </c>
      <c r="E7257" s="212">
        <v>45566</v>
      </c>
      <c r="F7257" s="883" t="s">
        <v>707</v>
      </c>
      <c r="G7257" s="201" t="s">
        <v>583</v>
      </c>
      <c r="H7257" s="208"/>
      <c r="I7257" s="208"/>
      <c r="J7257" s="209"/>
      <c r="K7257" s="209"/>
      <c r="L7257" s="209"/>
      <c r="M7257" s="209"/>
      <c r="N7257" s="209"/>
      <c r="O7257" s="209"/>
      <c r="P7257" s="209"/>
      <c r="Q7257" s="209"/>
      <c r="R7257" s="209"/>
      <c r="S7257" s="209"/>
      <c r="T7257" s="209"/>
    </row>
    <row r="7258" spans="1:20" ht="15" hidden="1" customHeight="1">
      <c r="A7258" s="468">
        <v>45579</v>
      </c>
      <c r="B7258" s="208" t="s">
        <v>5798</v>
      </c>
      <c r="C7258" s="208" t="s">
        <v>27</v>
      </c>
      <c r="D7258" s="211">
        <v>2400000</v>
      </c>
      <c r="E7258" s="212">
        <v>45566</v>
      </c>
      <c r="F7258" s="208" t="s">
        <v>109</v>
      </c>
      <c r="G7258" s="208" t="s">
        <v>4986</v>
      </c>
      <c r="H7258" s="208"/>
      <c r="I7258" s="475" t="s">
        <v>5410</v>
      </c>
      <c r="J7258" s="209"/>
      <c r="K7258" s="209"/>
      <c r="L7258" s="209"/>
      <c r="M7258" s="209"/>
      <c r="N7258" s="209"/>
      <c r="O7258" s="209"/>
      <c r="P7258" s="209"/>
      <c r="Q7258" s="209"/>
      <c r="R7258" s="209"/>
      <c r="S7258" s="209"/>
      <c r="T7258" s="209"/>
    </row>
    <row r="7259" spans="1:20" ht="15" hidden="1" customHeight="1">
      <c r="A7259" s="468">
        <v>45579</v>
      </c>
      <c r="B7259" s="208" t="s">
        <v>5799</v>
      </c>
      <c r="C7259" s="208" t="s">
        <v>27</v>
      </c>
      <c r="D7259" s="211">
        <v>675000</v>
      </c>
      <c r="E7259" s="212">
        <v>45566</v>
      </c>
      <c r="F7259" s="208" t="s">
        <v>130</v>
      </c>
      <c r="G7259" s="208" t="s">
        <v>130</v>
      </c>
      <c r="H7259" s="208" t="s">
        <v>2421</v>
      </c>
      <c r="I7259" s="208"/>
      <c r="J7259" s="209"/>
      <c r="K7259" s="209"/>
      <c r="L7259" s="209"/>
      <c r="M7259" s="209"/>
      <c r="N7259" s="209"/>
      <c r="O7259" s="209"/>
      <c r="P7259" s="209"/>
      <c r="Q7259" s="209"/>
      <c r="R7259" s="209"/>
      <c r="S7259" s="209"/>
      <c r="T7259" s="209"/>
    </row>
    <row r="7260" spans="1:20" ht="15" hidden="1" customHeight="1">
      <c r="A7260" s="468">
        <v>45579</v>
      </c>
      <c r="B7260" s="208" t="s">
        <v>5800</v>
      </c>
      <c r="C7260" s="208" t="s">
        <v>27</v>
      </c>
      <c r="D7260" s="211">
        <v>3884510</v>
      </c>
      <c r="E7260" s="212">
        <v>45566</v>
      </c>
      <c r="F7260" s="84" t="s">
        <v>111</v>
      </c>
      <c r="G7260" s="208"/>
      <c r="H7260" s="208"/>
      <c r="I7260" s="208"/>
      <c r="J7260" s="209"/>
      <c r="K7260" s="209"/>
      <c r="L7260" s="209"/>
      <c r="M7260" s="209"/>
      <c r="N7260" s="209"/>
      <c r="O7260" s="209"/>
      <c r="P7260" s="209"/>
      <c r="Q7260" s="209"/>
      <c r="R7260" s="209"/>
      <c r="S7260" s="209"/>
      <c r="T7260" s="209"/>
    </row>
    <row r="7261" spans="1:20" ht="15" hidden="1" customHeight="1">
      <c r="A7261" s="468">
        <v>45579</v>
      </c>
      <c r="B7261" s="208" t="s">
        <v>5801</v>
      </c>
      <c r="C7261" s="208" t="s">
        <v>27</v>
      </c>
      <c r="D7261" s="211">
        <v>43333</v>
      </c>
      <c r="E7261" s="212">
        <v>45566</v>
      </c>
      <c r="F7261" s="208" t="s">
        <v>130</v>
      </c>
      <c r="G7261" s="208" t="s">
        <v>130</v>
      </c>
      <c r="H7261" s="208" t="s">
        <v>2444</v>
      </c>
      <c r="I7261" s="208"/>
      <c r="J7261" s="209"/>
      <c r="K7261" s="209"/>
      <c r="L7261" s="209"/>
      <c r="M7261" s="209"/>
      <c r="N7261" s="209"/>
      <c r="O7261" s="209"/>
      <c r="P7261" s="209"/>
      <c r="Q7261" s="209"/>
      <c r="R7261" s="209"/>
      <c r="S7261" s="209"/>
      <c r="T7261" s="209"/>
    </row>
    <row r="7262" spans="1:20" ht="15" hidden="1" customHeight="1">
      <c r="A7262" s="468">
        <v>45579</v>
      </c>
      <c r="B7262" s="208" t="s">
        <v>5802</v>
      </c>
      <c r="C7262" s="208" t="s">
        <v>27</v>
      </c>
      <c r="D7262" s="211">
        <v>2235009</v>
      </c>
      <c r="E7262" s="212">
        <v>45566</v>
      </c>
      <c r="F7262" s="208" t="s">
        <v>108</v>
      </c>
      <c r="G7262" s="208"/>
      <c r="H7262" s="208"/>
      <c r="I7262" s="208"/>
      <c r="J7262" s="209"/>
      <c r="K7262" s="209"/>
      <c r="L7262" s="209"/>
      <c r="M7262" s="209"/>
      <c r="N7262" s="209"/>
      <c r="O7262" s="209"/>
      <c r="P7262" s="209"/>
      <c r="Q7262" s="209"/>
      <c r="R7262" s="209"/>
      <c r="S7262" s="209"/>
      <c r="T7262" s="209"/>
    </row>
    <row r="7263" spans="1:20" ht="15" hidden="1" customHeight="1">
      <c r="A7263" s="468">
        <v>45579</v>
      </c>
      <c r="B7263" s="208" t="s">
        <v>1294</v>
      </c>
      <c r="C7263" s="208" t="s">
        <v>27</v>
      </c>
      <c r="D7263" s="211">
        <v>4046320</v>
      </c>
      <c r="E7263" s="212">
        <v>45566</v>
      </c>
      <c r="F7263" s="208" t="s">
        <v>108</v>
      </c>
      <c r="G7263" s="208"/>
      <c r="H7263" s="208"/>
      <c r="I7263" s="208"/>
      <c r="J7263" s="209"/>
      <c r="K7263" s="209"/>
      <c r="L7263" s="209"/>
      <c r="M7263" s="209"/>
      <c r="N7263" s="209"/>
      <c r="O7263" s="209"/>
      <c r="P7263" s="209"/>
      <c r="Q7263" s="209"/>
      <c r="R7263" s="209"/>
      <c r="S7263" s="209"/>
      <c r="T7263" s="209"/>
    </row>
    <row r="7264" spans="1:20" ht="15" hidden="1" customHeight="1">
      <c r="A7264" s="468">
        <v>45582</v>
      </c>
      <c r="B7264" s="208" t="s">
        <v>5803</v>
      </c>
      <c r="C7264" s="208" t="s">
        <v>27</v>
      </c>
      <c r="D7264" s="211">
        <v>-208887974</v>
      </c>
      <c r="E7264" s="212">
        <v>45566</v>
      </c>
      <c r="F7264" s="208" t="s">
        <v>2986</v>
      </c>
      <c r="G7264" s="208"/>
      <c r="H7264" s="208"/>
      <c r="I7264" s="208"/>
      <c r="J7264" s="209"/>
      <c r="K7264" s="209"/>
      <c r="L7264" s="209"/>
      <c r="M7264" s="209"/>
      <c r="N7264" s="209"/>
      <c r="O7264" s="209"/>
      <c r="P7264" s="209"/>
      <c r="Q7264" s="209"/>
      <c r="R7264" s="209"/>
      <c r="S7264" s="209"/>
      <c r="T7264" s="209"/>
    </row>
    <row r="7265" spans="1:20" ht="15" hidden="1" customHeight="1">
      <c r="A7265" s="468">
        <v>45582</v>
      </c>
      <c r="B7265" s="208" t="s">
        <v>5804</v>
      </c>
      <c r="C7265" s="208" t="s">
        <v>3331</v>
      </c>
      <c r="D7265" s="211">
        <v>38093775</v>
      </c>
      <c r="E7265" s="212">
        <v>45566</v>
      </c>
      <c r="F7265" s="208" t="s">
        <v>109</v>
      </c>
      <c r="G7265" s="654" t="s">
        <v>5805</v>
      </c>
      <c r="H7265" s="208" t="s">
        <v>461</v>
      </c>
      <c r="I7265" s="208"/>
      <c r="J7265" s="209"/>
      <c r="K7265" s="209"/>
      <c r="L7265" s="209"/>
      <c r="M7265" s="209"/>
      <c r="N7265" s="209"/>
      <c r="O7265" s="209"/>
      <c r="P7265" s="209"/>
      <c r="Q7265" s="209"/>
      <c r="R7265" s="209"/>
      <c r="S7265" s="209"/>
      <c r="T7265" s="209"/>
    </row>
    <row r="7266" spans="1:20" ht="15" hidden="1" customHeight="1">
      <c r="A7266" s="468">
        <v>45582</v>
      </c>
      <c r="B7266" s="208" t="s">
        <v>5804</v>
      </c>
      <c r="C7266" s="208" t="s">
        <v>3331</v>
      </c>
      <c r="D7266" s="211">
        <v>40611700</v>
      </c>
      <c r="E7266" s="212">
        <v>45566</v>
      </c>
      <c r="F7266" s="208" t="s">
        <v>109</v>
      </c>
      <c r="G7266" s="654" t="s">
        <v>5805</v>
      </c>
      <c r="H7266" s="208" t="s">
        <v>461</v>
      </c>
      <c r="I7266" s="475" t="s">
        <v>5410</v>
      </c>
      <c r="J7266" s="209"/>
      <c r="K7266" s="209"/>
      <c r="L7266" s="209"/>
      <c r="M7266" s="209"/>
      <c r="N7266" s="209"/>
      <c r="O7266" s="209"/>
      <c r="P7266" s="209"/>
      <c r="Q7266" s="209"/>
      <c r="R7266" s="209"/>
      <c r="S7266" s="209"/>
      <c r="T7266" s="209"/>
    </row>
    <row r="7267" spans="1:20" ht="15" hidden="1" customHeight="1">
      <c r="A7267" s="468">
        <v>45581</v>
      </c>
      <c r="B7267" s="208" t="s">
        <v>2782</v>
      </c>
      <c r="C7267" s="208" t="s">
        <v>3331</v>
      </c>
      <c r="D7267" s="211">
        <v>603690</v>
      </c>
      <c r="E7267" s="212">
        <v>45566</v>
      </c>
      <c r="F7267" s="208" t="s">
        <v>108</v>
      </c>
      <c r="G7267" s="635"/>
      <c r="H7267" s="208"/>
      <c r="I7267" s="208"/>
      <c r="J7267" s="209"/>
      <c r="K7267" s="209"/>
      <c r="L7267" s="209"/>
      <c r="M7267" s="209"/>
      <c r="N7267" s="209"/>
      <c r="O7267" s="209"/>
      <c r="P7267" s="209"/>
      <c r="Q7267" s="209"/>
      <c r="R7267" s="209"/>
      <c r="S7267" s="209"/>
      <c r="T7267" s="209"/>
    </row>
    <row r="7268" spans="1:20" ht="15" hidden="1" customHeight="1">
      <c r="A7268" s="468">
        <v>45580</v>
      </c>
      <c r="B7268" s="208" t="s">
        <v>5028</v>
      </c>
      <c r="C7268" s="208" t="s">
        <v>3331</v>
      </c>
      <c r="D7268" s="211">
        <v>1387061</v>
      </c>
      <c r="E7268" s="212">
        <v>45566</v>
      </c>
      <c r="F7268" s="208" t="s">
        <v>108</v>
      </c>
      <c r="G7268" s="635"/>
      <c r="H7268" s="208"/>
      <c r="I7268" s="208"/>
      <c r="J7268" s="209"/>
      <c r="K7268" s="209"/>
      <c r="L7268" s="209"/>
      <c r="M7268" s="209"/>
      <c r="N7268" s="209"/>
      <c r="O7268" s="209"/>
      <c r="P7268" s="209"/>
      <c r="Q7268" s="209"/>
      <c r="R7268" s="209"/>
      <c r="S7268" s="209"/>
      <c r="T7268" s="209"/>
    </row>
    <row r="7269" spans="1:20" ht="15" hidden="1" customHeight="1">
      <c r="A7269" s="468">
        <v>45576</v>
      </c>
      <c r="B7269" s="208" t="s">
        <v>5806</v>
      </c>
      <c r="C7269" s="208" t="s">
        <v>27</v>
      </c>
      <c r="D7269" s="211">
        <v>588467</v>
      </c>
      <c r="E7269" s="212">
        <v>45566</v>
      </c>
      <c r="F7269" s="208" t="s">
        <v>109</v>
      </c>
      <c r="G7269" s="201" t="s">
        <v>581</v>
      </c>
      <c r="H7269" s="208"/>
      <c r="I7269" s="208"/>
      <c r="J7269" s="209"/>
      <c r="K7269" s="209"/>
      <c r="L7269" s="209"/>
      <c r="M7269" s="209"/>
      <c r="N7269" s="209"/>
      <c r="O7269" s="209"/>
      <c r="P7269" s="209"/>
      <c r="Q7269" s="209"/>
      <c r="R7269" s="209"/>
      <c r="S7269" s="209"/>
      <c r="T7269" s="209"/>
    </row>
    <row r="7270" spans="1:20" ht="15" hidden="1" customHeight="1">
      <c r="A7270" s="468">
        <v>45580</v>
      </c>
      <c r="B7270" s="81" t="s">
        <v>3017</v>
      </c>
      <c r="C7270" s="208" t="s">
        <v>643</v>
      </c>
      <c r="D7270" s="211">
        <v>-123500</v>
      </c>
      <c r="E7270" s="212">
        <v>45566</v>
      </c>
      <c r="F7270" s="208" t="s">
        <v>130</v>
      </c>
      <c r="G7270" s="208" t="s">
        <v>130</v>
      </c>
      <c r="H7270" s="208" t="s">
        <v>1245</v>
      </c>
      <c r="I7270" s="208"/>
      <c r="J7270" s="209"/>
      <c r="K7270" s="209"/>
      <c r="L7270" s="209"/>
      <c r="M7270" s="209"/>
      <c r="N7270" s="209"/>
      <c r="O7270" s="209"/>
      <c r="P7270" s="209"/>
      <c r="Q7270" s="209"/>
      <c r="R7270" s="209"/>
      <c r="S7270" s="209"/>
      <c r="T7270" s="209"/>
    </row>
    <row r="7271" spans="1:20" ht="15" hidden="1" customHeight="1">
      <c r="A7271" s="468">
        <v>45582</v>
      </c>
      <c r="B7271" s="81" t="s">
        <v>3106</v>
      </c>
      <c r="C7271" s="208" t="s">
        <v>643</v>
      </c>
      <c r="D7271" s="211">
        <v>-133190.76</v>
      </c>
      <c r="E7271" s="212">
        <v>45566</v>
      </c>
      <c r="F7271" s="208" t="s">
        <v>130</v>
      </c>
      <c r="G7271" s="208" t="s">
        <v>130</v>
      </c>
      <c r="H7271" s="208" t="s">
        <v>1245</v>
      </c>
      <c r="I7271" s="475" t="s">
        <v>5410</v>
      </c>
      <c r="J7271" s="209"/>
      <c r="K7271" s="209"/>
      <c r="L7271" s="209"/>
      <c r="M7271" s="209"/>
      <c r="N7271" s="209"/>
      <c r="O7271" s="209"/>
      <c r="P7271" s="209"/>
      <c r="Q7271" s="209"/>
      <c r="R7271" s="209"/>
      <c r="S7271" s="209"/>
      <c r="T7271" s="209"/>
    </row>
    <row r="7272" spans="1:20" ht="15" hidden="1" customHeight="1">
      <c r="A7272" s="468">
        <v>45582</v>
      </c>
      <c r="B7272" s="208" t="s">
        <v>5807</v>
      </c>
      <c r="C7272" s="208" t="s">
        <v>643</v>
      </c>
      <c r="D7272" s="211">
        <v>4813305.1100000003</v>
      </c>
      <c r="E7272" s="212">
        <v>45566</v>
      </c>
      <c r="F7272" s="208" t="s">
        <v>108</v>
      </c>
      <c r="G7272" s="208"/>
      <c r="H7272" s="208"/>
      <c r="I7272" s="208"/>
      <c r="J7272" s="209"/>
      <c r="K7272" s="209"/>
      <c r="L7272" s="209"/>
      <c r="M7272" s="209"/>
      <c r="N7272" s="209"/>
      <c r="O7272" s="209"/>
      <c r="P7272" s="209"/>
      <c r="Q7272" s="209"/>
      <c r="R7272" s="209"/>
      <c r="S7272" s="209"/>
      <c r="T7272" s="209"/>
    </row>
    <row r="7273" spans="1:20" s="464" customFormat="1" ht="15" hidden="1" customHeight="1">
      <c r="A7273" s="468">
        <v>45583</v>
      </c>
      <c r="B7273" s="208" t="s">
        <v>5808</v>
      </c>
      <c r="C7273" s="208" t="s">
        <v>146</v>
      </c>
      <c r="D7273" s="211">
        <v>40000</v>
      </c>
      <c r="E7273" s="212">
        <v>45566</v>
      </c>
      <c r="F7273" s="208" t="s">
        <v>130</v>
      </c>
      <c r="G7273" s="208" t="s">
        <v>257</v>
      </c>
      <c r="H7273" s="208" t="s">
        <v>1423</v>
      </c>
      <c r="I7273" s="208"/>
      <c r="J7273" s="209"/>
      <c r="K7273" s="209"/>
      <c r="L7273" s="209"/>
      <c r="M7273" s="209"/>
      <c r="N7273" s="209"/>
      <c r="O7273" s="209"/>
      <c r="P7273" s="209"/>
      <c r="Q7273" s="209"/>
      <c r="R7273" s="209"/>
      <c r="S7273" s="209"/>
      <c r="T7273" s="209"/>
    </row>
    <row r="7274" spans="1:20" ht="15" hidden="1" customHeight="1">
      <c r="A7274" s="468">
        <v>45583</v>
      </c>
      <c r="B7274" s="208" t="s">
        <v>5809</v>
      </c>
      <c r="C7274" s="208" t="s">
        <v>146</v>
      </c>
      <c r="D7274" s="211">
        <v>-23000</v>
      </c>
      <c r="E7274" s="212">
        <v>45566</v>
      </c>
      <c r="F7274" s="208" t="s">
        <v>207</v>
      </c>
      <c r="G7274" s="206" t="s">
        <v>1741</v>
      </c>
      <c r="H7274" s="81" t="s">
        <v>138</v>
      </c>
      <c r="I7274" s="208" t="s">
        <v>59</v>
      </c>
      <c r="J7274" s="209"/>
      <c r="K7274" s="209"/>
      <c r="L7274" s="209"/>
      <c r="M7274" s="209"/>
      <c r="N7274" s="209"/>
      <c r="O7274" s="209"/>
      <c r="P7274" s="209"/>
      <c r="Q7274" s="209"/>
      <c r="R7274" s="209"/>
      <c r="S7274" s="209"/>
      <c r="T7274" s="209"/>
    </row>
    <row r="7275" spans="1:20" ht="15" hidden="1" customHeight="1">
      <c r="A7275" s="468">
        <v>45586</v>
      </c>
      <c r="B7275" s="208" t="s">
        <v>5810</v>
      </c>
      <c r="C7275" s="208" t="s">
        <v>146</v>
      </c>
      <c r="D7275" s="211">
        <v>-130000</v>
      </c>
      <c r="E7275" s="212">
        <v>45566</v>
      </c>
      <c r="F7275" s="208" t="s">
        <v>130</v>
      </c>
      <c r="G7275" s="208" t="s">
        <v>130</v>
      </c>
      <c r="H7275" s="374" t="s">
        <v>2724</v>
      </c>
      <c r="I7275" s="208"/>
      <c r="J7275" s="209"/>
      <c r="K7275" s="209"/>
      <c r="L7275" s="209"/>
      <c r="M7275" s="209"/>
      <c r="N7275" s="209"/>
      <c r="O7275" s="209"/>
      <c r="P7275" s="209"/>
      <c r="Q7275" s="209"/>
      <c r="R7275" s="209"/>
      <c r="S7275" s="209"/>
      <c r="T7275" s="209"/>
    </row>
    <row r="7276" spans="1:20" ht="15" hidden="1" customHeight="1">
      <c r="A7276" s="468">
        <v>45586</v>
      </c>
      <c r="B7276" s="208" t="s">
        <v>5811</v>
      </c>
      <c r="C7276" s="208" t="s">
        <v>146</v>
      </c>
      <c r="D7276" s="211">
        <v>-50000</v>
      </c>
      <c r="E7276" s="212">
        <v>45566</v>
      </c>
      <c r="F7276" s="208" t="s">
        <v>130</v>
      </c>
      <c r="G7276" s="208" t="s">
        <v>130</v>
      </c>
      <c r="H7276" s="81" t="s">
        <v>138</v>
      </c>
      <c r="I7276" s="208"/>
      <c r="J7276" s="209"/>
      <c r="K7276" s="209"/>
      <c r="L7276" s="209"/>
      <c r="M7276" s="209"/>
      <c r="N7276" s="209"/>
      <c r="O7276" s="209"/>
      <c r="P7276" s="209"/>
      <c r="Q7276" s="209"/>
      <c r="R7276" s="209"/>
      <c r="S7276" s="209"/>
      <c r="T7276" s="209"/>
    </row>
    <row r="7277" spans="1:20" ht="15" hidden="1" customHeight="1">
      <c r="A7277" s="468">
        <v>45586</v>
      </c>
      <c r="B7277" s="208" t="s">
        <v>5812</v>
      </c>
      <c r="C7277" s="208" t="s">
        <v>146</v>
      </c>
      <c r="D7277" s="211">
        <v>-60000</v>
      </c>
      <c r="E7277" s="212">
        <v>45566</v>
      </c>
      <c r="F7277" s="208" t="s">
        <v>110</v>
      </c>
      <c r="G7277" s="208" t="s">
        <v>4294</v>
      </c>
      <c r="H7277" s="81" t="s">
        <v>138</v>
      </c>
      <c r="I7277" s="208"/>
      <c r="J7277" s="209"/>
      <c r="K7277" s="209"/>
      <c r="L7277" s="209"/>
      <c r="M7277" s="209"/>
      <c r="N7277" s="209"/>
      <c r="O7277" s="209"/>
      <c r="P7277" s="209"/>
      <c r="Q7277" s="209"/>
      <c r="R7277" s="209"/>
      <c r="S7277" s="209"/>
      <c r="T7277" s="209"/>
    </row>
    <row r="7278" spans="1:20" ht="15" hidden="1" customHeight="1">
      <c r="A7278" s="468">
        <v>45586</v>
      </c>
      <c r="B7278" s="208" t="s">
        <v>3845</v>
      </c>
      <c r="C7278" s="208" t="s">
        <v>146</v>
      </c>
      <c r="D7278" s="211">
        <v>-86000</v>
      </c>
      <c r="E7278" s="212">
        <v>45566</v>
      </c>
      <c r="F7278" s="208" t="s">
        <v>109</v>
      </c>
      <c r="G7278" s="208" t="s">
        <v>4225</v>
      </c>
      <c r="H7278" s="81" t="s">
        <v>138</v>
      </c>
      <c r="I7278" s="208"/>
      <c r="J7278" s="209"/>
      <c r="K7278" s="209"/>
      <c r="L7278" s="209"/>
      <c r="M7278" s="209"/>
      <c r="N7278" s="209"/>
      <c r="O7278" s="209"/>
      <c r="P7278" s="209"/>
      <c r="Q7278" s="209"/>
      <c r="R7278" s="209"/>
      <c r="S7278" s="209"/>
      <c r="T7278" s="209"/>
    </row>
    <row r="7279" spans="1:20" ht="15" hidden="1" customHeight="1">
      <c r="A7279" s="468">
        <v>45586</v>
      </c>
      <c r="B7279" s="208" t="s">
        <v>3845</v>
      </c>
      <c r="C7279" s="208" t="s">
        <v>146</v>
      </c>
      <c r="D7279" s="211">
        <v>-21000</v>
      </c>
      <c r="E7279" s="212">
        <v>45566</v>
      </c>
      <c r="F7279" s="208" t="s">
        <v>130</v>
      </c>
      <c r="G7279" s="208" t="s">
        <v>130</v>
      </c>
      <c r="H7279" s="81" t="s">
        <v>138</v>
      </c>
      <c r="I7279" s="208"/>
      <c r="J7279" s="209"/>
      <c r="K7279" s="209"/>
      <c r="L7279" s="209"/>
      <c r="M7279" s="209"/>
      <c r="N7279" s="209"/>
      <c r="O7279" s="209"/>
      <c r="P7279" s="209"/>
      <c r="Q7279" s="209"/>
      <c r="R7279" s="209"/>
      <c r="S7279" s="209"/>
      <c r="T7279" s="209"/>
    </row>
    <row r="7280" spans="1:20" ht="15" hidden="1" customHeight="1">
      <c r="A7280" s="468">
        <v>45586</v>
      </c>
      <c r="B7280" s="208" t="s">
        <v>3845</v>
      </c>
      <c r="C7280" s="208" t="s">
        <v>146</v>
      </c>
      <c r="D7280" s="211">
        <v>-35000</v>
      </c>
      <c r="E7280" s="212">
        <v>45566</v>
      </c>
      <c r="F7280" s="208" t="s">
        <v>110</v>
      </c>
      <c r="G7280" s="201" t="s">
        <v>1489</v>
      </c>
      <c r="H7280" s="81" t="s">
        <v>138</v>
      </c>
      <c r="I7280" s="208"/>
      <c r="J7280" s="209"/>
      <c r="K7280" s="209"/>
      <c r="L7280" s="209"/>
      <c r="M7280" s="209"/>
      <c r="N7280" s="209"/>
      <c r="O7280" s="209"/>
      <c r="P7280" s="209"/>
      <c r="Q7280" s="209"/>
      <c r="R7280" s="209"/>
      <c r="S7280" s="209"/>
      <c r="T7280" s="209"/>
    </row>
    <row r="7281" spans="1:20" ht="15" hidden="1" customHeight="1">
      <c r="A7281" s="468">
        <v>45586</v>
      </c>
      <c r="B7281" s="208" t="s">
        <v>3845</v>
      </c>
      <c r="C7281" s="208" t="s">
        <v>146</v>
      </c>
      <c r="D7281" s="211">
        <v>-14000</v>
      </c>
      <c r="E7281" s="212">
        <v>45566</v>
      </c>
      <c r="F7281" s="208" t="s">
        <v>110</v>
      </c>
      <c r="G7281" s="208" t="s">
        <v>774</v>
      </c>
      <c r="H7281" s="81" t="s">
        <v>138</v>
      </c>
      <c r="I7281" s="475" t="s">
        <v>5410</v>
      </c>
      <c r="J7281" s="209"/>
      <c r="K7281" s="209"/>
      <c r="L7281" s="209"/>
      <c r="M7281" s="209"/>
      <c r="N7281" s="209"/>
      <c r="O7281" s="209"/>
      <c r="P7281" s="209"/>
      <c r="Q7281" s="209"/>
      <c r="R7281" s="209"/>
      <c r="S7281" s="209"/>
      <c r="T7281" s="209"/>
    </row>
    <row r="7282" spans="1:20" ht="15" hidden="1" customHeight="1">
      <c r="A7282" s="468">
        <v>45586</v>
      </c>
      <c r="B7282" s="208" t="s">
        <v>3845</v>
      </c>
      <c r="C7282" s="208" t="s">
        <v>146</v>
      </c>
      <c r="D7282" s="211">
        <v>-7000</v>
      </c>
      <c r="E7282" s="212">
        <v>45566</v>
      </c>
      <c r="F7282" s="208" t="s">
        <v>109</v>
      </c>
      <c r="G7282" s="208" t="s">
        <v>4986</v>
      </c>
      <c r="H7282" s="81" t="s">
        <v>138</v>
      </c>
      <c r="I7282" s="208"/>
      <c r="J7282" s="209"/>
      <c r="K7282" s="209"/>
      <c r="L7282" s="209"/>
      <c r="M7282" s="209"/>
      <c r="N7282" s="209"/>
      <c r="O7282" s="209"/>
      <c r="P7282" s="209"/>
      <c r="Q7282" s="209"/>
      <c r="R7282" s="209"/>
      <c r="S7282" s="209"/>
      <c r="T7282" s="209"/>
    </row>
    <row r="7283" spans="1:20" ht="15" hidden="1" customHeight="1">
      <c r="A7283" s="468">
        <v>45583</v>
      </c>
      <c r="B7283" s="208" t="s">
        <v>5813</v>
      </c>
      <c r="C7283" s="208" t="s">
        <v>146</v>
      </c>
      <c r="D7283" s="211">
        <v>-7000</v>
      </c>
      <c r="E7283" s="212">
        <v>45566</v>
      </c>
      <c r="F7283" s="208" t="s">
        <v>110</v>
      </c>
      <c r="G7283" s="208" t="s">
        <v>5469</v>
      </c>
      <c r="H7283" s="81" t="s">
        <v>138</v>
      </c>
      <c r="I7283" s="475" t="s">
        <v>5410</v>
      </c>
      <c r="J7283" s="209"/>
      <c r="K7283" s="209"/>
      <c r="L7283" s="209"/>
      <c r="M7283" s="209"/>
      <c r="N7283" s="209"/>
      <c r="O7283" s="209"/>
      <c r="P7283" s="209"/>
      <c r="Q7283" s="209"/>
      <c r="R7283" s="209"/>
      <c r="S7283" s="209"/>
      <c r="T7283" s="209"/>
    </row>
    <row r="7284" spans="1:20" ht="15" hidden="1" customHeight="1">
      <c r="A7284" s="468">
        <v>45583</v>
      </c>
      <c r="B7284" s="208" t="s">
        <v>5814</v>
      </c>
      <c r="C7284" s="208" t="s">
        <v>146</v>
      </c>
      <c r="D7284" s="211">
        <v>-6200</v>
      </c>
      <c r="E7284" s="212">
        <v>45566</v>
      </c>
      <c r="F7284" s="208" t="s">
        <v>109</v>
      </c>
      <c r="G7284" s="208" t="s">
        <v>4986</v>
      </c>
      <c r="H7284" s="81" t="s">
        <v>138</v>
      </c>
      <c r="I7284" s="208" t="s">
        <v>5430</v>
      </c>
      <c r="J7284" s="209"/>
      <c r="K7284" s="209"/>
      <c r="L7284" s="209"/>
      <c r="M7284" s="209"/>
      <c r="N7284" s="209"/>
      <c r="O7284" s="209"/>
      <c r="P7284" s="209"/>
      <c r="Q7284" s="209"/>
      <c r="R7284" s="209"/>
      <c r="S7284" s="209"/>
      <c r="T7284" s="209"/>
    </row>
    <row r="7285" spans="1:20" ht="15" hidden="1" customHeight="1">
      <c r="A7285" s="468">
        <v>45583</v>
      </c>
      <c r="B7285" s="208" t="s">
        <v>5815</v>
      </c>
      <c r="C7285" s="208" t="s">
        <v>146</v>
      </c>
      <c r="D7285" s="211">
        <v>-7000</v>
      </c>
      <c r="E7285" s="212">
        <v>45566</v>
      </c>
      <c r="F7285" s="208" t="s">
        <v>109</v>
      </c>
      <c r="G7285" s="208" t="s">
        <v>4986</v>
      </c>
      <c r="H7285" s="81" t="s">
        <v>138</v>
      </c>
      <c r="I7285" s="208" t="s">
        <v>5430</v>
      </c>
      <c r="J7285" s="209"/>
      <c r="K7285" s="209"/>
      <c r="L7285" s="209"/>
      <c r="M7285" s="209"/>
      <c r="N7285" s="209"/>
      <c r="O7285" s="209"/>
      <c r="P7285" s="209"/>
      <c r="Q7285" s="209"/>
      <c r="R7285" s="209"/>
      <c r="S7285" s="209"/>
      <c r="T7285" s="209"/>
    </row>
    <row r="7286" spans="1:20" ht="15" hidden="1" customHeight="1">
      <c r="A7286" s="468">
        <v>45583</v>
      </c>
      <c r="B7286" s="208" t="s">
        <v>5816</v>
      </c>
      <c r="C7286" s="208" t="s">
        <v>146</v>
      </c>
      <c r="D7286" s="211">
        <v>-7000</v>
      </c>
      <c r="E7286" s="212">
        <v>45566</v>
      </c>
      <c r="F7286" s="208" t="s">
        <v>110</v>
      </c>
      <c r="G7286" s="201" t="s">
        <v>1489</v>
      </c>
      <c r="H7286" s="81" t="s">
        <v>138</v>
      </c>
      <c r="I7286" s="208" t="s">
        <v>5430</v>
      </c>
      <c r="J7286" s="209"/>
      <c r="K7286" s="209"/>
      <c r="L7286" s="209"/>
      <c r="M7286" s="209"/>
      <c r="N7286" s="209"/>
      <c r="O7286" s="209"/>
      <c r="P7286" s="209"/>
      <c r="Q7286" s="209"/>
      <c r="R7286" s="209"/>
      <c r="S7286" s="209"/>
      <c r="T7286" s="209"/>
    </row>
    <row r="7287" spans="1:20" ht="15" hidden="1" customHeight="1">
      <c r="A7287" s="468">
        <v>45583</v>
      </c>
      <c r="B7287" s="208" t="s">
        <v>5817</v>
      </c>
      <c r="C7287" s="208" t="s">
        <v>146</v>
      </c>
      <c r="D7287" s="211">
        <v>-25000</v>
      </c>
      <c r="E7287" s="212">
        <v>45566</v>
      </c>
      <c r="F7287" s="208" t="s">
        <v>110</v>
      </c>
      <c r="G7287" s="201" t="s">
        <v>1489</v>
      </c>
      <c r="H7287" s="81" t="s">
        <v>138</v>
      </c>
      <c r="I7287" s="208" t="s">
        <v>5430</v>
      </c>
      <c r="J7287" s="209"/>
      <c r="K7287" s="209"/>
      <c r="L7287" s="209"/>
      <c r="M7287" s="209"/>
      <c r="N7287" s="209"/>
      <c r="O7287" s="209"/>
      <c r="P7287" s="209"/>
      <c r="Q7287" s="209"/>
      <c r="R7287" s="209"/>
      <c r="S7287" s="209"/>
      <c r="T7287" s="209"/>
    </row>
    <row r="7288" spans="1:20" ht="15" hidden="1" customHeight="1">
      <c r="A7288" s="468">
        <v>45583</v>
      </c>
      <c r="B7288" s="208" t="s">
        <v>5818</v>
      </c>
      <c r="C7288" s="208" t="s">
        <v>146</v>
      </c>
      <c r="D7288" s="211">
        <v>-7000</v>
      </c>
      <c r="E7288" s="212">
        <v>45566</v>
      </c>
      <c r="F7288" s="208" t="s">
        <v>110</v>
      </c>
      <c r="G7288" s="201" t="s">
        <v>1489</v>
      </c>
      <c r="H7288" s="81" t="s">
        <v>138</v>
      </c>
      <c r="I7288" s="208" t="s">
        <v>5430</v>
      </c>
      <c r="J7288" s="209"/>
      <c r="K7288" s="209"/>
      <c r="L7288" s="209"/>
      <c r="M7288" s="209"/>
      <c r="N7288" s="209"/>
      <c r="O7288" s="209"/>
      <c r="P7288" s="209"/>
      <c r="Q7288" s="209"/>
      <c r="R7288" s="209"/>
      <c r="S7288" s="209"/>
      <c r="T7288" s="209"/>
    </row>
    <row r="7289" spans="1:20" ht="15" hidden="1" customHeight="1">
      <c r="A7289" s="468">
        <v>45583</v>
      </c>
      <c r="B7289" s="208" t="s">
        <v>5819</v>
      </c>
      <c r="C7289" s="208" t="s">
        <v>146</v>
      </c>
      <c r="D7289" s="211">
        <v>-23000</v>
      </c>
      <c r="E7289" s="212">
        <v>45566</v>
      </c>
      <c r="F7289" s="208" t="s">
        <v>110</v>
      </c>
      <c r="G7289" s="201" t="s">
        <v>1489</v>
      </c>
      <c r="H7289" s="81" t="s">
        <v>138</v>
      </c>
      <c r="I7289" s="208" t="s">
        <v>5430</v>
      </c>
      <c r="J7289" s="209"/>
      <c r="K7289" s="209"/>
      <c r="L7289" s="209"/>
      <c r="M7289" s="209"/>
      <c r="N7289" s="209"/>
      <c r="O7289" s="209"/>
      <c r="P7289" s="209"/>
      <c r="Q7289" s="209"/>
      <c r="R7289" s="209"/>
      <c r="S7289" s="209"/>
      <c r="T7289" s="209"/>
    </row>
    <row r="7290" spans="1:20" ht="15" hidden="1" customHeight="1">
      <c r="A7290" s="468">
        <v>45583</v>
      </c>
      <c r="B7290" s="208" t="s">
        <v>5820</v>
      </c>
      <c r="C7290" s="208" t="s">
        <v>146</v>
      </c>
      <c r="D7290" s="211">
        <v>-12199</v>
      </c>
      <c r="E7290" s="212">
        <v>45566</v>
      </c>
      <c r="F7290" s="208" t="s">
        <v>109</v>
      </c>
      <c r="G7290" s="208" t="s">
        <v>4986</v>
      </c>
      <c r="H7290" s="208" t="s">
        <v>175</v>
      </c>
      <c r="I7290" s="208" t="s">
        <v>5430</v>
      </c>
      <c r="J7290" s="209"/>
      <c r="K7290" s="209"/>
      <c r="L7290" s="209"/>
      <c r="M7290" s="209"/>
      <c r="N7290" s="209"/>
      <c r="O7290" s="209"/>
      <c r="P7290" s="209"/>
      <c r="Q7290" s="209"/>
      <c r="R7290" s="209"/>
      <c r="S7290" s="209"/>
      <c r="T7290" s="209"/>
    </row>
    <row r="7291" spans="1:20" ht="15" hidden="1" customHeight="1">
      <c r="A7291" s="468">
        <v>45583</v>
      </c>
      <c r="B7291" s="208" t="s">
        <v>5821</v>
      </c>
      <c r="C7291" s="208" t="s">
        <v>146</v>
      </c>
      <c r="D7291" s="211">
        <v>-15225</v>
      </c>
      <c r="E7291" s="212">
        <v>45566</v>
      </c>
      <c r="F7291" s="208" t="s">
        <v>109</v>
      </c>
      <c r="G7291" s="208" t="s">
        <v>4986</v>
      </c>
      <c r="H7291" s="208" t="s">
        <v>175</v>
      </c>
      <c r="I7291" s="208" t="s">
        <v>5430</v>
      </c>
      <c r="J7291" s="209"/>
      <c r="K7291" s="209"/>
      <c r="L7291" s="209"/>
      <c r="M7291" s="209"/>
      <c r="N7291" s="209"/>
      <c r="O7291" s="209"/>
      <c r="P7291" s="209"/>
      <c r="Q7291" s="209"/>
      <c r="R7291" s="209"/>
      <c r="S7291" s="209"/>
      <c r="T7291" s="209"/>
    </row>
    <row r="7292" spans="1:20" ht="15" hidden="1" customHeight="1">
      <c r="A7292" s="468">
        <v>45583</v>
      </c>
      <c r="B7292" s="208" t="s">
        <v>5822</v>
      </c>
      <c r="C7292" s="208" t="s">
        <v>146</v>
      </c>
      <c r="D7292" s="211">
        <v>-24931</v>
      </c>
      <c r="E7292" s="212">
        <v>45566</v>
      </c>
      <c r="F7292" s="208" t="s">
        <v>110</v>
      </c>
      <c r="G7292" s="201" t="s">
        <v>1489</v>
      </c>
      <c r="H7292" s="208" t="s">
        <v>2941</v>
      </c>
      <c r="I7292" s="208" t="s">
        <v>5430</v>
      </c>
      <c r="J7292" s="209"/>
      <c r="K7292" s="209"/>
      <c r="L7292" s="209"/>
      <c r="M7292" s="209"/>
      <c r="N7292" s="209"/>
      <c r="O7292" s="209"/>
      <c r="P7292" s="209"/>
      <c r="Q7292" s="209"/>
      <c r="R7292" s="209"/>
      <c r="S7292" s="209"/>
      <c r="T7292" s="209"/>
    </row>
    <row r="7293" spans="1:20" ht="15" hidden="1" customHeight="1">
      <c r="A7293" s="468">
        <v>45583</v>
      </c>
      <c r="B7293" s="208" t="s">
        <v>5823</v>
      </c>
      <c r="C7293" s="208" t="s">
        <v>146</v>
      </c>
      <c r="D7293" s="211">
        <v>-77500</v>
      </c>
      <c r="E7293" s="212">
        <v>45566</v>
      </c>
      <c r="F7293" s="208" t="s">
        <v>110</v>
      </c>
      <c r="G7293" s="201" t="s">
        <v>1489</v>
      </c>
      <c r="H7293" s="208" t="s">
        <v>2941</v>
      </c>
      <c r="I7293" s="208" t="s">
        <v>5430</v>
      </c>
      <c r="J7293" s="209"/>
      <c r="K7293" s="209"/>
      <c r="L7293" s="209"/>
      <c r="M7293" s="209"/>
      <c r="N7293" s="209"/>
      <c r="O7293" s="209"/>
      <c r="P7293" s="209"/>
      <c r="Q7293" s="209"/>
      <c r="R7293" s="209"/>
      <c r="S7293" s="209"/>
      <c r="T7293" s="209"/>
    </row>
    <row r="7294" spans="1:20" ht="15" hidden="1" customHeight="1">
      <c r="A7294" s="468">
        <v>45583</v>
      </c>
      <c r="B7294" s="208" t="s">
        <v>5824</v>
      </c>
      <c r="C7294" s="208" t="s">
        <v>146</v>
      </c>
      <c r="D7294" s="211">
        <v>-191300</v>
      </c>
      <c r="E7294" s="212">
        <v>45566</v>
      </c>
      <c r="F7294" s="208" t="s">
        <v>110</v>
      </c>
      <c r="G7294" s="208" t="s">
        <v>4294</v>
      </c>
      <c r="H7294" s="208" t="s">
        <v>175</v>
      </c>
      <c r="I7294" s="208" t="s">
        <v>5430</v>
      </c>
      <c r="J7294" s="209"/>
      <c r="K7294" s="209"/>
      <c r="L7294" s="209"/>
      <c r="M7294" s="209"/>
      <c r="N7294" s="209"/>
      <c r="O7294" s="209"/>
      <c r="P7294" s="209"/>
      <c r="Q7294" s="209"/>
      <c r="R7294" s="209"/>
      <c r="S7294" s="209"/>
      <c r="T7294" s="209"/>
    </row>
    <row r="7295" spans="1:20" ht="15" hidden="1" customHeight="1">
      <c r="A7295" s="468">
        <v>45586</v>
      </c>
      <c r="B7295" s="208" t="s">
        <v>5440</v>
      </c>
      <c r="C7295" s="208" t="s">
        <v>146</v>
      </c>
      <c r="D7295" s="211">
        <v>-14000</v>
      </c>
      <c r="E7295" s="212">
        <v>45566</v>
      </c>
      <c r="F7295" s="208" t="s">
        <v>109</v>
      </c>
      <c r="G7295" s="208" t="s">
        <v>4986</v>
      </c>
      <c r="H7295" s="208" t="s">
        <v>147</v>
      </c>
      <c r="I7295" s="208" t="s">
        <v>5430</v>
      </c>
      <c r="J7295" s="209"/>
      <c r="K7295" s="209"/>
      <c r="L7295" s="209"/>
      <c r="M7295" s="209"/>
      <c r="N7295" s="209"/>
      <c r="O7295" s="209"/>
      <c r="P7295" s="209"/>
      <c r="Q7295" s="209"/>
      <c r="R7295" s="209"/>
      <c r="S7295" s="209"/>
      <c r="T7295" s="209"/>
    </row>
    <row r="7296" spans="1:20" ht="15" hidden="1" customHeight="1">
      <c r="A7296" s="468">
        <v>45586</v>
      </c>
      <c r="B7296" s="208" t="s">
        <v>5440</v>
      </c>
      <c r="C7296" s="208" t="s">
        <v>146</v>
      </c>
      <c r="D7296" s="211">
        <v>-14000</v>
      </c>
      <c r="E7296" s="212">
        <v>45566</v>
      </c>
      <c r="F7296" s="208" t="s">
        <v>130</v>
      </c>
      <c r="G7296" s="208" t="s">
        <v>130</v>
      </c>
      <c r="H7296" s="208" t="s">
        <v>2444</v>
      </c>
      <c r="I7296" s="208" t="s">
        <v>5430</v>
      </c>
      <c r="J7296" s="209"/>
      <c r="K7296" s="209"/>
      <c r="L7296" s="209"/>
      <c r="M7296" s="209"/>
      <c r="N7296" s="209"/>
      <c r="O7296" s="209"/>
      <c r="P7296" s="209"/>
      <c r="Q7296" s="209"/>
      <c r="R7296" s="209"/>
      <c r="S7296" s="209"/>
      <c r="T7296" s="209"/>
    </row>
    <row r="7297" spans="1:20" ht="15" hidden="1" customHeight="1">
      <c r="A7297" s="468">
        <v>45586</v>
      </c>
      <c r="B7297" s="208" t="s">
        <v>5825</v>
      </c>
      <c r="C7297" s="208" t="s">
        <v>146</v>
      </c>
      <c r="D7297" s="211">
        <v>-23000</v>
      </c>
      <c r="E7297" s="212">
        <v>45566</v>
      </c>
      <c r="F7297" s="208" t="s">
        <v>110</v>
      </c>
      <c r="G7297" s="208" t="s">
        <v>4294</v>
      </c>
      <c r="H7297" s="208" t="s">
        <v>175</v>
      </c>
      <c r="I7297" s="208" t="s">
        <v>5430</v>
      </c>
      <c r="J7297" s="209"/>
      <c r="K7297" s="209"/>
      <c r="L7297" s="209"/>
      <c r="M7297" s="209"/>
      <c r="N7297" s="209"/>
      <c r="O7297" s="209"/>
      <c r="P7297" s="209"/>
      <c r="Q7297" s="209"/>
      <c r="R7297" s="209"/>
      <c r="S7297" s="209"/>
      <c r="T7297" s="209"/>
    </row>
    <row r="7298" spans="1:20" ht="15" hidden="1" customHeight="1">
      <c r="A7298" s="468">
        <v>45586</v>
      </c>
      <c r="B7298" s="208" t="s">
        <v>5826</v>
      </c>
      <c r="C7298" s="208" t="s">
        <v>146</v>
      </c>
      <c r="D7298" s="211">
        <v>-28599.61</v>
      </c>
      <c r="E7298" s="212">
        <v>45566</v>
      </c>
      <c r="F7298" s="208" t="s">
        <v>109</v>
      </c>
      <c r="G7298" s="208" t="s">
        <v>4986</v>
      </c>
      <c r="H7298" s="208" t="s">
        <v>175</v>
      </c>
      <c r="I7298" s="208" t="s">
        <v>5430</v>
      </c>
      <c r="J7298" s="209"/>
      <c r="K7298" s="209"/>
      <c r="L7298" s="209"/>
      <c r="M7298" s="209"/>
      <c r="N7298" s="209"/>
      <c r="O7298" s="209"/>
      <c r="P7298" s="209"/>
      <c r="Q7298" s="209"/>
      <c r="R7298" s="209"/>
      <c r="S7298" s="209"/>
      <c r="T7298" s="209"/>
    </row>
    <row r="7299" spans="1:20" ht="15" hidden="1" customHeight="1">
      <c r="A7299" s="468">
        <v>45586</v>
      </c>
      <c r="B7299" s="208" t="s">
        <v>5827</v>
      </c>
      <c r="C7299" s="208" t="s">
        <v>146</v>
      </c>
      <c r="D7299" s="211">
        <v>-7000</v>
      </c>
      <c r="E7299" s="212">
        <v>45566</v>
      </c>
      <c r="F7299" s="208" t="s">
        <v>110</v>
      </c>
      <c r="G7299" s="201" t="s">
        <v>1489</v>
      </c>
      <c r="H7299" s="81" t="s">
        <v>138</v>
      </c>
      <c r="I7299" s="208" t="s">
        <v>5430</v>
      </c>
      <c r="J7299" s="209"/>
      <c r="K7299" s="209"/>
      <c r="L7299" s="209"/>
      <c r="M7299" s="209"/>
      <c r="N7299" s="209"/>
      <c r="O7299" s="209"/>
      <c r="P7299" s="209"/>
      <c r="Q7299" s="209"/>
      <c r="R7299" s="209"/>
      <c r="S7299" s="209"/>
      <c r="T7299" s="209"/>
    </row>
    <row r="7300" spans="1:20" ht="15" hidden="1" customHeight="1">
      <c r="A7300" s="468">
        <v>45586</v>
      </c>
      <c r="B7300" s="208" t="s">
        <v>5828</v>
      </c>
      <c r="C7300" s="208" t="s">
        <v>146</v>
      </c>
      <c r="D7300" s="211">
        <v>-7000</v>
      </c>
      <c r="E7300" s="212">
        <v>45566</v>
      </c>
      <c r="F7300" s="208" t="s">
        <v>110</v>
      </c>
      <c r="G7300" s="201" t="s">
        <v>1489</v>
      </c>
      <c r="H7300" s="81" t="s">
        <v>138</v>
      </c>
      <c r="I7300" s="208" t="s">
        <v>5430</v>
      </c>
      <c r="J7300" s="209"/>
      <c r="K7300" s="209"/>
      <c r="L7300" s="209"/>
      <c r="M7300" s="209"/>
      <c r="N7300" s="209"/>
      <c r="O7300" s="209"/>
      <c r="P7300" s="209"/>
      <c r="Q7300" s="209"/>
      <c r="R7300" s="209"/>
      <c r="S7300" s="209"/>
      <c r="T7300" s="209"/>
    </row>
    <row r="7301" spans="1:20" ht="15" hidden="1" customHeight="1">
      <c r="A7301" s="468">
        <v>45586</v>
      </c>
      <c r="B7301" s="208" t="s">
        <v>5829</v>
      </c>
      <c r="C7301" s="208" t="s">
        <v>146</v>
      </c>
      <c r="D7301" s="211">
        <v>-6500</v>
      </c>
      <c r="E7301" s="212">
        <v>45566</v>
      </c>
      <c r="F7301" s="208" t="s">
        <v>110</v>
      </c>
      <c r="G7301" s="208" t="s">
        <v>453</v>
      </c>
      <c r="H7301" s="81" t="s">
        <v>138</v>
      </c>
      <c r="I7301" s="208" t="s">
        <v>5430</v>
      </c>
      <c r="J7301" s="209"/>
      <c r="K7301" s="209"/>
      <c r="L7301" s="209"/>
      <c r="M7301" s="209"/>
      <c r="N7301" s="209"/>
      <c r="O7301" s="209"/>
      <c r="P7301" s="209"/>
      <c r="Q7301" s="209"/>
      <c r="R7301" s="209"/>
      <c r="S7301" s="209"/>
      <c r="T7301" s="209"/>
    </row>
    <row r="7302" spans="1:20" ht="15" hidden="1" customHeight="1">
      <c r="A7302" s="468">
        <v>45586</v>
      </c>
      <c r="B7302" s="208" t="s">
        <v>5830</v>
      </c>
      <c r="C7302" s="208" t="s">
        <v>146</v>
      </c>
      <c r="D7302" s="211">
        <v>-7000</v>
      </c>
      <c r="E7302" s="212">
        <v>45566</v>
      </c>
      <c r="F7302" s="208" t="s">
        <v>110</v>
      </c>
      <c r="G7302" s="208" t="s">
        <v>453</v>
      </c>
      <c r="H7302" s="81" t="s">
        <v>138</v>
      </c>
      <c r="I7302" s="475" t="s">
        <v>5410</v>
      </c>
      <c r="J7302" s="209"/>
      <c r="K7302" s="209"/>
      <c r="L7302" s="209"/>
      <c r="M7302" s="209"/>
      <c r="N7302" s="209"/>
      <c r="O7302" s="209"/>
      <c r="P7302" s="209"/>
      <c r="Q7302" s="209"/>
      <c r="R7302" s="209"/>
      <c r="S7302" s="209"/>
      <c r="T7302" s="209"/>
    </row>
    <row r="7303" spans="1:20" ht="15" hidden="1" customHeight="1">
      <c r="A7303" s="468">
        <v>45586</v>
      </c>
      <c r="B7303" s="208" t="s">
        <v>5831</v>
      </c>
      <c r="C7303" s="208" t="s">
        <v>146</v>
      </c>
      <c r="D7303" s="211">
        <v>-87500</v>
      </c>
      <c r="E7303" s="212">
        <v>45566</v>
      </c>
      <c r="F7303" s="208" t="s">
        <v>130</v>
      </c>
      <c r="G7303" s="208" t="s">
        <v>130</v>
      </c>
      <c r="H7303" s="208" t="s">
        <v>2444</v>
      </c>
      <c r="I7303" s="208" t="s">
        <v>5430</v>
      </c>
      <c r="J7303" s="209"/>
      <c r="K7303" s="209"/>
      <c r="L7303" s="209"/>
      <c r="M7303" s="209"/>
      <c r="N7303" s="209"/>
      <c r="O7303" s="209"/>
      <c r="P7303" s="209"/>
      <c r="Q7303" s="209"/>
      <c r="R7303" s="209"/>
      <c r="S7303" s="209"/>
      <c r="T7303" s="209"/>
    </row>
    <row r="7304" spans="1:20" ht="15" hidden="1" customHeight="1">
      <c r="A7304" s="468">
        <v>45586</v>
      </c>
      <c r="B7304" s="208" t="s">
        <v>5832</v>
      </c>
      <c r="C7304" s="208" t="s">
        <v>146</v>
      </c>
      <c r="D7304" s="211">
        <v>-74000</v>
      </c>
      <c r="E7304" s="212">
        <v>45566</v>
      </c>
      <c r="F7304" s="208" t="s">
        <v>110</v>
      </c>
      <c r="G7304" s="201" t="s">
        <v>1489</v>
      </c>
      <c r="H7304" s="208" t="s">
        <v>147</v>
      </c>
      <c r="I7304" s="208" t="s">
        <v>5430</v>
      </c>
      <c r="J7304" s="209"/>
      <c r="K7304" s="209"/>
      <c r="L7304" s="209"/>
      <c r="M7304" s="209"/>
      <c r="N7304" s="209"/>
      <c r="O7304" s="209"/>
      <c r="P7304" s="209"/>
      <c r="Q7304" s="209"/>
      <c r="R7304" s="209"/>
      <c r="S7304" s="209"/>
      <c r="T7304" s="209"/>
    </row>
    <row r="7305" spans="1:20" ht="15" hidden="1" customHeight="1">
      <c r="A7305" s="468">
        <v>45586</v>
      </c>
      <c r="B7305" s="208" t="s">
        <v>5833</v>
      </c>
      <c r="C7305" s="208" t="s">
        <v>146</v>
      </c>
      <c r="D7305" s="211">
        <v>-8800</v>
      </c>
      <c r="E7305" s="212">
        <v>45566</v>
      </c>
      <c r="F7305" s="208" t="s">
        <v>110</v>
      </c>
      <c r="G7305" s="201" t="s">
        <v>1489</v>
      </c>
      <c r="H7305" s="208" t="s">
        <v>2941</v>
      </c>
      <c r="I7305" s="208" t="s">
        <v>5430</v>
      </c>
      <c r="J7305" s="209"/>
      <c r="K7305" s="209"/>
      <c r="L7305" s="209"/>
      <c r="M7305" s="209"/>
      <c r="N7305" s="209"/>
      <c r="O7305" s="209"/>
      <c r="P7305" s="209"/>
      <c r="Q7305" s="209"/>
      <c r="R7305" s="209"/>
      <c r="S7305" s="209"/>
      <c r="T7305" s="209"/>
    </row>
    <row r="7306" spans="1:20" ht="15" hidden="1" customHeight="1">
      <c r="A7306" s="468">
        <v>45586</v>
      </c>
      <c r="B7306" s="208" t="s">
        <v>5834</v>
      </c>
      <c r="C7306" s="208" t="s">
        <v>146</v>
      </c>
      <c r="D7306" s="211">
        <v>-10000</v>
      </c>
      <c r="E7306" s="212">
        <v>45566</v>
      </c>
      <c r="F7306" s="208" t="s">
        <v>110</v>
      </c>
      <c r="G7306" s="208" t="s">
        <v>4294</v>
      </c>
      <c r="H7306" s="201" t="s">
        <v>416</v>
      </c>
      <c r="I7306" s="208" t="s">
        <v>5430</v>
      </c>
      <c r="J7306" s="209"/>
      <c r="K7306" s="209"/>
      <c r="L7306" s="209"/>
      <c r="M7306" s="209"/>
      <c r="N7306" s="209"/>
      <c r="O7306" s="209"/>
      <c r="P7306" s="209"/>
      <c r="Q7306" s="209"/>
      <c r="R7306" s="209"/>
      <c r="S7306" s="209"/>
      <c r="T7306" s="209"/>
    </row>
    <row r="7307" spans="1:20" ht="15" hidden="1" customHeight="1">
      <c r="A7307" s="468">
        <v>45583</v>
      </c>
      <c r="B7307" s="208" t="s">
        <v>5835</v>
      </c>
      <c r="C7307" s="208" t="s">
        <v>146</v>
      </c>
      <c r="D7307" s="211">
        <v>-6000</v>
      </c>
      <c r="E7307" s="212">
        <v>45566</v>
      </c>
      <c r="F7307" s="208" t="s">
        <v>109</v>
      </c>
      <c r="G7307" s="201" t="s">
        <v>581</v>
      </c>
      <c r="H7307" s="208"/>
      <c r="I7307" s="208" t="s">
        <v>5430</v>
      </c>
      <c r="J7307" s="209"/>
      <c r="K7307" s="209"/>
      <c r="L7307" s="209"/>
      <c r="M7307" s="209"/>
      <c r="N7307" s="209"/>
      <c r="O7307" s="209"/>
      <c r="P7307" s="209"/>
      <c r="Q7307" s="209"/>
      <c r="R7307" s="209"/>
      <c r="S7307" s="209"/>
      <c r="T7307" s="209"/>
    </row>
    <row r="7308" spans="1:20" ht="15" hidden="1" customHeight="1">
      <c r="A7308" s="468">
        <v>45586</v>
      </c>
      <c r="B7308" s="208" t="s">
        <v>5836</v>
      </c>
      <c r="C7308" s="208" t="s">
        <v>146</v>
      </c>
      <c r="D7308" s="211">
        <v>-49700</v>
      </c>
      <c r="E7308" s="212">
        <v>45566</v>
      </c>
      <c r="F7308" s="208" t="s">
        <v>130</v>
      </c>
      <c r="G7308" s="208" t="s">
        <v>130</v>
      </c>
      <c r="H7308" s="81" t="s">
        <v>138</v>
      </c>
      <c r="I7308" s="208" t="s">
        <v>5430</v>
      </c>
      <c r="J7308" s="209"/>
      <c r="K7308" s="209"/>
      <c r="L7308" s="209"/>
      <c r="M7308" s="209"/>
      <c r="N7308" s="209"/>
      <c r="O7308" s="209"/>
      <c r="P7308" s="209"/>
      <c r="Q7308" s="209"/>
      <c r="R7308" s="209"/>
      <c r="S7308" s="209"/>
      <c r="T7308" s="209"/>
    </row>
    <row r="7309" spans="1:20" ht="15" hidden="1" customHeight="1">
      <c r="A7309" s="468">
        <v>45586</v>
      </c>
      <c r="B7309" s="208" t="s">
        <v>2663</v>
      </c>
      <c r="C7309" s="208" t="s">
        <v>146</v>
      </c>
      <c r="D7309" s="211">
        <v>-56000</v>
      </c>
      <c r="E7309" s="212">
        <v>45566</v>
      </c>
      <c r="F7309" s="208" t="s">
        <v>110</v>
      </c>
      <c r="G7309" s="201" t="s">
        <v>1489</v>
      </c>
      <c r="H7309" s="81" t="s">
        <v>138</v>
      </c>
      <c r="I7309" s="208"/>
      <c r="J7309" s="209"/>
      <c r="K7309" s="209"/>
      <c r="L7309" s="209"/>
      <c r="M7309" s="209"/>
      <c r="N7309" s="209"/>
      <c r="O7309" s="209"/>
      <c r="P7309" s="209"/>
      <c r="Q7309" s="209"/>
      <c r="R7309" s="209"/>
      <c r="S7309" s="209"/>
      <c r="T7309" s="209"/>
    </row>
    <row r="7310" spans="1:20" ht="15" hidden="1" customHeight="1">
      <c r="A7310" s="468">
        <v>45586</v>
      </c>
      <c r="B7310" s="208" t="s">
        <v>2663</v>
      </c>
      <c r="C7310" s="208" t="s">
        <v>146</v>
      </c>
      <c r="D7310" s="211">
        <v>-56000</v>
      </c>
      <c r="E7310" s="212">
        <v>45566</v>
      </c>
      <c r="F7310" s="208" t="s">
        <v>109</v>
      </c>
      <c r="G7310" s="208" t="s">
        <v>4986</v>
      </c>
      <c r="H7310" s="81" t="s">
        <v>138</v>
      </c>
      <c r="I7310" s="208"/>
      <c r="J7310" s="209"/>
      <c r="K7310" s="209"/>
      <c r="L7310" s="209"/>
      <c r="M7310" s="209"/>
      <c r="N7310" s="209"/>
      <c r="O7310" s="209"/>
      <c r="P7310" s="209"/>
      <c r="Q7310" s="209"/>
      <c r="R7310" s="209"/>
      <c r="S7310" s="209"/>
      <c r="T7310" s="209"/>
    </row>
    <row r="7311" spans="1:20" ht="15" hidden="1" customHeight="1">
      <c r="A7311" s="468">
        <v>45586</v>
      </c>
      <c r="B7311" s="208" t="s">
        <v>2663</v>
      </c>
      <c r="C7311" s="208" t="s">
        <v>146</v>
      </c>
      <c r="D7311" s="211">
        <v>-51000</v>
      </c>
      <c r="E7311" s="212">
        <v>45566</v>
      </c>
      <c r="F7311" s="208" t="s">
        <v>110</v>
      </c>
      <c r="G7311" s="208" t="s">
        <v>4990</v>
      </c>
      <c r="H7311" s="81" t="s">
        <v>138</v>
      </c>
      <c r="I7311" s="208"/>
      <c r="J7311" s="209"/>
      <c r="K7311" s="209"/>
      <c r="L7311" s="209"/>
      <c r="M7311" s="209"/>
      <c r="N7311" s="209"/>
      <c r="O7311" s="209"/>
      <c r="P7311" s="209"/>
      <c r="Q7311" s="209"/>
      <c r="R7311" s="209"/>
      <c r="S7311" s="209"/>
      <c r="T7311" s="209"/>
    </row>
    <row r="7312" spans="1:20" ht="15" hidden="1" customHeight="1">
      <c r="A7312" s="468">
        <v>45586</v>
      </c>
      <c r="B7312" s="208" t="s">
        <v>2663</v>
      </c>
      <c r="C7312" s="208" t="s">
        <v>146</v>
      </c>
      <c r="D7312" s="211">
        <v>-7000</v>
      </c>
      <c r="E7312" s="212">
        <v>45566</v>
      </c>
      <c r="F7312" s="208" t="s">
        <v>110</v>
      </c>
      <c r="G7312" s="208" t="s">
        <v>4294</v>
      </c>
      <c r="H7312" s="81" t="s">
        <v>138</v>
      </c>
      <c r="I7312" s="208"/>
      <c r="J7312" s="209"/>
      <c r="K7312" s="209"/>
      <c r="L7312" s="209"/>
      <c r="M7312" s="209"/>
      <c r="N7312" s="209"/>
      <c r="O7312" s="209"/>
      <c r="P7312" s="209"/>
      <c r="Q7312" s="209"/>
      <c r="R7312" s="209"/>
      <c r="S7312" s="209"/>
      <c r="T7312" s="209"/>
    </row>
    <row r="7313" spans="1:20" ht="15" hidden="1" customHeight="1">
      <c r="A7313" s="468">
        <v>45586</v>
      </c>
      <c r="B7313" s="208" t="s">
        <v>2663</v>
      </c>
      <c r="C7313" s="208" t="s">
        <v>146</v>
      </c>
      <c r="D7313" s="211">
        <v>-7000</v>
      </c>
      <c r="E7313" s="212">
        <v>45566</v>
      </c>
      <c r="F7313" s="208" t="s">
        <v>130</v>
      </c>
      <c r="G7313" s="208" t="s">
        <v>130</v>
      </c>
      <c r="H7313" s="81" t="s">
        <v>138</v>
      </c>
      <c r="I7313" s="208"/>
      <c r="J7313" s="209"/>
      <c r="K7313" s="209"/>
      <c r="L7313" s="209"/>
      <c r="M7313" s="209"/>
      <c r="N7313" s="209"/>
      <c r="O7313" s="209"/>
      <c r="P7313" s="209"/>
      <c r="Q7313" s="209"/>
      <c r="R7313" s="209"/>
      <c r="S7313" s="209"/>
      <c r="T7313" s="209"/>
    </row>
    <row r="7314" spans="1:20" ht="15" hidden="1" customHeight="1">
      <c r="A7314" s="468">
        <v>45589</v>
      </c>
      <c r="B7314" s="208" t="s">
        <v>5837</v>
      </c>
      <c r="C7314" s="208" t="s">
        <v>146</v>
      </c>
      <c r="D7314" s="211">
        <v>-80000</v>
      </c>
      <c r="E7314" s="212">
        <v>45566</v>
      </c>
      <c r="F7314" s="208" t="s">
        <v>110</v>
      </c>
      <c r="G7314" s="208" t="s">
        <v>4294</v>
      </c>
      <c r="H7314" s="81" t="s">
        <v>138</v>
      </c>
      <c r="I7314" s="208"/>
      <c r="J7314" s="209"/>
      <c r="K7314" s="209"/>
      <c r="L7314" s="209"/>
      <c r="M7314" s="209"/>
      <c r="N7314" s="209"/>
      <c r="O7314" s="209"/>
      <c r="P7314" s="209"/>
      <c r="Q7314" s="209"/>
      <c r="R7314" s="209"/>
      <c r="S7314" s="209"/>
      <c r="T7314" s="209"/>
    </row>
    <row r="7315" spans="1:20" ht="15" hidden="1" customHeight="1">
      <c r="A7315" s="468">
        <v>45587</v>
      </c>
      <c r="B7315" s="208" t="s">
        <v>5838</v>
      </c>
      <c r="C7315" s="208" t="s">
        <v>146</v>
      </c>
      <c r="D7315" s="211">
        <v>-113200</v>
      </c>
      <c r="E7315" s="212">
        <v>45566</v>
      </c>
      <c r="F7315" s="208" t="s">
        <v>110</v>
      </c>
      <c r="G7315" s="208" t="s">
        <v>4294</v>
      </c>
      <c r="H7315" s="208" t="s">
        <v>175</v>
      </c>
      <c r="I7315" s="208" t="s">
        <v>5430</v>
      </c>
      <c r="J7315" s="209"/>
      <c r="K7315" s="209"/>
      <c r="L7315" s="209"/>
      <c r="M7315" s="209"/>
      <c r="N7315" s="209"/>
      <c r="O7315" s="209"/>
      <c r="P7315" s="209"/>
      <c r="Q7315" s="209"/>
      <c r="R7315" s="209"/>
      <c r="S7315" s="209"/>
      <c r="T7315" s="209"/>
    </row>
    <row r="7316" spans="1:20" ht="15" hidden="1" customHeight="1">
      <c r="A7316" s="468">
        <v>45587</v>
      </c>
      <c r="B7316" s="208" t="s">
        <v>5839</v>
      </c>
      <c r="C7316" s="208" t="s">
        <v>146</v>
      </c>
      <c r="D7316" s="211">
        <v>-3700</v>
      </c>
      <c r="E7316" s="212">
        <v>45566</v>
      </c>
      <c r="F7316" s="208" t="s">
        <v>130</v>
      </c>
      <c r="G7316" s="208" t="s">
        <v>130</v>
      </c>
      <c r="H7316" s="208" t="s">
        <v>2444</v>
      </c>
      <c r="I7316" s="208" t="s">
        <v>5430</v>
      </c>
      <c r="J7316" s="209"/>
      <c r="K7316" s="209"/>
      <c r="L7316" s="209"/>
      <c r="M7316" s="209"/>
      <c r="N7316" s="209"/>
      <c r="O7316" s="209"/>
      <c r="P7316" s="209"/>
      <c r="Q7316" s="209"/>
      <c r="R7316" s="209"/>
      <c r="S7316" s="209"/>
      <c r="T7316" s="209"/>
    </row>
    <row r="7317" spans="1:20" ht="15" hidden="1" customHeight="1">
      <c r="A7317" s="468">
        <v>45588</v>
      </c>
      <c r="B7317" s="208" t="s">
        <v>5840</v>
      </c>
      <c r="C7317" s="208" t="s">
        <v>146</v>
      </c>
      <c r="D7317" s="211">
        <v>-11200</v>
      </c>
      <c r="E7317" s="212">
        <v>45566</v>
      </c>
      <c r="F7317" s="208" t="s">
        <v>110</v>
      </c>
      <c r="G7317" s="208" t="s">
        <v>4990</v>
      </c>
      <c r="H7317" s="208" t="s">
        <v>175</v>
      </c>
      <c r="I7317" s="208" t="s">
        <v>5430</v>
      </c>
      <c r="J7317" s="209"/>
      <c r="K7317" s="209"/>
      <c r="L7317" s="209"/>
      <c r="M7317" s="209"/>
      <c r="N7317" s="209"/>
      <c r="O7317" s="209"/>
      <c r="P7317" s="209"/>
      <c r="Q7317" s="209"/>
      <c r="R7317" s="209"/>
      <c r="S7317" s="209"/>
      <c r="T7317" s="209"/>
    </row>
    <row r="7318" spans="1:20" ht="15" hidden="1" customHeight="1">
      <c r="A7318" s="468">
        <v>45588</v>
      </c>
      <c r="B7318" s="208" t="s">
        <v>5841</v>
      </c>
      <c r="C7318" s="208" t="s">
        <v>146</v>
      </c>
      <c r="D7318" s="211">
        <v>-37568</v>
      </c>
      <c r="E7318" s="212">
        <v>45566</v>
      </c>
      <c r="F7318" s="208" t="s">
        <v>110</v>
      </c>
      <c r="G7318" s="208" t="s">
        <v>4294</v>
      </c>
      <c r="H7318" s="208" t="s">
        <v>175</v>
      </c>
      <c r="I7318" s="208" t="s">
        <v>5430</v>
      </c>
      <c r="J7318" s="209"/>
      <c r="K7318" s="209"/>
      <c r="L7318" s="209"/>
      <c r="M7318" s="209"/>
      <c r="N7318" s="209"/>
      <c r="O7318" s="209"/>
      <c r="P7318" s="209"/>
      <c r="Q7318" s="209"/>
      <c r="R7318" s="209"/>
      <c r="S7318" s="209"/>
      <c r="T7318" s="209"/>
    </row>
    <row r="7319" spans="1:20" ht="15" hidden="1" customHeight="1">
      <c r="A7319" s="468">
        <v>45588</v>
      </c>
      <c r="B7319" s="208" t="s">
        <v>5842</v>
      </c>
      <c r="C7319" s="208" t="s">
        <v>146</v>
      </c>
      <c r="D7319" s="211">
        <v>-102416</v>
      </c>
      <c r="E7319" s="212">
        <v>45566</v>
      </c>
      <c r="F7319" s="208" t="s">
        <v>110</v>
      </c>
      <c r="G7319" s="208" t="s">
        <v>4294</v>
      </c>
      <c r="H7319" s="208" t="s">
        <v>175</v>
      </c>
      <c r="I7319" s="208" t="s">
        <v>5430</v>
      </c>
      <c r="J7319" s="209"/>
      <c r="K7319" s="209"/>
      <c r="L7319" s="209"/>
      <c r="M7319" s="209"/>
      <c r="N7319" s="209"/>
      <c r="O7319" s="209"/>
      <c r="P7319" s="209"/>
      <c r="Q7319" s="209"/>
      <c r="R7319" s="209"/>
      <c r="S7319" s="209"/>
      <c r="T7319" s="209"/>
    </row>
    <row r="7320" spans="1:20" ht="15" hidden="1" customHeight="1">
      <c r="A7320" s="468">
        <v>45588</v>
      </c>
      <c r="B7320" s="208" t="s">
        <v>5842</v>
      </c>
      <c r="C7320" s="208" t="s">
        <v>146</v>
      </c>
      <c r="D7320" s="211">
        <v>-25604</v>
      </c>
      <c r="E7320" s="212">
        <v>45566</v>
      </c>
      <c r="F7320" s="208" t="s">
        <v>110</v>
      </c>
      <c r="G7320" s="208" t="s">
        <v>4294</v>
      </c>
      <c r="H7320" s="208" t="s">
        <v>175</v>
      </c>
      <c r="I7320" s="208" t="s">
        <v>5430</v>
      </c>
      <c r="J7320" s="209"/>
      <c r="K7320" s="209"/>
      <c r="L7320" s="209"/>
      <c r="M7320" s="209"/>
      <c r="N7320" s="209"/>
      <c r="O7320" s="209"/>
      <c r="P7320" s="209"/>
      <c r="Q7320" s="209"/>
      <c r="R7320" s="209"/>
      <c r="S7320" s="209"/>
      <c r="T7320" s="209"/>
    </row>
    <row r="7321" spans="1:20" ht="15" hidden="1" customHeight="1">
      <c r="A7321" s="468">
        <v>45588</v>
      </c>
      <c r="B7321" s="208" t="s">
        <v>5843</v>
      </c>
      <c r="C7321" s="208" t="s">
        <v>146</v>
      </c>
      <c r="D7321" s="211">
        <v>-50000</v>
      </c>
      <c r="E7321" s="212">
        <v>45566</v>
      </c>
      <c r="F7321" s="208" t="s">
        <v>110</v>
      </c>
      <c r="G7321" s="208" t="s">
        <v>4294</v>
      </c>
      <c r="H7321" s="201" t="s">
        <v>416</v>
      </c>
      <c r="I7321" s="208" t="s">
        <v>5430</v>
      </c>
      <c r="J7321" s="209"/>
      <c r="K7321" s="209"/>
      <c r="L7321" s="209"/>
      <c r="M7321" s="209"/>
      <c r="N7321" s="209"/>
      <c r="O7321" s="209"/>
      <c r="P7321" s="209"/>
      <c r="Q7321" s="209"/>
      <c r="R7321" s="209"/>
      <c r="S7321" s="209"/>
      <c r="T7321" s="209"/>
    </row>
    <row r="7322" spans="1:20" ht="15" hidden="1" customHeight="1">
      <c r="A7322" s="468">
        <v>45588</v>
      </c>
      <c r="B7322" s="208" t="s">
        <v>5844</v>
      </c>
      <c r="C7322" s="208" t="s">
        <v>146</v>
      </c>
      <c r="D7322" s="211">
        <v>-25000</v>
      </c>
      <c r="E7322" s="212">
        <v>45566</v>
      </c>
      <c r="F7322" s="208" t="s">
        <v>130</v>
      </c>
      <c r="G7322" s="208" t="s">
        <v>130</v>
      </c>
      <c r="H7322" s="208" t="s">
        <v>2444</v>
      </c>
      <c r="I7322" s="208" t="s">
        <v>5430</v>
      </c>
      <c r="J7322" s="209"/>
      <c r="K7322" s="209"/>
      <c r="L7322" s="209"/>
      <c r="M7322" s="209"/>
      <c r="N7322" s="209"/>
      <c r="O7322" s="209"/>
      <c r="P7322" s="209"/>
      <c r="Q7322" s="209"/>
      <c r="R7322" s="209"/>
      <c r="S7322" s="209"/>
      <c r="T7322" s="209"/>
    </row>
    <row r="7323" spans="1:20" ht="15" hidden="1" customHeight="1">
      <c r="A7323" s="468">
        <v>45588</v>
      </c>
      <c r="B7323" s="208" t="s">
        <v>5845</v>
      </c>
      <c r="C7323" s="208" t="s">
        <v>146</v>
      </c>
      <c r="D7323" s="211">
        <v>-34905</v>
      </c>
      <c r="E7323" s="212">
        <v>45566</v>
      </c>
      <c r="F7323" s="208" t="s">
        <v>110</v>
      </c>
      <c r="G7323" s="208" t="s">
        <v>4990</v>
      </c>
      <c r="H7323" s="208" t="s">
        <v>175</v>
      </c>
      <c r="I7323" s="208" t="s">
        <v>5430</v>
      </c>
      <c r="J7323" s="209"/>
      <c r="K7323" s="209"/>
      <c r="L7323" s="209"/>
      <c r="M7323" s="209"/>
      <c r="N7323" s="209"/>
      <c r="O7323" s="209"/>
      <c r="P7323" s="209"/>
      <c r="Q7323" s="209"/>
      <c r="R7323" s="209"/>
      <c r="S7323" s="209"/>
      <c r="T7323" s="209"/>
    </row>
    <row r="7324" spans="1:20" ht="15" hidden="1" customHeight="1">
      <c r="A7324" s="468">
        <v>45589</v>
      </c>
      <c r="B7324" s="208" t="s">
        <v>5846</v>
      </c>
      <c r="C7324" s="208" t="s">
        <v>146</v>
      </c>
      <c r="D7324" s="211">
        <v>-26400</v>
      </c>
      <c r="E7324" s="212">
        <v>45566</v>
      </c>
      <c r="F7324" s="208" t="s">
        <v>110</v>
      </c>
      <c r="G7324" s="208" t="s">
        <v>4294</v>
      </c>
      <c r="H7324" s="208" t="s">
        <v>175</v>
      </c>
      <c r="I7324" s="208" t="s">
        <v>5430</v>
      </c>
      <c r="J7324" s="209"/>
      <c r="K7324" s="209"/>
      <c r="L7324" s="209"/>
      <c r="M7324" s="209"/>
      <c r="N7324" s="209"/>
      <c r="O7324" s="209"/>
      <c r="P7324" s="209"/>
      <c r="Q7324" s="209"/>
      <c r="R7324" s="209"/>
      <c r="S7324" s="209"/>
      <c r="T7324" s="209"/>
    </row>
    <row r="7325" spans="1:20" ht="15" hidden="1" customHeight="1">
      <c r="A7325" s="468">
        <v>45589</v>
      </c>
      <c r="B7325" s="208" t="s">
        <v>5847</v>
      </c>
      <c r="C7325" s="208" t="s">
        <v>146</v>
      </c>
      <c r="D7325" s="211">
        <v>-10500</v>
      </c>
      <c r="E7325" s="212">
        <v>45566</v>
      </c>
      <c r="F7325" s="208" t="s">
        <v>110</v>
      </c>
      <c r="G7325" s="208" t="s">
        <v>4294</v>
      </c>
      <c r="H7325" s="208" t="s">
        <v>175</v>
      </c>
      <c r="I7325" s="208" t="s">
        <v>5430</v>
      </c>
      <c r="J7325" s="209"/>
      <c r="K7325" s="209"/>
      <c r="L7325" s="209"/>
      <c r="M7325" s="209"/>
      <c r="N7325" s="209"/>
      <c r="O7325" s="209"/>
      <c r="P7325" s="209"/>
      <c r="Q7325" s="209"/>
      <c r="R7325" s="209"/>
      <c r="S7325" s="209"/>
      <c r="T7325" s="209"/>
    </row>
    <row r="7326" spans="1:20" ht="15" hidden="1" customHeight="1">
      <c r="A7326" s="468">
        <v>45589</v>
      </c>
      <c r="B7326" s="208" t="s">
        <v>5848</v>
      </c>
      <c r="C7326" s="208" t="s">
        <v>146</v>
      </c>
      <c r="D7326" s="211">
        <v>-7000</v>
      </c>
      <c r="E7326" s="212">
        <v>45566</v>
      </c>
      <c r="F7326" s="208" t="s">
        <v>110</v>
      </c>
      <c r="G7326" s="208" t="s">
        <v>4294</v>
      </c>
      <c r="H7326" s="81" t="s">
        <v>138</v>
      </c>
      <c r="I7326" s="208" t="s">
        <v>5430</v>
      </c>
      <c r="J7326" s="209"/>
      <c r="K7326" s="209"/>
      <c r="L7326" s="209"/>
      <c r="M7326" s="209"/>
      <c r="N7326" s="209"/>
      <c r="O7326" s="209"/>
      <c r="P7326" s="209"/>
      <c r="Q7326" s="209"/>
      <c r="R7326" s="209"/>
      <c r="S7326" s="209"/>
      <c r="T7326" s="209"/>
    </row>
    <row r="7327" spans="1:20" ht="15" hidden="1" customHeight="1">
      <c r="A7327" s="468">
        <v>45589</v>
      </c>
      <c r="B7327" s="208" t="s">
        <v>5849</v>
      </c>
      <c r="C7327" s="208" t="s">
        <v>146</v>
      </c>
      <c r="D7327" s="211">
        <v>-6000</v>
      </c>
      <c r="E7327" s="212">
        <v>45566</v>
      </c>
      <c r="F7327" s="208" t="s">
        <v>109</v>
      </c>
      <c r="G7327" s="208" t="s">
        <v>4986</v>
      </c>
      <c r="H7327" s="81" t="s">
        <v>138</v>
      </c>
      <c r="I7327" s="208" t="s">
        <v>5430</v>
      </c>
      <c r="J7327" s="209"/>
      <c r="K7327" s="209"/>
      <c r="L7327" s="209"/>
      <c r="M7327" s="209"/>
      <c r="N7327" s="209"/>
      <c r="O7327" s="209"/>
      <c r="P7327" s="209"/>
      <c r="Q7327" s="209"/>
      <c r="R7327" s="209"/>
      <c r="S7327" s="209"/>
      <c r="T7327" s="209"/>
    </row>
    <row r="7328" spans="1:20" ht="15" hidden="1" customHeight="1">
      <c r="A7328" s="468">
        <v>45589</v>
      </c>
      <c r="B7328" s="208" t="s">
        <v>5850</v>
      </c>
      <c r="C7328" s="208" t="s">
        <v>146</v>
      </c>
      <c r="D7328" s="211">
        <v>-7000</v>
      </c>
      <c r="E7328" s="212">
        <v>45566</v>
      </c>
      <c r="F7328" s="208" t="s">
        <v>109</v>
      </c>
      <c r="G7328" s="208" t="s">
        <v>4986</v>
      </c>
      <c r="H7328" s="81" t="s">
        <v>138</v>
      </c>
      <c r="I7328" s="208" t="s">
        <v>5430</v>
      </c>
      <c r="J7328" s="209"/>
      <c r="K7328" s="209"/>
      <c r="L7328" s="209"/>
      <c r="M7328" s="209"/>
      <c r="N7328" s="209"/>
      <c r="O7328" s="209"/>
      <c r="P7328" s="209"/>
      <c r="Q7328" s="209"/>
      <c r="R7328" s="209"/>
      <c r="S7328" s="209"/>
      <c r="T7328" s="209"/>
    </row>
    <row r="7329" spans="1:20" ht="15" hidden="1" customHeight="1">
      <c r="A7329" s="468">
        <v>45588</v>
      </c>
      <c r="B7329" s="208" t="s">
        <v>5851</v>
      </c>
      <c r="C7329" s="208" t="s">
        <v>146</v>
      </c>
      <c r="D7329" s="211">
        <v>-141000</v>
      </c>
      <c r="E7329" s="212">
        <v>45566</v>
      </c>
      <c r="F7329" s="208" t="s">
        <v>110</v>
      </c>
      <c r="G7329" s="201" t="s">
        <v>1489</v>
      </c>
      <c r="H7329" s="81" t="s">
        <v>138</v>
      </c>
      <c r="I7329" s="208"/>
      <c r="J7329" s="209"/>
      <c r="K7329" s="209"/>
      <c r="L7329" s="209"/>
      <c r="M7329" s="209"/>
      <c r="N7329" s="209"/>
      <c r="O7329" s="209"/>
      <c r="P7329" s="209"/>
      <c r="Q7329" s="209"/>
      <c r="R7329" s="209"/>
      <c r="S7329" s="209"/>
      <c r="T7329" s="209"/>
    </row>
    <row r="7330" spans="1:20" ht="15" hidden="1" customHeight="1">
      <c r="A7330" s="468">
        <v>45588</v>
      </c>
      <c r="B7330" s="208" t="s">
        <v>5851</v>
      </c>
      <c r="C7330" s="208" t="s">
        <v>146</v>
      </c>
      <c r="D7330" s="211">
        <v>-57000</v>
      </c>
      <c r="E7330" s="212">
        <v>45566</v>
      </c>
      <c r="F7330" s="208" t="s">
        <v>109</v>
      </c>
      <c r="G7330" s="208" t="s">
        <v>4225</v>
      </c>
      <c r="H7330" s="81" t="s">
        <v>138</v>
      </c>
      <c r="I7330" s="208"/>
      <c r="J7330" s="209"/>
      <c r="K7330" s="209"/>
      <c r="L7330" s="209"/>
      <c r="M7330" s="209"/>
      <c r="N7330" s="209"/>
      <c r="O7330" s="209"/>
      <c r="P7330" s="209"/>
      <c r="Q7330" s="209"/>
      <c r="R7330" s="209"/>
      <c r="S7330" s="209"/>
      <c r="T7330" s="209"/>
    </row>
    <row r="7331" spans="1:20" ht="15" hidden="1" customHeight="1">
      <c r="A7331" s="468">
        <v>45588</v>
      </c>
      <c r="B7331" s="208" t="s">
        <v>5851</v>
      </c>
      <c r="C7331" s="208" t="s">
        <v>146</v>
      </c>
      <c r="D7331" s="211">
        <v>-366568</v>
      </c>
      <c r="E7331" s="212">
        <v>45566</v>
      </c>
      <c r="F7331" s="208" t="s">
        <v>110</v>
      </c>
      <c r="G7331" s="208" t="s">
        <v>4294</v>
      </c>
      <c r="H7331" s="81" t="s">
        <v>138</v>
      </c>
      <c r="I7331" s="208"/>
      <c r="J7331" s="209"/>
      <c r="K7331" s="209"/>
      <c r="L7331" s="209"/>
      <c r="M7331" s="209"/>
      <c r="N7331" s="209"/>
      <c r="O7331" s="209"/>
      <c r="P7331" s="209"/>
      <c r="Q7331" s="209"/>
      <c r="R7331" s="209"/>
      <c r="S7331" s="209"/>
      <c r="T7331" s="209"/>
    </row>
    <row r="7332" spans="1:20" ht="15" hidden="1" customHeight="1">
      <c r="A7332" s="468">
        <v>45588</v>
      </c>
      <c r="B7332" s="208" t="s">
        <v>5851</v>
      </c>
      <c r="C7332" s="208" t="s">
        <v>146</v>
      </c>
      <c r="D7332" s="211">
        <v>-37000</v>
      </c>
      <c r="E7332" s="212">
        <v>45566</v>
      </c>
      <c r="F7332" s="208" t="s">
        <v>109</v>
      </c>
      <c r="G7332" s="201" t="s">
        <v>581</v>
      </c>
      <c r="H7332" s="208"/>
      <c r="I7332" s="208"/>
      <c r="J7332" s="209"/>
      <c r="K7332" s="209"/>
      <c r="L7332" s="209"/>
      <c r="M7332" s="209"/>
      <c r="N7332" s="209"/>
      <c r="O7332" s="209"/>
      <c r="P7332" s="209"/>
      <c r="Q7332" s="209"/>
      <c r="R7332" s="209"/>
      <c r="S7332" s="209"/>
      <c r="T7332" s="209"/>
    </row>
    <row r="7333" spans="1:20" ht="15" hidden="1" customHeight="1">
      <c r="A7333" s="468">
        <v>45588</v>
      </c>
      <c r="B7333" s="208" t="s">
        <v>5851</v>
      </c>
      <c r="C7333" s="208" t="s">
        <v>146</v>
      </c>
      <c r="D7333" s="211">
        <v>-40000</v>
      </c>
      <c r="E7333" s="212">
        <v>45566</v>
      </c>
      <c r="F7333" s="208" t="s">
        <v>110</v>
      </c>
      <c r="G7333" s="208" t="s">
        <v>4990</v>
      </c>
      <c r="H7333" s="81" t="s">
        <v>138</v>
      </c>
      <c r="I7333" s="208"/>
      <c r="J7333" s="209"/>
      <c r="K7333" s="209"/>
      <c r="L7333" s="209"/>
      <c r="M7333" s="209"/>
      <c r="N7333" s="209"/>
      <c r="O7333" s="209"/>
      <c r="P7333" s="209"/>
      <c r="Q7333" s="209"/>
      <c r="R7333" s="209"/>
      <c r="S7333" s="209"/>
      <c r="T7333" s="209"/>
    </row>
    <row r="7334" spans="1:20" ht="15" hidden="1" customHeight="1">
      <c r="A7334" s="468">
        <v>45588</v>
      </c>
      <c r="B7334" s="208" t="s">
        <v>5852</v>
      </c>
      <c r="C7334" s="208" t="s">
        <v>4314</v>
      </c>
      <c r="D7334" s="211">
        <v>-6520</v>
      </c>
      <c r="E7334" s="212">
        <v>45566</v>
      </c>
      <c r="F7334" s="208" t="s">
        <v>110</v>
      </c>
      <c r="G7334" s="208" t="s">
        <v>4294</v>
      </c>
      <c r="H7334" s="81" t="s">
        <v>138</v>
      </c>
      <c r="I7334" s="208"/>
      <c r="J7334" s="209"/>
      <c r="K7334" s="209"/>
      <c r="L7334" s="209"/>
      <c r="M7334" s="209"/>
      <c r="N7334" s="209"/>
      <c r="O7334" s="209"/>
      <c r="P7334" s="209"/>
      <c r="Q7334" s="209"/>
      <c r="R7334" s="209"/>
      <c r="S7334" s="209"/>
      <c r="T7334" s="209"/>
    </row>
    <row r="7335" spans="1:20" ht="15" hidden="1" customHeight="1">
      <c r="A7335" s="468">
        <v>45588</v>
      </c>
      <c r="B7335" s="208" t="s">
        <v>4133</v>
      </c>
      <c r="C7335" s="208" t="s">
        <v>4314</v>
      </c>
      <c r="D7335" s="211">
        <v>-3912</v>
      </c>
      <c r="E7335" s="212">
        <v>45566</v>
      </c>
      <c r="F7335" s="208" t="s">
        <v>110</v>
      </c>
      <c r="G7335" s="208" t="s">
        <v>4294</v>
      </c>
      <c r="H7335" s="81" t="s">
        <v>138</v>
      </c>
      <c r="I7335" s="208"/>
      <c r="J7335" s="209"/>
      <c r="K7335" s="209"/>
      <c r="L7335" s="209"/>
      <c r="M7335" s="209"/>
      <c r="N7335" s="209"/>
      <c r="O7335" s="209"/>
      <c r="P7335" s="209"/>
      <c r="Q7335" s="209"/>
      <c r="R7335" s="209"/>
      <c r="S7335" s="209"/>
      <c r="T7335" s="209"/>
    </row>
    <row r="7336" spans="1:20" ht="15" hidden="1" customHeight="1">
      <c r="A7336" s="468">
        <v>45590</v>
      </c>
      <c r="B7336" s="208" t="s">
        <v>5853</v>
      </c>
      <c r="C7336" s="208" t="s">
        <v>146</v>
      </c>
      <c r="D7336" s="211">
        <v>-44400</v>
      </c>
      <c r="E7336" s="212">
        <v>45566</v>
      </c>
      <c r="F7336" s="208" t="s">
        <v>130</v>
      </c>
      <c r="G7336" s="208" t="s">
        <v>130</v>
      </c>
      <c r="H7336" s="81" t="s">
        <v>138</v>
      </c>
      <c r="I7336" s="208" t="s">
        <v>2052</v>
      </c>
      <c r="J7336" s="209"/>
      <c r="K7336" s="209"/>
      <c r="L7336" s="209"/>
      <c r="M7336" s="209"/>
      <c r="N7336" s="209"/>
      <c r="O7336" s="209"/>
      <c r="P7336" s="209"/>
      <c r="Q7336" s="209"/>
      <c r="R7336" s="209"/>
      <c r="S7336" s="209"/>
      <c r="T7336" s="209"/>
    </row>
    <row r="7337" spans="1:20" ht="15" hidden="1" customHeight="1">
      <c r="A7337" s="468">
        <v>45590</v>
      </c>
      <c r="B7337" s="208" t="s">
        <v>5854</v>
      </c>
      <c r="C7337" s="208" t="s">
        <v>146</v>
      </c>
      <c r="D7337" s="211">
        <v>-12400</v>
      </c>
      <c r="E7337" s="212">
        <v>45566</v>
      </c>
      <c r="F7337" s="208" t="s">
        <v>109</v>
      </c>
      <c r="G7337" s="208" t="s">
        <v>4986</v>
      </c>
      <c r="H7337" s="81" t="s">
        <v>138</v>
      </c>
      <c r="I7337" s="208"/>
      <c r="J7337" s="209"/>
      <c r="K7337" s="209"/>
      <c r="L7337" s="209"/>
      <c r="M7337" s="209"/>
      <c r="N7337" s="209"/>
      <c r="O7337" s="209"/>
      <c r="P7337" s="209"/>
      <c r="Q7337" s="209"/>
      <c r="R7337" s="209"/>
      <c r="S7337" s="209"/>
      <c r="T7337" s="209"/>
    </row>
    <row r="7338" spans="1:20" ht="15" hidden="1" customHeight="1">
      <c r="A7338" s="468">
        <v>45590</v>
      </c>
      <c r="B7338" s="208" t="s">
        <v>5855</v>
      </c>
      <c r="C7338" s="208" t="s">
        <v>146</v>
      </c>
      <c r="D7338" s="211">
        <v>-7300</v>
      </c>
      <c r="E7338" s="212">
        <v>45566</v>
      </c>
      <c r="F7338" s="208" t="s">
        <v>130</v>
      </c>
      <c r="G7338" s="208" t="s">
        <v>130</v>
      </c>
      <c r="H7338" s="208" t="s">
        <v>852</v>
      </c>
      <c r="I7338" s="208"/>
      <c r="J7338" s="209"/>
      <c r="K7338" s="209"/>
      <c r="L7338" s="209"/>
      <c r="M7338" s="209"/>
      <c r="N7338" s="209"/>
      <c r="O7338" s="209"/>
      <c r="P7338" s="209"/>
      <c r="Q7338" s="209"/>
      <c r="R7338" s="209"/>
      <c r="S7338" s="209"/>
      <c r="T7338" s="209"/>
    </row>
    <row r="7339" spans="1:20" ht="15" hidden="1" customHeight="1">
      <c r="A7339" s="468">
        <v>45581</v>
      </c>
      <c r="B7339" s="208" t="s">
        <v>5856</v>
      </c>
      <c r="C7339" s="208" t="s">
        <v>146</v>
      </c>
      <c r="D7339" s="211">
        <v>-9400</v>
      </c>
      <c r="E7339" s="212">
        <v>45566</v>
      </c>
      <c r="F7339" s="208" t="s">
        <v>109</v>
      </c>
      <c r="G7339" s="201" t="s">
        <v>581</v>
      </c>
      <c r="H7339" s="208"/>
      <c r="I7339" s="208" t="s">
        <v>5857</v>
      </c>
      <c r="J7339" s="209"/>
      <c r="K7339" s="209"/>
      <c r="L7339" s="209"/>
      <c r="M7339" s="209"/>
      <c r="N7339" s="209"/>
      <c r="O7339" s="209"/>
      <c r="P7339" s="209"/>
      <c r="Q7339" s="209"/>
      <c r="R7339" s="209"/>
      <c r="S7339" s="209"/>
      <c r="T7339" s="209"/>
    </row>
    <row r="7340" spans="1:20" ht="15" hidden="1" customHeight="1">
      <c r="A7340" s="468">
        <v>45582</v>
      </c>
      <c r="B7340" s="208" t="s">
        <v>5858</v>
      </c>
      <c r="C7340" s="208" t="s">
        <v>146</v>
      </c>
      <c r="D7340" s="211">
        <v>-6000</v>
      </c>
      <c r="E7340" s="212">
        <v>45566</v>
      </c>
      <c r="F7340" s="208" t="s">
        <v>109</v>
      </c>
      <c r="G7340" s="201" t="s">
        <v>581</v>
      </c>
      <c r="H7340" s="208"/>
      <c r="I7340" s="208" t="s">
        <v>5857</v>
      </c>
      <c r="J7340" s="209"/>
      <c r="K7340" s="209"/>
      <c r="L7340" s="209"/>
      <c r="M7340" s="209"/>
      <c r="N7340" s="209"/>
      <c r="O7340" s="209"/>
      <c r="P7340" s="209"/>
      <c r="Q7340" s="209"/>
      <c r="R7340" s="209"/>
      <c r="S7340" s="209"/>
      <c r="T7340" s="209"/>
    </row>
    <row r="7341" spans="1:20" ht="15" hidden="1" customHeight="1">
      <c r="A7341" s="468">
        <v>45582</v>
      </c>
      <c r="B7341" s="208" t="s">
        <v>5859</v>
      </c>
      <c r="C7341" s="208" t="s">
        <v>146</v>
      </c>
      <c r="D7341" s="211">
        <v>-20000</v>
      </c>
      <c r="E7341" s="212">
        <v>45566</v>
      </c>
      <c r="F7341" s="208" t="s">
        <v>109</v>
      </c>
      <c r="G7341" s="201" t="s">
        <v>581</v>
      </c>
      <c r="H7341" s="208"/>
      <c r="I7341" s="208" t="s">
        <v>5857</v>
      </c>
      <c r="J7341" s="209"/>
      <c r="K7341" s="209"/>
      <c r="L7341" s="209"/>
      <c r="M7341" s="209"/>
      <c r="N7341" s="209"/>
      <c r="O7341" s="209"/>
      <c r="P7341" s="209"/>
      <c r="Q7341" s="209"/>
      <c r="R7341" s="209"/>
      <c r="S7341" s="209"/>
      <c r="T7341" s="209"/>
    </row>
    <row r="7342" spans="1:20" ht="15" hidden="1" customHeight="1">
      <c r="A7342" s="468">
        <v>45582</v>
      </c>
      <c r="B7342" s="208" t="s">
        <v>5860</v>
      </c>
      <c r="C7342" s="208" t="s">
        <v>146</v>
      </c>
      <c r="D7342" s="211">
        <v>-10000</v>
      </c>
      <c r="E7342" s="212">
        <v>45566</v>
      </c>
      <c r="F7342" s="208" t="s">
        <v>109</v>
      </c>
      <c r="G7342" s="208" t="s">
        <v>10</v>
      </c>
      <c r="H7342" s="208"/>
      <c r="I7342" s="208" t="s">
        <v>5857</v>
      </c>
      <c r="J7342" s="209"/>
      <c r="K7342" s="209"/>
      <c r="L7342" s="209"/>
      <c r="M7342" s="209"/>
      <c r="N7342" s="209"/>
      <c r="O7342" s="209"/>
      <c r="P7342" s="209"/>
      <c r="Q7342" s="209"/>
      <c r="R7342" s="209"/>
      <c r="S7342" s="209"/>
      <c r="T7342" s="209"/>
    </row>
    <row r="7343" spans="1:20" ht="15" hidden="1" customHeight="1">
      <c r="A7343" s="468">
        <v>45582</v>
      </c>
      <c r="B7343" s="208" t="s">
        <v>5861</v>
      </c>
      <c r="C7343" s="208" t="s">
        <v>146</v>
      </c>
      <c r="D7343" s="211">
        <v>-18000</v>
      </c>
      <c r="E7343" s="212">
        <v>45566</v>
      </c>
      <c r="F7343" s="208" t="s">
        <v>109</v>
      </c>
      <c r="G7343" s="208" t="s">
        <v>10</v>
      </c>
      <c r="H7343" s="208"/>
      <c r="I7343" s="208" t="s">
        <v>5857</v>
      </c>
      <c r="J7343" s="209"/>
      <c r="K7343" s="209"/>
      <c r="L7343" s="209"/>
      <c r="M7343" s="209"/>
      <c r="N7343" s="209"/>
      <c r="O7343" s="209"/>
      <c r="P7343" s="209"/>
      <c r="Q7343" s="209"/>
      <c r="R7343" s="209"/>
      <c r="S7343" s="209"/>
      <c r="T7343" s="209"/>
    </row>
    <row r="7344" spans="1:20" ht="15" hidden="1" customHeight="1">
      <c r="A7344" s="468">
        <v>45582</v>
      </c>
      <c r="B7344" s="208" t="s">
        <v>5862</v>
      </c>
      <c r="C7344" s="208" t="s">
        <v>146</v>
      </c>
      <c r="D7344" s="211">
        <v>-20000</v>
      </c>
      <c r="E7344" s="212">
        <v>45566</v>
      </c>
      <c r="F7344" s="208" t="s">
        <v>109</v>
      </c>
      <c r="G7344" s="208" t="s">
        <v>10</v>
      </c>
      <c r="H7344" s="208"/>
      <c r="I7344" s="475" t="s">
        <v>5410</v>
      </c>
      <c r="J7344" s="209"/>
      <c r="K7344" s="209"/>
      <c r="L7344" s="209"/>
      <c r="M7344" s="209"/>
      <c r="N7344" s="209"/>
      <c r="O7344" s="209"/>
      <c r="P7344" s="209"/>
      <c r="Q7344" s="209"/>
      <c r="R7344" s="209"/>
      <c r="S7344" s="209"/>
      <c r="T7344" s="209"/>
    </row>
    <row r="7345" spans="1:20" ht="15" hidden="1" customHeight="1">
      <c r="A7345" s="468">
        <v>45574</v>
      </c>
      <c r="B7345" s="208" t="s">
        <v>5863</v>
      </c>
      <c r="C7345" s="208" t="s">
        <v>146</v>
      </c>
      <c r="D7345" s="211">
        <v>-20000</v>
      </c>
      <c r="E7345" s="212">
        <v>45566</v>
      </c>
      <c r="F7345" s="208" t="s">
        <v>110</v>
      </c>
      <c r="G7345" s="208" t="s">
        <v>4294</v>
      </c>
      <c r="H7345" s="81" t="s">
        <v>138</v>
      </c>
      <c r="I7345" s="208" t="s">
        <v>2052</v>
      </c>
      <c r="J7345" s="209"/>
      <c r="K7345" s="209"/>
      <c r="L7345" s="209"/>
      <c r="M7345" s="209"/>
      <c r="N7345" s="209"/>
      <c r="O7345" s="209"/>
      <c r="P7345" s="209"/>
      <c r="Q7345" s="209"/>
      <c r="R7345" s="209"/>
      <c r="S7345" s="209"/>
      <c r="T7345" s="209"/>
    </row>
    <row r="7346" spans="1:20" ht="15" hidden="1" customHeight="1">
      <c r="A7346" s="468">
        <v>45574</v>
      </c>
      <c r="B7346" s="208" t="s">
        <v>5864</v>
      </c>
      <c r="C7346" s="208" t="s">
        <v>146</v>
      </c>
      <c r="D7346" s="211">
        <v>-6000</v>
      </c>
      <c r="E7346" s="212">
        <v>45566</v>
      </c>
      <c r="F7346" s="208" t="s">
        <v>110</v>
      </c>
      <c r="G7346" s="208" t="s">
        <v>4294</v>
      </c>
      <c r="H7346" s="81" t="s">
        <v>138</v>
      </c>
      <c r="I7346" s="208" t="s">
        <v>2052</v>
      </c>
      <c r="J7346" s="209"/>
      <c r="K7346" s="209"/>
      <c r="L7346" s="209"/>
      <c r="M7346" s="209"/>
      <c r="N7346" s="209"/>
      <c r="O7346" s="209"/>
      <c r="P7346" s="209"/>
      <c r="Q7346" s="209"/>
      <c r="R7346" s="209"/>
      <c r="S7346" s="209"/>
      <c r="T7346" s="209"/>
    </row>
    <row r="7347" spans="1:20" ht="15" hidden="1" customHeight="1">
      <c r="A7347" s="468">
        <v>45574</v>
      </c>
      <c r="B7347" s="208" t="s">
        <v>5865</v>
      </c>
      <c r="C7347" s="208" t="s">
        <v>146</v>
      </c>
      <c r="D7347" s="211">
        <v>-20000</v>
      </c>
      <c r="E7347" s="212">
        <v>45566</v>
      </c>
      <c r="F7347" s="208" t="s">
        <v>110</v>
      </c>
      <c r="G7347" s="208" t="s">
        <v>4294</v>
      </c>
      <c r="H7347" s="81" t="s">
        <v>138</v>
      </c>
      <c r="I7347" s="208" t="s">
        <v>2052</v>
      </c>
      <c r="J7347" s="209"/>
      <c r="K7347" s="209"/>
      <c r="L7347" s="209"/>
      <c r="M7347" s="209"/>
      <c r="N7347" s="209"/>
      <c r="O7347" s="209"/>
      <c r="P7347" s="209"/>
      <c r="Q7347" s="209"/>
      <c r="R7347" s="209"/>
      <c r="S7347" s="209"/>
      <c r="T7347" s="209"/>
    </row>
    <row r="7348" spans="1:20" ht="15" hidden="1" customHeight="1">
      <c r="A7348" s="468">
        <v>45587</v>
      </c>
      <c r="B7348" s="208" t="s">
        <v>5866</v>
      </c>
      <c r="C7348" s="208" t="s">
        <v>146</v>
      </c>
      <c r="D7348" s="211">
        <v>-20000</v>
      </c>
      <c r="E7348" s="212">
        <v>45566</v>
      </c>
      <c r="F7348" s="208" t="s">
        <v>110</v>
      </c>
      <c r="G7348" s="208" t="s">
        <v>4294</v>
      </c>
      <c r="H7348" s="81" t="s">
        <v>138</v>
      </c>
      <c r="I7348" s="208" t="s">
        <v>2052</v>
      </c>
      <c r="J7348" s="209"/>
      <c r="K7348" s="209"/>
      <c r="L7348" s="209"/>
      <c r="M7348" s="209"/>
      <c r="N7348" s="209"/>
      <c r="O7348" s="209"/>
      <c r="P7348" s="209"/>
      <c r="Q7348" s="209"/>
      <c r="R7348" s="209"/>
      <c r="S7348" s="209"/>
      <c r="T7348" s="209"/>
    </row>
    <row r="7349" spans="1:20" ht="15" hidden="1" customHeight="1">
      <c r="A7349" s="468">
        <v>45587</v>
      </c>
      <c r="B7349" s="208" t="s">
        <v>5864</v>
      </c>
      <c r="C7349" s="208" t="s">
        <v>146</v>
      </c>
      <c r="D7349" s="211">
        <v>-8000</v>
      </c>
      <c r="E7349" s="212">
        <v>45566</v>
      </c>
      <c r="F7349" s="208" t="s">
        <v>110</v>
      </c>
      <c r="G7349" s="208" t="s">
        <v>4294</v>
      </c>
      <c r="H7349" s="208" t="s">
        <v>147</v>
      </c>
      <c r="I7349" s="208" t="s">
        <v>2052</v>
      </c>
      <c r="J7349" s="209"/>
      <c r="K7349" s="209"/>
      <c r="L7349" s="209"/>
      <c r="M7349" s="209"/>
      <c r="N7349" s="209"/>
      <c r="O7349" s="209"/>
      <c r="P7349" s="209"/>
      <c r="Q7349" s="209"/>
      <c r="R7349" s="209"/>
      <c r="S7349" s="209"/>
      <c r="T7349" s="209"/>
    </row>
    <row r="7350" spans="1:20" ht="15" hidden="1" customHeight="1">
      <c r="A7350" s="468">
        <v>45587</v>
      </c>
      <c r="B7350" s="208" t="s">
        <v>5867</v>
      </c>
      <c r="C7350" s="208" t="s">
        <v>146</v>
      </c>
      <c r="D7350" s="211">
        <v>-26000</v>
      </c>
      <c r="E7350" s="212">
        <v>45566</v>
      </c>
      <c r="F7350" s="208" t="s">
        <v>130</v>
      </c>
      <c r="G7350" s="208" t="s">
        <v>130</v>
      </c>
      <c r="H7350" s="208" t="s">
        <v>2444</v>
      </c>
      <c r="I7350" s="208" t="s">
        <v>5430</v>
      </c>
      <c r="J7350" s="209"/>
      <c r="K7350" s="209"/>
      <c r="L7350" s="209"/>
      <c r="M7350" s="209"/>
      <c r="N7350" s="209"/>
      <c r="O7350" s="209"/>
      <c r="P7350" s="209"/>
      <c r="Q7350" s="209"/>
      <c r="R7350" s="209"/>
      <c r="S7350" s="209"/>
      <c r="T7350" s="209"/>
    </row>
    <row r="7351" spans="1:20" ht="15" hidden="1" customHeight="1">
      <c r="A7351" s="468">
        <v>45587</v>
      </c>
      <c r="B7351" s="208" t="s">
        <v>5868</v>
      </c>
      <c r="C7351" s="208" t="s">
        <v>146</v>
      </c>
      <c r="D7351" s="211">
        <v>-10000</v>
      </c>
      <c r="E7351" s="212">
        <v>45566</v>
      </c>
      <c r="F7351" s="208" t="s">
        <v>109</v>
      </c>
      <c r="G7351" s="201" t="s">
        <v>581</v>
      </c>
      <c r="H7351" s="208"/>
      <c r="I7351" s="208" t="s">
        <v>5430</v>
      </c>
      <c r="J7351" s="209"/>
      <c r="K7351" s="209"/>
      <c r="L7351" s="209"/>
      <c r="M7351" s="209"/>
      <c r="N7351" s="209"/>
      <c r="O7351" s="209"/>
      <c r="P7351" s="209"/>
      <c r="Q7351" s="209"/>
      <c r="R7351" s="209"/>
      <c r="S7351" s="209"/>
      <c r="T7351" s="209"/>
    </row>
    <row r="7352" spans="1:20" ht="15" hidden="1" customHeight="1">
      <c r="A7352" s="468">
        <v>45589</v>
      </c>
      <c r="B7352" s="208" t="s">
        <v>5869</v>
      </c>
      <c r="C7352" s="208" t="s">
        <v>146</v>
      </c>
      <c r="D7352" s="211">
        <v>-134200</v>
      </c>
      <c r="E7352" s="212">
        <v>45566</v>
      </c>
      <c r="F7352" s="208" t="s">
        <v>109</v>
      </c>
      <c r="G7352" s="201" t="s">
        <v>581</v>
      </c>
      <c r="H7352" s="208"/>
      <c r="I7352" s="208"/>
      <c r="J7352" s="209"/>
      <c r="K7352" s="209"/>
      <c r="L7352" s="209"/>
      <c r="M7352" s="209"/>
      <c r="N7352" s="209"/>
      <c r="O7352" s="209"/>
      <c r="P7352" s="209"/>
      <c r="Q7352" s="209"/>
      <c r="R7352" s="209"/>
      <c r="S7352" s="209"/>
      <c r="T7352" s="209"/>
    </row>
    <row r="7353" spans="1:20" s="562" customFormat="1" ht="15" hidden="1" customHeight="1">
      <c r="A7353" s="670">
        <v>45583</v>
      </c>
      <c r="B7353" s="671" t="s">
        <v>5870</v>
      </c>
      <c r="C7353" s="671" t="s">
        <v>27</v>
      </c>
      <c r="D7353" s="672">
        <v>-821100</v>
      </c>
      <c r="E7353" s="212">
        <v>45566</v>
      </c>
      <c r="F7353" s="208" t="s">
        <v>110</v>
      </c>
      <c r="G7353" s="208" t="s">
        <v>5503</v>
      </c>
      <c r="H7353" s="201" t="s">
        <v>1463</v>
      </c>
      <c r="I7353" s="671"/>
      <c r="J7353" s="692"/>
      <c r="K7353" s="692"/>
      <c r="L7353" s="692"/>
      <c r="M7353" s="692"/>
      <c r="N7353" s="692"/>
      <c r="O7353" s="692"/>
      <c r="P7353" s="692"/>
      <c r="Q7353" s="692"/>
      <c r="R7353" s="692"/>
      <c r="S7353" s="692"/>
      <c r="T7353" s="692"/>
    </row>
    <row r="7354" spans="1:20" ht="15" hidden="1" customHeight="1">
      <c r="A7354" s="468">
        <v>45583</v>
      </c>
      <c r="B7354" s="208" t="s">
        <v>5640</v>
      </c>
      <c r="C7354" s="208" t="s">
        <v>3331</v>
      </c>
      <c r="D7354" s="211">
        <v>-352930</v>
      </c>
      <c r="E7354" s="212">
        <v>45566</v>
      </c>
      <c r="F7354" s="208" t="s">
        <v>109</v>
      </c>
      <c r="G7354" s="208" t="s">
        <v>2809</v>
      </c>
      <c r="H7354" s="208" t="s">
        <v>4814</v>
      </c>
      <c r="I7354" s="208"/>
      <c r="J7354" s="209"/>
      <c r="K7354" s="209"/>
      <c r="L7354" s="209"/>
      <c r="M7354" s="209"/>
      <c r="N7354" s="209"/>
      <c r="O7354" s="209"/>
      <c r="P7354" s="209"/>
      <c r="Q7354" s="209"/>
      <c r="R7354" s="209"/>
      <c r="S7354" s="209"/>
      <c r="T7354" s="209"/>
    </row>
    <row r="7355" spans="1:20" s="166" customFormat="1" ht="15" hidden="1" customHeight="1">
      <c r="A7355" s="670">
        <v>45583</v>
      </c>
      <c r="B7355" s="671" t="s">
        <v>5871</v>
      </c>
      <c r="C7355" s="671" t="s">
        <v>27</v>
      </c>
      <c r="D7355" s="672">
        <v>-4165000</v>
      </c>
      <c r="E7355" s="212">
        <v>45566</v>
      </c>
      <c r="F7355" s="208" t="s">
        <v>109</v>
      </c>
      <c r="G7355" s="208" t="s">
        <v>4986</v>
      </c>
      <c r="H7355" s="201" t="s">
        <v>318</v>
      </c>
      <c r="I7355" s="671"/>
      <c r="J7355" s="692"/>
      <c r="K7355" s="692"/>
      <c r="L7355" s="692"/>
      <c r="M7355" s="692"/>
      <c r="N7355" s="692"/>
      <c r="O7355" s="692"/>
      <c r="P7355" s="692"/>
      <c r="Q7355" s="692"/>
      <c r="R7355" s="692"/>
      <c r="S7355" s="692"/>
      <c r="T7355" s="692"/>
    </row>
    <row r="7356" spans="1:20" ht="15" hidden="1" customHeight="1">
      <c r="A7356" s="468">
        <v>45586</v>
      </c>
      <c r="B7356" s="208" t="s">
        <v>5872</v>
      </c>
      <c r="C7356" s="208" t="s">
        <v>27</v>
      </c>
      <c r="D7356" s="211">
        <v>-34525919</v>
      </c>
      <c r="E7356" s="212">
        <v>45566</v>
      </c>
      <c r="F7356" s="208" t="s">
        <v>207</v>
      </c>
      <c r="G7356" s="208" t="s">
        <v>207</v>
      </c>
      <c r="H7356" s="201" t="s">
        <v>318</v>
      </c>
      <c r="I7356" s="208"/>
      <c r="J7356" s="209"/>
      <c r="K7356" s="209"/>
      <c r="L7356" s="209"/>
      <c r="M7356" s="209"/>
      <c r="N7356" s="209"/>
      <c r="O7356" s="209"/>
      <c r="P7356" s="209"/>
      <c r="Q7356" s="209"/>
      <c r="R7356" s="209"/>
      <c r="S7356" s="209"/>
      <c r="T7356" s="209"/>
    </row>
    <row r="7357" spans="1:20" s="451" customFormat="1" ht="15" hidden="1" customHeight="1">
      <c r="A7357" s="468">
        <v>45587</v>
      </c>
      <c r="B7357" s="208" t="s">
        <v>5873</v>
      </c>
      <c r="C7357" s="208" t="s">
        <v>3331</v>
      </c>
      <c r="D7357" s="211">
        <v>-522100</v>
      </c>
      <c r="E7357" s="212">
        <v>45566</v>
      </c>
      <c r="F7357" s="208" t="s">
        <v>130</v>
      </c>
      <c r="G7357" s="208" t="s">
        <v>130</v>
      </c>
      <c r="H7357" s="208" t="s">
        <v>2724</v>
      </c>
      <c r="I7357" s="208"/>
      <c r="J7357" s="209"/>
      <c r="K7357" s="209"/>
      <c r="L7357" s="209"/>
      <c r="M7357" s="209"/>
      <c r="N7357" s="209"/>
      <c r="O7357" s="209"/>
      <c r="P7357" s="209"/>
      <c r="Q7357" s="209"/>
      <c r="R7357" s="209"/>
      <c r="S7357" s="209"/>
      <c r="T7357" s="209"/>
    </row>
    <row r="7358" spans="1:20" ht="15" hidden="1" customHeight="1">
      <c r="A7358" s="468">
        <v>45587</v>
      </c>
      <c r="B7358" s="208" t="s">
        <v>5874</v>
      </c>
      <c r="C7358" s="208" t="s">
        <v>27</v>
      </c>
      <c r="D7358" s="211">
        <v>-343300</v>
      </c>
      <c r="E7358" s="212">
        <v>45566</v>
      </c>
      <c r="F7358" s="208" t="s">
        <v>109</v>
      </c>
      <c r="G7358" s="208" t="s">
        <v>2809</v>
      </c>
      <c r="H7358" s="208" t="s">
        <v>4814</v>
      </c>
      <c r="I7358" s="208"/>
      <c r="J7358" s="209"/>
      <c r="K7358" s="209"/>
      <c r="L7358" s="209"/>
      <c r="M7358" s="209"/>
      <c r="N7358" s="209"/>
      <c r="O7358" s="209"/>
      <c r="P7358" s="209"/>
      <c r="Q7358" s="209"/>
      <c r="R7358" s="209"/>
      <c r="S7358" s="209"/>
      <c r="T7358" s="209"/>
    </row>
    <row r="7359" spans="1:20" ht="15" hidden="1" customHeight="1">
      <c r="A7359" s="468">
        <v>45587</v>
      </c>
      <c r="B7359" s="208" t="s">
        <v>5875</v>
      </c>
      <c r="C7359" s="208" t="s">
        <v>27</v>
      </c>
      <c r="D7359" s="211">
        <v>-153000</v>
      </c>
      <c r="E7359" s="212">
        <v>45566</v>
      </c>
      <c r="F7359" s="208" t="s">
        <v>130</v>
      </c>
      <c r="G7359" s="208" t="s">
        <v>130</v>
      </c>
      <c r="H7359" s="208" t="s">
        <v>852</v>
      </c>
      <c r="I7359" s="208"/>
      <c r="J7359" s="209"/>
      <c r="K7359" s="209"/>
      <c r="L7359" s="209"/>
      <c r="M7359" s="209"/>
      <c r="N7359" s="209"/>
      <c r="O7359" s="209"/>
      <c r="P7359" s="209"/>
      <c r="Q7359" s="209"/>
      <c r="R7359" s="209"/>
      <c r="S7359" s="209"/>
      <c r="T7359" s="209"/>
    </row>
    <row r="7360" spans="1:20" ht="15" hidden="1" customHeight="1">
      <c r="A7360" s="468">
        <v>45587</v>
      </c>
      <c r="B7360" s="208" t="s">
        <v>5876</v>
      </c>
      <c r="C7360" s="208" t="s">
        <v>27</v>
      </c>
      <c r="D7360" s="211">
        <v>-142000</v>
      </c>
      <c r="E7360" s="212">
        <v>45566</v>
      </c>
      <c r="F7360" s="208" t="s">
        <v>109</v>
      </c>
      <c r="G7360" s="208" t="s">
        <v>4986</v>
      </c>
      <c r="H7360" s="208" t="s">
        <v>323</v>
      </c>
      <c r="I7360" s="208"/>
      <c r="J7360" s="209"/>
      <c r="K7360" s="209"/>
      <c r="L7360" s="209"/>
      <c r="M7360" s="209"/>
      <c r="N7360" s="209"/>
      <c r="O7360" s="209"/>
      <c r="P7360" s="209"/>
      <c r="Q7360" s="209"/>
      <c r="R7360" s="209"/>
      <c r="S7360" s="209"/>
      <c r="T7360" s="209"/>
    </row>
    <row r="7361" spans="1:20" ht="15" hidden="1" customHeight="1">
      <c r="A7361" s="468">
        <v>45587</v>
      </c>
      <c r="B7361" s="208" t="s">
        <v>5877</v>
      </c>
      <c r="C7361" s="208" t="s">
        <v>27</v>
      </c>
      <c r="D7361" s="211">
        <v>-1140000</v>
      </c>
      <c r="E7361" s="212">
        <v>45566</v>
      </c>
      <c r="F7361" s="208" t="s">
        <v>109</v>
      </c>
      <c r="G7361" s="201" t="s">
        <v>583</v>
      </c>
      <c r="H7361" s="208"/>
      <c r="I7361" s="208"/>
      <c r="J7361" s="209"/>
      <c r="K7361" s="209"/>
      <c r="L7361" s="209"/>
      <c r="M7361" s="209"/>
      <c r="N7361" s="209"/>
      <c r="O7361" s="209"/>
      <c r="P7361" s="209"/>
      <c r="Q7361" s="209"/>
      <c r="R7361" s="209"/>
      <c r="S7361" s="209"/>
      <c r="T7361" s="209"/>
    </row>
    <row r="7362" spans="1:20" ht="15" hidden="1" customHeight="1">
      <c r="A7362" s="468">
        <v>45587</v>
      </c>
      <c r="B7362" s="208" t="s">
        <v>5878</v>
      </c>
      <c r="C7362" s="208" t="s">
        <v>27</v>
      </c>
      <c r="D7362" s="211">
        <v>-1322378</v>
      </c>
      <c r="E7362" s="212">
        <v>45566</v>
      </c>
      <c r="F7362" s="208" t="s">
        <v>110</v>
      </c>
      <c r="G7362" s="201" t="s">
        <v>1489</v>
      </c>
      <c r="H7362" s="208" t="s">
        <v>2941</v>
      </c>
      <c r="I7362" s="208"/>
      <c r="J7362" s="209"/>
      <c r="K7362" s="209"/>
      <c r="L7362" s="209"/>
      <c r="M7362" s="209"/>
      <c r="N7362" s="209"/>
      <c r="O7362" s="209"/>
      <c r="P7362" s="209"/>
      <c r="Q7362" s="209"/>
      <c r="R7362" s="209"/>
      <c r="S7362" s="209"/>
      <c r="T7362" s="209"/>
    </row>
    <row r="7363" spans="1:20" ht="15" hidden="1" customHeight="1">
      <c r="A7363" s="468">
        <v>45587</v>
      </c>
      <c r="B7363" s="208" t="s">
        <v>5878</v>
      </c>
      <c r="C7363" s="208" t="s">
        <v>27</v>
      </c>
      <c r="D7363" s="211">
        <v>-678700</v>
      </c>
      <c r="E7363" s="212">
        <v>45566</v>
      </c>
      <c r="F7363" s="208" t="s">
        <v>110</v>
      </c>
      <c r="G7363" s="208" t="s">
        <v>4294</v>
      </c>
      <c r="H7363" s="208" t="s">
        <v>175</v>
      </c>
      <c r="I7363" s="475" t="s">
        <v>5410</v>
      </c>
      <c r="J7363" s="209"/>
      <c r="K7363" s="209"/>
      <c r="L7363" s="209"/>
      <c r="M7363" s="209"/>
      <c r="N7363" s="209"/>
      <c r="O7363" s="209"/>
      <c r="P7363" s="209"/>
      <c r="Q7363" s="209"/>
      <c r="R7363" s="209"/>
      <c r="S7363" s="209"/>
      <c r="T7363" s="209"/>
    </row>
    <row r="7364" spans="1:20" ht="15" hidden="1" customHeight="1">
      <c r="A7364" s="468">
        <v>45587</v>
      </c>
      <c r="B7364" s="208" t="s">
        <v>5878</v>
      </c>
      <c r="C7364" s="208" t="s">
        <v>27</v>
      </c>
      <c r="D7364" s="211">
        <v>-201143</v>
      </c>
      <c r="E7364" s="212">
        <v>45566</v>
      </c>
      <c r="F7364" s="208" t="s">
        <v>110</v>
      </c>
      <c r="G7364" s="208" t="s">
        <v>4990</v>
      </c>
      <c r="H7364" s="208" t="s">
        <v>175</v>
      </c>
      <c r="I7364" s="208"/>
      <c r="J7364" s="209"/>
      <c r="K7364" s="209"/>
      <c r="L7364" s="209"/>
      <c r="M7364" s="209"/>
      <c r="N7364" s="209"/>
      <c r="O7364" s="209"/>
      <c r="P7364" s="209"/>
      <c r="Q7364" s="209"/>
      <c r="R7364" s="209"/>
      <c r="S7364" s="209"/>
      <c r="T7364" s="209"/>
    </row>
    <row r="7365" spans="1:20" ht="15" hidden="1" customHeight="1">
      <c r="A7365" s="468">
        <v>45587</v>
      </c>
      <c r="B7365" s="208" t="s">
        <v>5878</v>
      </c>
      <c r="C7365" s="208" t="s">
        <v>27</v>
      </c>
      <c r="D7365" s="211">
        <v>-3434588</v>
      </c>
      <c r="E7365" s="212">
        <v>45566</v>
      </c>
      <c r="F7365" s="208" t="s">
        <v>109</v>
      </c>
      <c r="G7365" s="208" t="s">
        <v>4986</v>
      </c>
      <c r="H7365" s="208" t="s">
        <v>175</v>
      </c>
      <c r="I7365" s="208"/>
      <c r="J7365" s="209"/>
      <c r="K7365" s="209"/>
      <c r="L7365" s="209"/>
      <c r="M7365" s="209"/>
      <c r="N7365" s="209"/>
      <c r="O7365" s="209"/>
      <c r="P7365" s="209"/>
      <c r="Q7365" s="209"/>
      <c r="R7365" s="209"/>
      <c r="S7365" s="209"/>
      <c r="T7365" s="209"/>
    </row>
    <row r="7366" spans="1:20" ht="15" hidden="1" customHeight="1">
      <c r="A7366" s="468">
        <v>45587</v>
      </c>
      <c r="B7366" s="208" t="s">
        <v>5879</v>
      </c>
      <c r="C7366" s="208" t="s">
        <v>27</v>
      </c>
      <c r="D7366" s="211">
        <v>-234000</v>
      </c>
      <c r="E7366" s="212">
        <v>45566</v>
      </c>
      <c r="F7366" s="208" t="s">
        <v>110</v>
      </c>
      <c r="G7366" s="201" t="s">
        <v>1489</v>
      </c>
      <c r="H7366" s="208" t="s">
        <v>2941</v>
      </c>
      <c r="I7366" s="208"/>
      <c r="J7366" s="209"/>
      <c r="K7366" s="209"/>
      <c r="L7366" s="209"/>
      <c r="M7366" s="209"/>
      <c r="N7366" s="209"/>
      <c r="O7366" s="209"/>
      <c r="P7366" s="209"/>
      <c r="Q7366" s="209"/>
      <c r="R7366" s="209"/>
      <c r="S7366" s="209"/>
      <c r="T7366" s="209"/>
    </row>
    <row r="7367" spans="1:20" ht="15" hidden="1" customHeight="1">
      <c r="A7367" s="468">
        <v>45587</v>
      </c>
      <c r="B7367" s="208" t="s">
        <v>5880</v>
      </c>
      <c r="C7367" s="208" t="s">
        <v>27</v>
      </c>
      <c r="D7367" s="211">
        <v>-8551000</v>
      </c>
      <c r="E7367" s="212">
        <v>45566</v>
      </c>
      <c r="F7367" s="208" t="s">
        <v>130</v>
      </c>
      <c r="G7367" s="208" t="s">
        <v>257</v>
      </c>
      <c r="H7367" s="633" t="s">
        <v>1031</v>
      </c>
      <c r="I7367" s="208"/>
      <c r="J7367" s="209"/>
      <c r="K7367" s="209"/>
      <c r="L7367" s="209"/>
      <c r="M7367" s="209"/>
      <c r="N7367" s="209"/>
      <c r="O7367" s="209"/>
      <c r="P7367" s="209"/>
      <c r="Q7367" s="209"/>
      <c r="R7367" s="209"/>
      <c r="S7367" s="209"/>
      <c r="T7367" s="209"/>
    </row>
    <row r="7368" spans="1:20" ht="15" hidden="1" customHeight="1">
      <c r="A7368" s="468">
        <v>45587</v>
      </c>
      <c r="B7368" s="208" t="s">
        <v>5881</v>
      </c>
      <c r="C7368" s="208" t="s">
        <v>27</v>
      </c>
      <c r="D7368" s="211">
        <v>-1240000</v>
      </c>
      <c r="E7368" s="212">
        <v>45566</v>
      </c>
      <c r="F7368" s="208" t="s">
        <v>109</v>
      </c>
      <c r="G7368" s="201" t="s">
        <v>583</v>
      </c>
      <c r="H7368" s="208"/>
      <c r="I7368" s="208"/>
      <c r="J7368" s="209"/>
      <c r="K7368" s="209"/>
      <c r="L7368" s="209"/>
      <c r="M7368" s="209"/>
      <c r="N7368" s="209"/>
      <c r="O7368" s="209"/>
      <c r="P7368" s="209"/>
      <c r="Q7368" s="209"/>
      <c r="R7368" s="209"/>
      <c r="S7368" s="209"/>
      <c r="T7368" s="209"/>
    </row>
    <row r="7369" spans="1:20" ht="15" hidden="1" customHeight="1">
      <c r="A7369" s="468">
        <v>45587</v>
      </c>
      <c r="B7369" s="208" t="s">
        <v>5882</v>
      </c>
      <c r="C7369" s="208" t="s">
        <v>27</v>
      </c>
      <c r="D7369" s="211">
        <v>-1611886</v>
      </c>
      <c r="E7369" s="212">
        <v>45566</v>
      </c>
      <c r="F7369" s="208" t="s">
        <v>109</v>
      </c>
      <c r="G7369" s="208" t="s">
        <v>4986</v>
      </c>
      <c r="H7369" s="208" t="s">
        <v>323</v>
      </c>
      <c r="I7369" s="208"/>
      <c r="J7369" s="209"/>
      <c r="K7369" s="209"/>
      <c r="L7369" s="209"/>
      <c r="M7369" s="209"/>
      <c r="N7369" s="209"/>
      <c r="O7369" s="209"/>
      <c r="P7369" s="209"/>
      <c r="Q7369" s="209"/>
      <c r="R7369" s="209"/>
      <c r="S7369" s="209"/>
      <c r="T7369" s="209"/>
    </row>
    <row r="7370" spans="1:20" ht="15" hidden="1" customHeight="1">
      <c r="A7370" s="468">
        <v>45587</v>
      </c>
      <c r="B7370" s="208" t="s">
        <v>4220</v>
      </c>
      <c r="C7370" s="208" t="s">
        <v>27</v>
      </c>
      <c r="D7370" s="211">
        <v>-129000</v>
      </c>
      <c r="E7370" s="212">
        <v>45566</v>
      </c>
      <c r="F7370" s="208" t="s">
        <v>130</v>
      </c>
      <c r="G7370" s="208" t="s">
        <v>130</v>
      </c>
      <c r="H7370" s="208" t="s">
        <v>2176</v>
      </c>
      <c r="I7370" s="208"/>
      <c r="J7370" s="209"/>
      <c r="K7370" s="209"/>
      <c r="L7370" s="209"/>
      <c r="M7370" s="209"/>
      <c r="N7370" s="209"/>
      <c r="O7370" s="209"/>
      <c r="P7370" s="209"/>
      <c r="Q7370" s="209"/>
      <c r="R7370" s="209"/>
      <c r="S7370" s="209"/>
      <c r="T7370" s="209"/>
    </row>
    <row r="7371" spans="1:20" ht="15" hidden="1" customHeight="1">
      <c r="A7371" s="468">
        <v>45587</v>
      </c>
      <c r="B7371" s="208" t="s">
        <v>5883</v>
      </c>
      <c r="C7371" s="208" t="s">
        <v>27</v>
      </c>
      <c r="D7371" s="211">
        <v>-967141</v>
      </c>
      <c r="E7371" s="212">
        <v>45566</v>
      </c>
      <c r="F7371" s="208" t="s">
        <v>130</v>
      </c>
      <c r="G7371" s="208" t="s">
        <v>130</v>
      </c>
      <c r="H7371" s="208" t="s">
        <v>2421</v>
      </c>
      <c r="I7371" s="208"/>
      <c r="J7371" s="209"/>
      <c r="K7371" s="209"/>
      <c r="L7371" s="209"/>
      <c r="M7371" s="209"/>
      <c r="N7371" s="209"/>
      <c r="O7371" s="209"/>
      <c r="P7371" s="209"/>
      <c r="Q7371" s="209"/>
      <c r="R7371" s="209"/>
      <c r="S7371" s="209"/>
      <c r="T7371" s="209"/>
    </row>
    <row r="7372" spans="1:20" ht="15" hidden="1" customHeight="1">
      <c r="A7372" s="468">
        <v>45587</v>
      </c>
      <c r="B7372" s="208" t="s">
        <v>5884</v>
      </c>
      <c r="C7372" s="208" t="s">
        <v>3331</v>
      </c>
      <c r="D7372" s="211">
        <v>-450000</v>
      </c>
      <c r="E7372" s="212">
        <v>45566</v>
      </c>
      <c r="F7372" s="208" t="s">
        <v>130</v>
      </c>
      <c r="G7372" s="208" t="s">
        <v>130</v>
      </c>
      <c r="H7372" s="374" t="s">
        <v>2724</v>
      </c>
      <c r="I7372" s="208"/>
      <c r="J7372" s="209"/>
      <c r="K7372" s="209"/>
      <c r="L7372" s="209"/>
      <c r="M7372" s="209"/>
      <c r="N7372" s="209"/>
      <c r="O7372" s="209"/>
      <c r="P7372" s="209"/>
      <c r="Q7372" s="209"/>
      <c r="R7372" s="209"/>
      <c r="S7372" s="209"/>
      <c r="T7372" s="209"/>
    </row>
    <row r="7373" spans="1:20" ht="15" hidden="1" customHeight="1">
      <c r="A7373" s="468">
        <v>45587</v>
      </c>
      <c r="B7373" s="208" t="s">
        <v>5885</v>
      </c>
      <c r="C7373" s="208" t="s">
        <v>3331</v>
      </c>
      <c r="D7373" s="211">
        <v>-9590000</v>
      </c>
      <c r="E7373" s="212">
        <v>45566</v>
      </c>
      <c r="F7373" s="208" t="s">
        <v>109</v>
      </c>
      <c r="G7373" s="208" t="s">
        <v>4625</v>
      </c>
      <c r="H7373" s="208"/>
      <c r="I7373" s="208"/>
      <c r="J7373" s="209"/>
      <c r="K7373" s="209"/>
      <c r="L7373" s="209"/>
      <c r="M7373" s="209"/>
      <c r="N7373" s="209"/>
      <c r="O7373" s="209"/>
      <c r="P7373" s="209"/>
      <c r="Q7373" s="209"/>
      <c r="R7373" s="209"/>
      <c r="S7373" s="209"/>
      <c r="T7373" s="209"/>
    </row>
    <row r="7374" spans="1:20" ht="15" hidden="1" customHeight="1">
      <c r="A7374" s="468">
        <v>45587</v>
      </c>
      <c r="B7374" s="208" t="s">
        <v>5886</v>
      </c>
      <c r="C7374" s="208" t="s">
        <v>3331</v>
      </c>
      <c r="D7374" s="211">
        <v>-1835960</v>
      </c>
      <c r="E7374" s="212">
        <v>45566</v>
      </c>
      <c r="F7374" s="208" t="s">
        <v>130</v>
      </c>
      <c r="G7374" s="208" t="s">
        <v>130</v>
      </c>
      <c r="H7374" s="208" t="s">
        <v>2444</v>
      </c>
      <c r="I7374" s="208"/>
      <c r="J7374" s="209"/>
      <c r="K7374" s="209"/>
      <c r="L7374" s="209"/>
      <c r="M7374" s="209"/>
      <c r="N7374" s="209"/>
      <c r="O7374" s="209"/>
      <c r="P7374" s="209"/>
      <c r="Q7374" s="209"/>
      <c r="R7374" s="209"/>
      <c r="S7374" s="209"/>
      <c r="T7374" s="209"/>
    </row>
    <row r="7375" spans="1:20" ht="15" hidden="1" customHeight="1">
      <c r="A7375" s="468">
        <v>45587</v>
      </c>
      <c r="B7375" s="208" t="s">
        <v>5887</v>
      </c>
      <c r="C7375" s="208" t="s">
        <v>27</v>
      </c>
      <c r="D7375" s="211">
        <v>-903150</v>
      </c>
      <c r="E7375" s="212">
        <v>45566</v>
      </c>
      <c r="F7375" s="208" t="s">
        <v>130</v>
      </c>
      <c r="G7375" s="208" t="s">
        <v>130</v>
      </c>
      <c r="H7375" s="208" t="s">
        <v>2444</v>
      </c>
      <c r="I7375" s="208"/>
      <c r="J7375" s="209"/>
      <c r="K7375" s="209"/>
      <c r="L7375" s="209"/>
      <c r="M7375" s="209"/>
      <c r="N7375" s="209"/>
      <c r="O7375" s="209"/>
      <c r="P7375" s="209"/>
      <c r="Q7375" s="209"/>
      <c r="R7375" s="209"/>
      <c r="S7375" s="209"/>
      <c r="T7375" s="209"/>
    </row>
    <row r="7376" spans="1:20" ht="15" hidden="1" customHeight="1">
      <c r="A7376" s="468">
        <v>45588</v>
      </c>
      <c r="B7376" s="208" t="s">
        <v>5888</v>
      </c>
      <c r="C7376" s="208" t="s">
        <v>3331</v>
      </c>
      <c r="D7376" s="211">
        <v>-21031688</v>
      </c>
      <c r="E7376" s="212">
        <v>45566</v>
      </c>
      <c r="F7376" s="208" t="s">
        <v>109</v>
      </c>
      <c r="G7376" s="201" t="s">
        <v>583</v>
      </c>
      <c r="H7376" s="208"/>
      <c r="I7376" s="208"/>
      <c r="J7376" s="209"/>
      <c r="K7376" s="209"/>
      <c r="L7376" s="209"/>
      <c r="M7376" s="209"/>
      <c r="N7376" s="209"/>
      <c r="O7376" s="209"/>
      <c r="P7376" s="209"/>
      <c r="Q7376" s="209"/>
      <c r="R7376" s="209"/>
      <c r="S7376" s="209"/>
      <c r="T7376" s="209"/>
    </row>
    <row r="7377" spans="1:20" ht="15" hidden="1" customHeight="1">
      <c r="A7377" s="468">
        <v>45588</v>
      </c>
      <c r="B7377" s="208" t="s">
        <v>2256</v>
      </c>
      <c r="C7377" s="208" t="s">
        <v>3331</v>
      </c>
      <c r="D7377" s="211">
        <v>-32134</v>
      </c>
      <c r="E7377" s="212">
        <v>45566</v>
      </c>
      <c r="F7377" s="208" t="s">
        <v>130</v>
      </c>
      <c r="G7377" s="208" t="s">
        <v>257</v>
      </c>
      <c r="H7377" s="208" t="s">
        <v>406</v>
      </c>
      <c r="I7377" s="208"/>
      <c r="J7377" s="209"/>
      <c r="K7377" s="209"/>
      <c r="L7377" s="209"/>
      <c r="M7377" s="209"/>
      <c r="N7377" s="209"/>
      <c r="O7377" s="209"/>
      <c r="P7377" s="209"/>
      <c r="Q7377" s="209"/>
      <c r="R7377" s="209"/>
      <c r="S7377" s="209"/>
      <c r="T7377" s="209"/>
    </row>
    <row r="7378" spans="1:20" ht="15" hidden="1" customHeight="1">
      <c r="A7378" s="468">
        <v>45588</v>
      </c>
      <c r="B7378" s="208" t="s">
        <v>5889</v>
      </c>
      <c r="C7378" s="208" t="s">
        <v>27</v>
      </c>
      <c r="D7378" s="211">
        <v>-398880</v>
      </c>
      <c r="E7378" s="212">
        <v>45566</v>
      </c>
      <c r="F7378" s="208" t="s">
        <v>130</v>
      </c>
      <c r="G7378" s="208" t="s">
        <v>130</v>
      </c>
      <c r="H7378" s="208" t="s">
        <v>852</v>
      </c>
      <c r="I7378" s="208"/>
      <c r="J7378" s="209"/>
      <c r="K7378" s="209"/>
      <c r="L7378" s="209"/>
      <c r="M7378" s="209"/>
      <c r="N7378" s="209"/>
      <c r="O7378" s="209"/>
      <c r="P7378" s="209"/>
      <c r="Q7378" s="209"/>
      <c r="R7378" s="209"/>
      <c r="S7378" s="209"/>
      <c r="T7378" s="209"/>
    </row>
    <row r="7379" spans="1:20" ht="15" hidden="1" customHeight="1">
      <c r="A7379" s="468">
        <v>45589</v>
      </c>
      <c r="B7379" s="208" t="s">
        <v>2264</v>
      </c>
      <c r="C7379" s="208" t="s">
        <v>27</v>
      </c>
      <c r="D7379" s="211">
        <v>-7378000</v>
      </c>
      <c r="E7379" s="212">
        <v>45566</v>
      </c>
      <c r="F7379" s="208" t="s">
        <v>130</v>
      </c>
      <c r="G7379" s="208" t="s">
        <v>257</v>
      </c>
      <c r="H7379" s="201" t="s">
        <v>663</v>
      </c>
      <c r="I7379" s="208"/>
      <c r="J7379" s="209"/>
      <c r="K7379" s="209"/>
      <c r="L7379" s="209"/>
      <c r="M7379" s="209"/>
      <c r="N7379" s="209"/>
      <c r="O7379" s="209"/>
      <c r="P7379" s="209"/>
      <c r="Q7379" s="209"/>
      <c r="R7379" s="209"/>
      <c r="S7379" s="209"/>
      <c r="T7379" s="209"/>
    </row>
    <row r="7380" spans="1:20" ht="15" hidden="1" customHeight="1">
      <c r="A7380" s="468">
        <v>45589</v>
      </c>
      <c r="B7380" s="208" t="s">
        <v>4719</v>
      </c>
      <c r="C7380" s="208" t="s">
        <v>27</v>
      </c>
      <c r="D7380" s="211">
        <v>-8654338</v>
      </c>
      <c r="E7380" s="212">
        <v>45566</v>
      </c>
      <c r="F7380" s="208" t="s">
        <v>109</v>
      </c>
      <c r="G7380" s="201" t="s">
        <v>581</v>
      </c>
      <c r="H7380" s="208"/>
      <c r="I7380" s="208"/>
      <c r="J7380" s="209"/>
      <c r="K7380" s="209"/>
      <c r="L7380" s="209"/>
      <c r="M7380" s="209"/>
      <c r="N7380" s="209"/>
      <c r="O7380" s="209"/>
      <c r="P7380" s="209"/>
      <c r="Q7380" s="209"/>
      <c r="R7380" s="209"/>
      <c r="S7380" s="209"/>
      <c r="T7380" s="209"/>
    </row>
    <row r="7381" spans="1:20" ht="15" hidden="1" customHeight="1">
      <c r="A7381" s="468">
        <v>45589</v>
      </c>
      <c r="B7381" s="208" t="s">
        <v>5890</v>
      </c>
      <c r="C7381" s="208" t="s">
        <v>27</v>
      </c>
      <c r="D7381" s="211">
        <v>-750000</v>
      </c>
      <c r="E7381" s="212">
        <v>45566</v>
      </c>
      <c r="F7381" s="208" t="s">
        <v>130</v>
      </c>
      <c r="G7381" s="208" t="s">
        <v>130</v>
      </c>
      <c r="H7381" s="208" t="s">
        <v>2176</v>
      </c>
      <c r="I7381" s="208"/>
      <c r="J7381" s="209"/>
      <c r="K7381" s="209"/>
      <c r="L7381" s="209"/>
      <c r="M7381" s="209"/>
      <c r="N7381" s="209"/>
      <c r="O7381" s="209"/>
      <c r="P7381" s="209"/>
      <c r="Q7381" s="209"/>
      <c r="R7381" s="209"/>
      <c r="S7381" s="209"/>
      <c r="T7381" s="209"/>
    </row>
    <row r="7382" spans="1:20" ht="15" hidden="1" customHeight="1">
      <c r="A7382" s="468">
        <v>45589</v>
      </c>
      <c r="B7382" s="208" t="s">
        <v>5891</v>
      </c>
      <c r="C7382" s="208" t="s">
        <v>27</v>
      </c>
      <c r="D7382" s="211">
        <v>-378000</v>
      </c>
      <c r="E7382" s="212">
        <v>45566</v>
      </c>
      <c r="F7382" s="208" t="s">
        <v>130</v>
      </c>
      <c r="G7382" s="208" t="s">
        <v>130</v>
      </c>
      <c r="H7382" s="208" t="s">
        <v>2176</v>
      </c>
      <c r="I7382" s="208"/>
      <c r="J7382" s="209"/>
      <c r="K7382" s="209"/>
      <c r="L7382" s="209"/>
      <c r="M7382" s="209"/>
      <c r="N7382" s="209"/>
      <c r="O7382" s="209"/>
      <c r="P7382" s="209"/>
      <c r="Q7382" s="209"/>
      <c r="R7382" s="209"/>
      <c r="S7382" s="209"/>
      <c r="T7382" s="209"/>
    </row>
    <row r="7383" spans="1:20" ht="15" hidden="1" customHeight="1">
      <c r="A7383" s="468">
        <v>45589</v>
      </c>
      <c r="B7383" s="208" t="s">
        <v>5892</v>
      </c>
      <c r="C7383" s="208" t="s">
        <v>27</v>
      </c>
      <c r="D7383" s="211">
        <v>-794798</v>
      </c>
      <c r="E7383" s="212">
        <v>45566</v>
      </c>
      <c r="F7383" s="208" t="s">
        <v>109</v>
      </c>
      <c r="G7383" s="201" t="s">
        <v>581</v>
      </c>
      <c r="H7383" s="208"/>
      <c r="I7383" s="208"/>
      <c r="J7383" s="209"/>
      <c r="K7383" s="209"/>
      <c r="L7383" s="209"/>
      <c r="M7383" s="209"/>
      <c r="N7383" s="209"/>
      <c r="O7383" s="209"/>
      <c r="P7383" s="209"/>
      <c r="Q7383" s="209"/>
      <c r="R7383" s="209"/>
      <c r="S7383" s="209"/>
      <c r="T7383" s="209"/>
    </row>
    <row r="7384" spans="1:20" ht="15" hidden="1" customHeight="1">
      <c r="A7384" s="468">
        <v>45589</v>
      </c>
      <c r="B7384" s="208" t="s">
        <v>5893</v>
      </c>
      <c r="C7384" s="208" t="s">
        <v>27</v>
      </c>
      <c r="D7384" s="211">
        <v>-24604050</v>
      </c>
      <c r="E7384" s="212">
        <v>45566</v>
      </c>
      <c r="F7384" s="208" t="s">
        <v>109</v>
      </c>
      <c r="G7384" s="208" t="s">
        <v>4986</v>
      </c>
      <c r="H7384" s="208" t="s">
        <v>5894</v>
      </c>
      <c r="I7384" s="208"/>
      <c r="J7384" s="209"/>
      <c r="K7384" s="209"/>
      <c r="L7384" s="209"/>
      <c r="M7384" s="209"/>
      <c r="N7384" s="209"/>
      <c r="O7384" s="209"/>
      <c r="P7384" s="209"/>
      <c r="Q7384" s="209"/>
      <c r="R7384" s="209"/>
      <c r="S7384" s="209"/>
      <c r="T7384" s="209"/>
    </row>
    <row r="7385" spans="1:20" ht="15" hidden="1" customHeight="1">
      <c r="A7385" s="468">
        <v>45589</v>
      </c>
      <c r="B7385" s="208" t="s">
        <v>5895</v>
      </c>
      <c r="C7385" s="208" t="s">
        <v>3331</v>
      </c>
      <c r="D7385" s="211">
        <v>-7900</v>
      </c>
      <c r="E7385" s="212">
        <v>45566</v>
      </c>
      <c r="F7385" s="208" t="s">
        <v>130</v>
      </c>
      <c r="G7385" s="208" t="s">
        <v>130</v>
      </c>
      <c r="H7385" s="208" t="s">
        <v>2444</v>
      </c>
      <c r="I7385" s="208"/>
      <c r="J7385" s="209"/>
      <c r="K7385" s="209"/>
      <c r="L7385" s="209"/>
      <c r="M7385" s="209"/>
      <c r="N7385" s="209"/>
      <c r="O7385" s="209"/>
      <c r="P7385" s="209"/>
      <c r="Q7385" s="209"/>
      <c r="R7385" s="209"/>
      <c r="S7385" s="209"/>
      <c r="T7385" s="209"/>
    </row>
    <row r="7386" spans="1:20" ht="15" hidden="1" customHeight="1">
      <c r="A7386" s="468">
        <v>45589</v>
      </c>
      <c r="B7386" s="208" t="s">
        <v>5896</v>
      </c>
      <c r="C7386" s="208" t="s">
        <v>27</v>
      </c>
      <c r="D7386" s="211">
        <v>-1404000</v>
      </c>
      <c r="E7386" s="212">
        <v>45566</v>
      </c>
      <c r="F7386" s="208" t="s">
        <v>109</v>
      </c>
      <c r="G7386" s="208" t="s">
        <v>4225</v>
      </c>
      <c r="H7386" s="201" t="s">
        <v>631</v>
      </c>
      <c r="I7386" s="475" t="s">
        <v>5410</v>
      </c>
      <c r="J7386" s="209"/>
      <c r="K7386" s="209"/>
      <c r="L7386" s="209"/>
      <c r="M7386" s="209"/>
      <c r="N7386" s="209"/>
      <c r="O7386" s="209"/>
      <c r="P7386" s="209"/>
      <c r="Q7386" s="209"/>
      <c r="R7386" s="209"/>
      <c r="S7386" s="209"/>
      <c r="T7386" s="209"/>
    </row>
    <row r="7387" spans="1:20" ht="15" hidden="1" customHeight="1">
      <c r="A7387" s="468">
        <v>45589</v>
      </c>
      <c r="B7387" s="208" t="s">
        <v>3086</v>
      </c>
      <c r="C7387" s="208" t="s">
        <v>27</v>
      </c>
      <c r="D7387" s="211">
        <v>-298500</v>
      </c>
      <c r="E7387" s="212">
        <v>45566</v>
      </c>
      <c r="F7387" s="208" t="s">
        <v>110</v>
      </c>
      <c r="G7387" s="201" t="s">
        <v>1489</v>
      </c>
      <c r="H7387" s="208" t="s">
        <v>2941</v>
      </c>
      <c r="I7387" s="475" t="s">
        <v>5410</v>
      </c>
      <c r="J7387" s="209"/>
      <c r="K7387" s="209"/>
      <c r="L7387" s="209"/>
      <c r="M7387" s="209"/>
      <c r="N7387" s="209"/>
      <c r="O7387" s="209"/>
      <c r="P7387" s="209"/>
      <c r="Q7387" s="209"/>
      <c r="R7387" s="209"/>
      <c r="S7387" s="209"/>
      <c r="T7387" s="209"/>
    </row>
    <row r="7388" spans="1:20" ht="15" hidden="1" customHeight="1">
      <c r="A7388" s="468">
        <v>45589</v>
      </c>
      <c r="B7388" s="208" t="s">
        <v>5897</v>
      </c>
      <c r="C7388" s="208" t="s">
        <v>27</v>
      </c>
      <c r="D7388" s="211">
        <v>-1191812</v>
      </c>
      <c r="E7388" s="212">
        <v>45566</v>
      </c>
      <c r="F7388" s="208" t="s">
        <v>109</v>
      </c>
      <c r="G7388" s="208" t="s">
        <v>4986</v>
      </c>
      <c r="H7388" s="208" t="s">
        <v>175</v>
      </c>
      <c r="I7388" s="208"/>
      <c r="J7388" s="209"/>
      <c r="K7388" s="209"/>
      <c r="L7388" s="209"/>
      <c r="M7388" s="209"/>
      <c r="N7388" s="209"/>
      <c r="O7388" s="209"/>
      <c r="P7388" s="209"/>
      <c r="Q7388" s="209"/>
      <c r="R7388" s="209"/>
      <c r="S7388" s="209"/>
      <c r="T7388" s="209"/>
    </row>
    <row r="7389" spans="1:20" ht="15" hidden="1" customHeight="1">
      <c r="A7389" s="468">
        <v>45589</v>
      </c>
      <c r="B7389" s="208" t="s">
        <v>5505</v>
      </c>
      <c r="C7389" s="208" t="s">
        <v>27</v>
      </c>
      <c r="D7389" s="211">
        <v>-1240000</v>
      </c>
      <c r="E7389" s="212">
        <v>45566</v>
      </c>
      <c r="F7389" s="208" t="s">
        <v>109</v>
      </c>
      <c r="G7389" s="201" t="s">
        <v>581</v>
      </c>
      <c r="H7389" s="208"/>
      <c r="I7389" s="208"/>
      <c r="J7389" s="209"/>
      <c r="K7389" s="209"/>
      <c r="L7389" s="209"/>
      <c r="M7389" s="209"/>
      <c r="N7389" s="209"/>
      <c r="O7389" s="209"/>
      <c r="P7389" s="209"/>
      <c r="Q7389" s="209"/>
      <c r="R7389" s="209"/>
      <c r="S7389" s="209"/>
      <c r="T7389" s="209"/>
    </row>
    <row r="7390" spans="1:20" ht="15" hidden="1" customHeight="1">
      <c r="A7390" s="468">
        <v>45589</v>
      </c>
      <c r="B7390" s="208" t="s">
        <v>5898</v>
      </c>
      <c r="C7390" s="208" t="s">
        <v>27</v>
      </c>
      <c r="D7390" s="211">
        <v>-8432500</v>
      </c>
      <c r="E7390" s="212">
        <v>45566</v>
      </c>
      <c r="F7390" s="208" t="s">
        <v>109</v>
      </c>
      <c r="G7390" s="201" t="s">
        <v>581</v>
      </c>
      <c r="H7390" s="208"/>
      <c r="I7390" s="475" t="s">
        <v>5410</v>
      </c>
      <c r="J7390" s="209"/>
      <c r="K7390" s="209"/>
      <c r="L7390" s="209"/>
      <c r="M7390" s="209"/>
      <c r="N7390" s="209"/>
      <c r="O7390" s="209"/>
      <c r="P7390" s="209"/>
      <c r="Q7390" s="209"/>
      <c r="R7390" s="209"/>
      <c r="S7390" s="209"/>
      <c r="T7390" s="209"/>
    </row>
    <row r="7391" spans="1:20" ht="15" hidden="1" customHeight="1">
      <c r="A7391" s="468">
        <v>45589</v>
      </c>
      <c r="B7391" s="208" t="s">
        <v>5899</v>
      </c>
      <c r="C7391" s="208" t="s">
        <v>27</v>
      </c>
      <c r="D7391" s="211">
        <v>-9152000</v>
      </c>
      <c r="E7391" s="212">
        <v>45566</v>
      </c>
      <c r="F7391" s="208" t="s">
        <v>130</v>
      </c>
      <c r="G7391" s="208" t="s">
        <v>257</v>
      </c>
      <c r="H7391" s="201" t="s">
        <v>663</v>
      </c>
      <c r="I7391" s="208"/>
      <c r="J7391" s="209"/>
      <c r="K7391" s="209"/>
      <c r="L7391" s="209"/>
      <c r="M7391" s="209"/>
      <c r="N7391" s="209"/>
      <c r="O7391" s="209"/>
      <c r="P7391" s="209"/>
      <c r="Q7391" s="209"/>
      <c r="R7391" s="209"/>
      <c r="S7391" s="209"/>
      <c r="T7391" s="209"/>
    </row>
    <row r="7392" spans="1:20" ht="15" hidden="1" customHeight="1">
      <c r="A7392" s="468">
        <v>45590</v>
      </c>
      <c r="B7392" s="208" t="s">
        <v>5900</v>
      </c>
      <c r="C7392" s="208" t="s">
        <v>27</v>
      </c>
      <c r="D7392" s="211">
        <v>-17635371</v>
      </c>
      <c r="E7392" s="212">
        <v>45566</v>
      </c>
      <c r="F7392" s="84" t="s">
        <v>111</v>
      </c>
      <c r="G7392" s="208"/>
      <c r="H7392" s="208"/>
      <c r="I7392" s="208"/>
      <c r="J7392" s="209"/>
      <c r="K7392" s="209"/>
      <c r="L7392" s="209"/>
      <c r="M7392" s="209"/>
      <c r="N7392" s="209"/>
      <c r="O7392" s="209"/>
      <c r="P7392" s="209"/>
      <c r="Q7392" s="209"/>
      <c r="R7392" s="209"/>
      <c r="S7392" s="209"/>
      <c r="T7392" s="209"/>
    </row>
    <row r="7393" spans="1:20" ht="15" hidden="1" customHeight="1">
      <c r="A7393" s="468">
        <v>45590</v>
      </c>
      <c r="B7393" s="208" t="s">
        <v>5900</v>
      </c>
      <c r="C7393" s="208" t="s">
        <v>27</v>
      </c>
      <c r="D7393" s="211">
        <v>-3253426</v>
      </c>
      <c r="E7393" s="212">
        <v>45566</v>
      </c>
      <c r="F7393" s="208" t="s">
        <v>118</v>
      </c>
      <c r="G7393" s="208"/>
      <c r="H7393" s="208"/>
      <c r="I7393" s="208"/>
      <c r="J7393" s="209"/>
      <c r="K7393" s="209"/>
      <c r="L7393" s="209"/>
      <c r="M7393" s="209"/>
      <c r="N7393" s="209"/>
      <c r="O7393" s="209"/>
      <c r="P7393" s="209"/>
      <c r="Q7393" s="209"/>
      <c r="R7393" s="209"/>
      <c r="S7393" s="209"/>
      <c r="T7393" s="209"/>
    </row>
    <row r="7394" spans="1:20" ht="15" hidden="1" customHeight="1">
      <c r="A7394" s="468">
        <v>45588</v>
      </c>
      <c r="B7394" s="208" t="s">
        <v>5901</v>
      </c>
      <c r="C7394" s="208" t="s">
        <v>27</v>
      </c>
      <c r="D7394" s="211">
        <v>200000000</v>
      </c>
      <c r="E7394" s="212">
        <v>45566</v>
      </c>
      <c r="F7394" s="883" t="s">
        <v>707</v>
      </c>
      <c r="G7394" s="201" t="s">
        <v>581</v>
      </c>
      <c r="H7394" s="208" t="s">
        <v>461</v>
      </c>
      <c r="I7394" s="208"/>
      <c r="J7394" s="209"/>
      <c r="K7394" s="209"/>
      <c r="L7394" s="209"/>
      <c r="M7394" s="209"/>
      <c r="N7394" s="209"/>
      <c r="O7394" s="209"/>
      <c r="P7394" s="209"/>
      <c r="Q7394" s="209"/>
      <c r="R7394" s="209"/>
      <c r="S7394" s="209"/>
      <c r="T7394" s="209"/>
    </row>
    <row r="7395" spans="1:20" ht="15" hidden="1" customHeight="1">
      <c r="A7395" s="468">
        <v>45587</v>
      </c>
      <c r="B7395" s="208" t="s">
        <v>5902</v>
      </c>
      <c r="C7395" s="208" t="s">
        <v>27</v>
      </c>
      <c r="D7395" s="211">
        <v>2768568</v>
      </c>
      <c r="E7395" s="212">
        <v>45566</v>
      </c>
      <c r="F7395" s="208" t="s">
        <v>108</v>
      </c>
      <c r="G7395" s="208"/>
      <c r="H7395" s="208"/>
      <c r="I7395" s="208"/>
      <c r="J7395" s="209"/>
      <c r="K7395" s="209"/>
      <c r="L7395" s="209"/>
      <c r="M7395" s="209"/>
      <c r="N7395" s="209"/>
      <c r="O7395" s="209"/>
      <c r="P7395" s="209"/>
      <c r="Q7395" s="209"/>
      <c r="R7395" s="209"/>
      <c r="S7395" s="209"/>
      <c r="T7395" s="209"/>
    </row>
    <row r="7396" spans="1:20" ht="15" hidden="1" customHeight="1">
      <c r="A7396" s="468">
        <v>45587</v>
      </c>
      <c r="B7396" s="208" t="s">
        <v>5801</v>
      </c>
      <c r="C7396" s="208" t="s">
        <v>27</v>
      </c>
      <c r="D7396" s="211">
        <v>216667</v>
      </c>
      <c r="E7396" s="212">
        <v>45566</v>
      </c>
      <c r="F7396" s="208" t="s">
        <v>130</v>
      </c>
      <c r="G7396" s="208" t="s">
        <v>130</v>
      </c>
      <c r="H7396" s="208" t="s">
        <v>2444</v>
      </c>
      <c r="I7396" s="208"/>
      <c r="J7396" s="209"/>
      <c r="K7396" s="209"/>
      <c r="L7396" s="209"/>
      <c r="M7396" s="209"/>
      <c r="N7396" s="209"/>
      <c r="O7396" s="209"/>
      <c r="P7396" s="209"/>
      <c r="Q7396" s="209"/>
      <c r="R7396" s="209"/>
      <c r="S7396" s="209"/>
      <c r="T7396" s="209"/>
    </row>
    <row r="7397" spans="1:20" ht="15" hidden="1" customHeight="1">
      <c r="A7397" s="468">
        <v>45587</v>
      </c>
      <c r="B7397" s="208" t="s">
        <v>5903</v>
      </c>
      <c r="C7397" s="208" t="s">
        <v>27</v>
      </c>
      <c r="D7397" s="211">
        <v>2719163</v>
      </c>
      <c r="E7397" s="212">
        <v>45566</v>
      </c>
      <c r="F7397" s="208" t="s">
        <v>130</v>
      </c>
      <c r="G7397" s="208" t="s">
        <v>130</v>
      </c>
      <c r="H7397" s="208" t="s">
        <v>2444</v>
      </c>
      <c r="I7397" s="208"/>
      <c r="J7397" s="209"/>
      <c r="K7397" s="209"/>
      <c r="L7397" s="209"/>
      <c r="M7397" s="209"/>
      <c r="N7397" s="209"/>
      <c r="O7397" s="209"/>
      <c r="P7397" s="209"/>
      <c r="Q7397" s="209"/>
      <c r="R7397" s="209"/>
      <c r="S7397" s="209"/>
      <c r="T7397" s="209"/>
    </row>
    <row r="7398" spans="1:20" s="166" customFormat="1" ht="15" hidden="1" customHeight="1">
      <c r="A7398" s="670">
        <v>45590</v>
      </c>
      <c r="B7398" s="671" t="s">
        <v>5904</v>
      </c>
      <c r="C7398" s="671" t="s">
        <v>3331</v>
      </c>
      <c r="D7398" s="672">
        <v>-1528001</v>
      </c>
      <c r="E7398" s="693">
        <v>45566</v>
      </c>
      <c r="F7398" s="208" t="s">
        <v>110</v>
      </c>
      <c r="G7398" s="671" t="s">
        <v>774</v>
      </c>
      <c r="H7398" s="201" t="s">
        <v>1463</v>
      </c>
      <c r="I7398" s="671"/>
      <c r="J7398" s="692"/>
      <c r="K7398" s="692"/>
      <c r="L7398" s="692"/>
      <c r="M7398" s="692"/>
      <c r="N7398" s="692"/>
      <c r="O7398" s="692"/>
      <c r="P7398" s="692"/>
      <c r="Q7398" s="692"/>
      <c r="R7398" s="692"/>
      <c r="S7398" s="692"/>
      <c r="T7398" s="692"/>
    </row>
    <row r="7399" spans="1:20" ht="15" hidden="1" customHeight="1">
      <c r="A7399" s="468">
        <v>45587</v>
      </c>
      <c r="B7399" s="208" t="s">
        <v>5905</v>
      </c>
      <c r="C7399" s="208" t="s">
        <v>3331</v>
      </c>
      <c r="D7399" s="211">
        <v>-418311</v>
      </c>
      <c r="E7399" s="212">
        <v>45566</v>
      </c>
      <c r="F7399" s="208" t="s">
        <v>130</v>
      </c>
      <c r="G7399" s="208" t="s">
        <v>130</v>
      </c>
      <c r="H7399" s="208" t="s">
        <v>2176</v>
      </c>
      <c r="I7399" s="208"/>
      <c r="J7399" s="209"/>
      <c r="K7399" s="209"/>
      <c r="L7399" s="209"/>
      <c r="M7399" s="209"/>
      <c r="N7399" s="209"/>
      <c r="O7399" s="209"/>
      <c r="P7399" s="209"/>
      <c r="Q7399" s="209"/>
      <c r="R7399" s="209"/>
      <c r="S7399" s="209"/>
      <c r="T7399" s="209"/>
    </row>
    <row r="7400" spans="1:20" ht="15" hidden="1" customHeight="1">
      <c r="A7400" s="468">
        <v>45590</v>
      </c>
      <c r="B7400" s="208" t="s">
        <v>4344</v>
      </c>
      <c r="C7400" s="208" t="s">
        <v>3331</v>
      </c>
      <c r="D7400" s="211">
        <v>2488501</v>
      </c>
      <c r="E7400" s="212">
        <v>45566</v>
      </c>
      <c r="F7400" s="208" t="s">
        <v>108</v>
      </c>
      <c r="G7400" s="208"/>
      <c r="H7400" s="208"/>
      <c r="I7400" s="208"/>
      <c r="J7400" s="209"/>
      <c r="K7400" s="209"/>
      <c r="L7400" s="209"/>
      <c r="M7400" s="209"/>
      <c r="N7400" s="209"/>
      <c r="O7400" s="209"/>
      <c r="P7400" s="209"/>
      <c r="Q7400" s="209"/>
      <c r="R7400" s="209"/>
      <c r="S7400" s="209"/>
      <c r="T7400" s="209"/>
    </row>
    <row r="7401" spans="1:20" ht="15" hidden="1" customHeight="1">
      <c r="A7401" s="468">
        <v>45587</v>
      </c>
      <c r="B7401" s="208" t="s">
        <v>3272</v>
      </c>
      <c r="C7401" s="208" t="s">
        <v>3331</v>
      </c>
      <c r="D7401" s="211">
        <v>2850948</v>
      </c>
      <c r="E7401" s="212">
        <v>45566</v>
      </c>
      <c r="F7401" s="208" t="s">
        <v>108</v>
      </c>
      <c r="G7401" s="208"/>
      <c r="H7401" s="208"/>
      <c r="I7401" s="208"/>
      <c r="J7401" s="209"/>
      <c r="K7401" s="209"/>
      <c r="L7401" s="209"/>
      <c r="M7401" s="209"/>
      <c r="N7401" s="209"/>
      <c r="O7401" s="209"/>
      <c r="P7401" s="209"/>
      <c r="Q7401" s="209"/>
      <c r="R7401" s="209"/>
      <c r="S7401" s="209"/>
      <c r="T7401" s="209"/>
    </row>
    <row r="7402" spans="1:20" ht="15" hidden="1" customHeight="1">
      <c r="A7402" s="468">
        <v>45587</v>
      </c>
      <c r="B7402" s="208" t="s">
        <v>1836</v>
      </c>
      <c r="C7402" s="208" t="s">
        <v>3331</v>
      </c>
      <c r="D7402" s="211">
        <v>7326802</v>
      </c>
      <c r="E7402" s="212">
        <v>45566</v>
      </c>
      <c r="F7402" s="208" t="s">
        <v>109</v>
      </c>
      <c r="G7402" s="649" t="s">
        <v>5906</v>
      </c>
      <c r="H7402" s="208" t="s">
        <v>461</v>
      </c>
      <c r="I7402" s="208"/>
      <c r="J7402" s="209"/>
      <c r="K7402" s="209"/>
      <c r="L7402" s="209"/>
      <c r="M7402" s="209"/>
      <c r="N7402" s="209"/>
      <c r="O7402" s="209"/>
      <c r="P7402" s="209"/>
      <c r="Q7402" s="209"/>
      <c r="R7402" s="209"/>
      <c r="S7402" s="209"/>
      <c r="T7402" s="209"/>
    </row>
    <row r="7403" spans="1:20" ht="15" hidden="1" customHeight="1">
      <c r="A7403" s="468">
        <v>45588</v>
      </c>
      <c r="B7403" s="208" t="s">
        <v>5028</v>
      </c>
      <c r="C7403" s="208" t="s">
        <v>3331</v>
      </c>
      <c r="D7403" s="211">
        <v>1848608</v>
      </c>
      <c r="E7403" s="212">
        <v>45566</v>
      </c>
      <c r="F7403" s="208" t="s">
        <v>108</v>
      </c>
      <c r="G7403" s="208"/>
      <c r="H7403" s="208"/>
      <c r="I7403" s="208"/>
      <c r="J7403" s="209"/>
      <c r="K7403" s="209"/>
      <c r="L7403" s="209"/>
      <c r="M7403" s="209"/>
      <c r="N7403" s="209"/>
      <c r="O7403" s="209"/>
      <c r="P7403" s="209"/>
      <c r="Q7403" s="209"/>
      <c r="R7403" s="209"/>
      <c r="S7403" s="209"/>
      <c r="T7403" s="209"/>
    </row>
    <row r="7404" spans="1:20" ht="15" hidden="1" customHeight="1">
      <c r="A7404" s="468">
        <v>45583</v>
      </c>
      <c r="B7404" s="208" t="s">
        <v>5215</v>
      </c>
      <c r="C7404" s="208" t="s">
        <v>3331</v>
      </c>
      <c r="D7404" s="211">
        <v>4541588</v>
      </c>
      <c r="E7404" s="212">
        <v>45566</v>
      </c>
      <c r="F7404" s="208" t="s">
        <v>108</v>
      </c>
      <c r="G7404" s="208"/>
      <c r="H7404" s="208"/>
      <c r="I7404" s="208"/>
      <c r="J7404" s="209"/>
      <c r="K7404" s="209"/>
      <c r="L7404" s="209"/>
      <c r="M7404" s="209"/>
      <c r="N7404" s="209"/>
      <c r="O7404" s="209"/>
      <c r="P7404" s="209"/>
      <c r="Q7404" s="209"/>
      <c r="R7404" s="209"/>
      <c r="S7404" s="209"/>
      <c r="T7404" s="209"/>
    </row>
    <row r="7405" spans="1:20" ht="15" hidden="1" customHeight="1">
      <c r="A7405" s="468">
        <v>45586</v>
      </c>
      <c r="B7405" s="208" t="s">
        <v>1836</v>
      </c>
      <c r="C7405" s="208" t="s">
        <v>3331</v>
      </c>
      <c r="D7405" s="211">
        <v>1360955</v>
      </c>
      <c r="E7405" s="212">
        <v>45566</v>
      </c>
      <c r="F7405" s="208" t="s">
        <v>108</v>
      </c>
      <c r="G7405" s="208"/>
      <c r="H7405" s="208"/>
      <c r="I7405" s="208"/>
      <c r="J7405" s="209"/>
      <c r="K7405" s="209"/>
      <c r="L7405" s="209"/>
      <c r="M7405" s="209"/>
      <c r="N7405" s="209"/>
      <c r="O7405" s="209"/>
      <c r="P7405" s="209"/>
      <c r="Q7405" s="209"/>
      <c r="R7405" s="209"/>
      <c r="S7405" s="209"/>
      <c r="T7405" s="209"/>
    </row>
    <row r="7406" spans="1:20" ht="15" hidden="1" customHeight="1">
      <c r="A7406" s="468">
        <v>45588</v>
      </c>
      <c r="B7406" s="208" t="s">
        <v>5907</v>
      </c>
      <c r="C7406" s="208" t="s">
        <v>4783</v>
      </c>
      <c r="D7406" s="211">
        <v>100000000</v>
      </c>
      <c r="E7406" s="212">
        <v>45566</v>
      </c>
      <c r="F7406" s="208" t="s">
        <v>707</v>
      </c>
      <c r="G7406" s="208" t="s">
        <v>4625</v>
      </c>
      <c r="H7406" s="208" t="s">
        <v>461</v>
      </c>
      <c r="I7406" s="208"/>
      <c r="J7406" s="209"/>
      <c r="K7406" s="209"/>
      <c r="L7406" s="209"/>
      <c r="M7406" s="209"/>
      <c r="N7406" s="209"/>
      <c r="O7406" s="209"/>
      <c r="P7406" s="209"/>
      <c r="Q7406" s="209"/>
      <c r="R7406" s="209"/>
      <c r="S7406" s="209"/>
      <c r="T7406" s="209"/>
    </row>
    <row r="7407" spans="1:20" s="499" customFormat="1" ht="15" hidden="1" customHeight="1">
      <c r="A7407" s="468">
        <v>45590</v>
      </c>
      <c r="B7407" s="208" t="s">
        <v>5900</v>
      </c>
      <c r="C7407" s="208" t="s">
        <v>4783</v>
      </c>
      <c r="D7407" s="211">
        <v>-32364628</v>
      </c>
      <c r="E7407" s="212">
        <v>45566</v>
      </c>
      <c r="F7407" s="84" t="s">
        <v>111</v>
      </c>
      <c r="G7407" s="208"/>
      <c r="H7407" s="208"/>
      <c r="I7407" s="208"/>
      <c r="J7407" s="209"/>
      <c r="K7407" s="209"/>
      <c r="L7407" s="209"/>
      <c r="M7407" s="209"/>
      <c r="N7407" s="209"/>
      <c r="O7407" s="209"/>
      <c r="P7407" s="209"/>
      <c r="Q7407" s="209"/>
      <c r="R7407" s="209"/>
      <c r="S7407" s="209"/>
      <c r="T7407" s="209"/>
    </row>
    <row r="7408" spans="1:20" ht="15" hidden="1" customHeight="1">
      <c r="A7408" s="468">
        <v>45590</v>
      </c>
      <c r="B7408" s="208" t="s">
        <v>5908</v>
      </c>
      <c r="C7408" s="208" t="s">
        <v>4783</v>
      </c>
      <c r="D7408" s="211">
        <v>-5970724</v>
      </c>
      <c r="E7408" s="212">
        <v>45566</v>
      </c>
      <c r="F7408" s="208" t="s">
        <v>118</v>
      </c>
      <c r="G7408" s="208"/>
      <c r="H7408" s="208"/>
      <c r="I7408" s="208"/>
      <c r="J7408" s="209"/>
      <c r="K7408" s="209"/>
      <c r="L7408" s="209"/>
      <c r="M7408" s="209"/>
      <c r="N7408" s="209"/>
      <c r="O7408" s="209"/>
      <c r="P7408" s="209"/>
      <c r="Q7408" s="209"/>
      <c r="R7408" s="209"/>
      <c r="S7408" s="209"/>
      <c r="T7408" s="209"/>
    </row>
    <row r="7409" spans="1:20" ht="15" hidden="1" customHeight="1">
      <c r="A7409" s="468">
        <v>45590</v>
      </c>
      <c r="B7409" s="208" t="s">
        <v>5909</v>
      </c>
      <c r="C7409" s="208" t="s">
        <v>4783</v>
      </c>
      <c r="D7409" s="211">
        <v>100000000</v>
      </c>
      <c r="E7409" s="212">
        <v>45566</v>
      </c>
      <c r="F7409" s="208" t="s">
        <v>707</v>
      </c>
      <c r="G7409" s="208" t="s">
        <v>10</v>
      </c>
      <c r="H7409" s="208"/>
      <c r="I7409" s="208"/>
      <c r="J7409" s="209"/>
      <c r="K7409" s="209"/>
      <c r="L7409" s="209"/>
      <c r="M7409" s="209"/>
      <c r="N7409" s="209"/>
      <c r="O7409" s="209"/>
      <c r="P7409" s="209"/>
      <c r="Q7409" s="209"/>
      <c r="R7409" s="209"/>
      <c r="S7409" s="209"/>
      <c r="T7409" s="209"/>
    </row>
    <row r="7410" spans="1:20" ht="15" hidden="1" customHeight="1">
      <c r="A7410" s="468">
        <v>45584</v>
      </c>
      <c r="B7410" s="208" t="s">
        <v>5910</v>
      </c>
      <c r="C7410" s="208" t="s">
        <v>643</v>
      </c>
      <c r="D7410" s="211">
        <v>25000000</v>
      </c>
      <c r="E7410" s="212">
        <v>45566</v>
      </c>
      <c r="F7410" s="208" t="s">
        <v>109</v>
      </c>
      <c r="G7410" s="208" t="s">
        <v>5911</v>
      </c>
      <c r="H7410" s="208" t="s">
        <v>461</v>
      </c>
      <c r="I7410" s="475" t="s">
        <v>5410</v>
      </c>
      <c r="J7410" s="209"/>
      <c r="K7410" s="209"/>
      <c r="L7410" s="209"/>
      <c r="M7410" s="209"/>
      <c r="N7410" s="209"/>
      <c r="O7410" s="209"/>
      <c r="P7410" s="209"/>
      <c r="Q7410" s="209"/>
      <c r="R7410" s="209"/>
      <c r="S7410" s="209"/>
      <c r="T7410" s="209"/>
    </row>
    <row r="7411" spans="1:20" ht="15" hidden="1" customHeight="1">
      <c r="A7411" s="468">
        <v>45585</v>
      </c>
      <c r="B7411" s="208" t="s">
        <v>5912</v>
      </c>
      <c r="C7411" s="208" t="s">
        <v>643</v>
      </c>
      <c r="D7411" s="211">
        <v>-42844.85</v>
      </c>
      <c r="E7411" s="212">
        <v>45566</v>
      </c>
      <c r="F7411" s="208" t="s">
        <v>130</v>
      </c>
      <c r="G7411" s="208" t="s">
        <v>130</v>
      </c>
      <c r="H7411" s="208" t="s">
        <v>1245</v>
      </c>
      <c r="I7411" s="208"/>
      <c r="J7411" s="209"/>
      <c r="K7411" s="209"/>
      <c r="L7411" s="209"/>
      <c r="M7411" s="209"/>
      <c r="N7411" s="209"/>
      <c r="O7411" s="209"/>
      <c r="P7411" s="209"/>
      <c r="Q7411" s="209"/>
      <c r="R7411" s="209"/>
      <c r="S7411" s="209"/>
      <c r="T7411" s="209"/>
    </row>
    <row r="7412" spans="1:20" ht="15" hidden="1" customHeight="1">
      <c r="A7412" s="468">
        <v>45585</v>
      </c>
      <c r="B7412" s="208" t="s">
        <v>5913</v>
      </c>
      <c r="C7412" s="208" t="s">
        <v>643</v>
      </c>
      <c r="D7412" s="211">
        <v>-2066230.6</v>
      </c>
      <c r="E7412" s="212">
        <v>45566</v>
      </c>
      <c r="F7412" s="208" t="s">
        <v>130</v>
      </c>
      <c r="G7412" s="208" t="s">
        <v>130</v>
      </c>
      <c r="H7412" s="208" t="s">
        <v>1245</v>
      </c>
      <c r="I7412" s="208"/>
      <c r="J7412" s="209"/>
      <c r="K7412" s="209"/>
      <c r="L7412" s="209"/>
      <c r="M7412" s="209"/>
      <c r="N7412" s="209"/>
      <c r="O7412" s="209"/>
      <c r="P7412" s="209"/>
      <c r="Q7412" s="209"/>
      <c r="R7412" s="209"/>
      <c r="S7412" s="209"/>
      <c r="T7412" s="209"/>
    </row>
    <row r="7413" spans="1:20" ht="15" hidden="1" customHeight="1">
      <c r="A7413" s="468">
        <v>45588</v>
      </c>
      <c r="B7413" s="208" t="s">
        <v>5914</v>
      </c>
      <c r="C7413" s="208" t="s">
        <v>643</v>
      </c>
      <c r="D7413" s="211">
        <v>-100000000</v>
      </c>
      <c r="E7413" s="212">
        <v>45566</v>
      </c>
      <c r="F7413" s="208" t="s">
        <v>109</v>
      </c>
      <c r="G7413" s="208" t="s">
        <v>4986</v>
      </c>
      <c r="H7413" s="201" t="s">
        <v>123</v>
      </c>
      <c r="I7413" s="475" t="s">
        <v>5410</v>
      </c>
      <c r="J7413" s="209"/>
      <c r="K7413" s="209"/>
      <c r="L7413" s="209"/>
      <c r="M7413" s="209"/>
      <c r="N7413" s="209"/>
      <c r="O7413" s="209"/>
      <c r="P7413" s="209"/>
      <c r="Q7413" s="209"/>
      <c r="R7413" s="209"/>
      <c r="S7413" s="209"/>
      <c r="T7413" s="209"/>
    </row>
    <row r="7414" spans="1:20" ht="15" hidden="1" customHeight="1">
      <c r="A7414" s="468">
        <v>45589</v>
      </c>
      <c r="B7414" s="208" t="s">
        <v>5915</v>
      </c>
      <c r="C7414" s="208" t="s">
        <v>643</v>
      </c>
      <c r="D7414" s="211">
        <v>-30800</v>
      </c>
      <c r="E7414" s="212">
        <v>45566</v>
      </c>
      <c r="F7414" s="208" t="s">
        <v>130</v>
      </c>
      <c r="G7414" s="208" t="s">
        <v>130</v>
      </c>
      <c r="H7414" s="208" t="s">
        <v>1245</v>
      </c>
      <c r="I7414" s="208"/>
      <c r="J7414" s="209"/>
      <c r="K7414" s="209"/>
      <c r="L7414" s="209"/>
      <c r="M7414" s="209"/>
      <c r="N7414" s="209"/>
      <c r="O7414" s="209"/>
      <c r="P7414" s="209"/>
      <c r="Q7414" s="209"/>
      <c r="R7414" s="209"/>
      <c r="S7414" s="209"/>
      <c r="T7414" s="209"/>
    </row>
    <row r="7415" spans="1:20" ht="15" hidden="1" customHeight="1">
      <c r="A7415" s="468">
        <v>45574</v>
      </c>
      <c r="B7415" s="208" t="s">
        <v>5916</v>
      </c>
      <c r="C7415" s="208" t="s">
        <v>27</v>
      </c>
      <c r="D7415" s="211">
        <v>-415411.78</v>
      </c>
      <c r="E7415" s="212">
        <v>45566</v>
      </c>
      <c r="F7415" s="208" t="s">
        <v>110</v>
      </c>
      <c r="G7415" s="208" t="s">
        <v>5503</v>
      </c>
      <c r="H7415" s="208" t="s">
        <v>147</v>
      </c>
      <c r="I7415" s="208"/>
      <c r="J7415" s="209"/>
      <c r="K7415" s="209"/>
      <c r="L7415" s="209"/>
      <c r="M7415" s="209"/>
      <c r="N7415" s="209"/>
      <c r="O7415" s="209"/>
      <c r="P7415" s="209"/>
      <c r="Q7415" s="209"/>
      <c r="R7415" s="209"/>
      <c r="S7415" s="209"/>
      <c r="T7415" s="209"/>
    </row>
    <row r="7416" spans="1:20" ht="15" hidden="1" customHeight="1">
      <c r="A7416" s="468">
        <v>45574</v>
      </c>
      <c r="B7416" s="208" t="s">
        <v>5917</v>
      </c>
      <c r="C7416" s="208" t="s">
        <v>27</v>
      </c>
      <c r="D7416" s="211">
        <v>-443750</v>
      </c>
      <c r="E7416" s="212">
        <v>45566</v>
      </c>
      <c r="F7416" s="208" t="s">
        <v>110</v>
      </c>
      <c r="G7416" s="208" t="s">
        <v>5503</v>
      </c>
      <c r="H7416" s="208" t="s">
        <v>175</v>
      </c>
      <c r="I7416" s="208"/>
      <c r="J7416" s="209"/>
      <c r="K7416" s="209"/>
      <c r="L7416" s="209"/>
      <c r="M7416" s="209"/>
      <c r="N7416" s="209"/>
      <c r="O7416" s="209"/>
      <c r="P7416" s="209"/>
      <c r="Q7416" s="209"/>
      <c r="R7416" s="209"/>
      <c r="S7416" s="209"/>
      <c r="T7416" s="209"/>
    </row>
    <row r="7417" spans="1:20" ht="15" hidden="1" customHeight="1">
      <c r="A7417" s="468">
        <v>45574</v>
      </c>
      <c r="B7417" s="208" t="s">
        <v>5918</v>
      </c>
      <c r="C7417" s="208" t="s">
        <v>27</v>
      </c>
      <c r="D7417" s="211">
        <v>-424700</v>
      </c>
      <c r="E7417" s="212">
        <v>45566</v>
      </c>
      <c r="F7417" s="208" t="s">
        <v>110</v>
      </c>
      <c r="G7417" s="208" t="s">
        <v>5503</v>
      </c>
      <c r="H7417" s="208" t="s">
        <v>175</v>
      </c>
      <c r="I7417" s="208"/>
      <c r="J7417" s="209"/>
      <c r="K7417" s="209"/>
      <c r="L7417" s="209"/>
      <c r="M7417" s="209"/>
      <c r="N7417" s="209"/>
      <c r="O7417" s="209"/>
      <c r="P7417" s="209"/>
      <c r="Q7417" s="209"/>
      <c r="R7417" s="209"/>
      <c r="S7417" s="209"/>
      <c r="T7417" s="209"/>
    </row>
    <row r="7418" spans="1:20" ht="15" hidden="1" customHeight="1">
      <c r="A7418" s="468">
        <v>45589</v>
      </c>
      <c r="B7418" s="208" t="s">
        <v>5919</v>
      </c>
      <c r="C7418" s="208" t="s">
        <v>27</v>
      </c>
      <c r="D7418" s="211">
        <v>-278500</v>
      </c>
      <c r="E7418" s="212">
        <v>45566</v>
      </c>
      <c r="F7418" s="208" t="s">
        <v>110</v>
      </c>
      <c r="G7418" s="208" t="s">
        <v>5503</v>
      </c>
      <c r="H7418" s="208" t="s">
        <v>175</v>
      </c>
      <c r="I7418" s="208"/>
      <c r="J7418" s="209"/>
      <c r="K7418" s="209"/>
      <c r="L7418" s="209"/>
      <c r="M7418" s="209"/>
      <c r="N7418" s="209"/>
      <c r="O7418" s="209"/>
      <c r="P7418" s="209"/>
      <c r="Q7418" s="209"/>
      <c r="R7418" s="209"/>
      <c r="S7418" s="209"/>
      <c r="T7418" s="209"/>
    </row>
    <row r="7419" spans="1:20" ht="15" hidden="1" customHeight="1">
      <c r="A7419" s="468">
        <v>45589</v>
      </c>
      <c r="B7419" s="208" t="s">
        <v>5920</v>
      </c>
      <c r="C7419" s="208" t="s">
        <v>27</v>
      </c>
      <c r="D7419" s="211">
        <v>-465290</v>
      </c>
      <c r="E7419" s="212">
        <v>45566</v>
      </c>
      <c r="F7419" s="208" t="s">
        <v>110</v>
      </c>
      <c r="G7419" s="208" t="s">
        <v>5503</v>
      </c>
      <c r="H7419" s="208" t="s">
        <v>175</v>
      </c>
      <c r="I7419" s="475" t="s">
        <v>5410</v>
      </c>
      <c r="J7419" s="209"/>
      <c r="K7419" s="209"/>
      <c r="L7419" s="209"/>
      <c r="M7419" s="209"/>
      <c r="N7419" s="209"/>
      <c r="O7419" s="209"/>
      <c r="P7419" s="209"/>
      <c r="Q7419" s="209"/>
      <c r="R7419" s="209"/>
      <c r="S7419" s="209"/>
      <c r="T7419" s="209"/>
    </row>
    <row r="7420" spans="1:20" s="499" customFormat="1" ht="15" hidden="1" customHeight="1">
      <c r="A7420" s="468">
        <v>45565</v>
      </c>
      <c r="B7420" s="208" t="s">
        <v>5921</v>
      </c>
      <c r="C7420" s="208" t="s">
        <v>3331</v>
      </c>
      <c r="D7420" s="211">
        <v>-708000</v>
      </c>
      <c r="E7420" s="212">
        <v>45566</v>
      </c>
      <c r="F7420" s="208" t="s">
        <v>109</v>
      </c>
      <c r="G7420" s="208" t="s">
        <v>10</v>
      </c>
      <c r="H7420" s="208"/>
      <c r="I7420" s="208"/>
      <c r="J7420" s="209"/>
      <c r="K7420" s="209"/>
      <c r="L7420" s="209"/>
      <c r="M7420" s="209"/>
      <c r="N7420" s="209"/>
      <c r="O7420" s="209"/>
      <c r="P7420" s="209"/>
      <c r="Q7420" s="209"/>
      <c r="R7420" s="209"/>
      <c r="S7420" s="209"/>
      <c r="T7420" s="209"/>
    </row>
    <row r="7421" spans="1:20" ht="15" hidden="1" customHeight="1">
      <c r="A7421" s="468">
        <v>45565</v>
      </c>
      <c r="B7421" s="208" t="s">
        <v>5665</v>
      </c>
      <c r="C7421" s="208" t="s">
        <v>3331</v>
      </c>
      <c r="D7421" s="211">
        <v>-5000</v>
      </c>
      <c r="E7421" s="212">
        <v>45566</v>
      </c>
      <c r="F7421" s="208" t="s">
        <v>109</v>
      </c>
      <c r="G7421" s="208" t="s">
        <v>10</v>
      </c>
      <c r="H7421" s="208"/>
      <c r="I7421" s="208"/>
      <c r="J7421" s="209"/>
      <c r="K7421" s="209"/>
      <c r="L7421" s="209"/>
      <c r="M7421" s="209"/>
      <c r="N7421" s="209"/>
      <c r="O7421" s="209"/>
      <c r="P7421" s="209"/>
      <c r="Q7421" s="209"/>
      <c r="R7421" s="209"/>
      <c r="S7421" s="209"/>
      <c r="T7421" s="209"/>
    </row>
    <row r="7422" spans="1:20" ht="15" hidden="1" customHeight="1">
      <c r="A7422" s="468">
        <v>45565</v>
      </c>
      <c r="B7422" s="790" t="s">
        <v>5666</v>
      </c>
      <c r="C7422" s="208" t="s">
        <v>3331</v>
      </c>
      <c r="D7422" s="211">
        <v>-70000</v>
      </c>
      <c r="E7422" s="212">
        <v>45566</v>
      </c>
      <c r="F7422" s="208" t="s">
        <v>109</v>
      </c>
      <c r="G7422" s="208" t="s">
        <v>10</v>
      </c>
      <c r="H7422" s="208"/>
      <c r="I7422" s="208"/>
      <c r="J7422" s="209"/>
      <c r="K7422" s="209"/>
      <c r="L7422" s="209"/>
      <c r="M7422" s="209"/>
      <c r="N7422" s="209"/>
      <c r="O7422" s="209"/>
      <c r="P7422" s="209"/>
      <c r="Q7422" s="209"/>
      <c r="R7422" s="209"/>
      <c r="S7422" s="209"/>
      <c r="T7422" s="209"/>
    </row>
    <row r="7423" spans="1:20" ht="15" hidden="1" customHeight="1">
      <c r="A7423" s="468">
        <v>45565</v>
      </c>
      <c r="B7423" s="208" t="s">
        <v>5667</v>
      </c>
      <c r="C7423" s="208" t="s">
        <v>3331</v>
      </c>
      <c r="D7423" s="211">
        <v>-287500</v>
      </c>
      <c r="E7423" s="212">
        <v>45566</v>
      </c>
      <c r="F7423" s="208" t="s">
        <v>109</v>
      </c>
      <c r="G7423" s="208" t="s">
        <v>10</v>
      </c>
      <c r="H7423" s="208"/>
      <c r="I7423" s="208"/>
      <c r="J7423" s="209"/>
      <c r="K7423" s="209"/>
      <c r="L7423" s="209"/>
      <c r="M7423" s="209"/>
      <c r="N7423" s="209"/>
      <c r="O7423" s="209"/>
      <c r="P7423" s="209"/>
      <c r="Q7423" s="209"/>
      <c r="R7423" s="209"/>
      <c r="S7423" s="209"/>
      <c r="T7423" s="209"/>
    </row>
    <row r="7424" spans="1:20" ht="15" hidden="1" customHeight="1">
      <c r="A7424" s="468">
        <v>45566</v>
      </c>
      <c r="B7424" s="208" t="s">
        <v>5669</v>
      </c>
      <c r="C7424" s="208" t="s">
        <v>3331</v>
      </c>
      <c r="D7424" s="211">
        <v>-10000</v>
      </c>
      <c r="E7424" s="212">
        <v>45566</v>
      </c>
      <c r="F7424" s="208" t="s">
        <v>109</v>
      </c>
      <c r="G7424" s="208" t="s">
        <v>10</v>
      </c>
      <c r="H7424" s="208"/>
      <c r="I7424" s="208"/>
      <c r="J7424" s="209"/>
      <c r="K7424" s="209"/>
      <c r="L7424" s="209"/>
      <c r="M7424" s="209"/>
      <c r="N7424" s="209"/>
      <c r="O7424" s="209"/>
      <c r="P7424" s="209"/>
      <c r="Q7424" s="209"/>
      <c r="R7424" s="209"/>
      <c r="S7424" s="209"/>
      <c r="T7424" s="209"/>
    </row>
    <row r="7425" spans="1:20" ht="15" hidden="1" customHeight="1">
      <c r="A7425" s="468">
        <v>45567</v>
      </c>
      <c r="B7425" s="208" t="s">
        <v>5670</v>
      </c>
      <c r="C7425" s="208" t="s">
        <v>3331</v>
      </c>
      <c r="D7425" s="211">
        <v>-5300</v>
      </c>
      <c r="E7425" s="212">
        <v>45566</v>
      </c>
      <c r="F7425" s="208" t="s">
        <v>109</v>
      </c>
      <c r="G7425" s="208" t="s">
        <v>10</v>
      </c>
      <c r="H7425" s="208"/>
      <c r="I7425" s="208"/>
      <c r="J7425" s="209"/>
      <c r="K7425" s="209"/>
      <c r="L7425" s="209"/>
      <c r="M7425" s="209"/>
      <c r="N7425" s="209"/>
      <c r="O7425" s="209"/>
      <c r="P7425" s="209"/>
      <c r="Q7425" s="209"/>
      <c r="R7425" s="209"/>
      <c r="S7425" s="209"/>
      <c r="T7425" s="209"/>
    </row>
    <row r="7426" spans="1:20" ht="15" hidden="1" customHeight="1">
      <c r="A7426" s="468">
        <v>45567</v>
      </c>
      <c r="B7426" s="208" t="s">
        <v>5671</v>
      </c>
      <c r="C7426" s="208" t="s">
        <v>3331</v>
      </c>
      <c r="D7426" s="211">
        <v>-12000</v>
      </c>
      <c r="E7426" s="212">
        <v>45566</v>
      </c>
      <c r="F7426" s="208" t="s">
        <v>109</v>
      </c>
      <c r="G7426" s="208" t="s">
        <v>10</v>
      </c>
      <c r="H7426" s="208"/>
      <c r="I7426" s="208"/>
      <c r="J7426" s="209"/>
      <c r="K7426" s="209"/>
      <c r="L7426" s="209"/>
      <c r="M7426" s="209"/>
      <c r="N7426" s="209"/>
      <c r="O7426" s="209"/>
      <c r="P7426" s="209"/>
      <c r="Q7426" s="209"/>
      <c r="R7426" s="209"/>
      <c r="S7426" s="209"/>
      <c r="T7426" s="209"/>
    </row>
    <row r="7427" spans="1:20" ht="15" hidden="1" customHeight="1">
      <c r="A7427" s="468">
        <v>45568</v>
      </c>
      <c r="B7427" s="208" t="s">
        <v>5672</v>
      </c>
      <c r="C7427" s="208" t="s">
        <v>3331</v>
      </c>
      <c r="D7427" s="211">
        <v>-911700</v>
      </c>
      <c r="E7427" s="212">
        <v>45566</v>
      </c>
      <c r="F7427" s="208" t="s">
        <v>109</v>
      </c>
      <c r="G7427" s="208" t="s">
        <v>10</v>
      </c>
      <c r="H7427" s="208"/>
      <c r="I7427" s="208"/>
      <c r="J7427" s="209"/>
      <c r="K7427" s="209"/>
      <c r="L7427" s="209"/>
      <c r="M7427" s="209"/>
      <c r="N7427" s="209"/>
      <c r="O7427" s="209"/>
      <c r="P7427" s="209"/>
      <c r="Q7427" s="209"/>
      <c r="R7427" s="209"/>
      <c r="S7427" s="209"/>
      <c r="T7427" s="209"/>
    </row>
    <row r="7428" spans="1:20" ht="15" hidden="1" customHeight="1">
      <c r="A7428" s="468">
        <v>45569</v>
      </c>
      <c r="B7428" s="208" t="s">
        <v>5673</v>
      </c>
      <c r="C7428" s="208" t="s">
        <v>3331</v>
      </c>
      <c r="D7428" s="211">
        <v>-784000</v>
      </c>
      <c r="E7428" s="212">
        <v>45566</v>
      </c>
      <c r="F7428" s="208" t="s">
        <v>109</v>
      </c>
      <c r="G7428" s="208" t="s">
        <v>10</v>
      </c>
      <c r="H7428" s="208"/>
      <c r="I7428" s="208"/>
      <c r="J7428" s="209"/>
      <c r="K7428" s="209"/>
      <c r="L7428" s="209"/>
      <c r="M7428" s="209"/>
      <c r="N7428" s="209"/>
      <c r="O7428" s="209"/>
      <c r="P7428" s="209"/>
      <c r="Q7428" s="209"/>
      <c r="R7428" s="209"/>
      <c r="S7428" s="209"/>
      <c r="T7428" s="209"/>
    </row>
    <row r="7429" spans="1:20" ht="15" hidden="1" customHeight="1">
      <c r="A7429" s="468">
        <v>45569</v>
      </c>
      <c r="B7429" s="208" t="s">
        <v>5665</v>
      </c>
      <c r="C7429" s="208" t="s">
        <v>3331</v>
      </c>
      <c r="D7429" s="211">
        <v>-5000</v>
      </c>
      <c r="E7429" s="212">
        <v>45566</v>
      </c>
      <c r="F7429" s="208" t="s">
        <v>109</v>
      </c>
      <c r="G7429" s="208" t="s">
        <v>10</v>
      </c>
      <c r="H7429" s="208"/>
      <c r="I7429" s="208"/>
      <c r="J7429" s="209"/>
      <c r="K7429" s="209"/>
      <c r="L7429" s="209"/>
      <c r="M7429" s="209"/>
      <c r="N7429" s="209"/>
      <c r="O7429" s="209"/>
      <c r="P7429" s="209"/>
      <c r="Q7429" s="209"/>
      <c r="R7429" s="209"/>
      <c r="S7429" s="209"/>
      <c r="T7429" s="209"/>
    </row>
    <row r="7430" spans="1:20" ht="15" hidden="1" customHeight="1">
      <c r="A7430" s="468">
        <v>45569</v>
      </c>
      <c r="B7430" s="208" t="s">
        <v>5674</v>
      </c>
      <c r="C7430" s="208" t="s">
        <v>3331</v>
      </c>
      <c r="D7430" s="211">
        <v>-7900</v>
      </c>
      <c r="E7430" s="212">
        <v>45566</v>
      </c>
      <c r="F7430" s="208" t="s">
        <v>109</v>
      </c>
      <c r="G7430" s="208" t="s">
        <v>10</v>
      </c>
      <c r="H7430" s="208"/>
      <c r="I7430" s="208"/>
      <c r="J7430" s="209"/>
      <c r="K7430" s="209"/>
      <c r="L7430" s="209"/>
      <c r="M7430" s="209"/>
      <c r="N7430" s="209"/>
      <c r="O7430" s="209"/>
      <c r="P7430" s="209"/>
      <c r="Q7430" s="209"/>
      <c r="R7430" s="209"/>
      <c r="S7430" s="209"/>
      <c r="T7430" s="209"/>
    </row>
    <row r="7431" spans="1:20" s="459" customFormat="1" ht="15" hidden="1" customHeight="1">
      <c r="A7431" s="468">
        <v>45594</v>
      </c>
      <c r="B7431" s="208" t="s">
        <v>5922</v>
      </c>
      <c r="C7431" s="208" t="s">
        <v>146</v>
      </c>
      <c r="D7431" s="211">
        <v>-45900</v>
      </c>
      <c r="E7431" s="212">
        <v>45566</v>
      </c>
      <c r="F7431" s="208" t="s">
        <v>130</v>
      </c>
      <c r="G7431" s="208" t="s">
        <v>130</v>
      </c>
      <c r="H7431" s="208" t="s">
        <v>2444</v>
      </c>
      <c r="I7431" s="208"/>
      <c r="J7431" s="209"/>
      <c r="K7431" s="209"/>
      <c r="L7431" s="209"/>
      <c r="M7431" s="209"/>
      <c r="N7431" s="209"/>
      <c r="O7431" s="209"/>
      <c r="P7431" s="209"/>
      <c r="Q7431" s="209"/>
      <c r="R7431" s="209"/>
      <c r="S7431" s="209"/>
      <c r="T7431" s="209"/>
    </row>
    <row r="7432" spans="1:20" ht="15" hidden="1" customHeight="1">
      <c r="A7432" s="468">
        <v>45590</v>
      </c>
      <c r="B7432" s="208" t="s">
        <v>5923</v>
      </c>
      <c r="C7432" s="208" t="s">
        <v>146</v>
      </c>
      <c r="D7432" s="211">
        <v>-30000</v>
      </c>
      <c r="E7432" s="212">
        <v>45566</v>
      </c>
      <c r="F7432" s="208" t="s">
        <v>109</v>
      </c>
      <c r="G7432" s="223" t="s">
        <v>2983</v>
      </c>
      <c r="H7432" s="81" t="s">
        <v>138</v>
      </c>
      <c r="I7432" s="475" t="s">
        <v>5410</v>
      </c>
      <c r="J7432" s="209"/>
      <c r="K7432" s="209"/>
      <c r="L7432" s="209"/>
      <c r="M7432" s="209"/>
      <c r="N7432" s="209"/>
      <c r="O7432" s="209"/>
      <c r="P7432" s="209"/>
      <c r="Q7432" s="209"/>
      <c r="R7432" s="209"/>
      <c r="S7432" s="209"/>
      <c r="T7432" s="209"/>
    </row>
    <row r="7433" spans="1:20" ht="15" hidden="1" customHeight="1">
      <c r="A7433" s="694">
        <v>45572</v>
      </c>
      <c r="B7433" s="208" t="s">
        <v>5924</v>
      </c>
      <c r="C7433" s="208" t="s">
        <v>146</v>
      </c>
      <c r="D7433" s="211">
        <v>-10000</v>
      </c>
      <c r="E7433" s="212">
        <v>45566</v>
      </c>
      <c r="F7433" s="208" t="s">
        <v>109</v>
      </c>
      <c r="G7433" s="201" t="s">
        <v>581</v>
      </c>
      <c r="H7433" s="208"/>
      <c r="I7433" s="208" t="s">
        <v>1347</v>
      </c>
      <c r="J7433" s="209"/>
      <c r="K7433" s="209"/>
      <c r="L7433" s="209"/>
      <c r="M7433" s="209"/>
      <c r="N7433" s="209"/>
      <c r="O7433" s="209"/>
      <c r="P7433" s="209"/>
      <c r="Q7433" s="209"/>
      <c r="R7433" s="209"/>
      <c r="S7433" s="209"/>
      <c r="T7433" s="209"/>
    </row>
    <row r="7434" spans="1:20" ht="15" hidden="1" customHeight="1">
      <c r="A7434" s="694">
        <v>45574</v>
      </c>
      <c r="B7434" s="208" t="s">
        <v>5924</v>
      </c>
      <c r="C7434" s="208" t="s">
        <v>146</v>
      </c>
      <c r="D7434" s="211">
        <v>-40000</v>
      </c>
      <c r="E7434" s="212">
        <v>45566</v>
      </c>
      <c r="F7434" s="208" t="s">
        <v>109</v>
      </c>
      <c r="G7434" s="201" t="s">
        <v>581</v>
      </c>
      <c r="H7434" s="208"/>
      <c r="I7434" s="208" t="s">
        <v>1347</v>
      </c>
      <c r="J7434" s="209"/>
      <c r="K7434" s="209"/>
      <c r="L7434" s="209"/>
      <c r="M7434" s="209"/>
      <c r="N7434" s="209"/>
      <c r="O7434" s="209"/>
      <c r="P7434" s="209"/>
      <c r="Q7434" s="209"/>
      <c r="R7434" s="209"/>
      <c r="S7434" s="209"/>
      <c r="T7434" s="209"/>
    </row>
    <row r="7435" spans="1:20" ht="15" hidden="1" customHeight="1">
      <c r="A7435" s="694">
        <v>45574</v>
      </c>
      <c r="B7435" s="208" t="s">
        <v>5925</v>
      </c>
      <c r="C7435" s="208" t="s">
        <v>146</v>
      </c>
      <c r="D7435" s="211">
        <v>-4000</v>
      </c>
      <c r="E7435" s="212">
        <v>45566</v>
      </c>
      <c r="F7435" s="208" t="s">
        <v>109</v>
      </c>
      <c r="G7435" s="201" t="s">
        <v>581</v>
      </c>
      <c r="H7435" s="208"/>
      <c r="I7435" s="208" t="s">
        <v>1347</v>
      </c>
      <c r="J7435" s="209"/>
      <c r="K7435" s="209"/>
      <c r="L7435" s="209"/>
      <c r="M7435" s="209"/>
      <c r="N7435" s="209"/>
      <c r="O7435" s="209"/>
      <c r="P7435" s="209"/>
      <c r="Q7435" s="209"/>
      <c r="R7435" s="209"/>
      <c r="S7435" s="209"/>
      <c r="T7435" s="209"/>
    </row>
    <row r="7436" spans="1:20" ht="15" hidden="1" customHeight="1">
      <c r="A7436" s="694">
        <v>45574</v>
      </c>
      <c r="B7436" s="208" t="s">
        <v>5926</v>
      </c>
      <c r="C7436" s="208" t="s">
        <v>146</v>
      </c>
      <c r="D7436" s="211">
        <v>-69000</v>
      </c>
      <c r="E7436" s="212">
        <v>45566</v>
      </c>
      <c r="F7436" s="208" t="s">
        <v>109</v>
      </c>
      <c r="G7436" s="201" t="s">
        <v>581</v>
      </c>
      <c r="H7436" s="208"/>
      <c r="I7436" s="208" t="s">
        <v>1347</v>
      </c>
      <c r="J7436" s="209"/>
      <c r="K7436" s="209"/>
      <c r="L7436" s="209"/>
      <c r="M7436" s="209"/>
      <c r="N7436" s="209"/>
      <c r="O7436" s="209"/>
      <c r="P7436" s="209"/>
      <c r="Q7436" s="209"/>
      <c r="R7436" s="209"/>
      <c r="S7436" s="209"/>
      <c r="T7436" s="209"/>
    </row>
    <row r="7437" spans="1:20" ht="15" hidden="1" customHeight="1">
      <c r="A7437" s="694">
        <v>45574</v>
      </c>
      <c r="B7437" s="208" t="s">
        <v>5926</v>
      </c>
      <c r="C7437" s="208" t="s">
        <v>146</v>
      </c>
      <c r="D7437" s="211">
        <v>-164000</v>
      </c>
      <c r="E7437" s="212">
        <v>45566</v>
      </c>
      <c r="F7437" s="208" t="s">
        <v>109</v>
      </c>
      <c r="G7437" s="201" t="s">
        <v>581</v>
      </c>
      <c r="H7437" s="208"/>
      <c r="I7437" s="208" t="s">
        <v>1347</v>
      </c>
      <c r="J7437" s="209"/>
      <c r="K7437" s="209"/>
      <c r="L7437" s="209"/>
      <c r="M7437" s="209"/>
      <c r="N7437" s="209"/>
      <c r="O7437" s="209"/>
      <c r="P7437" s="209"/>
      <c r="Q7437" s="209"/>
      <c r="R7437" s="209"/>
      <c r="S7437" s="209"/>
      <c r="T7437" s="209"/>
    </row>
    <row r="7438" spans="1:20" ht="15" hidden="1" customHeight="1">
      <c r="A7438" s="694">
        <v>45575</v>
      </c>
      <c r="B7438" s="208" t="s">
        <v>5924</v>
      </c>
      <c r="C7438" s="208" t="s">
        <v>146</v>
      </c>
      <c r="D7438" s="211">
        <v>-20000</v>
      </c>
      <c r="E7438" s="212">
        <v>45566</v>
      </c>
      <c r="F7438" s="208" t="s">
        <v>109</v>
      </c>
      <c r="G7438" s="201" t="s">
        <v>581</v>
      </c>
      <c r="H7438" s="208"/>
      <c r="I7438" s="208" t="s">
        <v>1347</v>
      </c>
      <c r="J7438" s="209"/>
      <c r="K7438" s="209"/>
      <c r="L7438" s="209"/>
      <c r="M7438" s="209"/>
      <c r="N7438" s="209"/>
      <c r="O7438" s="209"/>
      <c r="P7438" s="209"/>
      <c r="Q7438" s="209"/>
      <c r="R7438" s="209"/>
      <c r="S7438" s="209"/>
      <c r="T7438" s="209"/>
    </row>
    <row r="7439" spans="1:20" ht="15" hidden="1" customHeight="1">
      <c r="A7439" s="694">
        <v>45575</v>
      </c>
      <c r="B7439" s="208" t="s">
        <v>5927</v>
      </c>
      <c r="C7439" s="208" t="s">
        <v>146</v>
      </c>
      <c r="D7439" s="211">
        <v>-20000</v>
      </c>
      <c r="E7439" s="212">
        <v>45566</v>
      </c>
      <c r="F7439" s="208" t="s">
        <v>109</v>
      </c>
      <c r="G7439" s="201" t="s">
        <v>581</v>
      </c>
      <c r="H7439" s="208"/>
      <c r="I7439" s="208" t="s">
        <v>1347</v>
      </c>
      <c r="J7439" s="209"/>
      <c r="K7439" s="209"/>
      <c r="L7439" s="209"/>
      <c r="M7439" s="209"/>
      <c r="N7439" s="209"/>
      <c r="O7439" s="209"/>
      <c r="P7439" s="209"/>
      <c r="Q7439" s="209"/>
      <c r="R7439" s="209"/>
      <c r="S7439" s="209"/>
      <c r="T7439" s="209"/>
    </row>
    <row r="7440" spans="1:20" ht="15" hidden="1" customHeight="1">
      <c r="A7440" s="694">
        <v>45575</v>
      </c>
      <c r="B7440" s="208" t="s">
        <v>5928</v>
      </c>
      <c r="C7440" s="208" t="s">
        <v>146</v>
      </c>
      <c r="D7440" s="211">
        <v>-69000</v>
      </c>
      <c r="E7440" s="212">
        <v>45566</v>
      </c>
      <c r="F7440" s="208" t="s">
        <v>109</v>
      </c>
      <c r="G7440" s="201" t="s">
        <v>581</v>
      </c>
      <c r="H7440" s="208"/>
      <c r="I7440" s="208" t="s">
        <v>1347</v>
      </c>
      <c r="J7440" s="209"/>
      <c r="K7440" s="209"/>
      <c r="L7440" s="209"/>
      <c r="M7440" s="209"/>
      <c r="N7440" s="209"/>
      <c r="O7440" s="209"/>
      <c r="P7440" s="209"/>
      <c r="Q7440" s="209"/>
      <c r="R7440" s="209"/>
      <c r="S7440" s="209"/>
      <c r="T7440" s="209"/>
    </row>
    <row r="7441" spans="1:20" ht="15" hidden="1" customHeight="1">
      <c r="A7441" s="694">
        <v>45576</v>
      </c>
      <c r="B7441" s="208" t="s">
        <v>5929</v>
      </c>
      <c r="C7441" s="208" t="s">
        <v>146</v>
      </c>
      <c r="D7441" s="211">
        <v>-117000</v>
      </c>
      <c r="E7441" s="212">
        <v>45566</v>
      </c>
      <c r="F7441" s="208" t="s">
        <v>109</v>
      </c>
      <c r="G7441" s="201" t="s">
        <v>581</v>
      </c>
      <c r="H7441" s="208"/>
      <c r="I7441" s="208" t="s">
        <v>1347</v>
      </c>
      <c r="J7441" s="209"/>
      <c r="K7441" s="209"/>
      <c r="L7441" s="209"/>
      <c r="M7441" s="209"/>
      <c r="N7441" s="209"/>
      <c r="O7441" s="209"/>
      <c r="P7441" s="209"/>
      <c r="Q7441" s="209"/>
      <c r="R7441" s="209"/>
      <c r="S7441" s="209"/>
      <c r="T7441" s="209"/>
    </row>
    <row r="7442" spans="1:20" ht="15" hidden="1" customHeight="1">
      <c r="A7442" s="791">
        <v>45576</v>
      </c>
      <c r="B7442" s="790" t="s">
        <v>5930</v>
      </c>
      <c r="C7442" s="208" t="s">
        <v>146</v>
      </c>
      <c r="D7442" s="211">
        <v>-50000</v>
      </c>
      <c r="E7442" s="212">
        <v>45566</v>
      </c>
      <c r="F7442" s="208" t="s">
        <v>109</v>
      </c>
      <c r="G7442" s="201" t="s">
        <v>581</v>
      </c>
      <c r="H7442" s="208"/>
      <c r="I7442" s="208" t="s">
        <v>1347</v>
      </c>
      <c r="J7442" s="209"/>
      <c r="K7442" s="209"/>
      <c r="L7442" s="209"/>
      <c r="M7442" s="209"/>
      <c r="N7442" s="209"/>
      <c r="O7442" s="209"/>
      <c r="P7442" s="209"/>
      <c r="Q7442" s="209"/>
      <c r="R7442" s="209"/>
      <c r="S7442" s="209"/>
      <c r="T7442" s="209"/>
    </row>
    <row r="7443" spans="1:20" ht="15" hidden="1" customHeight="1">
      <c r="A7443" s="694">
        <v>45576</v>
      </c>
      <c r="B7443" s="208" t="s">
        <v>5931</v>
      </c>
      <c r="C7443" s="208" t="s">
        <v>146</v>
      </c>
      <c r="D7443" s="211">
        <v>-40000</v>
      </c>
      <c r="E7443" s="212">
        <v>45566</v>
      </c>
      <c r="F7443" s="208" t="s">
        <v>109</v>
      </c>
      <c r="G7443" s="201" t="s">
        <v>581</v>
      </c>
      <c r="H7443" s="208"/>
      <c r="I7443" s="208" t="s">
        <v>1347</v>
      </c>
      <c r="J7443" s="209"/>
      <c r="K7443" s="209"/>
      <c r="L7443" s="209"/>
      <c r="M7443" s="209"/>
      <c r="N7443" s="209"/>
      <c r="O7443" s="209"/>
      <c r="P7443" s="209"/>
      <c r="Q7443" s="209"/>
      <c r="R7443" s="209"/>
      <c r="S7443" s="209"/>
      <c r="T7443" s="209"/>
    </row>
    <row r="7444" spans="1:20" ht="15" hidden="1" customHeight="1">
      <c r="A7444" s="694">
        <v>45577</v>
      </c>
      <c r="B7444" s="208" t="s">
        <v>5932</v>
      </c>
      <c r="C7444" s="208" t="s">
        <v>146</v>
      </c>
      <c r="D7444" s="211">
        <v>-120000</v>
      </c>
      <c r="E7444" s="212">
        <v>45566</v>
      </c>
      <c r="F7444" s="208" t="s">
        <v>109</v>
      </c>
      <c r="G7444" s="201" t="s">
        <v>581</v>
      </c>
      <c r="H7444" s="208"/>
      <c r="I7444" s="208" t="s">
        <v>1347</v>
      </c>
      <c r="J7444" s="209"/>
      <c r="K7444" s="209"/>
      <c r="L7444" s="209"/>
      <c r="M7444" s="209"/>
      <c r="N7444" s="209"/>
      <c r="O7444" s="209"/>
      <c r="P7444" s="209"/>
      <c r="Q7444" s="209"/>
      <c r="R7444" s="209"/>
      <c r="S7444" s="209"/>
      <c r="T7444" s="209"/>
    </row>
    <row r="7445" spans="1:20" ht="15" hidden="1" customHeight="1">
      <c r="A7445" s="694">
        <v>45577</v>
      </c>
      <c r="B7445" s="208" t="s">
        <v>5924</v>
      </c>
      <c r="C7445" s="208" t="s">
        <v>146</v>
      </c>
      <c r="D7445" s="211">
        <v>-20000</v>
      </c>
      <c r="E7445" s="212">
        <v>45566</v>
      </c>
      <c r="F7445" s="208" t="s">
        <v>109</v>
      </c>
      <c r="G7445" s="201" t="s">
        <v>581</v>
      </c>
      <c r="H7445" s="208"/>
      <c r="I7445" s="208" t="s">
        <v>1347</v>
      </c>
      <c r="J7445" s="209"/>
      <c r="K7445" s="209"/>
      <c r="L7445" s="209"/>
      <c r="M7445" s="209"/>
      <c r="N7445" s="209"/>
      <c r="O7445" s="209"/>
      <c r="P7445" s="209"/>
      <c r="Q7445" s="209"/>
      <c r="R7445" s="209"/>
      <c r="S7445" s="209"/>
      <c r="T7445" s="209"/>
    </row>
    <row r="7446" spans="1:20" ht="15" hidden="1" customHeight="1">
      <c r="A7446" s="694">
        <v>45577</v>
      </c>
      <c r="B7446" s="208" t="s">
        <v>5933</v>
      </c>
      <c r="C7446" s="208" t="s">
        <v>146</v>
      </c>
      <c r="D7446" s="211">
        <v>-168000</v>
      </c>
      <c r="E7446" s="212">
        <v>45566</v>
      </c>
      <c r="F7446" s="208" t="s">
        <v>109</v>
      </c>
      <c r="G7446" s="201" t="s">
        <v>581</v>
      </c>
      <c r="H7446" s="208"/>
      <c r="I7446" s="208" t="s">
        <v>1347</v>
      </c>
      <c r="J7446" s="209"/>
      <c r="K7446" s="209"/>
      <c r="L7446" s="209"/>
      <c r="M7446" s="209"/>
      <c r="N7446" s="209"/>
      <c r="O7446" s="209"/>
      <c r="P7446" s="209"/>
      <c r="Q7446" s="209"/>
      <c r="R7446" s="209"/>
      <c r="S7446" s="209"/>
      <c r="T7446" s="209"/>
    </row>
    <row r="7447" spans="1:20" ht="15" hidden="1" customHeight="1">
      <c r="A7447" s="694">
        <v>45579</v>
      </c>
      <c r="B7447" s="208" t="s">
        <v>5929</v>
      </c>
      <c r="C7447" s="208" t="s">
        <v>146</v>
      </c>
      <c r="D7447" s="211">
        <v>-59000</v>
      </c>
      <c r="E7447" s="212">
        <v>45566</v>
      </c>
      <c r="F7447" s="208" t="s">
        <v>109</v>
      </c>
      <c r="G7447" s="201" t="s">
        <v>581</v>
      </c>
      <c r="H7447" s="208"/>
      <c r="I7447" s="208" t="s">
        <v>1347</v>
      </c>
      <c r="J7447" s="209"/>
      <c r="K7447" s="209"/>
      <c r="L7447" s="209"/>
      <c r="M7447" s="209"/>
      <c r="N7447" s="209"/>
      <c r="O7447" s="209"/>
      <c r="P7447" s="209"/>
      <c r="Q7447" s="209"/>
      <c r="R7447" s="209"/>
      <c r="S7447" s="209"/>
      <c r="T7447" s="209"/>
    </row>
    <row r="7448" spans="1:20" ht="15" hidden="1" customHeight="1">
      <c r="A7448" s="694">
        <v>45580</v>
      </c>
      <c r="B7448" s="208" t="s">
        <v>5934</v>
      </c>
      <c r="C7448" s="208" t="s">
        <v>146</v>
      </c>
      <c r="D7448" s="211">
        <v>-10000</v>
      </c>
      <c r="E7448" s="212">
        <v>45566</v>
      </c>
      <c r="F7448" s="208" t="s">
        <v>109</v>
      </c>
      <c r="G7448" s="201" t="s">
        <v>581</v>
      </c>
      <c r="H7448" s="208"/>
      <c r="I7448" s="208" t="s">
        <v>1347</v>
      </c>
      <c r="J7448" s="209"/>
      <c r="K7448" s="209"/>
      <c r="L7448" s="209"/>
      <c r="M7448" s="209"/>
      <c r="N7448" s="209"/>
      <c r="O7448" s="209"/>
      <c r="P7448" s="209"/>
      <c r="Q7448" s="209"/>
      <c r="R7448" s="209"/>
      <c r="S7448" s="209"/>
      <c r="T7448" s="209"/>
    </row>
    <row r="7449" spans="1:20" ht="15" hidden="1" customHeight="1">
      <c r="A7449" s="694">
        <v>45580</v>
      </c>
      <c r="B7449" s="208" t="s">
        <v>5935</v>
      </c>
      <c r="C7449" s="208" t="s">
        <v>146</v>
      </c>
      <c r="D7449" s="211">
        <v>-35900</v>
      </c>
      <c r="E7449" s="212">
        <v>45566</v>
      </c>
      <c r="F7449" s="208" t="s">
        <v>109</v>
      </c>
      <c r="G7449" s="201" t="s">
        <v>581</v>
      </c>
      <c r="H7449" s="208"/>
      <c r="I7449" s="208" t="s">
        <v>1347</v>
      </c>
      <c r="J7449" s="209"/>
      <c r="K7449" s="209"/>
      <c r="L7449" s="209"/>
      <c r="M7449" s="209"/>
      <c r="N7449" s="209"/>
      <c r="O7449" s="209"/>
      <c r="P7449" s="209"/>
      <c r="Q7449" s="209"/>
      <c r="R7449" s="209"/>
      <c r="S7449" s="209"/>
      <c r="T7449" s="209"/>
    </row>
    <row r="7450" spans="1:20" ht="15" hidden="1" customHeight="1">
      <c r="A7450" s="694">
        <v>45581</v>
      </c>
      <c r="B7450" s="208" t="s">
        <v>5929</v>
      </c>
      <c r="C7450" s="208" t="s">
        <v>146</v>
      </c>
      <c r="D7450" s="211">
        <v>-298000</v>
      </c>
      <c r="E7450" s="212">
        <v>45566</v>
      </c>
      <c r="F7450" s="208" t="s">
        <v>109</v>
      </c>
      <c r="G7450" s="201" t="s">
        <v>581</v>
      </c>
      <c r="H7450" s="208"/>
      <c r="I7450" s="208" t="s">
        <v>1347</v>
      </c>
      <c r="J7450" s="209"/>
      <c r="K7450" s="209"/>
      <c r="L7450" s="209"/>
      <c r="M7450" s="209"/>
      <c r="N7450" s="209"/>
      <c r="O7450" s="209"/>
      <c r="P7450" s="209"/>
      <c r="Q7450" s="209"/>
      <c r="R7450" s="209"/>
      <c r="S7450" s="209"/>
      <c r="T7450" s="209"/>
    </row>
    <row r="7451" spans="1:20" ht="15" hidden="1" customHeight="1">
      <c r="A7451" s="694">
        <v>45582</v>
      </c>
      <c r="B7451" s="208" t="s">
        <v>5936</v>
      </c>
      <c r="C7451" s="208" t="s">
        <v>146</v>
      </c>
      <c r="D7451" s="211">
        <v>-40000</v>
      </c>
      <c r="E7451" s="212">
        <v>45566</v>
      </c>
      <c r="F7451" s="208" t="s">
        <v>109</v>
      </c>
      <c r="G7451" s="201" t="s">
        <v>581</v>
      </c>
      <c r="H7451" s="208"/>
      <c r="I7451" s="208" t="s">
        <v>1347</v>
      </c>
      <c r="J7451" s="209"/>
      <c r="K7451" s="209"/>
      <c r="L7451" s="209"/>
      <c r="M7451" s="209"/>
      <c r="N7451" s="209"/>
      <c r="O7451" s="209"/>
      <c r="P7451" s="209"/>
      <c r="Q7451" s="209"/>
      <c r="R7451" s="209"/>
      <c r="S7451" s="209"/>
      <c r="T7451" s="209"/>
    </row>
    <row r="7452" spans="1:20" ht="15" hidden="1" customHeight="1">
      <c r="A7452" s="694">
        <v>45582</v>
      </c>
      <c r="B7452" s="208" t="s">
        <v>5937</v>
      </c>
      <c r="C7452" s="208" t="s">
        <v>146</v>
      </c>
      <c r="D7452" s="211">
        <v>-40000</v>
      </c>
      <c r="E7452" s="212">
        <v>45566</v>
      </c>
      <c r="F7452" s="208" t="s">
        <v>109</v>
      </c>
      <c r="G7452" s="201" t="s">
        <v>581</v>
      </c>
      <c r="H7452" s="208"/>
      <c r="I7452" s="208" t="s">
        <v>1347</v>
      </c>
      <c r="J7452" s="209"/>
      <c r="K7452" s="209"/>
      <c r="L7452" s="209"/>
      <c r="M7452" s="209"/>
      <c r="N7452" s="209"/>
      <c r="O7452" s="209"/>
      <c r="P7452" s="209"/>
      <c r="Q7452" s="209"/>
      <c r="R7452" s="209"/>
      <c r="S7452" s="209"/>
      <c r="T7452" s="209"/>
    </row>
    <row r="7453" spans="1:20" ht="15" hidden="1" customHeight="1">
      <c r="A7453" s="694">
        <v>45582</v>
      </c>
      <c r="B7453" s="208" t="s">
        <v>5938</v>
      </c>
      <c r="C7453" s="208" t="s">
        <v>146</v>
      </c>
      <c r="D7453" s="211">
        <v>-64000</v>
      </c>
      <c r="E7453" s="212">
        <v>45566</v>
      </c>
      <c r="F7453" s="208" t="s">
        <v>109</v>
      </c>
      <c r="G7453" s="201" t="s">
        <v>581</v>
      </c>
      <c r="H7453" s="208"/>
      <c r="I7453" s="208" t="s">
        <v>1347</v>
      </c>
      <c r="J7453" s="209"/>
      <c r="K7453" s="209"/>
      <c r="L7453" s="209"/>
      <c r="M7453" s="209"/>
      <c r="N7453" s="209"/>
      <c r="O7453" s="209"/>
      <c r="P7453" s="209"/>
      <c r="Q7453" s="209"/>
      <c r="R7453" s="209"/>
      <c r="S7453" s="209"/>
      <c r="T7453" s="209"/>
    </row>
    <row r="7454" spans="1:20" ht="15" hidden="1" customHeight="1">
      <c r="A7454" s="694">
        <v>45583</v>
      </c>
      <c r="B7454" s="208" t="s">
        <v>5939</v>
      </c>
      <c r="C7454" s="208" t="s">
        <v>146</v>
      </c>
      <c r="D7454" s="211">
        <v>-132500</v>
      </c>
      <c r="E7454" s="212">
        <v>45566</v>
      </c>
      <c r="F7454" s="208" t="s">
        <v>109</v>
      </c>
      <c r="G7454" s="201" t="s">
        <v>581</v>
      </c>
      <c r="H7454" s="208"/>
      <c r="I7454" s="208" t="s">
        <v>1347</v>
      </c>
      <c r="J7454" s="209"/>
      <c r="K7454" s="209"/>
      <c r="L7454" s="209"/>
      <c r="M7454" s="209"/>
      <c r="N7454" s="209"/>
      <c r="O7454" s="209"/>
      <c r="P7454" s="209"/>
      <c r="Q7454" s="209"/>
      <c r="R7454" s="209"/>
      <c r="S7454" s="209"/>
      <c r="T7454" s="209"/>
    </row>
    <row r="7455" spans="1:20" ht="15" hidden="1" customHeight="1">
      <c r="A7455" s="694">
        <v>45583</v>
      </c>
      <c r="B7455" s="208" t="s">
        <v>5924</v>
      </c>
      <c r="C7455" s="208" t="s">
        <v>146</v>
      </c>
      <c r="D7455" s="211">
        <v>-60000</v>
      </c>
      <c r="E7455" s="212">
        <v>45566</v>
      </c>
      <c r="F7455" s="208" t="s">
        <v>109</v>
      </c>
      <c r="G7455" s="201" t="s">
        <v>581</v>
      </c>
      <c r="H7455" s="208"/>
      <c r="I7455" s="208" t="s">
        <v>1347</v>
      </c>
      <c r="J7455" s="209"/>
      <c r="K7455" s="209"/>
      <c r="L7455" s="209"/>
      <c r="M7455" s="209"/>
      <c r="N7455" s="209"/>
      <c r="O7455" s="209"/>
      <c r="P7455" s="209"/>
      <c r="Q7455" s="209"/>
      <c r="R7455" s="209"/>
      <c r="S7455" s="209"/>
      <c r="T7455" s="209"/>
    </row>
    <row r="7456" spans="1:20" ht="15" hidden="1" customHeight="1">
      <c r="A7456" s="694">
        <v>45584</v>
      </c>
      <c r="B7456" s="208" t="s">
        <v>5940</v>
      </c>
      <c r="C7456" s="208" t="s">
        <v>146</v>
      </c>
      <c r="D7456" s="211">
        <v>-120000</v>
      </c>
      <c r="E7456" s="212">
        <v>45566</v>
      </c>
      <c r="F7456" s="208" t="s">
        <v>109</v>
      </c>
      <c r="G7456" s="201" t="s">
        <v>581</v>
      </c>
      <c r="H7456" s="208"/>
      <c r="I7456" s="208" t="s">
        <v>1347</v>
      </c>
      <c r="J7456" s="209"/>
      <c r="K7456" s="209"/>
      <c r="L7456" s="209"/>
      <c r="M7456" s="209"/>
      <c r="N7456" s="209"/>
      <c r="O7456" s="209"/>
      <c r="P7456" s="209"/>
      <c r="Q7456" s="209"/>
      <c r="R7456" s="209"/>
      <c r="S7456" s="209"/>
      <c r="T7456" s="209"/>
    </row>
    <row r="7457" spans="1:20" ht="15" hidden="1" customHeight="1">
      <c r="A7457" s="694">
        <v>45585</v>
      </c>
      <c r="B7457" s="208" t="s">
        <v>5941</v>
      </c>
      <c r="C7457" s="208" t="s">
        <v>146</v>
      </c>
      <c r="D7457" s="211">
        <v>-140000</v>
      </c>
      <c r="E7457" s="212">
        <v>45566</v>
      </c>
      <c r="F7457" s="208" t="s">
        <v>109</v>
      </c>
      <c r="G7457" s="201" t="s">
        <v>581</v>
      </c>
      <c r="H7457" s="208"/>
      <c r="I7457" s="208" t="s">
        <v>1347</v>
      </c>
      <c r="J7457" s="209"/>
      <c r="K7457" s="209"/>
      <c r="L7457" s="209"/>
      <c r="M7457" s="209"/>
      <c r="N7457" s="209"/>
      <c r="O7457" s="209"/>
      <c r="P7457" s="209"/>
      <c r="Q7457" s="209"/>
      <c r="R7457" s="209"/>
      <c r="S7457" s="209"/>
      <c r="T7457" s="209"/>
    </row>
    <row r="7458" spans="1:20" ht="15" hidden="1" customHeight="1">
      <c r="A7458" s="694">
        <v>45586</v>
      </c>
      <c r="B7458" s="208" t="s">
        <v>2699</v>
      </c>
      <c r="C7458" s="208" t="s">
        <v>146</v>
      </c>
      <c r="D7458" s="718">
        <v>-13500</v>
      </c>
      <c r="E7458" s="212">
        <v>45566</v>
      </c>
      <c r="F7458" s="208" t="s">
        <v>109</v>
      </c>
      <c r="G7458" s="201" t="s">
        <v>581</v>
      </c>
      <c r="H7458" s="208"/>
      <c r="I7458" s="208" t="s">
        <v>1347</v>
      </c>
      <c r="J7458" s="209"/>
      <c r="K7458" s="209"/>
      <c r="L7458" s="209"/>
      <c r="M7458" s="209"/>
      <c r="N7458" s="209"/>
      <c r="O7458" s="209"/>
      <c r="P7458" s="209"/>
      <c r="Q7458" s="209"/>
      <c r="R7458" s="209"/>
      <c r="S7458" s="209"/>
      <c r="T7458" s="209"/>
    </row>
    <row r="7459" spans="1:20" ht="15" hidden="1" customHeight="1">
      <c r="A7459" s="791">
        <v>45586</v>
      </c>
      <c r="B7459" s="790" t="s">
        <v>5930</v>
      </c>
      <c r="C7459" s="208" t="s">
        <v>146</v>
      </c>
      <c r="D7459" s="211">
        <v>-50000</v>
      </c>
      <c r="E7459" s="212">
        <v>45566</v>
      </c>
      <c r="F7459" s="208" t="s">
        <v>109</v>
      </c>
      <c r="G7459" s="201" t="s">
        <v>581</v>
      </c>
      <c r="H7459" s="208"/>
      <c r="I7459" s="208" t="s">
        <v>1347</v>
      </c>
      <c r="J7459" s="209"/>
      <c r="K7459" s="209"/>
      <c r="L7459" s="209"/>
      <c r="M7459" s="209"/>
      <c r="N7459" s="209"/>
      <c r="O7459" s="209"/>
      <c r="P7459" s="209"/>
      <c r="Q7459" s="209"/>
      <c r="R7459" s="209"/>
      <c r="S7459" s="209"/>
      <c r="T7459" s="209"/>
    </row>
    <row r="7460" spans="1:20" ht="15" hidden="1" customHeight="1">
      <c r="A7460" s="694">
        <v>45586</v>
      </c>
      <c r="B7460" s="208" t="s">
        <v>5942</v>
      </c>
      <c r="C7460" s="208" t="s">
        <v>146</v>
      </c>
      <c r="D7460" s="211">
        <v>-110000</v>
      </c>
      <c r="E7460" s="212">
        <v>45566</v>
      </c>
      <c r="F7460" s="208" t="s">
        <v>109</v>
      </c>
      <c r="G7460" s="201" t="s">
        <v>581</v>
      </c>
      <c r="H7460" s="208"/>
      <c r="I7460" s="208" t="s">
        <v>1347</v>
      </c>
      <c r="J7460" s="209"/>
      <c r="K7460" s="209"/>
      <c r="L7460" s="209"/>
      <c r="M7460" s="209"/>
      <c r="N7460" s="209"/>
      <c r="O7460" s="209"/>
      <c r="P7460" s="209"/>
      <c r="Q7460" s="209"/>
      <c r="R7460" s="209"/>
      <c r="S7460" s="209"/>
      <c r="T7460" s="209"/>
    </row>
    <row r="7461" spans="1:20" ht="15" hidden="1" customHeight="1">
      <c r="A7461" s="694">
        <v>45586</v>
      </c>
      <c r="B7461" s="208" t="s">
        <v>5943</v>
      </c>
      <c r="C7461" s="208" t="s">
        <v>146</v>
      </c>
      <c r="D7461" s="211">
        <v>-15000</v>
      </c>
      <c r="E7461" s="212">
        <v>45566</v>
      </c>
      <c r="F7461" s="208" t="s">
        <v>109</v>
      </c>
      <c r="G7461" s="201" t="s">
        <v>581</v>
      </c>
      <c r="H7461" s="208"/>
      <c r="I7461" s="208" t="s">
        <v>1347</v>
      </c>
      <c r="J7461" s="209"/>
      <c r="K7461" s="209"/>
      <c r="L7461" s="209"/>
      <c r="M7461" s="209"/>
      <c r="N7461" s="209"/>
      <c r="O7461" s="209"/>
      <c r="P7461" s="209"/>
      <c r="Q7461" s="209"/>
      <c r="R7461" s="209"/>
      <c r="S7461" s="209"/>
      <c r="T7461" s="209"/>
    </row>
    <row r="7462" spans="1:20" ht="15" hidden="1" customHeight="1">
      <c r="A7462" s="694">
        <v>45586</v>
      </c>
      <c r="B7462" s="208" t="s">
        <v>5944</v>
      </c>
      <c r="C7462" s="208" t="s">
        <v>146</v>
      </c>
      <c r="D7462" s="211">
        <v>-4200</v>
      </c>
      <c r="E7462" s="212">
        <v>45566</v>
      </c>
      <c r="F7462" s="208" t="s">
        <v>109</v>
      </c>
      <c r="G7462" s="201" t="s">
        <v>581</v>
      </c>
      <c r="H7462" s="208"/>
      <c r="I7462" s="208" t="s">
        <v>1347</v>
      </c>
      <c r="J7462" s="209"/>
      <c r="K7462" s="209"/>
      <c r="L7462" s="209"/>
      <c r="M7462" s="209"/>
      <c r="N7462" s="209"/>
      <c r="O7462" s="209"/>
      <c r="P7462" s="209"/>
      <c r="Q7462" s="209"/>
      <c r="R7462" s="209"/>
      <c r="S7462" s="209"/>
      <c r="T7462" s="209"/>
    </row>
    <row r="7463" spans="1:20" ht="15" hidden="1" customHeight="1">
      <c r="A7463" s="694">
        <v>45587</v>
      </c>
      <c r="B7463" s="208" t="s">
        <v>5945</v>
      </c>
      <c r="C7463" s="208" t="s">
        <v>146</v>
      </c>
      <c r="D7463" s="718">
        <v>-13500</v>
      </c>
      <c r="E7463" s="212">
        <v>45566</v>
      </c>
      <c r="F7463" s="208" t="s">
        <v>109</v>
      </c>
      <c r="G7463" s="201" t="s">
        <v>581</v>
      </c>
      <c r="H7463" s="208"/>
      <c r="I7463" s="208" t="s">
        <v>1347</v>
      </c>
      <c r="J7463" s="209"/>
      <c r="K7463" s="209"/>
      <c r="L7463" s="209"/>
      <c r="M7463" s="209"/>
      <c r="N7463" s="209"/>
      <c r="O7463" s="209"/>
      <c r="P7463" s="209"/>
      <c r="Q7463" s="209"/>
      <c r="R7463" s="209"/>
      <c r="S7463" s="209"/>
      <c r="T7463" s="209"/>
    </row>
    <row r="7464" spans="1:20" ht="15" hidden="1" customHeight="1">
      <c r="A7464" s="694">
        <v>45587</v>
      </c>
      <c r="B7464" s="208" t="s">
        <v>5946</v>
      </c>
      <c r="C7464" s="208" t="s">
        <v>146</v>
      </c>
      <c r="D7464" s="211">
        <v>-3500</v>
      </c>
      <c r="E7464" s="212">
        <v>45566</v>
      </c>
      <c r="F7464" s="208" t="s">
        <v>109</v>
      </c>
      <c r="G7464" s="201" t="s">
        <v>581</v>
      </c>
      <c r="H7464" s="208"/>
      <c r="I7464" s="208" t="s">
        <v>1347</v>
      </c>
      <c r="J7464" s="209"/>
      <c r="K7464" s="209"/>
      <c r="L7464" s="209"/>
      <c r="M7464" s="209"/>
      <c r="N7464" s="209"/>
      <c r="O7464" s="209"/>
      <c r="P7464" s="209"/>
      <c r="Q7464" s="209"/>
      <c r="R7464" s="209"/>
      <c r="S7464" s="209"/>
      <c r="T7464" s="209"/>
    </row>
    <row r="7465" spans="1:20" ht="15" hidden="1" customHeight="1">
      <c r="A7465" s="694">
        <v>45587</v>
      </c>
      <c r="B7465" s="208" t="s">
        <v>5947</v>
      </c>
      <c r="C7465" s="208" t="s">
        <v>146</v>
      </c>
      <c r="D7465" s="211">
        <v>-1190000</v>
      </c>
      <c r="E7465" s="212">
        <v>45566</v>
      </c>
      <c r="F7465" s="208" t="s">
        <v>109</v>
      </c>
      <c r="G7465" s="201" t="s">
        <v>581</v>
      </c>
      <c r="H7465" s="208"/>
      <c r="I7465" s="208" t="s">
        <v>1347</v>
      </c>
      <c r="J7465" s="209"/>
      <c r="K7465" s="209"/>
      <c r="L7465" s="209"/>
      <c r="M7465" s="209"/>
      <c r="N7465" s="209"/>
      <c r="O7465" s="209"/>
      <c r="P7465" s="209"/>
      <c r="Q7465" s="209"/>
      <c r="R7465" s="209"/>
      <c r="S7465" s="209"/>
      <c r="T7465" s="209"/>
    </row>
    <row r="7466" spans="1:20" ht="15" hidden="1" customHeight="1">
      <c r="A7466" s="791">
        <v>45587</v>
      </c>
      <c r="B7466" s="790" t="s">
        <v>5948</v>
      </c>
      <c r="C7466" s="208" t="s">
        <v>146</v>
      </c>
      <c r="D7466" s="211">
        <v>-30000</v>
      </c>
      <c r="E7466" s="212">
        <v>45566</v>
      </c>
      <c r="F7466" s="208" t="s">
        <v>109</v>
      </c>
      <c r="G7466" s="201" t="s">
        <v>581</v>
      </c>
      <c r="H7466" s="208"/>
      <c r="I7466" s="208" t="s">
        <v>1347</v>
      </c>
      <c r="J7466" s="209"/>
      <c r="K7466" s="209"/>
      <c r="L7466" s="209"/>
      <c r="M7466" s="209"/>
      <c r="N7466" s="209"/>
      <c r="O7466" s="209"/>
      <c r="P7466" s="209"/>
      <c r="Q7466" s="209"/>
      <c r="R7466" s="209"/>
      <c r="S7466" s="209"/>
      <c r="T7466" s="209"/>
    </row>
    <row r="7467" spans="1:20" ht="15" hidden="1" customHeight="1">
      <c r="A7467" s="694">
        <v>45588</v>
      </c>
      <c r="B7467" s="208" t="s">
        <v>5949</v>
      </c>
      <c r="C7467" s="208" t="s">
        <v>146</v>
      </c>
      <c r="D7467" s="211">
        <v>-15000</v>
      </c>
      <c r="E7467" s="212">
        <v>45566</v>
      </c>
      <c r="F7467" s="208" t="s">
        <v>109</v>
      </c>
      <c r="G7467" s="201" t="s">
        <v>581</v>
      </c>
      <c r="H7467" s="208"/>
      <c r="I7467" s="208" t="s">
        <v>1347</v>
      </c>
      <c r="J7467" s="209"/>
      <c r="K7467" s="209"/>
      <c r="L7467" s="209"/>
      <c r="M7467" s="209"/>
      <c r="N7467" s="209"/>
      <c r="O7467" s="209"/>
      <c r="P7467" s="209"/>
      <c r="Q7467" s="209"/>
      <c r="R7467" s="209"/>
      <c r="S7467" s="209"/>
      <c r="T7467" s="209"/>
    </row>
    <row r="7468" spans="1:20" ht="15" hidden="1" customHeight="1">
      <c r="A7468" s="694">
        <v>45588</v>
      </c>
      <c r="B7468" s="208" t="s">
        <v>5924</v>
      </c>
      <c r="C7468" s="208" t="s">
        <v>146</v>
      </c>
      <c r="D7468" s="211">
        <v>-50000</v>
      </c>
      <c r="E7468" s="212">
        <v>45566</v>
      </c>
      <c r="F7468" s="208" t="s">
        <v>109</v>
      </c>
      <c r="G7468" s="201" t="s">
        <v>581</v>
      </c>
      <c r="H7468" s="208"/>
      <c r="I7468" s="208" t="s">
        <v>1347</v>
      </c>
      <c r="J7468" s="209"/>
      <c r="K7468" s="209"/>
      <c r="L7468" s="209"/>
      <c r="M7468" s="209"/>
      <c r="N7468" s="209"/>
      <c r="O7468" s="209"/>
      <c r="P7468" s="209"/>
      <c r="Q7468" s="209"/>
      <c r="R7468" s="209"/>
      <c r="S7468" s="209"/>
      <c r="T7468" s="209"/>
    </row>
    <row r="7469" spans="1:20" ht="15" hidden="1" customHeight="1">
      <c r="A7469" s="694">
        <v>45588</v>
      </c>
      <c r="B7469" s="208" t="s">
        <v>5950</v>
      </c>
      <c r="C7469" s="208" t="s">
        <v>146</v>
      </c>
      <c r="D7469" s="211">
        <v>-40000</v>
      </c>
      <c r="E7469" s="212">
        <v>45566</v>
      </c>
      <c r="F7469" s="208" t="s">
        <v>109</v>
      </c>
      <c r="G7469" s="201" t="s">
        <v>581</v>
      </c>
      <c r="H7469" s="208"/>
      <c r="I7469" s="208" t="s">
        <v>1347</v>
      </c>
      <c r="J7469" s="209"/>
      <c r="K7469" s="209"/>
      <c r="L7469" s="209"/>
      <c r="M7469" s="209"/>
      <c r="N7469" s="209"/>
      <c r="O7469" s="209"/>
      <c r="P7469" s="209"/>
      <c r="Q7469" s="209"/>
      <c r="R7469" s="209"/>
      <c r="S7469" s="209"/>
      <c r="T7469" s="209"/>
    </row>
    <row r="7470" spans="1:20" ht="15" hidden="1" customHeight="1">
      <c r="A7470" s="694">
        <v>45590</v>
      </c>
      <c r="B7470" s="208" t="s">
        <v>5951</v>
      </c>
      <c r="C7470" s="208" t="s">
        <v>146</v>
      </c>
      <c r="D7470" s="211">
        <v>-54000</v>
      </c>
      <c r="E7470" s="212">
        <v>45566</v>
      </c>
      <c r="F7470" s="208" t="s">
        <v>109</v>
      </c>
      <c r="G7470" s="201" t="s">
        <v>581</v>
      </c>
      <c r="H7470" s="208"/>
      <c r="I7470" s="208" t="s">
        <v>1347</v>
      </c>
      <c r="J7470" s="209"/>
      <c r="K7470" s="209"/>
      <c r="L7470" s="209"/>
      <c r="M7470" s="209"/>
      <c r="N7470" s="209"/>
      <c r="O7470" s="209"/>
      <c r="P7470" s="209"/>
      <c r="Q7470" s="209"/>
      <c r="R7470" s="209"/>
      <c r="S7470" s="209"/>
      <c r="T7470" s="209"/>
    </row>
    <row r="7471" spans="1:20" ht="15" hidden="1" customHeight="1">
      <c r="A7471" s="791">
        <v>45590</v>
      </c>
      <c r="B7471" s="790" t="s">
        <v>5952</v>
      </c>
      <c r="C7471" s="208" t="s">
        <v>146</v>
      </c>
      <c r="D7471" s="211">
        <v>-40000</v>
      </c>
      <c r="E7471" s="212">
        <v>45566</v>
      </c>
      <c r="F7471" s="208" t="s">
        <v>109</v>
      </c>
      <c r="G7471" s="201" t="s">
        <v>581</v>
      </c>
      <c r="H7471" s="208"/>
      <c r="I7471" s="208" t="s">
        <v>1347</v>
      </c>
      <c r="J7471" s="209"/>
      <c r="K7471" s="209"/>
      <c r="L7471" s="209"/>
      <c r="M7471" s="209"/>
      <c r="N7471" s="209"/>
      <c r="O7471" s="209"/>
      <c r="P7471" s="209"/>
      <c r="Q7471" s="209"/>
      <c r="R7471" s="209"/>
      <c r="S7471" s="209"/>
      <c r="T7471" s="209"/>
    </row>
    <row r="7472" spans="1:20" ht="15" hidden="1" customHeight="1">
      <c r="A7472" s="694">
        <v>45590</v>
      </c>
      <c r="B7472" s="208" t="s">
        <v>5593</v>
      </c>
      <c r="C7472" s="208" t="s">
        <v>146</v>
      </c>
      <c r="D7472" s="211">
        <v>-30000</v>
      </c>
      <c r="E7472" s="212">
        <v>45566</v>
      </c>
      <c r="F7472" s="208" t="s">
        <v>109</v>
      </c>
      <c r="G7472" s="201" t="s">
        <v>581</v>
      </c>
      <c r="H7472" s="208"/>
      <c r="I7472" s="208" t="s">
        <v>1347</v>
      </c>
      <c r="J7472" s="209"/>
      <c r="K7472" s="209"/>
      <c r="L7472" s="209"/>
      <c r="M7472" s="209"/>
      <c r="N7472" s="209"/>
      <c r="O7472" s="209"/>
      <c r="P7472" s="209"/>
      <c r="Q7472" s="209"/>
      <c r="R7472" s="209"/>
      <c r="S7472" s="209"/>
      <c r="T7472" s="209"/>
    </row>
    <row r="7473" spans="1:20" ht="15" hidden="1" customHeight="1">
      <c r="A7473" s="694">
        <v>45590</v>
      </c>
      <c r="B7473" s="208" t="s">
        <v>5953</v>
      </c>
      <c r="C7473" s="208" t="s">
        <v>146</v>
      </c>
      <c r="D7473" s="211">
        <v>-50000</v>
      </c>
      <c r="E7473" s="212">
        <v>45566</v>
      </c>
      <c r="F7473" s="208" t="s">
        <v>109</v>
      </c>
      <c r="G7473" s="201" t="s">
        <v>581</v>
      </c>
      <c r="H7473" s="208"/>
      <c r="I7473" s="208" t="s">
        <v>1347</v>
      </c>
      <c r="J7473" s="209"/>
      <c r="K7473" s="209"/>
      <c r="L7473" s="209"/>
      <c r="M7473" s="209"/>
      <c r="N7473" s="209"/>
      <c r="O7473" s="209"/>
      <c r="P7473" s="209"/>
      <c r="Q7473" s="209"/>
      <c r="R7473" s="209"/>
      <c r="S7473" s="209"/>
      <c r="T7473" s="209"/>
    </row>
    <row r="7474" spans="1:20" ht="15" hidden="1" customHeight="1">
      <c r="A7474" s="694">
        <v>45590</v>
      </c>
      <c r="B7474" s="208" t="s">
        <v>5931</v>
      </c>
      <c r="C7474" s="208" t="s">
        <v>146</v>
      </c>
      <c r="D7474" s="211">
        <v>-40000</v>
      </c>
      <c r="E7474" s="212">
        <v>45566</v>
      </c>
      <c r="F7474" s="208" t="s">
        <v>109</v>
      </c>
      <c r="G7474" s="201" t="s">
        <v>581</v>
      </c>
      <c r="H7474" s="208"/>
      <c r="I7474" s="208" t="s">
        <v>1347</v>
      </c>
      <c r="J7474" s="209"/>
      <c r="K7474" s="209"/>
      <c r="L7474" s="209"/>
      <c r="M7474" s="209"/>
      <c r="N7474" s="209"/>
      <c r="O7474" s="209"/>
      <c r="P7474" s="209"/>
      <c r="Q7474" s="209"/>
      <c r="R7474" s="209"/>
      <c r="S7474" s="209"/>
      <c r="T7474" s="209"/>
    </row>
    <row r="7475" spans="1:20" ht="15" hidden="1" customHeight="1">
      <c r="A7475" s="694">
        <v>45591</v>
      </c>
      <c r="B7475" s="208" t="s">
        <v>5954</v>
      </c>
      <c r="C7475" s="208" t="s">
        <v>146</v>
      </c>
      <c r="D7475" s="211">
        <v>-120000</v>
      </c>
      <c r="E7475" s="212">
        <v>45566</v>
      </c>
      <c r="F7475" s="208" t="s">
        <v>109</v>
      </c>
      <c r="G7475" s="201" t="s">
        <v>581</v>
      </c>
      <c r="H7475" s="208"/>
      <c r="I7475" s="208" t="s">
        <v>1347</v>
      </c>
      <c r="J7475" s="209"/>
      <c r="K7475" s="209"/>
      <c r="L7475" s="209"/>
      <c r="M7475" s="209"/>
      <c r="N7475" s="209"/>
      <c r="O7475" s="209"/>
      <c r="P7475" s="209"/>
      <c r="Q7475" s="209"/>
      <c r="R7475" s="209"/>
      <c r="S7475" s="209"/>
      <c r="T7475" s="209"/>
    </row>
    <row r="7476" spans="1:20" ht="15" hidden="1" customHeight="1">
      <c r="A7476" s="791">
        <v>45591</v>
      </c>
      <c r="B7476" s="790" t="s">
        <v>5955</v>
      </c>
      <c r="C7476" s="208" t="s">
        <v>146</v>
      </c>
      <c r="D7476" s="211">
        <v>-50000</v>
      </c>
      <c r="E7476" s="212">
        <v>45566</v>
      </c>
      <c r="F7476" s="208" t="s">
        <v>109</v>
      </c>
      <c r="G7476" s="201" t="s">
        <v>581</v>
      </c>
      <c r="H7476" s="208"/>
      <c r="I7476" s="208" t="s">
        <v>1347</v>
      </c>
      <c r="J7476" s="209"/>
      <c r="K7476" s="209"/>
      <c r="L7476" s="209"/>
      <c r="M7476" s="209"/>
      <c r="N7476" s="209"/>
      <c r="O7476" s="209"/>
      <c r="P7476" s="209"/>
      <c r="Q7476" s="209"/>
      <c r="R7476" s="209"/>
      <c r="S7476" s="209"/>
      <c r="T7476" s="209"/>
    </row>
    <row r="7477" spans="1:20" ht="15" hidden="1" customHeight="1">
      <c r="A7477" s="694">
        <v>45591</v>
      </c>
      <c r="B7477" s="208" t="s">
        <v>5956</v>
      </c>
      <c r="C7477" s="208" t="s">
        <v>146</v>
      </c>
      <c r="D7477" s="718">
        <v>-13500</v>
      </c>
      <c r="E7477" s="212">
        <v>45566</v>
      </c>
      <c r="F7477" s="208" t="s">
        <v>109</v>
      </c>
      <c r="G7477" s="201" t="s">
        <v>581</v>
      </c>
      <c r="H7477" s="208"/>
      <c r="I7477" s="208" t="s">
        <v>1347</v>
      </c>
      <c r="J7477" s="209"/>
      <c r="K7477" s="209"/>
      <c r="L7477" s="209"/>
      <c r="M7477" s="209"/>
      <c r="N7477" s="209"/>
      <c r="O7477" s="209"/>
      <c r="P7477" s="209"/>
      <c r="Q7477" s="209"/>
      <c r="R7477" s="209"/>
      <c r="S7477" s="209"/>
      <c r="T7477" s="209"/>
    </row>
    <row r="7478" spans="1:20" ht="15" hidden="1" customHeight="1">
      <c r="A7478" s="694">
        <v>45593</v>
      </c>
      <c r="B7478" s="208" t="s">
        <v>5945</v>
      </c>
      <c r="C7478" s="208" t="s">
        <v>146</v>
      </c>
      <c r="D7478" s="718">
        <v>-13500</v>
      </c>
      <c r="E7478" s="212">
        <v>45566</v>
      </c>
      <c r="F7478" s="208" t="s">
        <v>109</v>
      </c>
      <c r="G7478" s="201" t="s">
        <v>581</v>
      </c>
      <c r="H7478" s="208"/>
      <c r="I7478" s="208" t="s">
        <v>1347</v>
      </c>
      <c r="J7478" s="209"/>
      <c r="K7478" s="209"/>
      <c r="L7478" s="209"/>
      <c r="M7478" s="209"/>
      <c r="N7478" s="209"/>
      <c r="O7478" s="209"/>
      <c r="P7478" s="209"/>
      <c r="Q7478" s="209"/>
      <c r="R7478" s="209"/>
      <c r="S7478" s="209"/>
      <c r="T7478" s="209"/>
    </row>
    <row r="7479" spans="1:20" ht="15" hidden="1" customHeight="1">
      <c r="A7479" s="694">
        <v>45593</v>
      </c>
      <c r="B7479" s="208" t="s">
        <v>5957</v>
      </c>
      <c r="C7479" s="208" t="s">
        <v>146</v>
      </c>
      <c r="D7479" s="211">
        <v>-40000</v>
      </c>
      <c r="E7479" s="212">
        <v>45566</v>
      </c>
      <c r="F7479" s="208" t="s">
        <v>109</v>
      </c>
      <c r="G7479" s="201" t="s">
        <v>581</v>
      </c>
      <c r="H7479" s="208"/>
      <c r="I7479" s="208" t="s">
        <v>1347</v>
      </c>
      <c r="J7479" s="209"/>
      <c r="K7479" s="209"/>
      <c r="L7479" s="209"/>
      <c r="M7479" s="209"/>
      <c r="N7479" s="209"/>
      <c r="O7479" s="209"/>
      <c r="P7479" s="209"/>
      <c r="Q7479" s="209"/>
      <c r="R7479" s="209"/>
      <c r="S7479" s="209"/>
      <c r="T7479" s="209"/>
    </row>
    <row r="7480" spans="1:20" ht="15" hidden="1" customHeight="1">
      <c r="A7480" s="694">
        <v>45593</v>
      </c>
      <c r="B7480" s="208" t="s">
        <v>5958</v>
      </c>
      <c r="C7480" s="208" t="s">
        <v>146</v>
      </c>
      <c r="D7480" s="211">
        <v>-150000</v>
      </c>
      <c r="E7480" s="212">
        <v>45566</v>
      </c>
      <c r="F7480" s="208" t="s">
        <v>109</v>
      </c>
      <c r="G7480" s="201" t="s">
        <v>581</v>
      </c>
      <c r="H7480" s="208"/>
      <c r="I7480" s="208" t="s">
        <v>1347</v>
      </c>
      <c r="J7480" s="209"/>
      <c r="K7480" s="209"/>
      <c r="L7480" s="209"/>
      <c r="M7480" s="209"/>
      <c r="N7480" s="209"/>
      <c r="O7480" s="209"/>
      <c r="P7480" s="209"/>
      <c r="Q7480" s="209"/>
      <c r="R7480" s="209"/>
      <c r="S7480" s="209"/>
      <c r="T7480" s="209"/>
    </row>
    <row r="7481" spans="1:20" ht="15" hidden="1" customHeight="1">
      <c r="A7481" s="694">
        <v>45593</v>
      </c>
      <c r="B7481" s="208" t="s">
        <v>5959</v>
      </c>
      <c r="C7481" s="208" t="s">
        <v>146</v>
      </c>
      <c r="D7481" s="211">
        <v>-25000</v>
      </c>
      <c r="E7481" s="212">
        <v>45566</v>
      </c>
      <c r="F7481" s="208" t="s">
        <v>109</v>
      </c>
      <c r="G7481" s="201" t="s">
        <v>581</v>
      </c>
      <c r="H7481" s="208"/>
      <c r="I7481" s="208" t="s">
        <v>1347</v>
      </c>
      <c r="J7481" s="209"/>
      <c r="K7481" s="209"/>
      <c r="L7481" s="209"/>
      <c r="M7481" s="209"/>
      <c r="N7481" s="209"/>
      <c r="O7481" s="209"/>
      <c r="P7481" s="209"/>
      <c r="Q7481" s="209"/>
      <c r="R7481" s="209"/>
      <c r="S7481" s="209"/>
      <c r="T7481" s="209"/>
    </row>
    <row r="7482" spans="1:20" ht="15" hidden="1" customHeight="1">
      <c r="A7482" s="694">
        <v>45593</v>
      </c>
      <c r="B7482" s="208" t="s">
        <v>5960</v>
      </c>
      <c r="C7482" s="208" t="s">
        <v>146</v>
      </c>
      <c r="D7482" s="211">
        <v>-60000</v>
      </c>
      <c r="E7482" s="212">
        <v>45566</v>
      </c>
      <c r="F7482" s="208" t="s">
        <v>109</v>
      </c>
      <c r="G7482" s="201" t="s">
        <v>581</v>
      </c>
      <c r="H7482" s="208"/>
      <c r="I7482" s="208" t="s">
        <v>1347</v>
      </c>
      <c r="J7482" s="209"/>
      <c r="K7482" s="209"/>
      <c r="L7482" s="209"/>
      <c r="M7482" s="209"/>
      <c r="N7482" s="209"/>
      <c r="O7482" s="209"/>
      <c r="P7482" s="209"/>
      <c r="Q7482" s="209"/>
      <c r="R7482" s="209"/>
      <c r="S7482" s="209"/>
      <c r="T7482" s="209"/>
    </row>
    <row r="7483" spans="1:20" ht="15" hidden="1" customHeight="1">
      <c r="A7483" s="468">
        <v>45595</v>
      </c>
      <c r="B7483" s="208" t="s">
        <v>3846</v>
      </c>
      <c r="C7483" s="208" t="s">
        <v>146</v>
      </c>
      <c r="D7483" s="211">
        <v>-63000</v>
      </c>
      <c r="E7483" s="212">
        <v>45566</v>
      </c>
      <c r="F7483" s="208" t="s">
        <v>110</v>
      </c>
      <c r="G7483" s="208" t="s">
        <v>4990</v>
      </c>
      <c r="H7483" s="81" t="s">
        <v>138</v>
      </c>
      <c r="I7483" s="208"/>
      <c r="J7483" s="209"/>
      <c r="K7483" s="209"/>
      <c r="L7483" s="209"/>
      <c r="M7483" s="209"/>
      <c r="N7483" s="209"/>
      <c r="O7483" s="209"/>
      <c r="P7483" s="209"/>
      <c r="Q7483" s="209"/>
      <c r="R7483" s="209"/>
      <c r="S7483" s="209"/>
      <c r="T7483" s="209"/>
    </row>
    <row r="7484" spans="1:20" ht="14.15" hidden="1">
      <c r="A7484" s="468">
        <v>45595</v>
      </c>
      <c r="B7484" s="208" t="s">
        <v>3846</v>
      </c>
      <c r="C7484" s="208" t="s">
        <v>146</v>
      </c>
      <c r="D7484" s="211">
        <v>-15000</v>
      </c>
      <c r="E7484" s="212">
        <v>45566</v>
      </c>
      <c r="F7484" s="208" t="s">
        <v>109</v>
      </c>
      <c r="G7484" s="201" t="s">
        <v>581</v>
      </c>
      <c r="H7484" s="208"/>
      <c r="I7484" s="208"/>
      <c r="J7484" s="209"/>
      <c r="K7484" s="209"/>
      <c r="L7484" s="209"/>
      <c r="M7484" s="209"/>
      <c r="N7484" s="209"/>
      <c r="O7484" s="209"/>
      <c r="P7484" s="209"/>
      <c r="Q7484" s="209"/>
      <c r="R7484" s="209"/>
      <c r="S7484" s="209"/>
      <c r="T7484" s="209"/>
    </row>
    <row r="7485" spans="1:20" ht="15" hidden="1" customHeight="1">
      <c r="A7485" s="468">
        <v>45595</v>
      </c>
      <c r="B7485" s="208" t="s">
        <v>3846</v>
      </c>
      <c r="C7485" s="208" t="s">
        <v>146</v>
      </c>
      <c r="D7485" s="211">
        <v>-14000</v>
      </c>
      <c r="E7485" s="212">
        <v>45566</v>
      </c>
      <c r="F7485" s="208" t="s">
        <v>110</v>
      </c>
      <c r="G7485" s="208" t="s">
        <v>4294</v>
      </c>
      <c r="H7485" s="81" t="s">
        <v>138</v>
      </c>
      <c r="I7485" s="208"/>
      <c r="J7485" s="209"/>
      <c r="K7485" s="209"/>
      <c r="L7485" s="209"/>
      <c r="M7485" s="209"/>
      <c r="N7485" s="209"/>
      <c r="O7485" s="209"/>
      <c r="P7485" s="209"/>
      <c r="Q7485" s="209"/>
      <c r="R7485" s="209"/>
      <c r="S7485" s="209"/>
      <c r="T7485" s="209"/>
    </row>
    <row r="7486" spans="1:20" ht="15" hidden="1" customHeight="1">
      <c r="A7486" s="468">
        <v>45595</v>
      </c>
      <c r="B7486" s="208" t="s">
        <v>3846</v>
      </c>
      <c r="C7486" s="208" t="s">
        <v>146</v>
      </c>
      <c r="D7486" s="211">
        <v>-50000</v>
      </c>
      <c r="E7486" s="212">
        <v>45566</v>
      </c>
      <c r="F7486" s="208" t="s">
        <v>109</v>
      </c>
      <c r="G7486" s="208" t="s">
        <v>4225</v>
      </c>
      <c r="H7486" s="81" t="s">
        <v>138</v>
      </c>
      <c r="I7486" s="475" t="s">
        <v>5410</v>
      </c>
      <c r="J7486" s="209"/>
      <c r="K7486" s="209"/>
      <c r="L7486" s="209"/>
      <c r="M7486" s="209"/>
      <c r="N7486" s="209"/>
      <c r="O7486" s="209"/>
      <c r="P7486" s="209"/>
      <c r="Q7486" s="209"/>
      <c r="R7486" s="209"/>
      <c r="S7486" s="209"/>
      <c r="T7486" s="209"/>
    </row>
    <row r="7487" spans="1:20" ht="15" hidden="1" customHeight="1">
      <c r="A7487" s="468">
        <v>45595</v>
      </c>
      <c r="B7487" s="208" t="s">
        <v>3846</v>
      </c>
      <c r="C7487" s="208" t="s">
        <v>146</v>
      </c>
      <c r="D7487" s="211">
        <v>-75952</v>
      </c>
      <c r="E7487" s="212">
        <v>45566</v>
      </c>
      <c r="F7487" s="208" t="s">
        <v>110</v>
      </c>
      <c r="G7487" s="201" t="s">
        <v>1489</v>
      </c>
      <c r="H7487" s="81" t="s">
        <v>138</v>
      </c>
      <c r="I7487" s="208"/>
      <c r="J7487" s="209"/>
      <c r="K7487" s="209"/>
      <c r="L7487" s="209"/>
      <c r="M7487" s="209"/>
      <c r="N7487" s="209"/>
      <c r="O7487" s="209"/>
      <c r="P7487" s="209"/>
      <c r="Q7487" s="209"/>
      <c r="R7487" s="209"/>
      <c r="S7487" s="209"/>
      <c r="T7487" s="209"/>
    </row>
    <row r="7488" spans="1:20" ht="15" hidden="1" customHeight="1">
      <c r="A7488" s="468">
        <v>45595</v>
      </c>
      <c r="B7488" s="208" t="s">
        <v>3846</v>
      </c>
      <c r="C7488" s="208" t="s">
        <v>146</v>
      </c>
      <c r="D7488" s="211">
        <v>-52000</v>
      </c>
      <c r="E7488" s="212">
        <v>45566</v>
      </c>
      <c r="F7488" s="208" t="s">
        <v>207</v>
      </c>
      <c r="G7488" s="208" t="s">
        <v>262</v>
      </c>
      <c r="H7488" s="81" t="s">
        <v>138</v>
      </c>
      <c r="I7488" s="208"/>
      <c r="J7488" s="209"/>
      <c r="K7488" s="209"/>
      <c r="L7488" s="209"/>
      <c r="M7488" s="209"/>
      <c r="N7488" s="209"/>
      <c r="O7488" s="209"/>
      <c r="P7488" s="209"/>
      <c r="Q7488" s="209"/>
      <c r="R7488" s="209"/>
      <c r="S7488" s="209"/>
      <c r="T7488" s="209"/>
    </row>
    <row r="7489" spans="1:20" ht="15" hidden="1" customHeight="1">
      <c r="A7489" s="468">
        <v>45595</v>
      </c>
      <c r="B7489" s="208" t="s">
        <v>3846</v>
      </c>
      <c r="C7489" s="208" t="s">
        <v>146</v>
      </c>
      <c r="D7489" s="211">
        <v>-14000</v>
      </c>
      <c r="E7489" s="212">
        <v>45566</v>
      </c>
      <c r="F7489" s="208" t="s">
        <v>110</v>
      </c>
      <c r="G7489" s="208" t="s">
        <v>122</v>
      </c>
      <c r="H7489" s="81" t="s">
        <v>138</v>
      </c>
      <c r="I7489" s="475" t="s">
        <v>5410</v>
      </c>
      <c r="J7489" s="209"/>
      <c r="K7489" s="209"/>
      <c r="L7489" s="209"/>
      <c r="M7489" s="209"/>
      <c r="N7489" s="209"/>
      <c r="O7489" s="209"/>
      <c r="P7489" s="209"/>
      <c r="Q7489" s="209"/>
      <c r="R7489" s="209"/>
      <c r="S7489" s="209"/>
      <c r="T7489" s="209"/>
    </row>
    <row r="7490" spans="1:20" ht="15" hidden="1" customHeight="1">
      <c r="A7490" s="468">
        <v>45595</v>
      </c>
      <c r="B7490" s="208" t="s">
        <v>3846</v>
      </c>
      <c r="C7490" s="208" t="s">
        <v>146</v>
      </c>
      <c r="D7490" s="211">
        <v>-14000</v>
      </c>
      <c r="E7490" s="212">
        <v>45566</v>
      </c>
      <c r="F7490" s="208" t="s">
        <v>130</v>
      </c>
      <c r="G7490" s="208" t="s">
        <v>130</v>
      </c>
      <c r="H7490" s="81" t="s">
        <v>138</v>
      </c>
      <c r="I7490" s="208"/>
      <c r="J7490" s="209"/>
      <c r="K7490" s="209"/>
      <c r="L7490" s="209"/>
      <c r="M7490" s="209"/>
      <c r="N7490" s="209"/>
      <c r="O7490" s="209"/>
      <c r="P7490" s="209"/>
      <c r="Q7490" s="209"/>
      <c r="R7490" s="209"/>
      <c r="S7490" s="209"/>
      <c r="T7490" s="209"/>
    </row>
    <row r="7491" spans="1:20" ht="15" hidden="1" customHeight="1">
      <c r="A7491" s="468">
        <v>45595</v>
      </c>
      <c r="B7491" s="208" t="s">
        <v>3846</v>
      </c>
      <c r="C7491" s="208" t="s">
        <v>146</v>
      </c>
      <c r="D7491" s="211">
        <v>-74000</v>
      </c>
      <c r="E7491" s="212">
        <v>45566</v>
      </c>
      <c r="F7491" s="208" t="s">
        <v>110</v>
      </c>
      <c r="G7491" s="208" t="s">
        <v>5469</v>
      </c>
      <c r="H7491" s="81" t="s">
        <v>138</v>
      </c>
      <c r="I7491" s="475" t="s">
        <v>5410</v>
      </c>
      <c r="J7491" s="209"/>
      <c r="K7491" s="209"/>
      <c r="L7491" s="209"/>
      <c r="M7491" s="209"/>
      <c r="N7491" s="209"/>
      <c r="O7491" s="209"/>
      <c r="P7491" s="209"/>
      <c r="Q7491" s="209"/>
      <c r="R7491" s="209"/>
      <c r="S7491" s="209"/>
      <c r="T7491" s="209"/>
    </row>
    <row r="7492" spans="1:20" ht="15" hidden="1" customHeight="1">
      <c r="A7492" s="468">
        <v>45595</v>
      </c>
      <c r="B7492" s="208" t="s">
        <v>5961</v>
      </c>
      <c r="C7492" s="208" t="s">
        <v>4314</v>
      </c>
      <c r="D7492" s="211">
        <v>-3780</v>
      </c>
      <c r="E7492" s="212">
        <v>45566</v>
      </c>
      <c r="F7492" s="208" t="s">
        <v>110</v>
      </c>
      <c r="G7492" s="201" t="s">
        <v>1489</v>
      </c>
      <c r="H7492" s="81" t="s">
        <v>138</v>
      </c>
      <c r="I7492" s="208"/>
      <c r="J7492" s="209"/>
      <c r="K7492" s="209"/>
      <c r="L7492" s="209"/>
      <c r="M7492" s="209"/>
      <c r="N7492" s="209"/>
      <c r="O7492" s="209"/>
      <c r="P7492" s="209"/>
      <c r="Q7492" s="209"/>
      <c r="R7492" s="209"/>
      <c r="S7492" s="209"/>
      <c r="T7492" s="209"/>
    </row>
    <row r="7493" spans="1:20" ht="15" hidden="1" customHeight="1">
      <c r="A7493" s="468">
        <v>45595</v>
      </c>
      <c r="B7493" s="208" t="s">
        <v>4133</v>
      </c>
      <c r="C7493" s="208" t="s">
        <v>4314</v>
      </c>
      <c r="D7493" s="211">
        <v>-2268</v>
      </c>
      <c r="E7493" s="212">
        <v>45566</v>
      </c>
      <c r="F7493" s="208" t="s">
        <v>110</v>
      </c>
      <c r="G7493" s="201" t="s">
        <v>1489</v>
      </c>
      <c r="H7493" s="81" t="s">
        <v>138</v>
      </c>
      <c r="I7493" s="208"/>
      <c r="J7493" s="209"/>
      <c r="K7493" s="209"/>
      <c r="L7493" s="209"/>
      <c r="M7493" s="209"/>
      <c r="N7493" s="209"/>
      <c r="O7493" s="209"/>
      <c r="P7493" s="209"/>
      <c r="Q7493" s="209"/>
      <c r="R7493" s="209"/>
      <c r="S7493" s="209"/>
      <c r="T7493" s="209"/>
    </row>
    <row r="7494" spans="1:20" ht="15" hidden="1" customHeight="1">
      <c r="A7494" s="468">
        <v>45589</v>
      </c>
      <c r="B7494" s="208" t="s">
        <v>5962</v>
      </c>
      <c r="C7494" s="673" t="s">
        <v>146</v>
      </c>
      <c r="D7494" s="211">
        <v>-31400</v>
      </c>
      <c r="E7494" s="212">
        <v>45566</v>
      </c>
      <c r="F7494" s="208" t="s">
        <v>110</v>
      </c>
      <c r="G7494" s="201" t="s">
        <v>1489</v>
      </c>
      <c r="H7494" s="208" t="s">
        <v>2941</v>
      </c>
      <c r="I7494" s="208" t="s">
        <v>5430</v>
      </c>
      <c r="J7494" s="209"/>
      <c r="K7494" s="209"/>
      <c r="L7494" s="209"/>
      <c r="M7494" s="209"/>
      <c r="N7494" s="209"/>
      <c r="O7494" s="209"/>
      <c r="P7494" s="209"/>
      <c r="Q7494" s="209"/>
      <c r="R7494" s="209"/>
      <c r="S7494" s="209"/>
      <c r="T7494" s="209"/>
    </row>
    <row r="7495" spans="1:20" ht="15" hidden="1" customHeight="1">
      <c r="A7495" s="468">
        <v>45589</v>
      </c>
      <c r="B7495" s="208" t="s">
        <v>5963</v>
      </c>
      <c r="C7495" s="673" t="s">
        <v>146</v>
      </c>
      <c r="D7495" s="211">
        <v>-6000</v>
      </c>
      <c r="E7495" s="212">
        <v>45566</v>
      </c>
      <c r="F7495" s="208" t="s">
        <v>109</v>
      </c>
      <c r="G7495" s="201" t="s">
        <v>1306</v>
      </c>
      <c r="H7495" s="81" t="s">
        <v>138</v>
      </c>
      <c r="I7495" s="208" t="s">
        <v>5430</v>
      </c>
      <c r="J7495" s="209"/>
      <c r="K7495" s="209"/>
      <c r="L7495" s="209"/>
      <c r="M7495" s="209"/>
      <c r="N7495" s="209"/>
      <c r="O7495" s="209"/>
      <c r="P7495" s="209"/>
      <c r="Q7495" s="209"/>
      <c r="R7495" s="209"/>
      <c r="S7495" s="209"/>
      <c r="T7495" s="209"/>
    </row>
    <row r="7496" spans="1:20" ht="15" hidden="1" customHeight="1">
      <c r="A7496" s="468">
        <v>45589</v>
      </c>
      <c r="B7496" s="208" t="s">
        <v>5964</v>
      </c>
      <c r="C7496" s="673" t="s">
        <v>146</v>
      </c>
      <c r="D7496" s="211">
        <v>-6000</v>
      </c>
      <c r="E7496" s="212">
        <v>45566</v>
      </c>
      <c r="F7496" s="208" t="s">
        <v>109</v>
      </c>
      <c r="G7496" s="201" t="s">
        <v>1306</v>
      </c>
      <c r="H7496" s="81" t="s">
        <v>138</v>
      </c>
      <c r="I7496" s="475" t="s">
        <v>5410</v>
      </c>
      <c r="J7496" s="209"/>
      <c r="K7496" s="209"/>
      <c r="L7496" s="209"/>
      <c r="M7496" s="209"/>
      <c r="N7496" s="209"/>
      <c r="O7496" s="209"/>
      <c r="P7496" s="209"/>
      <c r="Q7496" s="209"/>
      <c r="R7496" s="209"/>
      <c r="S7496" s="209"/>
      <c r="T7496" s="209"/>
    </row>
    <row r="7497" spans="1:20" ht="15" hidden="1" customHeight="1">
      <c r="A7497" s="468">
        <v>45590</v>
      </c>
      <c r="B7497" s="208" t="s">
        <v>5965</v>
      </c>
      <c r="C7497" s="673" t="s">
        <v>146</v>
      </c>
      <c r="D7497" s="211">
        <v>-15400</v>
      </c>
      <c r="E7497" s="212">
        <v>45566</v>
      </c>
      <c r="F7497" s="208" t="s">
        <v>110</v>
      </c>
      <c r="G7497" s="208" t="s">
        <v>4990</v>
      </c>
      <c r="H7497" s="208" t="s">
        <v>175</v>
      </c>
      <c r="I7497" s="208" t="s">
        <v>5430</v>
      </c>
      <c r="J7497" s="209"/>
      <c r="K7497" s="209"/>
      <c r="L7497" s="209"/>
      <c r="M7497" s="209"/>
      <c r="N7497" s="209"/>
      <c r="O7497" s="209"/>
      <c r="P7497" s="209"/>
      <c r="Q7497" s="209"/>
      <c r="R7497" s="209"/>
      <c r="S7497" s="209"/>
      <c r="T7497" s="209"/>
    </row>
    <row r="7498" spans="1:20" ht="15" hidden="1" customHeight="1">
      <c r="A7498" s="468">
        <v>45590</v>
      </c>
      <c r="B7498" s="208" t="s">
        <v>5966</v>
      </c>
      <c r="C7498" s="673" t="s">
        <v>146</v>
      </c>
      <c r="D7498" s="211">
        <v>-188199.334</v>
      </c>
      <c r="E7498" s="212">
        <v>45566</v>
      </c>
      <c r="F7498" s="208" t="s">
        <v>110</v>
      </c>
      <c r="G7498" s="208" t="s">
        <v>4294</v>
      </c>
      <c r="H7498" s="208" t="s">
        <v>5448</v>
      </c>
      <c r="I7498" s="208" t="s">
        <v>5430</v>
      </c>
      <c r="J7498" s="209"/>
      <c r="K7498" s="209"/>
      <c r="L7498" s="209"/>
      <c r="M7498" s="209"/>
      <c r="N7498" s="209"/>
      <c r="O7498" s="209"/>
      <c r="P7498" s="209"/>
      <c r="Q7498" s="209"/>
      <c r="R7498" s="209"/>
      <c r="S7498" s="209"/>
      <c r="T7498" s="209"/>
    </row>
    <row r="7499" spans="1:20" ht="15" hidden="1" customHeight="1">
      <c r="A7499" s="468">
        <v>45590</v>
      </c>
      <c r="B7499" s="208" t="s">
        <v>5446</v>
      </c>
      <c r="C7499" s="673" t="s">
        <v>146</v>
      </c>
      <c r="D7499" s="211">
        <v>-15200</v>
      </c>
      <c r="E7499" s="212">
        <v>45566</v>
      </c>
      <c r="F7499" s="208" t="s">
        <v>130</v>
      </c>
      <c r="G7499" s="208" t="s">
        <v>130</v>
      </c>
      <c r="H7499" s="208" t="s">
        <v>2444</v>
      </c>
      <c r="I7499" s="208" t="s">
        <v>5430</v>
      </c>
      <c r="J7499" s="209"/>
      <c r="K7499" s="209"/>
      <c r="L7499" s="209"/>
      <c r="M7499" s="209"/>
      <c r="N7499" s="209"/>
      <c r="O7499" s="209"/>
      <c r="P7499" s="209"/>
      <c r="Q7499" s="209"/>
      <c r="R7499" s="209"/>
      <c r="S7499" s="209"/>
      <c r="T7499" s="209"/>
    </row>
    <row r="7500" spans="1:20" ht="15" hidden="1" customHeight="1">
      <c r="A7500" s="468">
        <v>45590</v>
      </c>
      <c r="B7500" s="208" t="s">
        <v>5446</v>
      </c>
      <c r="C7500" s="673" t="s">
        <v>146</v>
      </c>
      <c r="D7500" s="211">
        <v>-15200</v>
      </c>
      <c r="E7500" s="212">
        <v>45566</v>
      </c>
      <c r="F7500" s="208" t="s">
        <v>109</v>
      </c>
      <c r="G7500" s="208" t="s">
        <v>4986</v>
      </c>
      <c r="H7500" s="208" t="s">
        <v>147</v>
      </c>
      <c r="I7500" s="208" t="s">
        <v>5430</v>
      </c>
      <c r="J7500" s="209"/>
      <c r="K7500" s="209"/>
      <c r="L7500" s="209"/>
      <c r="M7500" s="209"/>
      <c r="N7500" s="209"/>
      <c r="O7500" s="209"/>
      <c r="P7500" s="209"/>
      <c r="Q7500" s="209"/>
      <c r="R7500" s="209"/>
      <c r="S7500" s="209"/>
      <c r="T7500" s="209"/>
    </row>
    <row r="7501" spans="1:20" ht="15" hidden="1" customHeight="1">
      <c r="A7501" s="468">
        <v>45590</v>
      </c>
      <c r="B7501" s="208" t="s">
        <v>5967</v>
      </c>
      <c r="C7501" s="673" t="s">
        <v>146</v>
      </c>
      <c r="D7501" s="211">
        <v>-20000</v>
      </c>
      <c r="E7501" s="212">
        <v>45566</v>
      </c>
      <c r="F7501" s="208" t="s">
        <v>130</v>
      </c>
      <c r="G7501" s="208" t="s">
        <v>130</v>
      </c>
      <c r="H7501" s="208" t="s">
        <v>2444</v>
      </c>
      <c r="I7501" s="208" t="s">
        <v>5430</v>
      </c>
      <c r="J7501" s="209"/>
      <c r="K7501" s="209"/>
      <c r="L7501" s="209"/>
      <c r="M7501" s="209"/>
      <c r="N7501" s="209"/>
      <c r="O7501" s="209"/>
      <c r="P7501" s="209"/>
      <c r="Q7501" s="209"/>
      <c r="R7501" s="209"/>
      <c r="S7501" s="209"/>
      <c r="T7501" s="209"/>
    </row>
    <row r="7502" spans="1:20" ht="15" hidden="1" customHeight="1">
      <c r="A7502" s="468">
        <v>45590</v>
      </c>
      <c r="B7502" s="208" t="s">
        <v>5968</v>
      </c>
      <c r="C7502" s="673" t="s">
        <v>146</v>
      </c>
      <c r="D7502" s="211">
        <v>-10299</v>
      </c>
      <c r="E7502" s="212">
        <v>45566</v>
      </c>
      <c r="F7502" s="208" t="s">
        <v>109</v>
      </c>
      <c r="G7502" s="208" t="s">
        <v>4986</v>
      </c>
      <c r="H7502" s="208" t="s">
        <v>175</v>
      </c>
      <c r="I7502" s="208" t="s">
        <v>5430</v>
      </c>
      <c r="J7502" s="209"/>
      <c r="K7502" s="209"/>
      <c r="L7502" s="209"/>
      <c r="M7502" s="209"/>
      <c r="N7502" s="209"/>
      <c r="O7502" s="209"/>
      <c r="P7502" s="209"/>
      <c r="Q7502" s="209"/>
      <c r="R7502" s="209"/>
      <c r="S7502" s="209"/>
      <c r="T7502" s="209"/>
    </row>
    <row r="7503" spans="1:20" ht="15" hidden="1" customHeight="1">
      <c r="A7503" s="468">
        <v>45590</v>
      </c>
      <c r="B7503" s="208" t="s">
        <v>5969</v>
      </c>
      <c r="C7503" s="673" t="s">
        <v>146</v>
      </c>
      <c r="D7503" s="211">
        <v>-5000</v>
      </c>
      <c r="E7503" s="212">
        <v>45566</v>
      </c>
      <c r="F7503" s="208" t="s">
        <v>110</v>
      </c>
      <c r="G7503" s="208" t="s">
        <v>4294</v>
      </c>
      <c r="H7503" s="201" t="s">
        <v>416</v>
      </c>
      <c r="I7503" s="208" t="s">
        <v>5430</v>
      </c>
      <c r="J7503" s="209"/>
      <c r="K7503" s="209"/>
      <c r="L7503" s="209"/>
      <c r="M7503" s="209"/>
      <c r="N7503" s="209"/>
      <c r="O7503" s="209"/>
      <c r="P7503" s="209"/>
      <c r="Q7503" s="209"/>
      <c r="R7503" s="209"/>
      <c r="S7503" s="209"/>
      <c r="T7503" s="209"/>
    </row>
    <row r="7504" spans="1:20" ht="15" hidden="1" customHeight="1">
      <c r="A7504" s="468">
        <v>45593</v>
      </c>
      <c r="B7504" s="208" t="s">
        <v>5970</v>
      </c>
      <c r="C7504" s="673" t="s">
        <v>146</v>
      </c>
      <c r="D7504" s="211">
        <v>-17000</v>
      </c>
      <c r="E7504" s="212">
        <v>45566</v>
      </c>
      <c r="F7504" s="208" t="s">
        <v>130</v>
      </c>
      <c r="G7504" s="208" t="s">
        <v>130</v>
      </c>
      <c r="H7504" s="81" t="s">
        <v>138</v>
      </c>
      <c r="I7504" s="208" t="s">
        <v>5430</v>
      </c>
      <c r="J7504" s="209"/>
      <c r="K7504" s="209"/>
      <c r="L7504" s="209"/>
      <c r="M7504" s="209"/>
      <c r="N7504" s="209"/>
      <c r="O7504" s="209"/>
      <c r="P7504" s="209"/>
      <c r="Q7504" s="209"/>
      <c r="R7504" s="209"/>
      <c r="S7504" s="209"/>
      <c r="T7504" s="209"/>
    </row>
    <row r="7505" spans="1:20" ht="15" hidden="1" customHeight="1">
      <c r="A7505" s="468">
        <v>45593</v>
      </c>
      <c r="B7505" s="208" t="s">
        <v>5971</v>
      </c>
      <c r="C7505" s="673" t="s">
        <v>146</v>
      </c>
      <c r="D7505" s="211">
        <v>-80400</v>
      </c>
      <c r="E7505" s="212">
        <v>45566</v>
      </c>
      <c r="F7505" s="208" t="s">
        <v>207</v>
      </c>
      <c r="G7505" s="208" t="s">
        <v>450</v>
      </c>
      <c r="H7505" s="201" t="s">
        <v>416</v>
      </c>
      <c r="I7505" s="208" t="s">
        <v>5430</v>
      </c>
      <c r="J7505" s="209"/>
      <c r="K7505" s="209"/>
      <c r="L7505" s="209"/>
      <c r="M7505" s="209"/>
      <c r="N7505" s="209"/>
      <c r="O7505" s="209"/>
      <c r="P7505" s="209"/>
      <c r="Q7505" s="209"/>
      <c r="R7505" s="209"/>
      <c r="S7505" s="209"/>
      <c r="T7505" s="209"/>
    </row>
    <row r="7506" spans="1:20" ht="15" hidden="1" customHeight="1">
      <c r="A7506" s="468">
        <v>45593</v>
      </c>
      <c r="B7506" s="208" t="s">
        <v>5250</v>
      </c>
      <c r="C7506" s="673" t="s">
        <v>146</v>
      </c>
      <c r="D7506" s="211">
        <v>-63000</v>
      </c>
      <c r="E7506" s="212">
        <v>45566</v>
      </c>
      <c r="F7506" s="208" t="s">
        <v>110</v>
      </c>
      <c r="G7506" s="208" t="s">
        <v>4294</v>
      </c>
      <c r="H7506" s="81" t="s">
        <v>138</v>
      </c>
      <c r="I7506" s="208"/>
      <c r="J7506" s="209"/>
      <c r="K7506" s="209"/>
      <c r="L7506" s="209"/>
      <c r="M7506" s="209"/>
      <c r="N7506" s="209"/>
      <c r="O7506" s="209"/>
      <c r="P7506" s="209"/>
      <c r="Q7506" s="209"/>
      <c r="R7506" s="209"/>
      <c r="S7506" s="209"/>
      <c r="T7506" s="209"/>
    </row>
    <row r="7507" spans="1:20" ht="15" hidden="1" customHeight="1">
      <c r="A7507" s="468">
        <v>45593</v>
      </c>
      <c r="B7507" s="208" t="s">
        <v>5250</v>
      </c>
      <c r="C7507" s="673" t="s">
        <v>146</v>
      </c>
      <c r="D7507" s="211">
        <v>-29000</v>
      </c>
      <c r="E7507" s="212">
        <v>45566</v>
      </c>
      <c r="F7507" s="208" t="s">
        <v>109</v>
      </c>
      <c r="G7507" s="208" t="s">
        <v>4986</v>
      </c>
      <c r="H7507" s="81" t="s">
        <v>138</v>
      </c>
      <c r="I7507" s="208"/>
      <c r="J7507" s="209"/>
      <c r="K7507" s="209"/>
      <c r="L7507" s="209"/>
      <c r="M7507" s="209"/>
      <c r="N7507" s="209"/>
      <c r="O7507" s="209"/>
      <c r="P7507" s="209"/>
      <c r="Q7507" s="209"/>
      <c r="R7507" s="209"/>
      <c r="S7507" s="209"/>
      <c r="T7507" s="209"/>
    </row>
    <row r="7508" spans="1:20" ht="15" hidden="1" customHeight="1">
      <c r="A7508" s="468">
        <v>45593</v>
      </c>
      <c r="B7508" s="208" t="s">
        <v>5250</v>
      </c>
      <c r="C7508" s="673" t="s">
        <v>146</v>
      </c>
      <c r="D7508" s="211">
        <v>-7000</v>
      </c>
      <c r="E7508" s="212">
        <v>45566</v>
      </c>
      <c r="F7508" s="208" t="s">
        <v>109</v>
      </c>
      <c r="G7508" s="654" t="s">
        <v>10</v>
      </c>
      <c r="H7508" s="81" t="s">
        <v>138</v>
      </c>
      <c r="I7508" s="208"/>
      <c r="J7508" s="209"/>
      <c r="K7508" s="209"/>
      <c r="L7508" s="209"/>
      <c r="M7508" s="209"/>
      <c r="N7508" s="209"/>
      <c r="O7508" s="209"/>
      <c r="P7508" s="209"/>
      <c r="Q7508" s="209"/>
      <c r="R7508" s="209"/>
      <c r="S7508" s="209"/>
      <c r="T7508" s="209"/>
    </row>
    <row r="7509" spans="1:20" ht="15" hidden="1" customHeight="1">
      <c r="A7509" s="468">
        <v>45593</v>
      </c>
      <c r="B7509" s="208" t="s">
        <v>5250</v>
      </c>
      <c r="C7509" s="673" t="s">
        <v>146</v>
      </c>
      <c r="D7509" s="211">
        <v>-7000</v>
      </c>
      <c r="E7509" s="212">
        <v>45566</v>
      </c>
      <c r="F7509" s="208" t="s">
        <v>109</v>
      </c>
      <c r="G7509" s="208" t="s">
        <v>4225</v>
      </c>
      <c r="H7509" s="81" t="s">
        <v>138</v>
      </c>
      <c r="I7509" s="208"/>
      <c r="J7509" s="209"/>
      <c r="K7509" s="209"/>
      <c r="L7509" s="209"/>
      <c r="M7509" s="209"/>
      <c r="N7509" s="209"/>
      <c r="O7509" s="209"/>
      <c r="P7509" s="209"/>
      <c r="Q7509" s="209"/>
      <c r="R7509" s="209"/>
      <c r="S7509" s="209"/>
      <c r="T7509" s="209"/>
    </row>
    <row r="7510" spans="1:20" ht="15" hidden="1" customHeight="1">
      <c r="A7510" s="468">
        <v>45593</v>
      </c>
      <c r="B7510" s="208" t="s">
        <v>5250</v>
      </c>
      <c r="C7510" s="673" t="s">
        <v>146</v>
      </c>
      <c r="D7510" s="211">
        <v>-21000</v>
      </c>
      <c r="E7510" s="212">
        <v>45566</v>
      </c>
      <c r="F7510" s="208" t="s">
        <v>130</v>
      </c>
      <c r="G7510" s="208" t="s">
        <v>130</v>
      </c>
      <c r="H7510" s="81" t="s">
        <v>138</v>
      </c>
      <c r="I7510" s="208"/>
      <c r="J7510" s="209"/>
      <c r="K7510" s="209"/>
      <c r="L7510" s="209"/>
      <c r="M7510" s="209"/>
      <c r="N7510" s="209"/>
      <c r="O7510" s="209"/>
      <c r="P7510" s="209"/>
      <c r="Q7510" s="209"/>
      <c r="R7510" s="209"/>
      <c r="S7510" s="209"/>
      <c r="T7510" s="209"/>
    </row>
    <row r="7511" spans="1:20" ht="15" hidden="1" customHeight="1">
      <c r="A7511" s="468">
        <v>45593</v>
      </c>
      <c r="B7511" s="208" t="s">
        <v>5250</v>
      </c>
      <c r="C7511" s="673" t="s">
        <v>146</v>
      </c>
      <c r="D7511" s="211">
        <v>-28000</v>
      </c>
      <c r="E7511" s="212">
        <v>45566</v>
      </c>
      <c r="F7511" s="208" t="s">
        <v>109</v>
      </c>
      <c r="G7511" s="201" t="s">
        <v>581</v>
      </c>
      <c r="H7511" s="208"/>
      <c r="I7511" s="208"/>
      <c r="J7511" s="209"/>
      <c r="K7511" s="209"/>
      <c r="L7511" s="209"/>
      <c r="M7511" s="209"/>
      <c r="N7511" s="209"/>
      <c r="O7511" s="209"/>
      <c r="P7511" s="209"/>
      <c r="Q7511" s="209"/>
      <c r="R7511" s="209"/>
      <c r="S7511" s="209"/>
      <c r="T7511" s="209"/>
    </row>
    <row r="7512" spans="1:20" ht="15" hidden="1" customHeight="1">
      <c r="A7512" s="468">
        <v>45593</v>
      </c>
      <c r="B7512" s="208" t="s">
        <v>5250</v>
      </c>
      <c r="C7512" s="673" t="s">
        <v>146</v>
      </c>
      <c r="D7512" s="211">
        <v>-14000</v>
      </c>
      <c r="E7512" s="212">
        <v>45566</v>
      </c>
      <c r="F7512" s="208" t="s">
        <v>110</v>
      </c>
      <c r="G7512" s="201" t="s">
        <v>1489</v>
      </c>
      <c r="H7512" s="81" t="s">
        <v>138</v>
      </c>
      <c r="I7512" s="208"/>
      <c r="J7512" s="209"/>
      <c r="K7512" s="209"/>
      <c r="L7512" s="209"/>
      <c r="M7512" s="209"/>
      <c r="N7512" s="209"/>
      <c r="O7512" s="209"/>
      <c r="P7512" s="209"/>
      <c r="Q7512" s="209"/>
      <c r="R7512" s="209"/>
      <c r="S7512" s="209"/>
      <c r="T7512" s="209"/>
    </row>
    <row r="7513" spans="1:20" ht="15" hidden="1" customHeight="1">
      <c r="A7513" s="468">
        <v>45570</v>
      </c>
      <c r="B7513" s="208" t="s">
        <v>5972</v>
      </c>
      <c r="C7513" s="673" t="s">
        <v>146</v>
      </c>
      <c r="D7513" s="211">
        <v>-30000</v>
      </c>
      <c r="E7513" s="212">
        <v>45566</v>
      </c>
      <c r="F7513" s="208" t="s">
        <v>109</v>
      </c>
      <c r="G7513" s="654" t="s">
        <v>10</v>
      </c>
      <c r="H7513" s="208"/>
      <c r="I7513" s="208" t="s">
        <v>5973</v>
      </c>
      <c r="J7513" s="209"/>
      <c r="K7513" s="209"/>
      <c r="L7513" s="209"/>
      <c r="M7513" s="209"/>
      <c r="N7513" s="209"/>
      <c r="O7513" s="209"/>
      <c r="P7513" s="209"/>
      <c r="Q7513" s="209"/>
      <c r="R7513" s="209"/>
      <c r="S7513" s="209"/>
      <c r="T7513" s="209"/>
    </row>
    <row r="7514" spans="1:20" ht="15" hidden="1" customHeight="1">
      <c r="A7514" s="468">
        <v>45570</v>
      </c>
      <c r="B7514" s="208" t="s">
        <v>5974</v>
      </c>
      <c r="C7514" s="673" t="s">
        <v>146</v>
      </c>
      <c r="D7514" s="211">
        <v>-525000</v>
      </c>
      <c r="E7514" s="212">
        <v>45566</v>
      </c>
      <c r="F7514" s="208" t="s">
        <v>109</v>
      </c>
      <c r="G7514" s="654" t="s">
        <v>10</v>
      </c>
      <c r="H7514" s="208"/>
      <c r="I7514" s="208" t="s">
        <v>5973</v>
      </c>
      <c r="J7514" s="209"/>
      <c r="K7514" s="209"/>
      <c r="L7514" s="209"/>
      <c r="M7514" s="209"/>
      <c r="N7514" s="209"/>
      <c r="O7514" s="209"/>
      <c r="P7514" s="209"/>
      <c r="Q7514" s="209"/>
      <c r="R7514" s="209"/>
      <c r="S7514" s="209"/>
      <c r="T7514" s="209"/>
    </row>
    <row r="7515" spans="1:20" ht="15" hidden="1" customHeight="1">
      <c r="A7515" s="468">
        <v>45573</v>
      </c>
      <c r="B7515" s="208" t="s">
        <v>5975</v>
      </c>
      <c r="C7515" s="673" t="s">
        <v>146</v>
      </c>
      <c r="D7515" s="211">
        <v>-144500</v>
      </c>
      <c r="E7515" s="212">
        <v>45566</v>
      </c>
      <c r="F7515" s="208" t="s">
        <v>109</v>
      </c>
      <c r="G7515" s="654" t="s">
        <v>10</v>
      </c>
      <c r="H7515" s="208"/>
      <c r="I7515" s="208" t="s">
        <v>5973</v>
      </c>
      <c r="J7515" s="209"/>
      <c r="K7515" s="209"/>
      <c r="L7515" s="209"/>
      <c r="M7515" s="209"/>
      <c r="N7515" s="209"/>
      <c r="O7515" s="209"/>
      <c r="P7515" s="209"/>
      <c r="Q7515" s="209"/>
      <c r="R7515" s="209"/>
      <c r="S7515" s="209"/>
      <c r="T7515" s="209"/>
    </row>
    <row r="7516" spans="1:20" ht="15" hidden="1" customHeight="1">
      <c r="A7516" s="468">
        <v>45574</v>
      </c>
      <c r="B7516" s="208" t="s">
        <v>5976</v>
      </c>
      <c r="C7516" s="673" t="s">
        <v>146</v>
      </c>
      <c r="D7516" s="211">
        <v>-20000</v>
      </c>
      <c r="E7516" s="212">
        <v>45566</v>
      </c>
      <c r="F7516" s="208" t="s">
        <v>109</v>
      </c>
      <c r="G7516" s="654" t="s">
        <v>10</v>
      </c>
      <c r="H7516" s="208"/>
      <c r="I7516" s="208" t="s">
        <v>5973</v>
      </c>
      <c r="J7516" s="209"/>
      <c r="K7516" s="209"/>
      <c r="L7516" s="209"/>
      <c r="M7516" s="209"/>
      <c r="N7516" s="209"/>
      <c r="O7516" s="209"/>
      <c r="P7516" s="209"/>
      <c r="Q7516" s="209"/>
      <c r="R7516" s="209"/>
      <c r="S7516" s="209"/>
      <c r="T7516" s="209"/>
    </row>
    <row r="7517" spans="1:20" ht="15" hidden="1" customHeight="1">
      <c r="A7517" s="468">
        <v>45593</v>
      </c>
      <c r="B7517" s="208" t="s">
        <v>5977</v>
      </c>
      <c r="C7517" s="208" t="s">
        <v>146</v>
      </c>
      <c r="D7517" s="211">
        <v>-370000</v>
      </c>
      <c r="E7517" s="212">
        <v>45566</v>
      </c>
      <c r="F7517" s="208" t="s">
        <v>109</v>
      </c>
      <c r="G7517" s="201" t="s">
        <v>581</v>
      </c>
      <c r="H7517" s="208"/>
      <c r="I7517" s="208" t="s">
        <v>47</v>
      </c>
      <c r="J7517" s="209"/>
      <c r="K7517" s="209"/>
      <c r="L7517" s="209"/>
      <c r="M7517" s="209"/>
      <c r="N7517" s="209"/>
      <c r="O7517" s="209"/>
      <c r="P7517" s="209"/>
      <c r="Q7517" s="209"/>
      <c r="R7517" s="209"/>
      <c r="S7517" s="209"/>
      <c r="T7517" s="209"/>
    </row>
    <row r="7518" spans="1:20" ht="15" hidden="1" customHeight="1">
      <c r="A7518" s="468">
        <v>45593</v>
      </c>
      <c r="B7518" s="208" t="s">
        <v>5945</v>
      </c>
      <c r="C7518" s="208" t="s">
        <v>146</v>
      </c>
      <c r="D7518" s="718">
        <v>-13500</v>
      </c>
      <c r="E7518" s="212">
        <v>45566</v>
      </c>
      <c r="F7518" s="208" t="s">
        <v>109</v>
      </c>
      <c r="G7518" s="201" t="s">
        <v>581</v>
      </c>
      <c r="H7518" s="208"/>
      <c r="I7518" s="208" t="s">
        <v>47</v>
      </c>
      <c r="J7518" s="209"/>
      <c r="K7518" s="209"/>
      <c r="L7518" s="209"/>
      <c r="M7518" s="209"/>
      <c r="N7518" s="209"/>
      <c r="O7518" s="209"/>
      <c r="P7518" s="209"/>
      <c r="Q7518" s="209"/>
      <c r="R7518" s="209"/>
      <c r="S7518" s="209"/>
      <c r="T7518" s="209"/>
    </row>
    <row r="7519" spans="1:20" ht="15" hidden="1" customHeight="1">
      <c r="A7519" s="468">
        <v>45596</v>
      </c>
      <c r="B7519" s="208" t="s">
        <v>5978</v>
      </c>
      <c r="C7519" s="208" t="s">
        <v>146</v>
      </c>
      <c r="D7519" s="211">
        <v>-31947</v>
      </c>
      <c r="E7519" s="212">
        <v>45566</v>
      </c>
      <c r="F7519" s="208" t="s">
        <v>109</v>
      </c>
      <c r="G7519" s="201" t="s">
        <v>581</v>
      </c>
      <c r="H7519" s="208"/>
      <c r="I7519" s="208"/>
      <c r="J7519" s="209"/>
      <c r="K7519" s="209"/>
      <c r="L7519" s="209"/>
      <c r="M7519" s="209"/>
      <c r="N7519" s="209"/>
      <c r="O7519" s="209"/>
      <c r="P7519" s="209"/>
      <c r="Q7519" s="209"/>
      <c r="R7519" s="209"/>
      <c r="S7519" s="209"/>
      <c r="T7519" s="209"/>
    </row>
    <row r="7520" spans="1:20" ht="15" hidden="1" customHeight="1">
      <c r="A7520" s="468">
        <v>45596</v>
      </c>
      <c r="B7520" s="208" t="s">
        <v>5979</v>
      </c>
      <c r="C7520" s="208" t="s">
        <v>146</v>
      </c>
      <c r="D7520" s="211">
        <v>-120000</v>
      </c>
      <c r="E7520" s="212">
        <v>45566</v>
      </c>
      <c r="F7520" s="208" t="s">
        <v>130</v>
      </c>
      <c r="G7520" s="208" t="s">
        <v>130</v>
      </c>
      <c r="H7520" s="208" t="s">
        <v>323</v>
      </c>
      <c r="I7520" s="208"/>
      <c r="J7520" s="209"/>
      <c r="K7520" s="209"/>
      <c r="L7520" s="209"/>
      <c r="M7520" s="209"/>
      <c r="N7520" s="209"/>
      <c r="O7520" s="209"/>
      <c r="P7520" s="209"/>
      <c r="Q7520" s="209"/>
      <c r="R7520" s="209"/>
      <c r="S7520" s="209"/>
      <c r="T7520" s="209"/>
    </row>
    <row r="7521" spans="1:20" ht="15" hidden="1" customHeight="1">
      <c r="A7521" s="468">
        <v>45590</v>
      </c>
      <c r="B7521" s="208" t="s">
        <v>5980</v>
      </c>
      <c r="C7521" s="208" t="s">
        <v>146</v>
      </c>
      <c r="D7521" s="211">
        <v>-6000</v>
      </c>
      <c r="E7521" s="212">
        <v>45566</v>
      </c>
      <c r="F7521" s="208" t="s">
        <v>109</v>
      </c>
      <c r="G7521" s="201" t="s">
        <v>581</v>
      </c>
      <c r="H7521" s="208"/>
      <c r="I7521" s="208" t="s">
        <v>5857</v>
      </c>
      <c r="J7521" s="209"/>
      <c r="K7521" s="209"/>
      <c r="L7521" s="209"/>
      <c r="M7521" s="209"/>
      <c r="N7521" s="209"/>
      <c r="O7521" s="209"/>
      <c r="P7521" s="209"/>
      <c r="Q7521" s="209"/>
      <c r="R7521" s="209"/>
      <c r="S7521" s="209"/>
      <c r="T7521" s="209"/>
    </row>
    <row r="7522" spans="1:20" ht="15" hidden="1" customHeight="1">
      <c r="A7522" s="468">
        <v>45590</v>
      </c>
      <c r="B7522" s="208" t="s">
        <v>5981</v>
      </c>
      <c r="C7522" s="208" t="s">
        <v>146</v>
      </c>
      <c r="D7522" s="211">
        <v>-20000</v>
      </c>
      <c r="E7522" s="212">
        <v>45566</v>
      </c>
      <c r="F7522" s="208" t="s">
        <v>109</v>
      </c>
      <c r="G7522" s="201" t="s">
        <v>581</v>
      </c>
      <c r="H7522" s="208"/>
      <c r="I7522" s="208" t="s">
        <v>5857</v>
      </c>
      <c r="J7522" s="209"/>
      <c r="K7522" s="209"/>
      <c r="L7522" s="209"/>
      <c r="M7522" s="209"/>
      <c r="N7522" s="209"/>
      <c r="O7522" s="209"/>
      <c r="P7522" s="209"/>
      <c r="Q7522" s="209"/>
      <c r="R7522" s="209"/>
      <c r="S7522" s="209"/>
      <c r="T7522" s="209"/>
    </row>
    <row r="7523" spans="1:20" ht="15" hidden="1" customHeight="1">
      <c r="A7523" s="468">
        <v>45590</v>
      </c>
      <c r="B7523" s="208" t="s">
        <v>5982</v>
      </c>
      <c r="C7523" s="208" t="s">
        <v>146</v>
      </c>
      <c r="D7523" s="211">
        <v>-18000</v>
      </c>
      <c r="E7523" s="212">
        <v>45566</v>
      </c>
      <c r="F7523" s="208" t="s">
        <v>109</v>
      </c>
      <c r="G7523" s="654" t="s">
        <v>10</v>
      </c>
      <c r="H7523" s="208"/>
      <c r="I7523" s="208" t="s">
        <v>5857</v>
      </c>
      <c r="J7523" s="209"/>
      <c r="K7523" s="209"/>
      <c r="L7523" s="209"/>
      <c r="M7523" s="209"/>
      <c r="N7523" s="209"/>
      <c r="O7523" s="209"/>
      <c r="P7523" s="209"/>
      <c r="Q7523" s="209"/>
      <c r="R7523" s="209"/>
      <c r="S7523" s="209"/>
      <c r="T7523" s="209"/>
    </row>
    <row r="7524" spans="1:20" ht="15" hidden="1" customHeight="1">
      <c r="A7524" s="468">
        <v>45590</v>
      </c>
      <c r="B7524" s="208" t="s">
        <v>5983</v>
      </c>
      <c r="C7524" s="208" t="s">
        <v>146</v>
      </c>
      <c r="D7524" s="211">
        <v>-10000</v>
      </c>
      <c r="E7524" s="212">
        <v>45566</v>
      </c>
      <c r="F7524" s="208" t="s">
        <v>109</v>
      </c>
      <c r="G7524" s="654" t="s">
        <v>10</v>
      </c>
      <c r="H7524" s="208"/>
      <c r="I7524" s="208" t="s">
        <v>5857</v>
      </c>
      <c r="J7524" s="209"/>
      <c r="K7524" s="209"/>
      <c r="L7524" s="209"/>
      <c r="M7524" s="209"/>
      <c r="N7524" s="209"/>
      <c r="O7524" s="209"/>
      <c r="P7524" s="209"/>
      <c r="Q7524" s="209"/>
      <c r="R7524" s="209"/>
      <c r="S7524" s="209"/>
      <c r="T7524" s="209"/>
    </row>
    <row r="7525" spans="1:20" ht="15" hidden="1" customHeight="1">
      <c r="A7525" s="468" t="s">
        <v>5984</v>
      </c>
      <c r="B7525" s="208" t="s">
        <v>5985</v>
      </c>
      <c r="C7525" s="208" t="s">
        <v>146</v>
      </c>
      <c r="D7525" s="211">
        <v>-20000</v>
      </c>
      <c r="E7525" s="212">
        <v>45566</v>
      </c>
      <c r="F7525" s="208" t="s">
        <v>109</v>
      </c>
      <c r="G7525" s="654" t="s">
        <v>10</v>
      </c>
      <c r="H7525" s="208"/>
      <c r="I7525" s="208" t="s">
        <v>5857</v>
      </c>
      <c r="J7525" s="209"/>
      <c r="K7525" s="209"/>
      <c r="L7525" s="209"/>
      <c r="M7525" s="209"/>
      <c r="N7525" s="209"/>
      <c r="O7525" s="209"/>
      <c r="P7525" s="209"/>
      <c r="Q7525" s="209"/>
      <c r="R7525" s="209"/>
      <c r="S7525" s="209"/>
      <c r="T7525" s="209"/>
    </row>
    <row r="7526" spans="1:20" ht="15" hidden="1" customHeight="1">
      <c r="A7526" s="468">
        <v>45590</v>
      </c>
      <c r="B7526" s="208" t="s">
        <v>5986</v>
      </c>
      <c r="C7526" s="208" t="s">
        <v>27</v>
      </c>
      <c r="D7526" s="211">
        <v>-3255788</v>
      </c>
      <c r="E7526" s="212">
        <v>45566</v>
      </c>
      <c r="F7526" s="208" t="s">
        <v>109</v>
      </c>
      <c r="G7526" s="201" t="s">
        <v>581</v>
      </c>
      <c r="H7526" s="208"/>
      <c r="I7526" s="208"/>
      <c r="J7526" s="209"/>
      <c r="K7526" s="209"/>
      <c r="L7526" s="209"/>
      <c r="M7526" s="209"/>
      <c r="N7526" s="209"/>
      <c r="O7526" s="209"/>
      <c r="P7526" s="209"/>
      <c r="Q7526" s="209"/>
      <c r="R7526" s="209"/>
      <c r="S7526" s="209"/>
      <c r="T7526" s="209"/>
    </row>
    <row r="7527" spans="1:20" ht="15" hidden="1" customHeight="1">
      <c r="A7527" s="468">
        <v>45593</v>
      </c>
      <c r="B7527" s="208" t="s">
        <v>5987</v>
      </c>
      <c r="C7527" s="208" t="s">
        <v>27</v>
      </c>
      <c r="D7527" s="211">
        <v>-116800</v>
      </c>
      <c r="E7527" s="212">
        <v>45566</v>
      </c>
      <c r="F7527" s="208" t="s">
        <v>109</v>
      </c>
      <c r="G7527" s="654" t="s">
        <v>10</v>
      </c>
      <c r="H7527" s="208"/>
      <c r="I7527" s="208"/>
      <c r="J7527" s="209"/>
      <c r="K7527" s="209"/>
      <c r="L7527" s="209"/>
      <c r="M7527" s="209"/>
      <c r="N7527" s="209"/>
      <c r="O7527" s="209"/>
      <c r="P7527" s="209"/>
      <c r="Q7527" s="209"/>
      <c r="R7527" s="209"/>
      <c r="S7527" s="209"/>
      <c r="T7527" s="209"/>
    </row>
    <row r="7528" spans="1:20" ht="15" hidden="1" customHeight="1">
      <c r="A7528" s="468">
        <v>45593</v>
      </c>
      <c r="B7528" s="208" t="s">
        <v>5988</v>
      </c>
      <c r="C7528" s="208" t="s">
        <v>27</v>
      </c>
      <c r="D7528" s="211">
        <v>-355200</v>
      </c>
      <c r="E7528" s="212">
        <v>45566</v>
      </c>
      <c r="F7528" s="208" t="s">
        <v>109</v>
      </c>
      <c r="G7528" s="201" t="s">
        <v>581</v>
      </c>
      <c r="H7528" s="208"/>
      <c r="I7528" s="208"/>
      <c r="J7528" s="209"/>
      <c r="K7528" s="209"/>
      <c r="L7528" s="209"/>
      <c r="M7528" s="209"/>
      <c r="N7528" s="209"/>
      <c r="O7528" s="209"/>
      <c r="P7528" s="209"/>
      <c r="Q7528" s="209"/>
      <c r="R7528" s="209"/>
      <c r="S7528" s="209"/>
      <c r="T7528" s="209"/>
    </row>
    <row r="7529" spans="1:20" ht="15" hidden="1" customHeight="1">
      <c r="A7529" s="468">
        <v>45593</v>
      </c>
      <c r="B7529" s="208" t="s">
        <v>5988</v>
      </c>
      <c r="C7529" s="208" t="s">
        <v>27</v>
      </c>
      <c r="D7529" s="211">
        <v>-355200</v>
      </c>
      <c r="E7529" s="212">
        <v>45566</v>
      </c>
      <c r="F7529" s="208" t="s">
        <v>109</v>
      </c>
      <c r="G7529" s="201" t="s">
        <v>583</v>
      </c>
      <c r="H7529" s="208"/>
      <c r="I7529" s="208"/>
      <c r="J7529" s="209"/>
      <c r="K7529" s="209"/>
      <c r="L7529" s="209"/>
      <c r="M7529" s="209"/>
      <c r="N7529" s="209"/>
      <c r="O7529" s="209"/>
      <c r="P7529" s="209"/>
      <c r="Q7529" s="209"/>
      <c r="R7529" s="209"/>
      <c r="S7529" s="209"/>
      <c r="T7529" s="209"/>
    </row>
    <row r="7530" spans="1:20" ht="15" hidden="1" customHeight="1">
      <c r="A7530" s="468">
        <v>45595</v>
      </c>
      <c r="B7530" s="208" t="s">
        <v>5989</v>
      </c>
      <c r="C7530" s="208" t="s">
        <v>27</v>
      </c>
      <c r="D7530" s="718">
        <f>-3680000/3</f>
        <v>-1226666.6666666667</v>
      </c>
      <c r="E7530" s="212">
        <v>45566</v>
      </c>
      <c r="F7530" s="208" t="s">
        <v>109</v>
      </c>
      <c r="G7530" s="201" t="s">
        <v>581</v>
      </c>
      <c r="H7530" s="208"/>
      <c r="I7530" s="208"/>
      <c r="J7530" s="209"/>
      <c r="K7530" s="209"/>
      <c r="L7530" s="209"/>
      <c r="M7530" s="209"/>
      <c r="N7530" s="209"/>
      <c r="O7530" s="209"/>
      <c r="P7530" s="209"/>
      <c r="Q7530" s="209"/>
      <c r="R7530" s="209"/>
      <c r="S7530" s="209"/>
      <c r="T7530" s="209"/>
    </row>
    <row r="7531" spans="1:20" ht="15" hidden="1" customHeight="1">
      <c r="A7531" s="468">
        <v>45595</v>
      </c>
      <c r="B7531" s="208" t="s">
        <v>5989</v>
      </c>
      <c r="C7531" s="208" t="s">
        <v>27</v>
      </c>
      <c r="D7531" s="718">
        <f>-3680000/3</f>
        <v>-1226666.6666666667</v>
      </c>
      <c r="E7531" s="212">
        <v>45566</v>
      </c>
      <c r="F7531" s="208" t="s">
        <v>109</v>
      </c>
      <c r="G7531" s="201" t="s">
        <v>583</v>
      </c>
      <c r="H7531" s="208"/>
      <c r="I7531" s="208"/>
      <c r="J7531" s="209"/>
      <c r="K7531" s="209"/>
      <c r="L7531" s="209"/>
      <c r="M7531" s="209"/>
      <c r="N7531" s="209"/>
      <c r="O7531" s="209"/>
      <c r="P7531" s="209"/>
      <c r="Q7531" s="209"/>
      <c r="R7531" s="209"/>
      <c r="S7531" s="209"/>
      <c r="T7531" s="209"/>
    </row>
    <row r="7532" spans="1:20" ht="15" hidden="1" customHeight="1">
      <c r="A7532" s="468">
        <v>45595</v>
      </c>
      <c r="B7532" s="208" t="s">
        <v>5989</v>
      </c>
      <c r="C7532" s="208" t="s">
        <v>27</v>
      </c>
      <c r="D7532" s="450">
        <f>-3680000/3</f>
        <v>-1226666.6666666667</v>
      </c>
      <c r="E7532" s="212">
        <v>45566</v>
      </c>
      <c r="F7532" s="208" t="s">
        <v>109</v>
      </c>
      <c r="G7532" s="654" t="s">
        <v>5990</v>
      </c>
      <c r="H7532" s="208"/>
      <c r="I7532" s="208"/>
      <c r="J7532" s="209"/>
      <c r="K7532" s="209"/>
      <c r="L7532" s="209"/>
      <c r="M7532" s="209"/>
      <c r="N7532" s="209"/>
      <c r="O7532" s="209"/>
      <c r="P7532" s="209"/>
      <c r="Q7532" s="209"/>
      <c r="R7532" s="209"/>
      <c r="S7532" s="209"/>
      <c r="T7532" s="209"/>
    </row>
    <row r="7533" spans="1:20" ht="15" hidden="1" customHeight="1">
      <c r="A7533" s="468">
        <v>45595</v>
      </c>
      <c r="B7533" s="208" t="s">
        <v>5991</v>
      </c>
      <c r="C7533" s="208" t="s">
        <v>27</v>
      </c>
      <c r="D7533" s="718">
        <f>-6242200/3</f>
        <v>-2080733.3333333333</v>
      </c>
      <c r="E7533" s="212">
        <v>45566</v>
      </c>
      <c r="F7533" s="208" t="s">
        <v>109</v>
      </c>
      <c r="G7533" s="201" t="s">
        <v>581</v>
      </c>
      <c r="H7533" s="208"/>
      <c r="I7533" s="208"/>
      <c r="J7533" s="209"/>
      <c r="K7533" s="209"/>
      <c r="L7533" s="209"/>
      <c r="M7533" s="209"/>
      <c r="N7533" s="209"/>
      <c r="O7533" s="209"/>
      <c r="P7533" s="209"/>
      <c r="Q7533" s="209"/>
      <c r="R7533" s="209"/>
      <c r="S7533" s="209"/>
      <c r="T7533" s="209"/>
    </row>
    <row r="7534" spans="1:20" ht="15" hidden="1" customHeight="1">
      <c r="A7534" s="468">
        <v>45595</v>
      </c>
      <c r="B7534" s="208" t="s">
        <v>5991</v>
      </c>
      <c r="C7534" s="208" t="s">
        <v>27</v>
      </c>
      <c r="D7534" s="718">
        <f>-6242200/3</f>
        <v>-2080733.3333333333</v>
      </c>
      <c r="E7534" s="212">
        <v>45566</v>
      </c>
      <c r="F7534" s="208" t="s">
        <v>109</v>
      </c>
      <c r="G7534" s="201" t="s">
        <v>583</v>
      </c>
      <c r="H7534" s="208"/>
      <c r="I7534" s="208"/>
      <c r="J7534" s="209"/>
      <c r="K7534" s="209"/>
      <c r="L7534" s="209"/>
      <c r="M7534" s="209"/>
      <c r="N7534" s="209"/>
      <c r="O7534" s="209"/>
      <c r="P7534" s="209"/>
      <c r="Q7534" s="209"/>
      <c r="R7534" s="209"/>
      <c r="S7534" s="209"/>
      <c r="T7534" s="209"/>
    </row>
    <row r="7535" spans="1:20" ht="15" hidden="1" customHeight="1">
      <c r="A7535" s="468">
        <v>45595</v>
      </c>
      <c r="B7535" s="208" t="s">
        <v>5991</v>
      </c>
      <c r="C7535" s="208" t="s">
        <v>27</v>
      </c>
      <c r="D7535" s="450">
        <f>-6242200/3</f>
        <v>-2080733.3333333333</v>
      </c>
      <c r="E7535" s="212">
        <v>45566</v>
      </c>
      <c r="F7535" s="208" t="s">
        <v>109</v>
      </c>
      <c r="G7535" s="654" t="s">
        <v>10</v>
      </c>
      <c r="H7535" s="208"/>
      <c r="I7535" s="208"/>
      <c r="J7535" s="209"/>
      <c r="K7535" s="209"/>
      <c r="L7535" s="209"/>
      <c r="M7535" s="209"/>
      <c r="N7535" s="209"/>
      <c r="O7535" s="209"/>
      <c r="P7535" s="209"/>
      <c r="Q7535" s="209"/>
      <c r="R7535" s="209"/>
      <c r="S7535" s="209"/>
      <c r="T7535" s="209"/>
    </row>
    <row r="7536" spans="1:20" ht="15" hidden="1" customHeight="1">
      <c r="A7536" s="468">
        <v>45595</v>
      </c>
      <c r="B7536" s="208" t="s">
        <v>5992</v>
      </c>
      <c r="C7536" s="208" t="s">
        <v>27</v>
      </c>
      <c r="D7536" s="718">
        <v>-1228700</v>
      </c>
      <c r="E7536" s="212">
        <v>45566</v>
      </c>
      <c r="F7536" s="208" t="s">
        <v>109</v>
      </c>
      <c r="G7536" s="201" t="s">
        <v>581</v>
      </c>
      <c r="H7536" s="208"/>
      <c r="I7536" s="208"/>
      <c r="J7536" s="209"/>
      <c r="K7536" s="209"/>
      <c r="L7536" s="209"/>
      <c r="M7536" s="209"/>
      <c r="N7536" s="209"/>
      <c r="O7536" s="209"/>
      <c r="P7536" s="209"/>
      <c r="Q7536" s="209"/>
      <c r="R7536" s="209"/>
      <c r="S7536" s="209"/>
      <c r="T7536" s="209"/>
    </row>
    <row r="7537" spans="1:20" ht="15" hidden="1" customHeight="1">
      <c r="A7537" s="468">
        <v>45595</v>
      </c>
      <c r="B7537" s="208" t="s">
        <v>5993</v>
      </c>
      <c r="C7537" s="208" t="s">
        <v>27</v>
      </c>
      <c r="D7537" s="211">
        <v>-2862230</v>
      </c>
      <c r="E7537" s="212">
        <v>45566</v>
      </c>
      <c r="F7537" s="208" t="s">
        <v>130</v>
      </c>
      <c r="G7537" s="208" t="s">
        <v>130</v>
      </c>
      <c r="H7537" s="208" t="s">
        <v>2421</v>
      </c>
      <c r="I7537" s="208"/>
      <c r="J7537" s="209"/>
      <c r="K7537" s="209"/>
      <c r="L7537" s="209"/>
      <c r="M7537" s="209"/>
      <c r="N7537" s="209"/>
      <c r="O7537" s="209"/>
      <c r="P7537" s="209"/>
      <c r="Q7537" s="209"/>
      <c r="R7537" s="209"/>
      <c r="S7537" s="209"/>
      <c r="T7537" s="209"/>
    </row>
    <row r="7538" spans="1:20" ht="15" hidden="1" customHeight="1">
      <c r="A7538" s="468">
        <v>45595</v>
      </c>
      <c r="B7538" s="208" t="s">
        <v>5994</v>
      </c>
      <c r="C7538" s="208" t="s">
        <v>27</v>
      </c>
      <c r="D7538" s="211">
        <v>-1089245</v>
      </c>
      <c r="E7538" s="212">
        <v>45566</v>
      </c>
      <c r="F7538" s="208" t="s">
        <v>110</v>
      </c>
      <c r="G7538" s="201" t="s">
        <v>1489</v>
      </c>
      <c r="H7538" s="208" t="s">
        <v>147</v>
      </c>
      <c r="I7538" s="208"/>
      <c r="J7538" s="209"/>
      <c r="K7538" s="209"/>
      <c r="L7538" s="209"/>
      <c r="M7538" s="209"/>
      <c r="N7538" s="209"/>
      <c r="O7538" s="209"/>
      <c r="P7538" s="209"/>
      <c r="Q7538" s="209"/>
      <c r="R7538" s="209"/>
      <c r="S7538" s="209"/>
      <c r="T7538" s="209"/>
    </row>
    <row r="7539" spans="1:20" ht="15" hidden="1" customHeight="1">
      <c r="A7539" s="468">
        <v>45595</v>
      </c>
      <c r="B7539" s="208" t="s">
        <v>5995</v>
      </c>
      <c r="C7539" s="208" t="s">
        <v>27</v>
      </c>
      <c r="D7539" s="211">
        <v>-9054530</v>
      </c>
      <c r="E7539" s="212">
        <v>45566</v>
      </c>
      <c r="F7539" s="208" t="s">
        <v>130</v>
      </c>
      <c r="G7539" s="208" t="s">
        <v>130</v>
      </c>
      <c r="H7539" s="208" t="s">
        <v>2421</v>
      </c>
      <c r="I7539" s="208"/>
      <c r="J7539" s="209"/>
      <c r="K7539" s="209"/>
      <c r="L7539" s="209"/>
      <c r="M7539" s="209"/>
      <c r="N7539" s="209"/>
      <c r="O7539" s="209"/>
      <c r="P7539" s="209"/>
      <c r="Q7539" s="209"/>
      <c r="R7539" s="209"/>
      <c r="S7539" s="209"/>
      <c r="T7539" s="209"/>
    </row>
    <row r="7540" spans="1:20" ht="15" hidden="1" customHeight="1">
      <c r="A7540" s="468">
        <v>45595</v>
      </c>
      <c r="B7540" s="208" t="s">
        <v>5996</v>
      </c>
      <c r="C7540" s="208" t="s">
        <v>27</v>
      </c>
      <c r="D7540" s="211">
        <v>-7665962</v>
      </c>
      <c r="E7540" s="212">
        <v>45566</v>
      </c>
      <c r="F7540" s="208" t="s">
        <v>109</v>
      </c>
      <c r="G7540" s="654" t="s">
        <v>2809</v>
      </c>
      <c r="H7540" s="208" t="s">
        <v>2421</v>
      </c>
      <c r="I7540" s="208"/>
      <c r="J7540" s="209"/>
      <c r="K7540" s="209"/>
      <c r="L7540" s="209"/>
      <c r="M7540" s="209"/>
      <c r="N7540" s="209"/>
      <c r="O7540" s="209"/>
      <c r="P7540" s="209"/>
      <c r="Q7540" s="209"/>
      <c r="R7540" s="209"/>
      <c r="S7540" s="209"/>
      <c r="T7540" s="209"/>
    </row>
    <row r="7541" spans="1:20" ht="15" hidden="1" customHeight="1">
      <c r="A7541" s="468">
        <v>45595</v>
      </c>
      <c r="B7541" s="208" t="s">
        <v>5997</v>
      </c>
      <c r="C7541" s="208" t="s">
        <v>27</v>
      </c>
      <c r="D7541" s="211">
        <v>-9054530</v>
      </c>
      <c r="E7541" s="212">
        <v>45566</v>
      </c>
      <c r="F7541" s="208" t="s">
        <v>130</v>
      </c>
      <c r="G7541" s="208" t="s">
        <v>130</v>
      </c>
      <c r="H7541" s="208" t="s">
        <v>2421</v>
      </c>
      <c r="I7541" s="208"/>
      <c r="J7541" s="209"/>
      <c r="K7541" s="209"/>
      <c r="L7541" s="209"/>
      <c r="M7541" s="209"/>
      <c r="N7541" s="209"/>
      <c r="O7541" s="209"/>
      <c r="P7541" s="209"/>
      <c r="Q7541" s="209"/>
      <c r="R7541" s="209"/>
      <c r="S7541" s="209"/>
      <c r="T7541" s="209"/>
    </row>
    <row r="7542" spans="1:20" ht="15" hidden="1" customHeight="1">
      <c r="A7542" s="468">
        <v>45595</v>
      </c>
      <c r="B7542" s="208" t="s">
        <v>5998</v>
      </c>
      <c r="C7542" s="208" t="s">
        <v>27</v>
      </c>
      <c r="D7542" s="211">
        <v>-699240</v>
      </c>
      <c r="E7542" s="212">
        <v>45566</v>
      </c>
      <c r="F7542" s="208" t="s">
        <v>130</v>
      </c>
      <c r="G7542" s="208" t="s">
        <v>130</v>
      </c>
      <c r="H7542" s="208" t="s">
        <v>2421</v>
      </c>
      <c r="I7542" s="208"/>
      <c r="J7542" s="209"/>
      <c r="K7542" s="209"/>
      <c r="L7542" s="209"/>
      <c r="M7542" s="209"/>
      <c r="N7542" s="209"/>
      <c r="O7542" s="209"/>
      <c r="P7542" s="209"/>
      <c r="Q7542" s="209"/>
      <c r="R7542" s="209"/>
      <c r="S7542" s="209"/>
      <c r="T7542" s="209"/>
    </row>
    <row r="7543" spans="1:20" ht="15" hidden="1" customHeight="1">
      <c r="A7543" s="468">
        <v>45595</v>
      </c>
      <c r="B7543" s="208" t="s">
        <v>5999</v>
      </c>
      <c r="C7543" s="208" t="s">
        <v>27</v>
      </c>
      <c r="D7543" s="211">
        <v>-679000</v>
      </c>
      <c r="E7543" s="212">
        <v>45566</v>
      </c>
      <c r="F7543" s="208" t="s">
        <v>110</v>
      </c>
      <c r="G7543" s="201" t="s">
        <v>1489</v>
      </c>
      <c r="H7543" s="208" t="s">
        <v>147</v>
      </c>
      <c r="I7543" s="208"/>
      <c r="J7543" s="209"/>
      <c r="K7543" s="209"/>
      <c r="L7543" s="209"/>
      <c r="M7543" s="209"/>
      <c r="N7543" s="209"/>
      <c r="O7543" s="209"/>
      <c r="P7543" s="209"/>
      <c r="Q7543" s="209"/>
      <c r="R7543" s="209"/>
      <c r="S7543" s="209"/>
      <c r="T7543" s="209"/>
    </row>
    <row r="7544" spans="1:20" ht="15" hidden="1" customHeight="1">
      <c r="A7544" s="468">
        <v>45595</v>
      </c>
      <c r="B7544" s="208" t="s">
        <v>6000</v>
      </c>
      <c r="C7544" s="208" t="s">
        <v>27</v>
      </c>
      <c r="D7544" s="211">
        <v>-936000</v>
      </c>
      <c r="E7544" s="212">
        <v>45566</v>
      </c>
      <c r="F7544" s="208" t="s">
        <v>110</v>
      </c>
      <c r="G7544" s="201" t="s">
        <v>1489</v>
      </c>
      <c r="H7544" s="208" t="s">
        <v>147</v>
      </c>
      <c r="I7544" s="208"/>
      <c r="J7544" s="209"/>
      <c r="K7544" s="209"/>
      <c r="L7544" s="209"/>
      <c r="M7544" s="209"/>
      <c r="N7544" s="209"/>
      <c r="O7544" s="209"/>
      <c r="P7544" s="209"/>
      <c r="Q7544" s="209"/>
      <c r="R7544" s="209"/>
      <c r="S7544" s="209"/>
      <c r="T7544" s="209"/>
    </row>
    <row r="7545" spans="1:20" ht="15" hidden="1" customHeight="1">
      <c r="A7545" s="468">
        <v>45595</v>
      </c>
      <c r="B7545" s="208" t="s">
        <v>6001</v>
      </c>
      <c r="C7545" s="208" t="s">
        <v>27</v>
      </c>
      <c r="D7545" s="211">
        <v>-1001000</v>
      </c>
      <c r="E7545" s="212">
        <v>45566</v>
      </c>
      <c r="F7545" s="208" t="s">
        <v>109</v>
      </c>
      <c r="G7545" s="208" t="s">
        <v>4986</v>
      </c>
      <c r="H7545" s="208" t="s">
        <v>147</v>
      </c>
      <c r="I7545" s="208"/>
      <c r="J7545" s="209"/>
      <c r="K7545" s="209"/>
      <c r="L7545" s="209"/>
      <c r="M7545" s="209"/>
      <c r="N7545" s="209"/>
      <c r="O7545" s="209"/>
      <c r="P7545" s="209"/>
      <c r="Q7545" s="209"/>
      <c r="R7545" s="209"/>
      <c r="S7545" s="209"/>
      <c r="T7545" s="209"/>
    </row>
    <row r="7546" spans="1:20" ht="15" hidden="1" customHeight="1">
      <c r="A7546" s="468">
        <v>45595</v>
      </c>
      <c r="B7546" s="208" t="s">
        <v>6002</v>
      </c>
      <c r="C7546" s="208" t="s">
        <v>27</v>
      </c>
      <c r="D7546" s="718">
        <v>-692000</v>
      </c>
      <c r="E7546" s="212">
        <v>45566</v>
      </c>
      <c r="F7546" s="208" t="s">
        <v>109</v>
      </c>
      <c r="G7546" s="201" t="s">
        <v>581</v>
      </c>
      <c r="H7546" s="208"/>
      <c r="I7546" s="208"/>
      <c r="J7546" s="209"/>
      <c r="K7546" s="209"/>
      <c r="L7546" s="209"/>
      <c r="M7546" s="209"/>
      <c r="N7546" s="209"/>
      <c r="O7546" s="209"/>
      <c r="P7546" s="209"/>
      <c r="Q7546" s="209"/>
      <c r="R7546" s="209"/>
      <c r="S7546" s="209"/>
      <c r="T7546" s="209"/>
    </row>
    <row r="7547" spans="1:20" ht="15" hidden="1" customHeight="1">
      <c r="A7547" s="468">
        <v>45595</v>
      </c>
      <c r="B7547" s="208" t="s">
        <v>6003</v>
      </c>
      <c r="C7547" s="208" t="s">
        <v>27</v>
      </c>
      <c r="D7547" s="211">
        <v>-679000</v>
      </c>
      <c r="E7547" s="212">
        <v>45566</v>
      </c>
      <c r="F7547" s="208" t="s">
        <v>110</v>
      </c>
      <c r="G7547" s="201" t="s">
        <v>1489</v>
      </c>
      <c r="H7547" s="208" t="s">
        <v>147</v>
      </c>
      <c r="I7547" s="208"/>
      <c r="J7547" s="209"/>
      <c r="K7547" s="209"/>
      <c r="L7547" s="209"/>
      <c r="M7547" s="209"/>
      <c r="N7547" s="209"/>
      <c r="O7547" s="209"/>
      <c r="P7547" s="209"/>
      <c r="Q7547" s="209"/>
      <c r="R7547" s="209"/>
      <c r="S7547" s="209"/>
      <c r="T7547" s="209"/>
    </row>
    <row r="7548" spans="1:20" ht="15" hidden="1" customHeight="1">
      <c r="A7548" s="468">
        <v>45595</v>
      </c>
      <c r="B7548" s="208" t="s">
        <v>6004</v>
      </c>
      <c r="C7548" s="208" t="s">
        <v>27</v>
      </c>
      <c r="D7548" s="211">
        <v>-2915200</v>
      </c>
      <c r="E7548" s="212">
        <v>45566</v>
      </c>
      <c r="F7548" s="208" t="s">
        <v>110</v>
      </c>
      <c r="G7548" s="201" t="s">
        <v>1489</v>
      </c>
      <c r="H7548" s="208" t="s">
        <v>147</v>
      </c>
      <c r="I7548" s="208"/>
      <c r="J7548" s="209"/>
      <c r="K7548" s="209"/>
      <c r="L7548" s="209"/>
      <c r="M7548" s="209"/>
      <c r="N7548" s="209"/>
      <c r="O7548" s="209"/>
      <c r="P7548" s="209"/>
      <c r="Q7548" s="209"/>
      <c r="R7548" s="209"/>
      <c r="S7548" s="209"/>
      <c r="T7548" s="209"/>
    </row>
    <row r="7549" spans="1:20" ht="15" hidden="1" customHeight="1">
      <c r="A7549" s="468">
        <v>45595</v>
      </c>
      <c r="B7549" s="208" t="s">
        <v>6005</v>
      </c>
      <c r="C7549" s="208" t="s">
        <v>27</v>
      </c>
      <c r="D7549" s="211">
        <v>-3118800</v>
      </c>
      <c r="E7549" s="212">
        <v>45566</v>
      </c>
      <c r="F7549" s="208" t="s">
        <v>109</v>
      </c>
      <c r="G7549" s="654" t="s">
        <v>2809</v>
      </c>
      <c r="H7549" s="208" t="s">
        <v>2421</v>
      </c>
      <c r="I7549" s="208"/>
      <c r="J7549" s="209"/>
      <c r="K7549" s="209"/>
      <c r="L7549" s="209"/>
      <c r="M7549" s="209"/>
      <c r="N7549" s="209"/>
      <c r="O7549" s="209"/>
      <c r="P7549" s="209"/>
      <c r="Q7549" s="209"/>
      <c r="R7549" s="209"/>
      <c r="S7549" s="209"/>
      <c r="T7549" s="209"/>
    </row>
    <row r="7550" spans="1:20" ht="15" hidden="1" customHeight="1">
      <c r="A7550" s="468">
        <v>45595</v>
      </c>
      <c r="B7550" s="208" t="s">
        <v>6006</v>
      </c>
      <c r="C7550" s="208" t="s">
        <v>27</v>
      </c>
      <c r="D7550" s="211">
        <v>-2024000</v>
      </c>
      <c r="E7550" s="212">
        <v>45566</v>
      </c>
      <c r="F7550" s="208" t="s">
        <v>130</v>
      </c>
      <c r="G7550" s="208" t="s">
        <v>130</v>
      </c>
      <c r="H7550" s="208" t="s">
        <v>2421</v>
      </c>
      <c r="I7550" s="208"/>
      <c r="J7550" s="209"/>
      <c r="K7550" s="209"/>
      <c r="L7550" s="209"/>
      <c r="M7550" s="209"/>
      <c r="N7550" s="209"/>
      <c r="O7550" s="209"/>
      <c r="P7550" s="209"/>
      <c r="Q7550" s="209"/>
      <c r="R7550" s="209"/>
      <c r="S7550" s="209"/>
      <c r="T7550" s="209"/>
    </row>
    <row r="7551" spans="1:20" ht="15" hidden="1" customHeight="1">
      <c r="A7551" s="468">
        <v>45595</v>
      </c>
      <c r="B7551" s="208" t="s">
        <v>6007</v>
      </c>
      <c r="C7551" s="208" t="s">
        <v>27</v>
      </c>
      <c r="D7551" s="211">
        <v>-2706600</v>
      </c>
      <c r="E7551" s="212">
        <v>45566</v>
      </c>
      <c r="F7551" s="208" t="s">
        <v>110</v>
      </c>
      <c r="G7551" s="208" t="s">
        <v>4294</v>
      </c>
      <c r="H7551" s="208" t="s">
        <v>147</v>
      </c>
      <c r="I7551" s="208"/>
      <c r="J7551" s="209"/>
      <c r="K7551" s="209"/>
      <c r="L7551" s="209"/>
      <c r="M7551" s="209"/>
      <c r="N7551" s="209"/>
      <c r="O7551" s="209"/>
      <c r="P7551" s="209"/>
      <c r="Q7551" s="209"/>
      <c r="R7551" s="209"/>
      <c r="S7551" s="209"/>
      <c r="T7551" s="209"/>
    </row>
    <row r="7552" spans="1:20" ht="15" hidden="1" customHeight="1">
      <c r="A7552" s="468">
        <v>45595</v>
      </c>
      <c r="B7552" s="208" t="s">
        <v>6008</v>
      </c>
      <c r="C7552" s="208" t="s">
        <v>27</v>
      </c>
      <c r="D7552" s="211">
        <v>-817000</v>
      </c>
      <c r="E7552" s="212">
        <v>45566</v>
      </c>
      <c r="F7552" s="208" t="s">
        <v>130</v>
      </c>
      <c r="G7552" s="208" t="s">
        <v>130</v>
      </c>
      <c r="H7552" s="208" t="s">
        <v>2421</v>
      </c>
      <c r="I7552" s="208"/>
      <c r="J7552" s="209"/>
      <c r="K7552" s="209"/>
      <c r="L7552" s="209"/>
      <c r="M7552" s="209"/>
      <c r="N7552" s="209"/>
      <c r="O7552" s="209"/>
      <c r="P7552" s="209"/>
      <c r="Q7552" s="209"/>
      <c r="R7552" s="209"/>
      <c r="S7552" s="209"/>
      <c r="T7552" s="209"/>
    </row>
    <row r="7553" spans="1:20" ht="15" hidden="1" customHeight="1">
      <c r="A7553" s="468">
        <v>45595</v>
      </c>
      <c r="B7553" s="208" t="s">
        <v>6009</v>
      </c>
      <c r="C7553" s="208" t="s">
        <v>27</v>
      </c>
      <c r="D7553" s="211">
        <f>-10450761+7104905</f>
        <v>-3345856</v>
      </c>
      <c r="E7553" s="212">
        <v>45566</v>
      </c>
      <c r="F7553" s="208" t="s">
        <v>130</v>
      </c>
      <c r="G7553" s="654" t="s">
        <v>257</v>
      </c>
      <c r="H7553" s="208" t="s">
        <v>182</v>
      </c>
      <c r="I7553" s="208"/>
      <c r="J7553" s="209"/>
      <c r="K7553" s="209"/>
      <c r="L7553" s="209"/>
      <c r="M7553" s="209"/>
      <c r="N7553" s="209"/>
      <c r="O7553" s="209"/>
      <c r="P7553" s="209"/>
      <c r="Q7553" s="209"/>
      <c r="R7553" s="209"/>
      <c r="S7553" s="209"/>
      <c r="T7553" s="209"/>
    </row>
    <row r="7554" spans="1:20" ht="15" hidden="1" customHeight="1">
      <c r="A7554" s="468">
        <v>45595</v>
      </c>
      <c r="B7554" s="208" t="s">
        <v>6010</v>
      </c>
      <c r="C7554" s="208" t="s">
        <v>27</v>
      </c>
      <c r="D7554" s="211">
        <v>-650000</v>
      </c>
      <c r="E7554" s="212">
        <v>45566</v>
      </c>
      <c r="F7554" s="208" t="s">
        <v>130</v>
      </c>
      <c r="G7554" s="654" t="s">
        <v>130</v>
      </c>
      <c r="H7554" s="208" t="s">
        <v>2421</v>
      </c>
      <c r="I7554" s="208"/>
      <c r="J7554" s="209"/>
      <c r="K7554" s="209"/>
      <c r="L7554" s="209"/>
      <c r="M7554" s="209"/>
      <c r="N7554" s="209"/>
      <c r="O7554" s="209"/>
      <c r="P7554" s="209"/>
      <c r="Q7554" s="209"/>
      <c r="R7554" s="209"/>
      <c r="S7554" s="209"/>
      <c r="T7554" s="209"/>
    </row>
    <row r="7555" spans="1:20" ht="15" hidden="1" customHeight="1">
      <c r="A7555" s="468">
        <v>45595</v>
      </c>
      <c r="B7555" s="208" t="s">
        <v>6011</v>
      </c>
      <c r="C7555" s="208" t="s">
        <v>27</v>
      </c>
      <c r="D7555" s="718">
        <v>-692000</v>
      </c>
      <c r="E7555" s="212">
        <v>45566</v>
      </c>
      <c r="F7555" s="208" t="s">
        <v>109</v>
      </c>
      <c r="G7555" s="201" t="s">
        <v>581</v>
      </c>
      <c r="H7555" s="208"/>
      <c r="I7555" s="208"/>
      <c r="J7555" s="209"/>
      <c r="K7555" s="209"/>
      <c r="L7555" s="209"/>
      <c r="M7555" s="209"/>
      <c r="N7555" s="209"/>
      <c r="O7555" s="209"/>
      <c r="P7555" s="209"/>
      <c r="Q7555" s="209"/>
      <c r="R7555" s="209"/>
      <c r="S7555" s="209"/>
      <c r="T7555" s="209"/>
    </row>
    <row r="7556" spans="1:20" ht="15" hidden="1" customHeight="1">
      <c r="A7556" s="468">
        <v>45595</v>
      </c>
      <c r="B7556" s="208" t="s">
        <v>6012</v>
      </c>
      <c r="C7556" s="208" t="s">
        <v>27</v>
      </c>
      <c r="D7556" s="718">
        <v>-679000</v>
      </c>
      <c r="E7556" s="212">
        <v>45566</v>
      </c>
      <c r="F7556" s="208" t="s">
        <v>109</v>
      </c>
      <c r="G7556" s="201" t="s">
        <v>581</v>
      </c>
      <c r="H7556" s="208"/>
      <c r="I7556" s="208"/>
      <c r="J7556" s="209"/>
      <c r="K7556" s="209"/>
      <c r="L7556" s="209"/>
      <c r="M7556" s="209"/>
      <c r="N7556" s="209"/>
      <c r="O7556" s="209"/>
      <c r="P7556" s="209"/>
      <c r="Q7556" s="209"/>
      <c r="R7556" s="209"/>
      <c r="S7556" s="209"/>
      <c r="T7556" s="209"/>
    </row>
    <row r="7557" spans="1:20" ht="15" hidden="1" customHeight="1">
      <c r="A7557" s="468">
        <v>45595</v>
      </c>
      <c r="B7557" s="208" t="s">
        <v>6013</v>
      </c>
      <c r="C7557" s="208" t="s">
        <v>27</v>
      </c>
      <c r="D7557" s="718">
        <v>-679000</v>
      </c>
      <c r="E7557" s="212">
        <v>45566</v>
      </c>
      <c r="F7557" s="208" t="s">
        <v>109</v>
      </c>
      <c r="G7557" s="201" t="s">
        <v>581</v>
      </c>
      <c r="H7557" s="208"/>
      <c r="I7557" s="208"/>
      <c r="J7557" s="209"/>
      <c r="K7557" s="209"/>
      <c r="L7557" s="209"/>
      <c r="M7557" s="209"/>
      <c r="N7557" s="209"/>
      <c r="O7557" s="209"/>
      <c r="P7557" s="209"/>
      <c r="Q7557" s="209"/>
      <c r="R7557" s="209"/>
      <c r="S7557" s="209"/>
      <c r="T7557" s="209"/>
    </row>
    <row r="7558" spans="1:20" ht="15" hidden="1" customHeight="1">
      <c r="A7558" s="468">
        <v>45595</v>
      </c>
      <c r="B7558" s="208" t="s">
        <v>6014</v>
      </c>
      <c r="C7558" s="208" t="s">
        <v>27</v>
      </c>
      <c r="D7558" s="211">
        <v>-909000</v>
      </c>
      <c r="E7558" s="212">
        <v>45566</v>
      </c>
      <c r="F7558" s="208" t="s">
        <v>110</v>
      </c>
      <c r="G7558" s="208" t="s">
        <v>4294</v>
      </c>
      <c r="H7558" s="208" t="s">
        <v>147</v>
      </c>
      <c r="I7558" s="208"/>
      <c r="J7558" s="209"/>
      <c r="K7558" s="209"/>
      <c r="L7558" s="209"/>
      <c r="M7558" s="209"/>
      <c r="N7558" s="209"/>
      <c r="O7558" s="209"/>
      <c r="P7558" s="209"/>
      <c r="Q7558" s="209"/>
      <c r="R7558" s="209"/>
      <c r="S7558" s="209"/>
      <c r="T7558" s="209"/>
    </row>
    <row r="7559" spans="1:20" ht="15" hidden="1" customHeight="1">
      <c r="A7559" s="468">
        <v>45595</v>
      </c>
      <c r="B7559" s="208" t="s">
        <v>6015</v>
      </c>
      <c r="C7559" s="208" t="s">
        <v>27</v>
      </c>
      <c r="D7559" s="211">
        <v>-710850</v>
      </c>
      <c r="E7559" s="212">
        <v>45566</v>
      </c>
      <c r="F7559" s="208" t="s">
        <v>110</v>
      </c>
      <c r="G7559" s="201" t="s">
        <v>1489</v>
      </c>
      <c r="H7559" s="208" t="s">
        <v>147</v>
      </c>
      <c r="I7559" s="208"/>
      <c r="J7559" s="209"/>
      <c r="K7559" s="209"/>
      <c r="L7559" s="209"/>
      <c r="M7559" s="209"/>
      <c r="N7559" s="209"/>
      <c r="O7559" s="209"/>
      <c r="P7559" s="209"/>
      <c r="Q7559" s="209"/>
      <c r="R7559" s="209"/>
      <c r="S7559" s="209"/>
      <c r="T7559" s="209"/>
    </row>
    <row r="7560" spans="1:20" ht="15" hidden="1" customHeight="1">
      <c r="A7560" s="468">
        <v>45595</v>
      </c>
      <c r="B7560" s="208" t="s">
        <v>6016</v>
      </c>
      <c r="C7560" s="208" t="s">
        <v>27</v>
      </c>
      <c r="D7560" s="211">
        <v>-2768000</v>
      </c>
      <c r="E7560" s="212">
        <v>45566</v>
      </c>
      <c r="F7560" s="208" t="s">
        <v>130</v>
      </c>
      <c r="G7560" s="654" t="s">
        <v>257</v>
      </c>
      <c r="H7560" s="208" t="s">
        <v>182</v>
      </c>
      <c r="I7560" s="208"/>
      <c r="J7560" s="209"/>
      <c r="K7560" s="209"/>
      <c r="L7560" s="209"/>
      <c r="M7560" s="209"/>
      <c r="N7560" s="209"/>
      <c r="O7560" s="209"/>
      <c r="P7560" s="209"/>
      <c r="Q7560" s="209"/>
      <c r="R7560" s="209"/>
      <c r="S7560" s="209"/>
      <c r="T7560" s="209"/>
    </row>
    <row r="7561" spans="1:20" ht="15" hidden="1" customHeight="1">
      <c r="A7561" s="468">
        <v>45595</v>
      </c>
      <c r="B7561" s="208" t="s">
        <v>6017</v>
      </c>
      <c r="C7561" s="208" t="s">
        <v>27</v>
      </c>
      <c r="D7561" s="211">
        <v>-195000</v>
      </c>
      <c r="E7561" s="212">
        <v>45566</v>
      </c>
      <c r="F7561" s="208" t="s">
        <v>130</v>
      </c>
      <c r="G7561" s="208" t="s">
        <v>130</v>
      </c>
      <c r="H7561" s="208" t="s">
        <v>2421</v>
      </c>
      <c r="I7561" s="208"/>
      <c r="J7561" s="209"/>
      <c r="K7561" s="209"/>
      <c r="L7561" s="209"/>
      <c r="M7561" s="209"/>
      <c r="N7561" s="209"/>
      <c r="O7561" s="209"/>
      <c r="P7561" s="209"/>
      <c r="Q7561" s="209"/>
      <c r="R7561" s="209"/>
      <c r="S7561" s="209"/>
      <c r="T7561" s="209"/>
    </row>
    <row r="7562" spans="1:20" ht="15" hidden="1" customHeight="1">
      <c r="A7562" s="468">
        <v>45595</v>
      </c>
      <c r="B7562" s="208" t="s">
        <v>6018</v>
      </c>
      <c r="C7562" s="208" t="s">
        <v>27</v>
      </c>
      <c r="D7562" s="718">
        <v>-679000</v>
      </c>
      <c r="E7562" s="212">
        <v>45566</v>
      </c>
      <c r="F7562" s="208" t="s">
        <v>109</v>
      </c>
      <c r="G7562" s="201" t="s">
        <v>581</v>
      </c>
      <c r="H7562" s="208"/>
      <c r="I7562" s="208"/>
      <c r="J7562" s="209"/>
      <c r="K7562" s="209"/>
      <c r="L7562" s="209"/>
      <c r="M7562" s="209"/>
      <c r="N7562" s="209"/>
      <c r="O7562" s="209"/>
      <c r="P7562" s="209"/>
      <c r="Q7562" s="209"/>
      <c r="R7562" s="209"/>
      <c r="S7562" s="209"/>
      <c r="T7562" s="209"/>
    </row>
    <row r="7563" spans="1:20" ht="15" hidden="1" customHeight="1">
      <c r="A7563" s="468">
        <v>45595</v>
      </c>
      <c r="B7563" s="208" t="s">
        <v>6019</v>
      </c>
      <c r="C7563" s="208" t="s">
        <v>27</v>
      </c>
      <c r="D7563" s="718">
        <v>-1038260</v>
      </c>
      <c r="E7563" s="212">
        <v>45566</v>
      </c>
      <c r="F7563" s="208" t="s">
        <v>109</v>
      </c>
      <c r="G7563" s="201" t="s">
        <v>581</v>
      </c>
      <c r="H7563" s="208"/>
      <c r="I7563" s="208"/>
      <c r="J7563" s="209"/>
      <c r="K7563" s="209"/>
      <c r="L7563" s="209"/>
      <c r="M7563" s="209"/>
      <c r="N7563" s="209"/>
      <c r="O7563" s="209"/>
      <c r="P7563" s="209"/>
      <c r="Q7563" s="209"/>
      <c r="R7563" s="209"/>
      <c r="S7563" s="209"/>
      <c r="T7563" s="209"/>
    </row>
    <row r="7564" spans="1:20" ht="15" hidden="1" customHeight="1">
      <c r="A7564" s="468">
        <v>45595</v>
      </c>
      <c r="B7564" s="208" t="s">
        <v>6020</v>
      </c>
      <c r="C7564" s="208" t="s">
        <v>27</v>
      </c>
      <c r="D7564" s="718">
        <v>-679000</v>
      </c>
      <c r="E7564" s="212">
        <v>45566</v>
      </c>
      <c r="F7564" s="208" t="s">
        <v>109</v>
      </c>
      <c r="G7564" s="201" t="s">
        <v>581</v>
      </c>
      <c r="H7564" s="208"/>
      <c r="I7564" s="208"/>
      <c r="J7564" s="209"/>
      <c r="K7564" s="209"/>
      <c r="L7564" s="209"/>
      <c r="M7564" s="209"/>
      <c r="N7564" s="209"/>
      <c r="O7564" s="209"/>
      <c r="P7564" s="209"/>
      <c r="Q7564" s="209"/>
      <c r="R7564" s="209"/>
      <c r="S7564" s="209"/>
      <c r="T7564" s="209"/>
    </row>
    <row r="7565" spans="1:20" ht="15" hidden="1" customHeight="1">
      <c r="A7565" s="468">
        <v>45595</v>
      </c>
      <c r="B7565" s="208" t="s">
        <v>6021</v>
      </c>
      <c r="C7565" s="208" t="s">
        <v>27</v>
      </c>
      <c r="D7565" s="718">
        <v>-679000</v>
      </c>
      <c r="E7565" s="212">
        <v>45566</v>
      </c>
      <c r="F7565" s="208" t="s">
        <v>109</v>
      </c>
      <c r="G7565" s="201" t="s">
        <v>581</v>
      </c>
      <c r="H7565" s="208"/>
      <c r="I7565" s="208"/>
      <c r="J7565" s="209"/>
      <c r="K7565" s="209"/>
      <c r="L7565" s="209"/>
      <c r="M7565" s="209"/>
      <c r="N7565" s="209"/>
      <c r="O7565" s="209"/>
      <c r="P7565" s="209"/>
      <c r="Q7565" s="209"/>
      <c r="R7565" s="209"/>
      <c r="S7565" s="209"/>
      <c r="T7565" s="209"/>
    </row>
    <row r="7566" spans="1:20" ht="15" hidden="1" customHeight="1">
      <c r="A7566" s="468">
        <v>45595</v>
      </c>
      <c r="B7566" s="208" t="s">
        <v>6022</v>
      </c>
      <c r="C7566" s="208" t="s">
        <v>27</v>
      </c>
      <c r="D7566" s="718">
        <v>-679000</v>
      </c>
      <c r="E7566" s="212">
        <v>45566</v>
      </c>
      <c r="F7566" s="208" t="s">
        <v>109</v>
      </c>
      <c r="G7566" s="201" t="s">
        <v>581</v>
      </c>
      <c r="H7566" s="208"/>
      <c r="I7566" s="208"/>
      <c r="J7566" s="209"/>
      <c r="K7566" s="209"/>
      <c r="L7566" s="209"/>
      <c r="M7566" s="209"/>
      <c r="N7566" s="209"/>
      <c r="O7566" s="209"/>
      <c r="P7566" s="209"/>
      <c r="Q7566" s="209"/>
      <c r="R7566" s="209"/>
      <c r="S7566" s="209"/>
      <c r="T7566" s="209"/>
    </row>
    <row r="7567" spans="1:20" ht="15" hidden="1" customHeight="1">
      <c r="A7567" s="468">
        <v>45595</v>
      </c>
      <c r="B7567" s="208" t="s">
        <v>6023</v>
      </c>
      <c r="C7567" s="208" t="s">
        <v>27</v>
      </c>
      <c r="D7567" s="718">
        <v>-679000</v>
      </c>
      <c r="E7567" s="212">
        <v>45566</v>
      </c>
      <c r="F7567" s="208" t="s">
        <v>109</v>
      </c>
      <c r="G7567" s="201" t="s">
        <v>581</v>
      </c>
      <c r="H7567" s="208"/>
      <c r="I7567" s="208"/>
      <c r="J7567" s="209"/>
      <c r="K7567" s="209"/>
      <c r="L7567" s="209"/>
      <c r="M7567" s="209"/>
      <c r="N7567" s="209"/>
      <c r="O7567" s="209"/>
      <c r="P7567" s="209"/>
      <c r="Q7567" s="209"/>
      <c r="R7567" s="209"/>
      <c r="S7567" s="209"/>
      <c r="T7567" s="209"/>
    </row>
    <row r="7568" spans="1:20" ht="15" hidden="1" customHeight="1">
      <c r="A7568" s="468">
        <v>45595</v>
      </c>
      <c r="B7568" s="208" t="s">
        <v>6024</v>
      </c>
      <c r="C7568" s="208" t="s">
        <v>27</v>
      </c>
      <c r="D7568" s="718">
        <v>-679000</v>
      </c>
      <c r="E7568" s="212">
        <v>45566</v>
      </c>
      <c r="F7568" s="208" t="s">
        <v>109</v>
      </c>
      <c r="G7568" s="201" t="s">
        <v>581</v>
      </c>
      <c r="H7568" s="208"/>
      <c r="I7568" s="208"/>
      <c r="J7568" s="209"/>
      <c r="K7568" s="209"/>
      <c r="L7568" s="209"/>
      <c r="M7568" s="209"/>
      <c r="N7568" s="209"/>
      <c r="O7568" s="209"/>
      <c r="P7568" s="209"/>
      <c r="Q7568" s="209"/>
      <c r="R7568" s="209"/>
      <c r="S7568" s="209"/>
      <c r="T7568" s="209"/>
    </row>
    <row r="7569" spans="1:20" ht="15" hidden="1" customHeight="1">
      <c r="A7569" s="468">
        <v>45595</v>
      </c>
      <c r="B7569" s="208" t="s">
        <v>6025</v>
      </c>
      <c r="C7569" s="208" t="s">
        <v>27</v>
      </c>
      <c r="D7569" s="718">
        <v>-679000</v>
      </c>
      <c r="E7569" s="212">
        <v>45566</v>
      </c>
      <c r="F7569" s="208" t="s">
        <v>109</v>
      </c>
      <c r="G7569" s="201" t="s">
        <v>581</v>
      </c>
      <c r="H7569" s="208"/>
      <c r="I7569" s="208"/>
      <c r="J7569" s="209"/>
      <c r="K7569" s="209"/>
      <c r="L7569" s="209"/>
      <c r="M7569" s="209"/>
      <c r="N7569" s="209"/>
      <c r="O7569" s="209"/>
      <c r="P7569" s="209"/>
      <c r="Q7569" s="209"/>
      <c r="R7569" s="209"/>
      <c r="S7569" s="209"/>
      <c r="T7569" s="209"/>
    </row>
    <row r="7570" spans="1:20" ht="15" hidden="1" customHeight="1">
      <c r="A7570" s="468">
        <v>45595</v>
      </c>
      <c r="B7570" s="208" t="s">
        <v>6026</v>
      </c>
      <c r="C7570" s="208" t="s">
        <v>27</v>
      </c>
      <c r="D7570" s="211">
        <v>-673600</v>
      </c>
      <c r="E7570" s="212">
        <v>45566</v>
      </c>
      <c r="F7570" s="208" t="s">
        <v>130</v>
      </c>
      <c r="G7570" s="208" t="s">
        <v>130</v>
      </c>
      <c r="H7570" s="208" t="s">
        <v>2421</v>
      </c>
      <c r="I7570" s="208"/>
      <c r="J7570" s="209"/>
      <c r="K7570" s="209"/>
      <c r="L7570" s="209"/>
      <c r="M7570" s="209"/>
      <c r="N7570" s="209"/>
      <c r="O7570" s="209"/>
      <c r="P7570" s="209"/>
      <c r="Q7570" s="209"/>
      <c r="R7570" s="209"/>
      <c r="S7570" s="209"/>
      <c r="T7570" s="209"/>
    </row>
    <row r="7571" spans="1:20" ht="15" hidden="1" customHeight="1">
      <c r="A7571" s="468">
        <v>45595</v>
      </c>
      <c r="B7571" s="208" t="s">
        <v>6027</v>
      </c>
      <c r="C7571" s="208" t="s">
        <v>27</v>
      </c>
      <c r="D7571" s="718">
        <v>-929000</v>
      </c>
      <c r="E7571" s="212">
        <v>45566</v>
      </c>
      <c r="F7571" s="208" t="s">
        <v>109</v>
      </c>
      <c r="G7571" s="201" t="s">
        <v>581</v>
      </c>
      <c r="H7571" s="208"/>
      <c r="I7571" s="208"/>
      <c r="J7571" s="209"/>
      <c r="K7571" s="209"/>
      <c r="L7571" s="209"/>
      <c r="M7571" s="209"/>
      <c r="N7571" s="209"/>
      <c r="O7571" s="209"/>
      <c r="P7571" s="209"/>
      <c r="Q7571" s="209"/>
      <c r="R7571" s="209"/>
      <c r="S7571" s="209"/>
      <c r="T7571" s="209"/>
    </row>
    <row r="7572" spans="1:20" ht="15" hidden="1" customHeight="1">
      <c r="A7572" s="468">
        <v>45595</v>
      </c>
      <c r="B7572" s="208" t="s">
        <v>6028</v>
      </c>
      <c r="C7572" s="208" t="s">
        <v>27</v>
      </c>
      <c r="D7572" s="211">
        <v>-679000</v>
      </c>
      <c r="E7572" s="212">
        <v>45566</v>
      </c>
      <c r="F7572" s="208" t="s">
        <v>110</v>
      </c>
      <c r="G7572" s="201" t="s">
        <v>1489</v>
      </c>
      <c r="H7572" s="208" t="s">
        <v>147</v>
      </c>
      <c r="I7572" s="208"/>
      <c r="J7572" s="209"/>
      <c r="K7572" s="209"/>
      <c r="L7572" s="209"/>
      <c r="M7572" s="209"/>
      <c r="N7572" s="209"/>
      <c r="O7572" s="209"/>
      <c r="P7572" s="209"/>
      <c r="Q7572" s="209"/>
      <c r="R7572" s="209"/>
      <c r="S7572" s="209"/>
      <c r="T7572" s="209"/>
    </row>
    <row r="7573" spans="1:20" ht="15" hidden="1" customHeight="1">
      <c r="A7573" s="468">
        <v>45595</v>
      </c>
      <c r="B7573" s="208" t="s">
        <v>6029</v>
      </c>
      <c r="C7573" s="208" t="s">
        <v>27</v>
      </c>
      <c r="D7573" s="211">
        <v>-679000</v>
      </c>
      <c r="E7573" s="212">
        <v>45566</v>
      </c>
      <c r="F7573" s="208" t="s">
        <v>110</v>
      </c>
      <c r="G7573" s="208" t="s">
        <v>5503</v>
      </c>
      <c r="H7573" s="208" t="s">
        <v>147</v>
      </c>
      <c r="I7573" s="208"/>
      <c r="J7573" s="209"/>
      <c r="K7573" s="209"/>
      <c r="L7573" s="209"/>
      <c r="M7573" s="209"/>
      <c r="N7573" s="209"/>
      <c r="O7573" s="209"/>
      <c r="P7573" s="209"/>
      <c r="Q7573" s="209"/>
      <c r="R7573" s="209"/>
      <c r="S7573" s="209"/>
      <c r="T7573" s="209"/>
    </row>
    <row r="7574" spans="1:20" ht="15" hidden="1" customHeight="1">
      <c r="A7574" s="468">
        <v>45595</v>
      </c>
      <c r="B7574" s="208" t="s">
        <v>6030</v>
      </c>
      <c r="C7574" s="208" t="s">
        <v>27</v>
      </c>
      <c r="D7574" s="718">
        <v>-679000</v>
      </c>
      <c r="E7574" s="212">
        <v>45566</v>
      </c>
      <c r="F7574" s="208" t="s">
        <v>109</v>
      </c>
      <c r="G7574" s="201" t="s">
        <v>581</v>
      </c>
      <c r="H7574" s="208"/>
      <c r="I7574" s="208"/>
      <c r="J7574" s="209"/>
      <c r="K7574" s="209"/>
      <c r="L7574" s="209"/>
      <c r="M7574" s="209"/>
      <c r="N7574" s="209"/>
      <c r="O7574" s="209"/>
      <c r="P7574" s="209"/>
      <c r="Q7574" s="209"/>
      <c r="R7574" s="209"/>
      <c r="S7574" s="209"/>
      <c r="T7574" s="209"/>
    </row>
    <row r="7575" spans="1:20" ht="15" hidden="1" customHeight="1">
      <c r="A7575" s="468">
        <v>45595</v>
      </c>
      <c r="B7575" s="208" t="s">
        <v>6031</v>
      </c>
      <c r="C7575" s="208" t="s">
        <v>27</v>
      </c>
      <c r="D7575" s="211">
        <v>-679000</v>
      </c>
      <c r="E7575" s="212">
        <v>45566</v>
      </c>
      <c r="F7575" s="208" t="s">
        <v>110</v>
      </c>
      <c r="G7575" s="201" t="s">
        <v>1489</v>
      </c>
      <c r="H7575" s="208" t="s">
        <v>147</v>
      </c>
      <c r="I7575" s="208"/>
      <c r="J7575" s="209"/>
      <c r="K7575" s="209"/>
      <c r="L7575" s="209"/>
      <c r="M7575" s="209"/>
      <c r="N7575" s="209"/>
      <c r="O7575" s="209"/>
      <c r="P7575" s="209"/>
      <c r="Q7575" s="209"/>
      <c r="R7575" s="209"/>
      <c r="S7575" s="209"/>
      <c r="T7575" s="209"/>
    </row>
    <row r="7576" spans="1:20" ht="15" hidden="1" customHeight="1">
      <c r="A7576" s="468">
        <v>45595</v>
      </c>
      <c r="B7576" s="208" t="s">
        <v>6032</v>
      </c>
      <c r="C7576" s="208" t="s">
        <v>27</v>
      </c>
      <c r="D7576" s="211">
        <v>-668200</v>
      </c>
      <c r="E7576" s="212">
        <v>45566</v>
      </c>
      <c r="F7576" s="208" t="s">
        <v>110</v>
      </c>
      <c r="G7576" s="208" t="s">
        <v>4294</v>
      </c>
      <c r="H7576" s="208" t="s">
        <v>147</v>
      </c>
      <c r="I7576" s="208"/>
      <c r="J7576" s="209"/>
      <c r="K7576" s="209"/>
      <c r="L7576" s="209"/>
      <c r="M7576" s="209"/>
      <c r="N7576" s="209"/>
      <c r="O7576" s="209"/>
      <c r="P7576" s="209"/>
      <c r="Q7576" s="209"/>
      <c r="R7576" s="209"/>
      <c r="S7576" s="209"/>
      <c r="T7576" s="209"/>
    </row>
    <row r="7577" spans="1:20" ht="15" hidden="1" customHeight="1">
      <c r="A7577" s="468">
        <v>45595</v>
      </c>
      <c r="B7577" s="208" t="s">
        <v>6033</v>
      </c>
      <c r="C7577" s="208" t="s">
        <v>27</v>
      </c>
      <c r="D7577" s="718">
        <v>-3436000</v>
      </c>
      <c r="E7577" s="212">
        <v>45566</v>
      </c>
      <c r="F7577" s="208" t="s">
        <v>109</v>
      </c>
      <c r="G7577" s="201" t="s">
        <v>581</v>
      </c>
      <c r="H7577" s="208"/>
      <c r="I7577" s="208"/>
      <c r="J7577" s="209"/>
      <c r="K7577" s="209"/>
      <c r="L7577" s="209"/>
      <c r="M7577" s="209"/>
      <c r="N7577" s="209"/>
      <c r="O7577" s="209"/>
      <c r="P7577" s="209"/>
      <c r="Q7577" s="209"/>
      <c r="R7577" s="209"/>
      <c r="S7577" s="209"/>
      <c r="T7577" s="209"/>
    </row>
    <row r="7578" spans="1:20" ht="15" hidden="1" customHeight="1">
      <c r="A7578" s="468">
        <v>45595</v>
      </c>
      <c r="B7578" s="208" t="s">
        <v>6034</v>
      </c>
      <c r="C7578" s="208" t="s">
        <v>27</v>
      </c>
      <c r="D7578" s="211">
        <v>-2462000</v>
      </c>
      <c r="E7578" s="212">
        <v>45566</v>
      </c>
      <c r="F7578" s="208" t="s">
        <v>109</v>
      </c>
      <c r="G7578" s="654" t="s">
        <v>2809</v>
      </c>
      <c r="H7578" s="208" t="s">
        <v>2421</v>
      </c>
      <c r="I7578" s="208"/>
      <c r="J7578" s="209"/>
      <c r="K7578" s="209"/>
      <c r="L7578" s="209"/>
      <c r="M7578" s="209"/>
      <c r="N7578" s="209"/>
      <c r="O7578" s="209"/>
      <c r="P7578" s="209"/>
      <c r="Q7578" s="209"/>
      <c r="R7578" s="209"/>
      <c r="S7578" s="209"/>
      <c r="T7578" s="209"/>
    </row>
    <row r="7579" spans="1:20" ht="15" hidden="1" customHeight="1">
      <c r="A7579" s="468">
        <v>45595</v>
      </c>
      <c r="B7579" s="208" t="s">
        <v>6035</v>
      </c>
      <c r="C7579" s="208" t="s">
        <v>27</v>
      </c>
      <c r="D7579" s="718">
        <v>-2462000</v>
      </c>
      <c r="E7579" s="212">
        <v>45566</v>
      </c>
      <c r="F7579" s="208" t="s">
        <v>109</v>
      </c>
      <c r="G7579" s="201" t="s">
        <v>583</v>
      </c>
      <c r="H7579" s="208"/>
      <c r="I7579" s="208"/>
      <c r="J7579" s="209"/>
      <c r="K7579" s="209"/>
      <c r="L7579" s="209"/>
      <c r="M7579" s="209"/>
      <c r="N7579" s="209"/>
      <c r="O7579" s="209"/>
      <c r="P7579" s="209"/>
      <c r="Q7579" s="209"/>
      <c r="R7579" s="209"/>
      <c r="S7579" s="209"/>
      <c r="T7579" s="209"/>
    </row>
    <row r="7580" spans="1:20" ht="15" hidden="1" customHeight="1">
      <c r="A7580" s="468">
        <v>45595</v>
      </c>
      <c r="B7580" s="208" t="s">
        <v>6036</v>
      </c>
      <c r="C7580" s="208" t="s">
        <v>27</v>
      </c>
      <c r="D7580" s="211">
        <v>-3036000</v>
      </c>
      <c r="E7580" s="212">
        <v>45566</v>
      </c>
      <c r="F7580" s="208" t="s">
        <v>109</v>
      </c>
      <c r="G7580" s="654" t="s">
        <v>2809</v>
      </c>
      <c r="H7580" s="208" t="s">
        <v>2421</v>
      </c>
      <c r="I7580" s="208"/>
      <c r="J7580" s="209"/>
      <c r="K7580" s="209"/>
      <c r="L7580" s="209"/>
      <c r="M7580" s="209"/>
      <c r="N7580" s="209"/>
      <c r="O7580" s="209"/>
      <c r="P7580" s="209"/>
      <c r="Q7580" s="209"/>
      <c r="R7580" s="209"/>
      <c r="S7580" s="209"/>
      <c r="T7580" s="209"/>
    </row>
    <row r="7581" spans="1:20" ht="15" hidden="1" customHeight="1">
      <c r="A7581" s="468">
        <v>45595</v>
      </c>
      <c r="B7581" s="208" t="s">
        <v>6037</v>
      </c>
      <c r="C7581" s="208" t="s">
        <v>27</v>
      </c>
      <c r="D7581" s="211">
        <v>-2562000</v>
      </c>
      <c r="E7581" s="212">
        <v>45566</v>
      </c>
      <c r="F7581" s="208" t="s">
        <v>110</v>
      </c>
      <c r="G7581" s="201" t="s">
        <v>1489</v>
      </c>
      <c r="H7581" s="201" t="s">
        <v>508</v>
      </c>
      <c r="I7581" s="208"/>
      <c r="J7581" s="209"/>
      <c r="K7581" s="209"/>
      <c r="L7581" s="209"/>
      <c r="M7581" s="209"/>
      <c r="N7581" s="209"/>
      <c r="O7581" s="209"/>
      <c r="P7581" s="209"/>
      <c r="Q7581" s="209"/>
      <c r="R7581" s="209"/>
      <c r="S7581" s="209"/>
      <c r="T7581" s="209"/>
    </row>
    <row r="7582" spans="1:20" ht="15" hidden="1" customHeight="1">
      <c r="A7582" s="468">
        <v>45595</v>
      </c>
      <c r="B7582" s="208" t="s">
        <v>6038</v>
      </c>
      <c r="C7582" s="208" t="s">
        <v>27</v>
      </c>
      <c r="D7582" s="718">
        <v>-679000</v>
      </c>
      <c r="E7582" s="212">
        <v>45566</v>
      </c>
      <c r="F7582" s="208" t="s">
        <v>109</v>
      </c>
      <c r="G7582" s="201" t="s">
        <v>581</v>
      </c>
      <c r="H7582" s="208"/>
      <c r="I7582" s="208"/>
      <c r="J7582" s="209"/>
      <c r="K7582" s="209"/>
      <c r="L7582" s="209"/>
      <c r="M7582" s="209"/>
      <c r="N7582" s="209"/>
      <c r="O7582" s="209"/>
      <c r="P7582" s="209"/>
      <c r="Q7582" s="209"/>
      <c r="R7582" s="209"/>
      <c r="S7582" s="209"/>
      <c r="T7582" s="209"/>
    </row>
    <row r="7583" spans="1:20" ht="15" hidden="1" customHeight="1">
      <c r="A7583" s="468">
        <v>45595</v>
      </c>
      <c r="B7583" s="208" t="s">
        <v>6039</v>
      </c>
      <c r="C7583" s="208" t="s">
        <v>27</v>
      </c>
      <c r="D7583" s="718">
        <v>-657400</v>
      </c>
      <c r="E7583" s="212">
        <v>45566</v>
      </c>
      <c r="F7583" s="208" t="s">
        <v>109</v>
      </c>
      <c r="G7583" s="201" t="s">
        <v>581</v>
      </c>
      <c r="H7583" s="208"/>
      <c r="I7583" s="208"/>
      <c r="J7583" s="209"/>
      <c r="K7583" s="209"/>
      <c r="L7583" s="209"/>
      <c r="M7583" s="209"/>
      <c r="N7583" s="209"/>
      <c r="O7583" s="209"/>
      <c r="P7583" s="209"/>
      <c r="Q7583" s="209"/>
      <c r="R7583" s="209"/>
      <c r="S7583" s="209"/>
      <c r="T7583" s="209"/>
    </row>
    <row r="7584" spans="1:20" ht="15" hidden="1" customHeight="1">
      <c r="A7584" s="468">
        <v>45595</v>
      </c>
      <c r="B7584" s="208" t="s">
        <v>6040</v>
      </c>
      <c r="C7584" s="208" t="s">
        <v>27</v>
      </c>
      <c r="D7584" s="718">
        <v>-679000</v>
      </c>
      <c r="E7584" s="212">
        <v>45566</v>
      </c>
      <c r="F7584" s="208" t="s">
        <v>109</v>
      </c>
      <c r="G7584" s="201" t="s">
        <v>581</v>
      </c>
      <c r="H7584" s="208"/>
      <c r="I7584" s="208"/>
      <c r="J7584" s="209"/>
      <c r="K7584" s="209"/>
      <c r="L7584" s="209"/>
      <c r="M7584" s="209"/>
      <c r="N7584" s="209"/>
      <c r="O7584" s="209"/>
      <c r="P7584" s="209"/>
      <c r="Q7584" s="209"/>
      <c r="R7584" s="209"/>
      <c r="S7584" s="209"/>
      <c r="T7584" s="209"/>
    </row>
    <row r="7585" spans="1:20" ht="15" hidden="1" customHeight="1">
      <c r="A7585" s="468">
        <v>45595</v>
      </c>
      <c r="B7585" s="208" t="s">
        <v>5391</v>
      </c>
      <c r="C7585" s="208" t="s">
        <v>27</v>
      </c>
      <c r="D7585" s="718">
        <v>-679000</v>
      </c>
      <c r="E7585" s="212">
        <v>45566</v>
      </c>
      <c r="F7585" s="208" t="s">
        <v>109</v>
      </c>
      <c r="G7585" s="201" t="s">
        <v>581</v>
      </c>
      <c r="H7585" s="208"/>
      <c r="I7585" s="208"/>
      <c r="J7585" s="209"/>
      <c r="K7585" s="209"/>
      <c r="L7585" s="209"/>
      <c r="M7585" s="209"/>
      <c r="N7585" s="209"/>
      <c r="O7585" s="209"/>
      <c r="P7585" s="209"/>
      <c r="Q7585" s="209"/>
      <c r="R7585" s="209"/>
      <c r="S7585" s="209"/>
      <c r="T7585" s="209"/>
    </row>
    <row r="7586" spans="1:20" ht="15" hidden="1" customHeight="1">
      <c r="A7586" s="468">
        <v>45595</v>
      </c>
      <c r="B7586" s="208" t="s">
        <v>6041</v>
      </c>
      <c r="C7586" s="208" t="s">
        <v>27</v>
      </c>
      <c r="D7586" s="211">
        <v>-4180000</v>
      </c>
      <c r="E7586" s="212">
        <v>45566</v>
      </c>
      <c r="F7586" s="208" t="s">
        <v>130</v>
      </c>
      <c r="G7586" s="654" t="s">
        <v>257</v>
      </c>
      <c r="H7586" s="208" t="s">
        <v>182</v>
      </c>
      <c r="I7586" s="208"/>
      <c r="J7586" s="209"/>
      <c r="K7586" s="209"/>
      <c r="L7586" s="209"/>
      <c r="M7586" s="209"/>
      <c r="N7586" s="209"/>
      <c r="O7586" s="209"/>
      <c r="P7586" s="209"/>
      <c r="Q7586" s="209"/>
      <c r="R7586" s="209"/>
      <c r="S7586" s="209"/>
      <c r="T7586" s="209"/>
    </row>
    <row r="7587" spans="1:20" ht="15" hidden="1" customHeight="1">
      <c r="A7587" s="468">
        <v>45595</v>
      </c>
      <c r="B7587" s="208" t="s">
        <v>5394</v>
      </c>
      <c r="C7587" s="208" t="s">
        <v>27</v>
      </c>
      <c r="D7587" s="211">
        <v>-2484000</v>
      </c>
      <c r="E7587" s="212">
        <v>45566</v>
      </c>
      <c r="F7587" s="208" t="s">
        <v>130</v>
      </c>
      <c r="G7587" s="654" t="s">
        <v>130</v>
      </c>
      <c r="H7587" s="208" t="s">
        <v>2421</v>
      </c>
      <c r="I7587" s="208"/>
      <c r="J7587" s="209"/>
      <c r="K7587" s="209"/>
      <c r="L7587" s="209"/>
      <c r="M7587" s="209"/>
      <c r="N7587" s="209"/>
      <c r="O7587" s="209"/>
      <c r="P7587" s="209"/>
      <c r="Q7587" s="209"/>
      <c r="R7587" s="209"/>
      <c r="S7587" s="209"/>
      <c r="T7587" s="209"/>
    </row>
    <row r="7588" spans="1:20" ht="15" hidden="1" customHeight="1">
      <c r="A7588" s="468">
        <v>45595</v>
      </c>
      <c r="B7588" s="208" t="s">
        <v>6042</v>
      </c>
      <c r="C7588" s="208" t="s">
        <v>27</v>
      </c>
      <c r="D7588" s="211">
        <v>-2186000</v>
      </c>
      <c r="E7588" s="212">
        <v>45566</v>
      </c>
      <c r="F7588" s="208" t="s">
        <v>130</v>
      </c>
      <c r="G7588" s="654" t="s">
        <v>257</v>
      </c>
      <c r="H7588" s="208" t="s">
        <v>182</v>
      </c>
      <c r="I7588" s="208"/>
      <c r="J7588" s="209"/>
      <c r="K7588" s="209"/>
      <c r="L7588" s="209"/>
      <c r="M7588" s="209"/>
      <c r="N7588" s="209"/>
      <c r="O7588" s="209"/>
      <c r="P7588" s="209"/>
      <c r="Q7588" s="209"/>
      <c r="R7588" s="209"/>
      <c r="S7588" s="209"/>
      <c r="T7588" s="209"/>
    </row>
    <row r="7589" spans="1:20" ht="15" hidden="1" customHeight="1">
      <c r="A7589" s="468">
        <v>45595</v>
      </c>
      <c r="B7589" s="208" t="s">
        <v>6043</v>
      </c>
      <c r="C7589" s="208" t="s">
        <v>27</v>
      </c>
      <c r="D7589" s="718">
        <v>-679000</v>
      </c>
      <c r="E7589" s="212">
        <v>45566</v>
      </c>
      <c r="F7589" s="208" t="s">
        <v>109</v>
      </c>
      <c r="G7589" s="201" t="s">
        <v>581</v>
      </c>
      <c r="H7589" s="208"/>
      <c r="I7589" s="208"/>
      <c r="J7589" s="209"/>
      <c r="K7589" s="209"/>
      <c r="L7589" s="209"/>
      <c r="M7589" s="209"/>
      <c r="N7589" s="209"/>
      <c r="O7589" s="209"/>
      <c r="P7589" s="209"/>
      <c r="Q7589" s="209"/>
      <c r="R7589" s="209"/>
      <c r="S7589" s="209"/>
      <c r="T7589" s="209"/>
    </row>
    <row r="7590" spans="1:20" ht="15" hidden="1" customHeight="1">
      <c r="A7590" s="468">
        <v>45595</v>
      </c>
      <c r="B7590" s="208" t="s">
        <v>6044</v>
      </c>
      <c r="C7590" s="208" t="s">
        <v>27</v>
      </c>
      <c r="D7590" s="718">
        <v>-679000</v>
      </c>
      <c r="E7590" s="212">
        <v>45566</v>
      </c>
      <c r="F7590" s="208" t="s">
        <v>109</v>
      </c>
      <c r="G7590" s="201" t="s">
        <v>581</v>
      </c>
      <c r="H7590" s="208"/>
      <c r="I7590" s="208"/>
      <c r="J7590" s="209"/>
      <c r="K7590" s="209"/>
      <c r="L7590" s="209"/>
      <c r="M7590" s="209"/>
      <c r="N7590" s="209"/>
      <c r="O7590" s="209"/>
      <c r="P7590" s="209"/>
      <c r="Q7590" s="209"/>
      <c r="R7590" s="209"/>
      <c r="S7590" s="209"/>
      <c r="T7590" s="209"/>
    </row>
    <row r="7591" spans="1:20" ht="15" hidden="1" customHeight="1">
      <c r="A7591" s="468">
        <v>45595</v>
      </c>
      <c r="B7591" s="208" t="s">
        <v>6045</v>
      </c>
      <c r="C7591" s="208" t="s">
        <v>27</v>
      </c>
      <c r="D7591" s="718">
        <v>-679000</v>
      </c>
      <c r="E7591" s="212">
        <v>45566</v>
      </c>
      <c r="F7591" s="208" t="s">
        <v>109</v>
      </c>
      <c r="G7591" s="201" t="s">
        <v>581</v>
      </c>
      <c r="H7591" s="208"/>
      <c r="I7591" s="208"/>
      <c r="J7591" s="209"/>
      <c r="K7591" s="209"/>
      <c r="L7591" s="209"/>
      <c r="M7591" s="209"/>
      <c r="N7591" s="209"/>
      <c r="O7591" s="209"/>
      <c r="P7591" s="209"/>
      <c r="Q7591" s="209"/>
      <c r="R7591" s="209"/>
      <c r="S7591" s="209"/>
      <c r="T7591" s="209"/>
    </row>
    <row r="7592" spans="1:20" ht="15" hidden="1" customHeight="1">
      <c r="A7592" s="468">
        <v>45595</v>
      </c>
      <c r="B7592" s="208" t="s">
        <v>6046</v>
      </c>
      <c r="C7592" s="208" t="s">
        <v>27</v>
      </c>
      <c r="D7592" s="718">
        <v>-679000</v>
      </c>
      <c r="E7592" s="212">
        <v>45566</v>
      </c>
      <c r="F7592" s="208" t="s">
        <v>109</v>
      </c>
      <c r="G7592" s="201" t="s">
        <v>581</v>
      </c>
      <c r="H7592" s="208"/>
      <c r="I7592" s="208"/>
      <c r="J7592" s="209"/>
      <c r="K7592" s="209"/>
      <c r="L7592" s="209"/>
      <c r="M7592" s="209"/>
      <c r="N7592" s="209"/>
      <c r="O7592" s="209"/>
      <c r="P7592" s="209"/>
      <c r="Q7592" s="209"/>
      <c r="R7592" s="209"/>
      <c r="S7592" s="209"/>
      <c r="T7592" s="209"/>
    </row>
    <row r="7593" spans="1:20" ht="15" hidden="1" customHeight="1">
      <c r="A7593" s="468">
        <v>45595</v>
      </c>
      <c r="B7593" s="208" t="s">
        <v>6047</v>
      </c>
      <c r="C7593" s="208" t="s">
        <v>27</v>
      </c>
      <c r="D7593" s="718">
        <v>-679000</v>
      </c>
      <c r="E7593" s="212">
        <v>45566</v>
      </c>
      <c r="F7593" s="208" t="s">
        <v>109</v>
      </c>
      <c r="G7593" s="201" t="s">
        <v>581</v>
      </c>
      <c r="H7593" s="208"/>
      <c r="I7593" s="208"/>
      <c r="J7593" s="209"/>
      <c r="K7593" s="209"/>
      <c r="L7593" s="209"/>
      <c r="M7593" s="209"/>
      <c r="N7593" s="209"/>
      <c r="O7593" s="209"/>
      <c r="P7593" s="209"/>
      <c r="Q7593" s="209"/>
      <c r="R7593" s="209"/>
      <c r="S7593" s="209"/>
      <c r="T7593" s="209"/>
    </row>
    <row r="7594" spans="1:20" ht="15" hidden="1" customHeight="1">
      <c r="A7594" s="468">
        <v>45595</v>
      </c>
      <c r="B7594" s="208" t="s">
        <v>6048</v>
      </c>
      <c r="C7594" s="208" t="s">
        <v>27</v>
      </c>
      <c r="D7594" s="718">
        <v>-679000</v>
      </c>
      <c r="E7594" s="212">
        <v>45566</v>
      </c>
      <c r="F7594" s="208" t="s">
        <v>109</v>
      </c>
      <c r="G7594" s="201" t="s">
        <v>581</v>
      </c>
      <c r="H7594" s="208"/>
      <c r="I7594" s="208"/>
      <c r="J7594" s="209"/>
      <c r="K7594" s="209"/>
      <c r="L7594" s="209"/>
      <c r="M7594" s="209"/>
      <c r="N7594" s="209"/>
      <c r="O7594" s="209"/>
      <c r="P7594" s="209"/>
      <c r="Q7594" s="209"/>
      <c r="R7594" s="209"/>
      <c r="S7594" s="209"/>
      <c r="T7594" s="209"/>
    </row>
    <row r="7595" spans="1:20" ht="15" hidden="1" customHeight="1">
      <c r="A7595" s="468">
        <v>45595</v>
      </c>
      <c r="B7595" s="208" t="s">
        <v>6049</v>
      </c>
      <c r="C7595" s="208" t="s">
        <v>27</v>
      </c>
      <c r="D7595" s="718">
        <v>-588467</v>
      </c>
      <c r="E7595" s="212">
        <v>45566</v>
      </c>
      <c r="F7595" s="208" t="s">
        <v>109</v>
      </c>
      <c r="G7595" s="201" t="s">
        <v>581</v>
      </c>
      <c r="H7595" s="208"/>
      <c r="I7595" s="208"/>
      <c r="J7595" s="209"/>
      <c r="K7595" s="209"/>
      <c r="L7595" s="209"/>
      <c r="M7595" s="209"/>
      <c r="N7595" s="209"/>
      <c r="O7595" s="209"/>
      <c r="P7595" s="209"/>
      <c r="Q7595" s="209"/>
      <c r="R7595" s="209"/>
      <c r="S7595" s="209"/>
      <c r="T7595" s="209"/>
    </row>
    <row r="7596" spans="1:20" ht="15" hidden="1" customHeight="1">
      <c r="A7596" s="468">
        <v>45595</v>
      </c>
      <c r="B7596" s="208" t="s">
        <v>6050</v>
      </c>
      <c r="C7596" s="208" t="s">
        <v>27</v>
      </c>
      <c r="D7596" s="718">
        <v>-679000</v>
      </c>
      <c r="E7596" s="212">
        <v>45566</v>
      </c>
      <c r="F7596" s="208" t="s">
        <v>109</v>
      </c>
      <c r="G7596" s="201" t="s">
        <v>581</v>
      </c>
      <c r="H7596" s="208"/>
      <c r="I7596" s="208"/>
      <c r="J7596" s="209"/>
      <c r="K7596" s="209"/>
      <c r="L7596" s="209"/>
      <c r="M7596" s="209"/>
      <c r="N7596" s="209"/>
      <c r="O7596" s="209"/>
      <c r="P7596" s="209"/>
      <c r="Q7596" s="209"/>
      <c r="R7596" s="209"/>
      <c r="S7596" s="209"/>
      <c r="T7596" s="209"/>
    </row>
    <row r="7597" spans="1:20" ht="15" hidden="1" customHeight="1">
      <c r="A7597" s="468">
        <v>45595</v>
      </c>
      <c r="B7597" s="208" t="s">
        <v>6051</v>
      </c>
      <c r="C7597" s="208" t="s">
        <v>27</v>
      </c>
      <c r="D7597" s="718">
        <v>-679000</v>
      </c>
      <c r="E7597" s="212">
        <v>45566</v>
      </c>
      <c r="F7597" s="208" t="s">
        <v>109</v>
      </c>
      <c r="G7597" s="201" t="s">
        <v>581</v>
      </c>
      <c r="H7597" s="208"/>
      <c r="I7597" s="208"/>
      <c r="J7597" s="209"/>
      <c r="K7597" s="209"/>
      <c r="L7597" s="209"/>
      <c r="M7597" s="209"/>
      <c r="N7597" s="209"/>
      <c r="O7597" s="209"/>
      <c r="P7597" s="209"/>
      <c r="Q7597" s="209"/>
      <c r="R7597" s="209"/>
      <c r="S7597" s="209"/>
      <c r="T7597" s="209"/>
    </row>
    <row r="7598" spans="1:20" ht="15" hidden="1" customHeight="1">
      <c r="A7598" s="468">
        <v>45595</v>
      </c>
      <c r="B7598" s="208" t="s">
        <v>6052</v>
      </c>
      <c r="C7598" s="208" t="s">
        <v>27</v>
      </c>
      <c r="D7598" s="718">
        <v>-679000</v>
      </c>
      <c r="E7598" s="212">
        <v>45566</v>
      </c>
      <c r="F7598" s="208" t="s">
        <v>109</v>
      </c>
      <c r="G7598" s="201" t="s">
        <v>581</v>
      </c>
      <c r="H7598" s="208"/>
      <c r="I7598" s="208"/>
      <c r="J7598" s="209"/>
      <c r="K7598" s="209"/>
      <c r="L7598" s="209"/>
      <c r="M7598" s="209"/>
      <c r="N7598" s="209"/>
      <c r="O7598" s="209"/>
      <c r="P7598" s="209"/>
      <c r="Q7598" s="209"/>
      <c r="R7598" s="209"/>
      <c r="S7598" s="209"/>
      <c r="T7598" s="209"/>
    </row>
    <row r="7599" spans="1:20" ht="15" hidden="1" customHeight="1">
      <c r="A7599" s="468">
        <v>45595</v>
      </c>
      <c r="B7599" s="208" t="s">
        <v>6053</v>
      </c>
      <c r="C7599" s="208" t="s">
        <v>27</v>
      </c>
      <c r="D7599" s="718">
        <v>-692000</v>
      </c>
      <c r="E7599" s="212">
        <v>45566</v>
      </c>
      <c r="F7599" s="208" t="s">
        <v>109</v>
      </c>
      <c r="G7599" s="201" t="s">
        <v>581</v>
      </c>
      <c r="H7599" s="208"/>
      <c r="I7599" s="208"/>
      <c r="J7599" s="209"/>
      <c r="K7599" s="209"/>
      <c r="L7599" s="209"/>
      <c r="M7599" s="209"/>
      <c r="N7599" s="209"/>
      <c r="O7599" s="209"/>
      <c r="P7599" s="209"/>
      <c r="Q7599" s="209"/>
      <c r="R7599" s="209"/>
      <c r="S7599" s="209"/>
      <c r="T7599" s="209"/>
    </row>
    <row r="7600" spans="1:20" ht="15" hidden="1" customHeight="1">
      <c r="A7600" s="468">
        <v>45595</v>
      </c>
      <c r="B7600" s="208" t="s">
        <v>6054</v>
      </c>
      <c r="C7600" s="208" t="s">
        <v>27</v>
      </c>
      <c r="D7600" s="718">
        <v>-1231000</v>
      </c>
      <c r="E7600" s="212">
        <v>45566</v>
      </c>
      <c r="F7600" s="208" t="s">
        <v>109</v>
      </c>
      <c r="G7600" s="201" t="s">
        <v>581</v>
      </c>
      <c r="H7600" s="208"/>
      <c r="I7600" s="208"/>
      <c r="J7600" s="209"/>
      <c r="K7600" s="209"/>
      <c r="L7600" s="209"/>
      <c r="M7600" s="209"/>
      <c r="N7600" s="209"/>
      <c r="O7600" s="209"/>
      <c r="P7600" s="209"/>
      <c r="Q7600" s="209"/>
      <c r="R7600" s="209"/>
      <c r="S7600" s="209"/>
      <c r="T7600" s="209"/>
    </row>
    <row r="7601" spans="1:20" ht="15" hidden="1" customHeight="1">
      <c r="A7601" s="468">
        <v>45595</v>
      </c>
      <c r="B7601" s="208" t="s">
        <v>6055</v>
      </c>
      <c r="C7601" s="208" t="s">
        <v>27</v>
      </c>
      <c r="D7601" s="211">
        <v>-679000</v>
      </c>
      <c r="E7601" s="212">
        <v>45566</v>
      </c>
      <c r="F7601" s="208" t="s">
        <v>109</v>
      </c>
      <c r="G7601" s="208" t="s">
        <v>4986</v>
      </c>
      <c r="H7601" s="208" t="s">
        <v>147</v>
      </c>
      <c r="I7601" s="208"/>
      <c r="J7601" s="209"/>
      <c r="K7601" s="209"/>
      <c r="L7601" s="209"/>
      <c r="M7601" s="209"/>
      <c r="N7601" s="209"/>
      <c r="O7601" s="209"/>
      <c r="P7601" s="209"/>
      <c r="Q7601" s="209"/>
      <c r="R7601" s="209"/>
      <c r="S7601" s="209"/>
      <c r="T7601" s="209"/>
    </row>
    <row r="7602" spans="1:20" ht="15" hidden="1" customHeight="1">
      <c r="A7602" s="468">
        <v>45595</v>
      </c>
      <c r="B7602" s="208" t="s">
        <v>6056</v>
      </c>
      <c r="C7602" s="208" t="s">
        <v>27</v>
      </c>
      <c r="D7602" s="211">
        <v>-679000</v>
      </c>
      <c r="E7602" s="212">
        <v>45566</v>
      </c>
      <c r="F7602" s="208" t="s">
        <v>109</v>
      </c>
      <c r="G7602" s="208" t="s">
        <v>4986</v>
      </c>
      <c r="H7602" s="208" t="s">
        <v>147</v>
      </c>
      <c r="I7602" s="208"/>
      <c r="J7602" s="209"/>
      <c r="K7602" s="209"/>
      <c r="L7602" s="209"/>
      <c r="M7602" s="209"/>
      <c r="N7602" s="209"/>
      <c r="O7602" s="209"/>
      <c r="P7602" s="209"/>
      <c r="Q7602" s="209"/>
      <c r="R7602" s="209"/>
      <c r="S7602" s="209"/>
      <c r="T7602" s="209"/>
    </row>
    <row r="7603" spans="1:20" ht="15" hidden="1" customHeight="1">
      <c r="A7603" s="468">
        <v>45595</v>
      </c>
      <c r="B7603" s="208" t="s">
        <v>6057</v>
      </c>
      <c r="C7603" s="208" t="s">
        <v>27</v>
      </c>
      <c r="D7603" s="211">
        <v>-679000</v>
      </c>
      <c r="E7603" s="212">
        <v>45566</v>
      </c>
      <c r="F7603" s="208" t="s">
        <v>109</v>
      </c>
      <c r="G7603" s="208" t="s">
        <v>4986</v>
      </c>
      <c r="H7603" s="208" t="s">
        <v>147</v>
      </c>
      <c r="I7603" s="208"/>
      <c r="J7603" s="209"/>
      <c r="K7603" s="209"/>
      <c r="L7603" s="209"/>
      <c r="M7603" s="209"/>
      <c r="N7603" s="209"/>
      <c r="O7603" s="209"/>
      <c r="P7603" s="209"/>
      <c r="Q7603" s="209"/>
      <c r="R7603" s="209"/>
      <c r="S7603" s="209"/>
      <c r="T7603" s="209"/>
    </row>
    <row r="7604" spans="1:20" ht="15" hidden="1" customHeight="1">
      <c r="A7604" s="468">
        <v>45595</v>
      </c>
      <c r="B7604" s="208" t="s">
        <v>6058</v>
      </c>
      <c r="C7604" s="208" t="s">
        <v>27</v>
      </c>
      <c r="D7604" s="211">
        <v>-662800</v>
      </c>
      <c r="E7604" s="212">
        <v>45566</v>
      </c>
      <c r="F7604" s="208" t="s">
        <v>109</v>
      </c>
      <c r="G7604" s="208" t="s">
        <v>4986</v>
      </c>
      <c r="H7604" s="208" t="s">
        <v>147</v>
      </c>
      <c r="I7604" s="208"/>
      <c r="J7604" s="209"/>
      <c r="K7604" s="209"/>
      <c r="L7604" s="209"/>
      <c r="M7604" s="209"/>
      <c r="N7604" s="209"/>
      <c r="O7604" s="209"/>
      <c r="P7604" s="209"/>
      <c r="Q7604" s="209"/>
      <c r="R7604" s="209"/>
      <c r="S7604" s="209"/>
      <c r="T7604" s="209"/>
    </row>
    <row r="7605" spans="1:20" ht="15" hidden="1" customHeight="1">
      <c r="A7605" s="468">
        <v>45595</v>
      </c>
      <c r="B7605" s="208" t="s">
        <v>6059</v>
      </c>
      <c r="C7605" s="208" t="s">
        <v>27</v>
      </c>
      <c r="D7605" s="211">
        <v>-679000</v>
      </c>
      <c r="E7605" s="212">
        <v>45566</v>
      </c>
      <c r="F7605" s="208" t="s">
        <v>109</v>
      </c>
      <c r="G7605" s="208" t="s">
        <v>4986</v>
      </c>
      <c r="H7605" s="208" t="s">
        <v>147</v>
      </c>
      <c r="I7605" s="208"/>
      <c r="J7605" s="209"/>
      <c r="K7605" s="209"/>
      <c r="L7605" s="209"/>
      <c r="M7605" s="209"/>
      <c r="N7605" s="209"/>
      <c r="O7605" s="209"/>
      <c r="P7605" s="209"/>
      <c r="Q7605" s="209"/>
      <c r="R7605" s="209"/>
      <c r="S7605" s="209"/>
      <c r="T7605" s="209"/>
    </row>
    <row r="7606" spans="1:20" ht="15" hidden="1" customHeight="1">
      <c r="A7606" s="468">
        <v>45595</v>
      </c>
      <c r="B7606" s="208" t="s">
        <v>6060</v>
      </c>
      <c r="C7606" s="208" t="s">
        <v>27</v>
      </c>
      <c r="D7606" s="211">
        <v>-679000</v>
      </c>
      <c r="E7606" s="212">
        <v>45566</v>
      </c>
      <c r="F7606" s="208" t="s">
        <v>109</v>
      </c>
      <c r="G7606" s="208" t="s">
        <v>4986</v>
      </c>
      <c r="H7606" s="208" t="s">
        <v>147</v>
      </c>
      <c r="I7606" s="208"/>
      <c r="J7606" s="209"/>
      <c r="K7606" s="209"/>
      <c r="L7606" s="209"/>
      <c r="M7606" s="209"/>
      <c r="N7606" s="209"/>
      <c r="O7606" s="209"/>
      <c r="P7606" s="209"/>
      <c r="Q7606" s="209"/>
      <c r="R7606" s="209"/>
      <c r="S7606" s="209"/>
      <c r="T7606" s="209"/>
    </row>
    <row r="7607" spans="1:20" ht="15" hidden="1" customHeight="1">
      <c r="A7607" s="468">
        <v>45595</v>
      </c>
      <c r="B7607" s="208" t="s">
        <v>6061</v>
      </c>
      <c r="C7607" s="208" t="s">
        <v>27</v>
      </c>
      <c r="D7607" s="211">
        <v>-771000</v>
      </c>
      <c r="E7607" s="212">
        <v>45566</v>
      </c>
      <c r="F7607" s="208" t="s">
        <v>110</v>
      </c>
      <c r="G7607" s="208" t="s">
        <v>5503</v>
      </c>
      <c r="H7607" s="208" t="s">
        <v>147</v>
      </c>
      <c r="I7607" s="208"/>
      <c r="J7607" s="209"/>
      <c r="K7607" s="209"/>
      <c r="L7607" s="209"/>
      <c r="M7607" s="209"/>
      <c r="N7607" s="209"/>
      <c r="O7607" s="209"/>
      <c r="P7607" s="209"/>
      <c r="Q7607" s="209"/>
      <c r="R7607" s="209"/>
      <c r="S7607" s="209"/>
      <c r="T7607" s="209"/>
    </row>
    <row r="7608" spans="1:20" ht="15" hidden="1" customHeight="1">
      <c r="A7608" s="468">
        <v>45595</v>
      </c>
      <c r="B7608" s="208" t="s">
        <v>6062</v>
      </c>
      <c r="C7608" s="208" t="s">
        <v>27</v>
      </c>
      <c r="D7608" s="211">
        <v>-733200</v>
      </c>
      <c r="E7608" s="212">
        <v>45566</v>
      </c>
      <c r="F7608" s="208" t="s">
        <v>110</v>
      </c>
      <c r="G7608" s="208" t="s">
        <v>5503</v>
      </c>
      <c r="H7608" s="208" t="s">
        <v>147</v>
      </c>
      <c r="I7608" s="208"/>
      <c r="J7608" s="209"/>
      <c r="K7608" s="209"/>
      <c r="L7608" s="209"/>
      <c r="M7608" s="209"/>
      <c r="N7608" s="209"/>
      <c r="O7608" s="209"/>
      <c r="P7608" s="209"/>
      <c r="Q7608" s="209"/>
      <c r="R7608" s="209"/>
      <c r="S7608" s="209"/>
      <c r="T7608" s="209"/>
    </row>
    <row r="7609" spans="1:20" ht="15" hidden="1" customHeight="1">
      <c r="A7609" s="468">
        <v>45595</v>
      </c>
      <c r="B7609" s="208" t="s">
        <v>6063</v>
      </c>
      <c r="C7609" s="208" t="s">
        <v>27</v>
      </c>
      <c r="D7609" s="718">
        <v>-679000</v>
      </c>
      <c r="E7609" s="212">
        <v>45566</v>
      </c>
      <c r="F7609" s="208" t="s">
        <v>109</v>
      </c>
      <c r="G7609" s="201" t="s">
        <v>581</v>
      </c>
      <c r="H7609" s="208"/>
      <c r="I7609" s="208"/>
      <c r="J7609" s="209"/>
      <c r="K7609" s="209"/>
      <c r="L7609" s="209"/>
      <c r="M7609" s="209"/>
      <c r="N7609" s="209"/>
      <c r="O7609" s="209"/>
      <c r="P7609" s="209"/>
      <c r="Q7609" s="209"/>
      <c r="R7609" s="209"/>
      <c r="S7609" s="209"/>
      <c r="T7609" s="209"/>
    </row>
    <row r="7610" spans="1:20" ht="15" hidden="1" customHeight="1">
      <c r="A7610" s="468">
        <v>45595</v>
      </c>
      <c r="B7610" s="208" t="s">
        <v>6064</v>
      </c>
      <c r="C7610" s="208" t="s">
        <v>27</v>
      </c>
      <c r="D7610" s="718">
        <v>-679000</v>
      </c>
      <c r="E7610" s="212">
        <v>45566</v>
      </c>
      <c r="F7610" s="208" t="s">
        <v>109</v>
      </c>
      <c r="G7610" s="201" t="s">
        <v>581</v>
      </c>
      <c r="H7610" s="208"/>
      <c r="I7610" s="208"/>
      <c r="J7610" s="209"/>
      <c r="K7610" s="209"/>
      <c r="L7610" s="209"/>
      <c r="M7610" s="209"/>
      <c r="N7610" s="209"/>
      <c r="O7610" s="209"/>
      <c r="P7610" s="209"/>
      <c r="Q7610" s="209"/>
      <c r="R7610" s="209"/>
      <c r="S7610" s="209"/>
      <c r="T7610" s="209"/>
    </row>
    <row r="7611" spans="1:20" ht="15" hidden="1" customHeight="1">
      <c r="A7611" s="468">
        <v>45595</v>
      </c>
      <c r="B7611" s="208" t="s">
        <v>6065</v>
      </c>
      <c r="C7611" s="208" t="s">
        <v>27</v>
      </c>
      <c r="D7611" s="718">
        <v>-598000</v>
      </c>
      <c r="E7611" s="212">
        <v>45566</v>
      </c>
      <c r="F7611" s="208" t="s">
        <v>109</v>
      </c>
      <c r="G7611" s="201" t="s">
        <v>581</v>
      </c>
      <c r="H7611" s="208"/>
      <c r="I7611" s="208"/>
      <c r="J7611" s="209"/>
      <c r="K7611" s="209"/>
      <c r="L7611" s="209"/>
      <c r="M7611" s="209"/>
      <c r="N7611" s="209"/>
      <c r="O7611" s="209"/>
      <c r="P7611" s="209"/>
      <c r="Q7611" s="209"/>
      <c r="R7611" s="209"/>
      <c r="S7611" s="209"/>
      <c r="T7611" s="209"/>
    </row>
    <row r="7612" spans="1:20" ht="15" hidden="1" customHeight="1">
      <c r="A7612" s="468">
        <v>45595</v>
      </c>
      <c r="B7612" s="208" t="s">
        <v>6066</v>
      </c>
      <c r="C7612" s="208" t="s">
        <v>27</v>
      </c>
      <c r="D7612" s="718">
        <v>-679000</v>
      </c>
      <c r="E7612" s="212">
        <v>45566</v>
      </c>
      <c r="F7612" s="208" t="s">
        <v>109</v>
      </c>
      <c r="G7612" s="201" t="s">
        <v>581</v>
      </c>
      <c r="H7612" s="208"/>
      <c r="I7612" s="208"/>
      <c r="J7612" s="209"/>
      <c r="K7612" s="209"/>
      <c r="L7612" s="209"/>
      <c r="M7612" s="209"/>
      <c r="N7612" s="209"/>
      <c r="O7612" s="209"/>
      <c r="P7612" s="209"/>
      <c r="Q7612" s="209"/>
      <c r="R7612" s="209"/>
      <c r="S7612" s="209"/>
      <c r="T7612" s="209"/>
    </row>
    <row r="7613" spans="1:20" ht="15" hidden="1" customHeight="1">
      <c r="A7613" s="468">
        <v>45595</v>
      </c>
      <c r="B7613" s="208" t="s">
        <v>6067</v>
      </c>
      <c r="C7613" s="208" t="s">
        <v>27</v>
      </c>
      <c r="D7613" s="718">
        <v>-679000</v>
      </c>
      <c r="E7613" s="212">
        <v>45566</v>
      </c>
      <c r="F7613" s="208" t="s">
        <v>109</v>
      </c>
      <c r="G7613" s="201" t="s">
        <v>581</v>
      </c>
      <c r="H7613" s="208"/>
      <c r="I7613" s="208"/>
      <c r="J7613" s="209"/>
      <c r="K7613" s="209"/>
      <c r="L7613" s="209"/>
      <c r="M7613" s="209"/>
      <c r="N7613" s="209"/>
      <c r="O7613" s="209"/>
      <c r="P7613" s="209"/>
      <c r="Q7613" s="209"/>
      <c r="R7613" s="209"/>
      <c r="S7613" s="209"/>
      <c r="T7613" s="209"/>
    </row>
    <row r="7614" spans="1:20" ht="15" hidden="1" customHeight="1">
      <c r="A7614" s="468">
        <v>45595</v>
      </c>
      <c r="B7614" s="208" t="s">
        <v>6068</v>
      </c>
      <c r="C7614" s="208" t="s">
        <v>27</v>
      </c>
      <c r="D7614" s="718">
        <v>-1228700</v>
      </c>
      <c r="E7614" s="212">
        <v>45566</v>
      </c>
      <c r="F7614" s="208" t="s">
        <v>109</v>
      </c>
      <c r="G7614" s="201" t="s">
        <v>581</v>
      </c>
      <c r="H7614" s="208"/>
      <c r="I7614" s="208"/>
      <c r="J7614" s="209"/>
      <c r="K7614" s="209"/>
      <c r="L7614" s="209"/>
      <c r="M7614" s="209"/>
      <c r="N7614" s="209"/>
      <c r="O7614" s="209"/>
      <c r="P7614" s="209"/>
      <c r="Q7614" s="209"/>
      <c r="R7614" s="209"/>
      <c r="S7614" s="209"/>
      <c r="T7614" s="209"/>
    </row>
    <row r="7615" spans="1:20" ht="15" hidden="1" customHeight="1">
      <c r="A7615" s="468">
        <v>45595</v>
      </c>
      <c r="B7615" s="208" t="s">
        <v>6069</v>
      </c>
      <c r="C7615" s="208" t="s">
        <v>27</v>
      </c>
      <c r="D7615" s="211">
        <v>-724267</v>
      </c>
      <c r="E7615" s="212">
        <v>45566</v>
      </c>
      <c r="F7615" s="208" t="s">
        <v>130</v>
      </c>
      <c r="G7615" s="201" t="s">
        <v>130</v>
      </c>
      <c r="H7615" s="208" t="s">
        <v>2421</v>
      </c>
      <c r="I7615" s="208"/>
      <c r="J7615" s="209"/>
      <c r="K7615" s="209"/>
      <c r="L7615" s="209"/>
      <c r="M7615" s="209"/>
      <c r="N7615" s="209"/>
      <c r="O7615" s="209"/>
      <c r="P7615" s="209"/>
      <c r="Q7615" s="209"/>
      <c r="R7615" s="209"/>
      <c r="S7615" s="209"/>
      <c r="T7615" s="209"/>
    </row>
    <row r="7616" spans="1:20" ht="15" hidden="1" customHeight="1">
      <c r="A7616" s="468">
        <v>45595</v>
      </c>
      <c r="B7616" s="208" t="s">
        <v>6070</v>
      </c>
      <c r="C7616" s="208" t="s">
        <v>27</v>
      </c>
      <c r="D7616" s="211">
        <v>-606000</v>
      </c>
      <c r="E7616" s="212">
        <v>45566</v>
      </c>
      <c r="F7616" s="208" t="s">
        <v>130</v>
      </c>
      <c r="G7616" s="654" t="s">
        <v>130</v>
      </c>
      <c r="H7616" s="208" t="s">
        <v>2421</v>
      </c>
      <c r="I7616" s="208"/>
      <c r="J7616" s="209"/>
      <c r="K7616" s="209"/>
      <c r="L7616" s="209"/>
      <c r="M7616" s="209"/>
      <c r="N7616" s="209"/>
      <c r="O7616" s="209"/>
      <c r="P7616" s="209"/>
      <c r="Q7616" s="209"/>
      <c r="R7616" s="209"/>
      <c r="S7616" s="209"/>
      <c r="T7616" s="209"/>
    </row>
    <row r="7617" spans="1:20" ht="15" hidden="1" customHeight="1">
      <c r="A7617" s="468">
        <v>45595</v>
      </c>
      <c r="B7617" s="208" t="s">
        <v>6071</v>
      </c>
      <c r="C7617" s="208" t="s">
        <v>27</v>
      </c>
      <c r="D7617" s="211">
        <v>-2370000</v>
      </c>
      <c r="E7617" s="212">
        <v>45566</v>
      </c>
      <c r="F7617" s="208" t="s">
        <v>130</v>
      </c>
      <c r="G7617" s="654" t="s">
        <v>130</v>
      </c>
      <c r="H7617" s="208" t="s">
        <v>2421</v>
      </c>
      <c r="I7617" s="208"/>
      <c r="J7617" s="209"/>
      <c r="K7617" s="209"/>
      <c r="L7617" s="209"/>
      <c r="M7617" s="209"/>
      <c r="N7617" s="209"/>
      <c r="O7617" s="209"/>
      <c r="P7617" s="209"/>
      <c r="Q7617" s="209"/>
      <c r="R7617" s="209"/>
      <c r="S7617" s="209"/>
      <c r="T7617" s="209"/>
    </row>
    <row r="7618" spans="1:20" ht="15" hidden="1" customHeight="1">
      <c r="A7618" s="468">
        <v>45595</v>
      </c>
      <c r="B7618" s="208" t="s">
        <v>6072</v>
      </c>
      <c r="C7618" s="208" t="s">
        <v>27</v>
      </c>
      <c r="D7618" s="211">
        <v>-2428800</v>
      </c>
      <c r="E7618" s="212">
        <v>45566</v>
      </c>
      <c r="F7618" s="208" t="s">
        <v>110</v>
      </c>
      <c r="G7618" s="208" t="s">
        <v>5503</v>
      </c>
      <c r="H7618" s="208" t="s">
        <v>147</v>
      </c>
      <c r="I7618" s="208"/>
      <c r="J7618" s="209"/>
      <c r="K7618" s="209"/>
      <c r="L7618" s="209"/>
      <c r="M7618" s="209"/>
      <c r="N7618" s="209"/>
      <c r="O7618" s="209"/>
      <c r="P7618" s="209"/>
      <c r="Q7618" s="209"/>
      <c r="R7618" s="209"/>
      <c r="S7618" s="209"/>
      <c r="T7618" s="209"/>
    </row>
    <row r="7619" spans="1:20" ht="15" hidden="1" customHeight="1">
      <c r="A7619" s="468">
        <v>45595</v>
      </c>
      <c r="B7619" s="208" t="s">
        <v>6073</v>
      </c>
      <c r="C7619" s="208" t="s">
        <v>27</v>
      </c>
      <c r="D7619" s="211">
        <v>-2056600</v>
      </c>
      <c r="E7619" s="212">
        <v>45566</v>
      </c>
      <c r="F7619" s="208" t="s">
        <v>207</v>
      </c>
      <c r="G7619" s="654" t="s">
        <v>207</v>
      </c>
      <c r="H7619" s="208"/>
      <c r="I7619" s="208"/>
      <c r="J7619" s="209"/>
      <c r="K7619" s="209"/>
      <c r="L7619" s="209"/>
      <c r="M7619" s="209"/>
      <c r="N7619" s="209"/>
      <c r="O7619" s="209"/>
      <c r="P7619" s="209"/>
      <c r="Q7619" s="209"/>
      <c r="R7619" s="209"/>
      <c r="S7619" s="209"/>
      <c r="T7619" s="209"/>
    </row>
    <row r="7620" spans="1:20" ht="15" hidden="1" customHeight="1">
      <c r="A7620" s="468">
        <v>45595</v>
      </c>
      <c r="B7620" s="208" t="s">
        <v>6074</v>
      </c>
      <c r="C7620" s="208" t="s">
        <v>27</v>
      </c>
      <c r="D7620" s="211">
        <v>-3391333</v>
      </c>
      <c r="E7620" s="212">
        <v>45566</v>
      </c>
      <c r="F7620" s="208" t="s">
        <v>130</v>
      </c>
      <c r="G7620" s="208" t="s">
        <v>130</v>
      </c>
      <c r="H7620" s="208" t="s">
        <v>2421</v>
      </c>
      <c r="I7620" s="208"/>
      <c r="J7620" s="209"/>
      <c r="K7620" s="209"/>
      <c r="L7620" s="209"/>
      <c r="M7620" s="209"/>
      <c r="N7620" s="209"/>
      <c r="O7620" s="209"/>
      <c r="P7620" s="209"/>
      <c r="Q7620" s="209"/>
      <c r="R7620" s="209"/>
      <c r="S7620" s="209"/>
      <c r="T7620" s="209"/>
    </row>
    <row r="7621" spans="1:20" ht="15" hidden="1" customHeight="1">
      <c r="A7621" s="468">
        <v>45595</v>
      </c>
      <c r="B7621" s="208" t="s">
        <v>6075</v>
      </c>
      <c r="C7621" s="208" t="s">
        <v>27</v>
      </c>
      <c r="D7621" s="211">
        <v>-2756013</v>
      </c>
      <c r="E7621" s="212">
        <v>45566</v>
      </c>
      <c r="F7621" s="208" t="s">
        <v>130</v>
      </c>
      <c r="G7621" s="208" t="s">
        <v>130</v>
      </c>
      <c r="H7621" s="208" t="s">
        <v>2421</v>
      </c>
      <c r="I7621" s="208"/>
      <c r="J7621" s="209"/>
      <c r="K7621" s="209"/>
      <c r="L7621" s="209"/>
      <c r="M7621" s="209"/>
      <c r="N7621" s="209"/>
      <c r="O7621" s="209"/>
      <c r="P7621" s="209"/>
      <c r="Q7621" s="209"/>
      <c r="R7621" s="209"/>
      <c r="S7621" s="209"/>
      <c r="T7621" s="209"/>
    </row>
    <row r="7622" spans="1:20" ht="15" hidden="1" customHeight="1">
      <c r="A7622" s="468">
        <v>45595</v>
      </c>
      <c r="B7622" s="208" t="s">
        <v>6076</v>
      </c>
      <c r="C7622" s="208" t="s">
        <v>27</v>
      </c>
      <c r="D7622" s="211">
        <v>-1231000</v>
      </c>
      <c r="E7622" s="212">
        <v>45566</v>
      </c>
      <c r="F7622" s="208" t="s">
        <v>109</v>
      </c>
      <c r="G7622" s="208" t="s">
        <v>10</v>
      </c>
      <c r="H7622" s="201" t="s">
        <v>508</v>
      </c>
      <c r="I7622" s="208"/>
      <c r="J7622" s="209"/>
      <c r="K7622" s="209"/>
      <c r="L7622" s="209"/>
      <c r="M7622" s="209"/>
      <c r="N7622" s="209"/>
      <c r="O7622" s="209"/>
      <c r="P7622" s="209"/>
      <c r="Q7622" s="209"/>
      <c r="R7622" s="209"/>
      <c r="S7622" s="209"/>
      <c r="T7622" s="209"/>
    </row>
    <row r="7623" spans="1:20" ht="15" hidden="1" customHeight="1">
      <c r="A7623" s="468">
        <v>45595</v>
      </c>
      <c r="B7623" s="208" t="s">
        <v>6077</v>
      </c>
      <c r="C7623" s="208" t="s">
        <v>27</v>
      </c>
      <c r="D7623" s="211">
        <v>-1416000</v>
      </c>
      <c r="E7623" s="212">
        <v>45566</v>
      </c>
      <c r="F7623" s="208" t="s">
        <v>109</v>
      </c>
      <c r="G7623" s="201" t="s">
        <v>583</v>
      </c>
      <c r="H7623" s="208"/>
      <c r="I7623" s="208"/>
      <c r="J7623" s="209"/>
      <c r="K7623" s="209"/>
      <c r="L7623" s="209"/>
      <c r="M7623" s="209"/>
      <c r="N7623" s="209"/>
      <c r="O7623" s="209"/>
      <c r="P7623" s="209"/>
      <c r="Q7623" s="209"/>
      <c r="R7623" s="209"/>
      <c r="S7623" s="209"/>
      <c r="T7623" s="209"/>
    </row>
    <row r="7624" spans="1:20" ht="15" hidden="1" customHeight="1">
      <c r="A7624" s="468">
        <v>45595</v>
      </c>
      <c r="B7624" s="208" t="s">
        <v>5021</v>
      </c>
      <c r="C7624" s="208" t="s">
        <v>27</v>
      </c>
      <c r="D7624" s="211">
        <v>-1300000</v>
      </c>
      <c r="E7624" s="212">
        <v>45566</v>
      </c>
      <c r="F7624" s="208" t="s">
        <v>130</v>
      </c>
      <c r="G7624" s="208" t="s">
        <v>130</v>
      </c>
      <c r="H7624" s="208" t="s">
        <v>2421</v>
      </c>
      <c r="I7624" s="475" t="s">
        <v>5410</v>
      </c>
      <c r="J7624" s="209"/>
      <c r="K7624" s="209"/>
      <c r="L7624" s="209"/>
      <c r="M7624" s="209"/>
      <c r="N7624" s="209"/>
      <c r="O7624" s="209"/>
      <c r="P7624" s="209"/>
      <c r="Q7624" s="209"/>
      <c r="R7624" s="209"/>
      <c r="S7624" s="209"/>
      <c r="T7624" s="209"/>
    </row>
    <row r="7625" spans="1:20" ht="15" hidden="1" customHeight="1">
      <c r="A7625" s="468">
        <v>45595</v>
      </c>
      <c r="B7625" s="208" t="s">
        <v>5634</v>
      </c>
      <c r="C7625" s="208" t="s">
        <v>27</v>
      </c>
      <c r="D7625" s="211">
        <v>-658319</v>
      </c>
      <c r="E7625" s="212">
        <v>45566</v>
      </c>
      <c r="F7625" s="208" t="s">
        <v>130</v>
      </c>
      <c r="G7625" s="208" t="s">
        <v>130</v>
      </c>
      <c r="H7625" s="208" t="s">
        <v>249</v>
      </c>
      <c r="I7625" s="475" t="s">
        <v>5410</v>
      </c>
      <c r="J7625" s="209"/>
      <c r="K7625" s="209"/>
      <c r="L7625" s="209"/>
      <c r="M7625" s="209"/>
      <c r="N7625" s="209"/>
      <c r="O7625" s="209"/>
      <c r="P7625" s="209"/>
      <c r="Q7625" s="209"/>
      <c r="R7625" s="209"/>
      <c r="S7625" s="209"/>
      <c r="T7625" s="209"/>
    </row>
    <row r="7626" spans="1:20" ht="15" hidden="1" customHeight="1">
      <c r="A7626" s="468">
        <v>45595</v>
      </c>
      <c r="B7626" s="208" t="s">
        <v>6078</v>
      </c>
      <c r="C7626" s="208" t="s">
        <v>27</v>
      </c>
      <c r="D7626" s="211">
        <v>-800000</v>
      </c>
      <c r="E7626" s="212">
        <v>45566</v>
      </c>
      <c r="F7626" s="208" t="s">
        <v>109</v>
      </c>
      <c r="G7626" s="208" t="s">
        <v>2809</v>
      </c>
      <c r="H7626" s="629" t="s">
        <v>5483</v>
      </c>
      <c r="I7626" s="208"/>
      <c r="J7626" s="209"/>
      <c r="K7626" s="209"/>
      <c r="L7626" s="209"/>
      <c r="M7626" s="209"/>
      <c r="N7626" s="209"/>
      <c r="O7626" s="209"/>
      <c r="P7626" s="209"/>
      <c r="Q7626" s="209"/>
      <c r="R7626" s="209"/>
      <c r="S7626" s="209"/>
      <c r="T7626" s="209"/>
    </row>
    <row r="7627" spans="1:20" ht="15" hidden="1" customHeight="1">
      <c r="A7627" s="468">
        <v>45595</v>
      </c>
      <c r="B7627" s="208" t="s">
        <v>5475</v>
      </c>
      <c r="C7627" s="208" t="s">
        <v>27</v>
      </c>
      <c r="D7627" s="211">
        <v>-1790000</v>
      </c>
      <c r="E7627" s="212">
        <v>45566</v>
      </c>
      <c r="F7627" s="208" t="s">
        <v>109</v>
      </c>
      <c r="G7627" s="201" t="s">
        <v>583</v>
      </c>
      <c r="H7627" s="208"/>
      <c r="I7627" s="720" t="s">
        <v>3475</v>
      </c>
      <c r="J7627" s="209"/>
      <c r="K7627" s="209"/>
      <c r="L7627" s="209"/>
      <c r="M7627" s="209"/>
      <c r="N7627" s="209"/>
      <c r="O7627" s="209"/>
      <c r="P7627" s="209"/>
      <c r="Q7627" s="209"/>
      <c r="R7627" s="209"/>
      <c r="S7627" s="209"/>
      <c r="T7627" s="209"/>
    </row>
    <row r="7628" spans="1:20" ht="15" hidden="1" customHeight="1">
      <c r="A7628" s="468">
        <v>45595</v>
      </c>
      <c r="B7628" s="208" t="s">
        <v>5743</v>
      </c>
      <c r="C7628" s="208" t="s">
        <v>27</v>
      </c>
      <c r="D7628" s="211">
        <v>-253942</v>
      </c>
      <c r="E7628" s="212">
        <v>45566</v>
      </c>
      <c r="F7628" s="208" t="s">
        <v>110</v>
      </c>
      <c r="G7628" s="201" t="s">
        <v>1489</v>
      </c>
      <c r="H7628" s="208" t="s">
        <v>2941</v>
      </c>
      <c r="I7628" s="208"/>
      <c r="J7628" s="209"/>
      <c r="K7628" s="209"/>
      <c r="L7628" s="209"/>
      <c r="M7628" s="209"/>
      <c r="N7628" s="209"/>
      <c r="O7628" s="209"/>
      <c r="P7628" s="209"/>
      <c r="Q7628" s="209"/>
      <c r="R7628" s="209"/>
      <c r="S7628" s="209"/>
      <c r="T7628" s="209"/>
    </row>
    <row r="7629" spans="1:20" ht="15" hidden="1" customHeight="1">
      <c r="A7629" s="468">
        <v>45595</v>
      </c>
      <c r="B7629" s="208" t="s">
        <v>5743</v>
      </c>
      <c r="C7629" s="208" t="s">
        <v>27</v>
      </c>
      <c r="D7629" s="211">
        <v>-253942</v>
      </c>
      <c r="E7629" s="212">
        <v>45566</v>
      </c>
      <c r="F7629" s="208" t="s">
        <v>109</v>
      </c>
      <c r="G7629" s="208" t="s">
        <v>4225</v>
      </c>
      <c r="H7629" s="208" t="s">
        <v>175</v>
      </c>
      <c r="I7629" s="475" t="s">
        <v>5410</v>
      </c>
      <c r="J7629" s="209"/>
      <c r="K7629" s="209"/>
      <c r="L7629" s="209"/>
      <c r="M7629" s="209"/>
      <c r="N7629" s="209"/>
      <c r="O7629" s="209"/>
      <c r="P7629" s="209"/>
      <c r="Q7629" s="209"/>
      <c r="R7629" s="209"/>
      <c r="S7629" s="209"/>
      <c r="T7629" s="209"/>
    </row>
    <row r="7630" spans="1:20" ht="15" hidden="1" customHeight="1">
      <c r="A7630" s="468">
        <v>45595</v>
      </c>
      <c r="B7630" s="208" t="s">
        <v>5743</v>
      </c>
      <c r="C7630" s="208" t="s">
        <v>27</v>
      </c>
      <c r="D7630" s="211">
        <v>-253942</v>
      </c>
      <c r="E7630" s="212">
        <v>45566</v>
      </c>
      <c r="F7630" s="208" t="s">
        <v>110</v>
      </c>
      <c r="G7630" s="208" t="s">
        <v>4990</v>
      </c>
      <c r="H7630" s="208" t="s">
        <v>175</v>
      </c>
      <c r="I7630" s="475" t="s">
        <v>5410</v>
      </c>
      <c r="J7630" s="209"/>
      <c r="K7630" s="209"/>
      <c r="L7630" s="209"/>
      <c r="M7630" s="209"/>
      <c r="N7630" s="209"/>
      <c r="O7630" s="209"/>
      <c r="P7630" s="209"/>
      <c r="Q7630" s="209"/>
      <c r="R7630" s="209"/>
      <c r="S7630" s="209"/>
      <c r="T7630" s="209"/>
    </row>
    <row r="7631" spans="1:20" ht="15" hidden="1" customHeight="1">
      <c r="A7631" s="468">
        <v>45595</v>
      </c>
      <c r="B7631" s="208" t="s">
        <v>6079</v>
      </c>
      <c r="C7631" s="208" t="s">
        <v>27</v>
      </c>
      <c r="D7631" s="211">
        <v>-446045</v>
      </c>
      <c r="E7631" s="212">
        <v>45566</v>
      </c>
      <c r="F7631" s="208" t="s">
        <v>110</v>
      </c>
      <c r="G7631" s="208" t="s">
        <v>4294</v>
      </c>
      <c r="H7631" s="208" t="s">
        <v>175</v>
      </c>
      <c r="I7631" s="475" t="s">
        <v>5410</v>
      </c>
      <c r="J7631" s="209"/>
      <c r="K7631" s="209"/>
      <c r="L7631" s="209"/>
      <c r="M7631" s="209"/>
      <c r="N7631" s="209"/>
      <c r="O7631" s="209"/>
      <c r="P7631" s="209"/>
      <c r="Q7631" s="209"/>
      <c r="R7631" s="209"/>
      <c r="S7631" s="209"/>
      <c r="T7631" s="209"/>
    </row>
    <row r="7632" spans="1:20" ht="15" hidden="1" customHeight="1">
      <c r="A7632" s="468">
        <v>45595</v>
      </c>
      <c r="B7632" s="208" t="s">
        <v>6080</v>
      </c>
      <c r="C7632" s="208" t="s">
        <v>27</v>
      </c>
      <c r="D7632" s="211">
        <v>-500000</v>
      </c>
      <c r="E7632" s="212">
        <v>45566</v>
      </c>
      <c r="F7632" s="208" t="s">
        <v>109</v>
      </c>
      <c r="G7632" s="208" t="s">
        <v>2809</v>
      </c>
      <c r="H7632" s="629" t="s">
        <v>5066</v>
      </c>
      <c r="I7632" s="713" t="s">
        <v>5410</v>
      </c>
      <c r="J7632" s="209"/>
      <c r="K7632" s="209"/>
      <c r="L7632" s="209"/>
      <c r="M7632" s="209"/>
      <c r="N7632" s="209"/>
      <c r="O7632" s="209"/>
      <c r="P7632" s="209"/>
      <c r="Q7632" s="209"/>
      <c r="R7632" s="209"/>
      <c r="S7632" s="209"/>
      <c r="T7632" s="209"/>
    </row>
    <row r="7633" spans="1:20" ht="15" hidden="1" customHeight="1">
      <c r="A7633" s="468">
        <v>45595</v>
      </c>
      <c r="B7633" s="208" t="s">
        <v>6081</v>
      </c>
      <c r="C7633" s="208" t="s">
        <v>3331</v>
      </c>
      <c r="D7633" s="211">
        <v>-1383066</v>
      </c>
      <c r="E7633" s="212">
        <v>45566</v>
      </c>
      <c r="F7633" s="208" t="s">
        <v>130</v>
      </c>
      <c r="G7633" s="208" t="s">
        <v>257</v>
      </c>
      <c r="H7633" s="201" t="s">
        <v>663</v>
      </c>
      <c r="I7633" s="475" t="s">
        <v>5410</v>
      </c>
      <c r="J7633" s="209"/>
      <c r="K7633" s="209"/>
      <c r="L7633" s="209"/>
      <c r="M7633" s="209"/>
      <c r="N7633" s="209"/>
      <c r="O7633" s="209"/>
      <c r="P7633" s="209"/>
      <c r="Q7633" s="209"/>
      <c r="R7633" s="209"/>
      <c r="S7633" s="209"/>
      <c r="T7633" s="209"/>
    </row>
    <row r="7634" spans="1:20" ht="15" hidden="1" customHeight="1">
      <c r="A7634" s="468">
        <v>45595</v>
      </c>
      <c r="B7634" s="208" t="s">
        <v>6082</v>
      </c>
      <c r="C7634" s="208" t="s">
        <v>4783</v>
      </c>
      <c r="D7634" s="211">
        <v>-100000</v>
      </c>
      <c r="E7634" s="212">
        <v>45566</v>
      </c>
      <c r="F7634" s="208" t="s">
        <v>130</v>
      </c>
      <c r="G7634" s="208" t="s">
        <v>130</v>
      </c>
      <c r="H7634" s="208" t="s">
        <v>2176</v>
      </c>
      <c r="I7634" s="475" t="s">
        <v>5410</v>
      </c>
      <c r="J7634" s="209"/>
      <c r="K7634" s="209"/>
      <c r="L7634" s="209"/>
      <c r="M7634" s="209"/>
      <c r="N7634" s="209"/>
      <c r="O7634" s="209"/>
      <c r="P7634" s="209"/>
      <c r="Q7634" s="209"/>
      <c r="R7634" s="209"/>
      <c r="S7634" s="209"/>
      <c r="T7634" s="209"/>
    </row>
    <row r="7635" spans="1:20" ht="15" hidden="1" customHeight="1">
      <c r="A7635" s="468">
        <v>45595</v>
      </c>
      <c r="B7635" s="208" t="s">
        <v>6083</v>
      </c>
      <c r="C7635" s="208" t="s">
        <v>4783</v>
      </c>
      <c r="D7635" s="211">
        <v>-600000</v>
      </c>
      <c r="E7635" s="212">
        <v>45566</v>
      </c>
      <c r="F7635" s="208" t="s">
        <v>110</v>
      </c>
      <c r="G7635" s="208" t="s">
        <v>3245</v>
      </c>
      <c r="H7635" s="201" t="s">
        <v>421</v>
      </c>
      <c r="I7635" s="475" t="s">
        <v>5410</v>
      </c>
      <c r="J7635" s="209"/>
      <c r="K7635" s="209"/>
      <c r="L7635" s="209"/>
      <c r="M7635" s="209"/>
      <c r="N7635" s="209"/>
      <c r="O7635" s="209"/>
      <c r="P7635" s="209"/>
      <c r="Q7635" s="209"/>
      <c r="R7635" s="209"/>
      <c r="S7635" s="209"/>
      <c r="T7635" s="209"/>
    </row>
    <row r="7636" spans="1:20" ht="15" hidden="1" customHeight="1">
      <c r="A7636" s="468">
        <v>45595</v>
      </c>
      <c r="B7636" s="208" t="s">
        <v>6084</v>
      </c>
      <c r="C7636" s="208" t="s">
        <v>4783</v>
      </c>
      <c r="D7636" s="211">
        <v>-325000</v>
      </c>
      <c r="E7636" s="212">
        <v>45566</v>
      </c>
      <c r="F7636" s="208" t="s">
        <v>130</v>
      </c>
      <c r="G7636" s="208" t="s">
        <v>130</v>
      </c>
      <c r="H7636" s="208" t="s">
        <v>323</v>
      </c>
      <c r="I7636" s="208"/>
      <c r="J7636" s="209"/>
      <c r="K7636" s="209"/>
      <c r="L7636" s="209"/>
      <c r="M7636" s="209"/>
      <c r="N7636" s="209"/>
      <c r="O7636" s="209"/>
      <c r="P7636" s="209"/>
      <c r="Q7636" s="209"/>
      <c r="R7636" s="209"/>
      <c r="S7636" s="209"/>
      <c r="T7636" s="209"/>
    </row>
    <row r="7637" spans="1:20" ht="15" hidden="1" customHeight="1">
      <c r="A7637" s="468">
        <v>45595</v>
      </c>
      <c r="B7637" s="208" t="s">
        <v>6085</v>
      </c>
      <c r="C7637" s="208" t="s">
        <v>4783</v>
      </c>
      <c r="D7637" s="211">
        <v>-8956000</v>
      </c>
      <c r="E7637" s="212">
        <v>45566</v>
      </c>
      <c r="F7637" s="208" t="s">
        <v>109</v>
      </c>
      <c r="G7637" s="201" t="s">
        <v>581</v>
      </c>
      <c r="H7637" s="208"/>
      <c r="I7637" s="208"/>
      <c r="J7637" s="209"/>
      <c r="K7637" s="209"/>
      <c r="L7637" s="209"/>
      <c r="M7637" s="209"/>
      <c r="N7637" s="209"/>
      <c r="O7637" s="209"/>
      <c r="P7637" s="209"/>
      <c r="Q7637" s="209"/>
      <c r="R7637" s="209"/>
      <c r="S7637" s="209"/>
      <c r="T7637" s="209"/>
    </row>
    <row r="7638" spans="1:20" ht="15" hidden="1" customHeight="1">
      <c r="A7638" s="468">
        <v>45595</v>
      </c>
      <c r="B7638" s="208" t="s">
        <v>6085</v>
      </c>
      <c r="C7638" s="208" t="s">
        <v>4783</v>
      </c>
      <c r="D7638" s="211">
        <v>-1574400</v>
      </c>
      <c r="E7638" s="212">
        <v>45566</v>
      </c>
      <c r="F7638" s="208" t="s">
        <v>109</v>
      </c>
      <c r="G7638" s="208" t="s">
        <v>4986</v>
      </c>
      <c r="H7638" s="201" t="s">
        <v>416</v>
      </c>
      <c r="I7638" s="475" t="s">
        <v>5410</v>
      </c>
      <c r="J7638" s="209"/>
      <c r="K7638" s="209"/>
      <c r="L7638" s="209"/>
      <c r="M7638" s="209"/>
      <c r="N7638" s="209"/>
      <c r="O7638" s="209"/>
      <c r="P7638" s="209"/>
      <c r="Q7638" s="209"/>
      <c r="R7638" s="209"/>
      <c r="S7638" s="209"/>
      <c r="T7638" s="209"/>
    </row>
    <row r="7639" spans="1:20" ht="15" hidden="1" customHeight="1">
      <c r="A7639" s="468">
        <v>45595</v>
      </c>
      <c r="B7639" s="208" t="s">
        <v>6086</v>
      </c>
      <c r="C7639" s="208" t="s">
        <v>4783</v>
      </c>
      <c r="D7639" s="211">
        <v>-1118377</v>
      </c>
      <c r="E7639" s="212">
        <v>45566</v>
      </c>
      <c r="F7639" s="208" t="s">
        <v>110</v>
      </c>
      <c r="G7639" s="201" t="s">
        <v>1489</v>
      </c>
      <c r="H7639" s="208" t="s">
        <v>147</v>
      </c>
      <c r="I7639" s="475" t="s">
        <v>5410</v>
      </c>
      <c r="J7639" s="209"/>
      <c r="K7639" s="209"/>
      <c r="L7639" s="209"/>
      <c r="M7639" s="209"/>
      <c r="N7639" s="209"/>
      <c r="O7639" s="209"/>
      <c r="P7639" s="209"/>
      <c r="Q7639" s="209"/>
      <c r="R7639" s="209"/>
      <c r="S7639" s="209"/>
      <c r="T7639" s="209"/>
    </row>
    <row r="7640" spans="1:20" ht="15" hidden="1" customHeight="1">
      <c r="A7640" s="468">
        <v>45595</v>
      </c>
      <c r="B7640" s="208" t="s">
        <v>6086</v>
      </c>
      <c r="C7640" s="208" t="s">
        <v>4783</v>
      </c>
      <c r="D7640" s="211">
        <v>-1118377</v>
      </c>
      <c r="E7640" s="212">
        <v>45566</v>
      </c>
      <c r="F7640" s="208" t="s">
        <v>109</v>
      </c>
      <c r="G7640" s="201" t="s">
        <v>581</v>
      </c>
      <c r="H7640" s="208"/>
      <c r="I7640" s="208"/>
      <c r="J7640" s="209"/>
      <c r="K7640" s="209"/>
      <c r="L7640" s="209"/>
      <c r="M7640" s="209"/>
      <c r="N7640" s="209"/>
      <c r="O7640" s="209"/>
      <c r="P7640" s="209"/>
      <c r="Q7640" s="209"/>
      <c r="R7640" s="209"/>
      <c r="S7640" s="209"/>
      <c r="T7640" s="209"/>
    </row>
    <row r="7641" spans="1:20" ht="15" hidden="1" customHeight="1">
      <c r="A7641" s="468">
        <v>45595</v>
      </c>
      <c r="B7641" s="208" t="s">
        <v>6086</v>
      </c>
      <c r="C7641" s="208" t="s">
        <v>4783</v>
      </c>
      <c r="D7641" s="211">
        <v>-1118376</v>
      </c>
      <c r="E7641" s="212">
        <v>45566</v>
      </c>
      <c r="F7641" s="208" t="s">
        <v>110</v>
      </c>
      <c r="G7641" s="208" t="s">
        <v>774</v>
      </c>
      <c r="H7641" s="208" t="s">
        <v>147</v>
      </c>
      <c r="I7641" s="475" t="s">
        <v>5410</v>
      </c>
      <c r="J7641" s="209"/>
      <c r="K7641" s="209"/>
      <c r="L7641" s="209"/>
      <c r="M7641" s="209"/>
      <c r="N7641" s="209"/>
      <c r="O7641" s="209"/>
      <c r="P7641" s="209"/>
      <c r="Q7641" s="209"/>
      <c r="R7641" s="209"/>
      <c r="S7641" s="209"/>
      <c r="T7641" s="209"/>
    </row>
    <row r="7642" spans="1:20" ht="15" hidden="1" customHeight="1">
      <c r="A7642" s="468">
        <v>45595</v>
      </c>
      <c r="B7642" s="208" t="s">
        <v>6087</v>
      </c>
      <c r="C7642" s="208" t="s">
        <v>4783</v>
      </c>
      <c r="D7642" s="211">
        <v>-1207500</v>
      </c>
      <c r="E7642" s="212">
        <v>45566</v>
      </c>
      <c r="F7642" s="208" t="s">
        <v>110</v>
      </c>
      <c r="G7642" s="208" t="s">
        <v>5503</v>
      </c>
      <c r="H7642" s="208" t="s">
        <v>147</v>
      </c>
      <c r="I7642" s="208"/>
      <c r="J7642" s="209"/>
      <c r="K7642" s="209"/>
      <c r="L7642" s="209"/>
      <c r="M7642" s="209"/>
      <c r="N7642" s="209"/>
      <c r="O7642" s="209"/>
      <c r="P7642" s="209"/>
      <c r="Q7642" s="209"/>
      <c r="R7642" s="209"/>
      <c r="S7642" s="209"/>
      <c r="T7642" s="209"/>
    </row>
    <row r="7643" spans="1:20" ht="15" hidden="1" customHeight="1">
      <c r="A7643" s="468">
        <v>45595</v>
      </c>
      <c r="B7643" s="208" t="s">
        <v>6088</v>
      </c>
      <c r="C7643" s="208" t="s">
        <v>4783</v>
      </c>
      <c r="D7643" s="211">
        <v>-775000</v>
      </c>
      <c r="E7643" s="212">
        <v>45566</v>
      </c>
      <c r="F7643" s="208" t="s">
        <v>109</v>
      </c>
      <c r="G7643" s="208" t="s">
        <v>4625</v>
      </c>
      <c r="H7643" s="208"/>
      <c r="I7643" s="208"/>
      <c r="J7643" s="209"/>
      <c r="K7643" s="209"/>
      <c r="L7643" s="209"/>
      <c r="M7643" s="209"/>
      <c r="N7643" s="209"/>
      <c r="O7643" s="209"/>
      <c r="P7643" s="209"/>
      <c r="Q7643" s="209"/>
      <c r="R7643" s="209"/>
      <c r="S7643" s="209"/>
      <c r="T7643" s="209"/>
    </row>
    <row r="7644" spans="1:20" ht="15" hidden="1" customHeight="1">
      <c r="A7644" s="468">
        <v>45595</v>
      </c>
      <c r="B7644" s="208" t="s">
        <v>6088</v>
      </c>
      <c r="C7644" s="208" t="s">
        <v>4783</v>
      </c>
      <c r="D7644" s="211">
        <v>-775000</v>
      </c>
      <c r="E7644" s="212">
        <v>45566</v>
      </c>
      <c r="F7644" s="208" t="s">
        <v>109</v>
      </c>
      <c r="G7644" s="208" t="s">
        <v>10</v>
      </c>
      <c r="H7644" s="208"/>
      <c r="I7644" s="208"/>
      <c r="J7644" s="209"/>
      <c r="K7644" s="209"/>
      <c r="L7644" s="209"/>
      <c r="M7644" s="209"/>
      <c r="N7644" s="209"/>
      <c r="O7644" s="209"/>
      <c r="P7644" s="209"/>
      <c r="Q7644" s="209"/>
      <c r="R7644" s="209"/>
      <c r="S7644" s="209"/>
      <c r="T7644" s="209"/>
    </row>
    <row r="7645" spans="1:20" ht="15" hidden="1" customHeight="1">
      <c r="A7645" s="468">
        <v>45595</v>
      </c>
      <c r="B7645" s="208" t="s">
        <v>5412</v>
      </c>
      <c r="C7645" s="208" t="s">
        <v>27</v>
      </c>
      <c r="D7645" s="211">
        <v>-3588945</v>
      </c>
      <c r="E7645" s="212">
        <v>45566</v>
      </c>
      <c r="F7645" s="84" t="s">
        <v>111</v>
      </c>
      <c r="G7645" s="208"/>
      <c r="H7645" s="208"/>
      <c r="I7645" s="208"/>
      <c r="J7645" s="209"/>
      <c r="K7645" s="209"/>
      <c r="L7645" s="209"/>
      <c r="M7645" s="209"/>
      <c r="N7645" s="209"/>
      <c r="O7645" s="209"/>
      <c r="P7645" s="209"/>
      <c r="Q7645" s="209"/>
      <c r="R7645" s="209"/>
      <c r="S7645" s="209"/>
      <c r="T7645" s="209"/>
    </row>
    <row r="7646" spans="1:20" ht="15" hidden="1" customHeight="1">
      <c r="A7646" s="468">
        <v>45595</v>
      </c>
      <c r="B7646" s="208" t="s">
        <v>6089</v>
      </c>
      <c r="C7646" s="208" t="s">
        <v>4783</v>
      </c>
      <c r="D7646" s="211">
        <v>-4265542</v>
      </c>
      <c r="E7646" s="212">
        <v>45566</v>
      </c>
      <c r="F7646" s="208" t="s">
        <v>109</v>
      </c>
      <c r="G7646" s="601" t="s">
        <v>581</v>
      </c>
      <c r="H7646" s="208"/>
      <c r="I7646" s="208"/>
      <c r="J7646" s="209"/>
      <c r="K7646" s="209"/>
      <c r="L7646" s="209"/>
      <c r="M7646" s="209"/>
      <c r="N7646" s="209"/>
      <c r="O7646" s="209"/>
      <c r="P7646" s="209"/>
      <c r="Q7646" s="209"/>
      <c r="R7646" s="209"/>
      <c r="S7646" s="209"/>
      <c r="T7646" s="209"/>
    </row>
    <row r="7647" spans="1:20" ht="15" hidden="1" customHeight="1">
      <c r="A7647" s="468">
        <v>45595</v>
      </c>
      <c r="B7647" s="208" t="s">
        <v>6090</v>
      </c>
      <c r="C7647" s="208" t="s">
        <v>27</v>
      </c>
      <c r="D7647" s="211">
        <v>-400000</v>
      </c>
      <c r="E7647" s="212">
        <v>45566</v>
      </c>
      <c r="F7647" s="208" t="s">
        <v>110</v>
      </c>
      <c r="G7647" s="208" t="s">
        <v>5503</v>
      </c>
      <c r="H7647" s="201" t="s">
        <v>508</v>
      </c>
      <c r="I7647" s="208"/>
      <c r="J7647" s="209"/>
      <c r="K7647" s="209"/>
      <c r="L7647" s="209"/>
      <c r="M7647" s="209"/>
      <c r="N7647" s="209"/>
      <c r="O7647" s="209"/>
      <c r="P7647" s="209"/>
      <c r="Q7647" s="209"/>
      <c r="R7647" s="209"/>
      <c r="S7647" s="209"/>
      <c r="T7647" s="209"/>
    </row>
    <row r="7648" spans="1:20" ht="15" hidden="1" customHeight="1">
      <c r="A7648" s="468">
        <v>45596</v>
      </c>
      <c r="B7648" s="208" t="s">
        <v>6091</v>
      </c>
      <c r="C7648" s="208" t="s">
        <v>27</v>
      </c>
      <c r="D7648" s="211">
        <v>-80000</v>
      </c>
      <c r="E7648" s="212">
        <v>45566</v>
      </c>
      <c r="F7648" s="208" t="s">
        <v>130</v>
      </c>
      <c r="G7648" s="208" t="s">
        <v>130</v>
      </c>
      <c r="H7648" s="208" t="s">
        <v>323</v>
      </c>
      <c r="I7648" s="208"/>
      <c r="J7648" s="209"/>
      <c r="K7648" s="209"/>
      <c r="L7648" s="209"/>
      <c r="M7648" s="209"/>
      <c r="N7648" s="209"/>
      <c r="O7648" s="209"/>
      <c r="P7648" s="209"/>
      <c r="Q7648" s="209"/>
      <c r="R7648" s="209"/>
      <c r="S7648" s="209"/>
      <c r="T7648" s="209"/>
    </row>
    <row r="7649" spans="1:20" ht="15" hidden="1" customHeight="1">
      <c r="A7649" s="468">
        <v>45596</v>
      </c>
      <c r="B7649" s="208" t="s">
        <v>6092</v>
      </c>
      <c r="C7649" s="208" t="s">
        <v>27</v>
      </c>
      <c r="D7649" s="211">
        <v>-161225</v>
      </c>
      <c r="E7649" s="212">
        <v>45566</v>
      </c>
      <c r="F7649" s="208" t="s">
        <v>110</v>
      </c>
      <c r="G7649" s="208" t="s">
        <v>5503</v>
      </c>
      <c r="H7649" s="208" t="s">
        <v>175</v>
      </c>
      <c r="I7649" s="475" t="s">
        <v>5410</v>
      </c>
      <c r="J7649" s="209"/>
      <c r="K7649" s="209"/>
      <c r="L7649" s="209"/>
      <c r="M7649" s="209"/>
      <c r="N7649" s="209"/>
      <c r="O7649" s="209"/>
      <c r="P7649" s="209"/>
      <c r="Q7649" s="209"/>
      <c r="R7649" s="209"/>
      <c r="S7649" s="209"/>
      <c r="T7649" s="209"/>
    </row>
    <row r="7650" spans="1:20" ht="15" hidden="1" customHeight="1">
      <c r="A7650" s="468">
        <v>45596</v>
      </c>
      <c r="B7650" s="208" t="s">
        <v>6093</v>
      </c>
      <c r="C7650" s="208" t="s">
        <v>27</v>
      </c>
      <c r="D7650" s="211">
        <v>-180684</v>
      </c>
      <c r="E7650" s="212">
        <v>45566</v>
      </c>
      <c r="F7650" s="208" t="s">
        <v>130</v>
      </c>
      <c r="G7650" s="208" t="s">
        <v>257</v>
      </c>
      <c r="H7650" s="208" t="s">
        <v>1138</v>
      </c>
      <c r="I7650" s="208"/>
      <c r="J7650" s="209"/>
      <c r="K7650" s="209"/>
      <c r="L7650" s="209"/>
      <c r="M7650" s="209"/>
      <c r="N7650" s="209"/>
      <c r="O7650" s="209"/>
      <c r="P7650" s="209"/>
      <c r="Q7650" s="209"/>
      <c r="R7650" s="209"/>
      <c r="S7650" s="209"/>
      <c r="T7650" s="209"/>
    </row>
    <row r="7651" spans="1:20" ht="15" hidden="1" customHeight="1">
      <c r="A7651" s="468">
        <v>45596</v>
      </c>
      <c r="B7651" s="208" t="s">
        <v>6094</v>
      </c>
      <c r="C7651" s="208" t="s">
        <v>27</v>
      </c>
      <c r="D7651" s="211">
        <v>-662800</v>
      </c>
      <c r="E7651" s="212">
        <v>45566</v>
      </c>
      <c r="F7651" s="208" t="s">
        <v>109</v>
      </c>
      <c r="G7651" s="208" t="s">
        <v>10</v>
      </c>
      <c r="H7651" s="208" t="s">
        <v>147</v>
      </c>
      <c r="I7651" s="208"/>
      <c r="J7651" s="209"/>
      <c r="K7651" s="209"/>
      <c r="L7651" s="209"/>
      <c r="M7651" s="209"/>
      <c r="N7651" s="209"/>
      <c r="O7651" s="209"/>
      <c r="P7651" s="209"/>
      <c r="Q7651" s="209"/>
      <c r="R7651" s="209"/>
      <c r="S7651" s="209"/>
      <c r="T7651" s="209"/>
    </row>
    <row r="7652" spans="1:20" ht="15" hidden="1" customHeight="1">
      <c r="A7652" s="468">
        <v>45596</v>
      </c>
      <c r="B7652" s="208" t="s">
        <v>5757</v>
      </c>
      <c r="C7652" s="208" t="s">
        <v>27</v>
      </c>
      <c r="D7652" s="211">
        <v>-163000</v>
      </c>
      <c r="E7652" s="212">
        <v>45566</v>
      </c>
      <c r="F7652" s="208" t="s">
        <v>130</v>
      </c>
      <c r="G7652" s="208" t="s">
        <v>130</v>
      </c>
      <c r="H7652" s="208" t="s">
        <v>323</v>
      </c>
      <c r="I7652" s="208"/>
      <c r="J7652" s="209"/>
      <c r="K7652" s="209"/>
      <c r="L7652" s="209"/>
      <c r="M7652" s="209"/>
      <c r="N7652" s="209"/>
      <c r="O7652" s="209"/>
      <c r="P7652" s="209"/>
      <c r="Q7652" s="209"/>
      <c r="R7652" s="209"/>
      <c r="S7652" s="209"/>
      <c r="T7652" s="209"/>
    </row>
    <row r="7653" spans="1:20" ht="15" hidden="1" customHeight="1">
      <c r="A7653" s="468">
        <v>45596</v>
      </c>
      <c r="B7653" s="208" t="s">
        <v>6095</v>
      </c>
      <c r="C7653" s="208" t="s">
        <v>27</v>
      </c>
      <c r="D7653" s="211">
        <v>826841.25</v>
      </c>
      <c r="E7653" s="212">
        <v>45566</v>
      </c>
      <c r="F7653" s="208" t="s">
        <v>108</v>
      </c>
      <c r="G7653" s="208"/>
      <c r="H7653" s="208"/>
      <c r="I7653" s="208"/>
      <c r="J7653" s="209"/>
      <c r="K7653" s="209"/>
      <c r="L7653" s="209"/>
      <c r="M7653" s="209"/>
      <c r="N7653" s="209"/>
      <c r="O7653" s="209"/>
      <c r="P7653" s="209"/>
      <c r="Q7653" s="209"/>
      <c r="R7653" s="209"/>
      <c r="S7653" s="209"/>
      <c r="T7653" s="209"/>
    </row>
    <row r="7654" spans="1:20" ht="15" hidden="1" customHeight="1">
      <c r="A7654" s="468">
        <v>45596</v>
      </c>
      <c r="B7654" s="208" t="s">
        <v>6096</v>
      </c>
      <c r="C7654" s="208" t="s">
        <v>27</v>
      </c>
      <c r="D7654" s="211">
        <v>15900896.91</v>
      </c>
      <c r="E7654" s="212">
        <v>45566</v>
      </c>
      <c r="F7654" s="208" t="s">
        <v>109</v>
      </c>
      <c r="G7654" s="201" t="s">
        <v>918</v>
      </c>
      <c r="H7654" s="208"/>
      <c r="I7654" s="208"/>
      <c r="J7654" s="209"/>
      <c r="K7654" s="209"/>
      <c r="L7654" s="209"/>
      <c r="M7654" s="209"/>
      <c r="N7654" s="209"/>
      <c r="O7654" s="209"/>
      <c r="P7654" s="209"/>
      <c r="Q7654" s="209"/>
      <c r="R7654" s="209"/>
      <c r="S7654" s="209"/>
      <c r="T7654" s="209"/>
    </row>
    <row r="7655" spans="1:20" ht="15" hidden="1" customHeight="1">
      <c r="A7655" s="468">
        <v>45596</v>
      </c>
      <c r="B7655" s="208" t="s">
        <v>6097</v>
      </c>
      <c r="C7655" s="208" t="s">
        <v>27</v>
      </c>
      <c r="D7655" s="211">
        <v>4304310</v>
      </c>
      <c r="E7655" s="212">
        <v>45566</v>
      </c>
      <c r="F7655" s="208" t="s">
        <v>108</v>
      </c>
      <c r="G7655" s="208"/>
      <c r="H7655" s="208"/>
      <c r="I7655" s="208"/>
      <c r="J7655" s="209"/>
      <c r="K7655" s="209"/>
      <c r="L7655" s="209"/>
      <c r="M7655" s="209"/>
      <c r="N7655" s="209"/>
      <c r="O7655" s="209"/>
      <c r="P7655" s="209"/>
      <c r="Q7655" s="209"/>
      <c r="R7655" s="209"/>
      <c r="S7655" s="209"/>
      <c r="T7655" s="209"/>
    </row>
    <row r="7656" spans="1:20" ht="15" hidden="1" customHeight="1">
      <c r="A7656" s="468">
        <v>45596</v>
      </c>
      <c r="B7656" s="208" t="s">
        <v>6098</v>
      </c>
      <c r="C7656" s="208" t="s">
        <v>27</v>
      </c>
      <c r="D7656" s="211">
        <v>662800</v>
      </c>
      <c r="E7656" s="212">
        <v>45566</v>
      </c>
      <c r="F7656" s="208" t="s">
        <v>130</v>
      </c>
      <c r="G7656" s="208" t="s">
        <v>130</v>
      </c>
      <c r="H7656" s="208"/>
      <c r="I7656" s="208"/>
      <c r="J7656" s="209"/>
      <c r="K7656" s="209"/>
      <c r="L7656" s="209"/>
      <c r="M7656" s="209"/>
      <c r="N7656" s="209"/>
      <c r="O7656" s="209"/>
      <c r="P7656" s="209"/>
      <c r="Q7656" s="209"/>
      <c r="R7656" s="209"/>
      <c r="S7656" s="209"/>
      <c r="T7656" s="209"/>
    </row>
    <row r="7657" spans="1:20" ht="15" hidden="1" customHeight="1">
      <c r="A7657" s="468">
        <v>45596</v>
      </c>
      <c r="B7657" s="208" t="s">
        <v>2109</v>
      </c>
      <c r="C7657" s="208" t="s">
        <v>27</v>
      </c>
      <c r="D7657" s="211">
        <v>1076497</v>
      </c>
      <c r="E7657" s="212">
        <v>45566</v>
      </c>
      <c r="F7657" s="208" t="s">
        <v>108</v>
      </c>
      <c r="G7657" s="208"/>
      <c r="H7657" s="208"/>
      <c r="I7657" s="208"/>
      <c r="J7657" s="209"/>
      <c r="K7657" s="209"/>
      <c r="L7657" s="209"/>
      <c r="M7657" s="209"/>
      <c r="N7657" s="209"/>
      <c r="O7657" s="209"/>
      <c r="P7657" s="209"/>
      <c r="Q7657" s="209"/>
      <c r="R7657" s="209"/>
      <c r="S7657" s="209"/>
      <c r="T7657" s="209"/>
    </row>
    <row r="7658" spans="1:20" ht="15" hidden="1" customHeight="1">
      <c r="A7658" s="468">
        <v>45596</v>
      </c>
      <c r="B7658" s="208" t="s">
        <v>6099</v>
      </c>
      <c r="C7658" s="208" t="s">
        <v>27</v>
      </c>
      <c r="D7658" s="211">
        <v>679000</v>
      </c>
      <c r="E7658" s="212">
        <v>45566</v>
      </c>
      <c r="F7658" s="208" t="s">
        <v>130</v>
      </c>
      <c r="G7658" s="208" t="s">
        <v>130</v>
      </c>
      <c r="H7658" s="208"/>
      <c r="I7658" s="208"/>
      <c r="J7658" s="209"/>
      <c r="K7658" s="209"/>
      <c r="L7658" s="209"/>
      <c r="M7658" s="209"/>
      <c r="N7658" s="209"/>
      <c r="O7658" s="209"/>
      <c r="P7658" s="209"/>
      <c r="Q7658" s="209"/>
      <c r="R7658" s="209"/>
      <c r="S7658" s="209"/>
      <c r="T7658" s="209"/>
    </row>
    <row r="7659" spans="1:20" ht="15" hidden="1" customHeight="1">
      <c r="A7659" s="468">
        <v>45596</v>
      </c>
      <c r="B7659" s="208" t="s">
        <v>6100</v>
      </c>
      <c r="C7659" s="208" t="s">
        <v>27</v>
      </c>
      <c r="D7659" s="211">
        <v>100000000</v>
      </c>
      <c r="E7659" s="212">
        <v>45566</v>
      </c>
      <c r="F7659" s="883" t="s">
        <v>707</v>
      </c>
      <c r="G7659" s="201" t="s">
        <v>581</v>
      </c>
      <c r="H7659" s="208"/>
      <c r="I7659" s="720" t="s">
        <v>3475</v>
      </c>
      <c r="J7659" s="209"/>
      <c r="K7659" s="209"/>
      <c r="L7659" s="209"/>
      <c r="M7659" s="209"/>
      <c r="N7659" s="209"/>
      <c r="O7659" s="209"/>
      <c r="P7659" s="209"/>
      <c r="Q7659" s="209"/>
      <c r="R7659" s="209"/>
      <c r="S7659" s="209"/>
      <c r="T7659" s="209"/>
    </row>
    <row r="7660" spans="1:20" ht="15" hidden="1" customHeight="1">
      <c r="A7660" s="468">
        <v>45595</v>
      </c>
      <c r="B7660" s="208" t="s">
        <v>2783</v>
      </c>
      <c r="C7660" s="208" t="s">
        <v>3331</v>
      </c>
      <c r="D7660" s="211">
        <v>1317790</v>
      </c>
      <c r="E7660" s="212">
        <v>45566</v>
      </c>
      <c r="F7660" s="208" t="s">
        <v>108</v>
      </c>
      <c r="G7660" s="208"/>
      <c r="H7660" s="208"/>
      <c r="I7660" s="208"/>
      <c r="J7660" s="209"/>
      <c r="K7660" s="209"/>
      <c r="L7660" s="209"/>
      <c r="M7660" s="209"/>
      <c r="N7660" s="209"/>
      <c r="O7660" s="209"/>
      <c r="P7660" s="209"/>
      <c r="Q7660" s="209"/>
      <c r="R7660" s="209"/>
      <c r="S7660" s="209"/>
      <c r="T7660" s="209"/>
    </row>
    <row r="7661" spans="1:20" ht="15" hidden="1" customHeight="1">
      <c r="A7661" s="468">
        <v>45596</v>
      </c>
      <c r="B7661" s="208" t="s">
        <v>6101</v>
      </c>
      <c r="C7661" s="208" t="s">
        <v>4783</v>
      </c>
      <c r="D7661" s="211">
        <v>-5147982</v>
      </c>
      <c r="E7661" s="212">
        <v>45566</v>
      </c>
      <c r="F7661" s="208" t="s">
        <v>111</v>
      </c>
      <c r="G7661" s="208"/>
      <c r="H7661" s="208"/>
      <c r="I7661" s="208"/>
      <c r="J7661" s="209"/>
      <c r="K7661" s="209"/>
      <c r="L7661" s="209"/>
      <c r="M7661" s="209"/>
      <c r="N7661" s="209"/>
      <c r="O7661" s="209"/>
      <c r="P7661" s="209"/>
      <c r="Q7661" s="209"/>
      <c r="R7661" s="209"/>
      <c r="S7661" s="209"/>
      <c r="T7661" s="209"/>
    </row>
    <row r="7662" spans="1:20" ht="15" hidden="1" customHeight="1">
      <c r="A7662" s="468">
        <v>45596</v>
      </c>
      <c r="B7662" s="81" t="s">
        <v>6102</v>
      </c>
      <c r="C7662" s="208" t="s">
        <v>643</v>
      </c>
      <c r="D7662" s="211">
        <v>-99886</v>
      </c>
      <c r="E7662" s="212">
        <v>45566</v>
      </c>
      <c r="F7662" s="208" t="s">
        <v>130</v>
      </c>
      <c r="G7662" s="208" t="s">
        <v>130</v>
      </c>
      <c r="H7662" s="208" t="s">
        <v>1245</v>
      </c>
      <c r="I7662" s="475" t="s">
        <v>5410</v>
      </c>
      <c r="J7662" s="209"/>
      <c r="K7662" s="209"/>
      <c r="L7662" s="209"/>
      <c r="M7662" s="209"/>
      <c r="N7662" s="209"/>
      <c r="O7662" s="209"/>
      <c r="P7662" s="209"/>
      <c r="Q7662" s="209"/>
      <c r="R7662" s="209"/>
      <c r="S7662" s="209"/>
      <c r="T7662" s="209"/>
    </row>
    <row r="7663" spans="1:20" ht="15" hidden="1" customHeight="1">
      <c r="A7663" s="468">
        <v>45596</v>
      </c>
      <c r="B7663" s="81" t="s">
        <v>3018</v>
      </c>
      <c r="C7663" s="208" t="s">
        <v>643</v>
      </c>
      <c r="D7663" s="211">
        <v>-767600</v>
      </c>
      <c r="E7663" s="212">
        <v>45566</v>
      </c>
      <c r="F7663" s="208" t="s">
        <v>130</v>
      </c>
      <c r="G7663" s="208" t="s">
        <v>257</v>
      </c>
      <c r="H7663" s="208" t="s">
        <v>2272</v>
      </c>
      <c r="I7663" s="208"/>
      <c r="J7663" s="209"/>
      <c r="K7663" s="209"/>
      <c r="L7663" s="209"/>
      <c r="M7663" s="209"/>
      <c r="N7663" s="209"/>
      <c r="O7663" s="209"/>
      <c r="P7663" s="209"/>
      <c r="Q7663" s="209"/>
      <c r="R7663" s="209"/>
      <c r="S7663" s="209"/>
      <c r="T7663" s="209"/>
    </row>
    <row r="7664" spans="1:20" ht="15" hidden="1" customHeight="1">
      <c r="A7664" s="468">
        <v>45596</v>
      </c>
      <c r="B7664" s="81" t="s">
        <v>6103</v>
      </c>
      <c r="C7664" s="208" t="s">
        <v>643</v>
      </c>
      <c r="D7664" s="211">
        <v>-37500</v>
      </c>
      <c r="E7664" s="212">
        <v>45566</v>
      </c>
      <c r="F7664" s="208" t="s">
        <v>130</v>
      </c>
      <c r="G7664" s="208" t="s">
        <v>257</v>
      </c>
      <c r="H7664" s="208" t="s">
        <v>303</v>
      </c>
      <c r="I7664" s="208"/>
      <c r="J7664" s="209"/>
      <c r="K7664" s="209"/>
      <c r="L7664" s="209"/>
      <c r="M7664" s="209"/>
      <c r="N7664" s="209"/>
      <c r="O7664" s="209"/>
      <c r="P7664" s="209"/>
      <c r="Q7664" s="209"/>
      <c r="R7664" s="209"/>
      <c r="S7664" s="209"/>
      <c r="T7664" s="209"/>
    </row>
    <row r="7665" spans="1:20" ht="15" hidden="1" customHeight="1">
      <c r="A7665" s="468">
        <v>45596</v>
      </c>
      <c r="B7665" s="81" t="s">
        <v>6104</v>
      </c>
      <c r="C7665" s="208" t="s">
        <v>643</v>
      </c>
      <c r="D7665" s="211">
        <v>-93417</v>
      </c>
      <c r="E7665" s="212">
        <v>45566</v>
      </c>
      <c r="F7665" s="208" t="s">
        <v>130</v>
      </c>
      <c r="G7665" s="208" t="s">
        <v>257</v>
      </c>
      <c r="H7665" s="208" t="s">
        <v>303</v>
      </c>
      <c r="I7665" s="208"/>
      <c r="J7665" s="209"/>
      <c r="K7665" s="209"/>
      <c r="L7665" s="209"/>
      <c r="M7665" s="209"/>
      <c r="N7665" s="209"/>
      <c r="O7665" s="209"/>
      <c r="P7665" s="209"/>
      <c r="Q7665" s="209"/>
      <c r="R7665" s="209"/>
      <c r="S7665" s="209"/>
      <c r="T7665" s="209"/>
    </row>
    <row r="7666" spans="1:20" ht="15" hidden="1" customHeight="1">
      <c r="A7666" s="468">
        <v>45596</v>
      </c>
      <c r="B7666" s="81" t="s">
        <v>6105</v>
      </c>
      <c r="C7666" s="208" t="s">
        <v>643</v>
      </c>
      <c r="D7666" s="211">
        <v>-57798</v>
      </c>
      <c r="E7666" s="212">
        <v>45566</v>
      </c>
      <c r="F7666" s="208" t="s">
        <v>130</v>
      </c>
      <c r="G7666" s="208" t="s">
        <v>257</v>
      </c>
      <c r="H7666" s="208" t="s">
        <v>303</v>
      </c>
      <c r="I7666" s="208"/>
      <c r="J7666" s="209"/>
      <c r="K7666" s="209"/>
      <c r="L7666" s="209"/>
      <c r="M7666" s="209"/>
      <c r="N7666" s="209"/>
      <c r="O7666" s="209"/>
      <c r="P7666" s="209"/>
      <c r="Q7666" s="209"/>
      <c r="R7666" s="209"/>
      <c r="S7666" s="209"/>
      <c r="T7666" s="209"/>
    </row>
    <row r="7667" spans="1:20" ht="15" hidden="1" customHeight="1">
      <c r="A7667" s="468">
        <v>45596</v>
      </c>
      <c r="B7667" s="81" t="s">
        <v>6106</v>
      </c>
      <c r="C7667" s="208" t="s">
        <v>643</v>
      </c>
      <c r="D7667" s="211">
        <v>-46000</v>
      </c>
      <c r="E7667" s="212">
        <v>45566</v>
      </c>
      <c r="F7667" s="208" t="s">
        <v>130</v>
      </c>
      <c r="G7667" s="208" t="s">
        <v>257</v>
      </c>
      <c r="H7667" s="208" t="s">
        <v>303</v>
      </c>
      <c r="I7667" s="208"/>
      <c r="J7667" s="209"/>
      <c r="K7667" s="209"/>
      <c r="L7667" s="209"/>
      <c r="M7667" s="209"/>
      <c r="N7667" s="209"/>
      <c r="O7667" s="209"/>
      <c r="P7667" s="209"/>
      <c r="Q7667" s="209"/>
      <c r="R7667" s="209"/>
      <c r="S7667" s="209"/>
      <c r="T7667" s="209"/>
    </row>
    <row r="7668" spans="1:20" ht="15" hidden="1" customHeight="1">
      <c r="A7668" s="468">
        <v>45596</v>
      </c>
      <c r="B7668" s="81" t="s">
        <v>6106</v>
      </c>
      <c r="C7668" s="208" t="s">
        <v>643</v>
      </c>
      <c r="D7668" s="211">
        <v>-23000</v>
      </c>
      <c r="E7668" s="212">
        <v>45566</v>
      </c>
      <c r="F7668" s="208" t="s">
        <v>130</v>
      </c>
      <c r="G7668" s="208" t="s">
        <v>257</v>
      </c>
      <c r="H7668" s="208" t="s">
        <v>303</v>
      </c>
      <c r="I7668" s="475" t="s">
        <v>5410</v>
      </c>
      <c r="J7668" s="209"/>
      <c r="K7668" s="209"/>
      <c r="L7668" s="209"/>
      <c r="M7668" s="209"/>
      <c r="N7668" s="209"/>
      <c r="O7668" s="209"/>
      <c r="P7668" s="209"/>
      <c r="Q7668" s="209"/>
      <c r="R7668" s="209"/>
      <c r="S7668" s="209"/>
      <c r="T7668" s="209"/>
    </row>
    <row r="7669" spans="1:20" ht="15" hidden="1" customHeight="1">
      <c r="A7669" s="468">
        <v>45596</v>
      </c>
      <c r="B7669" s="81" t="s">
        <v>6107</v>
      </c>
      <c r="C7669" s="208" t="s">
        <v>643</v>
      </c>
      <c r="D7669" s="211">
        <v>-137011</v>
      </c>
      <c r="E7669" s="212">
        <v>45566</v>
      </c>
      <c r="F7669" s="208" t="s">
        <v>130</v>
      </c>
      <c r="G7669" s="208" t="s">
        <v>257</v>
      </c>
      <c r="H7669" s="208" t="s">
        <v>1182</v>
      </c>
      <c r="I7669" s="208"/>
      <c r="J7669" s="209"/>
      <c r="K7669" s="209"/>
      <c r="L7669" s="209"/>
      <c r="M7669" s="209"/>
      <c r="N7669" s="209"/>
      <c r="O7669" s="209"/>
      <c r="P7669" s="209"/>
      <c r="Q7669" s="209"/>
      <c r="R7669" s="209"/>
      <c r="S7669" s="209"/>
      <c r="T7669" s="209"/>
    </row>
    <row r="7670" spans="1:20" ht="15" hidden="1" customHeight="1">
      <c r="A7670" s="205">
        <v>45583</v>
      </c>
      <c r="B7670" s="208" t="s">
        <v>6108</v>
      </c>
      <c r="C7670" s="206" t="s">
        <v>3331</v>
      </c>
      <c r="D7670" s="211">
        <v>-1739400</v>
      </c>
      <c r="E7670" s="212">
        <v>45566</v>
      </c>
      <c r="F7670" s="206" t="s">
        <v>130</v>
      </c>
      <c r="G7670" s="206" t="s">
        <v>130</v>
      </c>
      <c r="H7670" s="206" t="s">
        <v>2421</v>
      </c>
      <c r="I7670" s="206"/>
    </row>
    <row r="7671" spans="1:20" ht="15" hidden="1" customHeight="1">
      <c r="A7671" s="205">
        <v>45583</v>
      </c>
      <c r="B7671" s="208" t="s">
        <v>6109</v>
      </c>
      <c r="C7671" s="206" t="s">
        <v>3331</v>
      </c>
      <c r="D7671" s="211">
        <v>-539500</v>
      </c>
      <c r="E7671" s="212">
        <v>45566</v>
      </c>
      <c r="F7671" s="206" t="s">
        <v>130</v>
      </c>
      <c r="G7671" s="206" t="s">
        <v>130</v>
      </c>
      <c r="H7671" s="206" t="s">
        <v>2421</v>
      </c>
      <c r="I7671" s="206"/>
    </row>
    <row r="7672" spans="1:20" ht="15" hidden="1" customHeight="1">
      <c r="A7672" s="205">
        <v>45583</v>
      </c>
      <c r="B7672" s="208" t="s">
        <v>6110</v>
      </c>
      <c r="C7672" s="206" t="s">
        <v>3331</v>
      </c>
      <c r="D7672" s="211">
        <v>-1337200</v>
      </c>
      <c r="E7672" s="212">
        <v>45566</v>
      </c>
      <c r="F7672" s="206" t="s">
        <v>130</v>
      </c>
      <c r="G7672" s="206" t="s">
        <v>130</v>
      </c>
      <c r="H7672" s="206" t="s">
        <v>2421</v>
      </c>
      <c r="I7672" s="206"/>
    </row>
    <row r="7673" spans="1:20" ht="15" hidden="1" customHeight="1">
      <c r="A7673" s="205">
        <v>45583</v>
      </c>
      <c r="B7673" s="208" t="s">
        <v>6111</v>
      </c>
      <c r="C7673" s="206" t="s">
        <v>3331</v>
      </c>
      <c r="D7673" s="211">
        <v>-2679900</v>
      </c>
      <c r="E7673" s="212">
        <v>45566</v>
      </c>
      <c r="F7673" s="206" t="s">
        <v>130</v>
      </c>
      <c r="G7673" s="206" t="s">
        <v>130</v>
      </c>
      <c r="H7673" s="206" t="s">
        <v>2421</v>
      </c>
      <c r="I7673" s="206"/>
    </row>
    <row r="7674" spans="1:20" ht="15" hidden="1" customHeight="1">
      <c r="A7674" s="205">
        <v>45583</v>
      </c>
      <c r="B7674" s="208" t="s">
        <v>6112</v>
      </c>
      <c r="C7674" s="206" t="s">
        <v>3331</v>
      </c>
      <c r="D7674" s="211">
        <v>-2679900</v>
      </c>
      <c r="E7674" s="212">
        <v>45566</v>
      </c>
      <c r="F7674" s="206" t="s">
        <v>130</v>
      </c>
      <c r="G7674" s="206" t="s">
        <v>130</v>
      </c>
      <c r="H7674" s="206" t="s">
        <v>2421</v>
      </c>
      <c r="I7674" s="206"/>
    </row>
    <row r="7675" spans="1:20" ht="15" hidden="1" customHeight="1">
      <c r="A7675" s="205">
        <v>45583</v>
      </c>
      <c r="B7675" s="208" t="s">
        <v>6113</v>
      </c>
      <c r="C7675" s="206" t="s">
        <v>3331</v>
      </c>
      <c r="D7675" s="211">
        <v>-1079000</v>
      </c>
      <c r="E7675" s="212">
        <v>45566</v>
      </c>
      <c r="F7675" s="206" t="s">
        <v>130</v>
      </c>
      <c r="G7675" s="206" t="s">
        <v>130</v>
      </c>
      <c r="H7675" s="206" t="s">
        <v>2421</v>
      </c>
      <c r="I7675" s="206"/>
    </row>
    <row r="7676" spans="1:20" ht="15" hidden="1" customHeight="1">
      <c r="A7676" s="205">
        <v>45583</v>
      </c>
      <c r="B7676" s="208" t="s">
        <v>6114</v>
      </c>
      <c r="C7676" s="206" t="s">
        <v>3331</v>
      </c>
      <c r="D7676" s="211">
        <v>-891500</v>
      </c>
      <c r="E7676" s="212">
        <v>45566</v>
      </c>
      <c r="F7676" s="206" t="s">
        <v>130</v>
      </c>
      <c r="G7676" s="206" t="s">
        <v>130</v>
      </c>
      <c r="H7676" s="206" t="s">
        <v>2421</v>
      </c>
      <c r="I7676" s="206"/>
    </row>
    <row r="7677" spans="1:20" ht="15" hidden="1" customHeight="1">
      <c r="A7677" s="205">
        <v>45583</v>
      </c>
      <c r="B7677" s="208" t="s">
        <v>6115</v>
      </c>
      <c r="C7677" s="206" t="s">
        <v>3331</v>
      </c>
      <c r="D7677" s="211">
        <v>-169300</v>
      </c>
      <c r="E7677" s="212">
        <v>45566</v>
      </c>
      <c r="F7677" s="206" t="s">
        <v>130</v>
      </c>
      <c r="G7677" s="206" t="s">
        <v>130</v>
      </c>
      <c r="H7677" s="206" t="s">
        <v>2421</v>
      </c>
      <c r="I7677" s="206"/>
    </row>
    <row r="7678" spans="1:20" ht="15" hidden="1" customHeight="1">
      <c r="A7678" s="205">
        <v>45583</v>
      </c>
      <c r="B7678" s="208" t="s">
        <v>6116</v>
      </c>
      <c r="C7678" s="206" t="s">
        <v>3331</v>
      </c>
      <c r="D7678" s="211">
        <v>-763100</v>
      </c>
      <c r="E7678" s="212">
        <v>45566</v>
      </c>
      <c r="F7678" s="206" t="s">
        <v>130</v>
      </c>
      <c r="G7678" s="206" t="s">
        <v>130</v>
      </c>
      <c r="H7678" s="206" t="s">
        <v>2421</v>
      </c>
      <c r="I7678" s="206"/>
    </row>
    <row r="7679" spans="1:20" ht="15" hidden="1" customHeight="1">
      <c r="A7679" s="205">
        <v>45583</v>
      </c>
      <c r="B7679" s="208" t="s">
        <v>6117</v>
      </c>
      <c r="C7679" s="206" t="s">
        <v>3331</v>
      </c>
      <c r="D7679" s="211">
        <v>-392400</v>
      </c>
      <c r="E7679" s="212">
        <v>45566</v>
      </c>
      <c r="F7679" s="206" t="s">
        <v>130</v>
      </c>
      <c r="G7679" s="206" t="s">
        <v>130</v>
      </c>
      <c r="H7679" s="206" t="s">
        <v>2421</v>
      </c>
      <c r="I7679" s="206"/>
    </row>
    <row r="7680" spans="1:20" ht="15" hidden="1" customHeight="1">
      <c r="A7680" s="205">
        <v>45583</v>
      </c>
      <c r="B7680" s="208" t="s">
        <v>6118</v>
      </c>
      <c r="C7680" s="206" t="s">
        <v>3331</v>
      </c>
      <c r="D7680" s="211">
        <v>-301200</v>
      </c>
      <c r="E7680" s="212">
        <v>45566</v>
      </c>
      <c r="F7680" s="206" t="s">
        <v>130</v>
      </c>
      <c r="G7680" s="206" t="s">
        <v>130</v>
      </c>
      <c r="H7680" s="206" t="s">
        <v>2421</v>
      </c>
      <c r="I7680" s="206"/>
    </row>
    <row r="7681" spans="1:9" ht="15" hidden="1" customHeight="1">
      <c r="A7681" s="205">
        <v>45583</v>
      </c>
      <c r="B7681" s="208" t="s">
        <v>6119</v>
      </c>
      <c r="C7681" s="206" t="s">
        <v>3331</v>
      </c>
      <c r="D7681" s="211">
        <v>-662100</v>
      </c>
      <c r="E7681" s="212">
        <v>45566</v>
      </c>
      <c r="F7681" s="206" t="s">
        <v>130</v>
      </c>
      <c r="G7681" s="206" t="s">
        <v>130</v>
      </c>
      <c r="H7681" s="206" t="s">
        <v>2421</v>
      </c>
      <c r="I7681" s="206"/>
    </row>
    <row r="7682" spans="1:9" ht="15" hidden="1" customHeight="1">
      <c r="A7682" s="205">
        <v>45583</v>
      </c>
      <c r="B7682" s="208" t="s">
        <v>6120</v>
      </c>
      <c r="C7682" s="206" t="s">
        <v>3331</v>
      </c>
      <c r="D7682" s="211">
        <v>-464400</v>
      </c>
      <c r="E7682" s="212">
        <v>45566</v>
      </c>
      <c r="F7682" s="206" t="s">
        <v>130</v>
      </c>
      <c r="G7682" s="206" t="s">
        <v>130</v>
      </c>
      <c r="H7682" s="206" t="s">
        <v>2421</v>
      </c>
      <c r="I7682" s="475" t="s">
        <v>5410</v>
      </c>
    </row>
    <row r="7683" spans="1:9" ht="15" hidden="1" customHeight="1">
      <c r="A7683" s="205">
        <v>45587</v>
      </c>
      <c r="B7683" s="208" t="s">
        <v>6121</v>
      </c>
      <c r="C7683" s="206" t="s">
        <v>27</v>
      </c>
      <c r="D7683" s="211">
        <v>-7104905</v>
      </c>
      <c r="E7683" s="212">
        <v>45566</v>
      </c>
      <c r="F7683" s="208" t="s">
        <v>130</v>
      </c>
      <c r="G7683" s="208" t="s">
        <v>257</v>
      </c>
      <c r="H7683" s="633" t="s">
        <v>1031</v>
      </c>
      <c r="I7683" s="475" t="s">
        <v>5410</v>
      </c>
    </row>
    <row r="7684" spans="1:9" ht="15" hidden="1" customHeight="1">
      <c r="A7684" s="205">
        <v>45601</v>
      </c>
      <c r="B7684" s="208" t="s">
        <v>6122</v>
      </c>
      <c r="C7684" s="206" t="s">
        <v>146</v>
      </c>
      <c r="D7684" s="731">
        <v>-168000</v>
      </c>
      <c r="E7684" s="207">
        <v>45597</v>
      </c>
      <c r="F7684" s="206" t="s">
        <v>109</v>
      </c>
      <c r="G7684" s="201" t="s">
        <v>581</v>
      </c>
      <c r="I7684" s="206"/>
    </row>
    <row r="7685" spans="1:9" ht="15" hidden="1" customHeight="1">
      <c r="A7685" s="205">
        <v>45601</v>
      </c>
      <c r="B7685" s="208" t="s">
        <v>6123</v>
      </c>
      <c r="C7685" s="206" t="s">
        <v>146</v>
      </c>
      <c r="D7685" s="731">
        <v>-32000</v>
      </c>
      <c r="E7685" s="207">
        <v>45597</v>
      </c>
      <c r="F7685" s="206" t="s">
        <v>130</v>
      </c>
      <c r="G7685" s="206" t="s">
        <v>130</v>
      </c>
      <c r="H7685" s="81" t="s">
        <v>138</v>
      </c>
      <c r="I7685" s="206"/>
    </row>
    <row r="7686" spans="1:9" ht="15" hidden="1" customHeight="1">
      <c r="A7686" s="205">
        <v>45597</v>
      </c>
      <c r="B7686" s="208" t="s">
        <v>2663</v>
      </c>
      <c r="C7686" s="206" t="s">
        <v>146</v>
      </c>
      <c r="D7686" s="726">
        <v>-7000</v>
      </c>
      <c r="E7686" s="207">
        <v>45597</v>
      </c>
      <c r="F7686" s="206" t="s">
        <v>109</v>
      </c>
      <c r="G7686" s="201" t="s">
        <v>581</v>
      </c>
      <c r="H7686" s="81" t="s">
        <v>138</v>
      </c>
      <c r="I7686" s="206"/>
    </row>
    <row r="7687" spans="1:9" ht="15" hidden="1" customHeight="1">
      <c r="A7687" s="205">
        <v>45597</v>
      </c>
      <c r="B7687" s="208" t="s">
        <v>2663</v>
      </c>
      <c r="C7687" s="206" t="s">
        <v>146</v>
      </c>
      <c r="D7687" s="726">
        <v>-23000</v>
      </c>
      <c r="E7687" s="207">
        <v>45597</v>
      </c>
      <c r="F7687" s="206" t="s">
        <v>110</v>
      </c>
      <c r="G7687" s="208" t="s">
        <v>4990</v>
      </c>
      <c r="H7687" s="81" t="s">
        <v>138</v>
      </c>
      <c r="I7687" s="206"/>
    </row>
    <row r="7688" spans="1:9" ht="15" hidden="1" customHeight="1">
      <c r="A7688" s="205">
        <v>45597</v>
      </c>
      <c r="B7688" s="208" t="s">
        <v>2663</v>
      </c>
      <c r="C7688" s="206" t="s">
        <v>146</v>
      </c>
      <c r="D7688" s="726">
        <v>-42000</v>
      </c>
      <c r="E7688" s="207">
        <v>45597</v>
      </c>
      <c r="F7688" s="206" t="s">
        <v>109</v>
      </c>
      <c r="G7688" s="208" t="s">
        <v>4986</v>
      </c>
      <c r="H7688" s="81" t="s">
        <v>138</v>
      </c>
      <c r="I7688" s="206"/>
    </row>
    <row r="7689" spans="1:9" ht="15" hidden="1" customHeight="1">
      <c r="A7689" s="205">
        <v>45597</v>
      </c>
      <c r="B7689" s="208" t="s">
        <v>2663</v>
      </c>
      <c r="C7689" s="206" t="s">
        <v>146</v>
      </c>
      <c r="D7689" s="726">
        <v>-63000</v>
      </c>
      <c r="E7689" s="207">
        <v>45597</v>
      </c>
      <c r="F7689" s="206" t="s">
        <v>110</v>
      </c>
      <c r="G7689" s="208" t="s">
        <v>4294</v>
      </c>
      <c r="H7689" s="81" t="s">
        <v>138</v>
      </c>
      <c r="I7689" s="206"/>
    </row>
    <row r="7690" spans="1:9" ht="15" hidden="1" customHeight="1">
      <c r="A7690" s="205">
        <v>45597</v>
      </c>
      <c r="B7690" s="208" t="s">
        <v>2663</v>
      </c>
      <c r="C7690" s="206" t="s">
        <v>146</v>
      </c>
      <c r="D7690" s="726">
        <v>-28000</v>
      </c>
      <c r="E7690" s="207">
        <v>45597</v>
      </c>
      <c r="F7690" s="206" t="s">
        <v>130</v>
      </c>
      <c r="G7690" s="206" t="s">
        <v>130</v>
      </c>
      <c r="H7690" s="81" t="s">
        <v>138</v>
      </c>
      <c r="I7690" s="206"/>
    </row>
    <row r="7691" spans="1:9" ht="15" hidden="1" customHeight="1">
      <c r="A7691" s="205">
        <v>45597</v>
      </c>
      <c r="B7691" s="208" t="s">
        <v>2663</v>
      </c>
      <c r="C7691" s="206" t="s">
        <v>146</v>
      </c>
      <c r="D7691" s="726">
        <v>-14000</v>
      </c>
      <c r="E7691" s="207">
        <v>45597</v>
      </c>
      <c r="F7691" s="206" t="s">
        <v>109</v>
      </c>
      <c r="G7691" s="201" t="s">
        <v>1306</v>
      </c>
      <c r="H7691" s="81" t="s">
        <v>138</v>
      </c>
      <c r="I7691" s="206"/>
    </row>
    <row r="7692" spans="1:9" ht="15" hidden="1" customHeight="1">
      <c r="A7692" s="205">
        <v>45597</v>
      </c>
      <c r="B7692" s="208" t="s">
        <v>2663</v>
      </c>
      <c r="C7692" s="206" t="s">
        <v>146</v>
      </c>
      <c r="D7692" s="726">
        <v>-7000</v>
      </c>
      <c r="E7692" s="207">
        <v>45597</v>
      </c>
      <c r="F7692" s="206" t="s">
        <v>110</v>
      </c>
      <c r="G7692" s="208" t="s">
        <v>5469</v>
      </c>
      <c r="H7692" s="81" t="s">
        <v>138</v>
      </c>
      <c r="I7692" s="206"/>
    </row>
    <row r="7693" spans="1:9" ht="15" hidden="1" customHeight="1">
      <c r="A7693" s="205">
        <v>45593</v>
      </c>
      <c r="B7693" s="714" t="s">
        <v>6124</v>
      </c>
      <c r="C7693" s="206" t="s">
        <v>146</v>
      </c>
      <c r="D7693" s="726">
        <v>-5000</v>
      </c>
      <c r="E7693" s="207">
        <v>45597</v>
      </c>
      <c r="F7693" s="206" t="s">
        <v>110</v>
      </c>
      <c r="G7693" s="208" t="s">
        <v>4294</v>
      </c>
      <c r="H7693" s="208" t="s">
        <v>175</v>
      </c>
      <c r="I7693" s="206" t="s">
        <v>5430</v>
      </c>
    </row>
    <row r="7694" spans="1:9" ht="15" hidden="1" customHeight="1">
      <c r="A7694" s="205">
        <v>45594</v>
      </c>
      <c r="B7694" s="714" t="s">
        <v>6125</v>
      </c>
      <c r="C7694" s="206" t="s">
        <v>146</v>
      </c>
      <c r="D7694" s="726">
        <v>-6200</v>
      </c>
      <c r="E7694" s="207">
        <v>45597</v>
      </c>
      <c r="F7694" s="206" t="s">
        <v>110</v>
      </c>
      <c r="G7694" s="208" t="s">
        <v>5469</v>
      </c>
      <c r="H7694" s="201" t="s">
        <v>416</v>
      </c>
      <c r="I7694" s="206" t="s">
        <v>5430</v>
      </c>
    </row>
    <row r="7695" spans="1:9" ht="15" hidden="1" customHeight="1">
      <c r="A7695" s="205">
        <v>45594</v>
      </c>
      <c r="B7695" s="714" t="s">
        <v>6126</v>
      </c>
      <c r="C7695" s="206" t="s">
        <v>146</v>
      </c>
      <c r="D7695" s="726">
        <v>-42300</v>
      </c>
      <c r="E7695" s="207">
        <v>45597</v>
      </c>
      <c r="F7695" s="206" t="s">
        <v>109</v>
      </c>
      <c r="G7695" s="208" t="s">
        <v>4986</v>
      </c>
      <c r="H7695" s="208" t="s">
        <v>175</v>
      </c>
      <c r="I7695" s="206" t="s">
        <v>5430</v>
      </c>
    </row>
    <row r="7696" spans="1:9" ht="15" hidden="1" customHeight="1">
      <c r="A7696" s="205">
        <v>45594</v>
      </c>
      <c r="B7696" s="714" t="s">
        <v>6127</v>
      </c>
      <c r="C7696" s="206" t="s">
        <v>146</v>
      </c>
      <c r="D7696" s="726">
        <v>-15000</v>
      </c>
      <c r="E7696" s="207">
        <v>45597</v>
      </c>
      <c r="F7696" s="206" t="s">
        <v>110</v>
      </c>
      <c r="G7696" s="208" t="s">
        <v>5469</v>
      </c>
      <c r="H7696" s="201" t="s">
        <v>1166</v>
      </c>
      <c r="I7696" s="206" t="s">
        <v>5430</v>
      </c>
    </row>
    <row r="7697" spans="1:9" ht="15" hidden="1" customHeight="1">
      <c r="A7697" s="205">
        <v>45595</v>
      </c>
      <c r="B7697" s="714" t="s">
        <v>6128</v>
      </c>
      <c r="C7697" s="206" t="s">
        <v>146</v>
      </c>
      <c r="D7697" s="726">
        <v>-14000</v>
      </c>
      <c r="E7697" s="207">
        <v>45597</v>
      </c>
      <c r="F7697" s="206" t="s">
        <v>109</v>
      </c>
      <c r="G7697" s="208" t="s">
        <v>4986</v>
      </c>
      <c r="H7697" s="201" t="s">
        <v>416</v>
      </c>
      <c r="I7697" s="206" t="s">
        <v>5430</v>
      </c>
    </row>
    <row r="7698" spans="1:9" ht="15" hidden="1" customHeight="1">
      <c r="A7698" s="205">
        <v>45595</v>
      </c>
      <c r="B7698" s="714" t="s">
        <v>6129</v>
      </c>
      <c r="C7698" s="206" t="s">
        <v>146</v>
      </c>
      <c r="D7698" s="726">
        <v>-113700</v>
      </c>
      <c r="E7698" s="207">
        <v>45597</v>
      </c>
      <c r="F7698" s="206" t="s">
        <v>110</v>
      </c>
      <c r="G7698" s="208" t="s">
        <v>4294</v>
      </c>
      <c r="H7698" s="208" t="s">
        <v>175</v>
      </c>
      <c r="I7698" s="206" t="s">
        <v>5430</v>
      </c>
    </row>
    <row r="7699" spans="1:9" ht="15" hidden="1" customHeight="1">
      <c r="A7699" s="205">
        <v>45595</v>
      </c>
      <c r="B7699" s="714" t="s">
        <v>6130</v>
      </c>
      <c r="C7699" s="206" t="s">
        <v>146</v>
      </c>
      <c r="D7699" s="726">
        <v>-13000</v>
      </c>
      <c r="E7699" s="207">
        <v>45597</v>
      </c>
      <c r="F7699" s="206" t="s">
        <v>110</v>
      </c>
      <c r="G7699" s="208" t="s">
        <v>5469</v>
      </c>
      <c r="H7699" s="208" t="s">
        <v>175</v>
      </c>
      <c r="I7699" s="206" t="s">
        <v>5430</v>
      </c>
    </row>
    <row r="7700" spans="1:9" ht="15" hidden="1" customHeight="1">
      <c r="A7700" s="205">
        <v>45595</v>
      </c>
      <c r="B7700" s="208" t="s">
        <v>6131</v>
      </c>
      <c r="C7700" s="206" t="s">
        <v>146</v>
      </c>
      <c r="D7700" s="726">
        <v>-18600</v>
      </c>
      <c r="E7700" s="207">
        <v>45597</v>
      </c>
      <c r="F7700" s="206" t="s">
        <v>110</v>
      </c>
      <c r="G7700" s="208" t="s">
        <v>4294</v>
      </c>
      <c r="H7700" s="208" t="s">
        <v>175</v>
      </c>
      <c r="I7700" s="206" t="s">
        <v>5430</v>
      </c>
    </row>
    <row r="7701" spans="1:9" ht="15" hidden="1" customHeight="1">
      <c r="A7701" s="205">
        <v>45595</v>
      </c>
      <c r="B7701" s="208" t="s">
        <v>6132</v>
      </c>
      <c r="C7701" s="206" t="s">
        <v>146</v>
      </c>
      <c r="D7701" s="726">
        <v>-46200</v>
      </c>
      <c r="E7701" s="207">
        <v>45597</v>
      </c>
      <c r="F7701" s="206" t="s">
        <v>109</v>
      </c>
      <c r="G7701" s="208" t="s">
        <v>4986</v>
      </c>
      <c r="H7701" s="208" t="s">
        <v>175</v>
      </c>
      <c r="I7701" s="206" t="s">
        <v>5430</v>
      </c>
    </row>
    <row r="7702" spans="1:9" ht="15" hidden="1" customHeight="1">
      <c r="A7702" s="205">
        <v>45594</v>
      </c>
      <c r="B7702" s="208" t="s">
        <v>6133</v>
      </c>
      <c r="C7702" s="206" t="s">
        <v>146</v>
      </c>
      <c r="D7702" s="726">
        <v>-119000</v>
      </c>
      <c r="E7702" s="207">
        <v>45597</v>
      </c>
      <c r="F7702" s="206" t="s">
        <v>109</v>
      </c>
      <c r="G7702" s="201" t="s">
        <v>581</v>
      </c>
      <c r="H7702" s="206" t="s">
        <v>6134</v>
      </c>
      <c r="I7702" s="206" t="s">
        <v>5430</v>
      </c>
    </row>
    <row r="7703" spans="1:9" ht="15" hidden="1" customHeight="1">
      <c r="A7703" s="205">
        <v>45595</v>
      </c>
      <c r="B7703" s="208" t="s">
        <v>6135</v>
      </c>
      <c r="C7703" s="206" t="s">
        <v>146</v>
      </c>
      <c r="D7703" s="726">
        <v>-12000</v>
      </c>
      <c r="E7703" s="207">
        <v>45597</v>
      </c>
      <c r="F7703" s="206" t="s">
        <v>109</v>
      </c>
      <c r="G7703" s="201" t="s">
        <v>581</v>
      </c>
      <c r="H7703" s="81" t="s">
        <v>138</v>
      </c>
      <c r="I7703" s="206" t="s">
        <v>5430</v>
      </c>
    </row>
    <row r="7704" spans="1:9" ht="15" hidden="1" customHeight="1">
      <c r="A7704" s="205">
        <v>45595</v>
      </c>
      <c r="B7704" s="208" t="s">
        <v>6136</v>
      </c>
      <c r="C7704" s="206" t="s">
        <v>146</v>
      </c>
      <c r="D7704" s="726">
        <v>-152999.43</v>
      </c>
      <c r="E7704" s="207">
        <v>45597</v>
      </c>
      <c r="F7704" s="206" t="s">
        <v>109</v>
      </c>
      <c r="G7704" s="201" t="s">
        <v>581</v>
      </c>
      <c r="H7704" s="206" t="s">
        <v>6134</v>
      </c>
      <c r="I7704" s="206" t="s">
        <v>5430</v>
      </c>
    </row>
    <row r="7705" spans="1:9" ht="15" hidden="1" customHeight="1">
      <c r="A7705" s="205">
        <v>45595</v>
      </c>
      <c r="B7705" s="208" t="s">
        <v>6137</v>
      </c>
      <c r="C7705" s="206" t="s">
        <v>146</v>
      </c>
      <c r="D7705" s="726">
        <v>-114799</v>
      </c>
      <c r="E7705" s="207">
        <v>45597</v>
      </c>
      <c r="F7705" s="206" t="s">
        <v>109</v>
      </c>
      <c r="G7705" s="201" t="s">
        <v>581</v>
      </c>
      <c r="H7705" s="206" t="s">
        <v>6134</v>
      </c>
      <c r="I7705" s="206" t="s">
        <v>5430</v>
      </c>
    </row>
    <row r="7706" spans="1:9" ht="15" hidden="1" customHeight="1">
      <c r="A7706" s="205">
        <v>45596</v>
      </c>
      <c r="B7706" s="208" t="s">
        <v>6138</v>
      </c>
      <c r="C7706" s="206" t="s">
        <v>146</v>
      </c>
      <c r="D7706" s="726">
        <v>-5000</v>
      </c>
      <c r="E7706" s="207">
        <v>45597</v>
      </c>
      <c r="F7706" s="206" t="s">
        <v>109</v>
      </c>
      <c r="G7706" s="201" t="s">
        <v>581</v>
      </c>
      <c r="H7706" s="81" t="s">
        <v>138</v>
      </c>
      <c r="I7706" s="206" t="s">
        <v>5430</v>
      </c>
    </row>
    <row r="7707" spans="1:9" ht="15" hidden="1" customHeight="1">
      <c r="A7707" s="205">
        <v>45601</v>
      </c>
      <c r="B7707" s="208" t="s">
        <v>5808</v>
      </c>
      <c r="C7707" s="206" t="s">
        <v>146</v>
      </c>
      <c r="D7707" s="726">
        <v>40000</v>
      </c>
      <c r="E7707" s="207">
        <v>45597</v>
      </c>
      <c r="F7707" s="206" t="s">
        <v>130</v>
      </c>
      <c r="G7707" s="206" t="s">
        <v>257</v>
      </c>
      <c r="H7707" s="206" t="s">
        <v>2032</v>
      </c>
      <c r="I7707" s="206"/>
    </row>
    <row r="7708" spans="1:9" ht="15" hidden="1" customHeight="1">
      <c r="A7708" s="205">
        <v>45602</v>
      </c>
      <c r="B7708" s="208" t="s">
        <v>6139</v>
      </c>
      <c r="C7708" s="206" t="s">
        <v>146</v>
      </c>
      <c r="D7708" s="726">
        <v>-187200</v>
      </c>
      <c r="E7708" s="207">
        <v>45597</v>
      </c>
      <c r="F7708" s="206" t="s">
        <v>130</v>
      </c>
      <c r="G7708" s="206" t="s">
        <v>257</v>
      </c>
      <c r="H7708" s="206" t="s">
        <v>1182</v>
      </c>
      <c r="I7708" s="206"/>
    </row>
    <row r="7709" spans="1:9" ht="15" hidden="1" customHeight="1">
      <c r="A7709" s="205">
        <v>45602</v>
      </c>
      <c r="B7709" s="208" t="s">
        <v>3846</v>
      </c>
      <c r="C7709" s="206" t="s">
        <v>146</v>
      </c>
      <c r="D7709" s="731">
        <v>-327736</v>
      </c>
      <c r="E7709" s="207">
        <v>45597</v>
      </c>
      <c r="F7709" s="206" t="s">
        <v>109</v>
      </c>
      <c r="G7709" s="201" t="s">
        <v>581</v>
      </c>
      <c r="I7709" s="206"/>
    </row>
    <row r="7710" spans="1:9" ht="15" hidden="1" customHeight="1">
      <c r="A7710" s="205">
        <v>45602</v>
      </c>
      <c r="B7710" s="208" t="s">
        <v>3846</v>
      </c>
      <c r="C7710" s="206" t="s">
        <v>146</v>
      </c>
      <c r="D7710" s="731">
        <v>-7000</v>
      </c>
      <c r="E7710" s="207">
        <v>45597</v>
      </c>
      <c r="F7710" s="206" t="s">
        <v>110</v>
      </c>
      <c r="G7710" s="208" t="s">
        <v>5503</v>
      </c>
      <c r="H7710" s="81" t="s">
        <v>138</v>
      </c>
      <c r="I7710" s="206"/>
    </row>
    <row r="7711" spans="1:9" ht="15" hidden="1" customHeight="1">
      <c r="A7711" s="205">
        <v>45602</v>
      </c>
      <c r="B7711" s="208" t="s">
        <v>3846</v>
      </c>
      <c r="C7711" s="206" t="s">
        <v>146</v>
      </c>
      <c r="D7711" s="731">
        <v>-321000</v>
      </c>
      <c r="E7711" s="207">
        <v>45597</v>
      </c>
      <c r="F7711" s="206" t="s">
        <v>110</v>
      </c>
      <c r="G7711" s="208" t="s">
        <v>4294</v>
      </c>
      <c r="H7711" s="81" t="s">
        <v>138</v>
      </c>
      <c r="I7711" s="206"/>
    </row>
    <row r="7712" spans="1:9" ht="15" hidden="1" customHeight="1">
      <c r="A7712" s="205">
        <v>45602</v>
      </c>
      <c r="B7712" s="208" t="s">
        <v>3846</v>
      </c>
      <c r="C7712" s="206" t="s">
        <v>146</v>
      </c>
      <c r="D7712" s="731">
        <v>-249000</v>
      </c>
      <c r="E7712" s="207">
        <v>45597</v>
      </c>
      <c r="F7712" s="206" t="s">
        <v>110</v>
      </c>
      <c r="G7712" s="208" t="s">
        <v>5469</v>
      </c>
      <c r="H7712" s="81" t="s">
        <v>138</v>
      </c>
      <c r="I7712" s="206"/>
    </row>
    <row r="7713" spans="1:9" ht="15" hidden="1" customHeight="1">
      <c r="A7713" s="205">
        <v>45602</v>
      </c>
      <c r="B7713" s="208" t="s">
        <v>3846</v>
      </c>
      <c r="C7713" s="206" t="s">
        <v>146</v>
      </c>
      <c r="D7713" s="731">
        <v>-14000</v>
      </c>
      <c r="E7713" s="207">
        <v>45597</v>
      </c>
      <c r="F7713" s="206" t="s">
        <v>109</v>
      </c>
      <c r="G7713" s="208" t="s">
        <v>4986</v>
      </c>
      <c r="H7713" s="81" t="s">
        <v>138</v>
      </c>
      <c r="I7713" s="206"/>
    </row>
    <row r="7714" spans="1:9" ht="15" hidden="1" customHeight="1">
      <c r="A7714" s="205">
        <v>45602</v>
      </c>
      <c r="B7714" s="208" t="s">
        <v>3846</v>
      </c>
      <c r="C7714" s="206" t="s">
        <v>146</v>
      </c>
      <c r="D7714" s="731">
        <v>-20000</v>
      </c>
      <c r="E7714" s="207">
        <v>45597</v>
      </c>
      <c r="F7714" s="206" t="s">
        <v>110</v>
      </c>
      <c r="G7714" s="208" t="s">
        <v>4990</v>
      </c>
      <c r="H7714" s="81" t="s">
        <v>138</v>
      </c>
      <c r="I7714" s="206"/>
    </row>
    <row r="7715" spans="1:9" ht="15" hidden="1" customHeight="1">
      <c r="A7715" s="205">
        <v>45602</v>
      </c>
      <c r="B7715" s="208" t="s">
        <v>3190</v>
      </c>
      <c r="C7715" s="206" t="s">
        <v>4314</v>
      </c>
      <c r="D7715" s="211">
        <v>-9540</v>
      </c>
      <c r="E7715" s="207">
        <v>45597</v>
      </c>
      <c r="F7715" s="206" t="s">
        <v>109</v>
      </c>
      <c r="G7715" s="201" t="s">
        <v>581</v>
      </c>
      <c r="I7715" s="206"/>
    </row>
    <row r="7716" spans="1:9" ht="15" hidden="1" customHeight="1">
      <c r="A7716" s="205">
        <v>45602</v>
      </c>
      <c r="B7716" s="208" t="s">
        <v>4133</v>
      </c>
      <c r="C7716" s="206" t="s">
        <v>4314</v>
      </c>
      <c r="D7716" s="211">
        <v>-5724</v>
      </c>
      <c r="E7716" s="207">
        <v>45597</v>
      </c>
      <c r="F7716" s="206" t="s">
        <v>109</v>
      </c>
      <c r="G7716" s="201" t="s">
        <v>581</v>
      </c>
      <c r="I7716" s="206"/>
    </row>
    <row r="7717" spans="1:9" ht="15" hidden="1" customHeight="1">
      <c r="A7717" s="205">
        <v>45602</v>
      </c>
      <c r="B7717" s="208" t="s">
        <v>6140</v>
      </c>
      <c r="C7717" s="206" t="s">
        <v>146</v>
      </c>
      <c r="D7717" s="731">
        <v>-28200</v>
      </c>
      <c r="E7717" s="207">
        <v>45597</v>
      </c>
      <c r="F7717" s="206" t="s">
        <v>110</v>
      </c>
      <c r="G7717" s="208" t="s">
        <v>5469</v>
      </c>
      <c r="H7717" s="81" t="s">
        <v>138</v>
      </c>
      <c r="I7717" s="206"/>
    </row>
    <row r="7718" spans="1:9" ht="15" hidden="1" customHeight="1">
      <c r="A7718" s="205">
        <v>45601</v>
      </c>
      <c r="B7718" s="208" t="s">
        <v>6141</v>
      </c>
      <c r="C7718" s="206" t="s">
        <v>146</v>
      </c>
      <c r="D7718" s="726">
        <v>-49200</v>
      </c>
      <c r="E7718" s="207">
        <v>45597</v>
      </c>
      <c r="F7718" s="206" t="s">
        <v>130</v>
      </c>
      <c r="G7718" s="206" t="s">
        <v>130</v>
      </c>
      <c r="H7718" s="206" t="s">
        <v>2444</v>
      </c>
      <c r="I7718" s="206" t="s">
        <v>5430</v>
      </c>
    </row>
    <row r="7719" spans="1:9" ht="15" hidden="1" customHeight="1">
      <c r="A7719" s="205">
        <v>45601</v>
      </c>
      <c r="B7719" s="208" t="s">
        <v>6142</v>
      </c>
      <c r="C7719" s="206" t="s">
        <v>146</v>
      </c>
      <c r="D7719" s="726">
        <v>-7800</v>
      </c>
      <c r="E7719" s="207">
        <v>45597</v>
      </c>
      <c r="F7719" s="206" t="s">
        <v>109</v>
      </c>
      <c r="G7719" s="208" t="s">
        <v>4986</v>
      </c>
      <c r="H7719" s="208" t="s">
        <v>175</v>
      </c>
      <c r="I7719" s="206" t="s">
        <v>5430</v>
      </c>
    </row>
    <row r="7720" spans="1:9" ht="15" hidden="1" customHeight="1">
      <c r="A7720" s="205">
        <v>45601</v>
      </c>
      <c r="B7720" s="208" t="s">
        <v>6143</v>
      </c>
      <c r="C7720" s="206" t="s">
        <v>146</v>
      </c>
      <c r="D7720" s="726">
        <v>-156300</v>
      </c>
      <c r="E7720" s="207">
        <v>45597</v>
      </c>
      <c r="F7720" s="206" t="s">
        <v>110</v>
      </c>
      <c r="G7720" s="208" t="s">
        <v>5469</v>
      </c>
      <c r="H7720" s="208" t="s">
        <v>175</v>
      </c>
      <c r="I7720" s="206" t="s">
        <v>5430</v>
      </c>
    </row>
    <row r="7721" spans="1:9" ht="15" hidden="1" customHeight="1">
      <c r="A7721" s="205">
        <v>45601</v>
      </c>
      <c r="B7721" s="208" t="s">
        <v>6144</v>
      </c>
      <c r="C7721" s="206" t="s">
        <v>146</v>
      </c>
      <c r="D7721" s="726">
        <v>-15000</v>
      </c>
      <c r="E7721" s="207">
        <v>45597</v>
      </c>
      <c r="F7721" s="206" t="s">
        <v>109</v>
      </c>
      <c r="G7721" s="208" t="s">
        <v>4986</v>
      </c>
      <c r="H7721" s="208" t="s">
        <v>175</v>
      </c>
      <c r="I7721" s="206" t="s">
        <v>5430</v>
      </c>
    </row>
    <row r="7722" spans="1:9" ht="15" hidden="1" customHeight="1">
      <c r="A7722" s="205">
        <v>45602</v>
      </c>
      <c r="B7722" s="208" t="s">
        <v>6145</v>
      </c>
      <c r="C7722" s="206" t="s">
        <v>146</v>
      </c>
      <c r="D7722" s="726">
        <v>-18000</v>
      </c>
      <c r="E7722" s="207">
        <v>45597</v>
      </c>
      <c r="F7722" s="206" t="s">
        <v>110</v>
      </c>
      <c r="G7722" s="208" t="s">
        <v>4990</v>
      </c>
      <c r="H7722" s="208" t="s">
        <v>175</v>
      </c>
      <c r="I7722" s="206" t="s">
        <v>5430</v>
      </c>
    </row>
    <row r="7723" spans="1:9" ht="15" hidden="1" customHeight="1">
      <c r="A7723" s="205">
        <v>45602</v>
      </c>
      <c r="B7723" s="208" t="s">
        <v>6146</v>
      </c>
      <c r="C7723" s="206" t="s">
        <v>146</v>
      </c>
      <c r="D7723" s="726">
        <v>-270000</v>
      </c>
      <c r="E7723" s="207">
        <v>45597</v>
      </c>
      <c r="F7723" s="206" t="s">
        <v>110</v>
      </c>
      <c r="G7723" s="208" t="s">
        <v>5469</v>
      </c>
      <c r="H7723" s="201" t="s">
        <v>1166</v>
      </c>
      <c r="I7723" s="206" t="s">
        <v>5430</v>
      </c>
    </row>
    <row r="7724" spans="1:9" ht="15" hidden="1" customHeight="1">
      <c r="A7724" s="205">
        <v>45602</v>
      </c>
      <c r="B7724" s="208" t="s">
        <v>6147</v>
      </c>
      <c r="C7724" s="206" t="s">
        <v>146</v>
      </c>
      <c r="D7724" s="726">
        <v>-86000</v>
      </c>
      <c r="E7724" s="207">
        <v>45597</v>
      </c>
      <c r="F7724" s="206" t="s">
        <v>110</v>
      </c>
      <c r="G7724" s="208" t="s">
        <v>4990</v>
      </c>
      <c r="H7724" s="208" t="s">
        <v>175</v>
      </c>
      <c r="I7724" s="206" t="s">
        <v>5430</v>
      </c>
    </row>
    <row r="7725" spans="1:9" ht="15" hidden="1" customHeight="1">
      <c r="A7725" s="205">
        <v>45602</v>
      </c>
      <c r="B7725" s="208" t="s">
        <v>6148</v>
      </c>
      <c r="C7725" s="206" t="s">
        <v>146</v>
      </c>
      <c r="D7725" s="726">
        <v>-4500</v>
      </c>
      <c r="E7725" s="207">
        <v>45597</v>
      </c>
      <c r="F7725" s="206" t="s">
        <v>109</v>
      </c>
      <c r="G7725" s="208" t="s">
        <v>4986</v>
      </c>
      <c r="H7725" s="208" t="s">
        <v>175</v>
      </c>
      <c r="I7725" s="206" t="s">
        <v>5430</v>
      </c>
    </row>
    <row r="7726" spans="1:9" ht="15" hidden="1" customHeight="1">
      <c r="A7726" s="205">
        <v>45602</v>
      </c>
      <c r="B7726" s="208" t="s">
        <v>6149</v>
      </c>
      <c r="C7726" s="206" t="s">
        <v>146</v>
      </c>
      <c r="D7726" s="726">
        <v>-12000</v>
      </c>
      <c r="E7726" s="207">
        <v>45597</v>
      </c>
      <c r="F7726" s="206" t="s">
        <v>110</v>
      </c>
      <c r="G7726" s="208" t="s">
        <v>4990</v>
      </c>
      <c r="H7726" s="208" t="s">
        <v>175</v>
      </c>
      <c r="I7726" s="206" t="s">
        <v>5430</v>
      </c>
    </row>
    <row r="7727" spans="1:9" ht="15" hidden="1" customHeight="1">
      <c r="A7727" s="205">
        <v>45602</v>
      </c>
      <c r="B7727" s="208" t="s">
        <v>6150</v>
      </c>
      <c r="C7727" s="206" t="s">
        <v>146</v>
      </c>
      <c r="D7727" s="726">
        <v>-3799.28</v>
      </c>
      <c r="E7727" s="207">
        <v>45597</v>
      </c>
      <c r="F7727" s="206" t="s">
        <v>109</v>
      </c>
      <c r="G7727" s="208" t="s">
        <v>4986</v>
      </c>
      <c r="H7727" s="208" t="s">
        <v>175</v>
      </c>
      <c r="I7727" s="206" t="s">
        <v>5430</v>
      </c>
    </row>
    <row r="7728" spans="1:9" ht="15" hidden="1" customHeight="1">
      <c r="A7728" s="205">
        <v>45602</v>
      </c>
      <c r="B7728" s="714" t="s">
        <v>6151</v>
      </c>
      <c r="C7728" s="206" t="s">
        <v>146</v>
      </c>
      <c r="D7728" s="726">
        <v>-40000</v>
      </c>
      <c r="E7728" s="207">
        <v>45597</v>
      </c>
      <c r="F7728" s="206" t="s">
        <v>109</v>
      </c>
      <c r="G7728" s="201" t="s">
        <v>583</v>
      </c>
      <c r="H7728" s="81" t="s">
        <v>138</v>
      </c>
      <c r="I7728" s="206" t="s">
        <v>5430</v>
      </c>
    </row>
    <row r="7729" spans="1:9" ht="15" hidden="1" customHeight="1">
      <c r="A7729" s="205">
        <v>45602</v>
      </c>
      <c r="B7729" s="208" t="s">
        <v>6152</v>
      </c>
      <c r="C7729" s="206" t="s">
        <v>146</v>
      </c>
      <c r="D7729" s="718">
        <v>-15500</v>
      </c>
      <c r="E7729" s="207">
        <v>45597</v>
      </c>
      <c r="F7729" s="206" t="s">
        <v>109</v>
      </c>
      <c r="G7729" s="201" t="s">
        <v>581</v>
      </c>
      <c r="I7729" s="206"/>
    </row>
    <row r="7730" spans="1:9" ht="15" hidden="1" customHeight="1">
      <c r="A7730" s="205">
        <v>45580</v>
      </c>
      <c r="B7730" s="208" t="s">
        <v>6153</v>
      </c>
      <c r="C7730" s="206" t="s">
        <v>146</v>
      </c>
      <c r="D7730" s="731">
        <v>-5000</v>
      </c>
      <c r="E7730" s="207">
        <v>45597</v>
      </c>
      <c r="F7730" s="206" t="s">
        <v>109</v>
      </c>
      <c r="G7730" s="201" t="s">
        <v>1306</v>
      </c>
      <c r="H7730" s="81" t="s">
        <v>138</v>
      </c>
      <c r="I7730" s="206" t="s">
        <v>6154</v>
      </c>
    </row>
    <row r="7731" spans="1:9" ht="15" hidden="1" customHeight="1">
      <c r="A7731" s="205">
        <v>45580</v>
      </c>
      <c r="B7731" s="208" t="s">
        <v>6155</v>
      </c>
      <c r="C7731" s="206" t="s">
        <v>146</v>
      </c>
      <c r="D7731" s="731">
        <v>-5000</v>
      </c>
      <c r="E7731" s="207">
        <v>45597</v>
      </c>
      <c r="F7731" s="206" t="s">
        <v>109</v>
      </c>
      <c r="G7731" s="201" t="s">
        <v>1306</v>
      </c>
      <c r="H7731" s="81" t="s">
        <v>138</v>
      </c>
      <c r="I7731" s="206" t="s">
        <v>6154</v>
      </c>
    </row>
    <row r="7732" spans="1:9" ht="15" hidden="1" customHeight="1">
      <c r="A7732" s="205">
        <v>45582</v>
      </c>
      <c r="B7732" s="208" t="s">
        <v>6156</v>
      </c>
      <c r="C7732" s="206" t="s">
        <v>146</v>
      </c>
      <c r="D7732" s="731">
        <v>-7000</v>
      </c>
      <c r="E7732" s="207">
        <v>45597</v>
      </c>
      <c r="F7732" s="206" t="s">
        <v>109</v>
      </c>
      <c r="G7732" s="208" t="s">
        <v>4225</v>
      </c>
      <c r="H7732" s="81" t="s">
        <v>138</v>
      </c>
      <c r="I7732" s="206" t="s">
        <v>6154</v>
      </c>
    </row>
    <row r="7733" spans="1:9" ht="15" hidden="1" customHeight="1">
      <c r="A7733" s="205">
        <v>45582</v>
      </c>
      <c r="B7733" s="208" t="s">
        <v>6157</v>
      </c>
      <c r="C7733" s="206" t="s">
        <v>146</v>
      </c>
      <c r="D7733" s="731">
        <v>-5000</v>
      </c>
      <c r="E7733" s="207">
        <v>45597</v>
      </c>
      <c r="F7733" s="206" t="s">
        <v>109</v>
      </c>
      <c r="G7733" s="201" t="s">
        <v>1306</v>
      </c>
      <c r="H7733" s="81" t="s">
        <v>138</v>
      </c>
      <c r="I7733" s="206" t="s">
        <v>6154</v>
      </c>
    </row>
    <row r="7734" spans="1:9" ht="15" hidden="1" customHeight="1">
      <c r="A7734" s="205">
        <v>45582</v>
      </c>
      <c r="B7734" s="208" t="s">
        <v>6158</v>
      </c>
      <c r="C7734" s="206" t="s">
        <v>146</v>
      </c>
      <c r="D7734" s="731">
        <v>-5000</v>
      </c>
      <c r="E7734" s="207">
        <v>45597</v>
      </c>
      <c r="F7734" s="206" t="s">
        <v>109</v>
      </c>
      <c r="G7734" s="201" t="s">
        <v>1306</v>
      </c>
      <c r="H7734" s="81" t="s">
        <v>138</v>
      </c>
      <c r="I7734" s="206" t="s">
        <v>6154</v>
      </c>
    </row>
    <row r="7735" spans="1:9" ht="15" hidden="1" customHeight="1">
      <c r="A7735" s="205">
        <v>45583</v>
      </c>
      <c r="B7735" s="208" t="s">
        <v>6159</v>
      </c>
      <c r="C7735" s="206" t="s">
        <v>146</v>
      </c>
      <c r="D7735" s="731">
        <v>-7000</v>
      </c>
      <c r="E7735" s="207">
        <v>45597</v>
      </c>
      <c r="F7735" s="206" t="s">
        <v>109</v>
      </c>
      <c r="G7735" s="208" t="s">
        <v>4225</v>
      </c>
      <c r="H7735" s="81" t="s">
        <v>138</v>
      </c>
      <c r="I7735" s="206" t="s">
        <v>6154</v>
      </c>
    </row>
    <row r="7736" spans="1:9" ht="15" hidden="1" customHeight="1">
      <c r="A7736" s="205">
        <v>44487</v>
      </c>
      <c r="B7736" s="208" t="s">
        <v>6160</v>
      </c>
      <c r="C7736" s="206" t="s">
        <v>146</v>
      </c>
      <c r="D7736" s="731">
        <v>-8000</v>
      </c>
      <c r="E7736" s="207">
        <v>45597</v>
      </c>
      <c r="F7736" s="206" t="s">
        <v>109</v>
      </c>
      <c r="G7736" s="208" t="s">
        <v>4225</v>
      </c>
      <c r="H7736" s="81" t="s">
        <v>138</v>
      </c>
      <c r="I7736" s="206" t="s">
        <v>6154</v>
      </c>
    </row>
    <row r="7737" spans="1:9" ht="15" hidden="1" customHeight="1">
      <c r="A7737" s="205">
        <v>45586</v>
      </c>
      <c r="B7737" s="208" t="s">
        <v>6156</v>
      </c>
      <c r="C7737" s="206" t="s">
        <v>146</v>
      </c>
      <c r="D7737" s="731">
        <v>-7000</v>
      </c>
      <c r="E7737" s="207">
        <v>45597</v>
      </c>
      <c r="F7737" s="206" t="s">
        <v>109</v>
      </c>
      <c r="G7737" s="208" t="s">
        <v>4225</v>
      </c>
      <c r="H7737" s="81" t="s">
        <v>138</v>
      </c>
      <c r="I7737" s="206" t="s">
        <v>6154</v>
      </c>
    </row>
    <row r="7738" spans="1:9" ht="15" hidden="1" customHeight="1">
      <c r="A7738" s="205" t="s">
        <v>6161</v>
      </c>
      <c r="B7738" s="208" t="s">
        <v>6162</v>
      </c>
      <c r="C7738" s="206" t="s">
        <v>146</v>
      </c>
      <c r="D7738" s="731">
        <v>-7000</v>
      </c>
      <c r="E7738" s="207">
        <v>45597</v>
      </c>
      <c r="F7738" s="206" t="s">
        <v>109</v>
      </c>
      <c r="G7738" s="208" t="s">
        <v>4225</v>
      </c>
      <c r="H7738" s="81" t="s">
        <v>138</v>
      </c>
      <c r="I7738" s="720" t="s">
        <v>5410</v>
      </c>
    </row>
    <row r="7739" spans="1:9" ht="15" hidden="1" customHeight="1">
      <c r="A7739" s="205">
        <v>45587</v>
      </c>
      <c r="B7739" s="208" t="s">
        <v>6163</v>
      </c>
      <c r="C7739" s="206" t="s">
        <v>146</v>
      </c>
      <c r="D7739" s="731">
        <v>-16700</v>
      </c>
      <c r="E7739" s="207">
        <v>45597</v>
      </c>
      <c r="F7739" s="206" t="s">
        <v>110</v>
      </c>
      <c r="G7739" s="208" t="s">
        <v>4990</v>
      </c>
      <c r="H7739" s="208" t="s">
        <v>175</v>
      </c>
      <c r="I7739" s="206" t="s">
        <v>6154</v>
      </c>
    </row>
    <row r="7740" spans="1:9" ht="15" hidden="1" customHeight="1">
      <c r="A7740" s="205">
        <v>45587</v>
      </c>
      <c r="B7740" s="208" t="s">
        <v>6164</v>
      </c>
      <c r="C7740" s="206" t="s">
        <v>146</v>
      </c>
      <c r="D7740" s="731">
        <v>-4170</v>
      </c>
      <c r="E7740" s="207">
        <v>45597</v>
      </c>
      <c r="F7740" s="206" t="s">
        <v>109</v>
      </c>
      <c r="G7740" s="206" t="s">
        <v>10</v>
      </c>
      <c r="H7740" s="208" t="s">
        <v>175</v>
      </c>
      <c r="I7740" s="206" t="s">
        <v>6154</v>
      </c>
    </row>
    <row r="7741" spans="1:9" ht="15" hidden="1" customHeight="1">
      <c r="A7741" s="205">
        <v>45587</v>
      </c>
      <c r="B7741" s="208" t="s">
        <v>6165</v>
      </c>
      <c r="C7741" s="206" t="s">
        <v>146</v>
      </c>
      <c r="D7741" s="731">
        <v>-2000</v>
      </c>
      <c r="E7741" s="207">
        <v>45597</v>
      </c>
      <c r="F7741" s="206" t="s">
        <v>109</v>
      </c>
      <c r="G7741" s="206" t="s">
        <v>10</v>
      </c>
      <c r="H7741" s="208" t="s">
        <v>175</v>
      </c>
      <c r="I7741" s="206" t="s">
        <v>6154</v>
      </c>
    </row>
    <row r="7742" spans="1:9" ht="15" hidden="1" customHeight="1">
      <c r="A7742" s="205">
        <v>45587</v>
      </c>
      <c r="B7742" s="208" t="s">
        <v>6153</v>
      </c>
      <c r="C7742" s="206" t="s">
        <v>146</v>
      </c>
      <c r="D7742" s="731">
        <v>-5000</v>
      </c>
      <c r="E7742" s="207">
        <v>45597</v>
      </c>
      <c r="F7742" s="206" t="s">
        <v>109</v>
      </c>
      <c r="G7742" s="201" t="s">
        <v>1306</v>
      </c>
      <c r="H7742" s="81" t="s">
        <v>138</v>
      </c>
      <c r="I7742" s="206" t="s">
        <v>6154</v>
      </c>
    </row>
    <row r="7743" spans="1:9" ht="15" hidden="1" customHeight="1">
      <c r="A7743" s="205">
        <v>45587</v>
      </c>
      <c r="B7743" s="208" t="s">
        <v>6166</v>
      </c>
      <c r="C7743" s="206" t="s">
        <v>146</v>
      </c>
      <c r="D7743" s="731">
        <v>-77246</v>
      </c>
      <c r="E7743" s="207">
        <v>45597</v>
      </c>
      <c r="F7743" s="206" t="s">
        <v>109</v>
      </c>
      <c r="G7743" s="201" t="s">
        <v>1306</v>
      </c>
      <c r="H7743" s="208" t="s">
        <v>175</v>
      </c>
      <c r="I7743" s="206" t="s">
        <v>6154</v>
      </c>
    </row>
    <row r="7744" spans="1:9" ht="15" hidden="1" customHeight="1">
      <c r="A7744" s="205">
        <v>45590</v>
      </c>
      <c r="B7744" s="208" t="s">
        <v>6153</v>
      </c>
      <c r="C7744" s="206" t="s">
        <v>146</v>
      </c>
      <c r="D7744" s="731">
        <v>-5000</v>
      </c>
      <c r="E7744" s="207">
        <v>45597</v>
      </c>
      <c r="F7744" s="206" t="s">
        <v>109</v>
      </c>
      <c r="G7744" s="201" t="s">
        <v>1306</v>
      </c>
      <c r="H7744" s="81" t="s">
        <v>138</v>
      </c>
      <c r="I7744" s="720" t="s">
        <v>5410</v>
      </c>
    </row>
    <row r="7745" spans="1:9" ht="15" hidden="1" customHeight="1">
      <c r="A7745" s="205">
        <v>45597</v>
      </c>
      <c r="B7745" s="208" t="s">
        <v>6167</v>
      </c>
      <c r="C7745" s="206" t="s">
        <v>146</v>
      </c>
      <c r="D7745" s="731">
        <v>-6000</v>
      </c>
      <c r="E7745" s="207">
        <v>45597</v>
      </c>
      <c r="F7745" s="206" t="s">
        <v>110</v>
      </c>
      <c r="G7745" s="208" t="s">
        <v>5469</v>
      </c>
      <c r="H7745" s="81" t="s">
        <v>138</v>
      </c>
      <c r="I7745" s="206" t="s">
        <v>6154</v>
      </c>
    </row>
    <row r="7746" spans="1:9" ht="15" hidden="1" customHeight="1">
      <c r="A7746" s="205">
        <v>45603</v>
      </c>
      <c r="B7746" s="208" t="s">
        <v>6168</v>
      </c>
      <c r="C7746" s="206" t="s">
        <v>146</v>
      </c>
      <c r="D7746" s="731">
        <v>-8300</v>
      </c>
      <c r="E7746" s="207">
        <v>45597</v>
      </c>
      <c r="F7746" s="206" t="s">
        <v>110</v>
      </c>
      <c r="G7746" s="208" t="s">
        <v>4990</v>
      </c>
      <c r="H7746" s="208" t="s">
        <v>175</v>
      </c>
      <c r="I7746" s="720" t="s">
        <v>5410</v>
      </c>
    </row>
    <row r="7747" spans="1:9" ht="15" hidden="1" customHeight="1">
      <c r="A7747" s="205">
        <v>45601</v>
      </c>
      <c r="B7747" s="208" t="s">
        <v>6169</v>
      </c>
      <c r="C7747" s="206" t="s">
        <v>146</v>
      </c>
      <c r="D7747" s="731">
        <v>-60000</v>
      </c>
      <c r="E7747" s="207">
        <v>45597</v>
      </c>
      <c r="F7747" s="206" t="s">
        <v>130</v>
      </c>
      <c r="G7747" s="206" t="s">
        <v>130</v>
      </c>
      <c r="H7747" s="81" t="s">
        <v>138</v>
      </c>
      <c r="I7747" s="206" t="s">
        <v>6170</v>
      </c>
    </row>
    <row r="7748" spans="1:9" ht="15" hidden="1" customHeight="1">
      <c r="A7748" s="205">
        <v>45601</v>
      </c>
      <c r="B7748" s="208" t="s">
        <v>6171</v>
      </c>
      <c r="C7748" s="206" t="s">
        <v>146</v>
      </c>
      <c r="D7748" s="731">
        <v>-24169</v>
      </c>
      <c r="E7748" s="207">
        <v>45597</v>
      </c>
      <c r="F7748" s="206" t="s">
        <v>130</v>
      </c>
      <c r="G7748" s="206" t="s">
        <v>130</v>
      </c>
      <c r="H7748" s="81" t="s">
        <v>138</v>
      </c>
      <c r="I7748" s="206" t="s">
        <v>6170</v>
      </c>
    </row>
    <row r="7749" spans="1:9" ht="15" hidden="1" customHeight="1">
      <c r="A7749" s="205">
        <v>45601</v>
      </c>
      <c r="B7749" s="208" t="s">
        <v>6172</v>
      </c>
      <c r="C7749" s="206" t="s">
        <v>146</v>
      </c>
      <c r="D7749" s="731">
        <v>-17700</v>
      </c>
      <c r="E7749" s="207">
        <v>45597</v>
      </c>
      <c r="F7749" s="206" t="s">
        <v>130</v>
      </c>
      <c r="G7749" s="206" t="s">
        <v>130</v>
      </c>
      <c r="H7749" s="81" t="s">
        <v>138</v>
      </c>
      <c r="I7749" s="206" t="s">
        <v>6170</v>
      </c>
    </row>
    <row r="7750" spans="1:9" ht="15" hidden="1" customHeight="1">
      <c r="A7750" s="205">
        <v>45601</v>
      </c>
      <c r="B7750" s="208" t="s">
        <v>6173</v>
      </c>
      <c r="C7750" s="206" t="s">
        <v>146</v>
      </c>
      <c r="D7750" s="731">
        <v>-33600</v>
      </c>
      <c r="E7750" s="207">
        <v>45597</v>
      </c>
      <c r="F7750" s="206" t="s">
        <v>130</v>
      </c>
      <c r="G7750" s="206" t="s">
        <v>130</v>
      </c>
      <c r="H7750" s="81" t="s">
        <v>138</v>
      </c>
      <c r="I7750" s="206" t="s">
        <v>6170</v>
      </c>
    </row>
    <row r="7751" spans="1:9" ht="15" hidden="1" customHeight="1">
      <c r="A7751" s="205">
        <v>45601</v>
      </c>
      <c r="B7751" s="208" t="s">
        <v>6174</v>
      </c>
      <c r="C7751" s="206" t="s">
        <v>146</v>
      </c>
      <c r="D7751" s="731">
        <v>-64531</v>
      </c>
      <c r="E7751" s="207">
        <v>45597</v>
      </c>
      <c r="F7751" s="206" t="s">
        <v>130</v>
      </c>
      <c r="G7751" s="206" t="s">
        <v>130</v>
      </c>
      <c r="H7751" s="206" t="s">
        <v>275</v>
      </c>
      <c r="I7751" s="206" t="s">
        <v>6170</v>
      </c>
    </row>
    <row r="7752" spans="1:9" ht="15" hidden="1" customHeight="1">
      <c r="A7752" s="205">
        <v>45596</v>
      </c>
      <c r="B7752" s="208" t="s">
        <v>6175</v>
      </c>
      <c r="C7752" s="206" t="s">
        <v>146</v>
      </c>
      <c r="D7752" s="731">
        <v>-10000</v>
      </c>
      <c r="E7752" s="207">
        <v>45597</v>
      </c>
      <c r="F7752" s="206" t="s">
        <v>109</v>
      </c>
      <c r="G7752" s="201" t="s">
        <v>581</v>
      </c>
      <c r="I7752" s="206" t="s">
        <v>5857</v>
      </c>
    </row>
    <row r="7753" spans="1:9" ht="15" hidden="1" customHeight="1">
      <c r="A7753" s="205">
        <v>45596</v>
      </c>
      <c r="B7753" s="208" t="s">
        <v>6176</v>
      </c>
      <c r="C7753" s="206" t="s">
        <v>146</v>
      </c>
      <c r="D7753" s="731">
        <v>-26000</v>
      </c>
      <c r="E7753" s="207">
        <v>45597</v>
      </c>
      <c r="F7753" s="206" t="s">
        <v>109</v>
      </c>
      <c r="G7753" s="201" t="s">
        <v>581</v>
      </c>
      <c r="I7753" s="206" t="s">
        <v>5857</v>
      </c>
    </row>
    <row r="7754" spans="1:9" ht="15" hidden="1" customHeight="1">
      <c r="A7754" s="205">
        <v>45597</v>
      </c>
      <c r="B7754" s="208" t="s">
        <v>6177</v>
      </c>
      <c r="C7754" s="206" t="s">
        <v>146</v>
      </c>
      <c r="D7754" s="731">
        <v>-6000</v>
      </c>
      <c r="E7754" s="207">
        <v>45597</v>
      </c>
      <c r="F7754" s="206" t="s">
        <v>109</v>
      </c>
      <c r="G7754" s="201" t="s">
        <v>581</v>
      </c>
      <c r="I7754" s="206" t="s">
        <v>5857</v>
      </c>
    </row>
    <row r="7755" spans="1:9" ht="15" hidden="1" customHeight="1">
      <c r="A7755" s="205">
        <v>45597</v>
      </c>
      <c r="B7755" s="208" t="s">
        <v>6178</v>
      </c>
      <c r="C7755" s="206" t="s">
        <v>146</v>
      </c>
      <c r="D7755" s="731">
        <v>-20000</v>
      </c>
      <c r="E7755" s="207">
        <v>45597</v>
      </c>
      <c r="F7755" s="206" t="s">
        <v>109</v>
      </c>
      <c r="G7755" s="201" t="s">
        <v>581</v>
      </c>
      <c r="I7755" s="206" t="s">
        <v>5857</v>
      </c>
    </row>
    <row r="7756" spans="1:9" ht="15" hidden="1" customHeight="1">
      <c r="A7756" s="205">
        <v>45597</v>
      </c>
      <c r="B7756" s="208" t="s">
        <v>3535</v>
      </c>
      <c r="C7756" s="206" t="s">
        <v>146</v>
      </c>
      <c r="D7756" s="731">
        <v>-18000</v>
      </c>
      <c r="E7756" s="207">
        <v>45597</v>
      </c>
      <c r="F7756" s="206" t="s">
        <v>109</v>
      </c>
      <c r="G7756" s="201" t="s">
        <v>581</v>
      </c>
      <c r="I7756" s="206" t="s">
        <v>5857</v>
      </c>
    </row>
    <row r="7757" spans="1:9" ht="15" hidden="1" customHeight="1">
      <c r="A7757" s="205">
        <v>45597</v>
      </c>
      <c r="B7757" s="208" t="s">
        <v>268</v>
      </c>
      <c r="C7757" s="206" t="s">
        <v>146</v>
      </c>
      <c r="D7757" s="731">
        <v>-10000</v>
      </c>
      <c r="E7757" s="207">
        <v>45597</v>
      </c>
      <c r="F7757" s="206" t="s">
        <v>109</v>
      </c>
      <c r="G7757" s="201" t="s">
        <v>581</v>
      </c>
      <c r="I7757" s="206" t="s">
        <v>5857</v>
      </c>
    </row>
    <row r="7758" spans="1:9" ht="15" hidden="1" customHeight="1">
      <c r="A7758" s="205">
        <v>45597</v>
      </c>
      <c r="B7758" s="208" t="s">
        <v>6178</v>
      </c>
      <c r="C7758" s="206" t="s">
        <v>146</v>
      </c>
      <c r="D7758" s="731">
        <v>-20000</v>
      </c>
      <c r="E7758" s="207">
        <v>45597</v>
      </c>
      <c r="F7758" s="206" t="s">
        <v>109</v>
      </c>
      <c r="G7758" s="201" t="s">
        <v>581</v>
      </c>
      <c r="I7758" s="206" t="s">
        <v>5857</v>
      </c>
    </row>
    <row r="7759" spans="1:9" ht="15" hidden="1" customHeight="1">
      <c r="A7759" s="205">
        <v>45586</v>
      </c>
      <c r="B7759" s="208" t="s">
        <v>6179</v>
      </c>
      <c r="C7759" s="206" t="s">
        <v>27</v>
      </c>
      <c r="D7759" s="784">
        <v>-171360</v>
      </c>
      <c r="E7759" s="207">
        <v>45597</v>
      </c>
      <c r="F7759" s="206" t="s">
        <v>110</v>
      </c>
      <c r="G7759" s="208" t="s">
        <v>5503</v>
      </c>
      <c r="H7759" s="208" t="s">
        <v>175</v>
      </c>
      <c r="I7759" s="206" t="s">
        <v>6180</v>
      </c>
    </row>
    <row r="7760" spans="1:9" ht="15" hidden="1" customHeight="1">
      <c r="A7760" s="205">
        <v>45587</v>
      </c>
      <c r="B7760" s="208" t="s">
        <v>6181</v>
      </c>
      <c r="C7760" s="206" t="s">
        <v>27</v>
      </c>
      <c r="D7760" s="784">
        <v>-3400</v>
      </c>
      <c r="E7760" s="207">
        <v>45597</v>
      </c>
      <c r="F7760" s="206" t="s">
        <v>110</v>
      </c>
      <c r="G7760" s="208" t="s">
        <v>5503</v>
      </c>
      <c r="H7760" s="208" t="s">
        <v>175</v>
      </c>
      <c r="I7760" s="206" t="s">
        <v>6180</v>
      </c>
    </row>
    <row r="7761" spans="1:9" ht="15" hidden="1" customHeight="1">
      <c r="A7761" s="205">
        <v>45587</v>
      </c>
      <c r="B7761" s="208" t="s">
        <v>6182</v>
      </c>
      <c r="C7761" s="206" t="s">
        <v>27</v>
      </c>
      <c r="D7761" s="784">
        <v>-1900</v>
      </c>
      <c r="E7761" s="207">
        <v>45597</v>
      </c>
      <c r="F7761" s="206" t="s">
        <v>110</v>
      </c>
      <c r="G7761" s="208" t="s">
        <v>5503</v>
      </c>
      <c r="H7761" s="208" t="s">
        <v>175</v>
      </c>
      <c r="I7761" s="206" t="s">
        <v>6180</v>
      </c>
    </row>
    <row r="7762" spans="1:9" ht="15" hidden="1" customHeight="1">
      <c r="A7762" s="205">
        <v>45587</v>
      </c>
      <c r="B7762" s="208" t="s">
        <v>6183</v>
      </c>
      <c r="C7762" s="206" t="s">
        <v>27</v>
      </c>
      <c r="D7762" s="784">
        <v>-1900</v>
      </c>
      <c r="E7762" s="207">
        <v>45597</v>
      </c>
      <c r="F7762" s="206" t="s">
        <v>110</v>
      </c>
      <c r="G7762" s="208" t="s">
        <v>5503</v>
      </c>
      <c r="H7762" s="208" t="s">
        <v>175</v>
      </c>
      <c r="I7762" s="206" t="s">
        <v>6180</v>
      </c>
    </row>
    <row r="7763" spans="1:9" ht="15" hidden="1" customHeight="1">
      <c r="A7763" s="205">
        <v>45590</v>
      </c>
      <c r="B7763" s="208" t="s">
        <v>6184</v>
      </c>
      <c r="C7763" s="206" t="s">
        <v>27</v>
      </c>
      <c r="D7763" s="784">
        <v>-56400</v>
      </c>
      <c r="E7763" s="207">
        <v>45597</v>
      </c>
      <c r="F7763" s="206" t="s">
        <v>110</v>
      </c>
      <c r="G7763" s="208" t="s">
        <v>5503</v>
      </c>
      <c r="H7763" s="208" t="s">
        <v>175</v>
      </c>
      <c r="I7763" s="720" t="s">
        <v>5410</v>
      </c>
    </row>
    <row r="7764" spans="1:9" ht="15" hidden="1" customHeight="1">
      <c r="A7764" s="205">
        <v>45593</v>
      </c>
      <c r="B7764" s="208" t="s">
        <v>6185</v>
      </c>
      <c r="C7764" s="206" t="s">
        <v>27</v>
      </c>
      <c r="D7764" s="786">
        <v>-748205</v>
      </c>
      <c r="E7764" s="207">
        <v>45597</v>
      </c>
      <c r="F7764" s="206" t="s">
        <v>109</v>
      </c>
      <c r="G7764" s="206" t="s">
        <v>317</v>
      </c>
      <c r="H7764" s="208" t="s">
        <v>175</v>
      </c>
      <c r="I7764" s="206" t="s">
        <v>6180</v>
      </c>
    </row>
    <row r="7765" spans="1:9" ht="15" hidden="1" customHeight="1">
      <c r="A7765" s="205">
        <v>45596</v>
      </c>
      <c r="B7765" s="208" t="s">
        <v>6186</v>
      </c>
      <c r="C7765" s="206" t="s">
        <v>27</v>
      </c>
      <c r="D7765" s="784">
        <v>-7100</v>
      </c>
      <c r="E7765" s="207">
        <v>45597</v>
      </c>
      <c r="F7765" s="206" t="s">
        <v>110</v>
      </c>
      <c r="G7765" s="208" t="s">
        <v>5503</v>
      </c>
      <c r="H7765" s="208" t="s">
        <v>175</v>
      </c>
      <c r="I7765" s="206" t="s">
        <v>6180</v>
      </c>
    </row>
    <row r="7766" spans="1:9" ht="15" hidden="1" customHeight="1">
      <c r="A7766" s="205">
        <v>45597</v>
      </c>
      <c r="B7766" s="208" t="s">
        <v>6187</v>
      </c>
      <c r="C7766" s="206" t="s">
        <v>27</v>
      </c>
      <c r="D7766" s="784">
        <v>-1240000</v>
      </c>
      <c r="E7766" s="207">
        <v>45597</v>
      </c>
      <c r="F7766" s="206" t="s">
        <v>109</v>
      </c>
      <c r="G7766" s="201" t="s">
        <v>581</v>
      </c>
      <c r="I7766" s="206"/>
    </row>
    <row r="7767" spans="1:9" ht="15" hidden="1" customHeight="1">
      <c r="A7767" s="205">
        <v>45597</v>
      </c>
      <c r="B7767" s="208" t="s">
        <v>1972</v>
      </c>
      <c r="C7767" s="206" t="s">
        <v>27</v>
      </c>
      <c r="D7767" s="784">
        <v>-5050193</v>
      </c>
      <c r="E7767" s="207">
        <v>45597</v>
      </c>
      <c r="F7767" s="206" t="s">
        <v>109</v>
      </c>
      <c r="G7767" s="208" t="s">
        <v>4986</v>
      </c>
      <c r="H7767" s="208" t="s">
        <v>212</v>
      </c>
      <c r="I7767" s="206"/>
    </row>
    <row r="7768" spans="1:9" ht="15" hidden="1" customHeight="1">
      <c r="A7768" s="205">
        <v>45597</v>
      </c>
      <c r="B7768" s="208" t="s">
        <v>1972</v>
      </c>
      <c r="C7768" s="206" t="s">
        <v>27</v>
      </c>
      <c r="D7768" s="784">
        <v>-35149335</v>
      </c>
      <c r="E7768" s="207">
        <v>45597</v>
      </c>
      <c r="F7768" s="206" t="s">
        <v>109</v>
      </c>
      <c r="G7768" s="223" t="s">
        <v>2983</v>
      </c>
      <c r="H7768" s="208" t="s">
        <v>212</v>
      </c>
      <c r="I7768" s="720" t="s">
        <v>5410</v>
      </c>
    </row>
    <row r="7769" spans="1:9" ht="15" hidden="1" customHeight="1">
      <c r="A7769" s="205">
        <v>45597</v>
      </c>
      <c r="B7769" s="208" t="s">
        <v>6188</v>
      </c>
      <c r="C7769" s="206" t="s">
        <v>27</v>
      </c>
      <c r="D7769" s="784">
        <v>-2403000</v>
      </c>
      <c r="E7769" s="207">
        <v>45597</v>
      </c>
      <c r="F7769" s="206" t="s">
        <v>110</v>
      </c>
      <c r="G7769" s="201" t="s">
        <v>1489</v>
      </c>
      <c r="H7769" s="201" t="s">
        <v>631</v>
      </c>
      <c r="I7769" s="206"/>
    </row>
    <row r="7770" spans="1:9" ht="15" hidden="1" customHeight="1">
      <c r="A7770" s="205">
        <v>45597</v>
      </c>
      <c r="B7770" s="208" t="s">
        <v>6189</v>
      </c>
      <c r="C7770" s="206" t="s">
        <v>27</v>
      </c>
      <c r="D7770" s="784">
        <v>-450000</v>
      </c>
      <c r="E7770" s="207">
        <v>45597</v>
      </c>
      <c r="F7770" s="206" t="s">
        <v>130</v>
      </c>
      <c r="G7770" s="206" t="s">
        <v>130</v>
      </c>
      <c r="H7770" s="206" t="s">
        <v>2444</v>
      </c>
      <c r="I7770" s="206"/>
    </row>
    <row r="7771" spans="1:9" ht="15" hidden="1" customHeight="1">
      <c r="A7771" s="205">
        <v>45597</v>
      </c>
      <c r="B7771" s="208" t="s">
        <v>5795</v>
      </c>
      <c r="C7771" s="206" t="s">
        <v>27</v>
      </c>
      <c r="D7771" s="784">
        <v>-5270000</v>
      </c>
      <c r="E7771" s="207">
        <v>45597</v>
      </c>
      <c r="F7771" s="206" t="s">
        <v>109</v>
      </c>
      <c r="G7771" s="201" t="s">
        <v>583</v>
      </c>
      <c r="I7771" s="206"/>
    </row>
    <row r="7772" spans="1:9" ht="15" hidden="1" customHeight="1">
      <c r="A7772" s="205">
        <v>45597</v>
      </c>
      <c r="B7772" s="208" t="s">
        <v>6190</v>
      </c>
      <c r="C7772" s="206" t="s">
        <v>27</v>
      </c>
      <c r="D7772" s="784">
        <v>-5027816</v>
      </c>
      <c r="E7772" s="207">
        <v>45597</v>
      </c>
      <c r="F7772" s="206" t="s">
        <v>110</v>
      </c>
      <c r="G7772" s="208" t="s">
        <v>5503</v>
      </c>
      <c r="H7772" s="208" t="s">
        <v>147</v>
      </c>
      <c r="I7772" s="206"/>
    </row>
    <row r="7773" spans="1:9" ht="15" hidden="1" customHeight="1">
      <c r="A7773" s="205">
        <v>45597</v>
      </c>
      <c r="B7773" s="208" t="s">
        <v>6191</v>
      </c>
      <c r="C7773" s="206" t="s">
        <v>27</v>
      </c>
      <c r="D7773" s="784">
        <v>-4716250</v>
      </c>
      <c r="E7773" s="207">
        <v>45597</v>
      </c>
      <c r="F7773" s="206" t="s">
        <v>109</v>
      </c>
      <c r="G7773" s="201" t="s">
        <v>581</v>
      </c>
      <c r="I7773" s="206"/>
    </row>
    <row r="7774" spans="1:9" ht="15" hidden="1" customHeight="1">
      <c r="A7774" s="205">
        <v>45597</v>
      </c>
      <c r="B7774" s="208" t="s">
        <v>6078</v>
      </c>
      <c r="C7774" s="206" t="s">
        <v>27</v>
      </c>
      <c r="D7774" s="784">
        <v>-1500000</v>
      </c>
      <c r="E7774" s="207">
        <v>45597</v>
      </c>
      <c r="F7774" s="206" t="s">
        <v>109</v>
      </c>
      <c r="G7774" s="206" t="s">
        <v>2809</v>
      </c>
      <c r="H7774" s="206" t="s">
        <v>5483</v>
      </c>
      <c r="I7774" s="206"/>
    </row>
    <row r="7775" spans="1:9" ht="15" hidden="1" customHeight="1">
      <c r="A7775" s="205">
        <v>45597</v>
      </c>
      <c r="B7775" s="208" t="s">
        <v>6192</v>
      </c>
      <c r="C7775" s="206" t="s">
        <v>27</v>
      </c>
      <c r="D7775" s="784">
        <v>-760000</v>
      </c>
      <c r="E7775" s="207">
        <v>45597</v>
      </c>
      <c r="F7775" s="206" t="s">
        <v>109</v>
      </c>
      <c r="G7775" s="201" t="s">
        <v>583</v>
      </c>
      <c r="I7775" s="206"/>
    </row>
    <row r="7776" spans="1:9" ht="15" hidden="1" customHeight="1">
      <c r="A7776" s="205">
        <v>45597</v>
      </c>
      <c r="B7776" s="208" t="s">
        <v>6193</v>
      </c>
      <c r="C7776" s="206" t="s">
        <v>27</v>
      </c>
      <c r="D7776" s="784">
        <v>-30222576</v>
      </c>
      <c r="E7776" s="207">
        <v>45597</v>
      </c>
      <c r="F7776" s="206" t="s">
        <v>109</v>
      </c>
      <c r="G7776" s="201" t="s">
        <v>583</v>
      </c>
      <c r="I7776" s="206"/>
    </row>
    <row r="7777" spans="1:9" ht="15" hidden="1" customHeight="1">
      <c r="A7777" s="205">
        <v>45597</v>
      </c>
      <c r="B7777" s="208" t="s">
        <v>6194</v>
      </c>
      <c r="C7777" s="206" t="s">
        <v>27</v>
      </c>
      <c r="D7777" s="784">
        <v>-1267894</v>
      </c>
      <c r="E7777" s="207">
        <v>45597</v>
      </c>
      <c r="F7777" s="206" t="s">
        <v>109</v>
      </c>
      <c r="G7777" s="201" t="s">
        <v>581</v>
      </c>
      <c r="I7777" s="206"/>
    </row>
    <row r="7778" spans="1:9" ht="15" hidden="1" customHeight="1">
      <c r="A7778" s="205">
        <v>45597</v>
      </c>
      <c r="B7778" s="208" t="s">
        <v>6195</v>
      </c>
      <c r="C7778" s="206" t="s">
        <v>27</v>
      </c>
      <c r="D7778" s="784">
        <v>-2948256</v>
      </c>
      <c r="E7778" s="207">
        <v>45597</v>
      </c>
      <c r="F7778" s="206" t="s">
        <v>109</v>
      </c>
      <c r="G7778" s="201" t="s">
        <v>581</v>
      </c>
      <c r="I7778" s="206"/>
    </row>
    <row r="7779" spans="1:9" ht="15" hidden="1" customHeight="1">
      <c r="A7779" s="205">
        <v>45597</v>
      </c>
      <c r="B7779" s="208" t="s">
        <v>6196</v>
      </c>
      <c r="C7779" s="206" t="s">
        <v>27</v>
      </c>
      <c r="D7779" s="784">
        <v>-19762785</v>
      </c>
      <c r="E7779" s="207">
        <v>45597</v>
      </c>
      <c r="F7779" s="206" t="s">
        <v>109</v>
      </c>
      <c r="G7779" s="208" t="s">
        <v>4986</v>
      </c>
      <c r="H7779" s="201" t="s">
        <v>310</v>
      </c>
      <c r="I7779" s="206"/>
    </row>
    <row r="7780" spans="1:9" ht="15" hidden="1" customHeight="1">
      <c r="A7780" s="205">
        <v>45597</v>
      </c>
      <c r="B7780" s="208" t="s">
        <v>3346</v>
      </c>
      <c r="C7780" s="206" t="s">
        <v>27</v>
      </c>
      <c r="D7780" s="784">
        <v>-2647036</v>
      </c>
      <c r="E7780" s="207">
        <v>45597</v>
      </c>
      <c r="F7780" s="206" t="s">
        <v>110</v>
      </c>
      <c r="G7780" s="208" t="s">
        <v>5469</v>
      </c>
      <c r="H7780" s="201" t="s">
        <v>549</v>
      </c>
      <c r="I7780" s="206"/>
    </row>
    <row r="7781" spans="1:9" ht="15" hidden="1" customHeight="1">
      <c r="A7781" s="205">
        <v>45597</v>
      </c>
      <c r="B7781" s="208" t="s">
        <v>6197</v>
      </c>
      <c r="C7781" s="206" t="s">
        <v>27</v>
      </c>
      <c r="D7781" s="784">
        <v>-679000</v>
      </c>
      <c r="E7781" s="207">
        <v>45597</v>
      </c>
      <c r="F7781" s="206" t="s">
        <v>109</v>
      </c>
      <c r="G7781" s="201" t="s">
        <v>6198</v>
      </c>
      <c r="I7781" s="206"/>
    </row>
    <row r="7782" spans="1:9" ht="15" hidden="1" customHeight="1">
      <c r="A7782" s="205">
        <v>45597</v>
      </c>
      <c r="B7782" s="208" t="s">
        <v>6199</v>
      </c>
      <c r="C7782" s="206" t="s">
        <v>27</v>
      </c>
      <c r="D7782" s="784">
        <v>-36700</v>
      </c>
      <c r="E7782" s="207">
        <v>45597</v>
      </c>
      <c r="F7782" s="206" t="s">
        <v>130</v>
      </c>
      <c r="G7782" s="206" t="s">
        <v>257</v>
      </c>
      <c r="H7782" s="84" t="s">
        <v>303</v>
      </c>
      <c r="I7782" s="206" t="s">
        <v>6180</v>
      </c>
    </row>
    <row r="7783" spans="1:9" ht="15" hidden="1" customHeight="1">
      <c r="A7783" s="205">
        <v>45597</v>
      </c>
      <c r="B7783" s="208" t="s">
        <v>6200</v>
      </c>
      <c r="C7783" s="206" t="s">
        <v>27</v>
      </c>
      <c r="D7783" s="784">
        <v>-70000</v>
      </c>
      <c r="E7783" s="207">
        <v>45597</v>
      </c>
      <c r="F7783" s="206" t="s">
        <v>110</v>
      </c>
      <c r="G7783" s="208" t="s">
        <v>5503</v>
      </c>
      <c r="H7783" s="81" t="s">
        <v>138</v>
      </c>
      <c r="I7783" s="206" t="s">
        <v>6180</v>
      </c>
    </row>
    <row r="7784" spans="1:9" ht="15" hidden="1" customHeight="1">
      <c r="A7784" s="205">
        <v>45600</v>
      </c>
      <c r="B7784" s="208" t="s">
        <v>6201</v>
      </c>
      <c r="C7784" s="206" t="s">
        <v>27</v>
      </c>
      <c r="D7784" s="737">
        <v>56750</v>
      </c>
      <c r="E7784" s="207">
        <v>45597</v>
      </c>
      <c r="F7784" s="719" t="s">
        <v>130</v>
      </c>
      <c r="G7784" s="719" t="s">
        <v>130</v>
      </c>
      <c r="H7784" s="206" t="s">
        <v>2444</v>
      </c>
      <c r="I7784" s="206"/>
    </row>
    <row r="7785" spans="1:9" ht="15" hidden="1" customHeight="1">
      <c r="A7785" s="205">
        <v>45601</v>
      </c>
      <c r="B7785" s="208" t="s">
        <v>6202</v>
      </c>
      <c r="C7785" s="206" t="s">
        <v>27</v>
      </c>
      <c r="D7785" s="737">
        <v>500000000</v>
      </c>
      <c r="E7785" s="207">
        <v>45597</v>
      </c>
      <c r="F7785" s="883" t="s">
        <v>707</v>
      </c>
      <c r="G7785" s="601" t="s">
        <v>581</v>
      </c>
      <c r="H7785" s="206" t="s">
        <v>6203</v>
      </c>
      <c r="I7785" s="206"/>
    </row>
    <row r="7786" spans="1:9" ht="15" hidden="1" customHeight="1">
      <c r="A7786" s="205">
        <v>45601</v>
      </c>
      <c r="B7786" s="208" t="s">
        <v>6204</v>
      </c>
      <c r="C7786" s="206" t="s">
        <v>27</v>
      </c>
      <c r="D7786" s="784">
        <v>-87600</v>
      </c>
      <c r="E7786" s="207">
        <v>45597</v>
      </c>
      <c r="F7786" s="206" t="s">
        <v>110</v>
      </c>
      <c r="G7786" s="208" t="s">
        <v>5503</v>
      </c>
      <c r="H7786" s="201" t="s">
        <v>1166</v>
      </c>
      <c r="I7786" s="206" t="s">
        <v>6180</v>
      </c>
    </row>
    <row r="7787" spans="1:9" ht="15" hidden="1" customHeight="1">
      <c r="A7787" s="205">
        <v>45603</v>
      </c>
      <c r="B7787" s="208" t="s">
        <v>6205</v>
      </c>
      <c r="C7787" s="206" t="s">
        <v>4783</v>
      </c>
      <c r="D7787" s="718">
        <v>-73482500</v>
      </c>
      <c r="E7787" s="207">
        <v>45597</v>
      </c>
      <c r="F7787" s="206" t="s">
        <v>109</v>
      </c>
      <c r="G7787" s="206" t="s">
        <v>4625</v>
      </c>
      <c r="I7787" s="206"/>
    </row>
    <row r="7788" spans="1:9" ht="15" hidden="1" customHeight="1">
      <c r="A7788" s="205">
        <v>45602</v>
      </c>
      <c r="B7788" s="208" t="s">
        <v>6206</v>
      </c>
      <c r="C7788" s="206" t="s">
        <v>27</v>
      </c>
      <c r="D7788" s="784">
        <v>-3587999</v>
      </c>
      <c r="E7788" s="207">
        <v>45597</v>
      </c>
      <c r="F7788" s="206" t="s">
        <v>130</v>
      </c>
      <c r="G7788" s="206" t="s">
        <v>130</v>
      </c>
      <c r="H7788" s="94" t="s">
        <v>163</v>
      </c>
      <c r="I7788" s="206"/>
    </row>
    <row r="7789" spans="1:9" ht="15" hidden="1" customHeight="1">
      <c r="A7789" s="205">
        <v>45602</v>
      </c>
      <c r="B7789" s="208" t="s">
        <v>6207</v>
      </c>
      <c r="C7789" s="206" t="s">
        <v>27</v>
      </c>
      <c r="D7789" s="784">
        <v>-180000</v>
      </c>
      <c r="E7789" s="207">
        <v>45597</v>
      </c>
      <c r="F7789" s="206" t="s">
        <v>130</v>
      </c>
      <c r="G7789" s="206" t="s">
        <v>257</v>
      </c>
      <c r="H7789" s="201" t="s">
        <v>663</v>
      </c>
      <c r="I7789" s="206"/>
    </row>
    <row r="7790" spans="1:9" ht="15" hidden="1" customHeight="1">
      <c r="A7790" s="205">
        <v>45602</v>
      </c>
      <c r="B7790" s="208" t="s">
        <v>6208</v>
      </c>
      <c r="C7790" s="206" t="s">
        <v>27</v>
      </c>
      <c r="D7790" s="784">
        <v>-233928</v>
      </c>
      <c r="E7790" s="207">
        <v>45597</v>
      </c>
      <c r="F7790" s="206" t="s">
        <v>130</v>
      </c>
      <c r="G7790" s="206" t="s">
        <v>257</v>
      </c>
      <c r="H7790" s="201" t="s">
        <v>663</v>
      </c>
      <c r="I7790" s="206"/>
    </row>
    <row r="7791" spans="1:9" ht="15" hidden="1" customHeight="1">
      <c r="A7791" s="205">
        <v>45602</v>
      </c>
      <c r="B7791" s="208" t="s">
        <v>6209</v>
      </c>
      <c r="C7791" s="206" t="s">
        <v>27</v>
      </c>
      <c r="D7791" s="784">
        <v>-2539788</v>
      </c>
      <c r="E7791" s="207">
        <v>45597</v>
      </c>
      <c r="F7791" s="206" t="s">
        <v>109</v>
      </c>
      <c r="G7791" s="201" t="s">
        <v>581</v>
      </c>
      <c r="I7791" s="206"/>
    </row>
    <row r="7792" spans="1:9" ht="15" hidden="1" customHeight="1">
      <c r="A7792" s="205">
        <v>45602</v>
      </c>
      <c r="B7792" s="208" t="s">
        <v>6209</v>
      </c>
      <c r="C7792" s="206" t="s">
        <v>27</v>
      </c>
      <c r="D7792" s="784">
        <v>-2539788</v>
      </c>
      <c r="E7792" s="207">
        <v>45597</v>
      </c>
      <c r="F7792" s="206" t="s">
        <v>109</v>
      </c>
      <c r="G7792" s="201" t="s">
        <v>583</v>
      </c>
      <c r="I7792" s="206"/>
    </row>
    <row r="7793" spans="1:9" ht="15" hidden="1" customHeight="1">
      <c r="A7793" s="205">
        <v>45602</v>
      </c>
      <c r="B7793" s="208" t="s">
        <v>6210</v>
      </c>
      <c r="C7793" s="206" t="s">
        <v>27</v>
      </c>
      <c r="D7793" s="784">
        <v>-310000</v>
      </c>
      <c r="E7793" s="207">
        <v>45597</v>
      </c>
      <c r="F7793" s="206" t="s">
        <v>130</v>
      </c>
      <c r="G7793" s="206" t="s">
        <v>257</v>
      </c>
      <c r="H7793" s="201" t="s">
        <v>663</v>
      </c>
      <c r="I7793" s="206"/>
    </row>
    <row r="7794" spans="1:9" ht="15" hidden="1" customHeight="1">
      <c r="A7794" s="205">
        <v>45602</v>
      </c>
      <c r="B7794" s="208" t="s">
        <v>6211</v>
      </c>
      <c r="C7794" s="206" t="s">
        <v>27</v>
      </c>
      <c r="D7794" s="784">
        <v>-238040</v>
      </c>
      <c r="E7794" s="207">
        <v>45597</v>
      </c>
      <c r="F7794" s="206" t="s">
        <v>109</v>
      </c>
      <c r="G7794" s="208" t="s">
        <v>4986</v>
      </c>
      <c r="H7794" s="208" t="s">
        <v>175</v>
      </c>
      <c r="I7794" s="206"/>
    </row>
    <row r="7795" spans="1:9" ht="15" hidden="1" customHeight="1">
      <c r="A7795" s="205">
        <v>45602</v>
      </c>
      <c r="B7795" s="208" t="s">
        <v>6212</v>
      </c>
      <c r="C7795" s="206" t="s">
        <v>27</v>
      </c>
      <c r="D7795" s="784">
        <v>-3078000</v>
      </c>
      <c r="E7795" s="207">
        <v>45597</v>
      </c>
      <c r="F7795" s="206" t="s">
        <v>110</v>
      </c>
      <c r="G7795" s="208" t="s">
        <v>4294</v>
      </c>
      <c r="H7795" s="201" t="s">
        <v>631</v>
      </c>
      <c r="I7795" s="206"/>
    </row>
    <row r="7796" spans="1:9" ht="15" hidden="1" customHeight="1">
      <c r="A7796" s="205">
        <v>45602</v>
      </c>
      <c r="B7796" s="208" t="s">
        <v>6213</v>
      </c>
      <c r="C7796" s="206" t="s">
        <v>27</v>
      </c>
      <c r="D7796" s="784">
        <v>-750000</v>
      </c>
      <c r="E7796" s="207">
        <v>45597</v>
      </c>
      <c r="F7796" s="206" t="s">
        <v>130</v>
      </c>
      <c r="G7796" s="206" t="s">
        <v>130</v>
      </c>
      <c r="H7796" s="206" t="s">
        <v>323</v>
      </c>
      <c r="I7796" s="206"/>
    </row>
    <row r="7797" spans="1:9" ht="15" hidden="1" customHeight="1">
      <c r="A7797" s="205">
        <v>45602</v>
      </c>
      <c r="B7797" s="208" t="s">
        <v>6214</v>
      </c>
      <c r="C7797" s="206" t="s">
        <v>27</v>
      </c>
      <c r="D7797" s="784">
        <v>-80000</v>
      </c>
      <c r="E7797" s="207">
        <v>45597</v>
      </c>
      <c r="F7797" s="206" t="s">
        <v>109</v>
      </c>
      <c r="G7797" s="201" t="s">
        <v>581</v>
      </c>
      <c r="I7797" s="206"/>
    </row>
    <row r="7798" spans="1:9" ht="15" hidden="1" customHeight="1">
      <c r="A7798" s="205">
        <v>45454</v>
      </c>
      <c r="B7798" s="208" t="s">
        <v>2778</v>
      </c>
      <c r="C7798" s="206" t="s">
        <v>4783</v>
      </c>
      <c r="D7798" s="718">
        <v>-2891674</v>
      </c>
      <c r="E7798" s="207">
        <v>45597</v>
      </c>
      <c r="F7798" s="206" t="s">
        <v>109</v>
      </c>
      <c r="G7798" s="208" t="s">
        <v>4986</v>
      </c>
      <c r="H7798" s="201" t="s">
        <v>585</v>
      </c>
      <c r="I7798" s="720" t="s">
        <v>5410</v>
      </c>
    </row>
    <row r="7799" spans="1:9" ht="15" hidden="1" customHeight="1">
      <c r="A7799" s="205">
        <v>45484</v>
      </c>
      <c r="B7799" s="208" t="s">
        <v>6215</v>
      </c>
      <c r="C7799" s="206" t="s">
        <v>4783</v>
      </c>
      <c r="D7799" s="718">
        <v>-96322</v>
      </c>
      <c r="E7799" s="207">
        <v>45597</v>
      </c>
      <c r="F7799" s="206" t="s">
        <v>130</v>
      </c>
      <c r="G7799" s="206" t="s">
        <v>257</v>
      </c>
      <c r="H7799" s="206" t="s">
        <v>1032</v>
      </c>
      <c r="I7799" s="206"/>
    </row>
    <row r="7800" spans="1:9" ht="15" hidden="1" customHeight="1">
      <c r="A7800" s="205">
        <v>45484</v>
      </c>
      <c r="B7800" s="208" t="s">
        <v>6216</v>
      </c>
      <c r="C7800" s="206" t="s">
        <v>4783</v>
      </c>
      <c r="D7800" s="718">
        <v>-1207500</v>
      </c>
      <c r="E7800" s="207">
        <v>45597</v>
      </c>
      <c r="F7800" s="206" t="s">
        <v>110</v>
      </c>
      <c r="G7800" s="208" t="s">
        <v>5503</v>
      </c>
      <c r="H7800" s="208" t="s">
        <v>147</v>
      </c>
      <c r="I7800" s="206"/>
    </row>
    <row r="7801" spans="1:9" ht="15" hidden="1" customHeight="1">
      <c r="A7801" s="205">
        <v>45603</v>
      </c>
      <c r="B7801" s="208" t="s">
        <v>6217</v>
      </c>
      <c r="C7801" s="206" t="s">
        <v>4783</v>
      </c>
      <c r="D7801" s="718">
        <v>-9083242</v>
      </c>
      <c r="E7801" s="207">
        <v>45597</v>
      </c>
      <c r="F7801" s="206" t="s">
        <v>109</v>
      </c>
      <c r="G7801" s="201" t="s">
        <v>583</v>
      </c>
      <c r="I7801" s="206"/>
    </row>
    <row r="7802" spans="1:9" ht="15" hidden="1" customHeight="1">
      <c r="A7802" s="205">
        <v>45604</v>
      </c>
      <c r="B7802" s="208" t="s">
        <v>6218</v>
      </c>
      <c r="C7802" s="206" t="s">
        <v>4783</v>
      </c>
      <c r="D7802" s="718">
        <v>-2599737</v>
      </c>
      <c r="E7802" s="207">
        <v>45597</v>
      </c>
      <c r="F7802" s="206" t="s">
        <v>109</v>
      </c>
      <c r="G7802" s="206" t="s">
        <v>10</v>
      </c>
      <c r="I7802" s="206"/>
    </row>
    <row r="7803" spans="1:9" ht="15" hidden="1" customHeight="1">
      <c r="A7803" s="205">
        <v>45602</v>
      </c>
      <c r="B7803" s="208" t="s">
        <v>2777</v>
      </c>
      <c r="C7803" s="206" t="s">
        <v>4783</v>
      </c>
      <c r="D7803" s="718">
        <v>-23713166</v>
      </c>
      <c r="E7803" s="207">
        <v>45597</v>
      </c>
      <c r="F7803" s="206" t="s">
        <v>109</v>
      </c>
      <c r="G7803" s="654" t="s">
        <v>2585</v>
      </c>
      <c r="H7803" s="201" t="s">
        <v>123</v>
      </c>
      <c r="I7803" s="720" t="s">
        <v>5410</v>
      </c>
    </row>
    <row r="7804" spans="1:9" ht="15" hidden="1" customHeight="1">
      <c r="A7804" s="205">
        <v>45602</v>
      </c>
      <c r="B7804" s="208" t="s">
        <v>2777</v>
      </c>
      <c r="C7804" s="206" t="s">
        <v>4783</v>
      </c>
      <c r="D7804" s="718">
        <v>-23713167</v>
      </c>
      <c r="E7804" s="207">
        <v>45597</v>
      </c>
      <c r="F7804" s="206" t="s">
        <v>110</v>
      </c>
      <c r="G7804" s="201" t="s">
        <v>1489</v>
      </c>
      <c r="H7804" s="201" t="s">
        <v>123</v>
      </c>
      <c r="I7804" s="720" t="s">
        <v>5410</v>
      </c>
    </row>
    <row r="7805" spans="1:9" ht="15" hidden="1" customHeight="1">
      <c r="A7805" s="205">
        <v>45603</v>
      </c>
      <c r="B7805" s="208" t="s">
        <v>6219</v>
      </c>
      <c r="C7805" s="206" t="s">
        <v>4783</v>
      </c>
      <c r="D7805" s="718">
        <v>-284766</v>
      </c>
      <c r="E7805" s="207">
        <v>45597</v>
      </c>
      <c r="F7805" s="206" t="s">
        <v>110</v>
      </c>
      <c r="G7805" s="208" t="s">
        <v>4399</v>
      </c>
      <c r="H7805" s="208" t="s">
        <v>3637</v>
      </c>
      <c r="I7805" s="720" t="s">
        <v>5410</v>
      </c>
    </row>
    <row r="7806" spans="1:9" ht="15" hidden="1" customHeight="1">
      <c r="A7806" s="205">
        <v>45454</v>
      </c>
      <c r="B7806" s="208" t="s">
        <v>6220</v>
      </c>
      <c r="C7806" s="206" t="s">
        <v>4783</v>
      </c>
      <c r="D7806" s="718">
        <v>-405000</v>
      </c>
      <c r="E7806" s="207">
        <v>45597</v>
      </c>
      <c r="F7806" s="206" t="s">
        <v>110</v>
      </c>
      <c r="G7806" s="208" t="s">
        <v>5469</v>
      </c>
      <c r="H7806" s="208" t="s">
        <v>175</v>
      </c>
      <c r="I7806" s="720" t="s">
        <v>5410</v>
      </c>
    </row>
    <row r="7807" spans="1:9" ht="15" hidden="1" customHeight="1">
      <c r="A7807" s="205">
        <v>45602</v>
      </c>
      <c r="B7807" s="208" t="s">
        <v>6221</v>
      </c>
      <c r="C7807" s="206" t="s">
        <v>4783</v>
      </c>
      <c r="D7807" s="718">
        <v>-1780000</v>
      </c>
      <c r="E7807" s="207">
        <v>45597</v>
      </c>
      <c r="F7807" s="206" t="s">
        <v>109</v>
      </c>
      <c r="G7807" s="201" t="s">
        <v>581</v>
      </c>
      <c r="I7807" s="206"/>
    </row>
    <row r="7808" spans="1:9" ht="15" hidden="1" customHeight="1">
      <c r="A7808" s="205">
        <v>45602</v>
      </c>
      <c r="B7808" s="208" t="s">
        <v>6221</v>
      </c>
      <c r="C7808" s="206" t="s">
        <v>4783</v>
      </c>
      <c r="D7808" s="718">
        <v>-1780000</v>
      </c>
      <c r="E7808" s="207">
        <v>45597</v>
      </c>
      <c r="F7808" s="206" t="s">
        <v>109</v>
      </c>
      <c r="G7808" s="201" t="s">
        <v>583</v>
      </c>
      <c r="I7808" s="206"/>
    </row>
    <row r="7809" spans="1:9" ht="15" hidden="1" customHeight="1">
      <c r="A7809" s="205">
        <v>45602</v>
      </c>
      <c r="B7809" s="208" t="s">
        <v>6221</v>
      </c>
      <c r="C7809" s="206" t="s">
        <v>4783</v>
      </c>
      <c r="D7809" s="718">
        <v>-1500000</v>
      </c>
      <c r="E7809" s="207">
        <v>45597</v>
      </c>
      <c r="F7809" s="206" t="s">
        <v>109</v>
      </c>
      <c r="G7809" s="206" t="s">
        <v>4625</v>
      </c>
      <c r="I7809" s="206"/>
    </row>
    <row r="7810" spans="1:9" ht="15" hidden="1" customHeight="1">
      <c r="A7810" s="205">
        <v>45603</v>
      </c>
      <c r="B7810" s="208" t="s">
        <v>6222</v>
      </c>
      <c r="C7810" s="206" t="s">
        <v>4783</v>
      </c>
      <c r="D7810" s="718">
        <v>-2184375</v>
      </c>
      <c r="E7810" s="207">
        <v>45597</v>
      </c>
      <c r="F7810" s="206" t="s">
        <v>110</v>
      </c>
      <c r="G7810" s="206" t="s">
        <v>774</v>
      </c>
      <c r="H7810" s="201" t="s">
        <v>421</v>
      </c>
      <c r="I7810" s="720" t="s">
        <v>5410</v>
      </c>
    </row>
    <row r="7811" spans="1:9" ht="15" hidden="1" customHeight="1">
      <c r="A7811" s="205">
        <v>45603</v>
      </c>
      <c r="B7811" s="208" t="s">
        <v>6223</v>
      </c>
      <c r="C7811" s="206" t="s">
        <v>4783</v>
      </c>
      <c r="D7811" s="718">
        <v>-560000</v>
      </c>
      <c r="E7811" s="207">
        <v>45597</v>
      </c>
      <c r="F7811" s="206" t="s">
        <v>130</v>
      </c>
      <c r="G7811" s="206" t="s">
        <v>130</v>
      </c>
      <c r="H7811" s="206" t="s">
        <v>2176</v>
      </c>
      <c r="I7811" s="206"/>
    </row>
    <row r="7812" spans="1:9" ht="15" hidden="1" customHeight="1">
      <c r="A7812" s="205">
        <v>45603</v>
      </c>
      <c r="B7812" s="208" t="s">
        <v>6224</v>
      </c>
      <c r="C7812" s="206" t="s">
        <v>4783</v>
      </c>
      <c r="D7812" s="718">
        <v>-2265750</v>
      </c>
      <c r="E7812" s="207">
        <v>45597</v>
      </c>
      <c r="F7812" s="206" t="s">
        <v>109</v>
      </c>
      <c r="G7812" s="206" t="s">
        <v>10</v>
      </c>
      <c r="H7812" s="206" t="s">
        <v>6225</v>
      </c>
      <c r="I7812" s="206"/>
    </row>
    <row r="7813" spans="1:9" ht="15" hidden="1" customHeight="1">
      <c r="A7813" s="205">
        <v>45603</v>
      </c>
      <c r="B7813" s="208" t="s">
        <v>3782</v>
      </c>
      <c r="C7813" s="206" t="s">
        <v>4783</v>
      </c>
      <c r="D7813" s="718">
        <v>-20900</v>
      </c>
      <c r="E7813" s="207">
        <v>45597</v>
      </c>
      <c r="F7813" s="206" t="s">
        <v>109</v>
      </c>
      <c r="G7813" s="206" t="s">
        <v>2809</v>
      </c>
      <c r="H7813" s="206" t="s">
        <v>5059</v>
      </c>
      <c r="I7813" s="206"/>
    </row>
    <row r="7814" spans="1:9" ht="15" hidden="1" customHeight="1">
      <c r="A7814" s="205">
        <v>45602</v>
      </c>
      <c r="B7814" s="208" t="s">
        <v>6226</v>
      </c>
      <c r="C7814" s="206" t="s">
        <v>4783</v>
      </c>
      <c r="D7814" s="718">
        <v>-8370468.6900000004</v>
      </c>
      <c r="E7814" s="207">
        <v>45597</v>
      </c>
      <c r="F7814" s="206" t="s">
        <v>111</v>
      </c>
      <c r="I7814" s="206"/>
    </row>
    <row r="7815" spans="1:9" ht="15" hidden="1" customHeight="1">
      <c r="A7815" s="205">
        <v>45603</v>
      </c>
      <c r="B7815" s="208" t="s">
        <v>5629</v>
      </c>
      <c r="C7815" s="206" t="s">
        <v>4783</v>
      </c>
      <c r="D7815" s="718">
        <v>-6393036</v>
      </c>
      <c r="E7815" s="207">
        <v>45597</v>
      </c>
      <c r="F7815" s="206" t="s">
        <v>130</v>
      </c>
      <c r="G7815" s="206" t="s">
        <v>130</v>
      </c>
      <c r="H7815" s="94" t="s">
        <v>163</v>
      </c>
      <c r="I7815" s="206"/>
    </row>
    <row r="7816" spans="1:9" ht="15" hidden="1" customHeight="1">
      <c r="A7816" s="205">
        <v>45597</v>
      </c>
      <c r="B7816" s="208" t="s">
        <v>6227</v>
      </c>
      <c r="C7816" s="206" t="s">
        <v>3331</v>
      </c>
      <c r="D7816" s="730">
        <v>-7900</v>
      </c>
      <c r="E7816" s="207">
        <v>45597</v>
      </c>
      <c r="F7816" s="206" t="s">
        <v>130</v>
      </c>
      <c r="G7816" s="206" t="s">
        <v>130</v>
      </c>
      <c r="H7816" s="206" t="s">
        <v>2444</v>
      </c>
      <c r="I7816" s="206"/>
    </row>
    <row r="7817" spans="1:9" ht="15" hidden="1" customHeight="1">
      <c r="A7817" s="205">
        <v>45597</v>
      </c>
      <c r="B7817" s="208" t="s">
        <v>6228</v>
      </c>
      <c r="C7817" s="206" t="s">
        <v>3331</v>
      </c>
      <c r="D7817" s="730">
        <v>-7900</v>
      </c>
      <c r="E7817" s="207">
        <v>45597</v>
      </c>
      <c r="F7817" s="206" t="s">
        <v>109</v>
      </c>
      <c r="G7817" s="206" t="s">
        <v>6229</v>
      </c>
      <c r="I7817" s="206"/>
    </row>
    <row r="7818" spans="1:9" ht="15" hidden="1" customHeight="1">
      <c r="A7818" s="205">
        <v>45597</v>
      </c>
      <c r="B7818" s="208" t="s">
        <v>6230</v>
      </c>
      <c r="C7818" s="206" t="s">
        <v>3331</v>
      </c>
      <c r="D7818" s="730">
        <v>-7900</v>
      </c>
      <c r="E7818" s="207">
        <v>45597</v>
      </c>
      <c r="F7818" s="206" t="s">
        <v>109</v>
      </c>
      <c r="G7818" s="206" t="s">
        <v>6231</v>
      </c>
      <c r="I7818" s="206"/>
    </row>
    <row r="7819" spans="1:9" ht="15" hidden="1" customHeight="1">
      <c r="A7819" s="205">
        <v>45597</v>
      </c>
      <c r="B7819" s="208" t="s">
        <v>6232</v>
      </c>
      <c r="C7819" s="206" t="s">
        <v>3331</v>
      </c>
      <c r="D7819" s="730">
        <v>-7900</v>
      </c>
      <c r="E7819" s="207">
        <v>45597</v>
      </c>
      <c r="F7819" s="206" t="s">
        <v>109</v>
      </c>
      <c r="G7819" s="206" t="s">
        <v>6233</v>
      </c>
      <c r="I7819" s="206"/>
    </row>
    <row r="7820" spans="1:9" ht="15" hidden="1" customHeight="1">
      <c r="A7820" s="205">
        <v>45602</v>
      </c>
      <c r="B7820" s="208" t="s">
        <v>6234</v>
      </c>
      <c r="C7820" s="206" t="s">
        <v>27</v>
      </c>
      <c r="D7820" s="784">
        <v>-141000</v>
      </c>
      <c r="E7820" s="207">
        <v>45597</v>
      </c>
      <c r="F7820" s="206" t="s">
        <v>130</v>
      </c>
      <c r="G7820" s="206" t="s">
        <v>130</v>
      </c>
      <c r="H7820" s="206" t="s">
        <v>323</v>
      </c>
      <c r="I7820" s="206"/>
    </row>
    <row r="7821" spans="1:9" ht="15" hidden="1" customHeight="1">
      <c r="A7821" s="205">
        <v>45602</v>
      </c>
      <c r="B7821" s="208" t="s">
        <v>6235</v>
      </c>
      <c r="C7821" s="206" t="s">
        <v>27</v>
      </c>
      <c r="D7821" s="784">
        <v>-1570000</v>
      </c>
      <c r="E7821" s="207">
        <v>45597</v>
      </c>
      <c r="F7821" s="206" t="s">
        <v>109</v>
      </c>
      <c r="G7821" s="201" t="s">
        <v>581</v>
      </c>
      <c r="I7821" s="206"/>
    </row>
    <row r="7822" spans="1:9" ht="15" hidden="1" customHeight="1">
      <c r="A7822" s="205">
        <v>45602</v>
      </c>
      <c r="B7822" s="208" t="s">
        <v>5458</v>
      </c>
      <c r="C7822" s="206" t="s">
        <v>27</v>
      </c>
      <c r="D7822" s="784">
        <v>-28880657</v>
      </c>
      <c r="E7822" s="207">
        <v>45597</v>
      </c>
      <c r="F7822" s="206" t="s">
        <v>109</v>
      </c>
      <c r="G7822" s="201" t="s">
        <v>581</v>
      </c>
      <c r="H7822" s="206" t="s">
        <v>6236</v>
      </c>
      <c r="I7822" s="206"/>
    </row>
    <row r="7823" spans="1:9" ht="15" hidden="1" customHeight="1">
      <c r="A7823" s="205">
        <v>45597</v>
      </c>
      <c r="B7823" s="208" t="s">
        <v>4126</v>
      </c>
      <c r="C7823" s="206" t="s">
        <v>3331</v>
      </c>
      <c r="D7823" s="730">
        <v>-11111111</v>
      </c>
      <c r="E7823" s="207">
        <v>45597</v>
      </c>
      <c r="F7823" s="84" t="s">
        <v>111</v>
      </c>
      <c r="I7823" s="206"/>
    </row>
    <row r="7824" spans="1:9" ht="15" hidden="1" customHeight="1">
      <c r="A7824" s="205">
        <v>45597</v>
      </c>
      <c r="B7824" s="208" t="s">
        <v>4126</v>
      </c>
      <c r="C7824" s="206" t="s">
        <v>3331</v>
      </c>
      <c r="D7824" s="730">
        <v>-3702784</v>
      </c>
      <c r="E7824" s="207">
        <v>45597</v>
      </c>
      <c r="F7824" s="208" t="s">
        <v>118</v>
      </c>
      <c r="I7824" s="206"/>
    </row>
    <row r="7825" spans="1:9" ht="15" hidden="1" customHeight="1">
      <c r="A7825" s="205">
        <v>45597</v>
      </c>
      <c r="B7825" s="208" t="s">
        <v>6237</v>
      </c>
      <c r="C7825" s="206" t="s">
        <v>3331</v>
      </c>
      <c r="D7825" s="730">
        <v>1268760</v>
      </c>
      <c r="E7825" s="207">
        <v>45597</v>
      </c>
      <c r="F7825" s="206" t="s">
        <v>108</v>
      </c>
      <c r="I7825" s="206"/>
    </row>
    <row r="7826" spans="1:9" ht="15" hidden="1" customHeight="1">
      <c r="A7826" s="205">
        <v>45602</v>
      </c>
      <c r="B7826" s="208" t="s">
        <v>6238</v>
      </c>
      <c r="C7826" s="206" t="s">
        <v>4783</v>
      </c>
      <c r="D7826" s="718">
        <v>-104000000</v>
      </c>
      <c r="E7826" s="207">
        <v>45597</v>
      </c>
      <c r="F7826" s="206" t="s">
        <v>4625</v>
      </c>
      <c r="G7826" s="206" t="s">
        <v>4625</v>
      </c>
      <c r="H7826" s="206" t="s">
        <v>2986</v>
      </c>
      <c r="I7826" s="206"/>
    </row>
    <row r="7827" spans="1:9" ht="15" hidden="1" customHeight="1">
      <c r="A7827" s="205">
        <v>45602</v>
      </c>
      <c r="B7827" s="208" t="s">
        <v>6239</v>
      </c>
      <c r="C7827" s="206" t="s">
        <v>4783</v>
      </c>
      <c r="D7827" s="718">
        <v>-325500000</v>
      </c>
      <c r="E7827" s="207">
        <v>45597</v>
      </c>
      <c r="F7827" s="208" t="s">
        <v>4859</v>
      </c>
      <c r="G7827" s="208" t="s">
        <v>4860</v>
      </c>
      <c r="H7827" s="206" t="s">
        <v>2986</v>
      </c>
      <c r="I7827" s="206"/>
    </row>
    <row r="7828" spans="1:9" ht="15" hidden="1" customHeight="1">
      <c r="A7828" s="205">
        <v>45597</v>
      </c>
      <c r="B7828" s="81" t="s">
        <v>5498</v>
      </c>
      <c r="C7828" s="206" t="s">
        <v>643</v>
      </c>
      <c r="D7828" s="730">
        <v>-97848.35</v>
      </c>
      <c r="E7828" s="207">
        <v>45597</v>
      </c>
      <c r="F7828" s="206" t="s">
        <v>130</v>
      </c>
      <c r="G7828" s="206" t="s">
        <v>130</v>
      </c>
      <c r="H7828" s="206" t="s">
        <v>1245</v>
      </c>
      <c r="I7828" s="206"/>
    </row>
    <row r="7829" spans="1:9" ht="15" hidden="1" customHeight="1">
      <c r="A7829" s="205">
        <v>45597</v>
      </c>
      <c r="B7829" s="81" t="s">
        <v>4339</v>
      </c>
      <c r="C7829" s="206" t="s">
        <v>643</v>
      </c>
      <c r="D7829" s="730">
        <v>-16000</v>
      </c>
      <c r="E7829" s="207">
        <v>45597</v>
      </c>
      <c r="F7829" s="206" t="s">
        <v>130</v>
      </c>
      <c r="G7829" s="206" t="s">
        <v>257</v>
      </c>
      <c r="H7829" s="206" t="s">
        <v>303</v>
      </c>
      <c r="I7829" s="206"/>
    </row>
    <row r="7830" spans="1:9" ht="15" hidden="1" customHeight="1">
      <c r="A7830" s="205">
        <v>45600</v>
      </c>
      <c r="B7830" s="81" t="s">
        <v>4228</v>
      </c>
      <c r="C7830" s="206" t="s">
        <v>643</v>
      </c>
      <c r="D7830" s="730">
        <v>-88588.26</v>
      </c>
      <c r="E7830" s="207">
        <v>45597</v>
      </c>
      <c r="F7830" s="206" t="s">
        <v>130</v>
      </c>
      <c r="G7830" s="206" t="s">
        <v>130</v>
      </c>
      <c r="H7830" s="206" t="s">
        <v>1245</v>
      </c>
      <c r="I7830" s="206"/>
    </row>
    <row r="7831" spans="1:9" ht="15" hidden="1" customHeight="1">
      <c r="A7831" s="205">
        <v>45601</v>
      </c>
      <c r="B7831" s="208" t="s">
        <v>6240</v>
      </c>
      <c r="C7831" s="206" t="s">
        <v>4783</v>
      </c>
      <c r="D7831" s="718">
        <v>200000000</v>
      </c>
      <c r="E7831" s="207">
        <v>45597</v>
      </c>
      <c r="F7831" s="206" t="s">
        <v>707</v>
      </c>
      <c r="G7831" s="206" t="s">
        <v>10</v>
      </c>
      <c r="H7831" s="206" t="s">
        <v>6241</v>
      </c>
      <c r="I7831" s="206"/>
    </row>
    <row r="7832" spans="1:9" ht="15" hidden="1" customHeight="1">
      <c r="A7832" s="205">
        <v>45602</v>
      </c>
      <c r="B7832" s="208" t="s">
        <v>6242</v>
      </c>
      <c r="C7832" s="206" t="s">
        <v>27</v>
      </c>
      <c r="D7832" s="784">
        <v>-92870993</v>
      </c>
      <c r="E7832" s="207">
        <v>45597</v>
      </c>
      <c r="F7832" s="206" t="s">
        <v>109</v>
      </c>
      <c r="G7832" s="206" t="s">
        <v>10</v>
      </c>
      <c r="I7832" s="206"/>
    </row>
    <row r="7833" spans="1:9" ht="15" hidden="1" customHeight="1">
      <c r="A7833" s="205">
        <v>45602</v>
      </c>
      <c r="B7833" s="208" t="s">
        <v>6243</v>
      </c>
      <c r="C7833" s="206" t="s">
        <v>27</v>
      </c>
      <c r="D7833" s="784">
        <v>-500000</v>
      </c>
      <c r="E7833" s="207">
        <v>45597</v>
      </c>
      <c r="F7833" s="206" t="s">
        <v>109</v>
      </c>
      <c r="G7833" s="206" t="s">
        <v>2809</v>
      </c>
      <c r="H7833" s="206" t="s">
        <v>5066</v>
      </c>
      <c r="I7833" s="206"/>
    </row>
    <row r="7834" spans="1:9" ht="15" hidden="1" customHeight="1">
      <c r="A7834" s="205">
        <v>45602</v>
      </c>
      <c r="B7834" s="208" t="s">
        <v>6244</v>
      </c>
      <c r="C7834" s="206" t="s">
        <v>27</v>
      </c>
      <c r="D7834" s="784">
        <v>-400000</v>
      </c>
      <c r="E7834" s="207">
        <v>45597</v>
      </c>
      <c r="F7834" s="206" t="s">
        <v>130</v>
      </c>
      <c r="G7834" s="206" t="s">
        <v>257</v>
      </c>
      <c r="H7834" s="81" t="s">
        <v>138</v>
      </c>
      <c r="I7834" s="206"/>
    </row>
    <row r="7835" spans="1:9" ht="15" hidden="1" customHeight="1">
      <c r="A7835" s="205">
        <v>45603</v>
      </c>
      <c r="B7835" s="208" t="s">
        <v>6245</v>
      </c>
      <c r="C7835" s="206" t="s">
        <v>27</v>
      </c>
      <c r="D7835" s="784">
        <v>-684845</v>
      </c>
      <c r="E7835" s="207">
        <v>45597</v>
      </c>
      <c r="F7835" s="206" t="s">
        <v>110</v>
      </c>
      <c r="G7835" s="208" t="s">
        <v>5469</v>
      </c>
      <c r="H7835" s="208" t="s">
        <v>212</v>
      </c>
      <c r="I7835" s="206"/>
    </row>
    <row r="7836" spans="1:9" ht="15" hidden="1" customHeight="1">
      <c r="A7836" s="205">
        <v>45603</v>
      </c>
      <c r="B7836" s="208" t="s">
        <v>6246</v>
      </c>
      <c r="C7836" s="206" t="s">
        <v>27</v>
      </c>
      <c r="D7836" s="784">
        <v>-130000</v>
      </c>
      <c r="E7836" s="207">
        <v>45597</v>
      </c>
      <c r="F7836" s="206" t="s">
        <v>109</v>
      </c>
      <c r="G7836" s="206" t="s">
        <v>2809</v>
      </c>
      <c r="H7836" s="208" t="s">
        <v>4814</v>
      </c>
      <c r="I7836" s="206"/>
    </row>
    <row r="7837" spans="1:9" ht="15" hidden="1" customHeight="1">
      <c r="A7837" s="205">
        <v>45603</v>
      </c>
      <c r="B7837" s="208" t="s">
        <v>6247</v>
      </c>
      <c r="C7837" s="206" t="s">
        <v>27</v>
      </c>
      <c r="D7837" s="784">
        <v>-1240000</v>
      </c>
      <c r="E7837" s="207">
        <v>45597</v>
      </c>
      <c r="F7837" s="206" t="s">
        <v>109</v>
      </c>
      <c r="G7837" s="201" t="s">
        <v>583</v>
      </c>
      <c r="I7837" s="206"/>
    </row>
    <row r="7838" spans="1:9" ht="15" hidden="1" customHeight="1">
      <c r="A7838" s="205">
        <v>45603</v>
      </c>
      <c r="B7838" s="208" t="s">
        <v>6248</v>
      </c>
      <c r="C7838" s="206" t="s">
        <v>27</v>
      </c>
      <c r="D7838" s="784">
        <v>-148000</v>
      </c>
      <c r="E7838" s="207">
        <v>45597</v>
      </c>
      <c r="F7838" s="206" t="s">
        <v>130</v>
      </c>
      <c r="G7838" s="206" t="s">
        <v>130</v>
      </c>
      <c r="H7838" s="206" t="s">
        <v>323</v>
      </c>
      <c r="I7838" s="206"/>
    </row>
    <row r="7839" spans="1:9" ht="15" hidden="1" customHeight="1">
      <c r="A7839" s="205">
        <v>45603</v>
      </c>
      <c r="B7839" s="208" t="s">
        <v>5757</v>
      </c>
      <c r="C7839" s="206" t="s">
        <v>27</v>
      </c>
      <c r="D7839" s="784">
        <v>-357200</v>
      </c>
      <c r="E7839" s="207">
        <v>45597</v>
      </c>
      <c r="F7839" s="206" t="s">
        <v>109</v>
      </c>
      <c r="G7839" s="206" t="s">
        <v>10</v>
      </c>
      <c r="H7839" s="206" t="s">
        <v>323</v>
      </c>
      <c r="I7839" s="206"/>
    </row>
    <row r="7840" spans="1:9" ht="15" hidden="1" customHeight="1">
      <c r="A7840" s="205">
        <v>45603</v>
      </c>
      <c r="B7840" s="208" t="s">
        <v>6249</v>
      </c>
      <c r="C7840" s="206" t="s">
        <v>27</v>
      </c>
      <c r="D7840" s="784">
        <v>-51600</v>
      </c>
      <c r="E7840" s="207">
        <v>45597</v>
      </c>
      <c r="F7840" s="206" t="s">
        <v>110</v>
      </c>
      <c r="G7840" s="208" t="s">
        <v>5503</v>
      </c>
      <c r="H7840" s="201" t="s">
        <v>1166</v>
      </c>
      <c r="I7840" s="206" t="s">
        <v>6180</v>
      </c>
    </row>
    <row r="7841" spans="1:9" ht="15" hidden="1" customHeight="1">
      <c r="A7841" s="205">
        <v>45604</v>
      </c>
      <c r="B7841" s="208" t="s">
        <v>1333</v>
      </c>
      <c r="C7841" s="206" t="s">
        <v>27</v>
      </c>
      <c r="D7841" s="784">
        <v>-7900</v>
      </c>
      <c r="E7841" s="207">
        <v>45597</v>
      </c>
      <c r="F7841" s="206" t="s">
        <v>109</v>
      </c>
      <c r="G7841" s="206" t="s">
        <v>6250</v>
      </c>
      <c r="I7841" s="206"/>
    </row>
    <row r="7842" spans="1:9" ht="15" hidden="1" customHeight="1">
      <c r="A7842" s="205">
        <v>45604</v>
      </c>
      <c r="B7842" s="208" t="s">
        <v>1333</v>
      </c>
      <c r="C7842" s="206" t="s">
        <v>27</v>
      </c>
      <c r="D7842" s="784">
        <v>-7900</v>
      </c>
      <c r="E7842" s="207">
        <v>45597</v>
      </c>
      <c r="F7842" s="206" t="s">
        <v>109</v>
      </c>
      <c r="G7842" s="206" t="s">
        <v>4412</v>
      </c>
      <c r="I7842" s="206"/>
    </row>
    <row r="7843" spans="1:9" ht="15" hidden="1" customHeight="1">
      <c r="A7843" s="205">
        <v>45566</v>
      </c>
      <c r="B7843" s="724" t="s">
        <v>6251</v>
      </c>
      <c r="C7843" s="206" t="s">
        <v>146</v>
      </c>
      <c r="D7843" s="211">
        <v>-23800</v>
      </c>
      <c r="E7843" s="207">
        <v>45597</v>
      </c>
      <c r="F7843" s="206" t="s">
        <v>130</v>
      </c>
      <c r="G7843" s="206" t="s">
        <v>257</v>
      </c>
      <c r="H7843" s="262" t="s">
        <v>1138</v>
      </c>
      <c r="I7843" s="206" t="s">
        <v>63</v>
      </c>
    </row>
    <row r="7844" spans="1:9" ht="15" hidden="1" customHeight="1">
      <c r="A7844" s="205">
        <v>45566</v>
      </c>
      <c r="B7844" s="724" t="s">
        <v>6252</v>
      </c>
      <c r="C7844" s="206" t="s">
        <v>146</v>
      </c>
      <c r="D7844" s="211">
        <v>-22572</v>
      </c>
      <c r="E7844" s="207">
        <v>45597</v>
      </c>
      <c r="F7844" s="206" t="s">
        <v>130</v>
      </c>
      <c r="G7844" s="206" t="s">
        <v>257</v>
      </c>
      <c r="H7844" s="262" t="s">
        <v>1138</v>
      </c>
      <c r="I7844" s="206" t="s">
        <v>63</v>
      </c>
    </row>
    <row r="7845" spans="1:9" ht="15" hidden="1" customHeight="1">
      <c r="A7845" s="205">
        <v>45567</v>
      </c>
      <c r="B7845" s="724" t="s">
        <v>6253</v>
      </c>
      <c r="C7845" s="206" t="s">
        <v>146</v>
      </c>
      <c r="D7845" s="211">
        <v>-60000</v>
      </c>
      <c r="E7845" s="207">
        <v>45597</v>
      </c>
      <c r="F7845" s="206" t="s">
        <v>130</v>
      </c>
      <c r="G7845" s="206" t="s">
        <v>257</v>
      </c>
      <c r="H7845" s="262" t="s">
        <v>1138</v>
      </c>
      <c r="I7845" s="206" t="s">
        <v>63</v>
      </c>
    </row>
    <row r="7846" spans="1:9" ht="15" hidden="1" customHeight="1">
      <c r="A7846" s="205">
        <v>45567</v>
      </c>
      <c r="B7846" s="724" t="s">
        <v>6254</v>
      </c>
      <c r="C7846" s="206" t="s">
        <v>146</v>
      </c>
      <c r="D7846" s="211">
        <v>-20000</v>
      </c>
      <c r="E7846" s="207">
        <v>45597</v>
      </c>
      <c r="F7846" s="206" t="s">
        <v>130</v>
      </c>
      <c r="G7846" s="206" t="s">
        <v>257</v>
      </c>
      <c r="H7846" s="262" t="s">
        <v>1138</v>
      </c>
      <c r="I7846" s="206" t="s">
        <v>63</v>
      </c>
    </row>
    <row r="7847" spans="1:9" ht="15" hidden="1" customHeight="1">
      <c r="A7847" s="205">
        <v>45567</v>
      </c>
      <c r="B7847" s="724" t="s">
        <v>6255</v>
      </c>
      <c r="C7847" s="206" t="s">
        <v>146</v>
      </c>
      <c r="D7847" s="211">
        <v>-16000</v>
      </c>
      <c r="E7847" s="207">
        <v>45597</v>
      </c>
      <c r="F7847" s="206" t="s">
        <v>130</v>
      </c>
      <c r="G7847" s="206" t="s">
        <v>257</v>
      </c>
      <c r="H7847" s="262" t="s">
        <v>1138</v>
      </c>
      <c r="I7847" s="206" t="s">
        <v>63</v>
      </c>
    </row>
    <row r="7848" spans="1:9" ht="15" hidden="1" customHeight="1">
      <c r="A7848" s="205">
        <v>45568</v>
      </c>
      <c r="B7848" s="724" t="s">
        <v>6256</v>
      </c>
      <c r="C7848" s="206" t="s">
        <v>146</v>
      </c>
      <c r="D7848" s="211">
        <v>-22000</v>
      </c>
      <c r="E7848" s="207">
        <v>45597</v>
      </c>
      <c r="F7848" s="206" t="s">
        <v>130</v>
      </c>
      <c r="G7848" s="206" t="s">
        <v>257</v>
      </c>
      <c r="H7848" s="262" t="s">
        <v>1138</v>
      </c>
      <c r="I7848" s="206" t="s">
        <v>63</v>
      </c>
    </row>
    <row r="7849" spans="1:9" ht="15" hidden="1" customHeight="1">
      <c r="A7849" s="205">
        <v>45569</v>
      </c>
      <c r="B7849" s="724" t="s">
        <v>6254</v>
      </c>
      <c r="C7849" s="206" t="s">
        <v>146</v>
      </c>
      <c r="D7849" s="211">
        <v>-60000</v>
      </c>
      <c r="E7849" s="207">
        <v>45597</v>
      </c>
      <c r="F7849" s="206" t="s">
        <v>130</v>
      </c>
      <c r="G7849" s="206" t="s">
        <v>257</v>
      </c>
      <c r="H7849" s="262" t="s">
        <v>1138</v>
      </c>
      <c r="I7849" s="206" t="s">
        <v>63</v>
      </c>
    </row>
    <row r="7850" spans="1:9" ht="15" hidden="1" customHeight="1">
      <c r="A7850" s="205">
        <v>45569</v>
      </c>
      <c r="B7850" s="724" t="s">
        <v>6257</v>
      </c>
      <c r="C7850" s="206" t="s">
        <v>146</v>
      </c>
      <c r="D7850" s="211">
        <v>-50000</v>
      </c>
      <c r="E7850" s="207">
        <v>45597</v>
      </c>
      <c r="F7850" s="206" t="s">
        <v>130</v>
      </c>
      <c r="G7850" s="206" t="s">
        <v>257</v>
      </c>
      <c r="H7850" s="262" t="s">
        <v>1138</v>
      </c>
      <c r="I7850" s="206" t="s">
        <v>63</v>
      </c>
    </row>
    <row r="7851" spans="1:9" ht="15" hidden="1" customHeight="1">
      <c r="A7851" s="205">
        <v>45569</v>
      </c>
      <c r="B7851" s="724" t="s">
        <v>6251</v>
      </c>
      <c r="C7851" s="206" t="s">
        <v>146</v>
      </c>
      <c r="D7851" s="211">
        <v>-23800</v>
      </c>
      <c r="E7851" s="207">
        <v>45597</v>
      </c>
      <c r="F7851" s="206" t="s">
        <v>130</v>
      </c>
      <c r="G7851" s="206" t="s">
        <v>257</v>
      </c>
      <c r="H7851" s="262" t="s">
        <v>1138</v>
      </c>
      <c r="I7851" s="206" t="s">
        <v>63</v>
      </c>
    </row>
    <row r="7852" spans="1:9" ht="15" hidden="1" customHeight="1">
      <c r="A7852" s="205">
        <v>45595</v>
      </c>
      <c r="B7852" s="723" t="s">
        <v>6258</v>
      </c>
      <c r="C7852" s="206" t="s">
        <v>146</v>
      </c>
      <c r="D7852" s="211">
        <v>-23800</v>
      </c>
      <c r="E7852" s="207">
        <v>45597</v>
      </c>
      <c r="F7852" s="206" t="s">
        <v>130</v>
      </c>
      <c r="G7852" s="206" t="s">
        <v>257</v>
      </c>
      <c r="H7852" s="262" t="s">
        <v>1138</v>
      </c>
      <c r="I7852" s="206" t="s">
        <v>63</v>
      </c>
    </row>
    <row r="7853" spans="1:9" ht="15" hidden="1" customHeight="1">
      <c r="A7853" s="205">
        <v>45595</v>
      </c>
      <c r="B7853" s="723" t="s">
        <v>6259</v>
      </c>
      <c r="C7853" s="206" t="s">
        <v>146</v>
      </c>
      <c r="D7853" s="211">
        <v>-50000</v>
      </c>
      <c r="E7853" s="207">
        <v>45597</v>
      </c>
      <c r="F7853" s="206" t="s">
        <v>130</v>
      </c>
      <c r="G7853" s="206" t="s">
        <v>257</v>
      </c>
      <c r="H7853" s="262" t="s">
        <v>1138</v>
      </c>
      <c r="I7853" s="206" t="s">
        <v>63</v>
      </c>
    </row>
    <row r="7854" spans="1:9" ht="15" hidden="1" customHeight="1">
      <c r="A7854" s="205">
        <v>45596</v>
      </c>
      <c r="B7854" s="723" t="s">
        <v>6252</v>
      </c>
      <c r="C7854" s="206" t="s">
        <v>146</v>
      </c>
      <c r="D7854" s="211">
        <v>-24000</v>
      </c>
      <c r="E7854" s="207">
        <v>45597</v>
      </c>
      <c r="F7854" s="206" t="s">
        <v>130</v>
      </c>
      <c r="G7854" s="206" t="s">
        <v>257</v>
      </c>
      <c r="H7854" s="262" t="s">
        <v>1138</v>
      </c>
      <c r="I7854" s="206" t="s">
        <v>63</v>
      </c>
    </row>
    <row r="7855" spans="1:9" ht="15" hidden="1" customHeight="1">
      <c r="A7855" s="205">
        <v>45597</v>
      </c>
      <c r="B7855" s="723" t="s">
        <v>6259</v>
      </c>
      <c r="C7855" s="206" t="s">
        <v>146</v>
      </c>
      <c r="D7855" s="211">
        <v>-40000</v>
      </c>
      <c r="E7855" s="207">
        <v>45597</v>
      </c>
      <c r="F7855" s="206" t="s">
        <v>130</v>
      </c>
      <c r="G7855" s="206" t="s">
        <v>257</v>
      </c>
      <c r="H7855" s="262" t="s">
        <v>1138</v>
      </c>
      <c r="I7855" s="206" t="s">
        <v>63</v>
      </c>
    </row>
    <row r="7856" spans="1:9" ht="15" hidden="1" customHeight="1">
      <c r="A7856" s="205">
        <v>45597</v>
      </c>
      <c r="B7856" s="723" t="s">
        <v>6257</v>
      </c>
      <c r="C7856" s="206" t="s">
        <v>146</v>
      </c>
      <c r="D7856" s="211">
        <v>-25000</v>
      </c>
      <c r="E7856" s="207">
        <v>45597</v>
      </c>
      <c r="F7856" s="206" t="s">
        <v>130</v>
      </c>
      <c r="G7856" s="206" t="s">
        <v>257</v>
      </c>
      <c r="H7856" s="262" t="s">
        <v>1138</v>
      </c>
      <c r="I7856" s="206" t="s">
        <v>63</v>
      </c>
    </row>
    <row r="7857" spans="1:9" ht="15" hidden="1" customHeight="1">
      <c r="A7857" s="205">
        <v>45597</v>
      </c>
      <c r="B7857" s="723" t="s">
        <v>6258</v>
      </c>
      <c r="C7857" s="206" t="s">
        <v>146</v>
      </c>
      <c r="D7857" s="211">
        <v>-23900</v>
      </c>
      <c r="E7857" s="207">
        <v>45597</v>
      </c>
      <c r="F7857" s="206" t="s">
        <v>130</v>
      </c>
      <c r="G7857" s="206" t="s">
        <v>257</v>
      </c>
      <c r="H7857" s="262" t="s">
        <v>1138</v>
      </c>
      <c r="I7857" s="206" t="s">
        <v>63</v>
      </c>
    </row>
    <row r="7858" spans="1:9" ht="15" hidden="1" customHeight="1">
      <c r="A7858" s="205">
        <v>45574</v>
      </c>
      <c r="B7858" s="722" t="s">
        <v>6258</v>
      </c>
      <c r="C7858" s="206" t="s">
        <v>146</v>
      </c>
      <c r="D7858" s="211">
        <v>-23800</v>
      </c>
      <c r="E7858" s="207">
        <v>45597</v>
      </c>
      <c r="F7858" s="206" t="s">
        <v>130</v>
      </c>
      <c r="G7858" s="206" t="s">
        <v>257</v>
      </c>
      <c r="H7858" s="262" t="s">
        <v>1138</v>
      </c>
      <c r="I7858" s="206" t="s">
        <v>63</v>
      </c>
    </row>
    <row r="7859" spans="1:9" ht="15" hidden="1" customHeight="1">
      <c r="A7859" s="205">
        <v>45575</v>
      </c>
      <c r="B7859" s="722" t="s">
        <v>6252</v>
      </c>
      <c r="C7859" s="206" t="s">
        <v>146</v>
      </c>
      <c r="D7859" s="211">
        <v>-15000</v>
      </c>
      <c r="E7859" s="207">
        <v>45597</v>
      </c>
      <c r="F7859" s="206" t="s">
        <v>130</v>
      </c>
      <c r="G7859" s="206" t="s">
        <v>257</v>
      </c>
      <c r="H7859" s="262" t="s">
        <v>1138</v>
      </c>
      <c r="I7859" s="206" t="s">
        <v>63</v>
      </c>
    </row>
    <row r="7860" spans="1:9" ht="15" hidden="1" customHeight="1">
      <c r="A7860" s="205">
        <v>45575</v>
      </c>
      <c r="B7860" s="722" t="s">
        <v>6252</v>
      </c>
      <c r="C7860" s="206" t="s">
        <v>146</v>
      </c>
      <c r="D7860" s="211">
        <v>-16000</v>
      </c>
      <c r="E7860" s="207">
        <v>45597</v>
      </c>
      <c r="F7860" s="206" t="s">
        <v>130</v>
      </c>
      <c r="G7860" s="206" t="s">
        <v>257</v>
      </c>
      <c r="H7860" s="262" t="s">
        <v>1138</v>
      </c>
      <c r="I7860" s="206" t="s">
        <v>63</v>
      </c>
    </row>
    <row r="7861" spans="1:9" ht="15" hidden="1" customHeight="1">
      <c r="A7861" s="205">
        <v>45575</v>
      </c>
      <c r="B7861" s="722" t="s">
        <v>6260</v>
      </c>
      <c r="C7861" s="206" t="s">
        <v>146</v>
      </c>
      <c r="D7861" s="211">
        <v>-40200</v>
      </c>
      <c r="E7861" s="207">
        <v>45597</v>
      </c>
      <c r="F7861" s="206" t="s">
        <v>130</v>
      </c>
      <c r="G7861" s="206" t="s">
        <v>257</v>
      </c>
      <c r="H7861" s="262" t="s">
        <v>1138</v>
      </c>
      <c r="I7861" s="206" t="s">
        <v>63</v>
      </c>
    </row>
    <row r="7862" spans="1:9" ht="15" hidden="1" customHeight="1">
      <c r="A7862" s="205">
        <v>45576</v>
      </c>
      <c r="B7862" s="722" t="s">
        <v>6259</v>
      </c>
      <c r="C7862" s="206" t="s">
        <v>146</v>
      </c>
      <c r="D7862" s="211">
        <v>-70000</v>
      </c>
      <c r="E7862" s="207">
        <v>45597</v>
      </c>
      <c r="F7862" s="206" t="s">
        <v>130</v>
      </c>
      <c r="G7862" s="206" t="s">
        <v>257</v>
      </c>
      <c r="H7862" s="262" t="s">
        <v>1138</v>
      </c>
      <c r="I7862" s="206" t="s">
        <v>63</v>
      </c>
    </row>
    <row r="7863" spans="1:9" ht="15" hidden="1" customHeight="1">
      <c r="A7863" s="205">
        <v>45576</v>
      </c>
      <c r="B7863" s="722" t="s">
        <v>6261</v>
      </c>
      <c r="C7863" s="206" t="s">
        <v>146</v>
      </c>
      <c r="D7863" s="211">
        <v>-17000</v>
      </c>
      <c r="E7863" s="207">
        <v>45597</v>
      </c>
      <c r="F7863" s="206" t="s">
        <v>130</v>
      </c>
      <c r="G7863" s="206" t="s">
        <v>257</v>
      </c>
      <c r="H7863" s="262" t="s">
        <v>1138</v>
      </c>
      <c r="I7863" s="206" t="s">
        <v>63</v>
      </c>
    </row>
    <row r="7864" spans="1:9" ht="15" hidden="1" customHeight="1">
      <c r="A7864" s="205">
        <v>45576</v>
      </c>
      <c r="B7864" s="722" t="s">
        <v>6257</v>
      </c>
      <c r="C7864" s="206" t="s">
        <v>146</v>
      </c>
      <c r="D7864" s="211">
        <v>-25000</v>
      </c>
      <c r="E7864" s="207">
        <v>45597</v>
      </c>
      <c r="F7864" s="206" t="s">
        <v>130</v>
      </c>
      <c r="G7864" s="206" t="s">
        <v>257</v>
      </c>
      <c r="H7864" s="262" t="s">
        <v>1138</v>
      </c>
      <c r="I7864" s="206" t="s">
        <v>63</v>
      </c>
    </row>
    <row r="7865" spans="1:9" ht="15" hidden="1" customHeight="1">
      <c r="A7865" s="205">
        <v>45576</v>
      </c>
      <c r="B7865" s="722" t="s">
        <v>6258</v>
      </c>
      <c r="C7865" s="206" t="s">
        <v>146</v>
      </c>
      <c r="D7865" s="211">
        <v>-23800</v>
      </c>
      <c r="E7865" s="207">
        <v>45597</v>
      </c>
      <c r="F7865" s="206" t="s">
        <v>130</v>
      </c>
      <c r="G7865" s="206" t="s">
        <v>257</v>
      </c>
      <c r="H7865" s="262" t="s">
        <v>1138</v>
      </c>
      <c r="I7865" s="206" t="s">
        <v>63</v>
      </c>
    </row>
    <row r="7866" spans="1:9" s="466" customFormat="1" ht="15" hidden="1" customHeight="1">
      <c r="A7866" s="205">
        <v>45602</v>
      </c>
      <c r="B7866" s="725" t="s">
        <v>6262</v>
      </c>
      <c r="C7866" s="725" t="s">
        <v>146</v>
      </c>
      <c r="D7866" s="726">
        <v>-12000</v>
      </c>
      <c r="E7866" s="207">
        <v>45597</v>
      </c>
      <c r="F7866" s="725" t="s">
        <v>109</v>
      </c>
      <c r="G7866" s="725" t="s">
        <v>10</v>
      </c>
      <c r="H7866" s="725" t="s">
        <v>6263</v>
      </c>
      <c r="I7866" s="725" t="s">
        <v>6264</v>
      </c>
    </row>
    <row r="7867" spans="1:9" ht="15" hidden="1" customHeight="1">
      <c r="A7867" s="205">
        <v>45603</v>
      </c>
      <c r="B7867" s="208" t="s">
        <v>6265</v>
      </c>
      <c r="C7867" s="206" t="s">
        <v>146</v>
      </c>
      <c r="D7867" s="726">
        <v>-3500</v>
      </c>
      <c r="E7867" s="207">
        <v>45597</v>
      </c>
      <c r="F7867" s="725" t="s">
        <v>109</v>
      </c>
      <c r="G7867" s="201" t="s">
        <v>581</v>
      </c>
      <c r="H7867" s="206" t="s">
        <v>6266</v>
      </c>
      <c r="I7867" s="206" t="s">
        <v>5857</v>
      </c>
    </row>
    <row r="7868" spans="1:9" ht="15" hidden="1" customHeight="1">
      <c r="A7868" s="205">
        <v>45603</v>
      </c>
      <c r="B7868" s="208" t="s">
        <v>6265</v>
      </c>
      <c r="C7868" s="206" t="s">
        <v>146</v>
      </c>
      <c r="D7868" s="726">
        <v>-3500</v>
      </c>
      <c r="E7868" s="207">
        <v>45597</v>
      </c>
      <c r="F7868" s="725" t="s">
        <v>109</v>
      </c>
      <c r="G7868" s="206" t="s">
        <v>10</v>
      </c>
      <c r="H7868" s="206" t="s">
        <v>6266</v>
      </c>
      <c r="I7868" s="206" t="s">
        <v>5857</v>
      </c>
    </row>
    <row r="7869" spans="1:9" ht="15" hidden="1" customHeight="1">
      <c r="A7869" s="205">
        <v>45603</v>
      </c>
      <c r="B7869" s="208" t="s">
        <v>6267</v>
      </c>
      <c r="C7869" s="206" t="s">
        <v>146</v>
      </c>
      <c r="D7869" s="726">
        <v>-10000</v>
      </c>
      <c r="E7869" s="207">
        <v>45597</v>
      </c>
      <c r="F7869" s="725" t="s">
        <v>109</v>
      </c>
      <c r="G7869" s="201" t="s">
        <v>581</v>
      </c>
      <c r="H7869" s="206" t="s">
        <v>6266</v>
      </c>
      <c r="I7869" s="206" t="s">
        <v>5857</v>
      </c>
    </row>
    <row r="7870" spans="1:9" ht="15" hidden="1" customHeight="1">
      <c r="A7870" s="205">
        <v>45603</v>
      </c>
      <c r="B7870" s="208" t="s">
        <v>6267</v>
      </c>
      <c r="C7870" s="206" t="s">
        <v>146</v>
      </c>
      <c r="D7870" s="726">
        <v>-10000</v>
      </c>
      <c r="E7870" s="207">
        <v>45597</v>
      </c>
      <c r="F7870" s="725" t="s">
        <v>109</v>
      </c>
      <c r="G7870" s="206" t="s">
        <v>10</v>
      </c>
      <c r="H7870" s="206" t="s">
        <v>6266</v>
      </c>
      <c r="I7870" s="206" t="s">
        <v>5857</v>
      </c>
    </row>
    <row r="7871" spans="1:9" ht="15" hidden="1" customHeight="1">
      <c r="A7871" s="205">
        <v>45603</v>
      </c>
      <c r="B7871" s="208" t="s">
        <v>3535</v>
      </c>
      <c r="C7871" s="206" t="s">
        <v>146</v>
      </c>
      <c r="D7871" s="726">
        <v>-8500</v>
      </c>
      <c r="E7871" s="207">
        <v>45597</v>
      </c>
      <c r="F7871" s="725" t="s">
        <v>109</v>
      </c>
      <c r="G7871" s="201" t="s">
        <v>581</v>
      </c>
      <c r="H7871" s="206" t="s">
        <v>6266</v>
      </c>
      <c r="I7871" s="206" t="s">
        <v>5857</v>
      </c>
    </row>
    <row r="7872" spans="1:9" ht="15" hidden="1" customHeight="1">
      <c r="A7872" s="205">
        <v>45603</v>
      </c>
      <c r="B7872" s="208" t="s">
        <v>3535</v>
      </c>
      <c r="C7872" s="206" t="s">
        <v>146</v>
      </c>
      <c r="D7872" s="726">
        <v>-8500</v>
      </c>
      <c r="E7872" s="207">
        <v>45597</v>
      </c>
      <c r="F7872" s="725" t="s">
        <v>109</v>
      </c>
      <c r="G7872" s="206" t="s">
        <v>10</v>
      </c>
      <c r="H7872" s="206" t="s">
        <v>6266</v>
      </c>
      <c r="I7872" s="206" t="s">
        <v>5857</v>
      </c>
    </row>
    <row r="7873" spans="1:9" ht="15" hidden="1" customHeight="1">
      <c r="A7873" s="205">
        <v>45603</v>
      </c>
      <c r="B7873" s="208" t="s">
        <v>268</v>
      </c>
      <c r="C7873" s="206" t="s">
        <v>146</v>
      </c>
      <c r="D7873" s="726">
        <v>-5000</v>
      </c>
      <c r="E7873" s="207">
        <v>45597</v>
      </c>
      <c r="F7873" s="725" t="s">
        <v>109</v>
      </c>
      <c r="G7873" s="201" t="s">
        <v>581</v>
      </c>
      <c r="H7873" s="206" t="s">
        <v>6266</v>
      </c>
      <c r="I7873" s="206" t="s">
        <v>5857</v>
      </c>
    </row>
    <row r="7874" spans="1:9" ht="15" hidden="1" customHeight="1">
      <c r="A7874" s="205">
        <v>45603</v>
      </c>
      <c r="B7874" s="208" t="s">
        <v>268</v>
      </c>
      <c r="C7874" s="206" t="s">
        <v>146</v>
      </c>
      <c r="D7874" s="726">
        <v>-5000</v>
      </c>
      <c r="E7874" s="207">
        <v>45597</v>
      </c>
      <c r="F7874" s="725" t="s">
        <v>109</v>
      </c>
      <c r="G7874" s="206" t="s">
        <v>10</v>
      </c>
      <c r="H7874" s="206" t="s">
        <v>6266</v>
      </c>
      <c r="I7874" s="206" t="s">
        <v>5857</v>
      </c>
    </row>
    <row r="7875" spans="1:9" ht="15" hidden="1" customHeight="1">
      <c r="A7875" s="205">
        <v>45604</v>
      </c>
      <c r="B7875" s="208" t="s">
        <v>2663</v>
      </c>
      <c r="C7875" s="206" t="s">
        <v>146</v>
      </c>
      <c r="D7875" s="726">
        <v>-49000</v>
      </c>
      <c r="E7875" s="207">
        <v>45597</v>
      </c>
      <c r="F7875" s="206" t="s">
        <v>109</v>
      </c>
      <c r="G7875" s="208" t="s">
        <v>4986</v>
      </c>
      <c r="H7875" s="81" t="s">
        <v>138</v>
      </c>
      <c r="I7875" s="206"/>
    </row>
    <row r="7876" spans="1:9" ht="15" hidden="1" customHeight="1">
      <c r="A7876" s="205">
        <v>45604</v>
      </c>
      <c r="B7876" s="208" t="s">
        <v>2663</v>
      </c>
      <c r="C7876" s="206" t="s">
        <v>146</v>
      </c>
      <c r="D7876" s="726">
        <v>-70000</v>
      </c>
      <c r="E7876" s="207">
        <v>45597</v>
      </c>
      <c r="F7876" s="206" t="s">
        <v>110</v>
      </c>
      <c r="G7876" s="208" t="s">
        <v>5469</v>
      </c>
      <c r="H7876" s="81" t="s">
        <v>138</v>
      </c>
      <c r="I7876" s="206"/>
    </row>
    <row r="7877" spans="1:9" ht="15" hidden="1" customHeight="1">
      <c r="A7877" s="205">
        <v>45604</v>
      </c>
      <c r="B7877" s="208" t="s">
        <v>2663</v>
      </c>
      <c r="C7877" s="206" t="s">
        <v>146</v>
      </c>
      <c r="D7877" s="726">
        <v>-21000</v>
      </c>
      <c r="E7877" s="207">
        <v>45597</v>
      </c>
      <c r="F7877" s="206" t="s">
        <v>110</v>
      </c>
      <c r="G7877" s="208" t="s">
        <v>4294</v>
      </c>
      <c r="H7877" s="81" t="s">
        <v>138</v>
      </c>
      <c r="I7877" s="720" t="s">
        <v>5410</v>
      </c>
    </row>
    <row r="7878" spans="1:9" ht="15" hidden="1" customHeight="1">
      <c r="A7878" s="205">
        <v>45604</v>
      </c>
      <c r="B7878" s="208" t="s">
        <v>2663</v>
      </c>
      <c r="C7878" s="206" t="s">
        <v>146</v>
      </c>
      <c r="D7878" s="726">
        <v>-7000</v>
      </c>
      <c r="E7878" s="207">
        <v>45597</v>
      </c>
      <c r="F7878" s="206" t="s">
        <v>130</v>
      </c>
      <c r="G7878" s="206" t="s">
        <v>130</v>
      </c>
      <c r="H7878" s="81" t="s">
        <v>138</v>
      </c>
      <c r="I7878" s="206"/>
    </row>
    <row r="7879" spans="1:9" ht="15" hidden="1" customHeight="1">
      <c r="A7879" s="205">
        <v>45604</v>
      </c>
      <c r="B7879" s="208" t="s">
        <v>2663</v>
      </c>
      <c r="C7879" s="206" t="s">
        <v>146</v>
      </c>
      <c r="D7879" s="726">
        <v>-14000</v>
      </c>
      <c r="E7879" s="207">
        <v>45597</v>
      </c>
      <c r="F7879" s="206" t="s">
        <v>110</v>
      </c>
      <c r="G7879" s="208" t="s">
        <v>4990</v>
      </c>
      <c r="H7879" s="81" t="s">
        <v>138</v>
      </c>
      <c r="I7879" s="206"/>
    </row>
    <row r="7880" spans="1:9" ht="15" hidden="1" customHeight="1">
      <c r="A7880" s="205">
        <v>45604</v>
      </c>
      <c r="B7880" s="208" t="s">
        <v>2663</v>
      </c>
      <c r="C7880" s="206" t="s">
        <v>146</v>
      </c>
      <c r="D7880" s="726">
        <v>-14000</v>
      </c>
      <c r="E7880" s="207">
        <v>45597</v>
      </c>
      <c r="F7880" s="206" t="s">
        <v>109</v>
      </c>
      <c r="G7880" s="201" t="s">
        <v>581</v>
      </c>
      <c r="H7880" s="81" t="s">
        <v>138</v>
      </c>
      <c r="I7880" s="206"/>
    </row>
    <row r="7881" spans="1:9" ht="15" hidden="1" customHeight="1">
      <c r="A7881" s="205">
        <v>45602</v>
      </c>
      <c r="B7881" s="208" t="s">
        <v>6268</v>
      </c>
      <c r="C7881" s="206" t="s">
        <v>146</v>
      </c>
      <c r="D7881" s="726">
        <v>-4640</v>
      </c>
      <c r="E7881" s="207">
        <v>45597</v>
      </c>
      <c r="F7881" s="206" t="s">
        <v>109</v>
      </c>
      <c r="G7881" s="208" t="s">
        <v>4986</v>
      </c>
      <c r="H7881" s="208" t="s">
        <v>175</v>
      </c>
      <c r="I7881" s="206" t="s">
        <v>5430</v>
      </c>
    </row>
    <row r="7882" spans="1:9" ht="15" hidden="1" customHeight="1">
      <c r="A7882" s="205">
        <v>45602</v>
      </c>
      <c r="B7882" s="208" t="s">
        <v>6269</v>
      </c>
      <c r="C7882" s="206" t="s">
        <v>146</v>
      </c>
      <c r="D7882" s="726">
        <v>-5300</v>
      </c>
      <c r="E7882" s="207">
        <v>45597</v>
      </c>
      <c r="F7882" s="206" t="s">
        <v>110</v>
      </c>
      <c r="G7882" s="208" t="s">
        <v>4990</v>
      </c>
      <c r="H7882" s="208" t="s">
        <v>175</v>
      </c>
      <c r="I7882" s="206" t="s">
        <v>5430</v>
      </c>
    </row>
    <row r="7883" spans="1:9" ht="15" hidden="1" customHeight="1">
      <c r="A7883" s="205">
        <v>45603</v>
      </c>
      <c r="B7883" s="208" t="s">
        <v>6270</v>
      </c>
      <c r="C7883" s="206" t="s">
        <v>146</v>
      </c>
      <c r="D7883" s="726">
        <v>-39100</v>
      </c>
      <c r="E7883" s="207">
        <v>45597</v>
      </c>
      <c r="F7883" s="206" t="s">
        <v>109</v>
      </c>
      <c r="G7883" s="208" t="s">
        <v>4986</v>
      </c>
      <c r="H7883" s="208" t="s">
        <v>175</v>
      </c>
      <c r="I7883" s="206" t="s">
        <v>5430</v>
      </c>
    </row>
    <row r="7884" spans="1:9" ht="15" hidden="1" customHeight="1">
      <c r="A7884" s="205">
        <v>45603</v>
      </c>
      <c r="B7884" s="208" t="s">
        <v>6271</v>
      </c>
      <c r="C7884" s="206" t="s">
        <v>146</v>
      </c>
      <c r="D7884" s="726">
        <v>-31300</v>
      </c>
      <c r="E7884" s="207">
        <v>45597</v>
      </c>
      <c r="F7884" s="206" t="s">
        <v>130</v>
      </c>
      <c r="G7884" s="206" t="s">
        <v>130</v>
      </c>
      <c r="H7884" s="206" t="s">
        <v>2444</v>
      </c>
      <c r="I7884" s="206" t="s">
        <v>5430</v>
      </c>
    </row>
    <row r="7885" spans="1:9" ht="15" hidden="1" customHeight="1">
      <c r="A7885" s="205">
        <v>45603</v>
      </c>
      <c r="B7885" s="208" t="s">
        <v>6272</v>
      </c>
      <c r="C7885" s="206" t="s">
        <v>146</v>
      </c>
      <c r="D7885" s="726">
        <v>-10000</v>
      </c>
      <c r="E7885" s="207">
        <v>45597</v>
      </c>
      <c r="F7885" s="206" t="s">
        <v>207</v>
      </c>
      <c r="G7885" s="206" t="s">
        <v>2228</v>
      </c>
      <c r="H7885" s="201" t="s">
        <v>416</v>
      </c>
      <c r="I7885" s="206" t="s">
        <v>5430</v>
      </c>
    </row>
    <row r="7886" spans="1:9" ht="15" hidden="1" customHeight="1">
      <c r="A7886" s="205">
        <v>45603</v>
      </c>
      <c r="B7886" s="208" t="s">
        <v>6273</v>
      </c>
      <c r="C7886" s="206" t="s">
        <v>146</v>
      </c>
      <c r="D7886" s="726">
        <v>-7000</v>
      </c>
      <c r="E7886" s="207">
        <v>45597</v>
      </c>
      <c r="F7886" s="206" t="s">
        <v>110</v>
      </c>
      <c r="G7886" s="208" t="s">
        <v>5469</v>
      </c>
      <c r="H7886" s="81" t="s">
        <v>138</v>
      </c>
      <c r="I7886" s="206" t="s">
        <v>5430</v>
      </c>
    </row>
    <row r="7887" spans="1:9" ht="15" hidden="1" customHeight="1">
      <c r="A7887" s="205">
        <v>45603</v>
      </c>
      <c r="B7887" s="208" t="s">
        <v>6274</v>
      </c>
      <c r="C7887" s="206" t="s">
        <v>146</v>
      </c>
      <c r="D7887" s="726">
        <v>-200000</v>
      </c>
      <c r="E7887" s="207">
        <v>45597</v>
      </c>
      <c r="F7887" s="206" t="s">
        <v>110</v>
      </c>
      <c r="G7887" s="208" t="s">
        <v>4990</v>
      </c>
      <c r="H7887" s="208" t="s">
        <v>175</v>
      </c>
      <c r="I7887" s="206" t="s">
        <v>5430</v>
      </c>
    </row>
    <row r="7888" spans="1:9" ht="15" hidden="1" customHeight="1">
      <c r="A7888" s="205">
        <v>45604</v>
      </c>
      <c r="B7888" s="208" t="s">
        <v>6275</v>
      </c>
      <c r="C7888" s="206" t="s">
        <v>146</v>
      </c>
      <c r="D7888" s="726">
        <v>-15200</v>
      </c>
      <c r="E7888" s="207">
        <v>45597</v>
      </c>
      <c r="F7888" s="206" t="s">
        <v>110</v>
      </c>
      <c r="G7888" s="208" t="s">
        <v>5469</v>
      </c>
      <c r="H7888" s="208" t="s">
        <v>175</v>
      </c>
      <c r="I7888" s="206" t="s">
        <v>5430</v>
      </c>
    </row>
    <row r="7889" spans="1:9" ht="15" hidden="1" customHeight="1">
      <c r="A7889" s="205">
        <v>45604</v>
      </c>
      <c r="B7889" s="208" t="s">
        <v>6148</v>
      </c>
      <c r="C7889" s="206" t="s">
        <v>146</v>
      </c>
      <c r="D7889" s="726">
        <v>-4500</v>
      </c>
      <c r="E7889" s="207">
        <v>45597</v>
      </c>
      <c r="F7889" s="206" t="s">
        <v>109</v>
      </c>
      <c r="G7889" s="208" t="s">
        <v>4986</v>
      </c>
      <c r="H7889" s="208" t="s">
        <v>175</v>
      </c>
      <c r="I7889" s="206" t="s">
        <v>5430</v>
      </c>
    </row>
    <row r="7890" spans="1:9" ht="15" hidden="1" customHeight="1">
      <c r="A7890" s="205">
        <v>45604</v>
      </c>
      <c r="B7890" s="208" t="s">
        <v>6276</v>
      </c>
      <c r="C7890" s="206" t="s">
        <v>146</v>
      </c>
      <c r="D7890" s="726">
        <v>-38500</v>
      </c>
      <c r="E7890" s="207">
        <v>45597</v>
      </c>
      <c r="F7890" s="206" t="s">
        <v>109</v>
      </c>
      <c r="G7890" s="208" t="s">
        <v>4986</v>
      </c>
      <c r="H7890" s="208" t="s">
        <v>175</v>
      </c>
      <c r="I7890" s="206" t="s">
        <v>5430</v>
      </c>
    </row>
    <row r="7891" spans="1:9" ht="15" hidden="1" customHeight="1">
      <c r="A7891" s="205">
        <v>45604</v>
      </c>
      <c r="B7891" s="208" t="s">
        <v>6277</v>
      </c>
      <c r="C7891" s="206" t="s">
        <v>146</v>
      </c>
      <c r="D7891" s="726">
        <v>-24199</v>
      </c>
      <c r="E7891" s="207">
        <v>45597</v>
      </c>
      <c r="F7891" s="206" t="s">
        <v>110</v>
      </c>
      <c r="G7891" s="208" t="s">
        <v>4990</v>
      </c>
      <c r="H7891" s="208" t="s">
        <v>175</v>
      </c>
      <c r="I7891" s="206" t="s">
        <v>5430</v>
      </c>
    </row>
    <row r="7892" spans="1:9" ht="15" hidden="1" customHeight="1">
      <c r="A7892" s="205">
        <v>45604</v>
      </c>
      <c r="B7892" s="208" t="s">
        <v>6278</v>
      </c>
      <c r="C7892" s="206" t="s">
        <v>146</v>
      </c>
      <c r="D7892" s="726">
        <v>-84000</v>
      </c>
      <c r="E7892" s="207">
        <v>45597</v>
      </c>
      <c r="F7892" s="206" t="s">
        <v>109</v>
      </c>
      <c r="G7892" s="208" t="s">
        <v>4986</v>
      </c>
      <c r="H7892" s="201" t="s">
        <v>416</v>
      </c>
      <c r="I7892" s="206" t="s">
        <v>5430</v>
      </c>
    </row>
    <row r="7893" spans="1:9" ht="15" hidden="1" customHeight="1">
      <c r="A7893" s="205">
        <v>45604</v>
      </c>
      <c r="B7893" s="208" t="s">
        <v>6279</v>
      </c>
      <c r="C7893" s="206" t="s">
        <v>146</v>
      </c>
      <c r="D7893" s="726">
        <v>-6500</v>
      </c>
      <c r="E7893" s="207">
        <v>45597</v>
      </c>
      <c r="F7893" s="206" t="s">
        <v>109</v>
      </c>
      <c r="G7893" s="208" t="s">
        <v>4986</v>
      </c>
      <c r="H7893" s="81" t="s">
        <v>138</v>
      </c>
      <c r="I7893" s="206" t="s">
        <v>5430</v>
      </c>
    </row>
    <row r="7894" spans="1:9" ht="15" hidden="1" customHeight="1">
      <c r="A7894" s="205">
        <v>45604</v>
      </c>
      <c r="B7894" s="208" t="s">
        <v>6280</v>
      </c>
      <c r="C7894" s="206" t="s">
        <v>146</v>
      </c>
      <c r="D7894" s="726">
        <v>-20000</v>
      </c>
      <c r="E7894" s="207">
        <v>45597</v>
      </c>
      <c r="F7894" s="206" t="s">
        <v>110</v>
      </c>
      <c r="G7894" s="208" t="s">
        <v>5469</v>
      </c>
      <c r="H7894" s="201" t="s">
        <v>416</v>
      </c>
      <c r="I7894" s="206" t="s">
        <v>5430</v>
      </c>
    </row>
    <row r="7895" spans="1:9" ht="15" hidden="1" customHeight="1">
      <c r="A7895" s="205">
        <v>45604</v>
      </c>
      <c r="B7895" s="208" t="s">
        <v>6281</v>
      </c>
      <c r="C7895" s="206" t="s">
        <v>146</v>
      </c>
      <c r="D7895" s="726">
        <v>-90000</v>
      </c>
      <c r="E7895" s="207">
        <v>45597</v>
      </c>
      <c r="F7895" s="206" t="s">
        <v>110</v>
      </c>
      <c r="G7895" s="208" t="s">
        <v>5469</v>
      </c>
      <c r="H7895" s="208" t="s">
        <v>175</v>
      </c>
      <c r="I7895" s="206" t="s">
        <v>5430</v>
      </c>
    </row>
    <row r="7896" spans="1:9" ht="15" hidden="1" customHeight="1">
      <c r="A7896" s="205">
        <v>45604</v>
      </c>
      <c r="B7896" s="208" t="s">
        <v>6282</v>
      </c>
      <c r="C7896" s="206" t="s">
        <v>146</v>
      </c>
      <c r="D7896" s="726">
        <v>-174349.99</v>
      </c>
      <c r="E7896" s="207">
        <v>45597</v>
      </c>
      <c r="F7896" s="206" t="s">
        <v>110</v>
      </c>
      <c r="G7896" s="208" t="s">
        <v>4990</v>
      </c>
      <c r="H7896" s="208" t="s">
        <v>175</v>
      </c>
      <c r="I7896" s="206" t="s">
        <v>5430</v>
      </c>
    </row>
    <row r="7897" spans="1:9" ht="15" hidden="1" customHeight="1">
      <c r="A7897" s="205">
        <v>45603</v>
      </c>
      <c r="B7897" s="208" t="s">
        <v>6283</v>
      </c>
      <c r="C7897" s="206" t="s">
        <v>146</v>
      </c>
      <c r="D7897" s="726">
        <v>-7000</v>
      </c>
      <c r="E7897" s="207">
        <v>45597</v>
      </c>
      <c r="F7897" s="206" t="s">
        <v>130</v>
      </c>
      <c r="G7897" s="206" t="s">
        <v>130</v>
      </c>
      <c r="H7897" s="206" t="s">
        <v>2444</v>
      </c>
      <c r="I7897" s="206" t="s">
        <v>59</v>
      </c>
    </row>
    <row r="7898" spans="1:9" ht="15" hidden="1" customHeight="1">
      <c r="A7898" s="205">
        <v>45608</v>
      </c>
      <c r="B7898" s="208" t="s">
        <v>2663</v>
      </c>
      <c r="C7898" s="206" t="s">
        <v>146</v>
      </c>
      <c r="D7898" s="726">
        <v>-21000</v>
      </c>
      <c r="E7898" s="207">
        <v>45597</v>
      </c>
      <c r="F7898" s="206" t="s">
        <v>109</v>
      </c>
      <c r="G7898" s="654" t="s">
        <v>5805</v>
      </c>
      <c r="H7898" s="81" t="s">
        <v>138</v>
      </c>
      <c r="I7898" s="206"/>
    </row>
    <row r="7899" spans="1:9" ht="15" hidden="1" customHeight="1">
      <c r="A7899" s="205">
        <v>45608</v>
      </c>
      <c r="B7899" s="208" t="s">
        <v>2663</v>
      </c>
      <c r="C7899" s="206" t="s">
        <v>146</v>
      </c>
      <c r="D7899" s="726">
        <v>-49000</v>
      </c>
      <c r="E7899" s="207">
        <v>45597</v>
      </c>
      <c r="F7899" s="206" t="s">
        <v>110</v>
      </c>
      <c r="G7899" s="208" t="s">
        <v>5469</v>
      </c>
      <c r="H7899" s="81" t="s">
        <v>138</v>
      </c>
      <c r="I7899" s="206"/>
    </row>
    <row r="7900" spans="1:9" ht="15" hidden="1" customHeight="1">
      <c r="A7900" s="205">
        <v>45608</v>
      </c>
      <c r="B7900" s="208" t="s">
        <v>2663</v>
      </c>
      <c r="C7900" s="206" t="s">
        <v>146</v>
      </c>
      <c r="D7900" s="726">
        <v>-7000</v>
      </c>
      <c r="E7900" s="207">
        <v>45597</v>
      </c>
      <c r="F7900" s="206" t="s">
        <v>207</v>
      </c>
      <c r="G7900" s="206" t="s">
        <v>2228</v>
      </c>
      <c r="H7900" s="81" t="s">
        <v>138</v>
      </c>
      <c r="I7900" s="206"/>
    </row>
    <row r="7901" spans="1:9" ht="15" hidden="1" customHeight="1">
      <c r="A7901" s="205">
        <v>45608</v>
      </c>
      <c r="B7901" s="208" t="s">
        <v>2663</v>
      </c>
      <c r="C7901" s="206" t="s">
        <v>146</v>
      </c>
      <c r="D7901" s="726">
        <v>-14000</v>
      </c>
      <c r="E7901" s="207">
        <v>45597</v>
      </c>
      <c r="F7901" s="206" t="s">
        <v>109</v>
      </c>
      <c r="G7901" s="201" t="s">
        <v>581</v>
      </c>
      <c r="H7901" s="81" t="s">
        <v>138</v>
      </c>
      <c r="I7901" s="206"/>
    </row>
    <row r="7902" spans="1:9" ht="15" hidden="1" customHeight="1">
      <c r="A7902" s="205">
        <v>45608</v>
      </c>
      <c r="B7902" s="208" t="s">
        <v>2663</v>
      </c>
      <c r="C7902" s="206" t="s">
        <v>146</v>
      </c>
      <c r="D7902" s="726">
        <v>-45664</v>
      </c>
      <c r="E7902" s="207">
        <v>45597</v>
      </c>
      <c r="F7902" s="206" t="s">
        <v>110</v>
      </c>
      <c r="G7902" s="208" t="s">
        <v>4990</v>
      </c>
      <c r="H7902" s="81" t="s">
        <v>138</v>
      </c>
      <c r="I7902" s="206"/>
    </row>
    <row r="7903" spans="1:9" ht="15" hidden="1" customHeight="1">
      <c r="A7903" s="205">
        <v>45608</v>
      </c>
      <c r="B7903" s="208" t="s">
        <v>2663</v>
      </c>
      <c r="C7903" s="206" t="s">
        <v>146</v>
      </c>
      <c r="D7903" s="726">
        <v>-7000</v>
      </c>
      <c r="E7903" s="207">
        <v>45597</v>
      </c>
      <c r="F7903" s="206" t="s">
        <v>109</v>
      </c>
      <c r="G7903" s="208" t="s">
        <v>4986</v>
      </c>
      <c r="H7903" s="81" t="s">
        <v>138</v>
      </c>
      <c r="I7903" s="206"/>
    </row>
    <row r="7904" spans="1:9" ht="15" hidden="1" customHeight="1">
      <c r="A7904" s="205">
        <v>45608</v>
      </c>
      <c r="B7904" s="208" t="s">
        <v>3187</v>
      </c>
      <c r="C7904" s="206" t="s">
        <v>4314</v>
      </c>
      <c r="D7904" s="211">
        <v>-1460</v>
      </c>
      <c r="E7904" s="207">
        <v>45597</v>
      </c>
      <c r="F7904" s="206" t="s">
        <v>110</v>
      </c>
      <c r="G7904" s="208" t="s">
        <v>4990</v>
      </c>
      <c r="H7904" s="81" t="s">
        <v>138</v>
      </c>
      <c r="I7904" s="206"/>
    </row>
    <row r="7905" spans="1:9" ht="15" hidden="1" customHeight="1">
      <c r="A7905" s="205">
        <v>45608</v>
      </c>
      <c r="B7905" s="208" t="s">
        <v>6284</v>
      </c>
      <c r="C7905" s="206" t="s">
        <v>4314</v>
      </c>
      <c r="D7905" s="211">
        <v>-876</v>
      </c>
      <c r="E7905" s="207">
        <v>45597</v>
      </c>
      <c r="F7905" s="206" t="s">
        <v>110</v>
      </c>
      <c r="G7905" s="208" t="s">
        <v>4990</v>
      </c>
      <c r="H7905" s="81" t="s">
        <v>138</v>
      </c>
      <c r="I7905" s="206"/>
    </row>
    <row r="7906" spans="1:9" ht="15" hidden="1" customHeight="1">
      <c r="A7906" s="205">
        <v>45608</v>
      </c>
      <c r="B7906" s="208" t="s">
        <v>6285</v>
      </c>
      <c r="C7906" s="206" t="s">
        <v>146</v>
      </c>
      <c r="D7906" s="726">
        <v>-7000</v>
      </c>
      <c r="E7906" s="207">
        <v>45597</v>
      </c>
      <c r="F7906" s="206" t="s">
        <v>130</v>
      </c>
      <c r="G7906" s="206" t="s">
        <v>130</v>
      </c>
      <c r="H7906" s="206" t="s">
        <v>2444</v>
      </c>
      <c r="I7906" s="206"/>
    </row>
    <row r="7907" spans="1:9" ht="15" hidden="1" customHeight="1">
      <c r="A7907" s="205">
        <v>45608</v>
      </c>
      <c r="B7907" s="208" t="s">
        <v>6286</v>
      </c>
      <c r="C7907" s="206" t="s">
        <v>146</v>
      </c>
      <c r="D7907" s="726">
        <v>-230000</v>
      </c>
      <c r="E7907" s="207">
        <v>45597</v>
      </c>
      <c r="F7907" s="206" t="s">
        <v>109</v>
      </c>
      <c r="G7907" s="601" t="s">
        <v>581</v>
      </c>
      <c r="I7907" s="206"/>
    </row>
    <row r="7908" spans="1:9" ht="15" hidden="1" customHeight="1">
      <c r="A7908" s="205">
        <v>45603</v>
      </c>
      <c r="B7908" s="208" t="s">
        <v>6287</v>
      </c>
      <c r="C7908" s="206" t="s">
        <v>146</v>
      </c>
      <c r="D7908" s="726">
        <v>-117700</v>
      </c>
      <c r="E7908" s="207">
        <v>45597</v>
      </c>
      <c r="F7908" s="206" t="s">
        <v>109</v>
      </c>
      <c r="G7908" s="201" t="s">
        <v>581</v>
      </c>
      <c r="H7908" s="714" t="s">
        <v>6134</v>
      </c>
      <c r="I7908" s="206" t="s">
        <v>5430</v>
      </c>
    </row>
    <row r="7909" spans="1:9" ht="15" hidden="1" customHeight="1">
      <c r="A7909" s="205">
        <v>45604</v>
      </c>
      <c r="B7909" s="208" t="s">
        <v>6288</v>
      </c>
      <c r="C7909" s="206" t="s">
        <v>146</v>
      </c>
      <c r="D7909" s="726">
        <v>-50000</v>
      </c>
      <c r="E7909" s="207">
        <v>45597</v>
      </c>
      <c r="F7909" s="206" t="s">
        <v>109</v>
      </c>
      <c r="G7909" s="206" t="s">
        <v>5990</v>
      </c>
      <c r="H7909" s="81" t="s">
        <v>138</v>
      </c>
      <c r="I7909" s="206" t="s">
        <v>5430</v>
      </c>
    </row>
    <row r="7910" spans="1:9" ht="15" hidden="1" customHeight="1">
      <c r="A7910" s="205">
        <v>45604</v>
      </c>
      <c r="B7910" s="208" t="s">
        <v>6289</v>
      </c>
      <c r="C7910" s="206" t="s">
        <v>146</v>
      </c>
      <c r="D7910" s="726">
        <v>-33399</v>
      </c>
      <c r="E7910" s="207">
        <v>45597</v>
      </c>
      <c r="F7910" s="206" t="s">
        <v>109</v>
      </c>
      <c r="G7910" s="201" t="s">
        <v>581</v>
      </c>
      <c r="H7910" s="714" t="s">
        <v>6134</v>
      </c>
      <c r="I7910" s="206" t="s">
        <v>5430</v>
      </c>
    </row>
    <row r="7911" spans="1:9" ht="15" hidden="1" customHeight="1">
      <c r="A7911" s="205">
        <v>45609</v>
      </c>
      <c r="B7911" s="208" t="s">
        <v>3846</v>
      </c>
      <c r="C7911" s="206" t="s">
        <v>146</v>
      </c>
      <c r="D7911" s="726">
        <v>-55952</v>
      </c>
      <c r="E7911" s="207">
        <v>45597</v>
      </c>
      <c r="F7911" s="206" t="s">
        <v>109</v>
      </c>
      <c r="G7911" s="201" t="s">
        <v>581</v>
      </c>
      <c r="I7911" s="206"/>
    </row>
    <row r="7912" spans="1:9" ht="15" hidden="1" customHeight="1">
      <c r="A7912" s="205">
        <v>45609</v>
      </c>
      <c r="B7912" s="208" t="s">
        <v>3846</v>
      </c>
      <c r="C7912" s="206" t="s">
        <v>146</v>
      </c>
      <c r="D7912" s="726">
        <v>-36000</v>
      </c>
      <c r="E7912" s="207">
        <v>45597</v>
      </c>
      <c r="F7912" s="206" t="s">
        <v>109</v>
      </c>
      <c r="G7912" s="208" t="s">
        <v>4986</v>
      </c>
      <c r="H7912" s="81" t="s">
        <v>138</v>
      </c>
      <c r="I7912" s="206"/>
    </row>
    <row r="7913" spans="1:9" ht="15" hidden="1" customHeight="1">
      <c r="A7913" s="205">
        <v>45609</v>
      </c>
      <c r="B7913" s="208" t="s">
        <v>3846</v>
      </c>
      <c r="C7913" s="206" t="s">
        <v>146</v>
      </c>
      <c r="D7913" s="726">
        <v>-91000</v>
      </c>
      <c r="E7913" s="207">
        <v>45597</v>
      </c>
      <c r="F7913" s="206" t="s">
        <v>110</v>
      </c>
      <c r="G7913" s="208" t="s">
        <v>4990</v>
      </c>
      <c r="H7913" s="81" t="s">
        <v>138</v>
      </c>
      <c r="I7913" s="206"/>
    </row>
    <row r="7914" spans="1:9" ht="15" hidden="1" customHeight="1">
      <c r="A7914" s="205">
        <v>45609</v>
      </c>
      <c r="B7914" s="208" t="s">
        <v>3846</v>
      </c>
      <c r="C7914" s="206" t="s">
        <v>146</v>
      </c>
      <c r="D7914" s="726">
        <v>-37000</v>
      </c>
      <c r="E7914" s="207">
        <v>45597</v>
      </c>
      <c r="F7914" s="206" t="s">
        <v>109</v>
      </c>
      <c r="G7914" s="201" t="s">
        <v>581</v>
      </c>
      <c r="I7914" s="206"/>
    </row>
    <row r="7915" spans="1:9" ht="15" hidden="1" customHeight="1">
      <c r="A7915" s="205">
        <v>45609</v>
      </c>
      <c r="B7915" s="208" t="s">
        <v>3846</v>
      </c>
      <c r="C7915" s="206" t="s">
        <v>146</v>
      </c>
      <c r="D7915" s="726">
        <v>-7000</v>
      </c>
      <c r="E7915" s="207">
        <v>45597</v>
      </c>
      <c r="F7915" s="206" t="s">
        <v>130</v>
      </c>
      <c r="G7915" s="206" t="s">
        <v>130</v>
      </c>
      <c r="H7915" s="81" t="s">
        <v>138</v>
      </c>
      <c r="I7915" s="206"/>
    </row>
    <row r="7916" spans="1:9" ht="15" hidden="1" customHeight="1">
      <c r="A7916" s="205">
        <v>45609</v>
      </c>
      <c r="B7916" s="208" t="s">
        <v>3846</v>
      </c>
      <c r="C7916" s="206" t="s">
        <v>146</v>
      </c>
      <c r="D7916" s="726">
        <v>-22000</v>
      </c>
      <c r="E7916" s="207">
        <v>45597</v>
      </c>
      <c r="F7916" s="206" t="s">
        <v>110</v>
      </c>
      <c r="G7916" s="208" t="s">
        <v>5469</v>
      </c>
      <c r="H7916" s="81" t="s">
        <v>138</v>
      </c>
      <c r="I7916" s="206"/>
    </row>
    <row r="7917" spans="1:9" ht="15" hidden="1" customHeight="1">
      <c r="A7917" s="205">
        <v>45609</v>
      </c>
      <c r="B7917" s="208" t="s">
        <v>3958</v>
      </c>
      <c r="C7917" s="206" t="s">
        <v>4314</v>
      </c>
      <c r="D7917" s="211">
        <v>-2530</v>
      </c>
      <c r="E7917" s="207">
        <v>45597</v>
      </c>
      <c r="F7917" s="206" t="s">
        <v>109</v>
      </c>
      <c r="G7917" s="201" t="s">
        <v>581</v>
      </c>
      <c r="I7917" s="206"/>
    </row>
    <row r="7918" spans="1:9" ht="15" hidden="1" customHeight="1">
      <c r="A7918" s="205">
        <v>45609</v>
      </c>
      <c r="B7918" s="208" t="s">
        <v>6290</v>
      </c>
      <c r="C7918" s="206" t="s">
        <v>4314</v>
      </c>
      <c r="D7918" s="211">
        <v>-1518</v>
      </c>
      <c r="E7918" s="207">
        <v>45597</v>
      </c>
      <c r="F7918" s="206" t="s">
        <v>109</v>
      </c>
      <c r="G7918" s="201" t="s">
        <v>581</v>
      </c>
      <c r="I7918" s="720" t="s">
        <v>5410</v>
      </c>
    </row>
    <row r="7919" spans="1:9" ht="15" hidden="1" customHeight="1">
      <c r="A7919" s="205">
        <v>45609</v>
      </c>
      <c r="B7919" s="208" t="s">
        <v>6140</v>
      </c>
      <c r="C7919" s="206" t="s">
        <v>146</v>
      </c>
      <c r="D7919" s="726">
        <v>-12000</v>
      </c>
      <c r="E7919" s="207">
        <v>45597</v>
      </c>
      <c r="F7919" s="206" t="s">
        <v>110</v>
      </c>
      <c r="G7919" s="208" t="s">
        <v>5469</v>
      </c>
      <c r="H7919" s="81" t="s">
        <v>138</v>
      </c>
      <c r="I7919" s="206" t="s">
        <v>6291</v>
      </c>
    </row>
    <row r="7920" spans="1:9" ht="15" hidden="1" customHeight="1">
      <c r="A7920" s="205">
        <v>45609</v>
      </c>
      <c r="B7920" s="208" t="s">
        <v>6292</v>
      </c>
      <c r="C7920" s="206" t="s">
        <v>146</v>
      </c>
      <c r="D7920" s="726">
        <v>-12000</v>
      </c>
      <c r="E7920" s="207">
        <v>45597</v>
      </c>
      <c r="F7920" s="206" t="s">
        <v>110</v>
      </c>
      <c r="G7920" s="208" t="s">
        <v>4990</v>
      </c>
      <c r="H7920" s="81" t="s">
        <v>138</v>
      </c>
      <c r="I7920" s="206"/>
    </row>
    <row r="7921" spans="1:149" ht="15" hidden="1" customHeight="1">
      <c r="A7921" s="205">
        <v>45609</v>
      </c>
      <c r="B7921" s="208" t="s">
        <v>6140</v>
      </c>
      <c r="C7921" s="206" t="s">
        <v>146</v>
      </c>
      <c r="D7921" s="752">
        <v>-7200</v>
      </c>
      <c r="E7921" s="207">
        <v>45597</v>
      </c>
      <c r="F7921" s="206" t="s">
        <v>110</v>
      </c>
      <c r="G7921" s="208" t="s">
        <v>5469</v>
      </c>
      <c r="H7921" s="81" t="s">
        <v>138</v>
      </c>
      <c r="I7921" s="206"/>
    </row>
    <row r="7922" spans="1:149" ht="15" hidden="1" customHeight="1">
      <c r="A7922" s="205">
        <v>45609</v>
      </c>
      <c r="B7922" s="208" t="s">
        <v>6293</v>
      </c>
      <c r="C7922" s="206" t="s">
        <v>146</v>
      </c>
      <c r="D7922" s="752">
        <v>-7200</v>
      </c>
      <c r="E7922" s="207">
        <v>45597</v>
      </c>
      <c r="F7922" s="206" t="s">
        <v>109</v>
      </c>
      <c r="G7922" s="208" t="s">
        <v>4986</v>
      </c>
      <c r="H7922" s="81" t="s">
        <v>138</v>
      </c>
      <c r="I7922" s="206"/>
    </row>
    <row r="7923" spans="1:149" ht="15" hidden="1" customHeight="1">
      <c r="A7923" s="205">
        <v>45609</v>
      </c>
      <c r="B7923" s="208" t="s">
        <v>6294</v>
      </c>
      <c r="C7923" s="206" t="s">
        <v>146</v>
      </c>
      <c r="D7923" s="726">
        <v>-89900</v>
      </c>
      <c r="E7923" s="207">
        <v>45597</v>
      </c>
      <c r="F7923" s="206" t="s">
        <v>130</v>
      </c>
      <c r="G7923" s="206" t="s">
        <v>257</v>
      </c>
      <c r="H7923" s="262" t="s">
        <v>1138</v>
      </c>
      <c r="I7923" s="206"/>
    </row>
    <row r="7924" spans="1:149" ht="15" hidden="1" customHeight="1">
      <c r="A7924" s="205">
        <v>45610</v>
      </c>
      <c r="B7924" s="208" t="s">
        <v>6295</v>
      </c>
      <c r="C7924" s="206" t="s">
        <v>146</v>
      </c>
      <c r="D7924" s="726">
        <v>-73900</v>
      </c>
      <c r="E7924" s="207">
        <v>45597</v>
      </c>
      <c r="F7924" s="206" t="s">
        <v>130</v>
      </c>
      <c r="G7924" s="206" t="s">
        <v>130</v>
      </c>
      <c r="H7924" s="206" t="s">
        <v>323</v>
      </c>
      <c r="I7924" s="206"/>
    </row>
    <row r="7925" spans="1:149" ht="15" hidden="1" customHeight="1">
      <c r="A7925" s="205">
        <v>45610</v>
      </c>
      <c r="B7925" s="208" t="s">
        <v>6296</v>
      </c>
      <c r="C7925" s="206" t="s">
        <v>146</v>
      </c>
      <c r="D7925" s="726">
        <v>-204000</v>
      </c>
      <c r="E7925" s="207">
        <v>45597</v>
      </c>
      <c r="F7925" s="206" t="s">
        <v>130</v>
      </c>
      <c r="G7925" s="206" t="s">
        <v>130</v>
      </c>
      <c r="H7925" s="206" t="s">
        <v>2444</v>
      </c>
      <c r="I7925" s="206"/>
    </row>
    <row r="7926" spans="1:149" s="209" customFormat="1" ht="15" hidden="1" customHeight="1">
      <c r="A7926" s="468">
        <v>45604</v>
      </c>
      <c r="B7926" s="208" t="s">
        <v>6297</v>
      </c>
      <c r="C7926" s="208" t="s">
        <v>27</v>
      </c>
      <c r="D7926" s="784">
        <v>-34484051</v>
      </c>
      <c r="E7926" s="212">
        <v>45597</v>
      </c>
      <c r="F7926" s="208" t="s">
        <v>109</v>
      </c>
      <c r="G7926" s="649" t="s">
        <v>5906</v>
      </c>
      <c r="H7926" s="201" t="s">
        <v>418</v>
      </c>
      <c r="I7926" s="208"/>
    </row>
    <row r="7927" spans="1:149" ht="15" hidden="1" customHeight="1">
      <c r="A7927" s="205">
        <v>45608</v>
      </c>
      <c r="B7927" s="208" t="s">
        <v>6298</v>
      </c>
      <c r="C7927" s="720" t="s">
        <v>27</v>
      </c>
      <c r="D7927" s="784">
        <v>-606900</v>
      </c>
      <c r="E7927" s="727">
        <v>45597</v>
      </c>
      <c r="F7927" s="206" t="s">
        <v>109</v>
      </c>
      <c r="G7927" s="208" t="s">
        <v>4225</v>
      </c>
      <c r="H7927" s="201" t="s">
        <v>318</v>
      </c>
      <c r="I7927" s="206"/>
    </row>
    <row r="7928" spans="1:149" ht="15" hidden="1" customHeight="1">
      <c r="A7928" s="205">
        <v>45608</v>
      </c>
      <c r="B7928" s="208" t="s">
        <v>6299</v>
      </c>
      <c r="C7928" s="720" t="s">
        <v>27</v>
      </c>
      <c r="D7928" s="784">
        <v>-606900</v>
      </c>
      <c r="E7928" s="727">
        <v>45597</v>
      </c>
      <c r="F7928" s="206" t="s">
        <v>110</v>
      </c>
      <c r="G7928" s="208" t="s">
        <v>5469</v>
      </c>
      <c r="H7928" s="201" t="s">
        <v>1463</v>
      </c>
      <c r="I7928" s="206"/>
    </row>
    <row r="7929" spans="1:149" ht="15" hidden="1" customHeight="1">
      <c r="A7929" s="205">
        <v>45608</v>
      </c>
      <c r="B7929" s="208" t="s">
        <v>6300</v>
      </c>
      <c r="C7929" s="720" t="s">
        <v>27</v>
      </c>
      <c r="D7929" s="737">
        <v>13451225</v>
      </c>
      <c r="E7929" s="727">
        <v>45597</v>
      </c>
      <c r="F7929" s="206" t="s">
        <v>109</v>
      </c>
      <c r="G7929" s="206" t="s">
        <v>6301</v>
      </c>
      <c r="H7929" s="206" t="s">
        <v>461</v>
      </c>
      <c r="I7929" s="206"/>
    </row>
    <row r="7930" spans="1:149" ht="15" hidden="1" customHeight="1">
      <c r="A7930" s="205">
        <v>45608</v>
      </c>
      <c r="B7930" s="208" t="s">
        <v>4729</v>
      </c>
      <c r="C7930" s="720" t="s">
        <v>27</v>
      </c>
      <c r="D7930" s="737">
        <v>8363924.7300000004</v>
      </c>
      <c r="E7930" s="727">
        <v>45597</v>
      </c>
      <c r="F7930" s="206" t="s">
        <v>108</v>
      </c>
      <c r="I7930" s="206"/>
    </row>
    <row r="7931" spans="1:149" ht="15" hidden="1" customHeight="1">
      <c r="A7931" s="205">
        <v>45609</v>
      </c>
      <c r="B7931" s="208" t="s">
        <v>6302</v>
      </c>
      <c r="C7931" s="720" t="s">
        <v>27</v>
      </c>
      <c r="D7931" s="784">
        <v>-3564000</v>
      </c>
      <c r="E7931" s="727">
        <v>45597</v>
      </c>
      <c r="F7931" s="206" t="s">
        <v>110</v>
      </c>
      <c r="G7931" s="208" t="s">
        <v>5503</v>
      </c>
      <c r="H7931" s="201" t="s">
        <v>1166</v>
      </c>
      <c r="I7931" s="206"/>
    </row>
    <row r="7932" spans="1:149" s="209" customFormat="1" ht="15" hidden="1" customHeight="1">
      <c r="A7932" s="205">
        <v>45609</v>
      </c>
      <c r="B7932" s="208" t="s">
        <v>6303</v>
      </c>
      <c r="C7932" s="720" t="s">
        <v>27</v>
      </c>
      <c r="D7932" s="784">
        <v>-640000</v>
      </c>
      <c r="E7932" s="727">
        <v>45597</v>
      </c>
      <c r="F7932" s="206" t="s">
        <v>110</v>
      </c>
      <c r="G7932" s="208" t="s">
        <v>5469</v>
      </c>
      <c r="H7932" s="208" t="s">
        <v>212</v>
      </c>
      <c r="I7932" s="206"/>
      <c r="J7932" s="165"/>
      <c r="K7932" s="165"/>
      <c r="L7932" s="165"/>
      <c r="M7932" s="165"/>
      <c r="N7932" s="165"/>
      <c r="O7932" s="165"/>
      <c r="P7932" s="165"/>
      <c r="Q7932" s="165"/>
      <c r="R7932" s="165"/>
      <c r="S7932" s="165"/>
      <c r="T7932" s="165"/>
      <c r="U7932" s="165"/>
      <c r="V7932" s="165"/>
      <c r="W7932" s="165"/>
      <c r="X7932" s="165"/>
      <c r="Y7932" s="165"/>
      <c r="Z7932" s="165"/>
      <c r="AA7932" s="165"/>
      <c r="AB7932" s="165"/>
      <c r="AC7932" s="165"/>
      <c r="AD7932" s="165"/>
      <c r="AE7932" s="165"/>
      <c r="AF7932" s="165"/>
      <c r="AG7932" s="165"/>
      <c r="AH7932" s="165"/>
      <c r="AI7932" s="165"/>
      <c r="AJ7932" s="165"/>
      <c r="AK7932" s="165"/>
      <c r="AL7932" s="165"/>
      <c r="AM7932" s="165"/>
      <c r="AN7932" s="165"/>
      <c r="AO7932" s="165"/>
      <c r="AP7932" s="165"/>
      <c r="AQ7932" s="165"/>
      <c r="AR7932" s="165"/>
      <c r="AS7932" s="165"/>
      <c r="AT7932" s="165"/>
      <c r="AU7932" s="165"/>
      <c r="AV7932" s="165"/>
      <c r="AW7932" s="165"/>
      <c r="AX7932" s="165"/>
      <c r="AY7932" s="165"/>
      <c r="AZ7932" s="165"/>
      <c r="BA7932" s="165"/>
      <c r="BB7932" s="165"/>
      <c r="BC7932" s="165"/>
      <c r="BD7932" s="165"/>
      <c r="BE7932" s="165"/>
      <c r="BF7932" s="165"/>
      <c r="BG7932" s="165"/>
      <c r="BH7932" s="165"/>
      <c r="BI7932" s="165"/>
      <c r="BJ7932" s="165"/>
      <c r="BK7932" s="165"/>
      <c r="BL7932" s="165"/>
      <c r="BM7932" s="165"/>
      <c r="BN7932" s="165"/>
      <c r="BO7932" s="165"/>
      <c r="BP7932" s="165"/>
      <c r="BQ7932" s="165"/>
      <c r="BR7932" s="165"/>
      <c r="BS7932" s="165"/>
      <c r="BT7932" s="165"/>
      <c r="BU7932" s="165"/>
      <c r="BV7932" s="165"/>
      <c r="BW7932" s="165"/>
      <c r="BX7932" s="165"/>
      <c r="BY7932" s="165"/>
      <c r="BZ7932" s="165"/>
      <c r="CA7932" s="165"/>
      <c r="CB7932" s="165"/>
      <c r="CC7932" s="165"/>
      <c r="CD7932" s="165"/>
      <c r="CE7932" s="165"/>
      <c r="CF7932" s="165"/>
      <c r="CG7932" s="165"/>
      <c r="CH7932" s="165"/>
      <c r="CI7932" s="165"/>
      <c r="CJ7932" s="165"/>
      <c r="CK7932" s="165"/>
      <c r="CL7932" s="165"/>
      <c r="CM7932" s="165"/>
      <c r="CN7932" s="165"/>
      <c r="CO7932" s="165"/>
      <c r="CP7932" s="165"/>
      <c r="CQ7932" s="165"/>
      <c r="CR7932" s="165"/>
      <c r="CS7932" s="165"/>
      <c r="CT7932" s="165"/>
      <c r="CU7932" s="165"/>
      <c r="CV7932" s="165"/>
      <c r="CW7932" s="165"/>
      <c r="CX7932" s="165"/>
      <c r="CY7932" s="165"/>
      <c r="CZ7932" s="165"/>
      <c r="DA7932" s="165"/>
      <c r="DB7932" s="165"/>
      <c r="DC7932" s="165"/>
      <c r="DD7932" s="165"/>
      <c r="DE7932" s="165"/>
      <c r="DF7932" s="165"/>
      <c r="DG7932" s="165"/>
      <c r="DH7932" s="165"/>
      <c r="DI7932" s="165"/>
      <c r="DJ7932" s="165"/>
      <c r="DK7932" s="165"/>
      <c r="DL7932" s="165"/>
      <c r="DM7932" s="165"/>
      <c r="DN7932" s="165"/>
      <c r="DO7932" s="165"/>
      <c r="DP7932" s="165"/>
      <c r="DQ7932" s="165"/>
      <c r="DR7932" s="165"/>
      <c r="DS7932" s="165"/>
      <c r="DT7932" s="165"/>
      <c r="DU7932" s="165"/>
      <c r="DV7932" s="165"/>
      <c r="DW7932" s="165"/>
      <c r="DX7932" s="165"/>
      <c r="DY7932" s="165"/>
      <c r="DZ7932" s="165"/>
      <c r="EA7932" s="165"/>
      <c r="EB7932" s="165"/>
      <c r="EC7932" s="165"/>
      <c r="ED7932" s="165"/>
      <c r="EE7932" s="165"/>
      <c r="EF7932" s="165"/>
      <c r="EG7932" s="165"/>
      <c r="EH7932" s="165"/>
      <c r="EI7932" s="165"/>
      <c r="EJ7932" s="165"/>
      <c r="EK7932" s="165"/>
      <c r="EL7932" s="165"/>
      <c r="EM7932" s="165"/>
      <c r="EN7932" s="165"/>
      <c r="EO7932" s="165"/>
      <c r="EP7932" s="165"/>
      <c r="EQ7932" s="165"/>
      <c r="ER7932" s="165"/>
      <c r="ES7932" s="165"/>
    </row>
    <row r="7933" spans="1:149" ht="15" hidden="1" customHeight="1">
      <c r="A7933" s="205">
        <v>45609</v>
      </c>
      <c r="B7933" s="208" t="s">
        <v>6304</v>
      </c>
      <c r="C7933" s="208" t="s">
        <v>27</v>
      </c>
      <c r="D7933" s="784">
        <v>-1852933</v>
      </c>
      <c r="E7933" s="212">
        <v>45597</v>
      </c>
      <c r="F7933" s="208" t="s">
        <v>109</v>
      </c>
      <c r="G7933" s="649" t="s">
        <v>5906</v>
      </c>
      <c r="H7933" s="208" t="s">
        <v>212</v>
      </c>
      <c r="I7933" s="720" t="s">
        <v>5410</v>
      </c>
    </row>
    <row r="7934" spans="1:149" ht="15" hidden="1" customHeight="1">
      <c r="A7934" s="205">
        <v>45609</v>
      </c>
      <c r="B7934" s="208" t="s">
        <v>5475</v>
      </c>
      <c r="C7934" s="720" t="s">
        <v>27</v>
      </c>
      <c r="D7934" s="784">
        <v>-1230000</v>
      </c>
      <c r="E7934" s="727">
        <v>45597</v>
      </c>
      <c r="F7934" s="206" t="s">
        <v>109</v>
      </c>
      <c r="G7934" s="201" t="s">
        <v>583</v>
      </c>
      <c r="I7934" s="206"/>
    </row>
    <row r="7935" spans="1:149" ht="15" hidden="1" customHeight="1">
      <c r="A7935" s="205">
        <v>45609</v>
      </c>
      <c r="B7935" s="208" t="s">
        <v>6305</v>
      </c>
      <c r="C7935" s="720" t="s">
        <v>27</v>
      </c>
      <c r="D7935" s="784">
        <v>-1045000</v>
      </c>
      <c r="E7935" s="727">
        <v>45597</v>
      </c>
      <c r="F7935" s="206" t="s">
        <v>109</v>
      </c>
      <c r="G7935" s="201" t="s">
        <v>583</v>
      </c>
      <c r="I7935" s="206"/>
    </row>
    <row r="7936" spans="1:149" ht="15" hidden="1" customHeight="1">
      <c r="A7936" s="468">
        <v>45609</v>
      </c>
      <c r="B7936" s="208" t="s">
        <v>6306</v>
      </c>
      <c r="C7936" s="720" t="s">
        <v>27</v>
      </c>
      <c r="D7936" s="784">
        <v>-309480</v>
      </c>
      <c r="E7936" s="727">
        <v>45597</v>
      </c>
      <c r="F7936" s="208" t="s">
        <v>130</v>
      </c>
      <c r="G7936" s="208" t="s">
        <v>130</v>
      </c>
      <c r="H7936" s="208" t="s">
        <v>2444</v>
      </c>
      <c r="I7936" s="208"/>
      <c r="J7936" s="209"/>
      <c r="K7936" s="209"/>
      <c r="L7936" s="209"/>
      <c r="M7936" s="209"/>
      <c r="N7936" s="209"/>
      <c r="O7936" s="209"/>
      <c r="P7936" s="209"/>
      <c r="Q7936" s="209"/>
      <c r="R7936" s="209"/>
      <c r="S7936" s="209"/>
      <c r="T7936" s="209"/>
      <c r="U7936" s="209"/>
      <c r="V7936" s="209"/>
      <c r="W7936" s="209"/>
      <c r="X7936" s="209"/>
      <c r="Y7936" s="209"/>
      <c r="Z7936" s="209"/>
      <c r="AA7936" s="209"/>
      <c r="AB7936" s="209"/>
      <c r="AC7936" s="209"/>
      <c r="AD7936" s="209"/>
      <c r="AE7936" s="209"/>
      <c r="AF7936" s="209"/>
      <c r="AG7936" s="209"/>
      <c r="AH7936" s="209"/>
      <c r="AI7936" s="209"/>
      <c r="AJ7936" s="209"/>
      <c r="AK7936" s="209"/>
      <c r="AL7936" s="209"/>
      <c r="AM7936" s="209"/>
      <c r="AN7936" s="209"/>
      <c r="AO7936" s="209"/>
      <c r="AP7936" s="209"/>
      <c r="AQ7936" s="209"/>
      <c r="AR7936" s="209"/>
      <c r="AS7936" s="209"/>
      <c r="AT7936" s="209"/>
      <c r="AU7936" s="209"/>
      <c r="AV7936" s="209"/>
      <c r="AW7936" s="209"/>
      <c r="AX7936" s="209"/>
      <c r="AY7936" s="209"/>
      <c r="AZ7936" s="209"/>
      <c r="BA7936" s="209"/>
      <c r="BB7936" s="209"/>
      <c r="BC7936" s="209"/>
      <c r="BD7936" s="209"/>
      <c r="BE7936" s="209"/>
      <c r="BF7936" s="209"/>
      <c r="BG7936" s="209"/>
      <c r="BH7936" s="209"/>
      <c r="BI7936" s="209"/>
      <c r="BJ7936" s="209"/>
      <c r="BK7936" s="209"/>
      <c r="BL7936" s="209"/>
      <c r="BM7936" s="209"/>
      <c r="BN7936" s="209"/>
      <c r="BO7936" s="209"/>
      <c r="BP7936" s="209"/>
      <c r="BQ7936" s="209"/>
      <c r="BR7936" s="209"/>
      <c r="BS7936" s="209"/>
      <c r="BT7936" s="209"/>
      <c r="BU7936" s="209"/>
      <c r="BV7936" s="209"/>
      <c r="BW7936" s="209"/>
      <c r="BX7936" s="209"/>
      <c r="BY7936" s="209"/>
      <c r="BZ7936" s="209"/>
      <c r="CA7936" s="209"/>
      <c r="CB7936" s="209"/>
      <c r="CC7936" s="209"/>
      <c r="CD7936" s="209"/>
      <c r="CE7936" s="209"/>
      <c r="CF7936" s="209"/>
      <c r="CG7936" s="209"/>
      <c r="CH7936" s="209"/>
      <c r="CI7936" s="209"/>
      <c r="CJ7936" s="209"/>
      <c r="CK7936" s="209"/>
      <c r="CL7936" s="209"/>
      <c r="CM7936" s="209"/>
      <c r="CN7936" s="209"/>
      <c r="CO7936" s="209"/>
      <c r="CP7936" s="209"/>
      <c r="CQ7936" s="209"/>
      <c r="CR7936" s="209"/>
      <c r="CS7936" s="209"/>
      <c r="CT7936" s="209"/>
      <c r="CU7936" s="209"/>
      <c r="CV7936" s="209"/>
      <c r="CW7936" s="209"/>
      <c r="CX7936" s="209"/>
      <c r="CY7936" s="209"/>
      <c r="CZ7936" s="209"/>
      <c r="DA7936" s="209"/>
      <c r="DB7936" s="209"/>
      <c r="DC7936" s="209"/>
      <c r="DD7936" s="209"/>
      <c r="DE7936" s="209"/>
      <c r="DF7936" s="209"/>
      <c r="DG7936" s="209"/>
      <c r="DH7936" s="209"/>
      <c r="DI7936" s="209"/>
      <c r="DJ7936" s="209"/>
      <c r="DK7936" s="209"/>
      <c r="DL7936" s="209"/>
      <c r="DM7936" s="209"/>
      <c r="DN7936" s="209"/>
      <c r="DO7936" s="209"/>
      <c r="DP7936" s="209"/>
      <c r="DQ7936" s="209"/>
      <c r="DR7936" s="209"/>
      <c r="DS7936" s="209"/>
      <c r="DT7936" s="209"/>
      <c r="DU7936" s="209"/>
      <c r="DV7936" s="209"/>
      <c r="DW7936" s="209"/>
      <c r="DX7936" s="209"/>
      <c r="DY7936" s="209"/>
      <c r="DZ7936" s="209"/>
      <c r="EA7936" s="209"/>
      <c r="EB7936" s="209"/>
      <c r="EC7936" s="209"/>
      <c r="ED7936" s="209"/>
      <c r="EE7936" s="209"/>
      <c r="EF7936" s="209"/>
      <c r="EG7936" s="209"/>
      <c r="EH7936" s="209"/>
      <c r="EI7936" s="209"/>
      <c r="EJ7936" s="209"/>
      <c r="EK7936" s="209"/>
      <c r="EL7936" s="209"/>
      <c r="EM7936" s="209"/>
      <c r="EN7936" s="209"/>
      <c r="EO7936" s="209"/>
      <c r="EP7936" s="209"/>
      <c r="EQ7936" s="209"/>
      <c r="ER7936" s="209"/>
      <c r="ES7936" s="209"/>
    </row>
    <row r="7937" spans="1:9" ht="15" hidden="1" customHeight="1">
      <c r="A7937" s="205">
        <v>45609</v>
      </c>
      <c r="B7937" s="208" t="s">
        <v>6307</v>
      </c>
      <c r="C7937" s="720" t="s">
        <v>27</v>
      </c>
      <c r="D7937" s="784">
        <v>-972400</v>
      </c>
      <c r="E7937" s="727">
        <v>45597</v>
      </c>
      <c r="F7937" s="206" t="s">
        <v>109</v>
      </c>
      <c r="G7937" s="201" t="s">
        <v>581</v>
      </c>
      <c r="I7937" s="206"/>
    </row>
    <row r="7938" spans="1:9" ht="15" hidden="1" customHeight="1">
      <c r="A7938" s="205">
        <v>45609</v>
      </c>
      <c r="B7938" s="208" t="s">
        <v>6307</v>
      </c>
      <c r="C7938" s="720" t="s">
        <v>27</v>
      </c>
      <c r="D7938" s="784">
        <v>-972400</v>
      </c>
      <c r="E7938" s="727">
        <v>45597</v>
      </c>
      <c r="F7938" s="206" t="s">
        <v>109</v>
      </c>
      <c r="G7938" s="206" t="s">
        <v>10</v>
      </c>
      <c r="I7938" s="206"/>
    </row>
    <row r="7939" spans="1:9" ht="15" hidden="1" customHeight="1">
      <c r="A7939" s="205">
        <v>45609</v>
      </c>
      <c r="B7939" s="208" t="s">
        <v>6308</v>
      </c>
      <c r="C7939" s="720" t="s">
        <v>27</v>
      </c>
      <c r="D7939" s="784">
        <v>-4428000</v>
      </c>
      <c r="E7939" s="727">
        <v>45597</v>
      </c>
      <c r="F7939" s="206" t="s">
        <v>109</v>
      </c>
      <c r="G7939" s="206" t="s">
        <v>10</v>
      </c>
      <c r="I7939" s="206"/>
    </row>
    <row r="7940" spans="1:9" ht="15" hidden="1" customHeight="1">
      <c r="A7940" s="205">
        <v>45609</v>
      </c>
      <c r="B7940" s="208" t="s">
        <v>6309</v>
      </c>
      <c r="C7940" s="720" t="s">
        <v>27</v>
      </c>
      <c r="D7940" s="784">
        <v>-1331320</v>
      </c>
      <c r="E7940" s="727">
        <v>45597</v>
      </c>
      <c r="F7940" s="206" t="s">
        <v>109</v>
      </c>
      <c r="G7940" s="201" t="s">
        <v>581</v>
      </c>
      <c r="H7940" s="208" t="s">
        <v>175</v>
      </c>
      <c r="I7940" s="206"/>
    </row>
    <row r="7941" spans="1:9" ht="15" hidden="1" customHeight="1">
      <c r="A7941" s="205">
        <v>45609</v>
      </c>
      <c r="B7941" s="208" t="s">
        <v>6310</v>
      </c>
      <c r="C7941" s="720" t="s">
        <v>27</v>
      </c>
      <c r="D7941" s="784">
        <v>-1331320</v>
      </c>
      <c r="E7941" s="727">
        <v>45597</v>
      </c>
      <c r="F7941" s="206" t="s">
        <v>109</v>
      </c>
      <c r="G7941" s="206" t="s">
        <v>10</v>
      </c>
      <c r="H7941" s="208" t="s">
        <v>175</v>
      </c>
      <c r="I7941" s="206"/>
    </row>
    <row r="7942" spans="1:9" ht="15" hidden="1" customHeight="1">
      <c r="A7942" s="205">
        <v>45609</v>
      </c>
      <c r="B7942" s="208" t="s">
        <v>6311</v>
      </c>
      <c r="C7942" s="720" t="s">
        <v>27</v>
      </c>
      <c r="D7942" s="784">
        <v>-200780</v>
      </c>
      <c r="E7942" s="727">
        <v>45597</v>
      </c>
      <c r="F7942" s="206" t="s">
        <v>130</v>
      </c>
      <c r="G7942" s="206" t="s">
        <v>130</v>
      </c>
      <c r="H7942" s="206" t="s">
        <v>249</v>
      </c>
      <c r="I7942" s="206"/>
    </row>
    <row r="7943" spans="1:9" ht="15" hidden="1" customHeight="1">
      <c r="A7943" s="205">
        <v>45609</v>
      </c>
      <c r="B7943" s="655" t="s">
        <v>6312</v>
      </c>
      <c r="C7943" s="720" t="s">
        <v>27</v>
      </c>
      <c r="D7943" s="784">
        <v>-253700</v>
      </c>
      <c r="E7943" s="727">
        <v>45597</v>
      </c>
      <c r="F7943" s="206" t="s">
        <v>109</v>
      </c>
      <c r="G7943" s="201" t="s">
        <v>581</v>
      </c>
      <c r="H7943" s="208" t="s">
        <v>175</v>
      </c>
      <c r="I7943" s="206"/>
    </row>
    <row r="7944" spans="1:9" ht="15" hidden="1" customHeight="1">
      <c r="A7944" s="728">
        <v>45609</v>
      </c>
      <c r="B7944" s="591" t="s">
        <v>6313</v>
      </c>
      <c r="C7944" s="729" t="s">
        <v>27</v>
      </c>
      <c r="D7944" s="784">
        <v>-720508</v>
      </c>
      <c r="E7944" s="727">
        <v>45597</v>
      </c>
      <c r="F7944" s="206" t="s">
        <v>109</v>
      </c>
      <c r="G7944" s="201" t="s">
        <v>581</v>
      </c>
      <c r="H7944" s="208" t="s">
        <v>175</v>
      </c>
      <c r="I7944" s="206"/>
    </row>
    <row r="7945" spans="1:9" s="209" customFormat="1" ht="15" hidden="1" customHeight="1">
      <c r="A7945" s="676">
        <v>45609</v>
      </c>
      <c r="B7945" s="591" t="s">
        <v>6314</v>
      </c>
      <c r="C7945" s="677" t="s">
        <v>4314</v>
      </c>
      <c r="D7945" s="211">
        <v>-3040.12</v>
      </c>
      <c r="E7945" s="212">
        <v>45597</v>
      </c>
      <c r="F7945" s="208" t="s">
        <v>109</v>
      </c>
      <c r="G7945" s="201" t="s">
        <v>581</v>
      </c>
      <c r="H7945" s="208"/>
      <c r="I7945" s="208"/>
    </row>
    <row r="7946" spans="1:9" ht="15" hidden="1" customHeight="1">
      <c r="A7946" s="728">
        <v>45609</v>
      </c>
      <c r="B7946" s="591" t="s">
        <v>6315</v>
      </c>
      <c r="C7946" s="729" t="s">
        <v>27</v>
      </c>
      <c r="D7946" s="784">
        <v>-23050266.43</v>
      </c>
      <c r="E7946" s="727">
        <v>45597</v>
      </c>
      <c r="F7946" s="206" t="s">
        <v>111</v>
      </c>
      <c r="I7946" s="206"/>
    </row>
    <row r="7947" spans="1:9" ht="15" hidden="1" customHeight="1">
      <c r="A7947" s="728">
        <v>45609</v>
      </c>
      <c r="B7947" s="591" t="s">
        <v>3935</v>
      </c>
      <c r="C7947" s="729" t="s">
        <v>27</v>
      </c>
      <c r="D7947" s="784">
        <v>-20900</v>
      </c>
      <c r="E7947" s="727">
        <v>45597</v>
      </c>
      <c r="F7947" s="206" t="s">
        <v>109</v>
      </c>
      <c r="G7947" s="206" t="s">
        <v>2809</v>
      </c>
      <c r="H7947" s="206" t="s">
        <v>6316</v>
      </c>
      <c r="I7947" s="206"/>
    </row>
    <row r="7948" spans="1:9" ht="15" hidden="1" customHeight="1">
      <c r="A7948" s="728">
        <v>45609</v>
      </c>
      <c r="B7948" s="591" t="s">
        <v>6317</v>
      </c>
      <c r="C7948" s="729" t="s">
        <v>27</v>
      </c>
      <c r="D7948" s="784">
        <v>-300000</v>
      </c>
      <c r="E7948" s="727">
        <v>45597</v>
      </c>
      <c r="F7948" s="206" t="s">
        <v>130</v>
      </c>
      <c r="G7948" s="206" t="s">
        <v>257</v>
      </c>
      <c r="H7948" s="201" t="s">
        <v>663</v>
      </c>
      <c r="I7948" s="206"/>
    </row>
    <row r="7949" spans="1:9" ht="15" hidden="1" customHeight="1">
      <c r="A7949" s="728">
        <v>45610</v>
      </c>
      <c r="B7949" s="591" t="s">
        <v>6318</v>
      </c>
      <c r="C7949" s="729" t="s">
        <v>27</v>
      </c>
      <c r="D7949" s="784">
        <v>-400714</v>
      </c>
      <c r="E7949" s="727">
        <v>45597</v>
      </c>
      <c r="F7949" s="206" t="s">
        <v>130</v>
      </c>
      <c r="G7949" s="206" t="s">
        <v>130</v>
      </c>
      <c r="H7949" s="206" t="s">
        <v>249</v>
      </c>
      <c r="I7949" s="206"/>
    </row>
    <row r="7950" spans="1:9" ht="15" hidden="1" customHeight="1">
      <c r="A7950" s="728">
        <v>45610</v>
      </c>
      <c r="B7950" s="591" t="s">
        <v>6319</v>
      </c>
      <c r="C7950" s="729" t="s">
        <v>27</v>
      </c>
      <c r="D7950" s="784">
        <v>-111320</v>
      </c>
      <c r="E7950" s="727">
        <v>45597</v>
      </c>
      <c r="F7950" s="206" t="s">
        <v>130</v>
      </c>
      <c r="G7950" s="206" t="s">
        <v>130</v>
      </c>
      <c r="H7950" s="206" t="s">
        <v>249</v>
      </c>
      <c r="I7950" s="206"/>
    </row>
    <row r="7951" spans="1:9" ht="15" hidden="1" customHeight="1">
      <c r="A7951" s="728">
        <v>45610</v>
      </c>
      <c r="B7951" s="739" t="s">
        <v>4424</v>
      </c>
      <c r="C7951" s="729" t="s">
        <v>27</v>
      </c>
      <c r="D7951" s="784">
        <v>-1228700</v>
      </c>
      <c r="E7951" s="727">
        <v>45597</v>
      </c>
      <c r="F7951" s="206" t="s">
        <v>109</v>
      </c>
      <c r="G7951" s="201" t="s">
        <v>581</v>
      </c>
      <c r="I7951" s="206"/>
    </row>
    <row r="7952" spans="1:9" ht="15" hidden="1" customHeight="1">
      <c r="A7952" s="728">
        <v>45610</v>
      </c>
      <c r="B7952" s="739" t="s">
        <v>6320</v>
      </c>
      <c r="C7952" s="729" t="s">
        <v>27</v>
      </c>
      <c r="D7952" s="784">
        <v>-1038260</v>
      </c>
      <c r="E7952" s="727">
        <v>45597</v>
      </c>
      <c r="F7952" s="206" t="s">
        <v>110</v>
      </c>
      <c r="G7952" s="208" t="s">
        <v>5469</v>
      </c>
      <c r="H7952" s="208" t="s">
        <v>147</v>
      </c>
      <c r="I7952" s="206"/>
    </row>
    <row r="7953" spans="1:9" ht="15" hidden="1" customHeight="1">
      <c r="A7953" s="728">
        <v>45610</v>
      </c>
      <c r="B7953" s="739" t="s">
        <v>6321</v>
      </c>
      <c r="C7953" s="729" t="s">
        <v>27</v>
      </c>
      <c r="D7953" s="784">
        <v>-699240</v>
      </c>
      <c r="E7953" s="727">
        <v>45597</v>
      </c>
      <c r="F7953" s="206" t="s">
        <v>130</v>
      </c>
      <c r="G7953" s="206" t="s">
        <v>130</v>
      </c>
      <c r="H7953" s="206" t="s">
        <v>182</v>
      </c>
      <c r="I7953" s="206"/>
    </row>
    <row r="7954" spans="1:9" ht="15" hidden="1" customHeight="1">
      <c r="A7954" s="728">
        <v>45610</v>
      </c>
      <c r="B7954" s="739" t="s">
        <v>6322</v>
      </c>
      <c r="C7954" s="729" t="s">
        <v>27</v>
      </c>
      <c r="D7954" s="784">
        <v>-679000</v>
      </c>
      <c r="E7954" s="727">
        <v>45597</v>
      </c>
      <c r="F7954" s="206" t="s">
        <v>130</v>
      </c>
      <c r="G7954" s="206" t="s">
        <v>130</v>
      </c>
      <c r="H7954" s="206" t="s">
        <v>182</v>
      </c>
      <c r="I7954" s="206"/>
    </row>
    <row r="7955" spans="1:9" ht="15" hidden="1" customHeight="1">
      <c r="A7955" s="728">
        <v>45610</v>
      </c>
      <c r="B7955" s="739" t="s">
        <v>6323</v>
      </c>
      <c r="C7955" s="729" t="s">
        <v>27</v>
      </c>
      <c r="D7955" s="784">
        <v>-293800</v>
      </c>
      <c r="E7955" s="727">
        <v>45597</v>
      </c>
      <c r="F7955" s="206" t="s">
        <v>110</v>
      </c>
      <c r="G7955" s="208" t="s">
        <v>5469</v>
      </c>
      <c r="H7955" s="201" t="s">
        <v>508</v>
      </c>
      <c r="I7955" s="206"/>
    </row>
    <row r="7956" spans="1:9" ht="15" hidden="1" customHeight="1">
      <c r="A7956" s="728">
        <v>45610</v>
      </c>
      <c r="B7956" s="739" t="s">
        <v>6323</v>
      </c>
      <c r="C7956" s="729" t="s">
        <v>27</v>
      </c>
      <c r="D7956" s="784">
        <v>-293800</v>
      </c>
      <c r="E7956" s="727">
        <v>45597</v>
      </c>
      <c r="F7956" s="206" t="s">
        <v>109</v>
      </c>
      <c r="G7956" s="208" t="s">
        <v>4986</v>
      </c>
      <c r="H7956" s="201" t="s">
        <v>508</v>
      </c>
      <c r="I7956" s="206"/>
    </row>
    <row r="7957" spans="1:9" ht="15" hidden="1" customHeight="1">
      <c r="A7957" s="728">
        <v>45610</v>
      </c>
      <c r="B7957" s="739" t="s">
        <v>6323</v>
      </c>
      <c r="C7957" s="729" t="s">
        <v>27</v>
      </c>
      <c r="D7957" s="784">
        <v>-293800</v>
      </c>
      <c r="E7957" s="727">
        <v>45597</v>
      </c>
      <c r="F7957" s="206" t="s">
        <v>110</v>
      </c>
      <c r="G7957" s="208" t="s">
        <v>4990</v>
      </c>
      <c r="H7957" s="201" t="s">
        <v>508</v>
      </c>
      <c r="I7957" s="206"/>
    </row>
    <row r="7958" spans="1:9" ht="15" hidden="1" customHeight="1">
      <c r="A7958" s="728">
        <v>45610</v>
      </c>
      <c r="B7958" s="739" t="s">
        <v>6324</v>
      </c>
      <c r="C7958" s="729" t="s">
        <v>27</v>
      </c>
      <c r="D7958" s="784">
        <v>-1001000</v>
      </c>
      <c r="E7958" s="727">
        <v>45597</v>
      </c>
      <c r="F7958" s="206" t="s">
        <v>109</v>
      </c>
      <c r="G7958" s="208" t="s">
        <v>4986</v>
      </c>
      <c r="H7958" s="208" t="s">
        <v>147</v>
      </c>
      <c r="I7958" s="206"/>
    </row>
    <row r="7959" spans="1:9" ht="15" hidden="1" customHeight="1">
      <c r="A7959" s="728">
        <v>45610</v>
      </c>
      <c r="B7959" s="739" t="s">
        <v>6325</v>
      </c>
      <c r="C7959" s="729" t="s">
        <v>27</v>
      </c>
      <c r="D7959" s="784">
        <v>-679000</v>
      </c>
      <c r="E7959" s="727">
        <v>45597</v>
      </c>
      <c r="F7959" s="206" t="s">
        <v>109</v>
      </c>
      <c r="G7959" s="208" t="s">
        <v>4986</v>
      </c>
      <c r="H7959" s="208" t="s">
        <v>147</v>
      </c>
      <c r="I7959" s="206"/>
    </row>
    <row r="7960" spans="1:9" ht="15" hidden="1" customHeight="1">
      <c r="A7960" s="728">
        <v>45610</v>
      </c>
      <c r="B7960" s="739" t="s">
        <v>6326</v>
      </c>
      <c r="C7960" s="729" t="s">
        <v>27</v>
      </c>
      <c r="D7960" s="784">
        <v>-2024000</v>
      </c>
      <c r="E7960" s="727">
        <v>45597</v>
      </c>
      <c r="F7960" s="206" t="s">
        <v>130</v>
      </c>
      <c r="G7960" s="206" t="s">
        <v>130</v>
      </c>
      <c r="H7960" s="206" t="s">
        <v>182</v>
      </c>
      <c r="I7960" s="206"/>
    </row>
    <row r="7961" spans="1:9" ht="15" hidden="1" customHeight="1">
      <c r="A7961" s="728">
        <v>45610</v>
      </c>
      <c r="B7961" s="739" t="s">
        <v>6327</v>
      </c>
      <c r="C7961" s="729" t="s">
        <v>27</v>
      </c>
      <c r="D7961" s="784">
        <v>-817000</v>
      </c>
      <c r="E7961" s="727">
        <v>45597</v>
      </c>
      <c r="F7961" s="206" t="s">
        <v>130</v>
      </c>
      <c r="G7961" s="206" t="s">
        <v>130</v>
      </c>
      <c r="H7961" s="206" t="s">
        <v>182</v>
      </c>
      <c r="I7961" s="206"/>
    </row>
    <row r="7962" spans="1:9" ht="15" hidden="1" customHeight="1">
      <c r="A7962" s="728">
        <v>45610</v>
      </c>
      <c r="B7962" s="739" t="s">
        <v>6328</v>
      </c>
      <c r="C7962" s="729" t="s">
        <v>27</v>
      </c>
      <c r="D7962" s="784">
        <v>-650000</v>
      </c>
      <c r="E7962" s="727">
        <v>45597</v>
      </c>
      <c r="F7962" s="206" t="s">
        <v>130</v>
      </c>
      <c r="G7962" s="206" t="s">
        <v>130</v>
      </c>
      <c r="H7962" s="206" t="s">
        <v>182</v>
      </c>
      <c r="I7962" s="206"/>
    </row>
    <row r="7963" spans="1:9" ht="15" hidden="1" customHeight="1">
      <c r="A7963" s="728">
        <v>45610</v>
      </c>
      <c r="B7963" s="739" t="s">
        <v>6329</v>
      </c>
      <c r="C7963" s="729" t="s">
        <v>27</v>
      </c>
      <c r="D7963" s="784">
        <v>-817000</v>
      </c>
      <c r="E7963" s="727">
        <v>45597</v>
      </c>
      <c r="F7963" s="206" t="s">
        <v>109</v>
      </c>
      <c r="G7963" s="201" t="s">
        <v>581</v>
      </c>
      <c r="I7963" s="206"/>
    </row>
    <row r="7964" spans="1:9" ht="15" hidden="1" customHeight="1">
      <c r="A7964" s="728">
        <v>45610</v>
      </c>
      <c r="B7964" s="739" t="s">
        <v>6330</v>
      </c>
      <c r="C7964" s="729" t="s">
        <v>27</v>
      </c>
      <c r="D7964" s="718">
        <v>-679000</v>
      </c>
      <c r="E7964" s="727">
        <v>45597</v>
      </c>
      <c r="F7964" s="206" t="s">
        <v>109</v>
      </c>
      <c r="G7964" s="201" t="s">
        <v>581</v>
      </c>
      <c r="I7964" s="206"/>
    </row>
    <row r="7965" spans="1:9" ht="15" hidden="1" customHeight="1">
      <c r="A7965" s="728">
        <v>45610</v>
      </c>
      <c r="B7965" s="739" t="s">
        <v>6331</v>
      </c>
      <c r="C7965" s="729" t="s">
        <v>27</v>
      </c>
      <c r="D7965" s="784">
        <v>-833600</v>
      </c>
      <c r="E7965" s="727">
        <v>45597</v>
      </c>
      <c r="F7965" s="206" t="s">
        <v>110</v>
      </c>
      <c r="G7965" s="208" t="s">
        <v>4990</v>
      </c>
      <c r="H7965" s="208" t="s">
        <v>147</v>
      </c>
      <c r="I7965" s="206"/>
    </row>
    <row r="7966" spans="1:9" ht="15" hidden="1" customHeight="1">
      <c r="A7966" s="728">
        <v>45610</v>
      </c>
      <c r="B7966" s="739" t="s">
        <v>6332</v>
      </c>
      <c r="C7966" s="729" t="s">
        <v>27</v>
      </c>
      <c r="D7966" s="784">
        <v>-1037000</v>
      </c>
      <c r="E7966" s="727">
        <v>45597</v>
      </c>
      <c r="F7966" s="206" t="s">
        <v>110</v>
      </c>
      <c r="G7966" s="208" t="s">
        <v>4990</v>
      </c>
      <c r="H7966" s="208" t="s">
        <v>147</v>
      </c>
      <c r="I7966" s="206"/>
    </row>
    <row r="7967" spans="1:9" ht="15" hidden="1" customHeight="1">
      <c r="A7967" s="728">
        <v>45610</v>
      </c>
      <c r="B7967" s="739" t="s">
        <v>6333</v>
      </c>
      <c r="C7967" s="729" t="s">
        <v>27</v>
      </c>
      <c r="D7967" s="784">
        <v>-679000</v>
      </c>
      <c r="E7967" s="727">
        <v>45597</v>
      </c>
      <c r="F7967" s="206" t="s">
        <v>110</v>
      </c>
      <c r="G7967" s="208" t="s">
        <v>5469</v>
      </c>
      <c r="H7967" s="208" t="s">
        <v>147</v>
      </c>
      <c r="I7967" s="206"/>
    </row>
    <row r="7968" spans="1:9" ht="15" hidden="1" customHeight="1">
      <c r="A7968" s="728">
        <v>45610</v>
      </c>
      <c r="B7968" s="739" t="s">
        <v>6334</v>
      </c>
      <c r="C7968" s="729" t="s">
        <v>27</v>
      </c>
      <c r="D7968" s="718">
        <v>-679000</v>
      </c>
      <c r="E7968" s="727">
        <v>45597</v>
      </c>
      <c r="F7968" s="206" t="s">
        <v>109</v>
      </c>
      <c r="G7968" s="201" t="s">
        <v>581</v>
      </c>
      <c r="I7968" s="206"/>
    </row>
    <row r="7969" spans="1:9" ht="15" hidden="1" customHeight="1">
      <c r="A7969" s="728">
        <v>45610</v>
      </c>
      <c r="B7969" s="739" t="s">
        <v>6335</v>
      </c>
      <c r="C7969" s="729" t="s">
        <v>27</v>
      </c>
      <c r="D7969" s="784">
        <v>-1038260</v>
      </c>
      <c r="E7969" s="727">
        <v>45597</v>
      </c>
      <c r="F7969" s="206" t="s">
        <v>109</v>
      </c>
      <c r="G7969" s="201" t="s">
        <v>581</v>
      </c>
      <c r="I7969" s="206"/>
    </row>
    <row r="7970" spans="1:9" ht="15" hidden="1" customHeight="1">
      <c r="A7970" s="728">
        <v>45610</v>
      </c>
      <c r="B7970" s="739" t="s">
        <v>6336</v>
      </c>
      <c r="C7970" s="729" t="s">
        <v>27</v>
      </c>
      <c r="D7970" s="718">
        <v>-679000</v>
      </c>
      <c r="E7970" s="727">
        <v>45597</v>
      </c>
      <c r="F7970" s="206" t="s">
        <v>109</v>
      </c>
      <c r="G7970" s="201" t="s">
        <v>581</v>
      </c>
      <c r="I7970" s="206"/>
    </row>
    <row r="7971" spans="1:9" ht="15" hidden="1" customHeight="1">
      <c r="A7971" s="728">
        <v>45610</v>
      </c>
      <c r="B7971" s="739" t="s">
        <v>6337</v>
      </c>
      <c r="C7971" s="729" t="s">
        <v>27</v>
      </c>
      <c r="D7971" s="718">
        <v>-679000</v>
      </c>
      <c r="E7971" s="727">
        <v>45597</v>
      </c>
      <c r="F7971" s="206" t="s">
        <v>109</v>
      </c>
      <c r="G7971" s="201" t="s">
        <v>581</v>
      </c>
      <c r="I7971" s="206"/>
    </row>
    <row r="7972" spans="1:9" ht="15" hidden="1" customHeight="1">
      <c r="A7972" s="728">
        <v>45610</v>
      </c>
      <c r="B7972" s="739" t="s">
        <v>6338</v>
      </c>
      <c r="C7972" s="729" t="s">
        <v>27</v>
      </c>
      <c r="D7972" s="718">
        <v>-679000</v>
      </c>
      <c r="E7972" s="727">
        <v>45597</v>
      </c>
      <c r="F7972" s="206" t="s">
        <v>109</v>
      </c>
      <c r="G7972" s="201" t="s">
        <v>581</v>
      </c>
      <c r="I7972" s="206"/>
    </row>
    <row r="7973" spans="1:9" ht="15" hidden="1" customHeight="1">
      <c r="A7973" s="728">
        <v>45610</v>
      </c>
      <c r="B7973" s="739" t="s">
        <v>6339</v>
      </c>
      <c r="C7973" s="729" t="s">
        <v>27</v>
      </c>
      <c r="D7973" s="718">
        <v>-679000</v>
      </c>
      <c r="E7973" s="727">
        <v>45597</v>
      </c>
      <c r="F7973" s="206" t="s">
        <v>109</v>
      </c>
      <c r="G7973" s="201" t="s">
        <v>581</v>
      </c>
      <c r="I7973" s="206"/>
    </row>
    <row r="7974" spans="1:9" ht="15" hidden="1" customHeight="1">
      <c r="A7974" s="728">
        <v>45610</v>
      </c>
      <c r="B7974" s="739" t="s">
        <v>6340</v>
      </c>
      <c r="C7974" s="729" t="s">
        <v>27</v>
      </c>
      <c r="D7974" s="718">
        <v>-679000</v>
      </c>
      <c r="E7974" s="727">
        <v>45597</v>
      </c>
      <c r="F7974" s="206" t="s">
        <v>109</v>
      </c>
      <c r="G7974" s="201" t="s">
        <v>581</v>
      </c>
      <c r="I7974" s="206"/>
    </row>
    <row r="7975" spans="1:9" ht="15" hidden="1" customHeight="1">
      <c r="A7975" s="728">
        <v>45610</v>
      </c>
      <c r="B7975" s="739" t="s">
        <v>6341</v>
      </c>
      <c r="C7975" s="729" t="s">
        <v>27</v>
      </c>
      <c r="D7975" s="718">
        <v>-679000</v>
      </c>
      <c r="E7975" s="727">
        <v>45597</v>
      </c>
      <c r="F7975" s="206" t="s">
        <v>109</v>
      </c>
      <c r="G7975" s="201" t="s">
        <v>581</v>
      </c>
      <c r="I7975" s="206"/>
    </row>
    <row r="7976" spans="1:9" ht="15" hidden="1" customHeight="1">
      <c r="A7976" s="728">
        <v>45610</v>
      </c>
      <c r="B7976" s="739" t="s">
        <v>6342</v>
      </c>
      <c r="C7976" s="729" t="s">
        <v>27</v>
      </c>
      <c r="D7976" s="784">
        <v>-673600</v>
      </c>
      <c r="E7976" s="727">
        <v>45597</v>
      </c>
      <c r="F7976" s="206" t="s">
        <v>130</v>
      </c>
      <c r="G7976" s="206" t="s">
        <v>130</v>
      </c>
      <c r="H7976" s="206" t="s">
        <v>182</v>
      </c>
      <c r="I7976" s="206"/>
    </row>
    <row r="7977" spans="1:9" ht="15" hidden="1" customHeight="1">
      <c r="A7977" s="728">
        <v>45610</v>
      </c>
      <c r="B7977" s="739" t="s">
        <v>6343</v>
      </c>
      <c r="C7977" s="729" t="s">
        <v>27</v>
      </c>
      <c r="D7977" s="784">
        <v>-226333</v>
      </c>
      <c r="E7977" s="727">
        <v>45597</v>
      </c>
      <c r="F7977" s="206" t="s">
        <v>110</v>
      </c>
      <c r="G7977" s="208" t="s">
        <v>5469</v>
      </c>
      <c r="H7977" s="201" t="s">
        <v>508</v>
      </c>
      <c r="I7977" s="206"/>
    </row>
    <row r="7978" spans="1:9" ht="15" hidden="1" customHeight="1">
      <c r="A7978" s="728">
        <v>45610</v>
      </c>
      <c r="B7978" s="739" t="s">
        <v>6343</v>
      </c>
      <c r="C7978" s="729" t="s">
        <v>27</v>
      </c>
      <c r="D7978" s="784">
        <v>-226334</v>
      </c>
      <c r="E7978" s="727">
        <v>45597</v>
      </c>
      <c r="F7978" s="206" t="s">
        <v>109</v>
      </c>
      <c r="G7978" s="208" t="s">
        <v>4986</v>
      </c>
      <c r="H7978" s="201" t="s">
        <v>508</v>
      </c>
      <c r="I7978" s="206"/>
    </row>
    <row r="7979" spans="1:9" ht="15" hidden="1" customHeight="1">
      <c r="A7979" s="728">
        <v>45610</v>
      </c>
      <c r="B7979" s="739" t="s">
        <v>6343</v>
      </c>
      <c r="C7979" s="729" t="s">
        <v>27</v>
      </c>
      <c r="D7979" s="784">
        <v>-226333</v>
      </c>
      <c r="E7979" s="727">
        <v>45597</v>
      </c>
      <c r="F7979" s="206" t="s">
        <v>110</v>
      </c>
      <c r="G7979" s="208" t="s">
        <v>4990</v>
      </c>
      <c r="H7979" s="201" t="s">
        <v>508</v>
      </c>
      <c r="I7979" s="206"/>
    </row>
    <row r="7980" spans="1:9" ht="15" hidden="1" customHeight="1">
      <c r="A7980" s="728">
        <v>45610</v>
      </c>
      <c r="B7980" s="739" t="s">
        <v>6344</v>
      </c>
      <c r="C7980" s="729" t="s">
        <v>27</v>
      </c>
      <c r="D7980" s="784">
        <v>-679000</v>
      </c>
      <c r="E7980" s="727">
        <v>45597</v>
      </c>
      <c r="F7980" s="206" t="s">
        <v>109</v>
      </c>
      <c r="G7980" s="208" t="s">
        <v>4986</v>
      </c>
      <c r="H7980" s="208" t="s">
        <v>147</v>
      </c>
      <c r="I7980" s="206"/>
    </row>
    <row r="7981" spans="1:9" ht="15" hidden="1" customHeight="1">
      <c r="A7981" s="728">
        <v>45610</v>
      </c>
      <c r="B7981" s="739" t="s">
        <v>6345</v>
      </c>
      <c r="C7981" s="729" t="s">
        <v>27</v>
      </c>
      <c r="D7981" s="784">
        <v>-819000</v>
      </c>
      <c r="E7981" s="727">
        <v>45597</v>
      </c>
      <c r="F7981" s="206" t="s">
        <v>110</v>
      </c>
      <c r="G7981" s="208" t="s">
        <v>4990</v>
      </c>
      <c r="H7981" s="208" t="s">
        <v>147</v>
      </c>
      <c r="I7981" s="206"/>
    </row>
    <row r="7982" spans="1:9" ht="15" hidden="1" customHeight="1">
      <c r="A7982" s="728">
        <v>45610</v>
      </c>
      <c r="B7982" s="739" t="s">
        <v>6346</v>
      </c>
      <c r="C7982" s="729" t="s">
        <v>27</v>
      </c>
      <c r="D7982" s="784">
        <v>-679000</v>
      </c>
      <c r="E7982" s="727">
        <v>45597</v>
      </c>
      <c r="F7982" s="206" t="s">
        <v>109</v>
      </c>
      <c r="G7982" s="208" t="s">
        <v>4986</v>
      </c>
      <c r="H7982" s="208" t="s">
        <v>147</v>
      </c>
      <c r="I7982" s="206"/>
    </row>
    <row r="7983" spans="1:9" ht="15" hidden="1" customHeight="1">
      <c r="A7983" s="728">
        <v>45610</v>
      </c>
      <c r="B7983" s="739" t="s">
        <v>6347</v>
      </c>
      <c r="C7983" s="729" t="s">
        <v>27</v>
      </c>
      <c r="D7983" s="784">
        <v>-679000</v>
      </c>
      <c r="E7983" s="727">
        <v>45597</v>
      </c>
      <c r="F7983" s="206" t="s">
        <v>110</v>
      </c>
      <c r="G7983" s="208" t="s">
        <v>5469</v>
      </c>
      <c r="H7983" s="208" t="s">
        <v>147</v>
      </c>
      <c r="I7983" s="206"/>
    </row>
    <row r="7984" spans="1:9" ht="15" hidden="1" customHeight="1">
      <c r="A7984" s="728">
        <v>45610</v>
      </c>
      <c r="B7984" s="739" t="s">
        <v>6348</v>
      </c>
      <c r="C7984" s="729" t="s">
        <v>27</v>
      </c>
      <c r="D7984" s="784">
        <v>-719000</v>
      </c>
      <c r="E7984" s="727">
        <v>45597</v>
      </c>
      <c r="F7984" s="206" t="s">
        <v>110</v>
      </c>
      <c r="G7984" s="208" t="s">
        <v>4990</v>
      </c>
      <c r="H7984" s="208" t="s">
        <v>147</v>
      </c>
      <c r="I7984" s="206"/>
    </row>
    <row r="7985" spans="1:9" ht="15" hidden="1" customHeight="1">
      <c r="A7985" s="728">
        <v>45610</v>
      </c>
      <c r="B7985" s="739" t="s">
        <v>6349</v>
      </c>
      <c r="C7985" s="729" t="s">
        <v>27</v>
      </c>
      <c r="D7985" s="718">
        <v>-679000</v>
      </c>
      <c r="E7985" s="727">
        <v>45597</v>
      </c>
      <c r="F7985" s="206" t="s">
        <v>109</v>
      </c>
      <c r="G7985" s="201" t="s">
        <v>581</v>
      </c>
      <c r="I7985" s="206"/>
    </row>
    <row r="7986" spans="1:9" ht="15" hidden="1" customHeight="1">
      <c r="A7986" s="728">
        <v>45610</v>
      </c>
      <c r="B7986" s="739" t="s">
        <v>6350</v>
      </c>
      <c r="C7986" s="729" t="s">
        <v>27</v>
      </c>
      <c r="D7986" s="718">
        <v>-771000</v>
      </c>
      <c r="E7986" s="727">
        <v>45597</v>
      </c>
      <c r="F7986" s="206" t="s">
        <v>109</v>
      </c>
      <c r="G7986" s="201" t="s">
        <v>581</v>
      </c>
      <c r="I7986" s="206"/>
    </row>
    <row r="7987" spans="1:9" ht="15" hidden="1" customHeight="1">
      <c r="A7987" s="728">
        <v>45610</v>
      </c>
      <c r="B7987" s="739" t="s">
        <v>6351</v>
      </c>
      <c r="C7987" s="729" t="s">
        <v>27</v>
      </c>
      <c r="D7987" s="718">
        <v>-679000</v>
      </c>
      <c r="E7987" s="727">
        <v>45597</v>
      </c>
      <c r="F7987" s="206" t="s">
        <v>109</v>
      </c>
      <c r="G7987" s="201" t="s">
        <v>581</v>
      </c>
      <c r="I7987" s="206"/>
    </row>
    <row r="7988" spans="1:9" ht="15" hidden="1" customHeight="1">
      <c r="A7988" s="728">
        <v>45610</v>
      </c>
      <c r="B7988" s="739" t="s">
        <v>6352</v>
      </c>
      <c r="C7988" s="729" t="s">
        <v>27</v>
      </c>
      <c r="D7988" s="718">
        <v>-679000</v>
      </c>
      <c r="E7988" s="727">
        <v>45597</v>
      </c>
      <c r="F7988" s="206" t="s">
        <v>109</v>
      </c>
      <c r="G7988" s="201" t="s">
        <v>581</v>
      </c>
      <c r="I7988" s="206"/>
    </row>
    <row r="7989" spans="1:9" ht="15" hidden="1" customHeight="1">
      <c r="A7989" s="728">
        <v>45610</v>
      </c>
      <c r="B7989" s="739" t="s">
        <v>6353</v>
      </c>
      <c r="C7989" s="729" t="s">
        <v>27</v>
      </c>
      <c r="D7989" s="718">
        <v>-679000</v>
      </c>
      <c r="E7989" s="727">
        <v>45597</v>
      </c>
      <c r="F7989" s="206" t="s">
        <v>109</v>
      </c>
      <c r="G7989" s="201" t="s">
        <v>581</v>
      </c>
      <c r="I7989" s="206"/>
    </row>
    <row r="7990" spans="1:9" ht="15" hidden="1" customHeight="1">
      <c r="A7990" s="728">
        <v>45610</v>
      </c>
      <c r="B7990" s="739" t="s">
        <v>6354</v>
      </c>
      <c r="C7990" s="729" t="s">
        <v>27</v>
      </c>
      <c r="D7990" s="718">
        <v>-679000</v>
      </c>
      <c r="E7990" s="727">
        <v>45597</v>
      </c>
      <c r="F7990" s="206" t="s">
        <v>109</v>
      </c>
      <c r="G7990" s="201" t="s">
        <v>581</v>
      </c>
      <c r="I7990" s="206"/>
    </row>
    <row r="7991" spans="1:9" ht="15" hidden="1" customHeight="1">
      <c r="A7991" s="728">
        <v>45610</v>
      </c>
      <c r="B7991" s="739" t="s">
        <v>6355</v>
      </c>
      <c r="C7991" s="729" t="s">
        <v>27</v>
      </c>
      <c r="D7991" s="718">
        <v>-679000</v>
      </c>
      <c r="E7991" s="727">
        <v>45597</v>
      </c>
      <c r="F7991" s="206" t="s">
        <v>109</v>
      </c>
      <c r="G7991" s="201" t="s">
        <v>581</v>
      </c>
      <c r="I7991" s="206"/>
    </row>
    <row r="7992" spans="1:9" ht="15" hidden="1" customHeight="1">
      <c r="A7992" s="728">
        <v>45610</v>
      </c>
      <c r="B7992" s="739" t="s">
        <v>6356</v>
      </c>
      <c r="C7992" s="729" t="s">
        <v>27</v>
      </c>
      <c r="D7992" s="718">
        <v>-679000</v>
      </c>
      <c r="E7992" s="727">
        <v>45597</v>
      </c>
      <c r="F7992" s="206" t="s">
        <v>109</v>
      </c>
      <c r="G7992" s="201" t="s">
        <v>581</v>
      </c>
      <c r="I7992" s="206"/>
    </row>
    <row r="7993" spans="1:9" ht="15" hidden="1" customHeight="1">
      <c r="A7993" s="728">
        <v>45610</v>
      </c>
      <c r="B7993" s="739" t="s">
        <v>6357</v>
      </c>
      <c r="C7993" s="729" t="s">
        <v>27</v>
      </c>
      <c r="D7993" s="718">
        <v>-679000</v>
      </c>
      <c r="E7993" s="727">
        <v>45597</v>
      </c>
      <c r="F7993" s="206" t="s">
        <v>109</v>
      </c>
      <c r="G7993" s="201" t="s">
        <v>581</v>
      </c>
      <c r="I7993" s="206"/>
    </row>
    <row r="7994" spans="1:9" ht="15" hidden="1" customHeight="1">
      <c r="A7994" s="728">
        <v>45610</v>
      </c>
      <c r="B7994" s="739" t="s">
        <v>6358</v>
      </c>
      <c r="C7994" s="729" t="s">
        <v>27</v>
      </c>
      <c r="D7994" s="718">
        <v>-679000</v>
      </c>
      <c r="E7994" s="727">
        <v>45597</v>
      </c>
      <c r="F7994" s="206" t="s">
        <v>109</v>
      </c>
      <c r="G7994" s="201" t="s">
        <v>581</v>
      </c>
      <c r="I7994" s="206"/>
    </row>
    <row r="7995" spans="1:9" ht="15" hidden="1" customHeight="1">
      <c r="A7995" s="728">
        <v>45610</v>
      </c>
      <c r="B7995" s="739" t="s">
        <v>6359</v>
      </c>
      <c r="C7995" s="729" t="s">
        <v>27</v>
      </c>
      <c r="D7995" s="784">
        <v>-181067</v>
      </c>
      <c r="E7995" s="727">
        <v>45597</v>
      </c>
      <c r="F7995" s="206" t="s">
        <v>130</v>
      </c>
      <c r="G7995" s="206" t="s">
        <v>130</v>
      </c>
      <c r="H7995" s="206" t="s">
        <v>182</v>
      </c>
      <c r="I7995" s="206"/>
    </row>
    <row r="7996" spans="1:9" ht="15" hidden="1" customHeight="1">
      <c r="A7996" s="728">
        <v>45610</v>
      </c>
      <c r="B7996" s="739" t="s">
        <v>6360</v>
      </c>
      <c r="C7996" s="729" t="s">
        <v>27</v>
      </c>
      <c r="D7996" s="718">
        <v>-679000</v>
      </c>
      <c r="E7996" s="727">
        <v>45597</v>
      </c>
      <c r="F7996" s="206" t="s">
        <v>109</v>
      </c>
      <c r="G7996" s="201" t="s">
        <v>581</v>
      </c>
      <c r="I7996" s="206"/>
    </row>
    <row r="7997" spans="1:9" ht="15" hidden="1" customHeight="1">
      <c r="A7997" s="728">
        <v>45610</v>
      </c>
      <c r="B7997" s="739" t="s">
        <v>6361</v>
      </c>
      <c r="C7997" s="729" t="s">
        <v>27</v>
      </c>
      <c r="D7997" s="718">
        <v>-679000</v>
      </c>
      <c r="E7997" s="727">
        <v>45597</v>
      </c>
      <c r="F7997" s="206" t="s">
        <v>109</v>
      </c>
      <c r="G7997" s="201" t="s">
        <v>581</v>
      </c>
      <c r="I7997" s="206"/>
    </row>
    <row r="7998" spans="1:9" ht="15" hidden="1" customHeight="1">
      <c r="A7998" s="728">
        <v>45610</v>
      </c>
      <c r="B7998" s="739" t="s">
        <v>6362</v>
      </c>
      <c r="C7998" s="729" t="s">
        <v>27</v>
      </c>
      <c r="D7998" s="718">
        <v>-679000</v>
      </c>
      <c r="E7998" s="727">
        <v>45597</v>
      </c>
      <c r="F7998" s="206" t="s">
        <v>109</v>
      </c>
      <c r="G7998" s="201" t="s">
        <v>581</v>
      </c>
      <c r="I7998" s="206"/>
    </row>
    <row r="7999" spans="1:9" ht="15" hidden="1" customHeight="1">
      <c r="A7999" s="728">
        <v>45610</v>
      </c>
      <c r="B7999" s="739" t="s">
        <v>6363</v>
      </c>
      <c r="C7999" s="729" t="s">
        <v>27</v>
      </c>
      <c r="D7999" s="718">
        <v>-679000</v>
      </c>
      <c r="E7999" s="727">
        <v>45597</v>
      </c>
      <c r="F7999" s="206" t="s">
        <v>109</v>
      </c>
      <c r="G7999" s="201" t="s">
        <v>581</v>
      </c>
      <c r="I7999" s="206"/>
    </row>
    <row r="8000" spans="1:9" ht="15" hidden="1" customHeight="1">
      <c r="A8000" s="728">
        <v>45610</v>
      </c>
      <c r="B8000" s="739" t="s">
        <v>6364</v>
      </c>
      <c r="C8000" s="729" t="s">
        <v>27</v>
      </c>
      <c r="D8000" s="784">
        <v>-679000</v>
      </c>
      <c r="E8000" s="727">
        <v>45597</v>
      </c>
      <c r="F8000" s="206" t="s">
        <v>109</v>
      </c>
      <c r="G8000" s="208" t="s">
        <v>4986</v>
      </c>
      <c r="H8000" s="208" t="s">
        <v>147</v>
      </c>
      <c r="I8000" s="206"/>
    </row>
    <row r="8001" spans="1:9" ht="15" hidden="1" customHeight="1">
      <c r="A8001" s="728">
        <v>45610</v>
      </c>
      <c r="B8001" s="739" t="s">
        <v>6365</v>
      </c>
      <c r="C8001" s="729" t="s">
        <v>27</v>
      </c>
      <c r="D8001" s="784">
        <v>-407400</v>
      </c>
      <c r="E8001" s="727">
        <v>45597</v>
      </c>
      <c r="F8001" s="206" t="s">
        <v>109</v>
      </c>
      <c r="G8001" s="208" t="s">
        <v>4986</v>
      </c>
      <c r="H8001" s="208" t="s">
        <v>147</v>
      </c>
      <c r="I8001" s="206"/>
    </row>
    <row r="8002" spans="1:9" ht="15" hidden="1" customHeight="1">
      <c r="A8002" s="728">
        <v>45610</v>
      </c>
      <c r="B8002" s="739" t="s">
        <v>6365</v>
      </c>
      <c r="C8002" s="729" t="s">
        <v>27</v>
      </c>
      <c r="D8002" s="784">
        <v>-271600</v>
      </c>
      <c r="E8002" s="727">
        <v>45597</v>
      </c>
      <c r="F8002" s="206" t="s">
        <v>110</v>
      </c>
      <c r="G8002" s="208" t="s">
        <v>5469</v>
      </c>
      <c r="H8002" s="208" t="s">
        <v>147</v>
      </c>
      <c r="I8002" s="206"/>
    </row>
    <row r="8003" spans="1:9" ht="15" hidden="1" customHeight="1">
      <c r="A8003" s="728">
        <v>45610</v>
      </c>
      <c r="B8003" s="739" t="s">
        <v>6366</v>
      </c>
      <c r="C8003" s="729" t="s">
        <v>27</v>
      </c>
      <c r="D8003" s="784">
        <v>-679000</v>
      </c>
      <c r="E8003" s="727">
        <v>45597</v>
      </c>
      <c r="F8003" s="206" t="s">
        <v>109</v>
      </c>
      <c r="G8003" s="208" t="s">
        <v>4986</v>
      </c>
      <c r="H8003" s="208" t="s">
        <v>147</v>
      </c>
      <c r="I8003" s="206"/>
    </row>
    <row r="8004" spans="1:9" ht="15" hidden="1" customHeight="1">
      <c r="A8004" s="728">
        <v>45610</v>
      </c>
      <c r="B8004" s="739" t="s">
        <v>6367</v>
      </c>
      <c r="C8004" s="729" t="s">
        <v>27</v>
      </c>
      <c r="D8004" s="784">
        <v>-407400</v>
      </c>
      <c r="E8004" s="727">
        <v>45597</v>
      </c>
      <c r="F8004" s="206" t="s">
        <v>109</v>
      </c>
      <c r="G8004" s="208" t="s">
        <v>4986</v>
      </c>
      <c r="H8004" s="208" t="s">
        <v>147</v>
      </c>
      <c r="I8004" s="206"/>
    </row>
    <row r="8005" spans="1:9" ht="15" hidden="1" customHeight="1">
      <c r="A8005" s="728">
        <v>45610</v>
      </c>
      <c r="B8005" s="739" t="s">
        <v>6367</v>
      </c>
      <c r="C8005" s="729" t="s">
        <v>27</v>
      </c>
      <c r="D8005" s="784">
        <v>-271600</v>
      </c>
      <c r="E8005" s="727">
        <v>45597</v>
      </c>
      <c r="F8005" s="206" t="s">
        <v>110</v>
      </c>
      <c r="G8005" s="208" t="s">
        <v>5469</v>
      </c>
      <c r="H8005" s="208" t="s">
        <v>147</v>
      </c>
      <c r="I8005" s="206"/>
    </row>
    <row r="8006" spans="1:9" ht="15" hidden="1" customHeight="1">
      <c r="A8006" s="728">
        <v>45610</v>
      </c>
      <c r="B8006" s="739" t="s">
        <v>6368</v>
      </c>
      <c r="C8006" s="729" t="s">
        <v>27</v>
      </c>
      <c r="D8006" s="784">
        <v>-407400</v>
      </c>
      <c r="E8006" s="727">
        <v>45597</v>
      </c>
      <c r="F8006" s="206" t="s">
        <v>109</v>
      </c>
      <c r="G8006" s="208" t="s">
        <v>4986</v>
      </c>
      <c r="H8006" s="208" t="s">
        <v>147</v>
      </c>
      <c r="I8006" s="206"/>
    </row>
    <row r="8007" spans="1:9" ht="15" hidden="1" customHeight="1">
      <c r="A8007" s="728">
        <v>45610</v>
      </c>
      <c r="B8007" s="739" t="s">
        <v>6368</v>
      </c>
      <c r="C8007" s="729" t="s">
        <v>27</v>
      </c>
      <c r="D8007" s="784">
        <v>-271600</v>
      </c>
      <c r="E8007" s="727">
        <v>45597</v>
      </c>
      <c r="F8007" s="206" t="s">
        <v>110</v>
      </c>
      <c r="G8007" s="208" t="s">
        <v>5469</v>
      </c>
      <c r="H8007" s="208" t="s">
        <v>147</v>
      </c>
      <c r="I8007" s="206"/>
    </row>
    <row r="8008" spans="1:9" ht="15" hidden="1" customHeight="1">
      <c r="A8008" s="728">
        <v>45610</v>
      </c>
      <c r="B8008" s="739" t="s">
        <v>6369</v>
      </c>
      <c r="C8008" s="729" t="s">
        <v>27</v>
      </c>
      <c r="D8008" s="784">
        <v>-407400</v>
      </c>
      <c r="E8008" s="727">
        <v>45597</v>
      </c>
      <c r="F8008" s="206" t="s">
        <v>109</v>
      </c>
      <c r="G8008" s="208" t="s">
        <v>4986</v>
      </c>
      <c r="H8008" s="208" t="s">
        <v>147</v>
      </c>
      <c r="I8008" s="206"/>
    </row>
    <row r="8009" spans="1:9" ht="15" hidden="1" customHeight="1">
      <c r="A8009" s="728">
        <v>45610</v>
      </c>
      <c r="B8009" s="739" t="s">
        <v>6369</v>
      </c>
      <c r="C8009" s="729" t="s">
        <v>27</v>
      </c>
      <c r="D8009" s="784">
        <v>-271600</v>
      </c>
      <c r="E8009" s="727">
        <v>45597</v>
      </c>
      <c r="F8009" s="206" t="s">
        <v>110</v>
      </c>
      <c r="G8009" s="208" t="s">
        <v>5469</v>
      </c>
      <c r="H8009" s="208" t="s">
        <v>147</v>
      </c>
      <c r="I8009" s="206"/>
    </row>
    <row r="8010" spans="1:9" ht="15" hidden="1" customHeight="1">
      <c r="A8010" s="728">
        <v>45610</v>
      </c>
      <c r="B8010" s="739" t="s">
        <v>6370</v>
      </c>
      <c r="C8010" s="729" t="s">
        <v>27</v>
      </c>
      <c r="D8010" s="784">
        <v>-771000</v>
      </c>
      <c r="E8010" s="727">
        <v>45597</v>
      </c>
      <c r="F8010" s="206" t="s">
        <v>110</v>
      </c>
      <c r="G8010" s="208" t="s">
        <v>5503</v>
      </c>
      <c r="H8010" s="208" t="s">
        <v>147</v>
      </c>
      <c r="I8010" s="206"/>
    </row>
    <row r="8011" spans="1:9" ht="15" hidden="1" customHeight="1">
      <c r="A8011" s="728">
        <v>45610</v>
      </c>
      <c r="B8011" s="739" t="s">
        <v>6371</v>
      </c>
      <c r="C8011" s="729" t="s">
        <v>27</v>
      </c>
      <c r="D8011" s="784">
        <v>-771000</v>
      </c>
      <c r="E8011" s="727">
        <v>45597</v>
      </c>
      <c r="F8011" s="206" t="s">
        <v>110</v>
      </c>
      <c r="G8011" s="208" t="s">
        <v>5503</v>
      </c>
      <c r="H8011" s="208" t="s">
        <v>147</v>
      </c>
      <c r="I8011" s="206"/>
    </row>
    <row r="8012" spans="1:9" ht="15" hidden="1" customHeight="1">
      <c r="A8012" s="728">
        <v>45610</v>
      </c>
      <c r="B8012" s="739" t="s">
        <v>6372</v>
      </c>
      <c r="C8012" s="729" t="s">
        <v>27</v>
      </c>
      <c r="D8012" s="784">
        <v>-673600</v>
      </c>
      <c r="E8012" s="727">
        <v>45597</v>
      </c>
      <c r="F8012" s="206" t="s">
        <v>109</v>
      </c>
      <c r="G8012" s="201" t="s">
        <v>581</v>
      </c>
      <c r="I8012" s="206"/>
    </row>
    <row r="8013" spans="1:9" ht="15" hidden="1" customHeight="1">
      <c r="A8013" s="728">
        <v>45610</v>
      </c>
      <c r="B8013" s="739" t="s">
        <v>6373</v>
      </c>
      <c r="C8013" s="729" t="s">
        <v>27</v>
      </c>
      <c r="D8013" s="718">
        <v>-679000</v>
      </c>
      <c r="E8013" s="727">
        <v>45597</v>
      </c>
      <c r="F8013" s="206" t="s">
        <v>109</v>
      </c>
      <c r="G8013" s="201" t="s">
        <v>581</v>
      </c>
      <c r="I8013" s="206"/>
    </row>
    <row r="8014" spans="1:9" ht="15" hidden="1" customHeight="1">
      <c r="A8014" s="728">
        <v>45610</v>
      </c>
      <c r="B8014" s="739" t="s">
        <v>6374</v>
      </c>
      <c r="C8014" s="729" t="s">
        <v>27</v>
      </c>
      <c r="D8014" s="784">
        <v>-652000</v>
      </c>
      <c r="E8014" s="727">
        <v>45597</v>
      </c>
      <c r="F8014" s="206" t="s">
        <v>109</v>
      </c>
      <c r="G8014" s="201" t="s">
        <v>581</v>
      </c>
      <c r="I8014" s="206"/>
    </row>
    <row r="8015" spans="1:9" ht="15" hidden="1" customHeight="1">
      <c r="A8015" s="728">
        <v>45610</v>
      </c>
      <c r="B8015" s="739" t="s">
        <v>6375</v>
      </c>
      <c r="C8015" s="729" t="s">
        <v>27</v>
      </c>
      <c r="D8015" s="718">
        <v>-679000</v>
      </c>
      <c r="E8015" s="727">
        <v>45597</v>
      </c>
      <c r="F8015" s="206" t="s">
        <v>109</v>
      </c>
      <c r="G8015" s="201" t="s">
        <v>581</v>
      </c>
      <c r="I8015" s="206"/>
    </row>
    <row r="8016" spans="1:9" ht="15" hidden="1" customHeight="1">
      <c r="A8016" s="728">
        <v>45610</v>
      </c>
      <c r="B8016" s="739" t="s">
        <v>6376</v>
      </c>
      <c r="C8016" s="729" t="s">
        <v>27</v>
      </c>
      <c r="D8016" s="784">
        <v>-679000</v>
      </c>
      <c r="E8016" s="727">
        <v>45597</v>
      </c>
      <c r="F8016" s="206" t="s">
        <v>109</v>
      </c>
      <c r="G8016" s="206" t="s">
        <v>5990</v>
      </c>
      <c r="I8016" s="206"/>
    </row>
    <row r="8017" spans="1:9" ht="15" hidden="1" customHeight="1">
      <c r="A8017" s="205">
        <v>45610</v>
      </c>
      <c r="B8017" s="740" t="s">
        <v>6377</v>
      </c>
      <c r="C8017" s="729" t="s">
        <v>27</v>
      </c>
      <c r="D8017" s="784">
        <v>-1228700</v>
      </c>
      <c r="E8017" s="727">
        <v>45597</v>
      </c>
      <c r="F8017" s="206" t="s">
        <v>110</v>
      </c>
      <c r="G8017" s="208" t="s">
        <v>5503</v>
      </c>
      <c r="H8017" s="208" t="s">
        <v>147</v>
      </c>
      <c r="I8017" s="206"/>
    </row>
    <row r="8018" spans="1:9" ht="15" hidden="1" customHeight="1">
      <c r="A8018" s="205">
        <v>45610</v>
      </c>
      <c r="B8018" s="722" t="s">
        <v>6378</v>
      </c>
      <c r="C8018" s="729" t="s">
        <v>27</v>
      </c>
      <c r="D8018" s="784">
        <v>-238333</v>
      </c>
      <c r="E8018" s="727">
        <v>45597</v>
      </c>
      <c r="F8018" s="206" t="s">
        <v>109</v>
      </c>
      <c r="G8018" s="201" t="s">
        <v>581</v>
      </c>
      <c r="I8018" s="206"/>
    </row>
    <row r="8019" spans="1:9" ht="15" hidden="1" customHeight="1">
      <c r="A8019" s="205">
        <v>45610</v>
      </c>
      <c r="B8019" s="722" t="s">
        <v>6379</v>
      </c>
      <c r="C8019" s="729" t="s">
        <v>27</v>
      </c>
      <c r="D8019" s="784">
        <v>-497933</v>
      </c>
      <c r="E8019" s="727">
        <v>45597</v>
      </c>
      <c r="F8019" s="206" t="s">
        <v>130</v>
      </c>
      <c r="G8019" s="206" t="s">
        <v>130</v>
      </c>
      <c r="H8019" s="206" t="s">
        <v>182</v>
      </c>
      <c r="I8019" s="206"/>
    </row>
    <row r="8020" spans="1:9" ht="15" hidden="1" customHeight="1">
      <c r="A8020" s="205">
        <v>45610</v>
      </c>
      <c r="B8020" s="722" t="s">
        <v>6380</v>
      </c>
      <c r="C8020" s="729" t="s">
        <v>27</v>
      </c>
      <c r="D8020" s="784">
        <v>-497933</v>
      </c>
      <c r="E8020" s="727">
        <v>45597</v>
      </c>
      <c r="F8020" s="206" t="s">
        <v>130</v>
      </c>
      <c r="G8020" s="206" t="s">
        <v>130</v>
      </c>
      <c r="H8020" s="206" t="s">
        <v>182</v>
      </c>
      <c r="I8020" s="206"/>
    </row>
    <row r="8021" spans="1:9" ht="15" hidden="1" customHeight="1">
      <c r="A8021" s="205">
        <v>45610</v>
      </c>
      <c r="B8021" s="722" t="s">
        <v>6381</v>
      </c>
      <c r="C8021" s="729" t="s">
        <v>27</v>
      </c>
      <c r="D8021" s="784">
        <v>-181067</v>
      </c>
      <c r="E8021" s="727">
        <v>45597</v>
      </c>
      <c r="F8021" s="206" t="s">
        <v>130</v>
      </c>
      <c r="G8021" s="206" t="s">
        <v>130</v>
      </c>
      <c r="H8021" s="206" t="s">
        <v>182</v>
      </c>
      <c r="I8021" s="206"/>
    </row>
    <row r="8022" spans="1:9" ht="15" hidden="1" customHeight="1">
      <c r="A8022" s="205">
        <v>45610</v>
      </c>
      <c r="B8022" s="722" t="s">
        <v>6382</v>
      </c>
      <c r="C8022" s="729" t="s">
        <v>27</v>
      </c>
      <c r="D8022" s="784">
        <v>-679000</v>
      </c>
      <c r="E8022" s="727">
        <v>45597</v>
      </c>
      <c r="F8022" s="206" t="s">
        <v>130</v>
      </c>
      <c r="G8022" s="206" t="s">
        <v>130</v>
      </c>
      <c r="H8022" s="206" t="s">
        <v>182</v>
      </c>
      <c r="I8022" s="206"/>
    </row>
    <row r="8023" spans="1:9" ht="15" hidden="1" customHeight="1">
      <c r="A8023" s="205">
        <v>45610</v>
      </c>
      <c r="B8023" s="208" t="s">
        <v>6383</v>
      </c>
      <c r="C8023" s="729" t="s">
        <v>27</v>
      </c>
      <c r="D8023" s="784">
        <v>-339000</v>
      </c>
      <c r="E8023" s="727">
        <v>45597</v>
      </c>
      <c r="F8023" s="206" t="s">
        <v>109</v>
      </c>
      <c r="G8023" s="601" t="s">
        <v>581</v>
      </c>
      <c r="I8023" s="206"/>
    </row>
    <row r="8024" spans="1:9" ht="15" hidden="1" customHeight="1">
      <c r="A8024" s="205">
        <v>45610</v>
      </c>
      <c r="B8024" s="208" t="s">
        <v>3935</v>
      </c>
      <c r="C8024" s="729" t="s">
        <v>27</v>
      </c>
      <c r="D8024" s="784">
        <v>-20900</v>
      </c>
      <c r="E8024" s="727">
        <v>45597</v>
      </c>
      <c r="F8024" s="206" t="s">
        <v>109</v>
      </c>
      <c r="G8024" s="206" t="s">
        <v>2809</v>
      </c>
      <c r="H8024" s="206" t="s">
        <v>6316</v>
      </c>
      <c r="I8024" s="206"/>
    </row>
    <row r="8025" spans="1:9" ht="15" hidden="1" customHeight="1">
      <c r="A8025" s="205">
        <v>45610</v>
      </c>
      <c r="B8025" s="208" t="s">
        <v>6384</v>
      </c>
      <c r="C8025" s="729" t="s">
        <v>27</v>
      </c>
      <c r="D8025" s="784">
        <v>-2314000</v>
      </c>
      <c r="E8025" s="727">
        <v>45597</v>
      </c>
      <c r="F8025" s="206" t="s">
        <v>130</v>
      </c>
      <c r="G8025" s="206" t="s">
        <v>130</v>
      </c>
      <c r="H8025" s="206" t="s">
        <v>323</v>
      </c>
      <c r="I8025" s="206"/>
    </row>
    <row r="8026" spans="1:9" ht="15" hidden="1" customHeight="1">
      <c r="A8026" s="205">
        <v>45603</v>
      </c>
      <c r="B8026" s="208" t="s">
        <v>6385</v>
      </c>
      <c r="C8026" s="206" t="s">
        <v>269</v>
      </c>
      <c r="D8026" s="211">
        <v>-32000</v>
      </c>
      <c r="E8026" s="207">
        <v>45597</v>
      </c>
      <c r="F8026" s="206" t="s">
        <v>130</v>
      </c>
      <c r="G8026" s="206" t="s">
        <v>257</v>
      </c>
      <c r="H8026" s="84" t="s">
        <v>2032</v>
      </c>
      <c r="I8026" s="206"/>
    </row>
    <row r="8027" spans="1:9" ht="15" hidden="1" customHeight="1">
      <c r="A8027" s="205">
        <v>45603</v>
      </c>
      <c r="B8027" s="208" t="s">
        <v>6385</v>
      </c>
      <c r="C8027" s="206" t="s">
        <v>269</v>
      </c>
      <c r="D8027" s="211">
        <v>-42000</v>
      </c>
      <c r="E8027" s="207">
        <v>45597</v>
      </c>
      <c r="F8027" s="206" t="s">
        <v>130</v>
      </c>
      <c r="G8027" s="206" t="s">
        <v>257</v>
      </c>
      <c r="H8027" s="84" t="s">
        <v>2032</v>
      </c>
      <c r="I8027" s="206"/>
    </row>
    <row r="8028" spans="1:9" ht="15" hidden="1" customHeight="1">
      <c r="A8028" s="205">
        <v>45603</v>
      </c>
      <c r="B8028" s="208" t="s">
        <v>6385</v>
      </c>
      <c r="C8028" s="206" t="s">
        <v>269</v>
      </c>
      <c r="D8028" s="211">
        <v>-45000</v>
      </c>
      <c r="E8028" s="207">
        <v>45597</v>
      </c>
      <c r="F8028" s="206" t="s">
        <v>130</v>
      </c>
      <c r="G8028" s="206" t="s">
        <v>257</v>
      </c>
      <c r="H8028" s="84" t="s">
        <v>2032</v>
      </c>
      <c r="I8028" s="206"/>
    </row>
    <row r="8029" spans="1:9" ht="15" hidden="1" customHeight="1">
      <c r="A8029" s="205">
        <v>45603</v>
      </c>
      <c r="B8029" s="208" t="s">
        <v>6386</v>
      </c>
      <c r="C8029" s="206" t="s">
        <v>269</v>
      </c>
      <c r="D8029" s="211">
        <v>-60000</v>
      </c>
      <c r="E8029" s="207">
        <v>45597</v>
      </c>
      <c r="F8029" s="206" t="s">
        <v>130</v>
      </c>
      <c r="G8029" s="206" t="s">
        <v>257</v>
      </c>
      <c r="H8029" s="206" t="s">
        <v>303</v>
      </c>
      <c r="I8029" s="206"/>
    </row>
    <row r="8030" spans="1:9" ht="15" hidden="1" customHeight="1">
      <c r="A8030" s="205">
        <v>45609</v>
      </c>
      <c r="B8030" s="208" t="s">
        <v>6387</v>
      </c>
      <c r="C8030" s="206" t="s">
        <v>3331</v>
      </c>
      <c r="D8030" s="730">
        <v>542864</v>
      </c>
      <c r="E8030" s="207">
        <v>45597</v>
      </c>
      <c r="F8030" s="206" t="s">
        <v>108</v>
      </c>
      <c r="I8030" s="206"/>
    </row>
    <row r="8031" spans="1:9" ht="15" hidden="1" customHeight="1">
      <c r="A8031" s="205">
        <v>45601</v>
      </c>
      <c r="B8031" s="208" t="s">
        <v>6388</v>
      </c>
      <c r="C8031" s="206" t="s">
        <v>146</v>
      </c>
      <c r="D8031" s="211">
        <v>-3800</v>
      </c>
      <c r="E8031" s="207">
        <v>45597</v>
      </c>
      <c r="F8031" s="206" t="s">
        <v>109</v>
      </c>
      <c r="G8031" s="206" t="s">
        <v>5990</v>
      </c>
      <c r="I8031" s="206"/>
    </row>
    <row r="8032" spans="1:9" ht="15" hidden="1" customHeight="1">
      <c r="A8032" s="205">
        <v>45601</v>
      </c>
      <c r="B8032" s="732" t="s">
        <v>6389</v>
      </c>
      <c r="C8032" s="206" t="s">
        <v>146</v>
      </c>
      <c r="D8032" s="211">
        <v>-18900</v>
      </c>
      <c r="E8032" s="207">
        <v>45597</v>
      </c>
      <c r="F8032" s="206" t="s">
        <v>110</v>
      </c>
      <c r="G8032" s="201" t="s">
        <v>1489</v>
      </c>
      <c r="H8032" s="208" t="s">
        <v>2941</v>
      </c>
      <c r="I8032" s="720" t="s">
        <v>5410</v>
      </c>
    </row>
    <row r="8033" spans="1:9" ht="15" hidden="1" customHeight="1">
      <c r="A8033" s="205">
        <v>45603</v>
      </c>
      <c r="B8033" s="733" t="s">
        <v>6390</v>
      </c>
      <c r="C8033" s="206" t="s">
        <v>146</v>
      </c>
      <c r="D8033" s="211">
        <v>-22000</v>
      </c>
      <c r="E8033" s="207">
        <v>45597</v>
      </c>
      <c r="F8033" s="206" t="s">
        <v>130</v>
      </c>
      <c r="G8033" s="206" t="s">
        <v>257</v>
      </c>
      <c r="H8033" s="81" t="s">
        <v>138</v>
      </c>
      <c r="I8033" s="206"/>
    </row>
    <row r="8034" spans="1:9" ht="15" hidden="1" customHeight="1">
      <c r="A8034" s="205">
        <v>45603</v>
      </c>
      <c r="B8034" s="734" t="s">
        <v>6391</v>
      </c>
      <c r="C8034" s="206" t="s">
        <v>146</v>
      </c>
      <c r="D8034" s="211">
        <v>-8000</v>
      </c>
      <c r="E8034" s="207">
        <v>45597</v>
      </c>
      <c r="F8034" s="206" t="s">
        <v>130</v>
      </c>
      <c r="G8034" s="206" t="s">
        <v>257</v>
      </c>
      <c r="H8034" s="81" t="s">
        <v>138</v>
      </c>
      <c r="I8034" s="206"/>
    </row>
    <row r="8035" spans="1:9" ht="15" hidden="1" customHeight="1">
      <c r="A8035" s="205">
        <v>45603</v>
      </c>
      <c r="B8035" s="734" t="s">
        <v>6392</v>
      </c>
      <c r="C8035" s="206" t="s">
        <v>146</v>
      </c>
      <c r="D8035" s="211">
        <v>-22000</v>
      </c>
      <c r="E8035" s="207">
        <v>45597</v>
      </c>
      <c r="F8035" s="206" t="s">
        <v>130</v>
      </c>
      <c r="G8035" s="206" t="s">
        <v>257</v>
      </c>
      <c r="H8035" s="81" t="s">
        <v>138</v>
      </c>
      <c r="I8035" s="206"/>
    </row>
    <row r="8036" spans="1:9" ht="15" hidden="1" customHeight="1">
      <c r="A8036" s="205">
        <v>45610</v>
      </c>
      <c r="B8036" s="208" t="s">
        <v>6140</v>
      </c>
      <c r="C8036" s="206" t="s">
        <v>146</v>
      </c>
      <c r="D8036" s="211">
        <v>-9000</v>
      </c>
      <c r="E8036" s="207">
        <v>45597</v>
      </c>
      <c r="F8036" s="206" t="s">
        <v>110</v>
      </c>
      <c r="G8036" s="208" t="s">
        <v>5469</v>
      </c>
      <c r="H8036" s="81" t="s">
        <v>138</v>
      </c>
      <c r="I8036" s="206"/>
    </row>
    <row r="8037" spans="1:9" ht="15" hidden="1" customHeight="1">
      <c r="A8037" s="205">
        <v>45610</v>
      </c>
      <c r="B8037" s="208" t="s">
        <v>6293</v>
      </c>
      <c r="C8037" s="206" t="s">
        <v>146</v>
      </c>
      <c r="D8037" s="211">
        <v>-9000</v>
      </c>
      <c r="E8037" s="207">
        <v>45597</v>
      </c>
      <c r="F8037" s="206" t="s">
        <v>109</v>
      </c>
      <c r="G8037" s="208" t="s">
        <v>4986</v>
      </c>
      <c r="H8037" s="81" t="s">
        <v>138</v>
      </c>
      <c r="I8037" s="206"/>
    </row>
    <row r="8038" spans="1:9" ht="15" hidden="1" customHeight="1">
      <c r="A8038" s="205">
        <v>45611</v>
      </c>
      <c r="B8038" s="208" t="s">
        <v>6393</v>
      </c>
      <c r="C8038" s="206" t="s">
        <v>146</v>
      </c>
      <c r="D8038" s="211">
        <v>-70000</v>
      </c>
      <c r="E8038" s="207">
        <v>45597</v>
      </c>
      <c r="F8038" s="206" t="s">
        <v>130</v>
      </c>
      <c r="G8038" s="206" t="s">
        <v>130</v>
      </c>
      <c r="H8038" s="206" t="s">
        <v>323</v>
      </c>
      <c r="I8038" s="206"/>
    </row>
    <row r="8039" spans="1:9" ht="15" hidden="1" customHeight="1">
      <c r="A8039" s="205">
        <v>45611</v>
      </c>
      <c r="B8039" s="208" t="s">
        <v>6394</v>
      </c>
      <c r="C8039" s="206" t="s">
        <v>146</v>
      </c>
      <c r="D8039" s="211">
        <v>-280000</v>
      </c>
      <c r="E8039" s="207">
        <v>45597</v>
      </c>
      <c r="F8039" s="206" t="s">
        <v>109</v>
      </c>
      <c r="G8039" s="206" t="s">
        <v>4625</v>
      </c>
      <c r="I8039" s="206"/>
    </row>
    <row r="8040" spans="1:9" ht="15" hidden="1" customHeight="1">
      <c r="A8040" s="205">
        <v>45611</v>
      </c>
      <c r="B8040" s="208" t="s">
        <v>6395</v>
      </c>
      <c r="C8040" s="206" t="s">
        <v>146</v>
      </c>
      <c r="D8040" s="211">
        <v>-668400</v>
      </c>
      <c r="E8040" s="207">
        <v>45597</v>
      </c>
      <c r="F8040" s="206" t="s">
        <v>109</v>
      </c>
      <c r="G8040" s="208" t="s">
        <v>4986</v>
      </c>
      <c r="H8040" s="201" t="s">
        <v>416</v>
      </c>
      <c r="I8040" s="206"/>
    </row>
    <row r="8041" spans="1:9" ht="15" hidden="1" customHeight="1">
      <c r="A8041" s="205">
        <v>45611</v>
      </c>
      <c r="B8041" s="208" t="s">
        <v>2663</v>
      </c>
      <c r="C8041" s="206" t="s">
        <v>146</v>
      </c>
      <c r="D8041" s="211">
        <v>-47000</v>
      </c>
      <c r="E8041" s="207">
        <v>45597</v>
      </c>
      <c r="F8041" s="206" t="s">
        <v>130</v>
      </c>
      <c r="G8041" s="206" t="s">
        <v>130</v>
      </c>
      <c r="H8041" s="81" t="s">
        <v>138</v>
      </c>
      <c r="I8041" s="206"/>
    </row>
    <row r="8042" spans="1:9" ht="15" hidden="1" customHeight="1">
      <c r="A8042" s="205">
        <v>45611</v>
      </c>
      <c r="B8042" s="208" t="s">
        <v>2663</v>
      </c>
      <c r="C8042" s="206" t="s">
        <v>146</v>
      </c>
      <c r="D8042" s="211">
        <v>-12000</v>
      </c>
      <c r="E8042" s="207">
        <v>45597</v>
      </c>
      <c r="F8042" s="206" t="s">
        <v>110</v>
      </c>
      <c r="G8042" s="208" t="s">
        <v>4990</v>
      </c>
      <c r="H8042" s="81" t="s">
        <v>138</v>
      </c>
      <c r="I8042" s="206"/>
    </row>
    <row r="8043" spans="1:9" ht="15" hidden="1" customHeight="1">
      <c r="A8043" s="205">
        <v>45611</v>
      </c>
      <c r="B8043" s="208" t="s">
        <v>2663</v>
      </c>
      <c r="C8043" s="206" t="s">
        <v>146</v>
      </c>
      <c r="D8043" s="211">
        <v>-56000</v>
      </c>
      <c r="E8043" s="207">
        <v>45597</v>
      </c>
      <c r="F8043" s="206" t="s">
        <v>109</v>
      </c>
      <c r="G8043" s="208" t="s">
        <v>4986</v>
      </c>
      <c r="H8043" s="81" t="s">
        <v>138</v>
      </c>
      <c r="I8043" s="206"/>
    </row>
    <row r="8044" spans="1:9" ht="15" hidden="1" customHeight="1">
      <c r="A8044" s="205">
        <v>45611</v>
      </c>
      <c r="B8044" s="208" t="s">
        <v>2663</v>
      </c>
      <c r="C8044" s="206" t="s">
        <v>146</v>
      </c>
      <c r="D8044" s="211">
        <v>-45480</v>
      </c>
      <c r="E8044" s="207">
        <v>45597</v>
      </c>
      <c r="F8044" s="206" t="s">
        <v>110</v>
      </c>
      <c r="G8044" s="208" t="s">
        <v>5469</v>
      </c>
      <c r="H8044" s="81" t="s">
        <v>138</v>
      </c>
      <c r="I8044" s="206"/>
    </row>
    <row r="8045" spans="1:9" ht="15" hidden="1" customHeight="1">
      <c r="A8045" s="205">
        <v>45611</v>
      </c>
      <c r="B8045" s="208" t="s">
        <v>2663</v>
      </c>
      <c r="C8045" s="206" t="s">
        <v>146</v>
      </c>
      <c r="D8045" s="211">
        <v>-35000</v>
      </c>
      <c r="E8045" s="207">
        <v>45597</v>
      </c>
      <c r="F8045" s="206" t="s">
        <v>207</v>
      </c>
      <c r="G8045" s="201" t="s">
        <v>777</v>
      </c>
      <c r="H8045" s="81" t="s">
        <v>138</v>
      </c>
      <c r="I8045" s="206"/>
    </row>
    <row r="8046" spans="1:9" ht="15" hidden="1" customHeight="1">
      <c r="A8046" s="205">
        <v>45611</v>
      </c>
      <c r="B8046" s="208" t="s">
        <v>2663</v>
      </c>
      <c r="C8046" s="206" t="s">
        <v>146</v>
      </c>
      <c r="D8046" s="211">
        <v>-7000</v>
      </c>
      <c r="E8046" s="207">
        <v>45597</v>
      </c>
      <c r="F8046" s="206" t="s">
        <v>109</v>
      </c>
      <c r="G8046" s="201" t="s">
        <v>581</v>
      </c>
      <c r="H8046" s="81" t="s">
        <v>138</v>
      </c>
      <c r="I8046" s="206"/>
    </row>
    <row r="8047" spans="1:9" ht="15" hidden="1" customHeight="1">
      <c r="A8047" s="205">
        <v>45611</v>
      </c>
      <c r="B8047" s="208" t="s">
        <v>2663</v>
      </c>
      <c r="C8047" s="206" t="s">
        <v>146</v>
      </c>
      <c r="D8047" s="211">
        <v>-7000</v>
      </c>
      <c r="E8047" s="207">
        <v>45597</v>
      </c>
      <c r="F8047" s="206" t="s">
        <v>109</v>
      </c>
      <c r="G8047" s="201" t="s">
        <v>583</v>
      </c>
      <c r="H8047" s="81" t="s">
        <v>138</v>
      </c>
      <c r="I8047" s="206"/>
    </row>
    <row r="8048" spans="1:9" ht="15" hidden="1" customHeight="1">
      <c r="A8048" s="205">
        <v>45611</v>
      </c>
      <c r="B8048" s="208" t="s">
        <v>2663</v>
      </c>
      <c r="C8048" s="206" t="s">
        <v>146</v>
      </c>
      <c r="D8048" s="211">
        <v>-7000</v>
      </c>
      <c r="E8048" s="207">
        <v>45597</v>
      </c>
      <c r="F8048" s="206" t="s">
        <v>109</v>
      </c>
      <c r="G8048" s="208" t="s">
        <v>4225</v>
      </c>
      <c r="H8048" s="81" t="s">
        <v>138</v>
      </c>
      <c r="I8048" s="720" t="s">
        <v>5410</v>
      </c>
    </row>
    <row r="8049" spans="1:9" ht="15" hidden="1" customHeight="1">
      <c r="A8049" s="205">
        <v>45608</v>
      </c>
      <c r="B8049" s="732" t="s">
        <v>6396</v>
      </c>
      <c r="C8049" s="206" t="s">
        <v>146</v>
      </c>
      <c r="D8049" s="211">
        <v>-80000</v>
      </c>
      <c r="E8049" s="207">
        <v>45597</v>
      </c>
      <c r="F8049" s="206" t="s">
        <v>109</v>
      </c>
      <c r="G8049" s="201" t="s">
        <v>581</v>
      </c>
      <c r="I8049" s="206"/>
    </row>
    <row r="8050" spans="1:9" ht="15" hidden="1" customHeight="1">
      <c r="A8050" s="205">
        <v>45609</v>
      </c>
      <c r="B8050" s="733" t="s">
        <v>6397</v>
      </c>
      <c r="C8050" s="206" t="s">
        <v>146</v>
      </c>
      <c r="D8050" s="211">
        <v>-128000</v>
      </c>
      <c r="E8050" s="207">
        <v>45597</v>
      </c>
      <c r="F8050" s="206" t="s">
        <v>109</v>
      </c>
      <c r="G8050" s="201" t="s">
        <v>581</v>
      </c>
      <c r="I8050" s="206"/>
    </row>
    <row r="8051" spans="1:9" ht="15" hidden="1" customHeight="1">
      <c r="A8051" s="205">
        <v>45609</v>
      </c>
      <c r="B8051" s="733" t="s">
        <v>6398</v>
      </c>
      <c r="C8051" s="206" t="s">
        <v>146</v>
      </c>
      <c r="D8051" s="211">
        <v>-15000</v>
      </c>
      <c r="E8051" s="207">
        <v>45597</v>
      </c>
      <c r="F8051" s="206" t="s">
        <v>109</v>
      </c>
      <c r="G8051" s="201" t="s">
        <v>581</v>
      </c>
      <c r="I8051" s="206"/>
    </row>
    <row r="8052" spans="1:9" ht="15" hidden="1" customHeight="1">
      <c r="A8052" s="205">
        <v>45610</v>
      </c>
      <c r="B8052" s="733" t="s">
        <v>6399</v>
      </c>
      <c r="C8052" s="206" t="s">
        <v>146</v>
      </c>
      <c r="D8052" s="211">
        <v>-20000</v>
      </c>
      <c r="E8052" s="207">
        <v>45597</v>
      </c>
      <c r="F8052" s="206" t="s">
        <v>109</v>
      </c>
      <c r="G8052" s="201" t="s">
        <v>581</v>
      </c>
      <c r="I8052" s="206"/>
    </row>
    <row r="8053" spans="1:9" ht="15" hidden="1" customHeight="1">
      <c r="A8053" s="205">
        <v>45608</v>
      </c>
      <c r="B8053" s="732" t="s">
        <v>6275</v>
      </c>
      <c r="C8053" s="206" t="s">
        <v>146</v>
      </c>
      <c r="D8053" s="211">
        <v>-15200</v>
      </c>
      <c r="E8053" s="207">
        <v>45597</v>
      </c>
      <c r="F8053" s="206" t="s">
        <v>130</v>
      </c>
      <c r="G8053" s="206" t="s">
        <v>130</v>
      </c>
      <c r="H8053" s="206" t="s">
        <v>2444</v>
      </c>
      <c r="I8053" s="206"/>
    </row>
    <row r="8054" spans="1:9" ht="15" hidden="1" customHeight="1">
      <c r="A8054" s="205">
        <v>45608</v>
      </c>
      <c r="B8054" s="733" t="s">
        <v>6400</v>
      </c>
      <c r="C8054" s="206" t="s">
        <v>146</v>
      </c>
      <c r="D8054" s="211">
        <v>-67120</v>
      </c>
      <c r="E8054" s="207">
        <v>45597</v>
      </c>
      <c r="F8054" s="206" t="s">
        <v>110</v>
      </c>
      <c r="G8054" s="206" t="s">
        <v>774</v>
      </c>
      <c r="H8054" s="201" t="s">
        <v>416</v>
      </c>
      <c r="I8054" s="720" t="s">
        <v>5410</v>
      </c>
    </row>
    <row r="8055" spans="1:9" ht="15" hidden="1" customHeight="1">
      <c r="A8055" s="205">
        <v>45608</v>
      </c>
      <c r="B8055" s="733" t="s">
        <v>6401</v>
      </c>
      <c r="C8055" s="206" t="s">
        <v>146</v>
      </c>
      <c r="D8055" s="211">
        <v>-50686</v>
      </c>
      <c r="E8055" s="207">
        <v>45597</v>
      </c>
      <c r="F8055" s="206" t="s">
        <v>110</v>
      </c>
      <c r="G8055" s="208" t="s">
        <v>4990</v>
      </c>
      <c r="H8055" s="81" t="s">
        <v>138</v>
      </c>
      <c r="I8055" s="206"/>
    </row>
    <row r="8056" spans="1:9" ht="15" hidden="1" customHeight="1">
      <c r="A8056" s="205">
        <v>45609</v>
      </c>
      <c r="B8056" s="734" t="s">
        <v>6402</v>
      </c>
      <c r="C8056" s="206" t="s">
        <v>146</v>
      </c>
      <c r="D8056" s="211">
        <v>-26900</v>
      </c>
      <c r="E8056" s="207">
        <v>45597</v>
      </c>
      <c r="F8056" s="206" t="s">
        <v>109</v>
      </c>
      <c r="G8056" s="208" t="s">
        <v>4986</v>
      </c>
      <c r="H8056" s="201" t="s">
        <v>1166</v>
      </c>
      <c r="I8056" s="206"/>
    </row>
    <row r="8057" spans="1:9" ht="15" hidden="1" customHeight="1">
      <c r="A8057" s="205">
        <v>45609</v>
      </c>
      <c r="B8057" s="734" t="s">
        <v>6275</v>
      </c>
      <c r="C8057" s="206" t="s">
        <v>146</v>
      </c>
      <c r="D8057" s="211">
        <v>-15200</v>
      </c>
      <c r="E8057" s="207">
        <v>45597</v>
      </c>
      <c r="F8057" s="206" t="s">
        <v>110</v>
      </c>
      <c r="G8057" s="208" t="s">
        <v>5469</v>
      </c>
      <c r="H8057" s="208" t="s">
        <v>175</v>
      </c>
      <c r="I8057" s="206"/>
    </row>
    <row r="8058" spans="1:9" ht="15" hidden="1" customHeight="1">
      <c r="A8058" s="205">
        <v>45609</v>
      </c>
      <c r="B8058" s="734" t="s">
        <v>6403</v>
      </c>
      <c r="C8058" s="206" t="s">
        <v>146</v>
      </c>
      <c r="D8058" s="211">
        <v>-56000</v>
      </c>
      <c r="E8058" s="207">
        <v>45597</v>
      </c>
      <c r="F8058" s="206" t="s">
        <v>110</v>
      </c>
      <c r="G8058" s="208" t="s">
        <v>4990</v>
      </c>
      <c r="H8058" s="81" t="s">
        <v>138</v>
      </c>
      <c r="I8058" s="720" t="s">
        <v>5410</v>
      </c>
    </row>
    <row r="8059" spans="1:9" ht="15" hidden="1" customHeight="1">
      <c r="A8059" s="205">
        <v>45609</v>
      </c>
      <c r="B8059" s="734" t="s">
        <v>6404</v>
      </c>
      <c r="C8059" s="206" t="s">
        <v>146</v>
      </c>
      <c r="D8059" s="211">
        <v>-75799</v>
      </c>
      <c r="E8059" s="207">
        <v>45597</v>
      </c>
      <c r="F8059" s="206" t="s">
        <v>109</v>
      </c>
      <c r="G8059" s="208" t="s">
        <v>4986</v>
      </c>
      <c r="H8059" s="208" t="s">
        <v>175</v>
      </c>
      <c r="I8059" s="206"/>
    </row>
    <row r="8060" spans="1:9" ht="15" hidden="1" customHeight="1">
      <c r="A8060" s="205">
        <v>45610</v>
      </c>
      <c r="B8060" s="734" t="s">
        <v>6405</v>
      </c>
      <c r="C8060" s="206" t="s">
        <v>146</v>
      </c>
      <c r="D8060" s="211">
        <v>-130799</v>
      </c>
      <c r="E8060" s="207">
        <v>45597</v>
      </c>
      <c r="F8060" s="206" t="s">
        <v>109</v>
      </c>
      <c r="G8060" s="208" t="s">
        <v>4986</v>
      </c>
      <c r="H8060" s="208" t="s">
        <v>175</v>
      </c>
      <c r="I8060" s="206"/>
    </row>
    <row r="8061" spans="1:9" ht="15" hidden="1" customHeight="1">
      <c r="A8061" s="205">
        <v>45610</v>
      </c>
      <c r="B8061" s="734" t="s">
        <v>6406</v>
      </c>
      <c r="C8061" s="206" t="s">
        <v>146</v>
      </c>
      <c r="D8061" s="211">
        <v>-9299</v>
      </c>
      <c r="E8061" s="207">
        <v>45597</v>
      </c>
      <c r="F8061" s="206" t="s">
        <v>109</v>
      </c>
      <c r="G8061" s="208" t="s">
        <v>4986</v>
      </c>
      <c r="H8061" s="201" t="s">
        <v>1166</v>
      </c>
      <c r="I8061" s="206"/>
    </row>
    <row r="8062" spans="1:9" ht="15" hidden="1" customHeight="1">
      <c r="A8062" s="205">
        <v>45610</v>
      </c>
      <c r="B8062" s="734" t="s">
        <v>6407</v>
      </c>
      <c r="C8062" s="206" t="s">
        <v>146</v>
      </c>
      <c r="D8062" s="211">
        <v>-4600</v>
      </c>
      <c r="E8062" s="207">
        <v>45597</v>
      </c>
      <c r="F8062" s="206" t="s">
        <v>109</v>
      </c>
      <c r="G8062" s="208" t="s">
        <v>4986</v>
      </c>
      <c r="H8062" s="208" t="s">
        <v>175</v>
      </c>
      <c r="I8062" s="206"/>
    </row>
    <row r="8063" spans="1:9" ht="15" hidden="1" customHeight="1">
      <c r="A8063" s="205">
        <v>45610</v>
      </c>
      <c r="B8063" s="734" t="s">
        <v>6408</v>
      </c>
      <c r="C8063" s="206" t="s">
        <v>146</v>
      </c>
      <c r="D8063" s="211">
        <v>-8100</v>
      </c>
      <c r="E8063" s="207">
        <v>45597</v>
      </c>
      <c r="F8063" s="206" t="s">
        <v>109</v>
      </c>
      <c r="G8063" s="208" t="s">
        <v>4986</v>
      </c>
      <c r="H8063" s="208" t="s">
        <v>175</v>
      </c>
      <c r="I8063" s="206"/>
    </row>
    <row r="8064" spans="1:9" ht="15" hidden="1" customHeight="1">
      <c r="A8064" s="205">
        <v>45611</v>
      </c>
      <c r="B8064" s="208" t="s">
        <v>6409</v>
      </c>
      <c r="C8064" s="206" t="s">
        <v>146</v>
      </c>
      <c r="D8064" s="211">
        <v>-700033</v>
      </c>
      <c r="E8064" s="207">
        <v>45597</v>
      </c>
      <c r="F8064" s="206" t="s">
        <v>130</v>
      </c>
      <c r="G8064" s="206" t="s">
        <v>130</v>
      </c>
      <c r="H8064" s="206" t="s">
        <v>2444</v>
      </c>
      <c r="I8064" s="206"/>
    </row>
    <row r="8065" spans="1:9" ht="15" hidden="1" customHeight="1">
      <c r="A8065" s="205">
        <v>45601</v>
      </c>
      <c r="B8065" s="741" t="s">
        <v>6410</v>
      </c>
      <c r="C8065" s="206" t="s">
        <v>4783</v>
      </c>
      <c r="D8065" s="718">
        <v>400000000</v>
      </c>
      <c r="E8065" s="207">
        <v>45597</v>
      </c>
      <c r="F8065" s="206" t="s">
        <v>707</v>
      </c>
      <c r="G8065" s="206" t="s">
        <v>4625</v>
      </c>
      <c r="I8065" s="206"/>
    </row>
    <row r="8066" spans="1:9" ht="15" hidden="1" customHeight="1">
      <c r="A8066" s="205">
        <v>45611</v>
      </c>
      <c r="B8066" s="208" t="s">
        <v>6411</v>
      </c>
      <c r="C8066" s="729" t="s">
        <v>27</v>
      </c>
      <c r="D8066" s="784">
        <v>-7500000</v>
      </c>
      <c r="E8066" s="727">
        <v>45597</v>
      </c>
      <c r="F8066" s="206" t="s">
        <v>109</v>
      </c>
      <c r="G8066" s="201" t="s">
        <v>581</v>
      </c>
      <c r="I8066" s="206"/>
    </row>
    <row r="8067" spans="1:9" ht="15" hidden="1" customHeight="1">
      <c r="A8067" s="205">
        <v>45611</v>
      </c>
      <c r="B8067" s="208" t="s">
        <v>6412</v>
      </c>
      <c r="C8067" s="729" t="s">
        <v>27</v>
      </c>
      <c r="D8067" s="784">
        <v>-884179.5</v>
      </c>
      <c r="E8067" s="727">
        <v>45597</v>
      </c>
      <c r="F8067" s="206" t="s">
        <v>109</v>
      </c>
      <c r="G8067" s="201" t="s">
        <v>581</v>
      </c>
      <c r="H8067" s="735"/>
      <c r="I8067" s="206"/>
    </row>
    <row r="8068" spans="1:9" ht="15" hidden="1" customHeight="1">
      <c r="A8068" s="205">
        <v>45611</v>
      </c>
      <c r="B8068" s="208" t="s">
        <v>6412</v>
      </c>
      <c r="C8068" s="729" t="s">
        <v>27</v>
      </c>
      <c r="D8068" s="784">
        <v>-884179.5</v>
      </c>
      <c r="E8068" s="727">
        <v>45597</v>
      </c>
      <c r="F8068" s="206" t="s">
        <v>109</v>
      </c>
      <c r="G8068" s="201" t="s">
        <v>583</v>
      </c>
      <c r="I8068" s="206"/>
    </row>
    <row r="8069" spans="1:9" ht="15" hidden="1" customHeight="1">
      <c r="A8069" s="205">
        <v>45611</v>
      </c>
      <c r="B8069" s="208" t="s">
        <v>6412</v>
      </c>
      <c r="C8069" s="729" t="s">
        <v>27</v>
      </c>
      <c r="D8069" s="784">
        <v>-2453863.2999999998</v>
      </c>
      <c r="E8069" s="727">
        <v>45597</v>
      </c>
      <c r="F8069" s="206" t="s">
        <v>109</v>
      </c>
      <c r="G8069" s="206" t="s">
        <v>5990</v>
      </c>
      <c r="I8069" s="206"/>
    </row>
    <row r="8070" spans="1:9" ht="15" hidden="1" customHeight="1">
      <c r="A8070" s="205">
        <v>45611</v>
      </c>
      <c r="B8070" s="208" t="s">
        <v>6412</v>
      </c>
      <c r="C8070" s="729" t="s">
        <v>27</v>
      </c>
      <c r="D8070" s="784">
        <v>-2453863.2999999998</v>
      </c>
      <c r="E8070" s="727">
        <v>45597</v>
      </c>
      <c r="F8070" s="206" t="s">
        <v>109</v>
      </c>
      <c r="G8070" s="206" t="s">
        <v>4625</v>
      </c>
      <c r="I8070" s="206"/>
    </row>
    <row r="8071" spans="1:9" ht="15" hidden="1" customHeight="1">
      <c r="A8071" s="205">
        <v>45611</v>
      </c>
      <c r="B8071" s="208" t="s">
        <v>6413</v>
      </c>
      <c r="C8071" s="729" t="s">
        <v>27</v>
      </c>
      <c r="D8071" s="784">
        <v>-5460730.1500000004</v>
      </c>
      <c r="E8071" s="727">
        <v>45597</v>
      </c>
      <c r="F8071" s="206" t="s">
        <v>130</v>
      </c>
      <c r="G8071" s="206" t="s">
        <v>130</v>
      </c>
      <c r="H8071" s="206" t="s">
        <v>131</v>
      </c>
      <c r="I8071" s="206"/>
    </row>
    <row r="8072" spans="1:9" ht="15" hidden="1" customHeight="1">
      <c r="A8072" s="205">
        <v>45611</v>
      </c>
      <c r="B8072" s="208" t="s">
        <v>6414</v>
      </c>
      <c r="C8072" s="729" t="s">
        <v>4314</v>
      </c>
      <c r="D8072" s="737">
        <v>-189938.44</v>
      </c>
      <c r="E8072" s="727">
        <v>45597</v>
      </c>
      <c r="F8072" s="206" t="s">
        <v>130</v>
      </c>
      <c r="G8072" s="206" t="s">
        <v>130</v>
      </c>
      <c r="H8072" s="81" t="s">
        <v>138</v>
      </c>
      <c r="I8072" s="206"/>
    </row>
    <row r="8073" spans="1:9" ht="15" hidden="1" customHeight="1">
      <c r="A8073" s="205">
        <v>45611</v>
      </c>
      <c r="B8073" s="208" t="s">
        <v>6415</v>
      </c>
      <c r="C8073" s="729" t="s">
        <v>27</v>
      </c>
      <c r="D8073" s="784">
        <v>-200000</v>
      </c>
      <c r="E8073" s="727">
        <v>45597</v>
      </c>
      <c r="F8073" s="206" t="s">
        <v>109</v>
      </c>
      <c r="G8073" s="201" t="s">
        <v>918</v>
      </c>
      <c r="H8073" s="208" t="s">
        <v>175</v>
      </c>
      <c r="I8073" s="720" t="s">
        <v>5410</v>
      </c>
    </row>
    <row r="8074" spans="1:9" ht="15" hidden="1" customHeight="1">
      <c r="A8074" s="205">
        <v>45611</v>
      </c>
      <c r="B8074" s="208" t="s">
        <v>6416</v>
      </c>
      <c r="C8074" s="729" t="s">
        <v>27</v>
      </c>
      <c r="D8074" s="784">
        <v>-6855285.4100000001</v>
      </c>
      <c r="E8074" s="727">
        <v>45597</v>
      </c>
      <c r="F8074" s="206" t="s">
        <v>109</v>
      </c>
      <c r="G8074" s="201" t="s">
        <v>581</v>
      </c>
      <c r="H8074" s="201" t="s">
        <v>549</v>
      </c>
      <c r="I8074" s="206"/>
    </row>
    <row r="8075" spans="1:9" ht="15" hidden="1" customHeight="1">
      <c r="A8075" s="205">
        <v>45611</v>
      </c>
      <c r="B8075" s="208" t="s">
        <v>6417</v>
      </c>
      <c r="C8075" s="729" t="s">
        <v>4314</v>
      </c>
      <c r="D8075" s="737">
        <v>-244183.85</v>
      </c>
      <c r="E8075" s="727">
        <v>45597</v>
      </c>
      <c r="F8075" s="206" t="s">
        <v>109</v>
      </c>
      <c r="G8075" s="201" t="s">
        <v>581</v>
      </c>
      <c r="I8075" s="206"/>
    </row>
    <row r="8076" spans="1:9" ht="15" hidden="1" customHeight="1">
      <c r="A8076" s="205">
        <v>45611</v>
      </c>
      <c r="B8076" s="208" t="s">
        <v>6418</v>
      </c>
      <c r="C8076" s="729" t="s">
        <v>27</v>
      </c>
      <c r="D8076" s="784">
        <v>-280000</v>
      </c>
      <c r="E8076" s="727">
        <v>45597</v>
      </c>
      <c r="F8076" s="206" t="s">
        <v>130</v>
      </c>
      <c r="G8076" s="206" t="s">
        <v>130</v>
      </c>
      <c r="H8076" s="206" t="s">
        <v>852</v>
      </c>
      <c r="I8076" s="206"/>
    </row>
    <row r="8077" spans="1:9" ht="15" hidden="1" customHeight="1">
      <c r="A8077" s="205">
        <v>45611</v>
      </c>
      <c r="B8077" s="208" t="s">
        <v>6419</v>
      </c>
      <c r="C8077" s="729" t="s">
        <v>27</v>
      </c>
      <c r="D8077" s="784">
        <v>-569825</v>
      </c>
      <c r="E8077" s="727">
        <v>45597</v>
      </c>
      <c r="F8077" s="206" t="s">
        <v>130</v>
      </c>
      <c r="G8077" s="206" t="s">
        <v>130</v>
      </c>
      <c r="H8077" s="262" t="s">
        <v>2724</v>
      </c>
      <c r="I8077" s="206"/>
    </row>
    <row r="8078" spans="1:9" ht="15" hidden="1" customHeight="1">
      <c r="A8078" s="205">
        <v>45611</v>
      </c>
      <c r="B8078" s="208" t="s">
        <v>6420</v>
      </c>
      <c r="C8078" s="729" t="s">
        <v>4314</v>
      </c>
      <c r="D8078" s="737">
        <v>-19820</v>
      </c>
      <c r="E8078" s="727">
        <v>45597</v>
      </c>
      <c r="F8078" s="206" t="s">
        <v>130</v>
      </c>
      <c r="G8078" s="206" t="s">
        <v>130</v>
      </c>
      <c r="H8078" s="81" t="s">
        <v>138</v>
      </c>
      <c r="I8078" s="206"/>
    </row>
    <row r="8079" spans="1:9" ht="15" hidden="1" customHeight="1">
      <c r="A8079" s="205">
        <v>45611</v>
      </c>
      <c r="B8079" s="208" t="s">
        <v>6421</v>
      </c>
      <c r="C8079" s="729" t="s">
        <v>27</v>
      </c>
      <c r="D8079" s="784">
        <v>-270000</v>
      </c>
      <c r="E8079" s="727">
        <v>45597</v>
      </c>
      <c r="F8079" s="206" t="s">
        <v>109</v>
      </c>
      <c r="G8079" s="201" t="s">
        <v>581</v>
      </c>
      <c r="H8079" s="206" t="s">
        <v>6422</v>
      </c>
      <c r="I8079" s="206"/>
    </row>
    <row r="8080" spans="1:9" ht="15" hidden="1" customHeight="1">
      <c r="A8080" s="205">
        <v>45610</v>
      </c>
      <c r="B8080" s="208" t="s">
        <v>6423</v>
      </c>
      <c r="C8080" s="729" t="s">
        <v>27</v>
      </c>
      <c r="D8080" s="784">
        <v>-55709000</v>
      </c>
      <c r="E8080" s="727">
        <v>45597</v>
      </c>
      <c r="F8080" s="206" t="s">
        <v>1702</v>
      </c>
      <c r="I8080" s="206"/>
    </row>
    <row r="8081" spans="1:9" ht="15" hidden="1" customHeight="1">
      <c r="A8081" s="205">
        <v>45611</v>
      </c>
      <c r="B8081" s="81" t="s">
        <v>3017</v>
      </c>
      <c r="C8081" s="208" t="s">
        <v>643</v>
      </c>
      <c r="D8081" s="730">
        <v>-123500</v>
      </c>
      <c r="E8081" s="207">
        <v>45597</v>
      </c>
      <c r="F8081" s="208" t="s">
        <v>130</v>
      </c>
      <c r="G8081" s="208" t="s">
        <v>130</v>
      </c>
      <c r="H8081" s="208" t="s">
        <v>1245</v>
      </c>
      <c r="I8081" s="206"/>
    </row>
    <row r="8082" spans="1:9" ht="15" hidden="1" customHeight="1">
      <c r="A8082" s="205">
        <v>45605</v>
      </c>
      <c r="B8082" s="81" t="s">
        <v>3017</v>
      </c>
      <c r="C8082" s="208" t="s">
        <v>643</v>
      </c>
      <c r="D8082" s="730">
        <v>-95520</v>
      </c>
      <c r="E8082" s="207">
        <v>45597</v>
      </c>
      <c r="F8082" s="208" t="s">
        <v>130</v>
      </c>
      <c r="G8082" s="208" t="s">
        <v>130</v>
      </c>
      <c r="H8082" s="208" t="s">
        <v>1245</v>
      </c>
      <c r="I8082" s="206"/>
    </row>
    <row r="8083" spans="1:9" ht="15" hidden="1" customHeight="1">
      <c r="A8083" s="205">
        <v>45608</v>
      </c>
      <c r="B8083" s="208" t="s">
        <v>6424</v>
      </c>
      <c r="C8083" s="208" t="s">
        <v>643</v>
      </c>
      <c r="D8083" s="730">
        <v>-186600</v>
      </c>
      <c r="E8083" s="207">
        <v>45597</v>
      </c>
      <c r="F8083" s="206" t="s">
        <v>130</v>
      </c>
      <c r="G8083" s="206" t="s">
        <v>257</v>
      </c>
      <c r="H8083" s="262" t="s">
        <v>1138</v>
      </c>
      <c r="I8083" s="206"/>
    </row>
    <row r="8084" spans="1:9" ht="15" hidden="1" customHeight="1">
      <c r="A8084" s="205">
        <v>45609</v>
      </c>
      <c r="B8084" s="208" t="s">
        <v>6424</v>
      </c>
      <c r="C8084" s="208" t="s">
        <v>643</v>
      </c>
      <c r="D8084" s="730">
        <v>-800000</v>
      </c>
      <c r="E8084" s="207">
        <v>45597</v>
      </c>
      <c r="F8084" s="206" t="s">
        <v>130</v>
      </c>
      <c r="G8084" s="206" t="s">
        <v>257</v>
      </c>
      <c r="H8084" s="262" t="s">
        <v>1138</v>
      </c>
      <c r="I8084" s="206"/>
    </row>
    <row r="8085" spans="1:9" ht="15" hidden="1" customHeight="1">
      <c r="A8085" s="205">
        <v>45608</v>
      </c>
      <c r="B8085" s="208" t="s">
        <v>6425</v>
      </c>
      <c r="C8085" s="208" t="s">
        <v>643</v>
      </c>
      <c r="D8085" s="730">
        <v>-28600</v>
      </c>
      <c r="E8085" s="207">
        <v>45597</v>
      </c>
      <c r="F8085" s="206" t="s">
        <v>130</v>
      </c>
      <c r="G8085" s="206" t="s">
        <v>257</v>
      </c>
      <c r="H8085" s="262" t="s">
        <v>1138</v>
      </c>
      <c r="I8085" s="206"/>
    </row>
    <row r="8086" spans="1:9" ht="15" hidden="1" customHeight="1">
      <c r="A8086" s="205">
        <v>45609</v>
      </c>
      <c r="B8086" s="208" t="s">
        <v>6425</v>
      </c>
      <c r="C8086" s="208" t="s">
        <v>643</v>
      </c>
      <c r="D8086" s="730">
        <v>-23400</v>
      </c>
      <c r="E8086" s="207">
        <v>45597</v>
      </c>
      <c r="F8086" s="206" t="s">
        <v>130</v>
      </c>
      <c r="G8086" s="206" t="s">
        <v>257</v>
      </c>
      <c r="H8086" s="262" t="s">
        <v>1138</v>
      </c>
      <c r="I8086" s="206"/>
    </row>
    <row r="8087" spans="1:9" ht="15" hidden="1" customHeight="1">
      <c r="A8087" s="205">
        <v>45609</v>
      </c>
      <c r="B8087" s="208" t="s">
        <v>6425</v>
      </c>
      <c r="C8087" s="208" t="s">
        <v>643</v>
      </c>
      <c r="D8087" s="730">
        <v>-14500</v>
      </c>
      <c r="E8087" s="207">
        <v>45597</v>
      </c>
      <c r="F8087" s="206" t="s">
        <v>130</v>
      </c>
      <c r="G8087" s="206" t="s">
        <v>257</v>
      </c>
      <c r="H8087" s="262" t="s">
        <v>1138</v>
      </c>
      <c r="I8087" s="206"/>
    </row>
    <row r="8088" spans="1:9" ht="15" hidden="1" customHeight="1">
      <c r="A8088" s="205">
        <v>45609</v>
      </c>
      <c r="B8088" s="208" t="s">
        <v>6425</v>
      </c>
      <c r="C8088" s="208" t="s">
        <v>643</v>
      </c>
      <c r="D8088" s="730">
        <v>-16400</v>
      </c>
      <c r="E8088" s="207">
        <v>45597</v>
      </c>
      <c r="F8088" s="206" t="s">
        <v>130</v>
      </c>
      <c r="G8088" s="206" t="s">
        <v>257</v>
      </c>
      <c r="H8088" s="262" t="s">
        <v>1138</v>
      </c>
      <c r="I8088" s="720" t="s">
        <v>5410</v>
      </c>
    </row>
    <row r="8089" spans="1:9" ht="15" hidden="1" customHeight="1">
      <c r="A8089" s="205">
        <v>45602</v>
      </c>
      <c r="B8089" s="208" t="s">
        <v>1972</v>
      </c>
      <c r="C8089" s="729" t="s">
        <v>27</v>
      </c>
      <c r="D8089" s="718">
        <v>-400000000</v>
      </c>
      <c r="E8089" s="727">
        <v>45597</v>
      </c>
      <c r="F8089" s="206" t="s">
        <v>109</v>
      </c>
      <c r="G8089" s="201" t="s">
        <v>583</v>
      </c>
      <c r="I8089" s="206"/>
    </row>
    <row r="8090" spans="1:9" ht="15" hidden="1" customHeight="1">
      <c r="A8090" s="205">
        <v>45610</v>
      </c>
      <c r="B8090" s="208" t="s">
        <v>6426</v>
      </c>
      <c r="C8090" s="720" t="s">
        <v>4783</v>
      </c>
      <c r="D8090" s="730">
        <v>-44936581.200000003</v>
      </c>
      <c r="E8090" s="727">
        <v>45597</v>
      </c>
      <c r="F8090" s="206" t="s">
        <v>109</v>
      </c>
      <c r="G8090" s="206" t="s">
        <v>2809</v>
      </c>
      <c r="H8090" s="206" t="s">
        <v>4957</v>
      </c>
      <c r="I8090" s="720" t="s">
        <v>5410</v>
      </c>
    </row>
    <row r="8091" spans="1:9" ht="15" hidden="1" customHeight="1">
      <c r="A8091" s="205">
        <v>45608</v>
      </c>
      <c r="B8091" s="208" t="s">
        <v>6427</v>
      </c>
      <c r="C8091" s="729" t="s">
        <v>27</v>
      </c>
      <c r="D8091" s="737">
        <v>200000000</v>
      </c>
      <c r="E8091" s="727">
        <v>45597</v>
      </c>
      <c r="F8091" s="883" t="s">
        <v>707</v>
      </c>
      <c r="G8091" s="201" t="s">
        <v>581</v>
      </c>
      <c r="I8091" s="206"/>
    </row>
    <row r="8092" spans="1:9" ht="15" hidden="1" customHeight="1">
      <c r="A8092" s="205">
        <v>45609</v>
      </c>
      <c r="B8092" s="655" t="s">
        <v>6428</v>
      </c>
      <c r="C8092" s="729" t="s">
        <v>27</v>
      </c>
      <c r="D8092" s="737">
        <v>381655428</v>
      </c>
      <c r="E8092" s="727">
        <v>45597</v>
      </c>
      <c r="F8092" s="206" t="s">
        <v>109</v>
      </c>
      <c r="G8092" s="208" t="s">
        <v>4986</v>
      </c>
      <c r="I8092" s="206"/>
    </row>
    <row r="8093" spans="1:9" ht="15" hidden="1" customHeight="1">
      <c r="A8093" s="728">
        <v>45610</v>
      </c>
      <c r="B8093" s="742" t="s">
        <v>6429</v>
      </c>
      <c r="C8093" s="729" t="s">
        <v>27</v>
      </c>
      <c r="D8093" s="737">
        <v>2203851</v>
      </c>
      <c r="E8093" s="727">
        <v>45597</v>
      </c>
      <c r="F8093" s="206" t="s">
        <v>109</v>
      </c>
      <c r="G8093" s="601" t="s">
        <v>581</v>
      </c>
      <c r="I8093" s="206"/>
    </row>
    <row r="8094" spans="1:9" ht="15" hidden="1" customHeight="1">
      <c r="A8094" s="728">
        <v>45611</v>
      </c>
      <c r="B8094" s="736" t="s">
        <v>6430</v>
      </c>
      <c r="C8094" s="729" t="s">
        <v>27</v>
      </c>
      <c r="D8094" s="737">
        <v>6059754</v>
      </c>
      <c r="E8094" s="727">
        <v>45597</v>
      </c>
      <c r="F8094" s="206" t="s">
        <v>118</v>
      </c>
      <c r="I8094" s="206"/>
    </row>
    <row r="8095" spans="1:9" ht="15" hidden="1" customHeight="1">
      <c r="A8095" s="205">
        <v>45611</v>
      </c>
      <c r="B8095" s="638" t="s">
        <v>6431</v>
      </c>
      <c r="C8095" s="729" t="s">
        <v>27</v>
      </c>
      <c r="D8095" s="737">
        <v>1636366</v>
      </c>
      <c r="E8095" s="727">
        <v>45597</v>
      </c>
      <c r="F8095" s="206" t="s">
        <v>108</v>
      </c>
      <c r="I8095" s="206"/>
    </row>
    <row r="8096" spans="1:9" ht="15" hidden="1" customHeight="1">
      <c r="A8096" s="205">
        <v>45611</v>
      </c>
      <c r="B8096" s="208" t="s">
        <v>6432</v>
      </c>
      <c r="C8096" s="729" t="s">
        <v>27</v>
      </c>
      <c r="D8096" s="784">
        <v>-869108</v>
      </c>
      <c r="E8096" s="727">
        <v>45597</v>
      </c>
      <c r="F8096" s="206" t="s">
        <v>130</v>
      </c>
      <c r="G8096" s="206" t="s">
        <v>130</v>
      </c>
      <c r="H8096" s="206" t="s">
        <v>2444</v>
      </c>
      <c r="I8096" s="206"/>
    </row>
    <row r="8097" spans="1:9" ht="15" hidden="1" customHeight="1">
      <c r="A8097" s="205">
        <v>45610</v>
      </c>
      <c r="B8097" s="208" t="s">
        <v>6433</v>
      </c>
      <c r="C8097" s="729" t="s">
        <v>27</v>
      </c>
      <c r="D8097" s="784">
        <v>-29000</v>
      </c>
      <c r="E8097" s="727">
        <v>45597</v>
      </c>
      <c r="F8097" s="206" t="s">
        <v>1702</v>
      </c>
      <c r="I8097" s="206"/>
    </row>
    <row r="8098" spans="1:9" ht="15" hidden="1" customHeight="1">
      <c r="A8098" s="205">
        <v>45610</v>
      </c>
      <c r="B8098" s="208" t="s">
        <v>6434</v>
      </c>
      <c r="C8098" s="729" t="s">
        <v>27</v>
      </c>
      <c r="D8098" s="737">
        <v>679000</v>
      </c>
      <c r="E8098" s="727">
        <v>45597</v>
      </c>
      <c r="F8098" s="206" t="s">
        <v>130</v>
      </c>
      <c r="G8098" s="206" t="s">
        <v>130</v>
      </c>
      <c r="H8098" s="206" t="s">
        <v>2444</v>
      </c>
      <c r="I8098" s="206"/>
    </row>
    <row r="8099" spans="1:9" ht="15" hidden="1" customHeight="1">
      <c r="A8099" s="205">
        <v>45610</v>
      </c>
      <c r="B8099" s="208" t="s">
        <v>6435</v>
      </c>
      <c r="C8099" s="729" t="s">
        <v>27</v>
      </c>
      <c r="D8099" s="737">
        <v>917333</v>
      </c>
      <c r="E8099" s="727">
        <v>45597</v>
      </c>
      <c r="F8099" s="206" t="s">
        <v>130</v>
      </c>
      <c r="G8099" s="206" t="s">
        <v>130</v>
      </c>
      <c r="H8099" s="206" t="s">
        <v>2444</v>
      </c>
      <c r="I8099" s="206"/>
    </row>
    <row r="8100" spans="1:9" ht="15" hidden="1" customHeight="1">
      <c r="A8100" s="205">
        <v>45595</v>
      </c>
      <c r="B8100" s="714" t="s">
        <v>6436</v>
      </c>
      <c r="C8100" s="206" t="s">
        <v>269</v>
      </c>
      <c r="D8100" s="211">
        <v>-8000</v>
      </c>
      <c r="E8100" s="727">
        <v>45597</v>
      </c>
      <c r="F8100" s="206" t="s">
        <v>110</v>
      </c>
      <c r="G8100" s="208" t="s">
        <v>5469</v>
      </c>
      <c r="H8100" s="81" t="s">
        <v>138</v>
      </c>
      <c r="I8100" s="206" t="s">
        <v>5430</v>
      </c>
    </row>
    <row r="8101" spans="1:9" ht="15" hidden="1" customHeight="1">
      <c r="A8101" s="205">
        <v>45595</v>
      </c>
      <c r="B8101" s="714" t="s">
        <v>6437</v>
      </c>
      <c r="C8101" s="206" t="s">
        <v>269</v>
      </c>
      <c r="D8101" s="211">
        <v>-7000</v>
      </c>
      <c r="E8101" s="727">
        <v>45597</v>
      </c>
      <c r="F8101" s="206" t="s">
        <v>110</v>
      </c>
      <c r="G8101" s="208" t="s">
        <v>4294</v>
      </c>
      <c r="H8101" s="81" t="s">
        <v>138</v>
      </c>
      <c r="I8101" s="206" t="s">
        <v>5430</v>
      </c>
    </row>
    <row r="8102" spans="1:9" ht="15" hidden="1" customHeight="1">
      <c r="A8102" s="205">
        <v>45595</v>
      </c>
      <c r="B8102" s="714" t="s">
        <v>6438</v>
      </c>
      <c r="C8102" s="206" t="s">
        <v>269</v>
      </c>
      <c r="D8102" s="211">
        <v>-7000</v>
      </c>
      <c r="E8102" s="727">
        <v>45597</v>
      </c>
      <c r="F8102" s="206" t="s">
        <v>110</v>
      </c>
      <c r="G8102" s="208" t="s">
        <v>4294</v>
      </c>
      <c r="H8102" s="81" t="s">
        <v>138</v>
      </c>
      <c r="I8102" s="206" t="s">
        <v>5430</v>
      </c>
    </row>
    <row r="8103" spans="1:9" ht="15" hidden="1" customHeight="1">
      <c r="A8103" s="205">
        <v>45595</v>
      </c>
      <c r="B8103" s="738" t="s">
        <v>6439</v>
      </c>
      <c r="C8103" s="206" t="s">
        <v>269</v>
      </c>
      <c r="D8103" s="211">
        <v>-30000</v>
      </c>
      <c r="E8103" s="727">
        <v>45597</v>
      </c>
      <c r="F8103" s="206" t="s">
        <v>110</v>
      </c>
      <c r="G8103" s="208" t="s">
        <v>4294</v>
      </c>
      <c r="H8103" s="81" t="s">
        <v>138</v>
      </c>
      <c r="I8103" s="206" t="s">
        <v>5430</v>
      </c>
    </row>
    <row r="8104" spans="1:9" ht="15" hidden="1" customHeight="1">
      <c r="A8104" s="205">
        <v>45595</v>
      </c>
      <c r="B8104" s="738" t="s">
        <v>6440</v>
      </c>
      <c r="C8104" s="206" t="s">
        <v>269</v>
      </c>
      <c r="D8104" s="211">
        <v>-5000</v>
      </c>
      <c r="E8104" s="727">
        <v>45597</v>
      </c>
      <c r="F8104" s="206" t="s">
        <v>110</v>
      </c>
      <c r="G8104" s="208" t="s">
        <v>4294</v>
      </c>
      <c r="H8104" s="201" t="s">
        <v>416</v>
      </c>
      <c r="I8104" s="206" t="s">
        <v>5430</v>
      </c>
    </row>
    <row r="8105" spans="1:9" ht="15" hidden="1" customHeight="1">
      <c r="A8105" s="205">
        <v>45595</v>
      </c>
      <c r="B8105" s="738" t="s">
        <v>6441</v>
      </c>
      <c r="C8105" s="206" t="s">
        <v>269</v>
      </c>
      <c r="D8105" s="211">
        <v>-49960</v>
      </c>
      <c r="E8105" s="727">
        <v>45597</v>
      </c>
      <c r="F8105" s="206" t="s">
        <v>110</v>
      </c>
      <c r="G8105" s="208" t="s">
        <v>5503</v>
      </c>
      <c r="H8105" s="201" t="s">
        <v>416</v>
      </c>
      <c r="I8105" s="720" t="s">
        <v>5410</v>
      </c>
    </row>
    <row r="8106" spans="1:9" ht="15" hidden="1" customHeight="1">
      <c r="A8106" s="205">
        <v>45595</v>
      </c>
      <c r="B8106" s="738" t="s">
        <v>6442</v>
      </c>
      <c r="C8106" s="206" t="s">
        <v>269</v>
      </c>
      <c r="D8106" s="211">
        <v>-48000</v>
      </c>
      <c r="E8106" s="727">
        <v>45597</v>
      </c>
      <c r="F8106" s="206" t="s">
        <v>110</v>
      </c>
      <c r="G8106" s="208" t="s">
        <v>5469</v>
      </c>
      <c r="H8106" s="201" t="s">
        <v>1166</v>
      </c>
      <c r="I8106" s="206" t="s">
        <v>5430</v>
      </c>
    </row>
    <row r="8107" spans="1:9" ht="15" hidden="1" customHeight="1">
      <c r="A8107" s="205">
        <v>45595</v>
      </c>
      <c r="B8107" s="738" t="s">
        <v>6443</v>
      </c>
      <c r="C8107" s="206" t="s">
        <v>269</v>
      </c>
      <c r="D8107" s="211">
        <v>-3000</v>
      </c>
      <c r="E8107" s="727">
        <v>45597</v>
      </c>
      <c r="F8107" s="206" t="s">
        <v>110</v>
      </c>
      <c r="G8107" s="208" t="s">
        <v>5469</v>
      </c>
      <c r="H8107" s="208" t="s">
        <v>175</v>
      </c>
      <c r="I8107" s="206" t="s">
        <v>5430</v>
      </c>
    </row>
    <row r="8108" spans="1:9" ht="15" hidden="1" customHeight="1">
      <c r="A8108" s="205">
        <v>45595</v>
      </c>
      <c r="B8108" s="738" t="s">
        <v>6444</v>
      </c>
      <c r="C8108" s="206" t="s">
        <v>269</v>
      </c>
      <c r="D8108" s="211">
        <v>-11340</v>
      </c>
      <c r="E8108" s="727">
        <v>45597</v>
      </c>
      <c r="F8108" s="206" t="s">
        <v>110</v>
      </c>
      <c r="G8108" s="208" t="s">
        <v>5469</v>
      </c>
      <c r="H8108" s="208" t="s">
        <v>175</v>
      </c>
      <c r="I8108" s="206" t="s">
        <v>5430</v>
      </c>
    </row>
    <row r="8109" spans="1:9" ht="15" hidden="1" customHeight="1">
      <c r="A8109" s="205">
        <v>45595</v>
      </c>
      <c r="B8109" s="738" t="s">
        <v>6275</v>
      </c>
      <c r="C8109" s="206" t="s">
        <v>269</v>
      </c>
      <c r="D8109" s="211">
        <v>-15200</v>
      </c>
      <c r="E8109" s="727">
        <v>45597</v>
      </c>
      <c r="F8109" s="206" t="s">
        <v>109</v>
      </c>
      <c r="G8109" s="208" t="s">
        <v>4986</v>
      </c>
      <c r="H8109" s="208" t="s">
        <v>175</v>
      </c>
      <c r="I8109" s="206" t="s">
        <v>5430</v>
      </c>
    </row>
    <row r="8110" spans="1:9" ht="15" hidden="1" customHeight="1">
      <c r="A8110" s="205">
        <v>45595</v>
      </c>
      <c r="B8110" s="738" t="s">
        <v>6275</v>
      </c>
      <c r="C8110" s="206" t="s">
        <v>269</v>
      </c>
      <c r="D8110" s="211">
        <v>-14000</v>
      </c>
      <c r="E8110" s="727">
        <v>45597</v>
      </c>
      <c r="F8110" s="206" t="s">
        <v>110</v>
      </c>
      <c r="G8110" s="208" t="s">
        <v>5469</v>
      </c>
      <c r="H8110" s="208" t="s">
        <v>175</v>
      </c>
      <c r="I8110" s="206" t="s">
        <v>5430</v>
      </c>
    </row>
    <row r="8111" spans="1:9" ht="15" hidden="1" customHeight="1">
      <c r="A8111" s="205">
        <v>45595</v>
      </c>
      <c r="B8111" s="738" t="s">
        <v>6275</v>
      </c>
      <c r="C8111" s="206" t="s">
        <v>269</v>
      </c>
      <c r="D8111" s="211">
        <v>-14000</v>
      </c>
      <c r="E8111" s="727">
        <v>45597</v>
      </c>
      <c r="F8111" s="206" t="s">
        <v>130</v>
      </c>
      <c r="G8111" s="738" t="s">
        <v>130</v>
      </c>
      <c r="H8111" s="738" t="s">
        <v>2444</v>
      </c>
      <c r="I8111" s="720" t="s">
        <v>5410</v>
      </c>
    </row>
    <row r="8112" spans="1:9" ht="15" hidden="1" customHeight="1">
      <c r="A8112" s="205">
        <v>45595</v>
      </c>
      <c r="B8112" s="738" t="s">
        <v>6445</v>
      </c>
      <c r="C8112" s="206" t="s">
        <v>269</v>
      </c>
      <c r="D8112" s="211">
        <v>-15000</v>
      </c>
      <c r="E8112" s="727">
        <v>45597</v>
      </c>
      <c r="F8112" s="206" t="s">
        <v>110</v>
      </c>
      <c r="G8112" s="208" t="s">
        <v>5469</v>
      </c>
      <c r="H8112" s="201" t="s">
        <v>1166</v>
      </c>
      <c r="I8112" s="206" t="s">
        <v>5430</v>
      </c>
    </row>
    <row r="8113" spans="1:9" ht="15" hidden="1" customHeight="1">
      <c r="A8113" s="205">
        <v>45595</v>
      </c>
      <c r="B8113" s="738" t="s">
        <v>6446</v>
      </c>
      <c r="C8113" s="206" t="s">
        <v>269</v>
      </c>
      <c r="D8113" s="211">
        <v>-4500</v>
      </c>
      <c r="E8113" s="727">
        <v>45597</v>
      </c>
      <c r="F8113" s="206" t="s">
        <v>109</v>
      </c>
      <c r="G8113" s="208" t="s">
        <v>4986</v>
      </c>
      <c r="H8113" s="208" t="s">
        <v>175</v>
      </c>
      <c r="I8113" s="720" t="s">
        <v>5410</v>
      </c>
    </row>
    <row r="8114" spans="1:9" ht="15" hidden="1" customHeight="1">
      <c r="A8114" s="205">
        <v>45595</v>
      </c>
      <c r="B8114" s="738" t="s">
        <v>6447</v>
      </c>
      <c r="C8114" s="206" t="s">
        <v>269</v>
      </c>
      <c r="D8114" s="211">
        <v>-12000</v>
      </c>
      <c r="E8114" s="727">
        <v>45597</v>
      </c>
      <c r="F8114" s="206" t="s">
        <v>110</v>
      </c>
      <c r="G8114" s="208" t="s">
        <v>5469</v>
      </c>
      <c r="H8114" s="208" t="s">
        <v>175</v>
      </c>
      <c r="I8114" s="206" t="s">
        <v>5430</v>
      </c>
    </row>
    <row r="8115" spans="1:9" ht="15" hidden="1" customHeight="1">
      <c r="A8115" s="205">
        <v>45595</v>
      </c>
      <c r="B8115" s="738" t="s">
        <v>6268</v>
      </c>
      <c r="C8115" s="206" t="s">
        <v>269</v>
      </c>
      <c r="D8115" s="211">
        <v>-20400</v>
      </c>
      <c r="E8115" s="727">
        <v>45597</v>
      </c>
      <c r="F8115" s="206" t="s">
        <v>110</v>
      </c>
      <c r="G8115" s="208" t="s">
        <v>5469</v>
      </c>
      <c r="H8115" s="208" t="s">
        <v>175</v>
      </c>
      <c r="I8115" s="206" t="s">
        <v>5430</v>
      </c>
    </row>
    <row r="8116" spans="1:9" ht="15" hidden="1" customHeight="1">
      <c r="A8116" s="205">
        <v>45595</v>
      </c>
      <c r="B8116" s="738" t="s">
        <v>6448</v>
      </c>
      <c r="C8116" s="206" t="s">
        <v>269</v>
      </c>
      <c r="D8116" s="211">
        <v>-34000</v>
      </c>
      <c r="E8116" s="727">
        <v>45597</v>
      </c>
      <c r="F8116" s="206" t="s">
        <v>110</v>
      </c>
      <c r="G8116" s="208" t="s">
        <v>5469</v>
      </c>
      <c r="H8116" s="208" t="s">
        <v>175</v>
      </c>
      <c r="I8116" s="720" t="s">
        <v>5410</v>
      </c>
    </row>
    <row r="8117" spans="1:9" s="463" customFormat="1" ht="15" hidden="1" customHeight="1">
      <c r="A8117" s="743">
        <v>45615</v>
      </c>
      <c r="B8117" s="744" t="s">
        <v>6140</v>
      </c>
      <c r="C8117" s="745" t="s">
        <v>269</v>
      </c>
      <c r="D8117" s="746">
        <v>-13000</v>
      </c>
      <c r="E8117" s="747">
        <v>45597</v>
      </c>
      <c r="F8117" s="745" t="s">
        <v>110</v>
      </c>
      <c r="G8117" s="208" t="s">
        <v>5469</v>
      </c>
      <c r="H8117" s="81" t="s">
        <v>138</v>
      </c>
      <c r="I8117" s="745" t="s">
        <v>6291</v>
      </c>
    </row>
    <row r="8118" spans="1:9" ht="15" hidden="1" customHeight="1">
      <c r="A8118" s="205">
        <v>45615</v>
      </c>
      <c r="B8118" s="738" t="s">
        <v>6293</v>
      </c>
      <c r="C8118" s="206" t="s">
        <v>269</v>
      </c>
      <c r="D8118" s="211">
        <v>-13500</v>
      </c>
      <c r="E8118" s="207">
        <v>45597</v>
      </c>
      <c r="F8118" s="206" t="s">
        <v>109</v>
      </c>
      <c r="G8118" s="208" t="s">
        <v>4986</v>
      </c>
      <c r="H8118" s="81" t="s">
        <v>138</v>
      </c>
      <c r="I8118" s="206" t="s">
        <v>6291</v>
      </c>
    </row>
    <row r="8119" spans="1:9" ht="15" hidden="1" customHeight="1">
      <c r="A8119" s="205">
        <v>45616</v>
      </c>
      <c r="B8119" s="738" t="s">
        <v>6449</v>
      </c>
      <c r="C8119" s="206" t="s">
        <v>3331</v>
      </c>
      <c r="D8119" s="730">
        <v>-607500</v>
      </c>
      <c r="E8119" s="207">
        <v>45597</v>
      </c>
      <c r="F8119" s="206" t="s">
        <v>130</v>
      </c>
      <c r="G8119" s="206" t="s">
        <v>130</v>
      </c>
      <c r="H8119" s="206" t="s">
        <v>2444</v>
      </c>
      <c r="I8119" s="206"/>
    </row>
    <row r="8120" spans="1:9" ht="15" hidden="1" customHeight="1">
      <c r="A8120" s="205">
        <v>45615</v>
      </c>
      <c r="B8120" s="738" t="s">
        <v>6140</v>
      </c>
      <c r="C8120" s="206" t="s">
        <v>269</v>
      </c>
      <c r="D8120" s="211">
        <v>-7000</v>
      </c>
      <c r="E8120" s="207">
        <v>45597</v>
      </c>
      <c r="F8120" s="206" t="s">
        <v>110</v>
      </c>
      <c r="G8120" s="208" t="s">
        <v>5469</v>
      </c>
      <c r="H8120" s="81" t="s">
        <v>138</v>
      </c>
      <c r="I8120" s="206" t="s">
        <v>6291</v>
      </c>
    </row>
    <row r="8121" spans="1:9" ht="15" hidden="1" customHeight="1">
      <c r="A8121" s="205">
        <v>45614</v>
      </c>
      <c r="B8121" s="738" t="s">
        <v>6450</v>
      </c>
      <c r="C8121" s="206" t="s">
        <v>269</v>
      </c>
      <c r="D8121" s="211">
        <v>-77000</v>
      </c>
      <c r="E8121" s="207">
        <v>45597</v>
      </c>
      <c r="F8121" s="206" t="s">
        <v>130</v>
      </c>
      <c r="G8121" s="206" t="s">
        <v>130</v>
      </c>
      <c r="H8121" s="262" t="s">
        <v>2724</v>
      </c>
      <c r="I8121" s="206"/>
    </row>
    <row r="8122" spans="1:9" ht="15" hidden="1" customHeight="1">
      <c r="A8122" s="748">
        <v>45610</v>
      </c>
      <c r="B8122" s="738" t="s">
        <v>6451</v>
      </c>
      <c r="C8122" s="206" t="s">
        <v>269</v>
      </c>
      <c r="D8122" s="211">
        <v>-25000</v>
      </c>
      <c r="E8122" s="207">
        <v>45597</v>
      </c>
      <c r="F8122" s="206" t="s">
        <v>110</v>
      </c>
      <c r="G8122" s="208" t="s">
        <v>4990</v>
      </c>
      <c r="H8122" s="201" t="s">
        <v>416</v>
      </c>
      <c r="I8122" s="206" t="s">
        <v>5430</v>
      </c>
    </row>
    <row r="8123" spans="1:9" ht="15" hidden="1" customHeight="1">
      <c r="A8123" s="749">
        <v>45610</v>
      </c>
      <c r="B8123" s="208" t="s">
        <v>6452</v>
      </c>
      <c r="C8123" s="206" t="s">
        <v>269</v>
      </c>
      <c r="D8123" s="211">
        <v>-30699</v>
      </c>
      <c r="E8123" s="207">
        <v>45597</v>
      </c>
      <c r="F8123" s="206" t="s">
        <v>109</v>
      </c>
      <c r="G8123" s="208" t="s">
        <v>4225</v>
      </c>
      <c r="H8123" s="208" t="s">
        <v>175</v>
      </c>
      <c r="I8123" s="206" t="s">
        <v>5430</v>
      </c>
    </row>
    <row r="8124" spans="1:9" ht="15" hidden="1" customHeight="1">
      <c r="A8124" s="749">
        <v>45610</v>
      </c>
      <c r="B8124" s="208" t="s">
        <v>6453</v>
      </c>
      <c r="C8124" s="206" t="s">
        <v>269</v>
      </c>
      <c r="D8124" s="211">
        <v>-29600</v>
      </c>
      <c r="E8124" s="207">
        <v>45597</v>
      </c>
      <c r="F8124" s="206" t="s">
        <v>130</v>
      </c>
      <c r="G8124" s="206" t="s">
        <v>130</v>
      </c>
      <c r="H8124" s="206" t="s">
        <v>2444</v>
      </c>
      <c r="I8124" s="206" t="s">
        <v>5430</v>
      </c>
    </row>
    <row r="8125" spans="1:9" ht="15" hidden="1" customHeight="1">
      <c r="A8125" s="749">
        <v>45610</v>
      </c>
      <c r="B8125" s="208" t="s">
        <v>6268</v>
      </c>
      <c r="C8125" s="206" t="s">
        <v>269</v>
      </c>
      <c r="D8125" s="211">
        <v>-16000</v>
      </c>
      <c r="E8125" s="207">
        <v>45597</v>
      </c>
      <c r="F8125" s="206" t="s">
        <v>110</v>
      </c>
      <c r="G8125" s="208" t="s">
        <v>5469</v>
      </c>
      <c r="H8125" s="208" t="s">
        <v>175</v>
      </c>
      <c r="I8125" s="206" t="s">
        <v>5430</v>
      </c>
    </row>
    <row r="8126" spans="1:9" ht="15" hidden="1" customHeight="1">
      <c r="A8126" s="749">
        <v>45611</v>
      </c>
      <c r="B8126" s="208" t="s">
        <v>6454</v>
      </c>
      <c r="C8126" s="206" t="s">
        <v>269</v>
      </c>
      <c r="D8126" s="211">
        <v>-5000</v>
      </c>
      <c r="E8126" s="207">
        <v>45597</v>
      </c>
      <c r="F8126" s="206" t="s">
        <v>109</v>
      </c>
      <c r="G8126" s="208" t="s">
        <v>4225</v>
      </c>
      <c r="H8126" s="208" t="s">
        <v>175</v>
      </c>
      <c r="I8126" s="206" t="s">
        <v>5430</v>
      </c>
    </row>
    <row r="8127" spans="1:9" ht="15" hidden="1" customHeight="1">
      <c r="A8127" s="749">
        <v>45611</v>
      </c>
      <c r="B8127" s="208" t="s">
        <v>6455</v>
      </c>
      <c r="C8127" s="206" t="s">
        <v>269</v>
      </c>
      <c r="D8127" s="211">
        <v>-21400</v>
      </c>
      <c r="E8127" s="207">
        <v>45597</v>
      </c>
      <c r="F8127" s="206" t="s">
        <v>109</v>
      </c>
      <c r="G8127" s="208" t="s">
        <v>4986</v>
      </c>
      <c r="H8127" s="208" t="s">
        <v>175</v>
      </c>
      <c r="I8127" s="206" t="s">
        <v>5430</v>
      </c>
    </row>
    <row r="8128" spans="1:9" ht="15" hidden="1" customHeight="1">
      <c r="A8128" s="749">
        <v>45611</v>
      </c>
      <c r="B8128" s="208" t="s">
        <v>6268</v>
      </c>
      <c r="C8128" s="206" t="s">
        <v>269</v>
      </c>
      <c r="D8128" s="211">
        <v>-16000</v>
      </c>
      <c r="E8128" s="207">
        <v>45597</v>
      </c>
      <c r="F8128" s="206" t="s">
        <v>110</v>
      </c>
      <c r="G8128" s="208" t="s">
        <v>5469</v>
      </c>
      <c r="H8128" s="208" t="s">
        <v>175</v>
      </c>
      <c r="I8128" s="206" t="s">
        <v>5430</v>
      </c>
    </row>
    <row r="8129" spans="1:9" ht="15" hidden="1" customHeight="1">
      <c r="A8129" s="749">
        <v>45611</v>
      </c>
      <c r="B8129" s="208" t="s">
        <v>6456</v>
      </c>
      <c r="C8129" s="206" t="s">
        <v>269</v>
      </c>
      <c r="D8129" s="211">
        <v>-180000</v>
      </c>
      <c r="E8129" s="207">
        <v>45597</v>
      </c>
      <c r="F8129" s="206" t="s">
        <v>109</v>
      </c>
      <c r="G8129" s="208" t="s">
        <v>4986</v>
      </c>
      <c r="H8129" s="201" t="s">
        <v>1166</v>
      </c>
      <c r="I8129" s="206" t="s">
        <v>5430</v>
      </c>
    </row>
    <row r="8130" spans="1:9" ht="15" hidden="1" customHeight="1">
      <c r="A8130" s="749">
        <v>45614</v>
      </c>
      <c r="B8130" s="208" t="s">
        <v>6268</v>
      </c>
      <c r="C8130" s="206" t="s">
        <v>269</v>
      </c>
      <c r="D8130" s="211">
        <v>-16000</v>
      </c>
      <c r="E8130" s="207">
        <v>45597</v>
      </c>
      <c r="F8130" s="206" t="s">
        <v>110</v>
      </c>
      <c r="G8130" s="208" t="s">
        <v>5469</v>
      </c>
      <c r="H8130" s="208" t="s">
        <v>175</v>
      </c>
      <c r="I8130" s="206" t="s">
        <v>5430</v>
      </c>
    </row>
    <row r="8131" spans="1:9" ht="15" hidden="1" customHeight="1">
      <c r="A8131" s="749">
        <v>45614</v>
      </c>
      <c r="B8131" s="208" t="s">
        <v>6275</v>
      </c>
      <c r="C8131" s="206" t="s">
        <v>269</v>
      </c>
      <c r="D8131" s="211">
        <v>-14000</v>
      </c>
      <c r="E8131" s="207">
        <v>45597</v>
      </c>
      <c r="F8131" s="206" t="s">
        <v>110</v>
      </c>
      <c r="G8131" s="208" t="s">
        <v>5469</v>
      </c>
      <c r="H8131" s="208" t="s">
        <v>175</v>
      </c>
      <c r="I8131" s="206" t="s">
        <v>5430</v>
      </c>
    </row>
    <row r="8132" spans="1:9" ht="15" hidden="1" customHeight="1">
      <c r="A8132" s="749">
        <v>45614</v>
      </c>
      <c r="B8132" s="208" t="s">
        <v>6275</v>
      </c>
      <c r="C8132" s="206" t="s">
        <v>269</v>
      </c>
      <c r="D8132" s="211">
        <v>-14000</v>
      </c>
      <c r="E8132" s="207">
        <v>45597</v>
      </c>
      <c r="F8132" s="206" t="s">
        <v>110</v>
      </c>
      <c r="G8132" s="208" t="s">
        <v>5469</v>
      </c>
      <c r="H8132" s="208" t="s">
        <v>175</v>
      </c>
      <c r="I8132" s="206" t="s">
        <v>5430</v>
      </c>
    </row>
    <row r="8133" spans="1:9" ht="15" hidden="1" customHeight="1">
      <c r="A8133" s="749">
        <v>45614</v>
      </c>
      <c r="B8133" s="738" t="s">
        <v>6457</v>
      </c>
      <c r="C8133" s="206" t="s">
        <v>269</v>
      </c>
      <c r="D8133" s="211">
        <v>-1200</v>
      </c>
      <c r="E8133" s="207">
        <v>45597</v>
      </c>
      <c r="F8133" s="206" t="s">
        <v>130</v>
      </c>
      <c r="G8133" s="206" t="s">
        <v>130</v>
      </c>
      <c r="H8133" s="206" t="s">
        <v>2444</v>
      </c>
      <c r="I8133" s="206" t="s">
        <v>5430</v>
      </c>
    </row>
    <row r="8134" spans="1:9" ht="15" hidden="1" customHeight="1">
      <c r="A8134" s="749">
        <v>45614</v>
      </c>
      <c r="B8134" s="208" t="s">
        <v>6458</v>
      </c>
      <c r="C8134" s="206" t="s">
        <v>269</v>
      </c>
      <c r="D8134" s="211">
        <v>-9800</v>
      </c>
      <c r="E8134" s="207">
        <v>45597</v>
      </c>
      <c r="F8134" s="206" t="s">
        <v>110</v>
      </c>
      <c r="G8134" s="208" t="s">
        <v>4990</v>
      </c>
      <c r="H8134" s="208" t="s">
        <v>175</v>
      </c>
      <c r="I8134" s="206" t="s">
        <v>5430</v>
      </c>
    </row>
    <row r="8135" spans="1:9" ht="15" hidden="1" customHeight="1">
      <c r="A8135" s="749">
        <v>45614</v>
      </c>
      <c r="B8135" s="208" t="s">
        <v>6459</v>
      </c>
      <c r="C8135" s="206" t="s">
        <v>269</v>
      </c>
      <c r="D8135" s="211">
        <v>-143458</v>
      </c>
      <c r="E8135" s="207">
        <v>45597</v>
      </c>
      <c r="F8135" s="206" t="s">
        <v>109</v>
      </c>
      <c r="G8135" s="208" t="s">
        <v>4986</v>
      </c>
      <c r="H8135" s="208" t="s">
        <v>175</v>
      </c>
      <c r="I8135" s="206" t="s">
        <v>5430</v>
      </c>
    </row>
    <row r="8136" spans="1:9" ht="15" hidden="1" customHeight="1">
      <c r="A8136" s="749">
        <v>45614</v>
      </c>
      <c r="B8136" s="208" t="s">
        <v>6460</v>
      </c>
      <c r="C8136" s="206" t="s">
        <v>269</v>
      </c>
      <c r="D8136" s="211">
        <v>-108601</v>
      </c>
      <c r="E8136" s="207">
        <v>45597</v>
      </c>
      <c r="F8136" s="206" t="s">
        <v>109</v>
      </c>
      <c r="G8136" s="208" t="s">
        <v>4986</v>
      </c>
      <c r="H8136" s="208" t="s">
        <v>175</v>
      </c>
      <c r="I8136" s="206" t="s">
        <v>5430</v>
      </c>
    </row>
    <row r="8137" spans="1:9" ht="15" hidden="1" customHeight="1">
      <c r="A8137" s="749">
        <v>45614</v>
      </c>
      <c r="B8137" s="208" t="s">
        <v>6148</v>
      </c>
      <c r="C8137" s="206" t="s">
        <v>269</v>
      </c>
      <c r="D8137" s="211">
        <v>-2000</v>
      </c>
      <c r="E8137" s="207">
        <v>45597</v>
      </c>
      <c r="F8137" s="206" t="s">
        <v>109</v>
      </c>
      <c r="G8137" s="208" t="s">
        <v>4986</v>
      </c>
      <c r="H8137" s="208" t="s">
        <v>175</v>
      </c>
      <c r="I8137" s="206" t="s">
        <v>5430</v>
      </c>
    </row>
    <row r="8138" spans="1:9" ht="15" hidden="1" customHeight="1">
      <c r="A8138" s="748">
        <v>45597</v>
      </c>
      <c r="B8138" s="208" t="s">
        <v>6461</v>
      </c>
      <c r="C8138" s="208" t="s">
        <v>146</v>
      </c>
      <c r="D8138" s="211">
        <v>-20000</v>
      </c>
      <c r="E8138" s="207">
        <v>45597</v>
      </c>
      <c r="F8138" s="206" t="s">
        <v>110</v>
      </c>
      <c r="G8138" s="208" t="s">
        <v>4294</v>
      </c>
      <c r="H8138" s="81" t="s">
        <v>138</v>
      </c>
      <c r="I8138" s="206" t="s">
        <v>4362</v>
      </c>
    </row>
    <row r="8139" spans="1:9" ht="15" hidden="1" customHeight="1">
      <c r="A8139" s="749">
        <v>45597</v>
      </c>
      <c r="B8139" s="208" t="s">
        <v>6462</v>
      </c>
      <c r="C8139" s="208" t="s">
        <v>146</v>
      </c>
      <c r="D8139" s="211">
        <v>-20000</v>
      </c>
      <c r="E8139" s="207">
        <v>45597</v>
      </c>
      <c r="F8139" s="206" t="s">
        <v>110</v>
      </c>
      <c r="G8139" s="208" t="s">
        <v>4294</v>
      </c>
      <c r="H8139" s="81" t="s">
        <v>138</v>
      </c>
      <c r="I8139" s="206" t="s">
        <v>4362</v>
      </c>
    </row>
    <row r="8140" spans="1:9" ht="15" hidden="1" customHeight="1">
      <c r="A8140" s="749">
        <v>45597</v>
      </c>
      <c r="B8140" s="208" t="s">
        <v>6463</v>
      </c>
      <c r="C8140" s="208" t="s">
        <v>146</v>
      </c>
      <c r="D8140" s="211">
        <v>-8000</v>
      </c>
      <c r="E8140" s="207">
        <v>45597</v>
      </c>
      <c r="F8140" s="206" t="s">
        <v>110</v>
      </c>
      <c r="G8140" s="208" t="s">
        <v>4294</v>
      </c>
      <c r="H8140" s="206" t="s">
        <v>6266</v>
      </c>
      <c r="I8140" s="206" t="s">
        <v>4362</v>
      </c>
    </row>
    <row r="8141" spans="1:9" ht="15" hidden="1" customHeight="1">
      <c r="A8141" s="749">
        <v>45604</v>
      </c>
      <c r="B8141" s="208" t="s">
        <v>6461</v>
      </c>
      <c r="C8141" s="208" t="s">
        <v>146</v>
      </c>
      <c r="D8141" s="211">
        <v>-20000</v>
      </c>
      <c r="E8141" s="207">
        <v>45597</v>
      </c>
      <c r="F8141" s="206" t="s">
        <v>110</v>
      </c>
      <c r="G8141" s="208" t="s">
        <v>4294</v>
      </c>
      <c r="H8141" s="81" t="s">
        <v>138</v>
      </c>
      <c r="I8141" s="206" t="s">
        <v>4362</v>
      </c>
    </row>
    <row r="8142" spans="1:9" ht="15" hidden="1" customHeight="1">
      <c r="A8142" s="749">
        <v>45604</v>
      </c>
      <c r="B8142" s="208" t="s">
        <v>6462</v>
      </c>
      <c r="C8142" s="208" t="s">
        <v>146</v>
      </c>
      <c r="D8142" s="211">
        <v>-20000</v>
      </c>
      <c r="E8142" s="207">
        <v>45597</v>
      </c>
      <c r="F8142" s="206" t="s">
        <v>110</v>
      </c>
      <c r="G8142" s="208" t="s">
        <v>4294</v>
      </c>
      <c r="H8142" s="81" t="s">
        <v>138</v>
      </c>
      <c r="I8142" s="206" t="s">
        <v>4362</v>
      </c>
    </row>
    <row r="8143" spans="1:9" ht="15" hidden="1" customHeight="1">
      <c r="A8143" s="749">
        <v>45604</v>
      </c>
      <c r="B8143" s="208" t="s">
        <v>6463</v>
      </c>
      <c r="C8143" s="208" t="s">
        <v>146</v>
      </c>
      <c r="D8143" s="211">
        <v>-6000</v>
      </c>
      <c r="E8143" s="207">
        <v>45597</v>
      </c>
      <c r="F8143" s="206" t="s">
        <v>110</v>
      </c>
      <c r="G8143" s="208" t="s">
        <v>4294</v>
      </c>
      <c r="H8143" s="81" t="s">
        <v>138</v>
      </c>
      <c r="I8143" s="206" t="s">
        <v>4362</v>
      </c>
    </row>
    <row r="8144" spans="1:9" ht="15" hidden="1" customHeight="1">
      <c r="A8144" s="749">
        <v>45604</v>
      </c>
      <c r="B8144" s="208" t="s">
        <v>6464</v>
      </c>
      <c r="C8144" s="208" t="s">
        <v>146</v>
      </c>
      <c r="D8144" s="211">
        <v>-15000</v>
      </c>
      <c r="E8144" s="207">
        <v>45597</v>
      </c>
      <c r="F8144" s="206" t="s">
        <v>110</v>
      </c>
      <c r="G8144" s="208" t="s">
        <v>4294</v>
      </c>
      <c r="H8144" s="81" t="s">
        <v>138</v>
      </c>
      <c r="I8144" s="206" t="s">
        <v>4362</v>
      </c>
    </row>
    <row r="8145" spans="1:9" ht="15" hidden="1" customHeight="1">
      <c r="A8145" s="205">
        <v>45603</v>
      </c>
      <c r="B8145" s="732" t="s">
        <v>6465</v>
      </c>
      <c r="C8145" s="208" t="s">
        <v>146</v>
      </c>
      <c r="D8145" s="211">
        <v>-12000</v>
      </c>
      <c r="E8145" s="207">
        <v>45597</v>
      </c>
      <c r="F8145" s="206" t="s">
        <v>207</v>
      </c>
      <c r="G8145" s="206" t="s">
        <v>207</v>
      </c>
      <c r="H8145" s="81" t="s">
        <v>138</v>
      </c>
      <c r="I8145" s="206" t="s">
        <v>59</v>
      </c>
    </row>
    <row r="8146" spans="1:9" ht="15" hidden="1" customHeight="1">
      <c r="A8146" s="205">
        <v>45603</v>
      </c>
      <c r="B8146" s="733" t="s">
        <v>6466</v>
      </c>
      <c r="C8146" s="208" t="s">
        <v>146</v>
      </c>
      <c r="D8146" s="211">
        <v>-37000</v>
      </c>
      <c r="E8146" s="207">
        <v>45597</v>
      </c>
      <c r="F8146" s="206" t="s">
        <v>207</v>
      </c>
      <c r="G8146" s="206" t="s">
        <v>207</v>
      </c>
      <c r="H8146" s="206" t="s">
        <v>852</v>
      </c>
      <c r="I8146" s="206" t="s">
        <v>59</v>
      </c>
    </row>
    <row r="8147" spans="1:9" ht="15" hidden="1" customHeight="1">
      <c r="A8147" s="205">
        <v>45603</v>
      </c>
      <c r="B8147" s="733" t="s">
        <v>6467</v>
      </c>
      <c r="C8147" s="208" t="s">
        <v>146</v>
      </c>
      <c r="D8147" s="211">
        <v>-21000</v>
      </c>
      <c r="E8147" s="207">
        <v>45597</v>
      </c>
      <c r="F8147" s="206" t="s">
        <v>207</v>
      </c>
      <c r="G8147" s="206" t="s">
        <v>207</v>
      </c>
      <c r="H8147" s="81" t="s">
        <v>138</v>
      </c>
      <c r="I8147" s="206" t="s">
        <v>59</v>
      </c>
    </row>
    <row r="8148" spans="1:9" ht="15" hidden="1" customHeight="1">
      <c r="A8148" s="205">
        <v>45611</v>
      </c>
      <c r="B8148" s="208" t="s">
        <v>6265</v>
      </c>
      <c r="C8148" s="208" t="s">
        <v>146</v>
      </c>
      <c r="D8148" s="211">
        <v>-3000</v>
      </c>
      <c r="E8148" s="207">
        <v>45597</v>
      </c>
      <c r="F8148" s="206" t="s">
        <v>109</v>
      </c>
      <c r="G8148" s="206" t="s">
        <v>5990</v>
      </c>
      <c r="H8148" s="206" t="s">
        <v>6266</v>
      </c>
      <c r="I8148" s="206" t="s">
        <v>5857</v>
      </c>
    </row>
    <row r="8149" spans="1:9" ht="15" hidden="1" customHeight="1">
      <c r="A8149" s="205">
        <v>45611</v>
      </c>
      <c r="B8149" s="208" t="s">
        <v>6265</v>
      </c>
      <c r="C8149" s="208" t="s">
        <v>146</v>
      </c>
      <c r="D8149" s="211">
        <v>-3000</v>
      </c>
      <c r="E8149" s="207">
        <v>45597</v>
      </c>
      <c r="F8149" s="206" t="s">
        <v>109</v>
      </c>
      <c r="G8149" s="201" t="s">
        <v>581</v>
      </c>
      <c r="H8149" s="206" t="s">
        <v>6266</v>
      </c>
      <c r="I8149" s="206" t="s">
        <v>5857</v>
      </c>
    </row>
    <row r="8150" spans="1:9" ht="15" hidden="1" customHeight="1">
      <c r="A8150" s="205">
        <v>45611</v>
      </c>
      <c r="B8150" s="208" t="s">
        <v>6267</v>
      </c>
      <c r="C8150" s="208" t="s">
        <v>146</v>
      </c>
      <c r="D8150" s="211">
        <v>-10000</v>
      </c>
      <c r="E8150" s="207">
        <v>45597</v>
      </c>
      <c r="F8150" s="206" t="s">
        <v>109</v>
      </c>
      <c r="G8150" s="206" t="s">
        <v>5990</v>
      </c>
      <c r="H8150" s="206" t="s">
        <v>6266</v>
      </c>
      <c r="I8150" s="206" t="s">
        <v>5857</v>
      </c>
    </row>
    <row r="8151" spans="1:9" ht="15" hidden="1" customHeight="1">
      <c r="A8151" s="205">
        <v>45611</v>
      </c>
      <c r="B8151" s="208" t="s">
        <v>6267</v>
      </c>
      <c r="C8151" s="208" t="s">
        <v>146</v>
      </c>
      <c r="D8151" s="211">
        <v>-10000</v>
      </c>
      <c r="E8151" s="207">
        <v>45597</v>
      </c>
      <c r="F8151" s="206" t="s">
        <v>109</v>
      </c>
      <c r="G8151" s="201" t="s">
        <v>581</v>
      </c>
      <c r="H8151" s="206" t="s">
        <v>6266</v>
      </c>
      <c r="I8151" s="206" t="s">
        <v>5857</v>
      </c>
    </row>
    <row r="8152" spans="1:9" ht="15" hidden="1" customHeight="1">
      <c r="A8152" s="205">
        <v>45611</v>
      </c>
      <c r="B8152" s="208" t="s">
        <v>6468</v>
      </c>
      <c r="C8152" s="208" t="s">
        <v>146</v>
      </c>
      <c r="D8152" s="211">
        <v>-17000</v>
      </c>
      <c r="E8152" s="207">
        <v>45597</v>
      </c>
      <c r="F8152" s="206" t="s">
        <v>109</v>
      </c>
      <c r="G8152" s="201" t="s">
        <v>581</v>
      </c>
      <c r="H8152" s="206" t="s">
        <v>6134</v>
      </c>
      <c r="I8152" s="206" t="s">
        <v>5857</v>
      </c>
    </row>
    <row r="8153" spans="1:9" ht="15" hidden="1" customHeight="1">
      <c r="A8153" s="205">
        <v>45611</v>
      </c>
      <c r="B8153" s="208" t="s">
        <v>268</v>
      </c>
      <c r="C8153" s="208" t="s">
        <v>146</v>
      </c>
      <c r="D8153" s="211">
        <v>-5000</v>
      </c>
      <c r="E8153" s="207">
        <v>45597</v>
      </c>
      <c r="F8153" s="206" t="s">
        <v>109</v>
      </c>
      <c r="G8153" s="206" t="s">
        <v>5990</v>
      </c>
      <c r="H8153" s="206" t="s">
        <v>6266</v>
      </c>
      <c r="I8153" s="206" t="s">
        <v>5857</v>
      </c>
    </row>
    <row r="8154" spans="1:9" ht="15" hidden="1" customHeight="1">
      <c r="A8154" s="205">
        <v>45611</v>
      </c>
      <c r="B8154" s="208" t="s">
        <v>268</v>
      </c>
      <c r="C8154" s="208" t="s">
        <v>146</v>
      </c>
      <c r="D8154" s="211">
        <v>-5000</v>
      </c>
      <c r="E8154" s="207">
        <v>45597</v>
      </c>
      <c r="F8154" s="206" t="s">
        <v>109</v>
      </c>
      <c r="G8154" s="201" t="s">
        <v>581</v>
      </c>
      <c r="H8154" s="206" t="s">
        <v>6266</v>
      </c>
      <c r="I8154" s="206" t="s">
        <v>5857</v>
      </c>
    </row>
    <row r="8155" spans="1:9" ht="15" hidden="1" customHeight="1">
      <c r="A8155" s="205">
        <v>45611</v>
      </c>
      <c r="B8155" s="208" t="s">
        <v>6469</v>
      </c>
      <c r="C8155" s="208" t="s">
        <v>146</v>
      </c>
      <c r="D8155" s="211">
        <v>-7500</v>
      </c>
      <c r="E8155" s="207">
        <v>45597</v>
      </c>
      <c r="F8155" s="206" t="s">
        <v>109</v>
      </c>
      <c r="G8155" s="206" t="s">
        <v>5990</v>
      </c>
      <c r="H8155" s="206" t="s">
        <v>6266</v>
      </c>
      <c r="I8155" s="206" t="s">
        <v>5857</v>
      </c>
    </row>
    <row r="8156" spans="1:9" ht="15" hidden="1" customHeight="1">
      <c r="A8156" s="205">
        <v>45611</v>
      </c>
      <c r="B8156" s="208" t="s">
        <v>6469</v>
      </c>
      <c r="C8156" s="208" t="s">
        <v>146</v>
      </c>
      <c r="D8156" s="211">
        <v>-7500</v>
      </c>
      <c r="E8156" s="207">
        <v>45597</v>
      </c>
      <c r="F8156" s="206" t="s">
        <v>109</v>
      </c>
      <c r="G8156" s="201" t="s">
        <v>581</v>
      </c>
      <c r="H8156" s="206" t="s">
        <v>6266</v>
      </c>
      <c r="I8156" s="206" t="s">
        <v>5857</v>
      </c>
    </row>
    <row r="8157" spans="1:9" ht="15" hidden="1" customHeight="1">
      <c r="A8157" s="205">
        <v>45612</v>
      </c>
      <c r="B8157" s="208" t="s">
        <v>6267</v>
      </c>
      <c r="C8157" s="208" t="s">
        <v>146</v>
      </c>
      <c r="D8157" s="211">
        <v>-10000</v>
      </c>
      <c r="E8157" s="207">
        <v>45597</v>
      </c>
      <c r="F8157" s="206" t="s">
        <v>109</v>
      </c>
      <c r="G8157" s="206" t="s">
        <v>5990</v>
      </c>
      <c r="H8157" s="206" t="s">
        <v>6266</v>
      </c>
      <c r="I8157" s="206" t="s">
        <v>5857</v>
      </c>
    </row>
    <row r="8158" spans="1:9" ht="15" hidden="1" customHeight="1">
      <c r="A8158" s="205">
        <v>45612</v>
      </c>
      <c r="B8158" s="208" t="s">
        <v>6267</v>
      </c>
      <c r="C8158" s="208" t="s">
        <v>146</v>
      </c>
      <c r="D8158" s="211">
        <v>-10000</v>
      </c>
      <c r="E8158" s="207">
        <v>45597</v>
      </c>
      <c r="F8158" s="206" t="s">
        <v>109</v>
      </c>
      <c r="G8158" s="201" t="s">
        <v>581</v>
      </c>
      <c r="H8158" s="206" t="s">
        <v>6266</v>
      </c>
      <c r="I8158" s="206" t="s">
        <v>5857</v>
      </c>
    </row>
    <row r="8159" spans="1:9" ht="15" hidden="1" customHeight="1">
      <c r="A8159" s="205">
        <v>45597</v>
      </c>
      <c r="B8159" s="208" t="s">
        <v>6470</v>
      </c>
      <c r="C8159" s="208" t="s">
        <v>146</v>
      </c>
      <c r="D8159" s="211">
        <v>-14000</v>
      </c>
      <c r="E8159" s="207">
        <v>45597</v>
      </c>
      <c r="F8159" s="206" t="s">
        <v>109</v>
      </c>
      <c r="G8159" s="201" t="s">
        <v>581</v>
      </c>
      <c r="H8159" s="206" t="s">
        <v>6266</v>
      </c>
      <c r="I8159" s="206" t="s">
        <v>6471</v>
      </c>
    </row>
    <row r="8160" spans="1:9" ht="15" hidden="1" customHeight="1">
      <c r="A8160" s="205">
        <v>45597</v>
      </c>
      <c r="B8160" s="208" t="s">
        <v>6472</v>
      </c>
      <c r="C8160" s="208" t="s">
        <v>146</v>
      </c>
      <c r="D8160" s="211">
        <v>-20000</v>
      </c>
      <c r="E8160" s="207">
        <v>45597</v>
      </c>
      <c r="F8160" s="206" t="s">
        <v>109</v>
      </c>
      <c r="G8160" s="206" t="s">
        <v>5990</v>
      </c>
      <c r="H8160" s="206" t="s">
        <v>6266</v>
      </c>
      <c r="I8160" s="206" t="s">
        <v>6471</v>
      </c>
    </row>
    <row r="8161" spans="1:9" ht="15" hidden="1" customHeight="1">
      <c r="A8161" s="205">
        <v>45597</v>
      </c>
      <c r="B8161" s="208" t="s">
        <v>6473</v>
      </c>
      <c r="C8161" s="208" t="s">
        <v>146</v>
      </c>
      <c r="D8161" s="211">
        <v>-20000</v>
      </c>
      <c r="E8161" s="207">
        <v>45597</v>
      </c>
      <c r="F8161" s="206" t="s">
        <v>109</v>
      </c>
      <c r="G8161" s="201" t="s">
        <v>581</v>
      </c>
      <c r="H8161" s="206" t="s">
        <v>6266</v>
      </c>
      <c r="I8161" s="206" t="s">
        <v>6471</v>
      </c>
    </row>
    <row r="8162" spans="1:9" ht="15" hidden="1" customHeight="1">
      <c r="A8162" s="205">
        <v>45597</v>
      </c>
      <c r="B8162" s="208" t="s">
        <v>6463</v>
      </c>
      <c r="C8162" s="208" t="s">
        <v>146</v>
      </c>
      <c r="D8162" s="211">
        <v>-5000</v>
      </c>
      <c r="E8162" s="207">
        <v>45597</v>
      </c>
      <c r="F8162" s="206" t="s">
        <v>109</v>
      </c>
      <c r="G8162" s="206" t="s">
        <v>5990</v>
      </c>
      <c r="H8162" s="206" t="s">
        <v>6266</v>
      </c>
      <c r="I8162" s="206" t="s">
        <v>6471</v>
      </c>
    </row>
    <row r="8163" spans="1:9" ht="15" hidden="1" customHeight="1">
      <c r="A8163" s="205">
        <v>45597</v>
      </c>
      <c r="B8163" s="208" t="s">
        <v>6463</v>
      </c>
      <c r="C8163" s="208" t="s">
        <v>146</v>
      </c>
      <c r="D8163" s="211">
        <v>-5000</v>
      </c>
      <c r="E8163" s="207">
        <v>45597</v>
      </c>
      <c r="F8163" s="206" t="s">
        <v>109</v>
      </c>
      <c r="G8163" s="201" t="s">
        <v>581</v>
      </c>
      <c r="H8163" s="206" t="s">
        <v>6266</v>
      </c>
      <c r="I8163" s="206" t="s">
        <v>6471</v>
      </c>
    </row>
    <row r="8164" spans="1:9" ht="15" hidden="1" customHeight="1">
      <c r="A8164" s="205">
        <v>45601</v>
      </c>
      <c r="B8164" s="208" t="s">
        <v>6474</v>
      </c>
      <c r="C8164" s="208" t="s">
        <v>146</v>
      </c>
      <c r="D8164" s="211">
        <v>-7500</v>
      </c>
      <c r="E8164" s="207">
        <v>45597</v>
      </c>
      <c r="F8164" s="206" t="s">
        <v>110</v>
      </c>
      <c r="G8164" s="208" t="s">
        <v>5469</v>
      </c>
      <c r="H8164" s="81" t="s">
        <v>138</v>
      </c>
      <c r="I8164" s="206" t="s">
        <v>6471</v>
      </c>
    </row>
    <row r="8165" spans="1:9" ht="15" hidden="1" customHeight="1">
      <c r="A8165" s="205">
        <v>45601</v>
      </c>
      <c r="B8165" s="208" t="s">
        <v>6475</v>
      </c>
      <c r="C8165" s="208" t="s">
        <v>146</v>
      </c>
      <c r="D8165" s="211">
        <v>-25000</v>
      </c>
      <c r="E8165" s="207">
        <v>45597</v>
      </c>
      <c r="F8165" s="206" t="s">
        <v>110</v>
      </c>
      <c r="G8165" s="208" t="s">
        <v>4990</v>
      </c>
      <c r="H8165" s="81" t="s">
        <v>138</v>
      </c>
      <c r="I8165" s="206" t="s">
        <v>6471</v>
      </c>
    </row>
    <row r="8166" spans="1:9" ht="15" hidden="1" customHeight="1">
      <c r="A8166" s="205">
        <v>45614</v>
      </c>
      <c r="B8166" s="208" t="s">
        <v>6476</v>
      </c>
      <c r="C8166" s="208" t="s">
        <v>146</v>
      </c>
      <c r="D8166" s="211">
        <v>-20000</v>
      </c>
      <c r="E8166" s="207">
        <v>45597</v>
      </c>
      <c r="F8166" s="206" t="s">
        <v>109</v>
      </c>
      <c r="G8166" s="201" t="s">
        <v>581</v>
      </c>
      <c r="H8166" s="201" t="s">
        <v>416</v>
      </c>
      <c r="I8166" s="206"/>
    </row>
    <row r="8167" spans="1:9" ht="15" hidden="1" customHeight="1">
      <c r="A8167" s="205">
        <v>45614</v>
      </c>
      <c r="B8167" s="208" t="s">
        <v>6477</v>
      </c>
      <c r="C8167" s="208" t="s">
        <v>146</v>
      </c>
      <c r="D8167" s="211">
        <v>-26800</v>
      </c>
      <c r="E8167" s="207">
        <v>45597</v>
      </c>
      <c r="F8167" s="206" t="s">
        <v>109</v>
      </c>
      <c r="G8167" s="201" t="s">
        <v>581</v>
      </c>
      <c r="H8167" s="201" t="s">
        <v>416</v>
      </c>
      <c r="I8167" s="206"/>
    </row>
    <row r="8168" spans="1:9" ht="15" hidden="1" customHeight="1">
      <c r="A8168" s="205">
        <v>45591</v>
      </c>
      <c r="B8168" s="208" t="s">
        <v>6478</v>
      </c>
      <c r="C8168" s="208" t="s">
        <v>146</v>
      </c>
      <c r="D8168" s="211">
        <v>-13500</v>
      </c>
      <c r="E8168" s="207">
        <v>45597</v>
      </c>
      <c r="F8168" s="206" t="s">
        <v>109</v>
      </c>
      <c r="G8168" s="206" t="s">
        <v>5990</v>
      </c>
      <c r="H8168" s="206" t="s">
        <v>6266</v>
      </c>
      <c r="I8168" s="206" t="s">
        <v>6479</v>
      </c>
    </row>
    <row r="8169" spans="1:9" ht="15" hidden="1" customHeight="1">
      <c r="A8169" s="205">
        <v>45593</v>
      </c>
      <c r="B8169" s="208" t="s">
        <v>6478</v>
      </c>
      <c r="C8169" s="208" t="s">
        <v>146</v>
      </c>
      <c r="D8169" s="211">
        <v>-13500</v>
      </c>
      <c r="E8169" s="207">
        <v>45597</v>
      </c>
      <c r="F8169" s="206" t="s">
        <v>109</v>
      </c>
      <c r="G8169" s="206" t="s">
        <v>5990</v>
      </c>
      <c r="H8169" s="206" t="s">
        <v>6266</v>
      </c>
      <c r="I8169" s="206" t="s">
        <v>6479</v>
      </c>
    </row>
    <row r="8170" spans="1:9" ht="15" hidden="1" customHeight="1">
      <c r="A8170" s="205">
        <v>45594</v>
      </c>
      <c r="B8170" s="208" t="s">
        <v>6480</v>
      </c>
      <c r="C8170" s="208" t="s">
        <v>146</v>
      </c>
      <c r="D8170" s="211">
        <v>-20000</v>
      </c>
      <c r="E8170" s="207">
        <v>45597</v>
      </c>
      <c r="F8170" s="206" t="s">
        <v>109</v>
      </c>
      <c r="G8170" s="206" t="s">
        <v>5990</v>
      </c>
      <c r="H8170" s="206" t="s">
        <v>6266</v>
      </c>
      <c r="I8170" s="206" t="s">
        <v>6479</v>
      </c>
    </row>
    <row r="8171" spans="1:9" ht="15" hidden="1" customHeight="1">
      <c r="A8171" s="205">
        <v>45594</v>
      </c>
      <c r="B8171" s="208" t="s">
        <v>6481</v>
      </c>
      <c r="C8171" s="208" t="s">
        <v>146</v>
      </c>
      <c r="D8171" s="211">
        <v>-200000</v>
      </c>
      <c r="E8171" s="207">
        <v>45597</v>
      </c>
      <c r="F8171" s="206" t="s">
        <v>109</v>
      </c>
      <c r="G8171" s="206" t="s">
        <v>5990</v>
      </c>
      <c r="H8171" s="206" t="s">
        <v>6482</v>
      </c>
      <c r="I8171" s="206" t="s">
        <v>6479</v>
      </c>
    </row>
    <row r="8172" spans="1:9" ht="15" hidden="1" customHeight="1">
      <c r="A8172" s="205">
        <v>45596</v>
      </c>
      <c r="B8172" s="208" t="s">
        <v>6483</v>
      </c>
      <c r="C8172" s="208" t="s">
        <v>146</v>
      </c>
      <c r="D8172" s="211">
        <v>-67000</v>
      </c>
      <c r="E8172" s="207">
        <v>45597</v>
      </c>
      <c r="F8172" s="206" t="s">
        <v>109</v>
      </c>
      <c r="G8172" s="206" t="s">
        <v>5990</v>
      </c>
      <c r="H8172" s="206" t="s">
        <v>6482</v>
      </c>
      <c r="I8172" s="206" t="s">
        <v>6479</v>
      </c>
    </row>
    <row r="8173" spans="1:9" ht="15" hidden="1" customHeight="1">
      <c r="A8173" s="205">
        <v>45596</v>
      </c>
      <c r="B8173" s="208" t="s">
        <v>6484</v>
      </c>
      <c r="C8173" s="208" t="s">
        <v>146</v>
      </c>
      <c r="D8173" s="211">
        <v>-148000</v>
      </c>
      <c r="E8173" s="207">
        <v>45597</v>
      </c>
      <c r="F8173" s="206" t="s">
        <v>109</v>
      </c>
      <c r="G8173" s="206" t="s">
        <v>5990</v>
      </c>
      <c r="H8173" s="206" t="s">
        <v>6266</v>
      </c>
      <c r="I8173" s="206" t="s">
        <v>6479</v>
      </c>
    </row>
    <row r="8174" spans="1:9" ht="15" hidden="1" customHeight="1">
      <c r="A8174" s="205">
        <v>45603</v>
      </c>
      <c r="B8174" s="208" t="s">
        <v>6485</v>
      </c>
      <c r="C8174" s="208" t="s">
        <v>146</v>
      </c>
      <c r="D8174" s="211">
        <v>-30000</v>
      </c>
      <c r="E8174" s="207">
        <v>45597</v>
      </c>
      <c r="F8174" s="206" t="s">
        <v>109</v>
      </c>
      <c r="G8174" s="206" t="s">
        <v>5990</v>
      </c>
      <c r="H8174" s="206" t="s">
        <v>6266</v>
      </c>
      <c r="I8174" s="206" t="s">
        <v>6479</v>
      </c>
    </row>
    <row r="8175" spans="1:9" ht="15" hidden="1" customHeight="1">
      <c r="A8175" s="205">
        <v>45604</v>
      </c>
      <c r="B8175" s="208" t="s">
        <v>6486</v>
      </c>
      <c r="C8175" s="208" t="s">
        <v>146</v>
      </c>
      <c r="D8175" s="211">
        <v>-8000</v>
      </c>
      <c r="E8175" s="207">
        <v>45597</v>
      </c>
      <c r="F8175" s="206" t="s">
        <v>109</v>
      </c>
      <c r="G8175" s="206" t="s">
        <v>5990</v>
      </c>
      <c r="H8175" s="206" t="s">
        <v>6134</v>
      </c>
      <c r="I8175" s="206" t="s">
        <v>6479</v>
      </c>
    </row>
    <row r="8176" spans="1:9" ht="15" hidden="1" customHeight="1">
      <c r="A8176" s="205">
        <v>45604</v>
      </c>
      <c r="B8176" s="208" t="s">
        <v>6487</v>
      </c>
      <c r="C8176" s="208" t="s">
        <v>146</v>
      </c>
      <c r="D8176" s="211">
        <v>-168000</v>
      </c>
      <c r="E8176" s="207">
        <v>45597</v>
      </c>
      <c r="F8176" s="206" t="s">
        <v>109</v>
      </c>
      <c r="G8176" s="206" t="s">
        <v>5990</v>
      </c>
      <c r="H8176" s="206" t="s">
        <v>6134</v>
      </c>
      <c r="I8176" s="206" t="s">
        <v>6479</v>
      </c>
    </row>
    <row r="8177" spans="1:9" ht="15" hidden="1" customHeight="1">
      <c r="A8177" s="205">
        <v>45604</v>
      </c>
      <c r="B8177" s="208" t="s">
        <v>6481</v>
      </c>
      <c r="C8177" s="208" t="s">
        <v>146</v>
      </c>
      <c r="D8177" s="211">
        <v>-200000</v>
      </c>
      <c r="E8177" s="207">
        <v>45597</v>
      </c>
      <c r="F8177" s="206" t="s">
        <v>109</v>
      </c>
      <c r="G8177" s="206" t="s">
        <v>5990</v>
      </c>
      <c r="H8177" s="206" t="s">
        <v>6482</v>
      </c>
      <c r="I8177" s="206" t="s">
        <v>6479</v>
      </c>
    </row>
    <row r="8178" spans="1:9" ht="15" hidden="1" customHeight="1">
      <c r="A8178" s="205">
        <v>45605</v>
      </c>
      <c r="B8178" s="208" t="s">
        <v>6488</v>
      </c>
      <c r="C8178" s="208" t="s">
        <v>146</v>
      </c>
      <c r="D8178" s="211">
        <v>-67500</v>
      </c>
      <c r="E8178" s="207">
        <v>45597</v>
      </c>
      <c r="F8178" s="206" t="s">
        <v>109</v>
      </c>
      <c r="G8178" s="206" t="s">
        <v>5990</v>
      </c>
      <c r="H8178" s="206" t="s">
        <v>6134</v>
      </c>
      <c r="I8178" s="206" t="s">
        <v>6479</v>
      </c>
    </row>
    <row r="8179" spans="1:9" ht="15" hidden="1" customHeight="1">
      <c r="A8179" s="205">
        <v>45605</v>
      </c>
      <c r="B8179" s="208" t="s">
        <v>6484</v>
      </c>
      <c r="C8179" s="208" t="s">
        <v>146</v>
      </c>
      <c r="D8179" s="211">
        <v>-80000</v>
      </c>
      <c r="E8179" s="207">
        <v>45597</v>
      </c>
      <c r="F8179" s="206" t="s">
        <v>109</v>
      </c>
      <c r="G8179" s="206" t="s">
        <v>5990</v>
      </c>
      <c r="H8179" s="206" t="s">
        <v>6266</v>
      </c>
      <c r="I8179" s="206" t="s">
        <v>6479</v>
      </c>
    </row>
    <row r="8180" spans="1:9" ht="15" hidden="1" customHeight="1">
      <c r="A8180" s="205">
        <v>45609</v>
      </c>
      <c r="B8180" s="208" t="s">
        <v>6489</v>
      </c>
      <c r="C8180" s="208" t="s">
        <v>146</v>
      </c>
      <c r="D8180" s="211">
        <v>-4200</v>
      </c>
      <c r="E8180" s="207">
        <v>45597</v>
      </c>
      <c r="F8180" s="206" t="s">
        <v>109</v>
      </c>
      <c r="G8180" s="206" t="s">
        <v>5990</v>
      </c>
      <c r="H8180" s="206" t="s">
        <v>6134</v>
      </c>
      <c r="I8180" s="206" t="s">
        <v>6479</v>
      </c>
    </row>
    <row r="8181" spans="1:9" ht="15" hidden="1" customHeight="1">
      <c r="A8181" s="205">
        <v>45611</v>
      </c>
      <c r="B8181" s="208" t="s">
        <v>6490</v>
      </c>
      <c r="C8181" s="208" t="s">
        <v>146</v>
      </c>
      <c r="D8181" s="211">
        <v>-149500</v>
      </c>
      <c r="E8181" s="207">
        <v>45597</v>
      </c>
      <c r="F8181" s="206" t="s">
        <v>109</v>
      </c>
      <c r="G8181" s="206" t="s">
        <v>5990</v>
      </c>
      <c r="H8181" s="206" t="s">
        <v>6482</v>
      </c>
      <c r="I8181" s="206" t="s">
        <v>6479</v>
      </c>
    </row>
    <row r="8182" spans="1:9" s="463" customFormat="1" ht="15" hidden="1" customHeight="1">
      <c r="A8182" s="743">
        <v>45616</v>
      </c>
      <c r="B8182" s="745" t="s">
        <v>6491</v>
      </c>
      <c r="C8182" s="745" t="s">
        <v>27</v>
      </c>
      <c r="D8182" s="784">
        <v>-323680</v>
      </c>
      <c r="E8182" s="747">
        <v>45597</v>
      </c>
      <c r="F8182" s="745" t="s">
        <v>109</v>
      </c>
      <c r="G8182" s="208" t="s">
        <v>4986</v>
      </c>
      <c r="H8182" s="208" t="s">
        <v>175</v>
      </c>
      <c r="I8182" s="745"/>
    </row>
    <row r="8183" spans="1:9" s="209" customFormat="1" ht="15" hidden="1" customHeight="1">
      <c r="A8183" s="468">
        <v>45616</v>
      </c>
      <c r="B8183" s="208" t="s">
        <v>6492</v>
      </c>
      <c r="C8183" s="208" t="s">
        <v>27</v>
      </c>
      <c r="D8183" s="784">
        <v>-3000000</v>
      </c>
      <c r="E8183" s="212">
        <v>45597</v>
      </c>
      <c r="F8183" s="208" t="s">
        <v>109</v>
      </c>
      <c r="G8183" s="601" t="s">
        <v>581</v>
      </c>
      <c r="H8183" s="208" t="s">
        <v>6493</v>
      </c>
      <c r="I8183" s="208"/>
    </row>
    <row r="8184" spans="1:9" s="209" customFormat="1" ht="15" hidden="1" customHeight="1">
      <c r="A8184" s="468">
        <v>45616</v>
      </c>
      <c r="B8184" s="208" t="s">
        <v>6494</v>
      </c>
      <c r="C8184" s="208" t="s">
        <v>27</v>
      </c>
      <c r="D8184" s="784">
        <v>-3000000</v>
      </c>
      <c r="E8184" s="212">
        <v>45597</v>
      </c>
      <c r="F8184" s="208" t="s">
        <v>109</v>
      </c>
      <c r="G8184" s="201" t="s">
        <v>581</v>
      </c>
      <c r="H8184" s="208" t="s">
        <v>6493</v>
      </c>
      <c r="I8184" s="208"/>
    </row>
    <row r="8185" spans="1:9" s="209" customFormat="1" ht="15" hidden="1" customHeight="1">
      <c r="A8185" s="468">
        <v>45616</v>
      </c>
      <c r="B8185" s="208" t="s">
        <v>6495</v>
      </c>
      <c r="C8185" s="208" t="s">
        <v>27</v>
      </c>
      <c r="D8185" s="784">
        <v>-3000000</v>
      </c>
      <c r="E8185" s="212">
        <v>45597</v>
      </c>
      <c r="F8185" s="208" t="s">
        <v>109</v>
      </c>
      <c r="G8185" s="201" t="s">
        <v>583</v>
      </c>
      <c r="H8185" s="208" t="s">
        <v>6493</v>
      </c>
      <c r="I8185" s="208"/>
    </row>
    <row r="8186" spans="1:9" s="209" customFormat="1" ht="15" hidden="1" customHeight="1">
      <c r="A8186" s="468">
        <v>45616</v>
      </c>
      <c r="B8186" s="208" t="s">
        <v>6496</v>
      </c>
      <c r="C8186" s="208" t="s">
        <v>27</v>
      </c>
      <c r="D8186" s="784">
        <v>-3000000</v>
      </c>
      <c r="E8186" s="212">
        <v>45597</v>
      </c>
      <c r="F8186" s="208" t="s">
        <v>109</v>
      </c>
      <c r="G8186" s="208" t="s">
        <v>5990</v>
      </c>
      <c r="H8186" s="208" t="s">
        <v>6493</v>
      </c>
      <c r="I8186" s="208"/>
    </row>
    <row r="8187" spans="1:9" ht="15" hidden="1" customHeight="1">
      <c r="A8187" s="205">
        <v>45616</v>
      </c>
      <c r="B8187" s="208" t="s">
        <v>6497</v>
      </c>
      <c r="C8187" s="206" t="s">
        <v>4314</v>
      </c>
      <c r="D8187" s="737">
        <v>-18575.88</v>
      </c>
      <c r="E8187" s="212">
        <v>45597</v>
      </c>
      <c r="F8187" s="206" t="s">
        <v>109</v>
      </c>
      <c r="G8187" s="601" t="s">
        <v>581</v>
      </c>
      <c r="I8187" s="206"/>
    </row>
    <row r="8188" spans="1:9" ht="15" hidden="1" customHeight="1">
      <c r="A8188" s="205">
        <v>45616</v>
      </c>
      <c r="B8188" s="208" t="s">
        <v>6497</v>
      </c>
      <c r="C8188" s="206" t="s">
        <v>4314</v>
      </c>
      <c r="D8188" s="737">
        <v>-18575.88</v>
      </c>
      <c r="E8188" s="212">
        <v>45597</v>
      </c>
      <c r="F8188" s="206" t="s">
        <v>109</v>
      </c>
      <c r="G8188" s="601" t="s">
        <v>581</v>
      </c>
      <c r="I8188" s="206"/>
    </row>
    <row r="8189" spans="1:9" ht="15" hidden="1" customHeight="1">
      <c r="A8189" s="205">
        <v>45616</v>
      </c>
      <c r="B8189" s="208" t="s">
        <v>6497</v>
      </c>
      <c r="C8189" s="206" t="s">
        <v>4314</v>
      </c>
      <c r="D8189" s="737">
        <v>-18575.88</v>
      </c>
      <c r="E8189" s="212">
        <v>45597</v>
      </c>
      <c r="F8189" s="206" t="s">
        <v>109</v>
      </c>
      <c r="G8189" s="206" t="s">
        <v>583</v>
      </c>
      <c r="I8189" s="206"/>
    </row>
    <row r="8190" spans="1:9" ht="15" hidden="1" customHeight="1">
      <c r="A8190" s="205">
        <v>45616</v>
      </c>
      <c r="B8190" s="208" t="s">
        <v>6497</v>
      </c>
      <c r="C8190" s="206" t="s">
        <v>4314</v>
      </c>
      <c r="D8190" s="737">
        <v>-18575.88</v>
      </c>
      <c r="E8190" s="212">
        <v>45597</v>
      </c>
      <c r="F8190" s="206" t="s">
        <v>109</v>
      </c>
      <c r="G8190" s="206" t="s">
        <v>6198</v>
      </c>
      <c r="I8190" s="206"/>
    </row>
    <row r="8191" spans="1:9" ht="15" hidden="1" customHeight="1">
      <c r="A8191" s="205">
        <v>45616</v>
      </c>
      <c r="B8191" s="208" t="s">
        <v>6498</v>
      </c>
      <c r="C8191" s="206" t="s">
        <v>4314</v>
      </c>
      <c r="D8191" s="737">
        <v>-77399.5</v>
      </c>
      <c r="E8191" s="212">
        <v>45597</v>
      </c>
      <c r="F8191" s="206" t="s">
        <v>109</v>
      </c>
      <c r="G8191" s="601" t="s">
        <v>581</v>
      </c>
      <c r="I8191" s="206"/>
    </row>
    <row r="8192" spans="1:9" ht="15" hidden="1" customHeight="1">
      <c r="A8192" s="205">
        <v>45616</v>
      </c>
      <c r="B8192" s="208" t="s">
        <v>6498</v>
      </c>
      <c r="C8192" s="206" t="s">
        <v>4314</v>
      </c>
      <c r="D8192" s="737">
        <v>-77399.5</v>
      </c>
      <c r="E8192" s="212">
        <v>45597</v>
      </c>
      <c r="F8192" s="206" t="s">
        <v>109</v>
      </c>
      <c r="G8192" s="601" t="s">
        <v>581</v>
      </c>
      <c r="I8192" s="206"/>
    </row>
    <row r="8193" spans="1:9" ht="15" hidden="1" customHeight="1">
      <c r="A8193" s="205">
        <v>45616</v>
      </c>
      <c r="B8193" s="208" t="s">
        <v>6498</v>
      </c>
      <c r="C8193" s="206" t="s">
        <v>4314</v>
      </c>
      <c r="D8193" s="737">
        <v>-77399.5</v>
      </c>
      <c r="E8193" s="212">
        <v>45597</v>
      </c>
      <c r="F8193" s="206" t="s">
        <v>109</v>
      </c>
      <c r="G8193" s="206" t="s">
        <v>583</v>
      </c>
      <c r="I8193" s="206"/>
    </row>
    <row r="8194" spans="1:9" ht="15" hidden="1" customHeight="1">
      <c r="A8194" s="205">
        <v>45616</v>
      </c>
      <c r="B8194" s="208" t="s">
        <v>6498</v>
      </c>
      <c r="C8194" s="206" t="s">
        <v>4314</v>
      </c>
      <c r="D8194" s="737">
        <v>-77399.5</v>
      </c>
      <c r="E8194" s="212">
        <v>45597</v>
      </c>
      <c r="F8194" s="206" t="s">
        <v>109</v>
      </c>
      <c r="G8194" s="206" t="s">
        <v>6198</v>
      </c>
      <c r="I8194" s="206"/>
    </row>
    <row r="8195" spans="1:9" ht="15" hidden="1" customHeight="1">
      <c r="A8195" s="205">
        <v>45616</v>
      </c>
      <c r="B8195" s="208" t="s">
        <v>6499</v>
      </c>
      <c r="C8195" s="206" t="s">
        <v>27</v>
      </c>
      <c r="D8195" s="784">
        <v>-6344100</v>
      </c>
      <c r="E8195" s="212">
        <v>45597</v>
      </c>
      <c r="F8195" s="206" t="s">
        <v>109</v>
      </c>
      <c r="G8195" s="206" t="s">
        <v>5990</v>
      </c>
      <c r="H8195" s="206" t="s">
        <v>6225</v>
      </c>
      <c r="I8195" s="206"/>
    </row>
    <row r="8196" spans="1:9" ht="15" hidden="1" customHeight="1">
      <c r="A8196" s="205">
        <v>45616</v>
      </c>
      <c r="B8196" s="208" t="s">
        <v>6500</v>
      </c>
      <c r="C8196" s="206" t="s">
        <v>27</v>
      </c>
      <c r="D8196" s="784">
        <v>-2760000</v>
      </c>
      <c r="E8196" s="212">
        <v>45597</v>
      </c>
      <c r="F8196" s="206" t="s">
        <v>130</v>
      </c>
      <c r="G8196" s="206" t="s">
        <v>130</v>
      </c>
      <c r="H8196" s="262" t="s">
        <v>2724</v>
      </c>
      <c r="I8196" s="206"/>
    </row>
    <row r="8197" spans="1:9" ht="15" hidden="1" customHeight="1">
      <c r="A8197" s="205">
        <v>45616</v>
      </c>
      <c r="B8197" s="208" t="s">
        <v>6501</v>
      </c>
      <c r="C8197" s="206" t="s">
        <v>4314</v>
      </c>
      <c r="D8197" s="737">
        <v>-266000</v>
      </c>
      <c r="E8197" s="212">
        <v>45597</v>
      </c>
      <c r="F8197" s="206" t="s">
        <v>109</v>
      </c>
      <c r="G8197" s="206" t="s">
        <v>6198</v>
      </c>
      <c r="I8197" s="206"/>
    </row>
    <row r="8198" spans="1:9" ht="15" hidden="1" customHeight="1">
      <c r="A8198" s="205">
        <v>45616</v>
      </c>
      <c r="B8198" s="208" t="s">
        <v>6502</v>
      </c>
      <c r="C8198" s="206" t="s">
        <v>4314</v>
      </c>
      <c r="D8198" s="737">
        <v>-39900</v>
      </c>
      <c r="E8198" s="212">
        <v>45597</v>
      </c>
      <c r="F8198" s="206" t="s">
        <v>109</v>
      </c>
      <c r="G8198" s="206" t="s">
        <v>6198</v>
      </c>
      <c r="I8198" s="206"/>
    </row>
    <row r="8199" spans="1:9" ht="15" hidden="1" customHeight="1">
      <c r="A8199" s="205">
        <v>45616</v>
      </c>
      <c r="B8199" s="208" t="s">
        <v>2055</v>
      </c>
      <c r="C8199" s="206" t="s">
        <v>27</v>
      </c>
      <c r="D8199" s="784">
        <v>-3061328.55</v>
      </c>
      <c r="E8199" s="212">
        <v>45597</v>
      </c>
      <c r="F8199" s="206" t="s">
        <v>109</v>
      </c>
      <c r="G8199" s="201" t="s">
        <v>581</v>
      </c>
      <c r="H8199" s="206" t="s">
        <v>6503</v>
      </c>
      <c r="I8199" s="206"/>
    </row>
    <row r="8200" spans="1:9" ht="15" hidden="1" customHeight="1">
      <c r="A8200" s="205">
        <v>45616</v>
      </c>
      <c r="B8200" s="208" t="s">
        <v>6504</v>
      </c>
      <c r="C8200" s="206" t="s">
        <v>27</v>
      </c>
      <c r="D8200" s="784">
        <v>-226647</v>
      </c>
      <c r="E8200" s="212">
        <v>45597</v>
      </c>
      <c r="F8200" s="206" t="s">
        <v>207</v>
      </c>
      <c r="G8200" s="206" t="s">
        <v>207</v>
      </c>
      <c r="I8200" s="206"/>
    </row>
    <row r="8201" spans="1:9" ht="15" hidden="1" customHeight="1">
      <c r="A8201" s="205">
        <v>45616</v>
      </c>
      <c r="B8201" s="208" t="s">
        <v>2970</v>
      </c>
      <c r="C8201" s="206" t="s">
        <v>27</v>
      </c>
      <c r="D8201" s="784">
        <v>-521500</v>
      </c>
      <c r="E8201" s="212">
        <v>45597</v>
      </c>
      <c r="F8201" s="206" t="s">
        <v>110</v>
      </c>
      <c r="G8201" s="208" t="s">
        <v>4294</v>
      </c>
      <c r="H8201" s="208" t="s">
        <v>175</v>
      </c>
      <c r="I8201" s="206"/>
    </row>
    <row r="8202" spans="1:9" ht="15" hidden="1" customHeight="1">
      <c r="A8202" s="205">
        <v>45616</v>
      </c>
      <c r="B8202" s="208" t="s">
        <v>6505</v>
      </c>
      <c r="C8202" s="206" t="s">
        <v>27</v>
      </c>
      <c r="D8202" s="784">
        <v>-4852760</v>
      </c>
      <c r="E8202" s="212">
        <v>45597</v>
      </c>
      <c r="F8202" s="206" t="s">
        <v>109</v>
      </c>
      <c r="G8202" s="201" t="s">
        <v>581</v>
      </c>
      <c r="H8202" s="206" t="s">
        <v>6506</v>
      </c>
      <c r="I8202" s="206"/>
    </row>
    <row r="8203" spans="1:9" ht="15" hidden="1" customHeight="1">
      <c r="A8203" s="205">
        <v>45616</v>
      </c>
      <c r="B8203" s="208" t="s">
        <v>6507</v>
      </c>
      <c r="C8203" s="206" t="s">
        <v>27</v>
      </c>
      <c r="D8203" s="784">
        <v>-3875000</v>
      </c>
      <c r="E8203" s="212">
        <v>45597</v>
      </c>
      <c r="F8203" s="206" t="s">
        <v>109</v>
      </c>
      <c r="G8203" s="208" t="s">
        <v>4986</v>
      </c>
      <c r="H8203" s="208" t="s">
        <v>212</v>
      </c>
      <c r="I8203" s="206"/>
    </row>
    <row r="8204" spans="1:9" ht="15" hidden="1" customHeight="1">
      <c r="A8204" s="205">
        <v>45616</v>
      </c>
      <c r="B8204" s="208" t="s">
        <v>6508</v>
      </c>
      <c r="C8204" s="206" t="s">
        <v>4314</v>
      </c>
      <c r="D8204" s="737">
        <v>-337300</v>
      </c>
      <c r="E8204" s="212">
        <v>45597</v>
      </c>
      <c r="F8204" s="206" t="s">
        <v>109</v>
      </c>
      <c r="G8204" s="601" t="s">
        <v>581</v>
      </c>
      <c r="I8204" s="206"/>
    </row>
    <row r="8205" spans="1:9" ht="15" hidden="1" customHeight="1">
      <c r="A8205" s="205">
        <v>45616</v>
      </c>
      <c r="B8205" s="208" t="s">
        <v>6509</v>
      </c>
      <c r="C8205" s="206" t="s">
        <v>4314</v>
      </c>
      <c r="D8205" s="737">
        <v>-101190</v>
      </c>
      <c r="E8205" s="212">
        <v>45597</v>
      </c>
      <c r="F8205" s="206" t="s">
        <v>109</v>
      </c>
      <c r="G8205" s="601" t="s">
        <v>581</v>
      </c>
      <c r="I8205" s="206"/>
    </row>
    <row r="8206" spans="1:9" ht="15" hidden="1" customHeight="1">
      <c r="A8206" s="205">
        <v>45616</v>
      </c>
      <c r="B8206" s="208" t="s">
        <v>5743</v>
      </c>
      <c r="C8206" s="206" t="s">
        <v>27</v>
      </c>
      <c r="D8206" s="784">
        <v>-560780</v>
      </c>
      <c r="E8206" s="212">
        <v>45597</v>
      </c>
      <c r="F8206" s="206" t="s">
        <v>109</v>
      </c>
      <c r="G8206" s="208" t="s">
        <v>4225</v>
      </c>
      <c r="H8206" s="208" t="s">
        <v>212</v>
      </c>
      <c r="I8206" s="720" t="s">
        <v>5410</v>
      </c>
    </row>
    <row r="8207" spans="1:9" ht="15" hidden="1" customHeight="1">
      <c r="A8207" s="205">
        <v>45616</v>
      </c>
      <c r="B8207" s="208" t="s">
        <v>6510</v>
      </c>
      <c r="C8207" s="206" t="s">
        <v>4314</v>
      </c>
      <c r="D8207" s="737">
        <v>-2960</v>
      </c>
      <c r="E8207" s="212">
        <v>45597</v>
      </c>
      <c r="F8207" s="206" t="s">
        <v>109</v>
      </c>
      <c r="G8207" s="206" t="s">
        <v>4990</v>
      </c>
      <c r="H8207" s="206" t="s">
        <v>175</v>
      </c>
      <c r="I8207" s="206"/>
    </row>
    <row r="8208" spans="1:9" ht="15" hidden="1" customHeight="1">
      <c r="A8208" s="205">
        <v>45616</v>
      </c>
      <c r="B8208" s="208" t="s">
        <v>5743</v>
      </c>
      <c r="C8208" s="206" t="s">
        <v>27</v>
      </c>
      <c r="D8208" s="784">
        <v>-143880</v>
      </c>
      <c r="E8208" s="212">
        <v>45597</v>
      </c>
      <c r="F8208" s="206" t="s">
        <v>110</v>
      </c>
      <c r="G8208" s="208" t="s">
        <v>4990</v>
      </c>
      <c r="H8208" s="208" t="s">
        <v>212</v>
      </c>
      <c r="I8208" s="206"/>
    </row>
    <row r="8209" spans="1:9" ht="15" hidden="1" customHeight="1">
      <c r="A8209" s="205">
        <v>45616</v>
      </c>
      <c r="B8209" s="208" t="s">
        <v>5743</v>
      </c>
      <c r="C8209" s="206" t="s">
        <v>27</v>
      </c>
      <c r="D8209" s="784">
        <v>-56137</v>
      </c>
      <c r="E8209" s="212">
        <v>45597</v>
      </c>
      <c r="F8209" s="206" t="s">
        <v>109</v>
      </c>
      <c r="G8209" s="201" t="s">
        <v>581</v>
      </c>
      <c r="H8209" s="208" t="s">
        <v>212</v>
      </c>
      <c r="I8209" s="206"/>
    </row>
    <row r="8210" spans="1:9" ht="15" hidden="1" customHeight="1">
      <c r="A8210" s="205">
        <v>45616</v>
      </c>
      <c r="B8210" s="208" t="s">
        <v>6511</v>
      </c>
      <c r="C8210" s="206" t="s">
        <v>27</v>
      </c>
      <c r="D8210" s="784">
        <v>-405790</v>
      </c>
      <c r="E8210" s="212">
        <v>45597</v>
      </c>
      <c r="F8210" s="206" t="s">
        <v>109</v>
      </c>
      <c r="G8210" s="208" t="s">
        <v>4986</v>
      </c>
      <c r="H8210" s="208" t="s">
        <v>175</v>
      </c>
      <c r="I8210" s="206"/>
    </row>
    <row r="8211" spans="1:9" ht="15" hidden="1" customHeight="1">
      <c r="A8211" s="205">
        <v>45616</v>
      </c>
      <c r="B8211" s="208" t="s">
        <v>6512</v>
      </c>
      <c r="C8211" s="206" t="s">
        <v>27</v>
      </c>
      <c r="D8211" s="784">
        <v>-3884343</v>
      </c>
      <c r="E8211" s="212">
        <v>45597</v>
      </c>
      <c r="F8211" s="206" t="s">
        <v>109</v>
      </c>
      <c r="G8211" s="206" t="s">
        <v>5911</v>
      </c>
      <c r="H8211" s="208" t="s">
        <v>212</v>
      </c>
      <c r="I8211" s="206"/>
    </row>
    <row r="8212" spans="1:9" ht="15" hidden="1" customHeight="1">
      <c r="A8212" s="205">
        <v>45616</v>
      </c>
      <c r="B8212" s="208" t="s">
        <v>6513</v>
      </c>
      <c r="C8212" s="206" t="s">
        <v>27</v>
      </c>
      <c r="D8212" s="784">
        <v>-248030</v>
      </c>
      <c r="E8212" s="212">
        <v>45597</v>
      </c>
      <c r="F8212" s="206" t="s">
        <v>130</v>
      </c>
      <c r="G8212" s="206" t="s">
        <v>130</v>
      </c>
      <c r="H8212" s="262" t="s">
        <v>2724</v>
      </c>
      <c r="I8212" s="206"/>
    </row>
    <row r="8213" spans="1:9" ht="15" hidden="1" customHeight="1">
      <c r="A8213" s="205">
        <v>45616</v>
      </c>
      <c r="B8213" s="208" t="s">
        <v>6514</v>
      </c>
      <c r="C8213" s="206" t="s">
        <v>27</v>
      </c>
      <c r="D8213" s="784">
        <v>-423220</v>
      </c>
      <c r="E8213" s="212">
        <v>45597</v>
      </c>
      <c r="F8213" s="206" t="s">
        <v>130</v>
      </c>
      <c r="G8213" s="206" t="s">
        <v>130</v>
      </c>
      <c r="H8213" s="262" t="s">
        <v>2724</v>
      </c>
      <c r="I8213" s="206"/>
    </row>
    <row r="8214" spans="1:9" ht="15" hidden="1" customHeight="1">
      <c r="A8214" s="205">
        <v>45616</v>
      </c>
      <c r="B8214" s="208" t="s">
        <v>6515</v>
      </c>
      <c r="C8214" s="206" t="s">
        <v>27</v>
      </c>
      <c r="D8214" s="784">
        <v>-273520</v>
      </c>
      <c r="E8214" s="212">
        <v>45597</v>
      </c>
      <c r="F8214" s="206" t="s">
        <v>130</v>
      </c>
      <c r="G8214" s="206" t="s">
        <v>130</v>
      </c>
      <c r="H8214" s="262" t="s">
        <v>2724</v>
      </c>
      <c r="I8214" s="206"/>
    </row>
    <row r="8215" spans="1:9" ht="15" hidden="1" customHeight="1">
      <c r="A8215" s="205">
        <v>45616</v>
      </c>
      <c r="B8215" s="208" t="s">
        <v>6516</v>
      </c>
      <c r="C8215" s="206" t="s">
        <v>27</v>
      </c>
      <c r="D8215" s="784">
        <v>-777860</v>
      </c>
      <c r="E8215" s="212">
        <v>45597</v>
      </c>
      <c r="F8215" s="206" t="s">
        <v>130</v>
      </c>
      <c r="G8215" s="206" t="s">
        <v>130</v>
      </c>
      <c r="H8215" s="262" t="s">
        <v>2724</v>
      </c>
      <c r="I8215" s="206"/>
    </row>
    <row r="8216" spans="1:9" ht="15" hidden="1" customHeight="1">
      <c r="A8216" s="205">
        <v>45616</v>
      </c>
      <c r="B8216" s="208" t="s">
        <v>6517</v>
      </c>
      <c r="C8216" s="206" t="s">
        <v>27</v>
      </c>
      <c r="D8216" s="718">
        <v>-61034358.299999997</v>
      </c>
      <c r="E8216" s="212">
        <v>45597</v>
      </c>
      <c r="F8216" s="206" t="s">
        <v>109</v>
      </c>
      <c r="G8216" s="201" t="s">
        <v>581</v>
      </c>
      <c r="H8216" s="201" t="s">
        <v>549</v>
      </c>
      <c r="I8216" s="206"/>
    </row>
    <row r="8217" spans="1:9" ht="15" hidden="1" customHeight="1">
      <c r="A8217" s="205">
        <v>45616</v>
      </c>
      <c r="B8217" s="208" t="s">
        <v>6518</v>
      </c>
      <c r="C8217" s="206" t="s">
        <v>27</v>
      </c>
      <c r="D8217" s="718">
        <v>-61034358.299999997</v>
      </c>
      <c r="E8217" s="212">
        <v>45597</v>
      </c>
      <c r="F8217" s="206" t="s">
        <v>109</v>
      </c>
      <c r="G8217" s="201" t="s">
        <v>583</v>
      </c>
      <c r="H8217" s="201" t="s">
        <v>549</v>
      </c>
      <c r="I8217" s="206"/>
    </row>
    <row r="8218" spans="1:9" ht="15" hidden="1" customHeight="1">
      <c r="A8218" s="205">
        <v>45616</v>
      </c>
      <c r="B8218" s="208" t="s">
        <v>6519</v>
      </c>
      <c r="C8218" s="206" t="s">
        <v>27</v>
      </c>
      <c r="D8218" s="784">
        <v>-2997000</v>
      </c>
      <c r="E8218" s="212">
        <v>45597</v>
      </c>
      <c r="F8218" s="206" t="s">
        <v>109</v>
      </c>
      <c r="G8218" s="206" t="s">
        <v>2809</v>
      </c>
      <c r="H8218" s="94" t="s">
        <v>3652</v>
      </c>
      <c r="I8218" s="206"/>
    </row>
    <row r="8219" spans="1:9" ht="15" hidden="1" customHeight="1">
      <c r="A8219" s="205">
        <v>45616</v>
      </c>
      <c r="B8219" s="208" t="s">
        <v>6519</v>
      </c>
      <c r="C8219" s="206" t="s">
        <v>27</v>
      </c>
      <c r="D8219" s="784">
        <v>-6826500</v>
      </c>
      <c r="E8219" s="212">
        <v>45597</v>
      </c>
      <c r="F8219" s="206" t="s">
        <v>109</v>
      </c>
      <c r="G8219" s="206" t="s">
        <v>2809</v>
      </c>
      <c r="H8219" s="206" t="s">
        <v>5775</v>
      </c>
      <c r="I8219" s="206"/>
    </row>
    <row r="8220" spans="1:9" ht="15" hidden="1" customHeight="1">
      <c r="A8220" s="205">
        <v>45616</v>
      </c>
      <c r="B8220" s="208" t="s">
        <v>6520</v>
      </c>
      <c r="C8220" s="206" t="s">
        <v>27</v>
      </c>
      <c r="D8220" s="784">
        <v>-90000</v>
      </c>
      <c r="E8220" s="212">
        <v>45597</v>
      </c>
      <c r="F8220" s="206" t="s">
        <v>130</v>
      </c>
      <c r="G8220" s="206" t="s">
        <v>130</v>
      </c>
      <c r="H8220" s="206" t="s">
        <v>2444</v>
      </c>
      <c r="I8220" s="206"/>
    </row>
    <row r="8221" spans="1:9" ht="15" hidden="1" customHeight="1">
      <c r="A8221" s="205">
        <v>45616</v>
      </c>
      <c r="B8221" s="208" t="s">
        <v>6521</v>
      </c>
      <c r="C8221" s="206" t="s">
        <v>27</v>
      </c>
      <c r="D8221" s="784">
        <v>-150000</v>
      </c>
      <c r="E8221" s="212">
        <v>45597</v>
      </c>
      <c r="F8221" s="206" t="s">
        <v>130</v>
      </c>
      <c r="G8221" s="206" t="s">
        <v>130</v>
      </c>
      <c r="H8221" s="206" t="s">
        <v>2444</v>
      </c>
      <c r="I8221" s="206"/>
    </row>
    <row r="8222" spans="1:9" ht="15" hidden="1" customHeight="1">
      <c r="A8222" s="205">
        <v>45616</v>
      </c>
      <c r="B8222" s="208" t="s">
        <v>6522</v>
      </c>
      <c r="C8222" s="206" t="s">
        <v>27</v>
      </c>
      <c r="D8222" s="784">
        <v>-230000</v>
      </c>
      <c r="E8222" s="212">
        <v>45597</v>
      </c>
      <c r="F8222" s="206" t="s">
        <v>207</v>
      </c>
      <c r="G8222" s="206" t="s">
        <v>207</v>
      </c>
      <c r="H8222" s="208" t="s">
        <v>147</v>
      </c>
      <c r="I8222" s="206"/>
    </row>
    <row r="8223" spans="1:9" ht="15" hidden="1" customHeight="1">
      <c r="A8223" s="205">
        <v>45616</v>
      </c>
      <c r="B8223" s="208" t="s">
        <v>6523</v>
      </c>
      <c r="C8223" s="206" t="s">
        <v>4314</v>
      </c>
      <c r="D8223" s="737">
        <v>-8000</v>
      </c>
      <c r="E8223" s="212">
        <v>45597</v>
      </c>
      <c r="F8223" s="206" t="s">
        <v>207</v>
      </c>
      <c r="G8223" s="206" t="s">
        <v>207</v>
      </c>
      <c r="I8223" s="206"/>
    </row>
    <row r="8224" spans="1:9" ht="15" hidden="1" customHeight="1">
      <c r="A8224" s="205">
        <v>45616</v>
      </c>
      <c r="B8224" s="208" t="s">
        <v>6524</v>
      </c>
      <c r="C8224" s="206" t="s">
        <v>27</v>
      </c>
      <c r="D8224" s="784">
        <v>-1685000</v>
      </c>
      <c r="E8224" s="212">
        <v>45597</v>
      </c>
      <c r="F8224" s="206" t="s">
        <v>109</v>
      </c>
      <c r="G8224" s="206" t="s">
        <v>2809</v>
      </c>
      <c r="H8224" s="206" t="s">
        <v>5483</v>
      </c>
      <c r="I8224" s="206"/>
    </row>
    <row r="8225" spans="1:9" ht="15" hidden="1" customHeight="1">
      <c r="A8225" s="205">
        <v>45601</v>
      </c>
      <c r="B8225" s="208" t="s">
        <v>6525</v>
      </c>
      <c r="C8225" s="206" t="s">
        <v>27</v>
      </c>
      <c r="D8225" s="784">
        <v>-11500</v>
      </c>
      <c r="E8225" s="212">
        <v>45597</v>
      </c>
      <c r="F8225" s="206" t="s">
        <v>130</v>
      </c>
      <c r="G8225" s="206" t="s">
        <v>257</v>
      </c>
      <c r="H8225" s="84" t="s">
        <v>2032</v>
      </c>
      <c r="I8225" s="206" t="s">
        <v>6526</v>
      </c>
    </row>
    <row r="8226" spans="1:9" ht="15" hidden="1" customHeight="1">
      <c r="A8226" s="205">
        <v>45601</v>
      </c>
      <c r="B8226" s="208" t="s">
        <v>6525</v>
      </c>
      <c r="C8226" s="206" t="s">
        <v>27</v>
      </c>
      <c r="D8226" s="784">
        <v>-12200</v>
      </c>
      <c r="E8226" s="212">
        <v>45597</v>
      </c>
      <c r="F8226" s="206" t="s">
        <v>130</v>
      </c>
      <c r="G8226" s="206" t="s">
        <v>257</v>
      </c>
      <c r="H8226" s="84" t="s">
        <v>2032</v>
      </c>
      <c r="I8226" s="206" t="s">
        <v>6526</v>
      </c>
    </row>
    <row r="8227" spans="1:9" ht="15" hidden="1" customHeight="1">
      <c r="A8227" s="205">
        <v>45601</v>
      </c>
      <c r="B8227" s="208" t="s">
        <v>6525</v>
      </c>
      <c r="C8227" s="206" t="s">
        <v>27</v>
      </c>
      <c r="D8227" s="785">
        <v>-12200</v>
      </c>
      <c r="E8227" s="212">
        <v>45597</v>
      </c>
      <c r="F8227" s="206" t="s">
        <v>130</v>
      </c>
      <c r="G8227" s="206" t="s">
        <v>257</v>
      </c>
      <c r="H8227" s="84" t="s">
        <v>2032</v>
      </c>
      <c r="I8227" s="206" t="s">
        <v>6526</v>
      </c>
    </row>
    <row r="8228" spans="1:9" ht="15" hidden="1" customHeight="1">
      <c r="A8228" s="205">
        <v>45601</v>
      </c>
      <c r="B8228" s="208" t="s">
        <v>6525</v>
      </c>
      <c r="C8228" s="206" t="s">
        <v>27</v>
      </c>
      <c r="D8228" s="784">
        <v>-11500</v>
      </c>
      <c r="E8228" s="212">
        <v>45597</v>
      </c>
      <c r="F8228" s="206" t="s">
        <v>130</v>
      </c>
      <c r="G8228" s="206" t="s">
        <v>257</v>
      </c>
      <c r="H8228" s="84" t="s">
        <v>2032</v>
      </c>
      <c r="I8228" s="206" t="s">
        <v>6526</v>
      </c>
    </row>
    <row r="8229" spans="1:9" ht="15" hidden="1" customHeight="1">
      <c r="A8229" s="205">
        <v>45601</v>
      </c>
      <c r="B8229" s="208" t="s">
        <v>6525</v>
      </c>
      <c r="C8229" s="206" t="s">
        <v>27</v>
      </c>
      <c r="D8229" s="784">
        <v>-11500</v>
      </c>
      <c r="E8229" s="212">
        <v>45597</v>
      </c>
      <c r="F8229" s="206" t="s">
        <v>130</v>
      </c>
      <c r="G8229" s="206" t="s">
        <v>257</v>
      </c>
      <c r="H8229" s="84" t="s">
        <v>2032</v>
      </c>
      <c r="I8229" s="206" t="s">
        <v>6526</v>
      </c>
    </row>
    <row r="8230" spans="1:9" ht="15" hidden="1" customHeight="1">
      <c r="A8230" s="205">
        <v>45602</v>
      </c>
      <c r="B8230" s="208" t="s">
        <v>6527</v>
      </c>
      <c r="C8230" s="206" t="s">
        <v>27</v>
      </c>
      <c r="D8230" s="784">
        <v>-14816</v>
      </c>
      <c r="E8230" s="212">
        <v>45597</v>
      </c>
      <c r="F8230" s="206" t="s">
        <v>130</v>
      </c>
      <c r="G8230" s="206" t="s">
        <v>257</v>
      </c>
      <c r="H8230" s="208" t="s">
        <v>303</v>
      </c>
      <c r="I8230" s="206" t="s">
        <v>6526</v>
      </c>
    </row>
    <row r="8231" spans="1:9" ht="15" hidden="1" customHeight="1">
      <c r="A8231" s="205">
        <v>45611</v>
      </c>
      <c r="B8231" s="208" t="s">
        <v>6525</v>
      </c>
      <c r="C8231" s="206" t="s">
        <v>27</v>
      </c>
      <c r="D8231" s="784">
        <v>-11600</v>
      </c>
      <c r="E8231" s="212">
        <v>45597</v>
      </c>
      <c r="F8231" s="206" t="s">
        <v>109</v>
      </c>
      <c r="G8231" s="208" t="s">
        <v>5503</v>
      </c>
      <c r="H8231" s="81" t="s">
        <v>138</v>
      </c>
      <c r="I8231" s="206" t="s">
        <v>6526</v>
      </c>
    </row>
    <row r="8232" spans="1:9" ht="15" hidden="1" customHeight="1">
      <c r="A8232" s="205">
        <v>45611</v>
      </c>
      <c r="B8232" s="208" t="s">
        <v>6525</v>
      </c>
      <c r="C8232" s="206" t="s">
        <v>27</v>
      </c>
      <c r="D8232" s="784">
        <v>-11500</v>
      </c>
      <c r="E8232" s="212">
        <v>45597</v>
      </c>
      <c r="F8232" s="206" t="s">
        <v>130</v>
      </c>
      <c r="G8232" s="206" t="s">
        <v>257</v>
      </c>
      <c r="H8232" s="81" t="s">
        <v>138</v>
      </c>
      <c r="I8232" s="206" t="s">
        <v>6526</v>
      </c>
    </row>
    <row r="8233" spans="1:9" ht="15" hidden="1" customHeight="1">
      <c r="A8233" s="205">
        <v>45611</v>
      </c>
      <c r="B8233" s="208" t="s">
        <v>6525</v>
      </c>
      <c r="C8233" s="206" t="s">
        <v>27</v>
      </c>
      <c r="D8233" s="784">
        <v>-12200</v>
      </c>
      <c r="E8233" s="212">
        <v>45597</v>
      </c>
      <c r="F8233" s="206" t="s">
        <v>130</v>
      </c>
      <c r="G8233" s="206" t="s">
        <v>257</v>
      </c>
      <c r="H8233" s="81" t="s">
        <v>138</v>
      </c>
      <c r="I8233" s="206" t="s">
        <v>6526</v>
      </c>
    </row>
    <row r="8234" spans="1:9" ht="15" hidden="1" customHeight="1">
      <c r="A8234" s="205">
        <v>45611</v>
      </c>
      <c r="B8234" s="208" t="s">
        <v>6525</v>
      </c>
      <c r="C8234" s="206" t="s">
        <v>27</v>
      </c>
      <c r="D8234" s="784">
        <v>-12200</v>
      </c>
      <c r="E8234" s="212">
        <v>45597</v>
      </c>
      <c r="F8234" s="206" t="s">
        <v>130</v>
      </c>
      <c r="G8234" s="206" t="s">
        <v>257</v>
      </c>
      <c r="H8234" s="81" t="s">
        <v>138</v>
      </c>
      <c r="I8234" s="206" t="s">
        <v>6526</v>
      </c>
    </row>
    <row r="8235" spans="1:9" ht="15" hidden="1" customHeight="1">
      <c r="A8235" s="205">
        <v>45611</v>
      </c>
      <c r="B8235" s="208" t="s">
        <v>6525</v>
      </c>
      <c r="C8235" s="206" t="s">
        <v>27</v>
      </c>
      <c r="D8235" s="784">
        <v>-11500</v>
      </c>
      <c r="E8235" s="212">
        <v>45597</v>
      </c>
      <c r="F8235" s="206" t="s">
        <v>130</v>
      </c>
      <c r="G8235" s="206" t="s">
        <v>257</v>
      </c>
      <c r="H8235" s="81" t="s">
        <v>138</v>
      </c>
      <c r="I8235" s="206" t="s">
        <v>6526</v>
      </c>
    </row>
    <row r="8236" spans="1:9" ht="15" hidden="1" customHeight="1">
      <c r="A8236" s="205">
        <v>45611</v>
      </c>
      <c r="B8236" s="208" t="s">
        <v>6525</v>
      </c>
      <c r="C8236" s="206" t="s">
        <v>27</v>
      </c>
      <c r="D8236" s="784">
        <v>-11600</v>
      </c>
      <c r="E8236" s="212">
        <v>45597</v>
      </c>
      <c r="F8236" s="206" t="s">
        <v>130</v>
      </c>
      <c r="G8236" s="206" t="s">
        <v>257</v>
      </c>
      <c r="H8236" s="81" t="s">
        <v>138</v>
      </c>
      <c r="I8236" s="206" t="s">
        <v>6526</v>
      </c>
    </row>
    <row r="8237" spans="1:9" ht="15" hidden="1" customHeight="1">
      <c r="A8237" s="205">
        <v>45616</v>
      </c>
      <c r="B8237" s="208" t="s">
        <v>6528</v>
      </c>
      <c r="C8237" s="206" t="s">
        <v>27</v>
      </c>
      <c r="D8237" s="784">
        <v>-1825008</v>
      </c>
      <c r="E8237" s="212">
        <v>45597</v>
      </c>
      <c r="F8237" s="206" t="s">
        <v>109</v>
      </c>
      <c r="G8237" s="201" t="s">
        <v>583</v>
      </c>
      <c r="H8237" s="206" t="s">
        <v>6529</v>
      </c>
      <c r="I8237" s="206"/>
    </row>
    <row r="8238" spans="1:9" ht="15" hidden="1" customHeight="1">
      <c r="A8238" s="205">
        <v>45616</v>
      </c>
      <c r="B8238" s="208" t="s">
        <v>6530</v>
      </c>
      <c r="C8238" s="206" t="s">
        <v>4314</v>
      </c>
      <c r="D8238" s="737">
        <v>-66192</v>
      </c>
      <c r="E8238" s="212">
        <v>45597</v>
      </c>
      <c r="F8238" s="206" t="s">
        <v>109</v>
      </c>
      <c r="G8238" s="206" t="s">
        <v>583</v>
      </c>
      <c r="I8238" s="206"/>
    </row>
    <row r="8239" spans="1:9" ht="15" hidden="1" customHeight="1">
      <c r="A8239" s="205">
        <v>45616</v>
      </c>
      <c r="B8239" s="208" t="s">
        <v>6531</v>
      </c>
      <c r="C8239" s="206" t="s">
        <v>27</v>
      </c>
      <c r="D8239" s="784">
        <v>-1512000</v>
      </c>
      <c r="E8239" s="212">
        <v>45597</v>
      </c>
      <c r="F8239" s="206" t="s">
        <v>110</v>
      </c>
      <c r="G8239" s="208" t="s">
        <v>4990</v>
      </c>
      <c r="H8239" s="201" t="s">
        <v>631</v>
      </c>
      <c r="I8239" s="206"/>
    </row>
    <row r="8240" spans="1:9" ht="15" hidden="1" customHeight="1">
      <c r="A8240" s="205">
        <v>45616</v>
      </c>
      <c r="B8240" s="208" t="s">
        <v>6532</v>
      </c>
      <c r="C8240" s="206" t="s">
        <v>4314</v>
      </c>
      <c r="D8240" s="737">
        <v>-154000</v>
      </c>
      <c r="E8240" s="212">
        <v>45597</v>
      </c>
      <c r="F8240" s="206" t="s">
        <v>110</v>
      </c>
      <c r="G8240" s="206" t="s">
        <v>4990</v>
      </c>
      <c r="I8240" s="206"/>
    </row>
    <row r="8241" spans="1:9" ht="15" hidden="1" customHeight="1">
      <c r="A8241" s="205">
        <v>45616</v>
      </c>
      <c r="B8241" s="208" t="s">
        <v>6533</v>
      </c>
      <c r="C8241" s="206" t="s">
        <v>27</v>
      </c>
      <c r="D8241" s="784">
        <v>-980000</v>
      </c>
      <c r="E8241" s="212">
        <v>45597</v>
      </c>
      <c r="F8241" s="206" t="s">
        <v>109</v>
      </c>
      <c r="G8241" s="201" t="s">
        <v>581</v>
      </c>
      <c r="H8241" s="206" t="s">
        <v>6529</v>
      </c>
      <c r="I8241" s="206"/>
    </row>
    <row r="8242" spans="1:9" ht="15" hidden="1" customHeight="1">
      <c r="A8242" s="205">
        <v>45616</v>
      </c>
      <c r="B8242" s="208" t="s">
        <v>6534</v>
      </c>
      <c r="C8242" s="206" t="s">
        <v>4314</v>
      </c>
      <c r="D8242" s="737">
        <v>-35544.080000000002</v>
      </c>
      <c r="E8242" s="212">
        <v>45597</v>
      </c>
      <c r="F8242" s="206" t="s">
        <v>109</v>
      </c>
      <c r="G8242" s="601" t="s">
        <v>581</v>
      </c>
      <c r="I8242" s="206"/>
    </row>
    <row r="8243" spans="1:9" ht="15" hidden="1" customHeight="1">
      <c r="A8243" s="205">
        <v>45616</v>
      </c>
      <c r="B8243" s="208" t="s">
        <v>1324</v>
      </c>
      <c r="C8243" s="206" t="s">
        <v>27</v>
      </c>
      <c r="D8243" s="784">
        <v>-1948050</v>
      </c>
      <c r="E8243" s="212">
        <v>45597</v>
      </c>
      <c r="F8243" s="206" t="s">
        <v>109</v>
      </c>
      <c r="G8243" s="201" t="s">
        <v>581</v>
      </c>
      <c r="H8243" s="206" t="s">
        <v>6506</v>
      </c>
      <c r="I8243" s="206"/>
    </row>
    <row r="8244" spans="1:9" ht="15" hidden="1" customHeight="1">
      <c r="A8244" s="205">
        <v>45616</v>
      </c>
      <c r="B8244" s="208" t="s">
        <v>6535</v>
      </c>
      <c r="C8244" s="206" t="s">
        <v>4314</v>
      </c>
      <c r="D8244" s="737">
        <v>-49950</v>
      </c>
      <c r="E8244" s="212">
        <v>45597</v>
      </c>
      <c r="F8244" s="206" t="s">
        <v>109</v>
      </c>
      <c r="G8244" s="601" t="s">
        <v>581</v>
      </c>
      <c r="I8244" s="206"/>
    </row>
    <row r="8245" spans="1:9" ht="15" hidden="1" customHeight="1">
      <c r="A8245" s="205">
        <v>45616</v>
      </c>
      <c r="B8245" s="208" t="s">
        <v>6536</v>
      </c>
      <c r="C8245" s="206" t="s">
        <v>27</v>
      </c>
      <c r="D8245" s="784">
        <v>-6439296</v>
      </c>
      <c r="E8245" s="212">
        <v>45597</v>
      </c>
      <c r="F8245" s="206" t="s">
        <v>109</v>
      </c>
      <c r="G8245" s="206" t="s">
        <v>5990</v>
      </c>
      <c r="H8245" s="206" t="s">
        <v>6537</v>
      </c>
      <c r="I8245" s="206"/>
    </row>
    <row r="8246" spans="1:9" ht="15" hidden="1" customHeight="1">
      <c r="A8246" s="205">
        <v>45616</v>
      </c>
      <c r="B8246" s="208" t="s">
        <v>6538</v>
      </c>
      <c r="C8246" s="206" t="s">
        <v>4314</v>
      </c>
      <c r="D8246" s="737">
        <v>-65440</v>
      </c>
      <c r="E8246" s="212">
        <v>45597</v>
      </c>
      <c r="F8246" s="206" t="s">
        <v>109</v>
      </c>
      <c r="G8246" s="206" t="s">
        <v>6198</v>
      </c>
      <c r="I8246" s="206"/>
    </row>
    <row r="8247" spans="1:9" ht="15" hidden="1" customHeight="1">
      <c r="A8247" s="205">
        <v>45616</v>
      </c>
      <c r="B8247" s="208" t="s">
        <v>6539</v>
      </c>
      <c r="C8247" s="206" t="s">
        <v>4314</v>
      </c>
      <c r="D8247" s="737">
        <v>-39264</v>
      </c>
      <c r="E8247" s="212">
        <v>45597</v>
      </c>
      <c r="F8247" s="206" t="s">
        <v>109</v>
      </c>
      <c r="G8247" s="206" t="s">
        <v>6198</v>
      </c>
      <c r="I8247" s="206"/>
    </row>
    <row r="8248" spans="1:9" ht="15" hidden="1" customHeight="1">
      <c r="A8248" s="205">
        <v>45616</v>
      </c>
      <c r="B8248" s="208" t="s">
        <v>6540</v>
      </c>
      <c r="C8248" s="206" t="s">
        <v>27</v>
      </c>
      <c r="D8248" s="784">
        <v>-53612256</v>
      </c>
      <c r="E8248" s="212">
        <v>45597</v>
      </c>
      <c r="F8248" s="206" t="s">
        <v>109</v>
      </c>
      <c r="G8248" s="206" t="s">
        <v>5990</v>
      </c>
      <c r="H8248" s="206" t="s">
        <v>6537</v>
      </c>
      <c r="I8248" s="206"/>
    </row>
    <row r="8249" spans="1:9" ht="15" hidden="1" customHeight="1">
      <c r="A8249" s="205">
        <v>45616</v>
      </c>
      <c r="B8249" s="208" t="s">
        <v>6541</v>
      </c>
      <c r="C8249" s="206" t="s">
        <v>4314</v>
      </c>
      <c r="D8249" s="737">
        <v>-544840</v>
      </c>
      <c r="E8249" s="212">
        <v>45597</v>
      </c>
      <c r="F8249" s="206" t="s">
        <v>109</v>
      </c>
      <c r="G8249" s="206" t="s">
        <v>6198</v>
      </c>
      <c r="I8249" s="206"/>
    </row>
    <row r="8250" spans="1:9" ht="15" hidden="1" customHeight="1">
      <c r="A8250" s="205">
        <v>45616</v>
      </c>
      <c r="B8250" s="208" t="s">
        <v>6542</v>
      </c>
      <c r="C8250" s="206" t="s">
        <v>4314</v>
      </c>
      <c r="D8250" s="737">
        <v>-326904</v>
      </c>
      <c r="E8250" s="212">
        <v>45597</v>
      </c>
      <c r="F8250" s="206" t="s">
        <v>109</v>
      </c>
      <c r="G8250" s="206" t="s">
        <v>6198</v>
      </c>
      <c r="I8250" s="206"/>
    </row>
    <row r="8251" spans="1:9" ht="15" hidden="1" customHeight="1">
      <c r="A8251" s="205">
        <v>45616</v>
      </c>
      <c r="B8251" s="208" t="s">
        <v>6543</v>
      </c>
      <c r="C8251" s="206" t="s">
        <v>27</v>
      </c>
      <c r="D8251" s="784">
        <v>-8100000</v>
      </c>
      <c r="E8251" s="212">
        <v>45597</v>
      </c>
      <c r="F8251" s="206" t="s">
        <v>109</v>
      </c>
      <c r="G8251" s="206" t="s">
        <v>2809</v>
      </c>
      <c r="H8251" s="206" t="s">
        <v>5059</v>
      </c>
      <c r="I8251" s="206"/>
    </row>
    <row r="8252" spans="1:9" ht="15" hidden="1" customHeight="1">
      <c r="A8252" s="205">
        <v>45616</v>
      </c>
      <c r="B8252" s="208" t="s">
        <v>6544</v>
      </c>
      <c r="C8252" s="206" t="s">
        <v>4314</v>
      </c>
      <c r="D8252" s="737">
        <v>-825000</v>
      </c>
      <c r="E8252" s="212">
        <v>45597</v>
      </c>
      <c r="F8252" s="206" t="s">
        <v>109</v>
      </c>
      <c r="G8252" s="206" t="s">
        <v>3644</v>
      </c>
      <c r="H8252" s="206" t="s">
        <v>5059</v>
      </c>
      <c r="I8252" s="206"/>
    </row>
    <row r="8253" spans="1:9" ht="15" hidden="1" customHeight="1">
      <c r="A8253" s="205">
        <v>45616</v>
      </c>
      <c r="B8253" s="208" t="s">
        <v>6545</v>
      </c>
      <c r="C8253" s="206" t="s">
        <v>27</v>
      </c>
      <c r="D8253" s="784">
        <v>-3634106.26</v>
      </c>
      <c r="E8253" s="212">
        <v>45597</v>
      </c>
      <c r="F8253" s="206" t="s">
        <v>130</v>
      </c>
      <c r="G8253" s="206" t="s">
        <v>130</v>
      </c>
      <c r="H8253" s="262" t="s">
        <v>2724</v>
      </c>
      <c r="I8253" s="206"/>
    </row>
    <row r="8254" spans="1:9" ht="15" hidden="1" customHeight="1">
      <c r="A8254" s="205">
        <v>45616</v>
      </c>
      <c r="B8254" s="208" t="s">
        <v>6546</v>
      </c>
      <c r="C8254" s="206" t="s">
        <v>4314</v>
      </c>
      <c r="D8254" s="737">
        <v>-84873.98</v>
      </c>
      <c r="E8254" s="212">
        <v>45597</v>
      </c>
      <c r="F8254" s="206" t="s">
        <v>130</v>
      </c>
      <c r="G8254" s="206" t="s">
        <v>130</v>
      </c>
      <c r="H8254" s="262" t="s">
        <v>2724</v>
      </c>
      <c r="I8254" s="206"/>
    </row>
    <row r="8255" spans="1:9" ht="15" hidden="1" customHeight="1">
      <c r="A8255" s="205">
        <v>45616</v>
      </c>
      <c r="B8255" s="208" t="s">
        <v>6547</v>
      </c>
      <c r="C8255" s="206" t="s">
        <v>4314</v>
      </c>
      <c r="D8255" s="737">
        <v>-20369.759999999998</v>
      </c>
      <c r="E8255" s="212">
        <v>45597</v>
      </c>
      <c r="F8255" s="206" t="s">
        <v>130</v>
      </c>
      <c r="G8255" s="206" t="s">
        <v>130</v>
      </c>
      <c r="H8255" s="262" t="s">
        <v>2724</v>
      </c>
      <c r="I8255" s="206"/>
    </row>
    <row r="8256" spans="1:9" ht="15" hidden="1" customHeight="1">
      <c r="A8256" s="205">
        <v>45617</v>
      </c>
      <c r="B8256" s="208" t="s">
        <v>6548</v>
      </c>
      <c r="C8256" s="206" t="s">
        <v>27</v>
      </c>
      <c r="D8256" s="784">
        <v>-3773300</v>
      </c>
      <c r="E8256" s="212">
        <v>45597</v>
      </c>
      <c r="F8256" s="206" t="s">
        <v>109</v>
      </c>
      <c r="G8256" s="206" t="s">
        <v>5990</v>
      </c>
      <c r="H8256" s="206" t="s">
        <v>6549</v>
      </c>
      <c r="I8256" s="206"/>
    </row>
    <row r="8257" spans="1:9" ht="15" hidden="1" customHeight="1">
      <c r="A8257" s="205">
        <v>45616</v>
      </c>
      <c r="B8257" s="208" t="s">
        <v>4933</v>
      </c>
      <c r="C8257" s="206" t="s">
        <v>27</v>
      </c>
      <c r="D8257" s="784">
        <v>-178500</v>
      </c>
      <c r="E8257" s="212">
        <v>45597</v>
      </c>
      <c r="F8257" s="206" t="s">
        <v>109</v>
      </c>
      <c r="G8257" s="201" t="s">
        <v>581</v>
      </c>
      <c r="H8257" s="206" t="s">
        <v>1038</v>
      </c>
      <c r="I8257" s="206"/>
    </row>
    <row r="8258" spans="1:9" ht="15" hidden="1" customHeight="1">
      <c r="A8258" s="205">
        <v>45616</v>
      </c>
      <c r="B8258" s="208" t="s">
        <v>4933</v>
      </c>
      <c r="C8258" s="206" t="s">
        <v>27</v>
      </c>
      <c r="D8258" s="784">
        <v>-178500</v>
      </c>
      <c r="E8258" s="212">
        <v>45597</v>
      </c>
      <c r="F8258" s="206" t="s">
        <v>109</v>
      </c>
      <c r="G8258" s="201" t="s">
        <v>583</v>
      </c>
      <c r="H8258" s="206" t="s">
        <v>1038</v>
      </c>
      <c r="I8258" s="206"/>
    </row>
    <row r="8259" spans="1:9" ht="15" hidden="1" customHeight="1">
      <c r="A8259" s="205">
        <v>45616</v>
      </c>
      <c r="B8259" s="208" t="s">
        <v>6550</v>
      </c>
      <c r="C8259" s="206" t="s">
        <v>27</v>
      </c>
      <c r="D8259" s="784">
        <v>-288470</v>
      </c>
      <c r="E8259" s="212">
        <v>45597</v>
      </c>
      <c r="F8259" s="206" t="s">
        <v>130</v>
      </c>
      <c r="G8259" s="206" t="s">
        <v>130</v>
      </c>
      <c r="H8259" s="262" t="s">
        <v>2724</v>
      </c>
      <c r="I8259" s="206"/>
    </row>
    <row r="8260" spans="1:9" ht="15" hidden="1" customHeight="1">
      <c r="A8260" s="205">
        <v>45611</v>
      </c>
      <c r="B8260" s="208" t="s">
        <v>5808</v>
      </c>
      <c r="C8260" s="206" t="s">
        <v>146</v>
      </c>
      <c r="D8260" s="211">
        <v>40000</v>
      </c>
      <c r="E8260" s="207">
        <v>45597</v>
      </c>
      <c r="F8260" s="206" t="s">
        <v>130</v>
      </c>
      <c r="G8260" s="206" t="s">
        <v>257</v>
      </c>
      <c r="H8260" s="206" t="s">
        <v>2032</v>
      </c>
      <c r="I8260" s="206" t="s">
        <v>6479</v>
      </c>
    </row>
    <row r="8261" spans="1:9" s="209" customFormat="1" ht="15" hidden="1" customHeight="1">
      <c r="A8261" s="468">
        <v>45616</v>
      </c>
      <c r="B8261" s="750" t="s">
        <v>6551</v>
      </c>
      <c r="C8261" s="208" t="s">
        <v>27</v>
      </c>
      <c r="D8261" s="784">
        <v>-499900</v>
      </c>
      <c r="E8261" s="212">
        <v>45597</v>
      </c>
      <c r="F8261" s="208" t="s">
        <v>109</v>
      </c>
      <c r="G8261" s="601" t="s">
        <v>581</v>
      </c>
      <c r="H8261" s="208" t="s">
        <v>147</v>
      </c>
      <c r="I8261" s="208"/>
    </row>
    <row r="8262" spans="1:9" ht="15" hidden="1" customHeight="1">
      <c r="A8262" s="205">
        <v>45616</v>
      </c>
      <c r="B8262" s="750" t="s">
        <v>6552</v>
      </c>
      <c r="C8262" s="206" t="s">
        <v>27</v>
      </c>
      <c r="D8262" s="718">
        <v>-402500</v>
      </c>
      <c r="E8262" s="207">
        <v>45597</v>
      </c>
      <c r="F8262" s="206" t="s">
        <v>109</v>
      </c>
      <c r="G8262" s="601" t="s">
        <v>581</v>
      </c>
      <c r="H8262" s="208" t="s">
        <v>147</v>
      </c>
      <c r="I8262" s="206"/>
    </row>
    <row r="8263" spans="1:9" ht="15" hidden="1" customHeight="1">
      <c r="A8263" s="205">
        <v>45616</v>
      </c>
      <c r="B8263" s="750" t="s">
        <v>6553</v>
      </c>
      <c r="C8263" s="206" t="s">
        <v>27</v>
      </c>
      <c r="D8263" s="784">
        <v>-383800</v>
      </c>
      <c r="E8263" s="207">
        <v>45597</v>
      </c>
      <c r="F8263" s="206" t="s">
        <v>109</v>
      </c>
      <c r="G8263" s="601" t="s">
        <v>581</v>
      </c>
      <c r="H8263" s="208" t="s">
        <v>147</v>
      </c>
      <c r="I8263" s="206"/>
    </row>
    <row r="8264" spans="1:9" ht="15" hidden="1" customHeight="1">
      <c r="A8264" s="205">
        <v>45616</v>
      </c>
      <c r="B8264" s="750" t="s">
        <v>6554</v>
      </c>
      <c r="C8264" s="206" t="s">
        <v>27</v>
      </c>
      <c r="D8264" s="718">
        <v>-402500</v>
      </c>
      <c r="E8264" s="207">
        <v>45597</v>
      </c>
      <c r="F8264" s="206" t="s">
        <v>109</v>
      </c>
      <c r="G8264" s="601" t="s">
        <v>581</v>
      </c>
      <c r="H8264" s="208" t="s">
        <v>147</v>
      </c>
      <c r="I8264" s="206"/>
    </row>
    <row r="8265" spans="1:9" ht="15" hidden="1" customHeight="1">
      <c r="A8265" s="205">
        <v>45616</v>
      </c>
      <c r="B8265" s="750" t="s">
        <v>6555</v>
      </c>
      <c r="C8265" s="206" t="s">
        <v>27</v>
      </c>
      <c r="D8265" s="718">
        <v>-402500</v>
      </c>
      <c r="E8265" s="207">
        <v>45597</v>
      </c>
      <c r="F8265" s="206" t="s">
        <v>109</v>
      </c>
      <c r="G8265" s="601" t="s">
        <v>581</v>
      </c>
      <c r="H8265" s="208" t="s">
        <v>147</v>
      </c>
      <c r="I8265" s="206"/>
    </row>
    <row r="8266" spans="1:9" ht="15" hidden="1" customHeight="1">
      <c r="A8266" s="205">
        <v>45616</v>
      </c>
      <c r="B8266" s="750" t="s">
        <v>6556</v>
      </c>
      <c r="C8266" s="206" t="s">
        <v>27</v>
      </c>
      <c r="D8266" s="784">
        <v>-407000</v>
      </c>
      <c r="E8266" s="207">
        <v>45597</v>
      </c>
      <c r="F8266" s="206" t="s">
        <v>109</v>
      </c>
      <c r="G8266" s="601" t="s">
        <v>581</v>
      </c>
      <c r="H8266" s="208" t="s">
        <v>147</v>
      </c>
      <c r="I8266" s="206"/>
    </row>
    <row r="8267" spans="1:9" ht="15" hidden="1" customHeight="1">
      <c r="A8267" s="205">
        <v>45616</v>
      </c>
      <c r="B8267" s="750" t="s">
        <v>6557</v>
      </c>
      <c r="C8267" s="206" t="s">
        <v>27</v>
      </c>
      <c r="D8267" s="718">
        <v>-402500</v>
      </c>
      <c r="E8267" s="207">
        <v>45597</v>
      </c>
      <c r="F8267" s="206" t="s">
        <v>109</v>
      </c>
      <c r="G8267" s="601" t="s">
        <v>581</v>
      </c>
      <c r="H8267" s="208" t="s">
        <v>147</v>
      </c>
      <c r="I8267" s="206"/>
    </row>
    <row r="8268" spans="1:9" ht="15" hidden="1" customHeight="1">
      <c r="A8268" s="205">
        <v>45616</v>
      </c>
      <c r="B8268" s="750" t="s">
        <v>6558</v>
      </c>
      <c r="C8268" s="206" t="s">
        <v>27</v>
      </c>
      <c r="D8268" s="718">
        <v>-402500</v>
      </c>
      <c r="E8268" s="207">
        <v>45597</v>
      </c>
      <c r="F8268" s="206" t="s">
        <v>109</v>
      </c>
      <c r="G8268" s="601" t="s">
        <v>581</v>
      </c>
      <c r="H8268" s="208" t="s">
        <v>147</v>
      </c>
      <c r="I8268" s="206"/>
    </row>
    <row r="8269" spans="1:9" ht="15" hidden="1" customHeight="1">
      <c r="A8269" s="205">
        <v>45616</v>
      </c>
      <c r="B8269" s="750" t="s">
        <v>6559</v>
      </c>
      <c r="C8269" s="206" t="s">
        <v>27</v>
      </c>
      <c r="D8269" s="718">
        <v>-402500</v>
      </c>
      <c r="E8269" s="207">
        <v>45597</v>
      </c>
      <c r="F8269" s="206" t="s">
        <v>109</v>
      </c>
      <c r="G8269" s="601" t="s">
        <v>581</v>
      </c>
      <c r="H8269" s="208" t="s">
        <v>147</v>
      </c>
      <c r="I8269" s="206"/>
    </row>
    <row r="8270" spans="1:9" ht="15" hidden="1" customHeight="1">
      <c r="A8270" s="205">
        <v>45616</v>
      </c>
      <c r="B8270" s="750" t="s">
        <v>6560</v>
      </c>
      <c r="C8270" s="206" t="s">
        <v>27</v>
      </c>
      <c r="D8270" s="718">
        <v>-402500</v>
      </c>
      <c r="E8270" s="207">
        <v>45597</v>
      </c>
      <c r="F8270" s="206" t="s">
        <v>109</v>
      </c>
      <c r="G8270" s="601" t="s">
        <v>581</v>
      </c>
      <c r="H8270" s="208" t="s">
        <v>147</v>
      </c>
      <c r="I8270" s="206"/>
    </row>
    <row r="8271" spans="1:9" ht="15" hidden="1" customHeight="1">
      <c r="A8271" s="205">
        <v>45616</v>
      </c>
      <c r="B8271" s="750" t="s">
        <v>6561</v>
      </c>
      <c r="C8271" s="206" t="s">
        <v>27</v>
      </c>
      <c r="D8271" s="784">
        <v>-407000</v>
      </c>
      <c r="E8271" s="207">
        <v>45597</v>
      </c>
      <c r="F8271" s="206" t="s">
        <v>109</v>
      </c>
      <c r="G8271" s="601" t="s">
        <v>581</v>
      </c>
      <c r="H8271" s="208" t="s">
        <v>147</v>
      </c>
      <c r="I8271" s="206"/>
    </row>
    <row r="8272" spans="1:9" ht="15" hidden="1" customHeight="1">
      <c r="A8272" s="205">
        <v>45616</v>
      </c>
      <c r="B8272" s="750" t="s">
        <v>6562</v>
      </c>
      <c r="C8272" s="206" t="s">
        <v>27</v>
      </c>
      <c r="D8272" s="784">
        <v>-1238400</v>
      </c>
      <c r="E8272" s="207">
        <v>45597</v>
      </c>
      <c r="F8272" s="206" t="s">
        <v>109</v>
      </c>
      <c r="G8272" s="601" t="s">
        <v>581</v>
      </c>
      <c r="H8272" s="208" t="s">
        <v>147</v>
      </c>
      <c r="I8272" s="206"/>
    </row>
    <row r="8273" spans="1:9" ht="15" hidden="1" customHeight="1">
      <c r="A8273" s="205">
        <v>45616</v>
      </c>
      <c r="B8273" s="750" t="s">
        <v>6563</v>
      </c>
      <c r="C8273" s="206" t="s">
        <v>27</v>
      </c>
      <c r="D8273" s="718">
        <v>-402500</v>
      </c>
      <c r="E8273" s="207">
        <v>45597</v>
      </c>
      <c r="F8273" s="206" t="s">
        <v>109</v>
      </c>
      <c r="G8273" s="601" t="s">
        <v>581</v>
      </c>
      <c r="H8273" s="208" t="s">
        <v>147</v>
      </c>
      <c r="I8273" s="206"/>
    </row>
    <row r="8274" spans="1:9" ht="15" hidden="1" customHeight="1">
      <c r="A8274" s="205">
        <v>45616</v>
      </c>
      <c r="B8274" s="750" t="s">
        <v>6564</v>
      </c>
      <c r="C8274" s="206" t="s">
        <v>27</v>
      </c>
      <c r="D8274" s="784">
        <v>-201300</v>
      </c>
      <c r="E8274" s="207">
        <v>45597</v>
      </c>
      <c r="F8274" s="206" t="s">
        <v>109</v>
      </c>
      <c r="G8274" s="601" t="s">
        <v>581</v>
      </c>
      <c r="H8274" s="208" t="s">
        <v>147</v>
      </c>
      <c r="I8274" s="206"/>
    </row>
    <row r="8275" spans="1:9" ht="15" hidden="1" customHeight="1">
      <c r="A8275" s="205">
        <v>45616</v>
      </c>
      <c r="B8275" s="750" t="s">
        <v>6565</v>
      </c>
      <c r="C8275" s="206" t="s">
        <v>27</v>
      </c>
      <c r="D8275" s="784">
        <v>-379100</v>
      </c>
      <c r="E8275" s="207">
        <v>45597</v>
      </c>
      <c r="F8275" s="206" t="s">
        <v>109</v>
      </c>
      <c r="G8275" s="601" t="s">
        <v>581</v>
      </c>
      <c r="H8275" s="208" t="s">
        <v>147</v>
      </c>
      <c r="I8275" s="206"/>
    </row>
    <row r="8276" spans="1:9" ht="15" hidden="1" customHeight="1">
      <c r="A8276" s="205">
        <v>45616</v>
      </c>
      <c r="B8276" s="750" t="s">
        <v>6566</v>
      </c>
      <c r="C8276" s="206" t="s">
        <v>27</v>
      </c>
      <c r="D8276" s="784">
        <v>-644500</v>
      </c>
      <c r="E8276" s="207">
        <v>45597</v>
      </c>
      <c r="F8276" s="206" t="s">
        <v>109</v>
      </c>
      <c r="G8276" s="601" t="s">
        <v>581</v>
      </c>
      <c r="H8276" s="208" t="s">
        <v>147</v>
      </c>
      <c r="I8276" s="206"/>
    </row>
    <row r="8277" spans="1:9" ht="15" hidden="1" customHeight="1">
      <c r="A8277" s="205">
        <v>45616</v>
      </c>
      <c r="B8277" s="750" t="s">
        <v>6567</v>
      </c>
      <c r="C8277" s="206" t="s">
        <v>27</v>
      </c>
      <c r="D8277" s="784">
        <v>-375900</v>
      </c>
      <c r="E8277" s="207">
        <v>45597</v>
      </c>
      <c r="F8277" s="206" t="s">
        <v>109</v>
      </c>
      <c r="G8277" s="601" t="s">
        <v>581</v>
      </c>
      <c r="H8277" s="208" t="s">
        <v>147</v>
      </c>
      <c r="I8277" s="206"/>
    </row>
    <row r="8278" spans="1:9" ht="15" hidden="1" customHeight="1">
      <c r="A8278" s="205">
        <v>45616</v>
      </c>
      <c r="B8278" s="750" t="s">
        <v>6568</v>
      </c>
      <c r="C8278" s="206" t="s">
        <v>27</v>
      </c>
      <c r="D8278" s="718">
        <v>-402500</v>
      </c>
      <c r="E8278" s="207">
        <v>45597</v>
      </c>
      <c r="F8278" s="206" t="s">
        <v>109</v>
      </c>
      <c r="G8278" s="601" t="s">
        <v>581</v>
      </c>
      <c r="H8278" s="208" t="s">
        <v>147</v>
      </c>
      <c r="I8278" s="206"/>
    </row>
    <row r="8279" spans="1:9" ht="15" hidden="1" customHeight="1">
      <c r="A8279" s="205">
        <v>45616</v>
      </c>
      <c r="B8279" s="750" t="s">
        <v>6569</v>
      </c>
      <c r="C8279" s="206" t="s">
        <v>27</v>
      </c>
      <c r="D8279" s="784">
        <v>-375900</v>
      </c>
      <c r="E8279" s="207">
        <v>45597</v>
      </c>
      <c r="F8279" s="206" t="s">
        <v>109</v>
      </c>
      <c r="G8279" s="601" t="s">
        <v>581</v>
      </c>
      <c r="H8279" s="208" t="s">
        <v>147</v>
      </c>
      <c r="I8279" s="206"/>
    </row>
    <row r="8280" spans="1:9" ht="15" hidden="1" customHeight="1">
      <c r="A8280" s="205">
        <v>45616</v>
      </c>
      <c r="B8280" s="750" t="s">
        <v>6570</v>
      </c>
      <c r="C8280" s="206" t="s">
        <v>27</v>
      </c>
      <c r="D8280" s="784">
        <v>-375900</v>
      </c>
      <c r="E8280" s="207">
        <v>45597</v>
      </c>
      <c r="F8280" s="206" t="s">
        <v>109</v>
      </c>
      <c r="G8280" s="601" t="s">
        <v>581</v>
      </c>
      <c r="H8280" s="208" t="s">
        <v>147</v>
      </c>
      <c r="I8280" s="206"/>
    </row>
    <row r="8281" spans="1:9" ht="15" hidden="1" customHeight="1">
      <c r="A8281" s="205">
        <v>45616</v>
      </c>
      <c r="B8281" s="750" t="s">
        <v>6571</v>
      </c>
      <c r="C8281" s="206" t="s">
        <v>27</v>
      </c>
      <c r="D8281" s="718">
        <v>-402500</v>
      </c>
      <c r="E8281" s="207">
        <v>45597</v>
      </c>
      <c r="F8281" s="206" t="s">
        <v>109</v>
      </c>
      <c r="G8281" s="601" t="s">
        <v>581</v>
      </c>
      <c r="H8281" s="208" t="s">
        <v>147</v>
      </c>
      <c r="I8281" s="206"/>
    </row>
    <row r="8282" spans="1:9" ht="15" hidden="1" customHeight="1">
      <c r="A8282" s="205">
        <v>45616</v>
      </c>
      <c r="B8282" s="750" t="s">
        <v>6572</v>
      </c>
      <c r="C8282" s="206" t="s">
        <v>27</v>
      </c>
      <c r="D8282" s="718">
        <v>-402500</v>
      </c>
      <c r="E8282" s="207">
        <v>45597</v>
      </c>
      <c r="F8282" s="206" t="s">
        <v>109</v>
      </c>
      <c r="G8282" s="601" t="s">
        <v>581</v>
      </c>
      <c r="H8282" s="208" t="s">
        <v>147</v>
      </c>
      <c r="I8282" s="206"/>
    </row>
    <row r="8283" spans="1:9" ht="15" hidden="1" customHeight="1">
      <c r="A8283" s="205">
        <v>45616</v>
      </c>
      <c r="B8283" s="750" t="s">
        <v>6573</v>
      </c>
      <c r="C8283" s="206" t="s">
        <v>27</v>
      </c>
      <c r="D8283" s="718">
        <v>-402500</v>
      </c>
      <c r="E8283" s="207">
        <v>45597</v>
      </c>
      <c r="F8283" s="206" t="s">
        <v>109</v>
      </c>
      <c r="G8283" s="601" t="s">
        <v>581</v>
      </c>
      <c r="H8283" s="208" t="s">
        <v>147</v>
      </c>
      <c r="I8283" s="206"/>
    </row>
    <row r="8284" spans="1:9" ht="15" hidden="1" customHeight="1">
      <c r="A8284" s="205">
        <v>45616</v>
      </c>
      <c r="B8284" s="750" t="s">
        <v>6574</v>
      </c>
      <c r="C8284" s="206" t="s">
        <v>27</v>
      </c>
      <c r="D8284" s="784">
        <v>-299800</v>
      </c>
      <c r="E8284" s="207">
        <v>45597</v>
      </c>
      <c r="F8284" s="206" t="s">
        <v>109</v>
      </c>
      <c r="G8284" s="601" t="s">
        <v>581</v>
      </c>
      <c r="H8284" s="208" t="s">
        <v>147</v>
      </c>
      <c r="I8284" s="206"/>
    </row>
    <row r="8285" spans="1:9" ht="15" hidden="1" customHeight="1">
      <c r="A8285" s="205">
        <v>45616</v>
      </c>
      <c r="B8285" s="750" t="s">
        <v>6575</v>
      </c>
      <c r="C8285" s="206" t="s">
        <v>27</v>
      </c>
      <c r="D8285" s="718">
        <v>-402500</v>
      </c>
      <c r="E8285" s="207">
        <v>45597</v>
      </c>
      <c r="F8285" s="206" t="s">
        <v>109</v>
      </c>
      <c r="G8285" s="601" t="s">
        <v>581</v>
      </c>
      <c r="H8285" s="208" t="s">
        <v>147</v>
      </c>
      <c r="I8285" s="206"/>
    </row>
    <row r="8286" spans="1:9" ht="15" hidden="1" customHeight="1">
      <c r="A8286" s="205">
        <v>45616</v>
      </c>
      <c r="B8286" s="750" t="s">
        <v>6576</v>
      </c>
      <c r="C8286" s="206" t="s">
        <v>27</v>
      </c>
      <c r="D8286" s="718">
        <v>-402500</v>
      </c>
      <c r="E8286" s="207">
        <v>45597</v>
      </c>
      <c r="F8286" s="206" t="s">
        <v>109</v>
      </c>
      <c r="G8286" s="601" t="s">
        <v>581</v>
      </c>
      <c r="H8286" s="208" t="s">
        <v>147</v>
      </c>
      <c r="I8286" s="206"/>
    </row>
    <row r="8287" spans="1:9" ht="15" hidden="1" customHeight="1">
      <c r="A8287" s="205">
        <v>45616</v>
      </c>
      <c r="B8287" s="750" t="s">
        <v>6577</v>
      </c>
      <c r="C8287" s="206" t="s">
        <v>27</v>
      </c>
      <c r="D8287" s="718">
        <v>-402500</v>
      </c>
      <c r="E8287" s="207">
        <v>45597</v>
      </c>
      <c r="F8287" s="206" t="s">
        <v>109</v>
      </c>
      <c r="G8287" s="601" t="s">
        <v>581</v>
      </c>
      <c r="H8287" s="208" t="s">
        <v>147</v>
      </c>
      <c r="I8287" s="206"/>
    </row>
    <row r="8288" spans="1:9" ht="15" hidden="1" customHeight="1">
      <c r="A8288" s="205">
        <v>45616</v>
      </c>
      <c r="B8288" s="750" t="s">
        <v>6578</v>
      </c>
      <c r="C8288" s="206" t="s">
        <v>27</v>
      </c>
      <c r="D8288" s="718">
        <v>-402500</v>
      </c>
      <c r="E8288" s="207">
        <v>45597</v>
      </c>
      <c r="F8288" s="206" t="s">
        <v>109</v>
      </c>
      <c r="G8288" s="601" t="s">
        <v>581</v>
      </c>
      <c r="H8288" s="208" t="s">
        <v>147</v>
      </c>
      <c r="I8288" s="206"/>
    </row>
    <row r="8289" spans="1:9" ht="15" hidden="1" customHeight="1">
      <c r="A8289" s="205">
        <v>45616</v>
      </c>
      <c r="B8289" s="750" t="s">
        <v>6579</v>
      </c>
      <c r="C8289" s="206" t="s">
        <v>27</v>
      </c>
      <c r="D8289" s="784">
        <v>-772500</v>
      </c>
      <c r="E8289" s="207">
        <v>45597</v>
      </c>
      <c r="F8289" s="206" t="s">
        <v>109</v>
      </c>
      <c r="G8289" s="601" t="s">
        <v>581</v>
      </c>
      <c r="H8289" s="208" t="s">
        <v>147</v>
      </c>
      <c r="I8289" s="206"/>
    </row>
    <row r="8290" spans="1:9" ht="15" hidden="1" customHeight="1">
      <c r="A8290" s="205">
        <v>45616</v>
      </c>
      <c r="B8290" s="750" t="s">
        <v>6580</v>
      </c>
      <c r="C8290" s="206" t="s">
        <v>27</v>
      </c>
      <c r="D8290" s="784">
        <v>-375900</v>
      </c>
      <c r="E8290" s="207">
        <v>45597</v>
      </c>
      <c r="F8290" s="206" t="s">
        <v>109</v>
      </c>
      <c r="G8290" s="601" t="s">
        <v>581</v>
      </c>
      <c r="H8290" s="208" t="s">
        <v>147</v>
      </c>
      <c r="I8290" s="206"/>
    </row>
    <row r="8291" spans="1:9" ht="15" hidden="1" customHeight="1">
      <c r="A8291" s="205">
        <v>45616</v>
      </c>
      <c r="B8291" s="750" t="s">
        <v>6581</v>
      </c>
      <c r="C8291" s="206" t="s">
        <v>27</v>
      </c>
      <c r="D8291" s="718">
        <v>-402500</v>
      </c>
      <c r="E8291" s="207">
        <v>45597</v>
      </c>
      <c r="F8291" s="206" t="s">
        <v>109</v>
      </c>
      <c r="G8291" s="601" t="s">
        <v>581</v>
      </c>
      <c r="H8291" s="208" t="s">
        <v>147</v>
      </c>
      <c r="I8291" s="206"/>
    </row>
    <row r="8292" spans="1:9" ht="15" hidden="1" customHeight="1">
      <c r="A8292" s="205">
        <v>45616</v>
      </c>
      <c r="B8292" s="750" t="s">
        <v>6582</v>
      </c>
      <c r="C8292" s="206" t="s">
        <v>27</v>
      </c>
      <c r="D8292" s="718">
        <v>-402500</v>
      </c>
      <c r="E8292" s="207">
        <v>45597</v>
      </c>
      <c r="F8292" s="206" t="s">
        <v>109</v>
      </c>
      <c r="G8292" s="601" t="s">
        <v>581</v>
      </c>
      <c r="H8292" s="208" t="s">
        <v>147</v>
      </c>
      <c r="I8292" s="206"/>
    </row>
    <row r="8293" spans="1:9" ht="15" hidden="1" customHeight="1">
      <c r="A8293" s="205">
        <v>45616</v>
      </c>
      <c r="B8293" s="750" t="s">
        <v>6583</v>
      </c>
      <c r="C8293" s="206" t="s">
        <v>27</v>
      </c>
      <c r="D8293" s="718">
        <v>-402500</v>
      </c>
      <c r="E8293" s="207">
        <v>45597</v>
      </c>
      <c r="F8293" s="206" t="s">
        <v>109</v>
      </c>
      <c r="G8293" s="601" t="s">
        <v>581</v>
      </c>
      <c r="H8293" s="208" t="s">
        <v>147</v>
      </c>
      <c r="I8293" s="206"/>
    </row>
    <row r="8294" spans="1:9" ht="15" hidden="1" customHeight="1">
      <c r="A8294" s="205">
        <v>45616</v>
      </c>
      <c r="B8294" s="750" t="s">
        <v>6584</v>
      </c>
      <c r="C8294" s="206" t="s">
        <v>27</v>
      </c>
      <c r="D8294" s="784">
        <v>-774000</v>
      </c>
      <c r="E8294" s="207">
        <v>45597</v>
      </c>
      <c r="F8294" s="206" t="s">
        <v>109</v>
      </c>
      <c r="G8294" s="601" t="s">
        <v>581</v>
      </c>
      <c r="H8294" s="208" t="s">
        <v>147</v>
      </c>
      <c r="I8294" s="206"/>
    </row>
    <row r="8295" spans="1:9" ht="15" hidden="1" customHeight="1">
      <c r="A8295" s="205">
        <v>45616</v>
      </c>
      <c r="B8295" s="201" t="s">
        <v>6585</v>
      </c>
      <c r="C8295" s="206" t="s">
        <v>27</v>
      </c>
      <c r="D8295" s="784">
        <v>-426100</v>
      </c>
      <c r="E8295" s="207">
        <v>45597</v>
      </c>
      <c r="F8295" s="206" t="s">
        <v>110</v>
      </c>
      <c r="G8295" s="208" t="s">
        <v>5503</v>
      </c>
      <c r="H8295" s="208" t="s">
        <v>147</v>
      </c>
      <c r="I8295" s="206"/>
    </row>
    <row r="8296" spans="1:9" ht="15" hidden="1" customHeight="1">
      <c r="A8296" s="205">
        <v>45616</v>
      </c>
      <c r="B8296" s="201" t="s">
        <v>6586</v>
      </c>
      <c r="C8296" s="206" t="s">
        <v>27</v>
      </c>
      <c r="D8296" s="784">
        <v>-464400</v>
      </c>
      <c r="E8296" s="207">
        <v>45597</v>
      </c>
      <c r="F8296" s="206" t="s">
        <v>110</v>
      </c>
      <c r="G8296" s="208" t="s">
        <v>5503</v>
      </c>
      <c r="H8296" s="208" t="s">
        <v>147</v>
      </c>
      <c r="I8296" s="206"/>
    </row>
    <row r="8297" spans="1:9" ht="15" hidden="1" customHeight="1">
      <c r="A8297" s="205">
        <v>45616</v>
      </c>
      <c r="B8297" s="201" t="s">
        <v>6587</v>
      </c>
      <c r="C8297" s="206" t="s">
        <v>27</v>
      </c>
      <c r="D8297" s="784">
        <v>-772500</v>
      </c>
      <c r="E8297" s="207">
        <v>45597</v>
      </c>
      <c r="F8297" s="206" t="s">
        <v>110</v>
      </c>
      <c r="G8297" s="208" t="s">
        <v>5503</v>
      </c>
      <c r="H8297" s="208" t="s">
        <v>147</v>
      </c>
      <c r="I8297" s="206"/>
    </row>
    <row r="8298" spans="1:9" ht="15" hidden="1" customHeight="1">
      <c r="A8298" s="205">
        <v>45616</v>
      </c>
      <c r="B8298" s="201" t="s">
        <v>6588</v>
      </c>
      <c r="C8298" s="206" t="s">
        <v>27</v>
      </c>
      <c r="D8298" s="784">
        <v>-539500</v>
      </c>
      <c r="E8298" s="207">
        <v>45597</v>
      </c>
      <c r="F8298" s="206" t="s">
        <v>130</v>
      </c>
      <c r="G8298" s="206" t="s">
        <v>130</v>
      </c>
      <c r="H8298" s="206" t="s">
        <v>182</v>
      </c>
      <c r="I8298" s="206"/>
    </row>
    <row r="8299" spans="1:9" ht="15" hidden="1" customHeight="1">
      <c r="A8299" s="205">
        <v>45616</v>
      </c>
      <c r="B8299" s="201" t="s">
        <v>6589</v>
      </c>
      <c r="C8299" s="206" t="s">
        <v>27</v>
      </c>
      <c r="D8299" s="784">
        <v>-118600</v>
      </c>
      <c r="E8299" s="207">
        <v>45597</v>
      </c>
      <c r="F8299" s="206" t="s">
        <v>130</v>
      </c>
      <c r="G8299" s="206" t="s">
        <v>130</v>
      </c>
      <c r="H8299" s="206" t="s">
        <v>182</v>
      </c>
      <c r="I8299" s="206"/>
    </row>
    <row r="8300" spans="1:9" ht="15" hidden="1" customHeight="1">
      <c r="A8300" s="205">
        <v>45616</v>
      </c>
      <c r="B8300" s="201" t="s">
        <v>6590</v>
      </c>
      <c r="C8300" s="206" t="s">
        <v>27</v>
      </c>
      <c r="D8300" s="784">
        <v>-662100</v>
      </c>
      <c r="E8300" s="207">
        <v>45597</v>
      </c>
      <c r="F8300" s="206" t="s">
        <v>130</v>
      </c>
      <c r="G8300" s="206" t="s">
        <v>130</v>
      </c>
      <c r="H8300" s="206" t="s">
        <v>182</v>
      </c>
      <c r="I8300" s="206"/>
    </row>
    <row r="8301" spans="1:9" ht="15" hidden="1" customHeight="1">
      <c r="A8301" s="205">
        <v>45616</v>
      </c>
      <c r="B8301" s="201" t="s">
        <v>6591</v>
      </c>
      <c r="C8301" s="206" t="s">
        <v>27</v>
      </c>
      <c r="D8301" s="784">
        <v>-108400</v>
      </c>
      <c r="E8301" s="207">
        <v>45597</v>
      </c>
      <c r="F8301" s="206" t="s">
        <v>130</v>
      </c>
      <c r="G8301" s="206" t="s">
        <v>130</v>
      </c>
      <c r="H8301" s="206" t="s">
        <v>182</v>
      </c>
      <c r="I8301" s="206"/>
    </row>
    <row r="8302" spans="1:9" ht="15" hidden="1" customHeight="1">
      <c r="A8302" s="205">
        <v>45616</v>
      </c>
      <c r="B8302" s="201" t="s">
        <v>6592</v>
      </c>
      <c r="C8302" s="206" t="s">
        <v>27</v>
      </c>
      <c r="D8302" s="784">
        <v>-2537600</v>
      </c>
      <c r="E8302" s="207">
        <v>45597</v>
      </c>
      <c r="F8302" s="206" t="s">
        <v>130</v>
      </c>
      <c r="G8302" s="206" t="s">
        <v>130</v>
      </c>
      <c r="H8302" s="206" t="s">
        <v>182</v>
      </c>
      <c r="I8302" s="206"/>
    </row>
    <row r="8303" spans="1:9" ht="15" hidden="1" customHeight="1">
      <c r="A8303" s="205">
        <v>45616</v>
      </c>
      <c r="B8303" s="201" t="s">
        <v>6593</v>
      </c>
      <c r="C8303" s="206" t="s">
        <v>27</v>
      </c>
      <c r="D8303" s="784">
        <v>-897900</v>
      </c>
      <c r="E8303" s="207">
        <v>45597</v>
      </c>
      <c r="F8303" s="206" t="s">
        <v>130</v>
      </c>
      <c r="G8303" s="206" t="s">
        <v>130</v>
      </c>
      <c r="H8303" s="206" t="s">
        <v>182</v>
      </c>
      <c r="I8303" s="206"/>
    </row>
    <row r="8304" spans="1:9" ht="15" hidden="1" customHeight="1">
      <c r="A8304" s="205">
        <v>45616</v>
      </c>
      <c r="B8304" s="201" t="s">
        <v>6594</v>
      </c>
      <c r="C8304" s="206" t="s">
        <v>27</v>
      </c>
      <c r="D8304" s="784">
        <v>-760700</v>
      </c>
      <c r="E8304" s="207">
        <v>45597</v>
      </c>
      <c r="F8304" s="206" t="s">
        <v>130</v>
      </c>
      <c r="G8304" s="206" t="s">
        <v>130</v>
      </c>
      <c r="H8304" s="206" t="s">
        <v>182</v>
      </c>
      <c r="I8304" s="206"/>
    </row>
    <row r="8305" spans="1:9" ht="15" hidden="1" customHeight="1">
      <c r="A8305" s="205">
        <v>45616</v>
      </c>
      <c r="B8305" s="201" t="s">
        <v>6595</v>
      </c>
      <c r="C8305" s="206" t="s">
        <v>27</v>
      </c>
      <c r="D8305" s="784">
        <v>-170300</v>
      </c>
      <c r="E8305" s="207">
        <v>45597</v>
      </c>
      <c r="F8305" s="206" t="s">
        <v>130</v>
      </c>
      <c r="G8305" s="206" t="s">
        <v>130</v>
      </c>
      <c r="H8305" s="206" t="s">
        <v>182</v>
      </c>
      <c r="I8305" s="206"/>
    </row>
    <row r="8306" spans="1:9" ht="15" hidden="1" customHeight="1">
      <c r="A8306" s="205">
        <v>45616</v>
      </c>
      <c r="B8306" s="201" t="s">
        <v>6596</v>
      </c>
      <c r="C8306" s="206" t="s">
        <v>27</v>
      </c>
      <c r="D8306" s="784">
        <v>-2679900</v>
      </c>
      <c r="E8306" s="207">
        <v>45597</v>
      </c>
      <c r="F8306" s="206" t="s">
        <v>130</v>
      </c>
      <c r="G8306" s="206" t="s">
        <v>130</v>
      </c>
      <c r="H8306" s="206" t="s">
        <v>182</v>
      </c>
      <c r="I8306" s="206"/>
    </row>
    <row r="8307" spans="1:9" ht="15" hidden="1" customHeight="1">
      <c r="A8307" s="205">
        <v>45616</v>
      </c>
      <c r="B8307" s="201" t="s">
        <v>6597</v>
      </c>
      <c r="C8307" s="206" t="s">
        <v>27</v>
      </c>
      <c r="D8307" s="784">
        <v>-980900</v>
      </c>
      <c r="E8307" s="207">
        <v>45597</v>
      </c>
      <c r="F8307" s="206" t="s">
        <v>130</v>
      </c>
      <c r="G8307" s="206" t="s">
        <v>130</v>
      </c>
      <c r="H8307" s="206" t="s">
        <v>182</v>
      </c>
      <c r="I8307" s="206"/>
    </row>
    <row r="8308" spans="1:9" ht="15" hidden="1" customHeight="1">
      <c r="A8308" s="205">
        <v>45616</v>
      </c>
      <c r="B8308" s="201" t="s">
        <v>6598</v>
      </c>
      <c r="C8308" s="206" t="s">
        <v>27</v>
      </c>
      <c r="D8308" s="784">
        <v>-392400</v>
      </c>
      <c r="E8308" s="207">
        <v>45597</v>
      </c>
      <c r="F8308" s="206" t="s">
        <v>130</v>
      </c>
      <c r="G8308" s="206" t="s">
        <v>130</v>
      </c>
      <c r="H8308" s="206" t="s">
        <v>182</v>
      </c>
      <c r="I8308" s="206"/>
    </row>
    <row r="8309" spans="1:9" ht="15" hidden="1" customHeight="1">
      <c r="A8309" s="205">
        <v>45616</v>
      </c>
      <c r="B8309" s="201" t="s">
        <v>6599</v>
      </c>
      <c r="C8309" s="206" t="s">
        <v>27</v>
      </c>
      <c r="D8309" s="784">
        <v>-315200</v>
      </c>
      <c r="E8309" s="207">
        <v>45597</v>
      </c>
      <c r="F8309" s="206" t="s">
        <v>130</v>
      </c>
      <c r="G8309" s="206" t="s">
        <v>130</v>
      </c>
      <c r="H8309" s="206" t="s">
        <v>182</v>
      </c>
      <c r="I8309" s="206"/>
    </row>
    <row r="8310" spans="1:9" ht="15" hidden="1" customHeight="1">
      <c r="A8310" s="205">
        <v>45616</v>
      </c>
      <c r="B8310" s="201" t="s">
        <v>6600</v>
      </c>
      <c r="C8310" s="206" t="s">
        <v>27</v>
      </c>
      <c r="D8310" s="784">
        <v>-185800</v>
      </c>
      <c r="E8310" s="207">
        <v>45597</v>
      </c>
      <c r="F8310" s="206" t="s">
        <v>130</v>
      </c>
      <c r="G8310" s="206" t="s">
        <v>130</v>
      </c>
      <c r="H8310" s="206" t="s">
        <v>182</v>
      </c>
      <c r="I8310" s="206"/>
    </row>
    <row r="8311" spans="1:9" ht="15" hidden="1" customHeight="1">
      <c r="A8311" s="205">
        <v>45616</v>
      </c>
      <c r="B8311" s="201" t="s">
        <v>6601</v>
      </c>
      <c r="C8311" s="206" t="s">
        <v>27</v>
      </c>
      <c r="D8311" s="784">
        <v>-3216300</v>
      </c>
      <c r="E8311" s="207">
        <v>45597</v>
      </c>
      <c r="F8311" s="206" t="s">
        <v>130</v>
      </c>
      <c r="G8311" s="206" t="s">
        <v>130</v>
      </c>
      <c r="H8311" s="206" t="s">
        <v>182</v>
      </c>
      <c r="I8311" s="206"/>
    </row>
    <row r="8312" spans="1:9" ht="15" hidden="1" customHeight="1">
      <c r="A8312" s="205">
        <v>45616</v>
      </c>
      <c r="B8312" s="201" t="s">
        <v>6602</v>
      </c>
      <c r="C8312" s="206" t="s">
        <v>27</v>
      </c>
      <c r="D8312" s="784">
        <v>-1079000</v>
      </c>
      <c r="E8312" s="207">
        <v>45597</v>
      </c>
      <c r="F8312" s="206" t="s">
        <v>130</v>
      </c>
      <c r="G8312" s="206" t="s">
        <v>130</v>
      </c>
      <c r="H8312" s="206" t="s">
        <v>182</v>
      </c>
      <c r="I8312" s="206"/>
    </row>
    <row r="8313" spans="1:9" ht="15" hidden="1" customHeight="1">
      <c r="A8313" s="205">
        <v>45616</v>
      </c>
      <c r="B8313" s="201" t="s">
        <v>6603</v>
      </c>
      <c r="C8313" s="206" t="s">
        <v>27</v>
      </c>
      <c r="D8313" s="784">
        <v>-613100</v>
      </c>
      <c r="E8313" s="207">
        <v>45597</v>
      </c>
      <c r="F8313" s="206" t="s">
        <v>109</v>
      </c>
      <c r="G8313" s="206" t="s">
        <v>2809</v>
      </c>
      <c r="H8313" s="206" t="s">
        <v>182</v>
      </c>
      <c r="I8313" s="206"/>
    </row>
    <row r="8314" spans="1:9" ht="15" hidden="1" customHeight="1">
      <c r="A8314" s="205">
        <v>45616</v>
      </c>
      <c r="B8314" s="201" t="s">
        <v>6604</v>
      </c>
      <c r="C8314" s="206" t="s">
        <v>27</v>
      </c>
      <c r="D8314" s="784">
        <v>-1562000</v>
      </c>
      <c r="E8314" s="207">
        <v>45597</v>
      </c>
      <c r="F8314" s="206" t="s">
        <v>109</v>
      </c>
      <c r="G8314" s="206" t="s">
        <v>2809</v>
      </c>
      <c r="H8314" s="206" t="s">
        <v>182</v>
      </c>
      <c r="I8314" s="206"/>
    </row>
    <row r="8315" spans="1:9" ht="15" hidden="1" customHeight="1">
      <c r="A8315" s="205">
        <v>45616</v>
      </c>
      <c r="B8315" s="201" t="s">
        <v>6605</v>
      </c>
      <c r="C8315" s="206" t="s">
        <v>27</v>
      </c>
      <c r="D8315" s="784">
        <v>-809300</v>
      </c>
      <c r="E8315" s="207">
        <v>45597</v>
      </c>
      <c r="F8315" s="206" t="s">
        <v>109</v>
      </c>
      <c r="G8315" s="206" t="s">
        <v>2809</v>
      </c>
      <c r="H8315" s="206" t="s">
        <v>182</v>
      </c>
      <c r="I8315" s="206"/>
    </row>
    <row r="8316" spans="1:9" ht="15" hidden="1" customHeight="1">
      <c r="A8316" s="205">
        <v>45616</v>
      </c>
      <c r="B8316" s="201" t="s">
        <v>6606</v>
      </c>
      <c r="C8316" s="206" t="s">
        <v>27</v>
      </c>
      <c r="D8316" s="784">
        <v>-826500</v>
      </c>
      <c r="E8316" s="207">
        <v>45597</v>
      </c>
      <c r="F8316" s="206" t="s">
        <v>109</v>
      </c>
      <c r="G8316" s="206" t="s">
        <v>2809</v>
      </c>
      <c r="H8316" s="206" t="s">
        <v>182</v>
      </c>
      <c r="I8316" s="206"/>
    </row>
    <row r="8317" spans="1:9" ht="15" hidden="1" customHeight="1">
      <c r="A8317" s="205">
        <v>45616</v>
      </c>
      <c r="B8317" s="201" t="s">
        <v>6607</v>
      </c>
      <c r="C8317" s="206" t="s">
        <v>27</v>
      </c>
      <c r="D8317" s="784">
        <v>-6800</v>
      </c>
      <c r="E8317" s="207">
        <v>45597</v>
      </c>
      <c r="F8317" s="206" t="s">
        <v>130</v>
      </c>
      <c r="G8317" s="206" t="s">
        <v>130</v>
      </c>
      <c r="H8317" s="206" t="s">
        <v>182</v>
      </c>
      <c r="I8317" s="206"/>
    </row>
    <row r="8318" spans="1:9" s="209" customFormat="1" ht="15" hidden="1" customHeight="1">
      <c r="A8318" s="468">
        <v>45616</v>
      </c>
      <c r="B8318" s="201" t="s">
        <v>6608</v>
      </c>
      <c r="C8318" s="208" t="s">
        <v>27</v>
      </c>
      <c r="D8318" s="784">
        <v>-402500</v>
      </c>
      <c r="E8318" s="212">
        <v>45597</v>
      </c>
      <c r="F8318" s="208" t="s">
        <v>109</v>
      </c>
      <c r="G8318" s="208" t="s">
        <v>4986</v>
      </c>
      <c r="H8318" s="208" t="s">
        <v>147</v>
      </c>
      <c r="I8318" s="208"/>
    </row>
    <row r="8319" spans="1:9" ht="15" hidden="1" customHeight="1">
      <c r="A8319" s="205">
        <v>45616</v>
      </c>
      <c r="B8319" s="201" t="s">
        <v>6609</v>
      </c>
      <c r="C8319" s="206" t="s">
        <v>27</v>
      </c>
      <c r="D8319" s="784">
        <v>-78660</v>
      </c>
      <c r="E8319" s="207">
        <v>45597</v>
      </c>
      <c r="F8319" s="206" t="s">
        <v>110</v>
      </c>
      <c r="G8319" s="208" t="s">
        <v>4294</v>
      </c>
      <c r="H8319" s="208" t="s">
        <v>147</v>
      </c>
      <c r="I8319" s="206"/>
    </row>
    <row r="8320" spans="1:9" ht="15" hidden="1" customHeight="1">
      <c r="A8320" s="205">
        <v>45616</v>
      </c>
      <c r="B8320" s="201" t="s">
        <v>6609</v>
      </c>
      <c r="C8320" s="206" t="s">
        <v>27</v>
      </c>
      <c r="D8320" s="784">
        <v>-314640</v>
      </c>
      <c r="E8320" s="207">
        <v>45597</v>
      </c>
      <c r="F8320" s="206" t="s">
        <v>110</v>
      </c>
      <c r="G8320" s="201" t="s">
        <v>1489</v>
      </c>
      <c r="H8320" s="208" t="s">
        <v>147</v>
      </c>
      <c r="I8320" s="206"/>
    </row>
    <row r="8321" spans="1:9" ht="15" hidden="1" customHeight="1">
      <c r="A8321" s="205">
        <v>45616</v>
      </c>
      <c r="B8321" s="201" t="s">
        <v>6610</v>
      </c>
      <c r="C8321" s="206" t="s">
        <v>27</v>
      </c>
      <c r="D8321" s="784">
        <v>-402500</v>
      </c>
      <c r="E8321" s="207">
        <v>45597</v>
      </c>
      <c r="F8321" s="206" t="s">
        <v>109</v>
      </c>
      <c r="G8321" s="208" t="s">
        <v>4986</v>
      </c>
      <c r="H8321" s="208" t="s">
        <v>147</v>
      </c>
      <c r="I8321" s="206"/>
    </row>
    <row r="8322" spans="1:9" ht="15" hidden="1" customHeight="1">
      <c r="A8322" s="205">
        <v>45616</v>
      </c>
      <c r="B8322" s="201" t="s">
        <v>6611</v>
      </c>
      <c r="C8322" s="206" t="s">
        <v>27</v>
      </c>
      <c r="D8322" s="784">
        <v>-369500</v>
      </c>
      <c r="E8322" s="207">
        <v>45597</v>
      </c>
      <c r="F8322" s="206" t="s">
        <v>109</v>
      </c>
      <c r="G8322" s="208" t="s">
        <v>4986</v>
      </c>
      <c r="H8322" s="208" t="s">
        <v>147</v>
      </c>
      <c r="I8322" s="206"/>
    </row>
    <row r="8323" spans="1:9" ht="15" hidden="1" customHeight="1">
      <c r="A8323" s="205">
        <v>45616</v>
      </c>
      <c r="B8323" s="201" t="s">
        <v>6612</v>
      </c>
      <c r="C8323" s="206" t="s">
        <v>27</v>
      </c>
      <c r="D8323" s="784">
        <v>-404800</v>
      </c>
      <c r="E8323" s="207">
        <v>45597</v>
      </c>
      <c r="F8323" s="206" t="s">
        <v>110</v>
      </c>
      <c r="G8323" s="201" t="s">
        <v>1489</v>
      </c>
      <c r="H8323" s="208" t="s">
        <v>147</v>
      </c>
      <c r="I8323" s="206"/>
    </row>
    <row r="8324" spans="1:9" ht="15" hidden="1" customHeight="1">
      <c r="A8324" s="205">
        <v>45616</v>
      </c>
      <c r="B8324" s="201" t="s">
        <v>6613</v>
      </c>
      <c r="C8324" s="206" t="s">
        <v>27</v>
      </c>
      <c r="D8324" s="784">
        <v>-619200</v>
      </c>
      <c r="E8324" s="207">
        <v>45597</v>
      </c>
      <c r="F8324" s="206" t="s">
        <v>109</v>
      </c>
      <c r="G8324" s="208" t="s">
        <v>4986</v>
      </c>
      <c r="H8324" s="208" t="s">
        <v>147</v>
      </c>
      <c r="I8324" s="206"/>
    </row>
    <row r="8325" spans="1:9" ht="15" hidden="1" customHeight="1">
      <c r="A8325" s="205">
        <v>45616</v>
      </c>
      <c r="B8325" s="201" t="s">
        <v>6614</v>
      </c>
      <c r="C8325" s="206" t="s">
        <v>27</v>
      </c>
      <c r="D8325" s="784">
        <v>-80500</v>
      </c>
      <c r="E8325" s="207">
        <v>45597</v>
      </c>
      <c r="F8325" s="206" t="s">
        <v>110</v>
      </c>
      <c r="G8325" s="208" t="s">
        <v>4294</v>
      </c>
      <c r="H8325" s="208" t="s">
        <v>147</v>
      </c>
      <c r="I8325" s="206"/>
    </row>
    <row r="8326" spans="1:9" ht="15" hidden="1" customHeight="1">
      <c r="A8326" s="205">
        <v>45616</v>
      </c>
      <c r="B8326" s="201" t="s">
        <v>6614</v>
      </c>
      <c r="C8326" s="206" t="s">
        <v>27</v>
      </c>
      <c r="D8326" s="784">
        <v>-322000</v>
      </c>
      <c r="E8326" s="207">
        <v>45597</v>
      </c>
      <c r="F8326" s="206" t="s">
        <v>110</v>
      </c>
      <c r="G8326" s="201" t="s">
        <v>1489</v>
      </c>
      <c r="H8326" s="208" t="s">
        <v>147</v>
      </c>
      <c r="I8326" s="206"/>
    </row>
    <row r="8327" spans="1:9" ht="15" hidden="1" customHeight="1">
      <c r="A8327" s="205">
        <v>45616</v>
      </c>
      <c r="B8327" s="201" t="s">
        <v>6615</v>
      </c>
      <c r="C8327" s="206" t="s">
        <v>27</v>
      </c>
      <c r="D8327" s="784">
        <v>-402500</v>
      </c>
      <c r="E8327" s="207">
        <v>45597</v>
      </c>
      <c r="F8327" s="206" t="s">
        <v>109</v>
      </c>
      <c r="G8327" s="208" t="s">
        <v>4986</v>
      </c>
      <c r="H8327" s="208" t="s">
        <v>147</v>
      </c>
      <c r="I8327" s="206"/>
    </row>
    <row r="8328" spans="1:9" ht="15" hidden="1" customHeight="1">
      <c r="A8328" s="205">
        <v>45616</v>
      </c>
      <c r="B8328" s="201" t="s">
        <v>6616</v>
      </c>
      <c r="C8328" s="206" t="s">
        <v>27</v>
      </c>
      <c r="D8328" s="784">
        <v>-402500</v>
      </c>
      <c r="E8328" s="207">
        <v>45597</v>
      </c>
      <c r="F8328" s="206" t="s">
        <v>109</v>
      </c>
      <c r="G8328" s="208" t="s">
        <v>4986</v>
      </c>
      <c r="H8328" s="208" t="s">
        <v>147</v>
      </c>
      <c r="I8328" s="206"/>
    </row>
    <row r="8329" spans="1:9" ht="15" hidden="1" customHeight="1">
      <c r="A8329" s="205">
        <v>45616</v>
      </c>
      <c r="B8329" s="201" t="s">
        <v>6617</v>
      </c>
      <c r="C8329" s="206" t="s">
        <v>27</v>
      </c>
      <c r="D8329" s="784">
        <v>-402500</v>
      </c>
      <c r="E8329" s="207">
        <v>45597</v>
      </c>
      <c r="F8329" s="206" t="s">
        <v>109</v>
      </c>
      <c r="G8329" s="208" t="s">
        <v>4986</v>
      </c>
      <c r="H8329" s="208" t="s">
        <v>147</v>
      </c>
      <c r="I8329" s="206"/>
    </row>
    <row r="8330" spans="1:9" ht="15" hidden="1" customHeight="1">
      <c r="A8330" s="205">
        <v>45616</v>
      </c>
      <c r="B8330" s="201" t="s">
        <v>6618</v>
      </c>
      <c r="C8330" s="206" t="s">
        <v>27</v>
      </c>
      <c r="D8330" s="784">
        <v>-402500</v>
      </c>
      <c r="E8330" s="207">
        <v>45597</v>
      </c>
      <c r="F8330" s="206" t="s">
        <v>110</v>
      </c>
      <c r="G8330" s="208" t="s">
        <v>4294</v>
      </c>
      <c r="H8330" s="208" t="s">
        <v>147</v>
      </c>
      <c r="I8330" s="206"/>
    </row>
    <row r="8331" spans="1:9" ht="15" hidden="1" customHeight="1">
      <c r="A8331" s="205">
        <v>45616</v>
      </c>
      <c r="B8331" s="201" t="s">
        <v>6619</v>
      </c>
      <c r="C8331" s="206" t="s">
        <v>27</v>
      </c>
      <c r="D8331" s="784">
        <v>-665200</v>
      </c>
      <c r="E8331" s="207">
        <v>45597</v>
      </c>
      <c r="F8331" s="206" t="s">
        <v>110</v>
      </c>
      <c r="G8331" s="201" t="s">
        <v>1489</v>
      </c>
      <c r="H8331" s="208" t="s">
        <v>147</v>
      </c>
      <c r="I8331" s="206"/>
    </row>
    <row r="8332" spans="1:9" ht="15" hidden="1" customHeight="1">
      <c r="A8332" s="205">
        <v>45616</v>
      </c>
      <c r="B8332" s="751" t="s">
        <v>6620</v>
      </c>
      <c r="C8332" s="206" t="s">
        <v>27</v>
      </c>
      <c r="D8332" s="784">
        <v>-415700</v>
      </c>
      <c r="E8332" s="207">
        <v>45597</v>
      </c>
      <c r="F8332" s="206" t="s">
        <v>110</v>
      </c>
      <c r="G8332" s="201" t="s">
        <v>1489</v>
      </c>
      <c r="H8332" s="208" t="s">
        <v>147</v>
      </c>
      <c r="I8332" s="206"/>
    </row>
    <row r="8333" spans="1:9" ht="15" hidden="1" customHeight="1">
      <c r="A8333" s="205">
        <v>45616</v>
      </c>
      <c r="B8333" s="751" t="s">
        <v>6621</v>
      </c>
      <c r="C8333" s="206" t="s">
        <v>27</v>
      </c>
      <c r="D8333" s="784">
        <v>-491100</v>
      </c>
      <c r="E8333" s="207">
        <v>45597</v>
      </c>
      <c r="F8333" s="206" t="s">
        <v>109</v>
      </c>
      <c r="G8333" s="208" t="s">
        <v>4225</v>
      </c>
      <c r="H8333" s="208" t="s">
        <v>147</v>
      </c>
      <c r="I8333" s="206"/>
    </row>
    <row r="8334" spans="1:9" ht="15" hidden="1" customHeight="1">
      <c r="A8334" s="205">
        <v>45616</v>
      </c>
      <c r="B8334" s="751" t="s">
        <v>6622</v>
      </c>
      <c r="C8334" s="206" t="s">
        <v>27</v>
      </c>
      <c r="D8334" s="784">
        <v>-431000</v>
      </c>
      <c r="E8334" s="207">
        <v>45597</v>
      </c>
      <c r="F8334" s="206" t="s">
        <v>110</v>
      </c>
      <c r="G8334" s="201" t="s">
        <v>1489</v>
      </c>
      <c r="H8334" s="208" t="s">
        <v>147</v>
      </c>
      <c r="I8334" s="206"/>
    </row>
    <row r="8335" spans="1:9" ht="15" hidden="1" customHeight="1">
      <c r="A8335" s="205">
        <v>45616</v>
      </c>
      <c r="B8335" s="751" t="s">
        <v>6623</v>
      </c>
      <c r="C8335" s="206" t="s">
        <v>27</v>
      </c>
      <c r="D8335" s="784">
        <v>-402500</v>
      </c>
      <c r="E8335" s="207">
        <v>45597</v>
      </c>
      <c r="F8335" s="206" t="s">
        <v>109</v>
      </c>
      <c r="G8335" s="208" t="s">
        <v>4986</v>
      </c>
      <c r="H8335" s="208" t="s">
        <v>147</v>
      </c>
      <c r="I8335" s="206"/>
    </row>
    <row r="8336" spans="1:9" ht="15" hidden="1" customHeight="1">
      <c r="A8336" s="205">
        <v>45616</v>
      </c>
      <c r="B8336" s="751" t="s">
        <v>6624</v>
      </c>
      <c r="C8336" s="206" t="s">
        <v>27</v>
      </c>
      <c r="D8336" s="784">
        <v>-363800</v>
      </c>
      <c r="E8336" s="207">
        <v>45597</v>
      </c>
      <c r="F8336" s="206" t="s">
        <v>109</v>
      </c>
      <c r="G8336" s="208" t="s">
        <v>4225</v>
      </c>
      <c r="H8336" s="208" t="s">
        <v>147</v>
      </c>
      <c r="I8336" s="206"/>
    </row>
    <row r="8337" spans="1:9" ht="15" hidden="1" customHeight="1">
      <c r="A8337" s="205">
        <v>45616</v>
      </c>
      <c r="B8337" s="751" t="s">
        <v>6625</v>
      </c>
      <c r="C8337" s="206" t="s">
        <v>27</v>
      </c>
      <c r="D8337" s="784">
        <v>-575900</v>
      </c>
      <c r="E8337" s="207">
        <v>45597</v>
      </c>
      <c r="F8337" s="206" t="s">
        <v>110</v>
      </c>
      <c r="G8337" s="208" t="s">
        <v>4294</v>
      </c>
      <c r="H8337" s="208" t="s">
        <v>147</v>
      </c>
      <c r="I8337" s="206"/>
    </row>
    <row r="8338" spans="1:9" ht="15" hidden="1" customHeight="1">
      <c r="A8338" s="205">
        <v>45616</v>
      </c>
      <c r="B8338" s="751" t="s">
        <v>6626</v>
      </c>
      <c r="C8338" s="206" t="s">
        <v>27</v>
      </c>
      <c r="D8338" s="784">
        <v>-402500</v>
      </c>
      <c r="E8338" s="207">
        <v>45597</v>
      </c>
      <c r="F8338" s="206" t="s">
        <v>109</v>
      </c>
      <c r="G8338" s="208" t="s">
        <v>4986</v>
      </c>
      <c r="H8338" s="208" t="s">
        <v>147</v>
      </c>
      <c r="I8338" s="206"/>
    </row>
    <row r="8339" spans="1:9" ht="15" hidden="1" customHeight="1">
      <c r="A8339" s="205">
        <v>45616</v>
      </c>
      <c r="B8339" s="751" t="s">
        <v>6627</v>
      </c>
      <c r="C8339" s="206" t="s">
        <v>27</v>
      </c>
      <c r="D8339" s="784">
        <v>-338800</v>
      </c>
      <c r="E8339" s="207">
        <v>45597</v>
      </c>
      <c r="F8339" s="206" t="s">
        <v>130</v>
      </c>
      <c r="G8339" s="206" t="s">
        <v>130</v>
      </c>
      <c r="H8339" s="208" t="s">
        <v>182</v>
      </c>
      <c r="I8339" s="206"/>
    </row>
    <row r="8340" spans="1:9" ht="15" hidden="1" customHeight="1">
      <c r="A8340" s="205">
        <v>45616</v>
      </c>
      <c r="B8340" s="751" t="s">
        <v>6628</v>
      </c>
      <c r="C8340" s="206" t="s">
        <v>27</v>
      </c>
      <c r="D8340" s="784">
        <v>-402500</v>
      </c>
      <c r="E8340" s="207">
        <v>45597</v>
      </c>
      <c r="F8340" s="206" t="s">
        <v>109</v>
      </c>
      <c r="G8340" s="208" t="s">
        <v>4986</v>
      </c>
      <c r="H8340" s="208" t="s">
        <v>147</v>
      </c>
      <c r="I8340" s="206"/>
    </row>
    <row r="8341" spans="1:9" ht="15" hidden="1" customHeight="1">
      <c r="A8341" s="205">
        <v>45616</v>
      </c>
      <c r="B8341" s="751" t="s">
        <v>6629</v>
      </c>
      <c r="C8341" s="206" t="s">
        <v>27</v>
      </c>
      <c r="D8341" s="784">
        <v>-377700</v>
      </c>
      <c r="E8341" s="207">
        <v>45597</v>
      </c>
      <c r="F8341" s="206" t="s">
        <v>109</v>
      </c>
      <c r="G8341" s="208" t="s">
        <v>4225</v>
      </c>
      <c r="H8341" s="208" t="s">
        <v>147</v>
      </c>
      <c r="I8341" s="206"/>
    </row>
    <row r="8342" spans="1:9" ht="15" hidden="1" customHeight="1">
      <c r="A8342" s="205">
        <v>45616</v>
      </c>
      <c r="B8342" s="751" t="s">
        <v>6630</v>
      </c>
      <c r="C8342" s="206" t="s">
        <v>27</v>
      </c>
      <c r="D8342" s="784">
        <v>-277700</v>
      </c>
      <c r="E8342" s="207">
        <v>45597</v>
      </c>
      <c r="F8342" s="206" t="s">
        <v>109</v>
      </c>
      <c r="G8342" s="208" t="s">
        <v>4225</v>
      </c>
      <c r="H8342" s="208" t="s">
        <v>147</v>
      </c>
      <c r="I8342" s="720" t="s">
        <v>5410</v>
      </c>
    </row>
    <row r="8343" spans="1:9" ht="15" hidden="1" customHeight="1">
      <c r="A8343" s="205">
        <v>45616</v>
      </c>
      <c r="B8343" s="750" t="s">
        <v>6631</v>
      </c>
      <c r="C8343" s="206" t="s">
        <v>27</v>
      </c>
      <c r="D8343" s="784">
        <v>-134167.67000000001</v>
      </c>
      <c r="E8343" s="207">
        <v>45597</v>
      </c>
      <c r="F8343" s="206" t="s">
        <v>110</v>
      </c>
      <c r="G8343" s="201" t="s">
        <v>1489</v>
      </c>
      <c r="H8343" s="201" t="s">
        <v>508</v>
      </c>
      <c r="I8343" s="206"/>
    </row>
    <row r="8344" spans="1:9" ht="15" hidden="1" customHeight="1">
      <c r="A8344" s="205">
        <v>45616</v>
      </c>
      <c r="B8344" s="750" t="s">
        <v>6631</v>
      </c>
      <c r="C8344" s="206" t="s">
        <v>27</v>
      </c>
      <c r="D8344" s="784">
        <v>-134167.67000000001</v>
      </c>
      <c r="E8344" s="207">
        <v>45597</v>
      </c>
      <c r="F8344" s="206" t="s">
        <v>110</v>
      </c>
      <c r="G8344" s="208" t="s">
        <v>4990</v>
      </c>
      <c r="H8344" s="201" t="s">
        <v>508</v>
      </c>
      <c r="I8344" s="206"/>
    </row>
    <row r="8345" spans="1:9" ht="15" hidden="1" customHeight="1">
      <c r="A8345" s="205">
        <v>45616</v>
      </c>
      <c r="B8345" s="750" t="s">
        <v>6631</v>
      </c>
      <c r="C8345" s="206" t="s">
        <v>27</v>
      </c>
      <c r="D8345" s="784">
        <v>-134167.67000000001</v>
      </c>
      <c r="E8345" s="207">
        <v>45597</v>
      </c>
      <c r="F8345" s="206" t="s">
        <v>109</v>
      </c>
      <c r="G8345" s="208" t="s">
        <v>4986</v>
      </c>
      <c r="H8345" s="201" t="s">
        <v>508</v>
      </c>
      <c r="I8345" s="206"/>
    </row>
    <row r="8346" spans="1:9" ht="15" hidden="1" customHeight="1">
      <c r="A8346" s="205">
        <v>45616</v>
      </c>
      <c r="B8346" s="751" t="s">
        <v>6632</v>
      </c>
      <c r="C8346" s="206" t="s">
        <v>27</v>
      </c>
      <c r="D8346" s="784">
        <v>-247700</v>
      </c>
      <c r="E8346" s="207">
        <v>45597</v>
      </c>
      <c r="F8346" s="206" t="s">
        <v>110</v>
      </c>
      <c r="G8346" s="201" t="s">
        <v>1489</v>
      </c>
      <c r="H8346" s="201" t="s">
        <v>508</v>
      </c>
      <c r="I8346" s="206"/>
    </row>
    <row r="8347" spans="1:9" ht="15" hidden="1" customHeight="1">
      <c r="A8347" s="205">
        <v>45616</v>
      </c>
      <c r="B8347" s="751" t="s">
        <v>6632</v>
      </c>
      <c r="C8347" s="206" t="s">
        <v>27</v>
      </c>
      <c r="D8347" s="784">
        <v>-247700</v>
      </c>
      <c r="E8347" s="207">
        <v>45597</v>
      </c>
      <c r="F8347" s="206" t="s">
        <v>110</v>
      </c>
      <c r="G8347" s="208" t="s">
        <v>4990</v>
      </c>
      <c r="H8347" s="201" t="s">
        <v>508</v>
      </c>
      <c r="I8347" s="206"/>
    </row>
    <row r="8348" spans="1:9" ht="15" hidden="1" customHeight="1">
      <c r="A8348" s="205">
        <v>45616</v>
      </c>
      <c r="B8348" s="751" t="s">
        <v>6632</v>
      </c>
      <c r="C8348" s="206" t="s">
        <v>27</v>
      </c>
      <c r="D8348" s="784">
        <v>-247700</v>
      </c>
      <c r="E8348" s="207">
        <v>45597</v>
      </c>
      <c r="F8348" s="206" t="s">
        <v>109</v>
      </c>
      <c r="G8348" s="208" t="s">
        <v>4986</v>
      </c>
      <c r="H8348" s="201" t="s">
        <v>508</v>
      </c>
      <c r="I8348" s="206"/>
    </row>
    <row r="8349" spans="1:9" ht="15" hidden="1" customHeight="1">
      <c r="A8349" s="205">
        <v>45616</v>
      </c>
      <c r="B8349" s="750" t="s">
        <v>6633</v>
      </c>
      <c r="C8349" s="206" t="s">
        <v>27</v>
      </c>
      <c r="D8349" s="784">
        <v>-256200</v>
      </c>
      <c r="E8349" s="207">
        <v>45597</v>
      </c>
      <c r="F8349" s="206" t="s">
        <v>110</v>
      </c>
      <c r="G8349" s="201" t="s">
        <v>1489</v>
      </c>
      <c r="H8349" s="201" t="s">
        <v>508</v>
      </c>
      <c r="I8349" s="206"/>
    </row>
    <row r="8350" spans="1:9" ht="15" hidden="1" customHeight="1">
      <c r="A8350" s="205">
        <v>45616</v>
      </c>
      <c r="B8350" s="750" t="s">
        <v>6633</v>
      </c>
      <c r="C8350" s="206" t="s">
        <v>27</v>
      </c>
      <c r="D8350" s="784">
        <v>-256200</v>
      </c>
      <c r="E8350" s="207">
        <v>45597</v>
      </c>
      <c r="F8350" s="206" t="s">
        <v>110</v>
      </c>
      <c r="G8350" s="208" t="s">
        <v>4990</v>
      </c>
      <c r="H8350" s="201" t="s">
        <v>508</v>
      </c>
      <c r="I8350" s="206"/>
    </row>
    <row r="8351" spans="1:9" ht="15" hidden="1" customHeight="1">
      <c r="A8351" s="205">
        <v>45616</v>
      </c>
      <c r="B8351" s="750" t="s">
        <v>6633</v>
      </c>
      <c r="C8351" s="206" t="s">
        <v>27</v>
      </c>
      <c r="D8351" s="784">
        <v>-256200</v>
      </c>
      <c r="E8351" s="207">
        <v>45597</v>
      </c>
      <c r="F8351" s="206" t="s">
        <v>109</v>
      </c>
      <c r="G8351" s="208" t="s">
        <v>4986</v>
      </c>
      <c r="H8351" s="201" t="s">
        <v>508</v>
      </c>
      <c r="I8351" s="206"/>
    </row>
    <row r="8352" spans="1:9" ht="15" hidden="1" customHeight="1">
      <c r="A8352" s="205">
        <v>45616</v>
      </c>
      <c r="B8352" s="750" t="s">
        <v>6634</v>
      </c>
      <c r="C8352" s="206" t="s">
        <v>27</v>
      </c>
      <c r="D8352" s="784">
        <v>-272466.67</v>
      </c>
      <c r="E8352" s="207">
        <v>45597</v>
      </c>
      <c r="F8352" s="206" t="s">
        <v>110</v>
      </c>
      <c r="G8352" s="201" t="s">
        <v>1489</v>
      </c>
      <c r="H8352" s="201" t="s">
        <v>508</v>
      </c>
      <c r="I8352" s="206"/>
    </row>
    <row r="8353" spans="1:9" ht="15" hidden="1" customHeight="1">
      <c r="A8353" s="205">
        <v>45616</v>
      </c>
      <c r="B8353" s="750" t="s">
        <v>6634</v>
      </c>
      <c r="C8353" s="206" t="s">
        <v>27</v>
      </c>
      <c r="D8353" s="784">
        <v>-272466.67</v>
      </c>
      <c r="E8353" s="207">
        <v>45597</v>
      </c>
      <c r="F8353" s="206" t="s">
        <v>110</v>
      </c>
      <c r="G8353" s="208" t="s">
        <v>4990</v>
      </c>
      <c r="H8353" s="201" t="s">
        <v>508</v>
      </c>
      <c r="I8353" s="206"/>
    </row>
    <row r="8354" spans="1:9" ht="15" hidden="1" customHeight="1">
      <c r="A8354" s="205">
        <v>45616</v>
      </c>
      <c r="B8354" s="750" t="s">
        <v>6634</v>
      </c>
      <c r="C8354" s="206" t="s">
        <v>27</v>
      </c>
      <c r="D8354" s="784">
        <v>-272466.67</v>
      </c>
      <c r="E8354" s="207">
        <v>45597</v>
      </c>
      <c r="F8354" s="206" t="s">
        <v>109</v>
      </c>
      <c r="G8354" s="208" t="s">
        <v>4986</v>
      </c>
      <c r="H8354" s="201" t="s">
        <v>508</v>
      </c>
      <c r="I8354" s="206"/>
    </row>
    <row r="8355" spans="1:9" ht="15" hidden="1" customHeight="1">
      <c r="A8355" s="205">
        <v>45616</v>
      </c>
      <c r="B8355" s="750" t="s">
        <v>6635</v>
      </c>
      <c r="C8355" s="206" t="s">
        <v>27</v>
      </c>
      <c r="D8355" s="784">
        <v>-258000</v>
      </c>
      <c r="E8355" s="207">
        <v>45597</v>
      </c>
      <c r="F8355" s="206" t="s">
        <v>110</v>
      </c>
      <c r="G8355" s="201" t="s">
        <v>1489</v>
      </c>
      <c r="H8355" s="201" t="s">
        <v>508</v>
      </c>
      <c r="I8355" s="206"/>
    </row>
    <row r="8356" spans="1:9" ht="15" hidden="1" customHeight="1">
      <c r="A8356" s="205">
        <v>45616</v>
      </c>
      <c r="B8356" s="750" t="s">
        <v>6635</v>
      </c>
      <c r="C8356" s="206" t="s">
        <v>27</v>
      </c>
      <c r="D8356" s="784">
        <v>-258000</v>
      </c>
      <c r="E8356" s="207">
        <v>45597</v>
      </c>
      <c r="F8356" s="206" t="s">
        <v>110</v>
      </c>
      <c r="G8356" s="208" t="s">
        <v>4990</v>
      </c>
      <c r="H8356" s="201" t="s">
        <v>508</v>
      </c>
      <c r="I8356" s="206"/>
    </row>
    <row r="8357" spans="1:9" ht="15" hidden="1" customHeight="1">
      <c r="A8357" s="205">
        <v>45616</v>
      </c>
      <c r="B8357" s="750" t="s">
        <v>6635</v>
      </c>
      <c r="C8357" s="206" t="s">
        <v>27</v>
      </c>
      <c r="D8357" s="784">
        <v>-258000</v>
      </c>
      <c r="E8357" s="207">
        <v>45597</v>
      </c>
      <c r="F8357" s="206" t="s">
        <v>109</v>
      </c>
      <c r="G8357" s="208" t="s">
        <v>4986</v>
      </c>
      <c r="H8357" s="201" t="s">
        <v>508</v>
      </c>
      <c r="I8357" s="206"/>
    </row>
    <row r="8358" spans="1:9" ht="15" hidden="1" customHeight="1">
      <c r="A8358" s="205">
        <v>45616</v>
      </c>
      <c r="B8358" s="750" t="s">
        <v>6636</v>
      </c>
      <c r="C8358" s="206" t="s">
        <v>27</v>
      </c>
      <c r="D8358" s="784">
        <v>-204966.67</v>
      </c>
      <c r="E8358" s="207">
        <v>45597</v>
      </c>
      <c r="F8358" s="206" t="s">
        <v>110</v>
      </c>
      <c r="G8358" s="201" t="s">
        <v>1489</v>
      </c>
      <c r="H8358" s="201" t="s">
        <v>508</v>
      </c>
      <c r="I8358" s="206"/>
    </row>
    <row r="8359" spans="1:9" ht="15" hidden="1" customHeight="1">
      <c r="A8359" s="205">
        <v>45616</v>
      </c>
      <c r="B8359" s="750" t="s">
        <v>6636</v>
      </c>
      <c r="C8359" s="206" t="s">
        <v>27</v>
      </c>
      <c r="D8359" s="784">
        <v>-204966.67</v>
      </c>
      <c r="E8359" s="207">
        <v>45597</v>
      </c>
      <c r="F8359" s="206" t="s">
        <v>110</v>
      </c>
      <c r="G8359" s="208" t="s">
        <v>4990</v>
      </c>
      <c r="H8359" s="201" t="s">
        <v>508</v>
      </c>
      <c r="I8359" s="206"/>
    </row>
    <row r="8360" spans="1:9" ht="15" hidden="1" customHeight="1">
      <c r="A8360" s="205">
        <v>45616</v>
      </c>
      <c r="B8360" s="750" t="s">
        <v>6636</v>
      </c>
      <c r="C8360" s="206" t="s">
        <v>27</v>
      </c>
      <c r="D8360" s="784">
        <v>-204966.67</v>
      </c>
      <c r="E8360" s="207">
        <v>45597</v>
      </c>
      <c r="F8360" s="206" t="s">
        <v>109</v>
      </c>
      <c r="G8360" s="208" t="s">
        <v>4986</v>
      </c>
      <c r="H8360" s="201" t="s">
        <v>508</v>
      </c>
      <c r="I8360" s="206"/>
    </row>
    <row r="8361" spans="1:9" ht="15" hidden="1" customHeight="1">
      <c r="A8361" s="205">
        <v>45616</v>
      </c>
      <c r="B8361" s="750" t="s">
        <v>6637</v>
      </c>
      <c r="C8361" s="206" t="s">
        <v>27</v>
      </c>
      <c r="D8361" s="784">
        <v>-258000</v>
      </c>
      <c r="E8361" s="207">
        <v>45597</v>
      </c>
      <c r="F8361" s="206" t="s">
        <v>110</v>
      </c>
      <c r="G8361" s="201" t="s">
        <v>1489</v>
      </c>
      <c r="H8361" s="201" t="s">
        <v>508</v>
      </c>
      <c r="I8361" s="206"/>
    </row>
    <row r="8362" spans="1:9" ht="15" hidden="1" customHeight="1">
      <c r="A8362" s="205">
        <v>45616</v>
      </c>
      <c r="B8362" s="750" t="s">
        <v>6637</v>
      </c>
      <c r="C8362" s="206" t="s">
        <v>27</v>
      </c>
      <c r="D8362" s="784">
        <v>-258000</v>
      </c>
      <c r="E8362" s="207">
        <v>45597</v>
      </c>
      <c r="F8362" s="206" t="s">
        <v>110</v>
      </c>
      <c r="G8362" s="208" t="s">
        <v>4990</v>
      </c>
      <c r="H8362" s="201" t="s">
        <v>508</v>
      </c>
      <c r="I8362" s="206"/>
    </row>
    <row r="8363" spans="1:9" ht="15" hidden="1" customHeight="1">
      <c r="A8363" s="205">
        <v>45616</v>
      </c>
      <c r="B8363" s="750" t="s">
        <v>6637</v>
      </c>
      <c r="C8363" s="206" t="s">
        <v>27</v>
      </c>
      <c r="D8363" s="784">
        <v>-258000</v>
      </c>
      <c r="E8363" s="207">
        <v>45597</v>
      </c>
      <c r="F8363" s="206" t="s">
        <v>109</v>
      </c>
      <c r="G8363" s="208" t="s">
        <v>4986</v>
      </c>
      <c r="H8363" s="201" t="s">
        <v>508</v>
      </c>
      <c r="I8363" s="206"/>
    </row>
    <row r="8364" spans="1:9" ht="15" hidden="1" customHeight="1">
      <c r="A8364" s="205">
        <v>45616</v>
      </c>
      <c r="B8364" s="750" t="s">
        <v>6638</v>
      </c>
      <c r="C8364" s="206" t="s">
        <v>27</v>
      </c>
      <c r="D8364" s="784">
        <v>-340566.67</v>
      </c>
      <c r="E8364" s="207">
        <v>45597</v>
      </c>
      <c r="F8364" s="206" t="s">
        <v>110</v>
      </c>
      <c r="G8364" s="201" t="s">
        <v>1489</v>
      </c>
      <c r="H8364" s="201" t="s">
        <v>508</v>
      </c>
      <c r="I8364" s="206"/>
    </row>
    <row r="8365" spans="1:9" ht="15" hidden="1" customHeight="1">
      <c r="A8365" s="205">
        <v>45616</v>
      </c>
      <c r="B8365" s="750" t="s">
        <v>6638</v>
      </c>
      <c r="C8365" s="206" t="s">
        <v>27</v>
      </c>
      <c r="D8365" s="784">
        <v>-340566.67</v>
      </c>
      <c r="E8365" s="207">
        <v>45597</v>
      </c>
      <c r="F8365" s="206" t="s">
        <v>110</v>
      </c>
      <c r="G8365" s="208" t="s">
        <v>4990</v>
      </c>
      <c r="H8365" s="201" t="s">
        <v>508</v>
      </c>
      <c r="I8365" s="206"/>
    </row>
    <row r="8366" spans="1:9" ht="15" hidden="1" customHeight="1">
      <c r="A8366" s="205">
        <v>45616</v>
      </c>
      <c r="B8366" s="750" t="s">
        <v>6638</v>
      </c>
      <c r="C8366" s="206" t="s">
        <v>27</v>
      </c>
      <c r="D8366" s="784">
        <v>-340566.67</v>
      </c>
      <c r="E8366" s="207">
        <v>45597</v>
      </c>
      <c r="F8366" s="206" t="s">
        <v>109</v>
      </c>
      <c r="G8366" s="208" t="s">
        <v>4986</v>
      </c>
      <c r="H8366" s="201" t="s">
        <v>508</v>
      </c>
      <c r="I8366" s="206"/>
    </row>
    <row r="8367" spans="1:9" ht="15" hidden="1" customHeight="1">
      <c r="A8367" s="205">
        <v>45616</v>
      </c>
      <c r="B8367" s="750" t="s">
        <v>6639</v>
      </c>
      <c r="C8367" s="206" t="s">
        <v>27</v>
      </c>
      <c r="D8367" s="784">
        <v>-683966.67</v>
      </c>
      <c r="E8367" s="207">
        <v>45597</v>
      </c>
      <c r="F8367" s="206" t="s">
        <v>110</v>
      </c>
      <c r="G8367" s="201" t="s">
        <v>1489</v>
      </c>
      <c r="H8367" s="201" t="s">
        <v>508</v>
      </c>
      <c r="I8367" s="206"/>
    </row>
    <row r="8368" spans="1:9" ht="15" hidden="1" customHeight="1">
      <c r="A8368" s="205">
        <v>45616</v>
      </c>
      <c r="B8368" s="750" t="s">
        <v>6639</v>
      </c>
      <c r="C8368" s="206" t="s">
        <v>27</v>
      </c>
      <c r="D8368" s="784">
        <v>-683966.67</v>
      </c>
      <c r="E8368" s="207">
        <v>45597</v>
      </c>
      <c r="F8368" s="206" t="s">
        <v>110</v>
      </c>
      <c r="G8368" s="208" t="s">
        <v>4990</v>
      </c>
      <c r="H8368" s="201" t="s">
        <v>508</v>
      </c>
      <c r="I8368" s="206"/>
    </row>
    <row r="8369" spans="1:9" ht="15" hidden="1" customHeight="1">
      <c r="A8369" s="205">
        <v>45616</v>
      </c>
      <c r="B8369" s="750" t="s">
        <v>6639</v>
      </c>
      <c r="C8369" s="206" t="s">
        <v>27</v>
      </c>
      <c r="D8369" s="784">
        <v>-683966.67</v>
      </c>
      <c r="E8369" s="207">
        <v>45597</v>
      </c>
      <c r="F8369" s="206" t="s">
        <v>109</v>
      </c>
      <c r="G8369" s="208" t="s">
        <v>4986</v>
      </c>
      <c r="H8369" s="201" t="s">
        <v>508</v>
      </c>
      <c r="I8369" s="206"/>
    </row>
    <row r="8370" spans="1:9" ht="15" hidden="1" customHeight="1">
      <c r="A8370" s="205">
        <v>45616</v>
      </c>
      <c r="B8370" s="750" t="s">
        <v>6640</v>
      </c>
      <c r="C8370" s="206" t="s">
        <v>27</v>
      </c>
      <c r="D8370" s="784">
        <v>-178333.33</v>
      </c>
      <c r="E8370" s="207">
        <v>45597</v>
      </c>
      <c r="F8370" s="206" t="s">
        <v>110</v>
      </c>
      <c r="G8370" s="201" t="s">
        <v>1489</v>
      </c>
      <c r="H8370" s="201" t="s">
        <v>508</v>
      </c>
      <c r="I8370" s="206"/>
    </row>
    <row r="8371" spans="1:9" ht="15" hidden="1" customHeight="1">
      <c r="A8371" s="205">
        <v>45616</v>
      </c>
      <c r="B8371" s="750" t="s">
        <v>6640</v>
      </c>
      <c r="C8371" s="206" t="s">
        <v>27</v>
      </c>
      <c r="D8371" s="784">
        <v>-178333.33</v>
      </c>
      <c r="E8371" s="207">
        <v>45597</v>
      </c>
      <c r="F8371" s="206" t="s">
        <v>110</v>
      </c>
      <c r="G8371" s="208" t="s">
        <v>4990</v>
      </c>
      <c r="H8371" s="201" t="s">
        <v>508</v>
      </c>
      <c r="I8371" s="206"/>
    </row>
    <row r="8372" spans="1:9" ht="15" hidden="1" customHeight="1">
      <c r="A8372" s="205">
        <v>45616</v>
      </c>
      <c r="B8372" s="750" t="s">
        <v>6640</v>
      </c>
      <c r="C8372" s="206" t="s">
        <v>27</v>
      </c>
      <c r="D8372" s="784">
        <v>-178333.33</v>
      </c>
      <c r="E8372" s="207">
        <v>45597</v>
      </c>
      <c r="F8372" s="206" t="s">
        <v>109</v>
      </c>
      <c r="G8372" s="208" t="s">
        <v>4986</v>
      </c>
      <c r="H8372" s="201" t="s">
        <v>508</v>
      </c>
      <c r="I8372" s="206"/>
    </row>
    <row r="8373" spans="1:9" ht="15" hidden="1" customHeight="1">
      <c r="A8373" s="205">
        <v>45616</v>
      </c>
      <c r="B8373" s="750" t="s">
        <v>6641</v>
      </c>
      <c r="C8373" s="206" t="s">
        <v>27</v>
      </c>
      <c r="D8373" s="784">
        <v>-315800</v>
      </c>
      <c r="E8373" s="207">
        <v>45597</v>
      </c>
      <c r="F8373" s="206" t="s">
        <v>110</v>
      </c>
      <c r="G8373" s="201" t="s">
        <v>1489</v>
      </c>
      <c r="H8373" s="201" t="s">
        <v>508</v>
      </c>
      <c r="I8373" s="720" t="s">
        <v>5410</v>
      </c>
    </row>
    <row r="8374" spans="1:9" ht="15" hidden="1" customHeight="1">
      <c r="A8374" s="205">
        <v>45616</v>
      </c>
      <c r="B8374" s="750" t="s">
        <v>6641</v>
      </c>
      <c r="C8374" s="206" t="s">
        <v>27</v>
      </c>
      <c r="D8374" s="784">
        <v>-315800</v>
      </c>
      <c r="E8374" s="207">
        <v>45597</v>
      </c>
      <c r="F8374" s="206" t="s">
        <v>110</v>
      </c>
      <c r="G8374" s="208" t="s">
        <v>4990</v>
      </c>
      <c r="H8374" s="201" t="s">
        <v>508</v>
      </c>
      <c r="I8374" s="720" t="s">
        <v>5410</v>
      </c>
    </row>
    <row r="8375" spans="1:9" ht="15" hidden="1" customHeight="1">
      <c r="A8375" s="205">
        <v>45616</v>
      </c>
      <c r="B8375" s="750" t="s">
        <v>6641</v>
      </c>
      <c r="C8375" s="206" t="s">
        <v>27</v>
      </c>
      <c r="D8375" s="784">
        <v>-315800</v>
      </c>
      <c r="E8375" s="207">
        <v>45597</v>
      </c>
      <c r="F8375" s="206" t="s">
        <v>109</v>
      </c>
      <c r="G8375" s="208" t="s">
        <v>4986</v>
      </c>
      <c r="H8375" s="201" t="s">
        <v>508</v>
      </c>
      <c r="I8375" s="206"/>
    </row>
    <row r="8376" spans="1:9" ht="15" hidden="1" customHeight="1">
      <c r="A8376" s="205">
        <v>45617</v>
      </c>
      <c r="B8376" s="208" t="s">
        <v>6642</v>
      </c>
      <c r="C8376" s="206" t="s">
        <v>27</v>
      </c>
      <c r="D8376" s="784">
        <v>-2289600</v>
      </c>
      <c r="E8376" s="207">
        <v>45597</v>
      </c>
      <c r="F8376" s="206" t="s">
        <v>130</v>
      </c>
      <c r="G8376" s="206" t="s">
        <v>257</v>
      </c>
      <c r="H8376" s="206" t="s">
        <v>663</v>
      </c>
      <c r="I8376" s="206"/>
    </row>
    <row r="8377" spans="1:9" ht="15" hidden="1" customHeight="1">
      <c r="A8377" s="205">
        <v>45617</v>
      </c>
      <c r="B8377" s="208" t="s">
        <v>6643</v>
      </c>
      <c r="C8377" s="206" t="s">
        <v>27</v>
      </c>
      <c r="D8377" s="784">
        <v>-330000</v>
      </c>
      <c r="E8377" s="207">
        <v>45597</v>
      </c>
      <c r="F8377" s="206" t="s">
        <v>130</v>
      </c>
      <c r="G8377" s="206" t="s">
        <v>257</v>
      </c>
      <c r="H8377" s="201" t="s">
        <v>663</v>
      </c>
      <c r="I8377" s="206"/>
    </row>
    <row r="8378" spans="1:9" ht="15" hidden="1" customHeight="1">
      <c r="A8378" s="205">
        <v>45617</v>
      </c>
      <c r="B8378" s="208" t="s">
        <v>6644</v>
      </c>
      <c r="C8378" s="206" t="s">
        <v>27</v>
      </c>
      <c r="D8378" s="784">
        <v>-9368650</v>
      </c>
      <c r="E8378" s="207">
        <v>45597</v>
      </c>
      <c r="F8378" s="206" t="s">
        <v>109</v>
      </c>
      <c r="G8378" s="206" t="s">
        <v>5911</v>
      </c>
      <c r="H8378" s="201" t="s">
        <v>418</v>
      </c>
      <c r="I8378" s="720" t="s">
        <v>5410</v>
      </c>
    </row>
    <row r="8379" spans="1:9" ht="15" hidden="1" customHeight="1">
      <c r="A8379" s="205">
        <v>45617</v>
      </c>
      <c r="B8379" s="208" t="s">
        <v>6645</v>
      </c>
      <c r="C8379" s="206" t="s">
        <v>4314</v>
      </c>
      <c r="D8379" s="737">
        <v>-237250</v>
      </c>
      <c r="E8379" s="207">
        <v>45597</v>
      </c>
      <c r="F8379" s="206" t="s">
        <v>109</v>
      </c>
      <c r="G8379" s="206" t="s">
        <v>5911</v>
      </c>
      <c r="H8379" s="601" t="s">
        <v>418</v>
      </c>
      <c r="I8379" s="206"/>
    </row>
    <row r="8380" spans="1:9" ht="15" hidden="1" customHeight="1">
      <c r="A8380" s="205">
        <v>45617</v>
      </c>
      <c r="B8380" s="208" t="s">
        <v>6646</v>
      </c>
      <c r="C8380" s="206" t="s">
        <v>27</v>
      </c>
      <c r="D8380" s="784">
        <v>-3834191.92</v>
      </c>
      <c r="E8380" s="207">
        <v>45597</v>
      </c>
      <c r="F8380" s="206" t="s">
        <v>109</v>
      </c>
      <c r="G8380" s="208" t="s">
        <v>3529</v>
      </c>
      <c r="H8380" s="208" t="s">
        <v>3637</v>
      </c>
      <c r="I8380" s="206"/>
    </row>
    <row r="8381" spans="1:9" ht="15" hidden="1" customHeight="1">
      <c r="A8381" s="205">
        <v>45617</v>
      </c>
      <c r="B8381" s="208" t="s">
        <v>6647</v>
      </c>
      <c r="C8381" s="206" t="s">
        <v>4314</v>
      </c>
      <c r="D8381" s="737">
        <v>-82278.78</v>
      </c>
      <c r="E8381" s="207">
        <v>45597</v>
      </c>
      <c r="F8381" s="206" t="s">
        <v>109</v>
      </c>
      <c r="G8381" s="206" t="s">
        <v>3529</v>
      </c>
      <c r="H8381" s="206" t="s">
        <v>175</v>
      </c>
      <c r="I8381" s="206"/>
    </row>
    <row r="8382" spans="1:9" ht="15" hidden="1" customHeight="1">
      <c r="A8382" s="205">
        <v>45617</v>
      </c>
      <c r="B8382" s="208" t="s">
        <v>6648</v>
      </c>
      <c r="C8382" s="206" t="s">
        <v>27</v>
      </c>
      <c r="D8382" s="784">
        <v>-315350</v>
      </c>
      <c r="E8382" s="207">
        <v>45597</v>
      </c>
      <c r="F8382" s="206" t="s">
        <v>109</v>
      </c>
      <c r="G8382" s="208" t="s">
        <v>3529</v>
      </c>
      <c r="H8382" s="208" t="s">
        <v>3637</v>
      </c>
      <c r="I8382" s="720" t="s">
        <v>5410</v>
      </c>
    </row>
    <row r="8383" spans="1:9" ht="15" hidden="1" customHeight="1">
      <c r="A8383" s="205">
        <v>45617</v>
      </c>
      <c r="B8383" s="208" t="s">
        <v>3865</v>
      </c>
      <c r="C8383" s="206" t="s">
        <v>27</v>
      </c>
      <c r="D8383" s="784">
        <v>-952018</v>
      </c>
      <c r="E8383" s="207">
        <v>45597</v>
      </c>
      <c r="F8383" s="206" t="s">
        <v>109</v>
      </c>
      <c r="G8383" s="201" t="s">
        <v>581</v>
      </c>
      <c r="H8383" s="206" t="s">
        <v>6649</v>
      </c>
      <c r="I8383" s="206"/>
    </row>
    <row r="8384" spans="1:9" ht="15" hidden="1" customHeight="1">
      <c r="A8384" s="205">
        <v>45617</v>
      </c>
      <c r="B8384" s="208" t="s">
        <v>6650</v>
      </c>
      <c r="C8384" s="206" t="s">
        <v>4314</v>
      </c>
      <c r="D8384" s="737">
        <v>-4016.96</v>
      </c>
      <c r="E8384" s="207">
        <v>45597</v>
      </c>
      <c r="F8384" s="206" t="s">
        <v>109</v>
      </c>
      <c r="G8384" s="601" t="s">
        <v>581</v>
      </c>
      <c r="I8384" s="206"/>
    </row>
    <row r="8385" spans="1:9" ht="15" hidden="1" customHeight="1">
      <c r="A8385" s="205">
        <v>45617</v>
      </c>
      <c r="B8385" s="208" t="s">
        <v>1971</v>
      </c>
      <c r="C8385" s="206" t="s">
        <v>27</v>
      </c>
      <c r="D8385" s="784">
        <v>-593049.59</v>
      </c>
      <c r="E8385" s="207">
        <v>45597</v>
      </c>
      <c r="F8385" s="206" t="s">
        <v>109</v>
      </c>
      <c r="G8385" s="201" t="s">
        <v>581</v>
      </c>
      <c r="H8385" s="206" t="s">
        <v>6649</v>
      </c>
      <c r="I8385" s="206"/>
    </row>
    <row r="8386" spans="1:9" ht="15" hidden="1" customHeight="1">
      <c r="A8386" s="205">
        <v>45617</v>
      </c>
      <c r="B8386" s="208" t="s">
        <v>6651</v>
      </c>
      <c r="C8386" s="206" t="s">
        <v>27</v>
      </c>
      <c r="D8386" s="784">
        <v>-287890</v>
      </c>
      <c r="E8386" s="207">
        <v>45597</v>
      </c>
      <c r="F8386" s="206" t="s">
        <v>130</v>
      </c>
      <c r="G8386" s="206" t="s">
        <v>130</v>
      </c>
      <c r="H8386" s="262" t="s">
        <v>2724</v>
      </c>
      <c r="I8386" s="206"/>
    </row>
    <row r="8387" spans="1:9" ht="15" hidden="1" customHeight="1">
      <c r="A8387" s="205">
        <v>45617</v>
      </c>
      <c r="B8387" s="208" t="s">
        <v>6652</v>
      </c>
      <c r="C8387" s="206" t="s">
        <v>27</v>
      </c>
      <c r="D8387" s="784">
        <v>-674670</v>
      </c>
      <c r="E8387" s="207">
        <v>45597</v>
      </c>
      <c r="F8387" s="206" t="s">
        <v>130</v>
      </c>
      <c r="G8387" s="206" t="s">
        <v>130</v>
      </c>
      <c r="H8387" s="262" t="s">
        <v>2724</v>
      </c>
      <c r="I8387" s="206"/>
    </row>
    <row r="8388" spans="1:9" ht="15" hidden="1" customHeight="1">
      <c r="A8388" s="205">
        <v>45617</v>
      </c>
      <c r="B8388" s="208" t="s">
        <v>6653</v>
      </c>
      <c r="C8388" s="206" t="s">
        <v>27</v>
      </c>
      <c r="D8388" s="784">
        <v>-373664</v>
      </c>
      <c r="E8388" s="207">
        <v>45597</v>
      </c>
      <c r="F8388" s="206" t="s">
        <v>130</v>
      </c>
      <c r="G8388" s="206" t="s">
        <v>130</v>
      </c>
      <c r="H8388" s="262" t="s">
        <v>2724</v>
      </c>
      <c r="I8388" s="206"/>
    </row>
    <row r="8389" spans="1:9" ht="15" hidden="1" customHeight="1">
      <c r="A8389" s="205">
        <v>45617</v>
      </c>
      <c r="B8389" s="208" t="s">
        <v>6654</v>
      </c>
      <c r="C8389" s="206" t="s">
        <v>27</v>
      </c>
      <c r="D8389" s="784">
        <v>-15672</v>
      </c>
      <c r="E8389" s="207">
        <v>45597</v>
      </c>
      <c r="F8389" s="206" t="s">
        <v>130</v>
      </c>
      <c r="G8389" s="206" t="s">
        <v>257</v>
      </c>
      <c r="H8389" s="262" t="s">
        <v>1138</v>
      </c>
      <c r="I8389" s="206"/>
    </row>
    <row r="8390" spans="1:9" ht="15" hidden="1" customHeight="1">
      <c r="A8390" s="205">
        <v>45617</v>
      </c>
      <c r="B8390" s="208" t="s">
        <v>6655</v>
      </c>
      <c r="C8390" s="206" t="s">
        <v>27</v>
      </c>
      <c r="D8390" s="784">
        <v>-170000</v>
      </c>
      <c r="E8390" s="207">
        <v>45597</v>
      </c>
      <c r="F8390" s="206" t="s">
        <v>130</v>
      </c>
      <c r="G8390" s="206" t="s">
        <v>257</v>
      </c>
      <c r="H8390" s="81" t="s">
        <v>138</v>
      </c>
      <c r="I8390" s="206"/>
    </row>
    <row r="8391" spans="1:9" ht="15" hidden="1" customHeight="1">
      <c r="A8391" s="205">
        <v>45617</v>
      </c>
      <c r="B8391" s="208" t="s">
        <v>6656</v>
      </c>
      <c r="C8391" s="206" t="s">
        <v>27</v>
      </c>
      <c r="D8391" s="784">
        <v>-1308000</v>
      </c>
      <c r="E8391" s="207">
        <v>45597</v>
      </c>
      <c r="F8391" s="206" t="s">
        <v>130</v>
      </c>
      <c r="G8391" s="206" t="s">
        <v>257</v>
      </c>
      <c r="H8391" s="262" t="s">
        <v>1138</v>
      </c>
      <c r="I8391" s="206"/>
    </row>
    <row r="8392" spans="1:9" ht="15" hidden="1" customHeight="1">
      <c r="A8392" s="205">
        <v>45617</v>
      </c>
      <c r="B8392" s="208" t="s">
        <v>6657</v>
      </c>
      <c r="C8392" s="206" t="s">
        <v>27</v>
      </c>
      <c r="D8392" s="784">
        <v>-250000</v>
      </c>
      <c r="E8392" s="207">
        <v>45597</v>
      </c>
      <c r="F8392" s="206" t="s">
        <v>130</v>
      </c>
      <c r="G8392" s="206" t="s">
        <v>257</v>
      </c>
      <c r="H8392" s="81" t="s">
        <v>138</v>
      </c>
      <c r="I8392" s="206"/>
    </row>
    <row r="8393" spans="1:9" ht="15" hidden="1" customHeight="1">
      <c r="A8393" s="205">
        <v>45594</v>
      </c>
      <c r="B8393" s="208" t="s">
        <v>6658</v>
      </c>
      <c r="C8393" s="206" t="s">
        <v>269</v>
      </c>
      <c r="D8393" s="211">
        <v>-34500</v>
      </c>
      <c r="E8393" s="207">
        <v>45597</v>
      </c>
      <c r="F8393" s="206" t="s">
        <v>109</v>
      </c>
      <c r="G8393" s="601" t="s">
        <v>581</v>
      </c>
      <c r="H8393" s="206" t="s">
        <v>6266</v>
      </c>
      <c r="I8393" s="206" t="s">
        <v>6479</v>
      </c>
    </row>
    <row r="8394" spans="1:9" ht="15" hidden="1" customHeight="1">
      <c r="A8394" s="205">
        <v>45595</v>
      </c>
      <c r="B8394" s="208" t="s">
        <v>6659</v>
      </c>
      <c r="C8394" s="206" t="s">
        <v>269</v>
      </c>
      <c r="D8394" s="211">
        <v>-40000</v>
      </c>
      <c r="E8394" s="207">
        <v>45597</v>
      </c>
      <c r="F8394" s="206" t="s">
        <v>109</v>
      </c>
      <c r="G8394" s="201" t="s">
        <v>581</v>
      </c>
      <c r="H8394" s="206" t="s">
        <v>6266</v>
      </c>
      <c r="I8394" s="206" t="s">
        <v>6479</v>
      </c>
    </row>
    <row r="8395" spans="1:9" ht="15" hidden="1" customHeight="1">
      <c r="A8395" s="205">
        <v>45597</v>
      </c>
      <c r="B8395" s="208" t="s">
        <v>6660</v>
      </c>
      <c r="C8395" s="206" t="s">
        <v>269</v>
      </c>
      <c r="D8395" s="211">
        <v>-40000</v>
      </c>
      <c r="E8395" s="207">
        <v>45597</v>
      </c>
      <c r="F8395" s="206" t="s">
        <v>109</v>
      </c>
      <c r="G8395" s="201" t="s">
        <v>581</v>
      </c>
      <c r="H8395" s="206" t="s">
        <v>6266</v>
      </c>
      <c r="I8395" s="206" t="s">
        <v>6479</v>
      </c>
    </row>
    <row r="8396" spans="1:9" ht="15" hidden="1" customHeight="1">
      <c r="A8396" s="205">
        <v>45597</v>
      </c>
      <c r="B8396" s="208" t="s">
        <v>6660</v>
      </c>
      <c r="C8396" s="206" t="s">
        <v>269</v>
      </c>
      <c r="D8396" s="211">
        <v>-40000</v>
      </c>
      <c r="E8396" s="207">
        <v>45597</v>
      </c>
      <c r="F8396" s="206" t="s">
        <v>109</v>
      </c>
      <c r="G8396" s="201" t="s">
        <v>581</v>
      </c>
      <c r="H8396" s="206" t="s">
        <v>6266</v>
      </c>
      <c r="I8396" s="206" t="s">
        <v>6479</v>
      </c>
    </row>
    <row r="8397" spans="1:9" ht="15" hidden="1" customHeight="1">
      <c r="A8397" s="205">
        <v>45598</v>
      </c>
      <c r="B8397" s="208" t="s">
        <v>6661</v>
      </c>
      <c r="C8397" s="206" t="s">
        <v>269</v>
      </c>
      <c r="D8397" s="211">
        <v>-31000</v>
      </c>
      <c r="E8397" s="207">
        <v>45597</v>
      </c>
      <c r="F8397" s="206" t="s">
        <v>109</v>
      </c>
      <c r="G8397" s="201" t="s">
        <v>581</v>
      </c>
      <c r="H8397" s="206" t="s">
        <v>6482</v>
      </c>
      <c r="I8397" s="206" t="s">
        <v>6479</v>
      </c>
    </row>
    <row r="8398" spans="1:9" ht="15" hidden="1" customHeight="1">
      <c r="A8398" s="205">
        <v>45598</v>
      </c>
      <c r="B8398" s="208" t="s">
        <v>6662</v>
      </c>
      <c r="C8398" s="206" t="s">
        <v>269</v>
      </c>
      <c r="D8398" s="211">
        <v>-140000</v>
      </c>
      <c r="E8398" s="207">
        <v>45597</v>
      </c>
      <c r="F8398" s="206" t="s">
        <v>109</v>
      </c>
      <c r="G8398" s="201" t="s">
        <v>581</v>
      </c>
      <c r="H8398" s="206" t="s">
        <v>6266</v>
      </c>
      <c r="I8398" s="206" t="s">
        <v>6479</v>
      </c>
    </row>
    <row r="8399" spans="1:9" ht="15" hidden="1" customHeight="1">
      <c r="A8399" s="205">
        <v>45598</v>
      </c>
      <c r="B8399" s="208" t="s">
        <v>6663</v>
      </c>
      <c r="C8399" s="206" t="s">
        <v>269</v>
      </c>
      <c r="D8399" s="211">
        <v>-156000</v>
      </c>
      <c r="E8399" s="207">
        <v>45597</v>
      </c>
      <c r="F8399" s="206" t="s">
        <v>109</v>
      </c>
      <c r="G8399" s="201" t="s">
        <v>581</v>
      </c>
      <c r="H8399" s="206" t="s">
        <v>6266</v>
      </c>
      <c r="I8399" s="206" t="s">
        <v>6479</v>
      </c>
    </row>
    <row r="8400" spans="1:9" ht="15" hidden="1" customHeight="1">
      <c r="A8400" s="205">
        <v>45600</v>
      </c>
      <c r="B8400" s="208" t="s">
        <v>6664</v>
      </c>
      <c r="C8400" s="206" t="s">
        <v>269</v>
      </c>
      <c r="D8400" s="211">
        <v>-13500</v>
      </c>
      <c r="E8400" s="207">
        <v>45597</v>
      </c>
      <c r="F8400" s="206" t="s">
        <v>109</v>
      </c>
      <c r="G8400" s="201" t="s">
        <v>581</v>
      </c>
      <c r="H8400" s="206" t="s">
        <v>6266</v>
      </c>
      <c r="I8400" s="206" t="s">
        <v>6479</v>
      </c>
    </row>
    <row r="8401" spans="1:9" ht="15" hidden="1" customHeight="1">
      <c r="A8401" s="205">
        <v>45601</v>
      </c>
      <c r="B8401" s="208" t="s">
        <v>6665</v>
      </c>
      <c r="C8401" s="206" t="s">
        <v>269</v>
      </c>
      <c r="D8401" s="211">
        <v>-13500</v>
      </c>
      <c r="E8401" s="207">
        <v>45597</v>
      </c>
      <c r="F8401" s="206" t="s">
        <v>109</v>
      </c>
      <c r="G8401" s="201" t="s">
        <v>581</v>
      </c>
      <c r="H8401" s="206" t="s">
        <v>6266</v>
      </c>
      <c r="I8401" s="206" t="s">
        <v>6479</v>
      </c>
    </row>
    <row r="8402" spans="1:9" ht="15" hidden="1" customHeight="1">
      <c r="A8402" s="205">
        <v>45601</v>
      </c>
      <c r="B8402" s="208" t="s">
        <v>268</v>
      </c>
      <c r="C8402" s="206" t="s">
        <v>269</v>
      </c>
      <c r="D8402" s="211">
        <v>-40000</v>
      </c>
      <c r="E8402" s="207">
        <v>45597</v>
      </c>
      <c r="F8402" s="206" t="s">
        <v>109</v>
      </c>
      <c r="G8402" s="201" t="s">
        <v>581</v>
      </c>
      <c r="H8402" s="206" t="s">
        <v>6266</v>
      </c>
      <c r="I8402" s="206" t="s">
        <v>6479</v>
      </c>
    </row>
    <row r="8403" spans="1:9" ht="15" hidden="1" customHeight="1">
      <c r="A8403" s="205">
        <v>45601</v>
      </c>
      <c r="B8403" s="208" t="s">
        <v>6666</v>
      </c>
      <c r="C8403" s="206" t="s">
        <v>269</v>
      </c>
      <c r="D8403" s="211">
        <v>-272500</v>
      </c>
      <c r="E8403" s="207">
        <v>45597</v>
      </c>
      <c r="F8403" s="206" t="s">
        <v>109</v>
      </c>
      <c r="G8403" s="201" t="s">
        <v>583</v>
      </c>
      <c r="H8403" s="206" t="s">
        <v>6667</v>
      </c>
      <c r="I8403" s="206" t="s">
        <v>6479</v>
      </c>
    </row>
    <row r="8404" spans="1:9" ht="15" hidden="1" customHeight="1">
      <c r="A8404" s="205">
        <v>45602</v>
      </c>
      <c r="B8404" s="208" t="s">
        <v>6668</v>
      </c>
      <c r="C8404" s="206" t="s">
        <v>269</v>
      </c>
      <c r="D8404" s="211">
        <v>-95000</v>
      </c>
      <c r="E8404" s="207">
        <v>45597</v>
      </c>
      <c r="F8404" s="206" t="s">
        <v>109</v>
      </c>
      <c r="G8404" s="201" t="s">
        <v>581</v>
      </c>
      <c r="H8404" s="206" t="s">
        <v>6669</v>
      </c>
      <c r="I8404" s="206" t="s">
        <v>6479</v>
      </c>
    </row>
    <row r="8405" spans="1:9" ht="15" hidden="1" customHeight="1">
      <c r="A8405" s="205">
        <v>45602</v>
      </c>
      <c r="B8405" s="208" t="s">
        <v>6666</v>
      </c>
      <c r="C8405" s="206" t="s">
        <v>269</v>
      </c>
      <c r="D8405" s="211">
        <v>-19500</v>
      </c>
      <c r="E8405" s="207">
        <v>45597</v>
      </c>
      <c r="F8405" s="206" t="s">
        <v>109</v>
      </c>
      <c r="G8405" s="201" t="s">
        <v>583</v>
      </c>
      <c r="H8405" s="206" t="s">
        <v>6667</v>
      </c>
      <c r="I8405" s="206" t="s">
        <v>6479</v>
      </c>
    </row>
    <row r="8406" spans="1:9" ht="15" hidden="1" customHeight="1">
      <c r="A8406" s="205">
        <v>45604</v>
      </c>
      <c r="B8406" s="208" t="s">
        <v>6660</v>
      </c>
      <c r="C8406" s="206" t="s">
        <v>269</v>
      </c>
      <c r="D8406" s="211">
        <v>-40000</v>
      </c>
      <c r="E8406" s="207">
        <v>45597</v>
      </c>
      <c r="F8406" s="206" t="s">
        <v>109</v>
      </c>
      <c r="G8406" s="201" t="s">
        <v>581</v>
      </c>
      <c r="H8406" s="206" t="s">
        <v>6266</v>
      </c>
      <c r="I8406" s="206" t="s">
        <v>6479</v>
      </c>
    </row>
    <row r="8407" spans="1:9" ht="15" hidden="1" customHeight="1">
      <c r="A8407" s="205">
        <v>45604</v>
      </c>
      <c r="B8407" s="208" t="s">
        <v>6666</v>
      </c>
      <c r="C8407" s="206" t="s">
        <v>269</v>
      </c>
      <c r="D8407" s="211">
        <v>-240000</v>
      </c>
      <c r="E8407" s="207">
        <v>45597</v>
      </c>
      <c r="F8407" s="206" t="s">
        <v>109</v>
      </c>
      <c r="G8407" s="201" t="s">
        <v>583</v>
      </c>
      <c r="H8407" s="206" t="s">
        <v>6667</v>
      </c>
      <c r="I8407" s="206" t="s">
        <v>6479</v>
      </c>
    </row>
    <row r="8408" spans="1:9" ht="15" hidden="1" customHeight="1">
      <c r="A8408" s="205">
        <v>45604</v>
      </c>
      <c r="B8408" s="790" t="s">
        <v>6670</v>
      </c>
      <c r="C8408" s="206" t="s">
        <v>269</v>
      </c>
      <c r="D8408" s="211">
        <v>-220000</v>
      </c>
      <c r="E8408" s="207">
        <v>45597</v>
      </c>
      <c r="F8408" s="206" t="s">
        <v>109</v>
      </c>
      <c r="G8408" s="201" t="s">
        <v>581</v>
      </c>
      <c r="H8408" s="206" t="s">
        <v>6266</v>
      </c>
      <c r="I8408" s="206" t="s">
        <v>6479</v>
      </c>
    </row>
    <row r="8409" spans="1:9" ht="15" hidden="1" customHeight="1">
      <c r="A8409" s="205">
        <v>45605</v>
      </c>
      <c r="B8409" s="208" t="s">
        <v>6671</v>
      </c>
      <c r="C8409" s="206" t="s">
        <v>269</v>
      </c>
      <c r="D8409" s="211">
        <v>-100000</v>
      </c>
      <c r="E8409" s="207">
        <v>45597</v>
      </c>
      <c r="F8409" s="206" t="s">
        <v>109</v>
      </c>
      <c r="G8409" s="201" t="s">
        <v>581</v>
      </c>
      <c r="H8409" s="206" t="s">
        <v>6266</v>
      </c>
      <c r="I8409" s="206" t="s">
        <v>6479</v>
      </c>
    </row>
    <row r="8410" spans="1:9" ht="15" hidden="1" customHeight="1">
      <c r="A8410" s="205">
        <v>45605</v>
      </c>
      <c r="B8410" s="208" t="s">
        <v>6672</v>
      </c>
      <c r="C8410" s="206" t="s">
        <v>269</v>
      </c>
      <c r="D8410" s="211">
        <v>-13500</v>
      </c>
      <c r="E8410" s="207">
        <v>45597</v>
      </c>
      <c r="F8410" s="206" t="s">
        <v>109</v>
      </c>
      <c r="G8410" s="201" t="s">
        <v>581</v>
      </c>
      <c r="H8410" s="206" t="s">
        <v>6266</v>
      </c>
      <c r="I8410" s="206" t="s">
        <v>6479</v>
      </c>
    </row>
    <row r="8411" spans="1:9" ht="15" hidden="1" customHeight="1">
      <c r="A8411" s="205">
        <v>45607</v>
      </c>
      <c r="B8411" s="208" t="s">
        <v>6673</v>
      </c>
      <c r="C8411" s="206" t="s">
        <v>269</v>
      </c>
      <c r="D8411" s="211">
        <v>-20000</v>
      </c>
      <c r="E8411" s="207">
        <v>45597</v>
      </c>
      <c r="F8411" s="206" t="s">
        <v>109</v>
      </c>
      <c r="G8411" s="201" t="s">
        <v>581</v>
      </c>
      <c r="H8411" s="206" t="s">
        <v>6266</v>
      </c>
      <c r="I8411" s="206" t="s">
        <v>6479</v>
      </c>
    </row>
    <row r="8412" spans="1:9" ht="15" hidden="1" customHeight="1">
      <c r="A8412" s="205">
        <v>45608</v>
      </c>
      <c r="B8412" s="208" t="s">
        <v>6674</v>
      </c>
      <c r="C8412" s="206" t="s">
        <v>269</v>
      </c>
      <c r="D8412" s="211">
        <v>-13500</v>
      </c>
      <c r="E8412" s="207">
        <v>45597</v>
      </c>
      <c r="F8412" s="206" t="s">
        <v>109</v>
      </c>
      <c r="G8412" s="201" t="s">
        <v>581</v>
      </c>
      <c r="H8412" s="206" t="s">
        <v>6266</v>
      </c>
      <c r="I8412" s="206" t="s">
        <v>6479</v>
      </c>
    </row>
    <row r="8413" spans="1:9" ht="15" hidden="1" customHeight="1">
      <c r="A8413" s="205">
        <v>45608</v>
      </c>
      <c r="B8413" s="790" t="s">
        <v>6675</v>
      </c>
      <c r="C8413" s="206" t="s">
        <v>269</v>
      </c>
      <c r="D8413" s="211">
        <v>-20000</v>
      </c>
      <c r="E8413" s="207">
        <v>45597</v>
      </c>
      <c r="F8413" s="206" t="s">
        <v>109</v>
      </c>
      <c r="G8413" s="201" t="s">
        <v>581</v>
      </c>
      <c r="H8413" s="206" t="s">
        <v>6667</v>
      </c>
      <c r="I8413" s="206" t="s">
        <v>6479</v>
      </c>
    </row>
    <row r="8414" spans="1:9" ht="15" hidden="1" customHeight="1">
      <c r="A8414" s="205">
        <v>45608</v>
      </c>
      <c r="B8414" s="208" t="s">
        <v>268</v>
      </c>
      <c r="C8414" s="206" t="s">
        <v>269</v>
      </c>
      <c r="D8414" s="211">
        <v>-60000</v>
      </c>
      <c r="E8414" s="207">
        <v>45597</v>
      </c>
      <c r="F8414" s="206" t="s">
        <v>109</v>
      </c>
      <c r="G8414" s="201" t="s">
        <v>581</v>
      </c>
      <c r="H8414" s="206" t="s">
        <v>6266</v>
      </c>
      <c r="I8414" s="206" t="s">
        <v>6479</v>
      </c>
    </row>
    <row r="8415" spans="1:9" ht="15" hidden="1" customHeight="1">
      <c r="A8415" s="205">
        <v>45608</v>
      </c>
      <c r="B8415" s="208" t="s">
        <v>6676</v>
      </c>
      <c r="C8415" s="206" t="s">
        <v>269</v>
      </c>
      <c r="D8415" s="211">
        <v>-108000</v>
      </c>
      <c r="E8415" s="207">
        <v>45597</v>
      </c>
      <c r="F8415" s="206" t="s">
        <v>109</v>
      </c>
      <c r="G8415" s="601" t="s">
        <v>581</v>
      </c>
      <c r="H8415" s="206" t="s">
        <v>6677</v>
      </c>
      <c r="I8415" s="206" t="s">
        <v>6479</v>
      </c>
    </row>
    <row r="8416" spans="1:9" ht="15" hidden="1" customHeight="1">
      <c r="A8416" s="205">
        <v>45609</v>
      </c>
      <c r="B8416" s="208" t="s">
        <v>6678</v>
      </c>
      <c r="C8416" s="206" t="s">
        <v>269</v>
      </c>
      <c r="D8416" s="211">
        <v>-181500</v>
      </c>
      <c r="E8416" s="207">
        <v>45597</v>
      </c>
      <c r="F8416" s="206" t="s">
        <v>109</v>
      </c>
      <c r="G8416" s="201" t="s">
        <v>583</v>
      </c>
      <c r="H8416" s="206" t="s">
        <v>6679</v>
      </c>
      <c r="I8416" s="206" t="s">
        <v>6479</v>
      </c>
    </row>
    <row r="8417" spans="1:9" ht="15" hidden="1" customHeight="1">
      <c r="A8417" s="205">
        <v>45609</v>
      </c>
      <c r="B8417" s="208" t="s">
        <v>6680</v>
      </c>
      <c r="C8417" s="206" t="s">
        <v>269</v>
      </c>
      <c r="D8417" s="211">
        <v>-36000</v>
      </c>
      <c r="E8417" s="207">
        <v>45597</v>
      </c>
      <c r="F8417" s="206" t="s">
        <v>109</v>
      </c>
      <c r="G8417" s="201" t="s">
        <v>581</v>
      </c>
      <c r="H8417" s="206" t="s">
        <v>6677</v>
      </c>
      <c r="I8417" s="206" t="s">
        <v>6479</v>
      </c>
    </row>
    <row r="8418" spans="1:9" ht="15" hidden="1" customHeight="1">
      <c r="A8418" s="205">
        <v>45609</v>
      </c>
      <c r="B8418" s="208" t="s">
        <v>6681</v>
      </c>
      <c r="C8418" s="206" t="s">
        <v>269</v>
      </c>
      <c r="D8418" s="211">
        <v>-12000</v>
      </c>
      <c r="E8418" s="207">
        <v>45597</v>
      </c>
      <c r="F8418" s="206" t="s">
        <v>109</v>
      </c>
      <c r="G8418" s="201" t="s">
        <v>581</v>
      </c>
      <c r="H8418" s="206" t="s">
        <v>2724</v>
      </c>
      <c r="I8418" s="206" t="s">
        <v>6479</v>
      </c>
    </row>
    <row r="8419" spans="1:9" ht="15" hidden="1" customHeight="1">
      <c r="A8419" s="205">
        <v>45610</v>
      </c>
      <c r="B8419" s="208" t="s">
        <v>6682</v>
      </c>
      <c r="C8419" s="206" t="s">
        <v>269</v>
      </c>
      <c r="D8419" s="211">
        <v>-22000</v>
      </c>
      <c r="E8419" s="207">
        <v>45597</v>
      </c>
      <c r="F8419" s="206" t="s">
        <v>109</v>
      </c>
      <c r="G8419" s="201" t="s">
        <v>581</v>
      </c>
      <c r="H8419" s="206" t="s">
        <v>6667</v>
      </c>
      <c r="I8419" s="206" t="s">
        <v>6479</v>
      </c>
    </row>
    <row r="8420" spans="1:9" ht="15" hidden="1" customHeight="1">
      <c r="A8420" s="205">
        <v>45610</v>
      </c>
      <c r="B8420" s="208" t="s">
        <v>6683</v>
      </c>
      <c r="C8420" s="206" t="s">
        <v>269</v>
      </c>
      <c r="D8420" s="211">
        <v>-20000</v>
      </c>
      <c r="E8420" s="207">
        <v>45597</v>
      </c>
      <c r="F8420" s="206" t="s">
        <v>109</v>
      </c>
      <c r="G8420" s="201" t="s">
        <v>581</v>
      </c>
      <c r="H8420" s="206" t="s">
        <v>6667</v>
      </c>
      <c r="I8420" s="206" t="s">
        <v>6479</v>
      </c>
    </row>
    <row r="8421" spans="1:9" ht="15" hidden="1" customHeight="1">
      <c r="A8421" s="205">
        <v>45611</v>
      </c>
      <c r="B8421" s="208" t="s">
        <v>6660</v>
      </c>
      <c r="C8421" s="206" t="s">
        <v>269</v>
      </c>
      <c r="D8421" s="211">
        <v>-40000</v>
      </c>
      <c r="E8421" s="207">
        <v>45597</v>
      </c>
      <c r="F8421" s="206" t="s">
        <v>109</v>
      </c>
      <c r="G8421" s="201" t="s">
        <v>581</v>
      </c>
      <c r="H8421" s="206" t="s">
        <v>6266</v>
      </c>
      <c r="I8421" s="206" t="s">
        <v>6479</v>
      </c>
    </row>
    <row r="8422" spans="1:9" ht="15" hidden="1" customHeight="1">
      <c r="A8422" s="205">
        <v>45611</v>
      </c>
      <c r="B8422" s="208" t="s">
        <v>6660</v>
      </c>
      <c r="C8422" s="206" t="s">
        <v>269</v>
      </c>
      <c r="D8422" s="211">
        <v>-40000</v>
      </c>
      <c r="E8422" s="207">
        <v>45597</v>
      </c>
      <c r="F8422" s="206" t="s">
        <v>109</v>
      </c>
      <c r="G8422" s="201" t="s">
        <v>581</v>
      </c>
      <c r="H8422" s="206" t="s">
        <v>6266</v>
      </c>
      <c r="I8422" s="206" t="s">
        <v>6479</v>
      </c>
    </row>
    <row r="8423" spans="1:9" ht="15" hidden="1" customHeight="1">
      <c r="A8423" s="205">
        <v>45611</v>
      </c>
      <c r="B8423" s="208" t="s">
        <v>6684</v>
      </c>
      <c r="C8423" s="206" t="s">
        <v>269</v>
      </c>
      <c r="D8423" s="211">
        <v>-2600</v>
      </c>
      <c r="E8423" s="207">
        <v>45597</v>
      </c>
      <c r="F8423" s="206" t="s">
        <v>109</v>
      </c>
      <c r="G8423" s="201" t="s">
        <v>581</v>
      </c>
      <c r="H8423" s="206" t="s">
        <v>6134</v>
      </c>
      <c r="I8423" s="206" t="s">
        <v>6479</v>
      </c>
    </row>
    <row r="8424" spans="1:9" ht="15" hidden="1" customHeight="1">
      <c r="A8424" s="205">
        <v>45611</v>
      </c>
      <c r="B8424" s="208" t="s">
        <v>6685</v>
      </c>
      <c r="C8424" s="206" t="s">
        <v>269</v>
      </c>
      <c r="D8424" s="211">
        <v>-10000</v>
      </c>
      <c r="E8424" s="207">
        <v>45597</v>
      </c>
      <c r="F8424" s="206" t="s">
        <v>109</v>
      </c>
      <c r="G8424" s="201" t="s">
        <v>581</v>
      </c>
      <c r="H8424" s="206" t="s">
        <v>6669</v>
      </c>
      <c r="I8424" s="206" t="s">
        <v>6479</v>
      </c>
    </row>
    <row r="8425" spans="1:9" ht="15" hidden="1" customHeight="1">
      <c r="A8425" s="205">
        <v>45611</v>
      </c>
      <c r="B8425" s="208" t="s">
        <v>6686</v>
      </c>
      <c r="C8425" s="206" t="s">
        <v>269</v>
      </c>
      <c r="D8425" s="211">
        <v>-7000</v>
      </c>
      <c r="E8425" s="207">
        <v>45597</v>
      </c>
      <c r="F8425" s="206" t="s">
        <v>109</v>
      </c>
      <c r="G8425" s="201" t="s">
        <v>581</v>
      </c>
      <c r="H8425" s="206" t="s">
        <v>6687</v>
      </c>
      <c r="I8425" s="206" t="s">
        <v>6479</v>
      </c>
    </row>
    <row r="8426" spans="1:9" ht="15" hidden="1" customHeight="1">
      <c r="A8426" s="205">
        <v>45611</v>
      </c>
      <c r="B8426" s="790" t="s">
        <v>6688</v>
      </c>
      <c r="C8426" s="206" t="s">
        <v>269</v>
      </c>
      <c r="D8426" s="211">
        <v>-30000</v>
      </c>
      <c r="E8426" s="207">
        <v>45597</v>
      </c>
      <c r="F8426" s="206" t="s">
        <v>109</v>
      </c>
      <c r="G8426" s="201" t="s">
        <v>581</v>
      </c>
      <c r="H8426" s="206" t="s">
        <v>6687</v>
      </c>
      <c r="I8426" s="206" t="s">
        <v>6479</v>
      </c>
    </row>
    <row r="8427" spans="1:9" ht="15" hidden="1" customHeight="1">
      <c r="A8427" s="205">
        <v>45612</v>
      </c>
      <c r="B8427" s="790" t="s">
        <v>6689</v>
      </c>
      <c r="C8427" s="206" t="s">
        <v>269</v>
      </c>
      <c r="D8427" s="211">
        <v>-60000</v>
      </c>
      <c r="E8427" s="207">
        <v>45597</v>
      </c>
      <c r="F8427" s="206" t="s">
        <v>109</v>
      </c>
      <c r="G8427" s="201" t="s">
        <v>581</v>
      </c>
      <c r="H8427" s="206" t="s">
        <v>6266</v>
      </c>
      <c r="I8427" s="206" t="s">
        <v>6479</v>
      </c>
    </row>
    <row r="8428" spans="1:9" ht="15" hidden="1" customHeight="1">
      <c r="A8428" s="205">
        <v>45612</v>
      </c>
      <c r="B8428" s="208" t="s">
        <v>6672</v>
      </c>
      <c r="C8428" s="206" t="s">
        <v>269</v>
      </c>
      <c r="D8428" s="211">
        <v>-13500</v>
      </c>
      <c r="E8428" s="207">
        <v>45597</v>
      </c>
      <c r="F8428" s="206" t="s">
        <v>109</v>
      </c>
      <c r="G8428" s="201" t="s">
        <v>581</v>
      </c>
      <c r="H8428" s="206" t="s">
        <v>6266</v>
      </c>
      <c r="I8428" s="206" t="s">
        <v>6479</v>
      </c>
    </row>
    <row r="8429" spans="1:9" ht="15" hidden="1" customHeight="1">
      <c r="A8429" s="205">
        <v>45612</v>
      </c>
      <c r="B8429" s="208" t="s">
        <v>6690</v>
      </c>
      <c r="C8429" s="206" t="s">
        <v>269</v>
      </c>
      <c r="D8429" s="211">
        <v>-100000</v>
      </c>
      <c r="E8429" s="207">
        <v>45597</v>
      </c>
      <c r="F8429" s="206" t="s">
        <v>109</v>
      </c>
      <c r="G8429" s="201" t="s">
        <v>581</v>
      </c>
      <c r="H8429" s="206" t="s">
        <v>6266</v>
      </c>
      <c r="I8429" s="206" t="s">
        <v>6479</v>
      </c>
    </row>
    <row r="8430" spans="1:9" ht="15" hidden="1" customHeight="1">
      <c r="A8430" s="205">
        <v>45613</v>
      </c>
      <c r="B8430" s="208" t="s">
        <v>6691</v>
      </c>
      <c r="C8430" s="206" t="s">
        <v>269</v>
      </c>
      <c r="D8430" s="211">
        <v>-80000</v>
      </c>
      <c r="E8430" s="207">
        <v>45597</v>
      </c>
      <c r="F8430" s="206" t="s">
        <v>109</v>
      </c>
      <c r="G8430" s="201" t="s">
        <v>581</v>
      </c>
      <c r="H8430" s="206" t="s">
        <v>6266</v>
      </c>
      <c r="I8430" s="206" t="s">
        <v>6479</v>
      </c>
    </row>
    <row r="8431" spans="1:9" ht="15" hidden="1" customHeight="1">
      <c r="A8431" s="205">
        <v>45614</v>
      </c>
      <c r="B8431" s="208" t="s">
        <v>6674</v>
      </c>
      <c r="C8431" s="206" t="s">
        <v>269</v>
      </c>
      <c r="D8431" s="211">
        <v>-13500</v>
      </c>
      <c r="E8431" s="207">
        <v>45597</v>
      </c>
      <c r="F8431" s="206" t="s">
        <v>109</v>
      </c>
      <c r="G8431" s="201" t="s">
        <v>581</v>
      </c>
      <c r="H8431" s="206" t="s">
        <v>6266</v>
      </c>
      <c r="I8431" s="206" t="s">
        <v>6479</v>
      </c>
    </row>
    <row r="8432" spans="1:9" ht="15" hidden="1" customHeight="1">
      <c r="A8432" s="205">
        <v>45614</v>
      </c>
      <c r="B8432" s="208" t="s">
        <v>6692</v>
      </c>
      <c r="C8432" s="206" t="s">
        <v>269</v>
      </c>
      <c r="D8432" s="211">
        <v>-75000</v>
      </c>
      <c r="E8432" s="207">
        <v>45597</v>
      </c>
      <c r="F8432" s="206" t="s">
        <v>109</v>
      </c>
      <c r="G8432" s="201" t="s">
        <v>581</v>
      </c>
      <c r="H8432" s="206" t="s">
        <v>6669</v>
      </c>
      <c r="I8432" s="206" t="s">
        <v>6479</v>
      </c>
    </row>
    <row r="8433" spans="1:9" ht="15" hidden="1" customHeight="1">
      <c r="A8433" s="205">
        <v>45614</v>
      </c>
      <c r="B8433" s="208" t="s">
        <v>6693</v>
      </c>
      <c r="C8433" s="206" t="s">
        <v>269</v>
      </c>
      <c r="D8433" s="211">
        <v>-156000</v>
      </c>
      <c r="E8433" s="207">
        <v>45597</v>
      </c>
      <c r="F8433" s="206" t="s">
        <v>109</v>
      </c>
      <c r="G8433" s="201" t="s">
        <v>581</v>
      </c>
      <c r="H8433" s="206" t="s">
        <v>6266</v>
      </c>
      <c r="I8433" s="206" t="s">
        <v>6479</v>
      </c>
    </row>
    <row r="8434" spans="1:9" ht="15" hidden="1" customHeight="1">
      <c r="A8434" s="205">
        <v>45614</v>
      </c>
      <c r="B8434" s="208" t="s">
        <v>6694</v>
      </c>
      <c r="C8434" s="206" t="s">
        <v>269</v>
      </c>
      <c r="D8434" s="211">
        <v>-7000</v>
      </c>
      <c r="E8434" s="207">
        <v>45597</v>
      </c>
      <c r="F8434" s="206" t="s">
        <v>109</v>
      </c>
      <c r="G8434" s="201" t="s">
        <v>581</v>
      </c>
      <c r="H8434" s="206" t="s">
        <v>6669</v>
      </c>
      <c r="I8434" s="206" t="s">
        <v>6479</v>
      </c>
    </row>
    <row r="8435" spans="1:9" ht="15" hidden="1" customHeight="1">
      <c r="A8435" s="205">
        <v>45614</v>
      </c>
      <c r="B8435" s="208" t="s">
        <v>268</v>
      </c>
      <c r="C8435" s="206" t="s">
        <v>269</v>
      </c>
      <c r="D8435" s="211">
        <v>-30000</v>
      </c>
      <c r="E8435" s="207">
        <v>45597</v>
      </c>
      <c r="F8435" s="206" t="s">
        <v>109</v>
      </c>
      <c r="G8435" s="201" t="s">
        <v>581</v>
      </c>
      <c r="H8435" s="206" t="s">
        <v>6266</v>
      </c>
      <c r="I8435" s="206" t="s">
        <v>6479</v>
      </c>
    </row>
    <row r="8436" spans="1:9" ht="15" hidden="1" customHeight="1">
      <c r="A8436" s="205">
        <v>45614</v>
      </c>
      <c r="B8436" s="208" t="s">
        <v>6659</v>
      </c>
      <c r="C8436" s="206" t="s">
        <v>269</v>
      </c>
      <c r="D8436" s="211">
        <v>-40000</v>
      </c>
      <c r="E8436" s="207">
        <v>45597</v>
      </c>
      <c r="F8436" s="206" t="s">
        <v>109</v>
      </c>
      <c r="G8436" s="201" t="s">
        <v>581</v>
      </c>
      <c r="H8436" s="206" t="s">
        <v>6266</v>
      </c>
      <c r="I8436" s="206" t="s">
        <v>6479</v>
      </c>
    </row>
    <row r="8437" spans="1:9" ht="15" hidden="1" customHeight="1">
      <c r="A8437" s="205">
        <v>45617</v>
      </c>
      <c r="B8437" s="208" t="s">
        <v>6695</v>
      </c>
      <c r="C8437" s="206" t="s">
        <v>27</v>
      </c>
      <c r="D8437" s="784">
        <v>-20900</v>
      </c>
      <c r="E8437" s="207">
        <v>45597</v>
      </c>
      <c r="F8437" s="206" t="s">
        <v>109</v>
      </c>
      <c r="G8437" s="206" t="s">
        <v>2809</v>
      </c>
      <c r="H8437" s="206" t="s">
        <v>6316</v>
      </c>
      <c r="I8437" s="206"/>
    </row>
    <row r="8438" spans="1:9" ht="15" hidden="1" customHeight="1">
      <c r="A8438" s="205">
        <v>45617</v>
      </c>
      <c r="B8438" s="208" t="s">
        <v>6140</v>
      </c>
      <c r="C8438" s="206" t="s">
        <v>269</v>
      </c>
      <c r="D8438" s="752">
        <v>-7200</v>
      </c>
      <c r="E8438" s="207">
        <v>45597</v>
      </c>
      <c r="F8438" s="206" t="s">
        <v>110</v>
      </c>
      <c r="G8438" s="208" t="s">
        <v>5469</v>
      </c>
      <c r="H8438" s="81" t="s">
        <v>138</v>
      </c>
      <c r="I8438" s="206"/>
    </row>
    <row r="8439" spans="1:9" ht="15" hidden="1" customHeight="1">
      <c r="A8439" s="205">
        <v>45617</v>
      </c>
      <c r="B8439" s="208" t="s">
        <v>6293</v>
      </c>
      <c r="C8439" s="206" t="s">
        <v>269</v>
      </c>
      <c r="D8439" s="752">
        <v>-7200</v>
      </c>
      <c r="E8439" s="207">
        <v>45597</v>
      </c>
      <c r="F8439" s="206" t="s">
        <v>109</v>
      </c>
      <c r="G8439" s="208" t="s">
        <v>4986</v>
      </c>
      <c r="H8439" s="81" t="s">
        <v>138</v>
      </c>
      <c r="I8439" s="206"/>
    </row>
    <row r="8440" spans="1:9" ht="15" hidden="1" customHeight="1">
      <c r="A8440" s="205">
        <v>45615</v>
      </c>
      <c r="B8440" s="208" t="s">
        <v>6696</v>
      </c>
      <c r="C8440" s="206" t="s">
        <v>269</v>
      </c>
      <c r="D8440" s="211">
        <v>-45000</v>
      </c>
      <c r="E8440" s="207">
        <v>45597</v>
      </c>
      <c r="F8440" s="206" t="s">
        <v>109</v>
      </c>
      <c r="G8440" s="208" t="s">
        <v>4986</v>
      </c>
      <c r="H8440" s="208" t="s">
        <v>175</v>
      </c>
      <c r="I8440" s="206" t="s">
        <v>5430</v>
      </c>
    </row>
    <row r="8441" spans="1:9" ht="15" hidden="1" customHeight="1">
      <c r="A8441" s="205">
        <v>45615</v>
      </c>
      <c r="B8441" s="208" t="s">
        <v>6697</v>
      </c>
      <c r="C8441" s="206" t="s">
        <v>269</v>
      </c>
      <c r="D8441" s="211">
        <v>-200000</v>
      </c>
      <c r="E8441" s="207">
        <v>45597</v>
      </c>
      <c r="F8441" s="206" t="s">
        <v>109</v>
      </c>
      <c r="G8441" s="208" t="s">
        <v>4986</v>
      </c>
      <c r="H8441" s="208" t="s">
        <v>212</v>
      </c>
      <c r="I8441" s="206" t="s">
        <v>5430</v>
      </c>
    </row>
    <row r="8442" spans="1:9" ht="15" hidden="1" customHeight="1">
      <c r="A8442" s="205">
        <v>45615</v>
      </c>
      <c r="B8442" s="208" t="s">
        <v>6698</v>
      </c>
      <c r="C8442" s="206" t="s">
        <v>269</v>
      </c>
      <c r="D8442" s="211">
        <v>-90000</v>
      </c>
      <c r="E8442" s="207">
        <v>45597</v>
      </c>
      <c r="F8442" s="206" t="s">
        <v>109</v>
      </c>
      <c r="G8442" s="208" t="s">
        <v>4986</v>
      </c>
      <c r="H8442" s="208" t="s">
        <v>212</v>
      </c>
      <c r="I8442" s="206" t="s">
        <v>5430</v>
      </c>
    </row>
    <row r="8443" spans="1:9" ht="15" hidden="1" customHeight="1">
      <c r="A8443" s="205">
        <v>45615</v>
      </c>
      <c r="B8443" s="208" t="s">
        <v>6699</v>
      </c>
      <c r="C8443" s="206" t="s">
        <v>269</v>
      </c>
      <c r="D8443" s="211">
        <v>-15031</v>
      </c>
      <c r="E8443" s="207">
        <v>45597</v>
      </c>
      <c r="F8443" s="206" t="s">
        <v>110</v>
      </c>
      <c r="G8443" s="208" t="s">
        <v>5469</v>
      </c>
      <c r="H8443" s="208" t="s">
        <v>175</v>
      </c>
      <c r="I8443" s="206" t="s">
        <v>5430</v>
      </c>
    </row>
    <row r="8444" spans="1:9" ht="15" hidden="1" customHeight="1">
      <c r="A8444" s="205">
        <v>45616</v>
      </c>
      <c r="B8444" s="208" t="s">
        <v>6700</v>
      </c>
      <c r="C8444" s="206" t="s">
        <v>269</v>
      </c>
      <c r="D8444" s="211">
        <v>-11499</v>
      </c>
      <c r="E8444" s="207">
        <v>45597</v>
      </c>
      <c r="F8444" s="206" t="s">
        <v>110</v>
      </c>
      <c r="G8444" s="208" t="s">
        <v>5469</v>
      </c>
      <c r="H8444" s="208" t="s">
        <v>175</v>
      </c>
      <c r="I8444" s="206" t="s">
        <v>5430</v>
      </c>
    </row>
    <row r="8445" spans="1:9" ht="15" hidden="1" customHeight="1">
      <c r="A8445" s="205">
        <v>45614</v>
      </c>
      <c r="B8445" s="208" t="s">
        <v>6701</v>
      </c>
      <c r="C8445" s="206" t="s">
        <v>269</v>
      </c>
      <c r="D8445" s="211">
        <v>-20000</v>
      </c>
      <c r="E8445" s="207">
        <v>45597</v>
      </c>
      <c r="F8445" s="206" t="s">
        <v>109</v>
      </c>
      <c r="G8445" s="201" t="s">
        <v>581</v>
      </c>
      <c r="H8445" s="208" t="s">
        <v>175</v>
      </c>
      <c r="I8445" s="206" t="s">
        <v>5430</v>
      </c>
    </row>
    <row r="8446" spans="1:9" ht="15" hidden="1" customHeight="1">
      <c r="A8446" s="205">
        <v>45615</v>
      </c>
      <c r="B8446" s="208" t="s">
        <v>6702</v>
      </c>
      <c r="C8446" s="206" t="s">
        <v>269</v>
      </c>
      <c r="D8446" s="211">
        <v>-5000</v>
      </c>
      <c r="E8446" s="207">
        <v>45597</v>
      </c>
      <c r="F8446" s="206" t="s">
        <v>109</v>
      </c>
      <c r="G8446" s="201" t="s">
        <v>581</v>
      </c>
      <c r="H8446" s="201" t="s">
        <v>416</v>
      </c>
      <c r="I8446" s="206" t="s">
        <v>5430</v>
      </c>
    </row>
    <row r="8447" spans="1:9" ht="15" hidden="1" customHeight="1">
      <c r="A8447" s="205">
        <v>45615</v>
      </c>
      <c r="B8447" s="208" t="s">
        <v>6703</v>
      </c>
      <c r="C8447" s="206" t="s">
        <v>269</v>
      </c>
      <c r="D8447" s="211">
        <v>-50000</v>
      </c>
      <c r="E8447" s="207">
        <v>45597</v>
      </c>
      <c r="F8447" s="206" t="s">
        <v>109</v>
      </c>
      <c r="G8447" s="201" t="s">
        <v>581</v>
      </c>
      <c r="H8447" s="208" t="s">
        <v>175</v>
      </c>
      <c r="I8447" s="206" t="s">
        <v>5430</v>
      </c>
    </row>
    <row r="8448" spans="1:9" ht="15" hidden="1" customHeight="1">
      <c r="A8448" s="205">
        <v>45615</v>
      </c>
      <c r="B8448" s="208" t="s">
        <v>6704</v>
      </c>
      <c r="C8448" s="206" t="s">
        <v>269</v>
      </c>
      <c r="D8448" s="211">
        <v>-64000</v>
      </c>
      <c r="E8448" s="207">
        <v>45597</v>
      </c>
      <c r="F8448" s="206" t="s">
        <v>109</v>
      </c>
      <c r="G8448" s="201" t="s">
        <v>581</v>
      </c>
      <c r="H8448" s="208" t="s">
        <v>175</v>
      </c>
      <c r="I8448" s="206" t="s">
        <v>5430</v>
      </c>
    </row>
    <row r="8449" spans="1:9" ht="15" hidden="1" customHeight="1">
      <c r="A8449" s="205">
        <v>45615</v>
      </c>
      <c r="B8449" s="208" t="s">
        <v>6705</v>
      </c>
      <c r="C8449" s="206" t="s">
        <v>269</v>
      </c>
      <c r="D8449" s="211">
        <v>-119999</v>
      </c>
      <c r="E8449" s="207">
        <v>45597</v>
      </c>
      <c r="F8449" s="206" t="s">
        <v>109</v>
      </c>
      <c r="G8449" s="201" t="s">
        <v>581</v>
      </c>
      <c r="H8449" s="208" t="s">
        <v>175</v>
      </c>
      <c r="I8449" s="206" t="s">
        <v>5430</v>
      </c>
    </row>
    <row r="8450" spans="1:9" ht="15" hidden="1" customHeight="1">
      <c r="A8450" s="205">
        <v>45617</v>
      </c>
      <c r="B8450" s="208" t="s">
        <v>6706</v>
      </c>
      <c r="C8450" s="206" t="s">
        <v>27</v>
      </c>
      <c r="D8450" s="784">
        <v>-513410</v>
      </c>
      <c r="E8450" s="207">
        <v>45597</v>
      </c>
      <c r="F8450" s="206" t="s">
        <v>130</v>
      </c>
      <c r="G8450" s="206" t="s">
        <v>130</v>
      </c>
      <c r="H8450" s="262" t="s">
        <v>2724</v>
      </c>
      <c r="I8450" s="206"/>
    </row>
    <row r="8451" spans="1:9" ht="15" hidden="1" customHeight="1">
      <c r="A8451" s="205">
        <v>45617</v>
      </c>
      <c r="B8451" s="208" t="s">
        <v>6707</v>
      </c>
      <c r="C8451" s="206" t="s">
        <v>269</v>
      </c>
      <c r="D8451" s="211">
        <v>3742000</v>
      </c>
      <c r="E8451" s="207">
        <v>45597</v>
      </c>
      <c r="F8451" s="206" t="s">
        <v>109</v>
      </c>
      <c r="G8451" s="601" t="s">
        <v>581</v>
      </c>
      <c r="I8451" s="206"/>
    </row>
    <row r="8452" spans="1:9" ht="15" hidden="1" customHeight="1">
      <c r="A8452" s="205">
        <v>45618</v>
      </c>
      <c r="B8452" s="208" t="s">
        <v>6708</v>
      </c>
      <c r="C8452" s="206" t="s">
        <v>269</v>
      </c>
      <c r="D8452" s="211">
        <v>-4000</v>
      </c>
      <c r="E8452" s="207">
        <v>45597</v>
      </c>
      <c r="F8452" s="206" t="s">
        <v>109</v>
      </c>
      <c r="G8452" s="208" t="s">
        <v>4986</v>
      </c>
      <c r="H8452" s="81" t="s">
        <v>138</v>
      </c>
      <c r="I8452" s="206"/>
    </row>
    <row r="8453" spans="1:9" ht="15" hidden="1" customHeight="1">
      <c r="A8453" s="205">
        <v>45626</v>
      </c>
      <c r="B8453" s="208" t="s">
        <v>6709</v>
      </c>
      <c r="C8453" s="206" t="s">
        <v>146</v>
      </c>
      <c r="D8453" s="211">
        <v>-31300</v>
      </c>
      <c r="E8453" s="207">
        <v>45597</v>
      </c>
      <c r="F8453" s="206" t="s">
        <v>130</v>
      </c>
      <c r="G8453" s="206" t="s">
        <v>257</v>
      </c>
      <c r="H8453" s="206" t="s">
        <v>1182</v>
      </c>
      <c r="I8453" s="206"/>
    </row>
    <row r="8454" spans="1:9" ht="15" hidden="1" customHeight="1">
      <c r="A8454" s="205">
        <v>45616</v>
      </c>
      <c r="B8454" s="208" t="s">
        <v>6095</v>
      </c>
      <c r="C8454" s="208" t="s">
        <v>27</v>
      </c>
      <c r="D8454" s="737">
        <v>869561.88</v>
      </c>
      <c r="E8454" s="207">
        <v>45597</v>
      </c>
      <c r="F8454" s="206" t="s">
        <v>108</v>
      </c>
      <c r="I8454" s="206"/>
    </row>
    <row r="8455" spans="1:9" ht="15" hidden="1" customHeight="1">
      <c r="A8455" s="205">
        <v>45616</v>
      </c>
      <c r="B8455" s="208" t="s">
        <v>6710</v>
      </c>
      <c r="C8455" s="208" t="s">
        <v>27</v>
      </c>
      <c r="D8455" s="737">
        <v>350000000</v>
      </c>
      <c r="E8455" s="207">
        <v>45597</v>
      </c>
      <c r="F8455" s="883" t="s">
        <v>707</v>
      </c>
      <c r="G8455" s="601" t="s">
        <v>581</v>
      </c>
      <c r="H8455" s="206" t="s">
        <v>461</v>
      </c>
      <c r="I8455" s="206"/>
    </row>
    <row r="8456" spans="1:9" ht="15" hidden="1" customHeight="1">
      <c r="A8456" s="205">
        <v>45616</v>
      </c>
      <c r="B8456" s="208" t="s">
        <v>6711</v>
      </c>
      <c r="C8456" s="206" t="s">
        <v>27</v>
      </c>
      <c r="D8456" s="737">
        <v>4642828</v>
      </c>
      <c r="E8456" s="207">
        <v>45597</v>
      </c>
      <c r="F8456" s="206" t="s">
        <v>108</v>
      </c>
      <c r="I8456" s="206"/>
    </row>
    <row r="8457" spans="1:9" ht="15" hidden="1" customHeight="1">
      <c r="A8457" s="205">
        <v>45614</v>
      </c>
      <c r="B8457" s="208" t="s">
        <v>6712</v>
      </c>
      <c r="C8457" s="206" t="s">
        <v>27</v>
      </c>
      <c r="D8457" s="784">
        <v>-373600</v>
      </c>
      <c r="E8457" s="207">
        <v>45597</v>
      </c>
      <c r="F8457" s="206" t="s">
        <v>130</v>
      </c>
      <c r="G8457" s="206" t="s">
        <v>257</v>
      </c>
      <c r="H8457" s="208" t="s">
        <v>2724</v>
      </c>
      <c r="I8457" s="206"/>
    </row>
    <row r="8458" spans="1:9" ht="15" hidden="1" customHeight="1">
      <c r="A8458" s="205">
        <v>45614</v>
      </c>
      <c r="B8458" s="208" t="s">
        <v>6713</v>
      </c>
      <c r="C8458" s="206" t="s">
        <v>27</v>
      </c>
      <c r="D8458" s="784">
        <v>-2775000</v>
      </c>
      <c r="E8458" s="207">
        <v>45597</v>
      </c>
      <c r="F8458" s="206" t="s">
        <v>109</v>
      </c>
      <c r="G8458" s="206" t="s">
        <v>6714</v>
      </c>
      <c r="H8458" s="206" t="s">
        <v>1166</v>
      </c>
      <c r="I8458" s="720" t="s">
        <v>5410</v>
      </c>
    </row>
    <row r="8459" spans="1:9" ht="15" hidden="1" customHeight="1">
      <c r="A8459" s="205">
        <v>45614</v>
      </c>
      <c r="B8459" s="208" t="s">
        <v>6715</v>
      </c>
      <c r="C8459" s="206" t="s">
        <v>27</v>
      </c>
      <c r="D8459" s="784">
        <v>-2769090</v>
      </c>
      <c r="E8459" s="207">
        <v>45597</v>
      </c>
      <c r="F8459" s="206" t="s">
        <v>109</v>
      </c>
      <c r="G8459" s="201" t="s">
        <v>581</v>
      </c>
      <c r="H8459" s="206" t="s">
        <v>182</v>
      </c>
      <c r="I8459" s="206"/>
    </row>
    <row r="8460" spans="1:9" ht="15" hidden="1" customHeight="1">
      <c r="A8460" s="205">
        <v>45614</v>
      </c>
      <c r="B8460" s="208" t="s">
        <v>6716</v>
      </c>
      <c r="C8460" s="206" t="s">
        <v>27</v>
      </c>
      <c r="D8460" s="784">
        <v>-1240000</v>
      </c>
      <c r="E8460" s="207">
        <v>45597</v>
      </c>
      <c r="F8460" s="206" t="s">
        <v>109</v>
      </c>
      <c r="G8460" s="201" t="s">
        <v>583</v>
      </c>
      <c r="H8460" s="206" t="s">
        <v>6717</v>
      </c>
      <c r="I8460" s="206"/>
    </row>
    <row r="8461" spans="1:9" ht="15" hidden="1" customHeight="1">
      <c r="A8461" s="205">
        <v>45615</v>
      </c>
      <c r="B8461" s="208" t="s">
        <v>6718</v>
      </c>
      <c r="C8461" s="206" t="s">
        <v>3331</v>
      </c>
      <c r="D8461" s="730">
        <v>3264691</v>
      </c>
      <c r="E8461" s="207">
        <v>45597</v>
      </c>
      <c r="F8461" s="206" t="s">
        <v>108</v>
      </c>
      <c r="I8461" s="206"/>
    </row>
    <row r="8462" spans="1:9" ht="15" hidden="1" customHeight="1">
      <c r="A8462" s="205">
        <v>45614</v>
      </c>
      <c r="B8462" s="208" t="s">
        <v>6719</v>
      </c>
      <c r="C8462" s="206" t="s">
        <v>3331</v>
      </c>
      <c r="D8462" s="730">
        <v>533000</v>
      </c>
      <c r="E8462" s="207">
        <v>45597</v>
      </c>
      <c r="F8462" s="206" t="s">
        <v>108</v>
      </c>
      <c r="I8462" s="206"/>
    </row>
    <row r="8463" spans="1:9" ht="15" hidden="1" customHeight="1">
      <c r="A8463" s="205">
        <v>45615</v>
      </c>
      <c r="B8463" s="208" t="s">
        <v>6720</v>
      </c>
      <c r="C8463" s="206" t="s">
        <v>3331</v>
      </c>
      <c r="D8463" s="730">
        <v>-20900</v>
      </c>
      <c r="E8463" s="207">
        <v>45597</v>
      </c>
      <c r="F8463" s="206" t="s">
        <v>130</v>
      </c>
      <c r="G8463" s="206" t="s">
        <v>130</v>
      </c>
      <c r="H8463" s="206" t="s">
        <v>1032</v>
      </c>
      <c r="I8463" s="206"/>
    </row>
    <row r="8464" spans="1:9" ht="15" hidden="1" customHeight="1">
      <c r="A8464" s="205">
        <v>45611</v>
      </c>
      <c r="B8464" s="208" t="s">
        <v>1337</v>
      </c>
      <c r="C8464" s="206" t="s">
        <v>27</v>
      </c>
      <c r="D8464" s="784">
        <v>-26420681</v>
      </c>
      <c r="E8464" s="212">
        <v>45597</v>
      </c>
      <c r="F8464" s="206" t="s">
        <v>110</v>
      </c>
      <c r="G8464" s="208" t="s">
        <v>5503</v>
      </c>
      <c r="H8464" s="201" t="s">
        <v>310</v>
      </c>
      <c r="I8464" s="206"/>
    </row>
    <row r="8465" spans="1:9" ht="15" hidden="1" customHeight="1">
      <c r="A8465" s="205">
        <v>45611</v>
      </c>
      <c r="B8465" s="208" t="s">
        <v>1337</v>
      </c>
      <c r="C8465" s="206" t="s">
        <v>27</v>
      </c>
      <c r="D8465" s="784">
        <v>-8624730</v>
      </c>
      <c r="E8465" s="212">
        <v>45597</v>
      </c>
      <c r="F8465" s="206" t="s">
        <v>110</v>
      </c>
      <c r="G8465" s="208" t="s">
        <v>4294</v>
      </c>
      <c r="H8465" s="201" t="s">
        <v>310</v>
      </c>
      <c r="I8465" s="206"/>
    </row>
    <row r="8466" spans="1:9" ht="15" hidden="1" customHeight="1">
      <c r="A8466" s="205">
        <v>45611</v>
      </c>
      <c r="B8466" s="208" t="s">
        <v>1337</v>
      </c>
      <c r="C8466" s="206" t="s">
        <v>27</v>
      </c>
      <c r="D8466" s="784">
        <v>-33669765</v>
      </c>
      <c r="E8466" s="212">
        <v>45597</v>
      </c>
      <c r="F8466" s="206" t="s">
        <v>110</v>
      </c>
      <c r="G8466" s="208" t="s">
        <v>5469</v>
      </c>
      <c r="H8466" s="201" t="s">
        <v>310</v>
      </c>
      <c r="I8466" s="206"/>
    </row>
    <row r="8467" spans="1:9" ht="15" hidden="1" customHeight="1">
      <c r="A8467" s="205">
        <v>45611</v>
      </c>
      <c r="B8467" s="208" t="s">
        <v>1337</v>
      </c>
      <c r="C8467" s="206" t="s">
        <v>27</v>
      </c>
      <c r="D8467" s="784">
        <v>-30517474</v>
      </c>
      <c r="E8467" s="212">
        <v>45597</v>
      </c>
      <c r="F8467" s="206" t="s">
        <v>109</v>
      </c>
      <c r="G8467" s="208" t="s">
        <v>4986</v>
      </c>
      <c r="H8467" s="201" t="s">
        <v>310</v>
      </c>
      <c r="I8467" s="206"/>
    </row>
    <row r="8468" spans="1:9" ht="15" hidden="1" customHeight="1">
      <c r="A8468" s="205">
        <v>45611</v>
      </c>
      <c r="B8468" s="591" t="s">
        <v>6315</v>
      </c>
      <c r="C8468" s="206" t="s">
        <v>27</v>
      </c>
      <c r="D8468" s="784">
        <v>-40300869</v>
      </c>
      <c r="E8468" s="207">
        <v>45597</v>
      </c>
      <c r="F8468" s="206" t="s">
        <v>2986</v>
      </c>
      <c r="I8468" s="206"/>
    </row>
    <row r="8469" spans="1:9" ht="15" hidden="1" customHeight="1">
      <c r="A8469" s="205">
        <v>45611</v>
      </c>
      <c r="B8469" s="208" t="s">
        <v>6721</v>
      </c>
      <c r="C8469" s="206" t="s">
        <v>27</v>
      </c>
      <c r="D8469" s="784">
        <v>-64838459</v>
      </c>
      <c r="E8469" s="207">
        <v>45597</v>
      </c>
      <c r="F8469" s="206" t="s">
        <v>110</v>
      </c>
      <c r="G8469" s="208" t="s">
        <v>4294</v>
      </c>
      <c r="H8469" s="201" t="s">
        <v>123</v>
      </c>
      <c r="I8469" s="720" t="s">
        <v>5410</v>
      </c>
    </row>
    <row r="8470" spans="1:9" ht="15" hidden="1" customHeight="1">
      <c r="A8470" s="205">
        <v>45611</v>
      </c>
      <c r="B8470" s="208" t="s">
        <v>6722</v>
      </c>
      <c r="C8470" s="206" t="s">
        <v>27</v>
      </c>
      <c r="D8470" s="784">
        <v>-568715</v>
      </c>
      <c r="E8470" s="207">
        <v>45597</v>
      </c>
      <c r="F8470" s="206" t="s">
        <v>130</v>
      </c>
      <c r="G8470" s="206" t="s">
        <v>130</v>
      </c>
      <c r="H8470" s="262" t="s">
        <v>2724</v>
      </c>
      <c r="I8470" s="206"/>
    </row>
    <row r="8471" spans="1:9" ht="15" hidden="1" customHeight="1">
      <c r="A8471" s="205">
        <v>45611</v>
      </c>
      <c r="B8471" s="208" t="s">
        <v>6723</v>
      </c>
      <c r="C8471" s="206" t="s">
        <v>4314</v>
      </c>
      <c r="D8471" s="781">
        <v>-22824.44</v>
      </c>
      <c r="E8471" s="207">
        <v>45597</v>
      </c>
      <c r="F8471" s="206" t="s">
        <v>130</v>
      </c>
      <c r="G8471" s="206" t="s">
        <v>130</v>
      </c>
      <c r="H8471" s="206" t="s">
        <v>138</v>
      </c>
      <c r="I8471" s="206"/>
    </row>
    <row r="8472" spans="1:9" ht="15" hidden="1" customHeight="1">
      <c r="A8472" s="205">
        <v>45611</v>
      </c>
      <c r="B8472" s="208" t="s">
        <v>6724</v>
      </c>
      <c r="C8472" s="206" t="s">
        <v>27</v>
      </c>
      <c r="D8472" s="784">
        <v>-340000</v>
      </c>
      <c r="E8472" s="207">
        <v>45597</v>
      </c>
      <c r="F8472" s="206" t="s">
        <v>110</v>
      </c>
      <c r="G8472" s="208" t="s">
        <v>5469</v>
      </c>
      <c r="H8472" s="208" t="s">
        <v>212</v>
      </c>
      <c r="I8472" s="720" t="s">
        <v>5410</v>
      </c>
    </row>
    <row r="8473" spans="1:9" ht="15" hidden="1" customHeight="1">
      <c r="A8473" s="205">
        <v>45611</v>
      </c>
      <c r="B8473" s="208" t="s">
        <v>6725</v>
      </c>
      <c r="C8473" s="206" t="s">
        <v>27</v>
      </c>
      <c r="D8473" s="784">
        <v>-1818365</v>
      </c>
      <c r="E8473" s="207">
        <v>45597</v>
      </c>
      <c r="F8473" s="206" t="s">
        <v>109</v>
      </c>
      <c r="G8473" s="201" t="s">
        <v>581</v>
      </c>
      <c r="H8473" s="201" t="s">
        <v>416</v>
      </c>
      <c r="I8473" s="206"/>
    </row>
    <row r="8474" spans="1:9" ht="15" hidden="1" customHeight="1">
      <c r="A8474" s="205">
        <v>45611</v>
      </c>
      <c r="B8474" s="208" t="s">
        <v>6726</v>
      </c>
      <c r="C8474" s="206" t="s">
        <v>27</v>
      </c>
      <c r="D8474" s="784">
        <v>-1818365</v>
      </c>
      <c r="E8474" s="207">
        <v>45597</v>
      </c>
      <c r="F8474" s="206" t="s">
        <v>109</v>
      </c>
      <c r="G8474" s="201" t="s">
        <v>583</v>
      </c>
      <c r="H8474" s="201" t="s">
        <v>416</v>
      </c>
      <c r="I8474" s="206"/>
    </row>
    <row r="8475" spans="1:9" ht="15" hidden="1" customHeight="1">
      <c r="A8475" s="205">
        <v>45611</v>
      </c>
      <c r="B8475" s="208" t="s">
        <v>6727</v>
      </c>
      <c r="C8475" s="206" t="s">
        <v>27</v>
      </c>
      <c r="D8475" s="784">
        <v>-679000</v>
      </c>
      <c r="E8475" s="207">
        <v>45597</v>
      </c>
      <c r="F8475" s="206" t="s">
        <v>109</v>
      </c>
      <c r="G8475" s="208" t="s">
        <v>4986</v>
      </c>
      <c r="H8475" s="208" t="s">
        <v>147</v>
      </c>
      <c r="I8475" s="720" t="s">
        <v>5410</v>
      </c>
    </row>
    <row r="8476" spans="1:9" ht="15" hidden="1" customHeight="1">
      <c r="A8476" s="205">
        <v>45611</v>
      </c>
      <c r="B8476" s="208" t="s">
        <v>6728</v>
      </c>
      <c r="C8476" s="206" t="s">
        <v>27</v>
      </c>
      <c r="D8476" s="784">
        <v>-679000</v>
      </c>
      <c r="E8476" s="207">
        <v>45597</v>
      </c>
      <c r="F8476" s="206" t="s">
        <v>110</v>
      </c>
      <c r="G8476" s="208" t="s">
        <v>5503</v>
      </c>
      <c r="H8476" s="208" t="s">
        <v>147</v>
      </c>
      <c r="I8476" s="720" t="s">
        <v>5410</v>
      </c>
    </row>
    <row r="8477" spans="1:9" ht="15" hidden="1" customHeight="1">
      <c r="A8477" s="205">
        <v>45613</v>
      </c>
      <c r="B8477" s="208" t="s">
        <v>6729</v>
      </c>
      <c r="C8477" s="206" t="s">
        <v>643</v>
      </c>
      <c r="D8477" s="211">
        <v>-139727.29</v>
      </c>
      <c r="E8477" s="207">
        <v>45597</v>
      </c>
      <c r="F8477" s="206" t="s">
        <v>130</v>
      </c>
      <c r="G8477" s="206" t="s">
        <v>130</v>
      </c>
      <c r="H8477" s="206" t="s">
        <v>1245</v>
      </c>
      <c r="I8477" s="206"/>
    </row>
    <row r="8478" spans="1:9" ht="15" hidden="1" customHeight="1">
      <c r="A8478" s="205">
        <v>45615</v>
      </c>
      <c r="B8478" s="208" t="s">
        <v>6730</v>
      </c>
      <c r="C8478" s="206" t="s">
        <v>643</v>
      </c>
      <c r="D8478" s="211">
        <v>-119130</v>
      </c>
      <c r="E8478" s="207">
        <v>45597</v>
      </c>
      <c r="F8478" s="206" t="s">
        <v>130</v>
      </c>
      <c r="G8478" s="206" t="s">
        <v>130</v>
      </c>
      <c r="H8478" s="206" t="s">
        <v>852</v>
      </c>
      <c r="I8478" s="206"/>
    </row>
    <row r="8479" spans="1:9" ht="15" hidden="1" customHeight="1">
      <c r="A8479" s="205">
        <v>45616</v>
      </c>
      <c r="B8479" s="208" t="s">
        <v>6731</v>
      </c>
      <c r="C8479" s="206" t="s">
        <v>643</v>
      </c>
      <c r="D8479" s="211">
        <v>-44233.46</v>
      </c>
      <c r="E8479" s="207">
        <v>45597</v>
      </c>
      <c r="F8479" s="206" t="s">
        <v>130</v>
      </c>
      <c r="G8479" s="206" t="s">
        <v>130</v>
      </c>
      <c r="H8479" s="206" t="s">
        <v>1245</v>
      </c>
      <c r="I8479" s="206"/>
    </row>
    <row r="8480" spans="1:9" s="759" customFormat="1" ht="15" hidden="1" customHeight="1">
      <c r="A8480" s="756">
        <v>45623</v>
      </c>
      <c r="B8480" s="475" t="s">
        <v>6732</v>
      </c>
      <c r="C8480" s="475" t="s">
        <v>3331</v>
      </c>
      <c r="D8480" s="757">
        <v>-26800</v>
      </c>
      <c r="E8480" s="758">
        <v>45597</v>
      </c>
      <c r="F8480" s="475" t="s">
        <v>130</v>
      </c>
      <c r="G8480" s="475" t="s">
        <v>130</v>
      </c>
      <c r="H8480" s="475" t="s">
        <v>2444</v>
      </c>
      <c r="I8480" s="475"/>
    </row>
    <row r="8481" spans="1:9" ht="15" hidden="1" customHeight="1">
      <c r="A8481" s="205">
        <v>45621</v>
      </c>
      <c r="B8481" s="208" t="s">
        <v>6733</v>
      </c>
      <c r="C8481" s="206" t="s">
        <v>269</v>
      </c>
      <c r="D8481" s="211">
        <v>-8600</v>
      </c>
      <c r="E8481" s="207">
        <v>45597</v>
      </c>
      <c r="F8481" s="206" t="s">
        <v>130</v>
      </c>
      <c r="G8481" s="206" t="s">
        <v>130</v>
      </c>
      <c r="H8481" s="206" t="s">
        <v>2444</v>
      </c>
      <c r="I8481" s="206"/>
    </row>
    <row r="8482" spans="1:9" ht="15" hidden="1" customHeight="1">
      <c r="A8482" s="205">
        <v>45622</v>
      </c>
      <c r="B8482" s="208" t="s">
        <v>6734</v>
      </c>
      <c r="C8482" s="206" t="s">
        <v>269</v>
      </c>
      <c r="D8482" s="211">
        <v>-279160</v>
      </c>
      <c r="E8482" s="207">
        <v>45597</v>
      </c>
      <c r="F8482" s="206" t="s">
        <v>109</v>
      </c>
      <c r="G8482" s="208" t="s">
        <v>4225</v>
      </c>
      <c r="H8482" s="206" t="s">
        <v>416</v>
      </c>
      <c r="I8482" s="206"/>
    </row>
    <row r="8483" spans="1:9" ht="15" hidden="1" customHeight="1">
      <c r="A8483" s="205">
        <v>45622</v>
      </c>
      <c r="B8483" s="208" t="s">
        <v>6735</v>
      </c>
      <c r="C8483" s="206" t="s">
        <v>269</v>
      </c>
      <c r="D8483" s="211">
        <v>-13500</v>
      </c>
      <c r="E8483" s="207">
        <v>45597</v>
      </c>
      <c r="F8483" s="206" t="s">
        <v>109</v>
      </c>
      <c r="G8483" s="206" t="s">
        <v>4986</v>
      </c>
      <c r="H8483" s="206" t="s">
        <v>138</v>
      </c>
      <c r="I8483" s="206"/>
    </row>
    <row r="8484" spans="1:9" ht="15" hidden="1" customHeight="1">
      <c r="A8484" s="205">
        <v>45621</v>
      </c>
      <c r="B8484" s="208" t="s">
        <v>6736</v>
      </c>
      <c r="C8484" s="206" t="s">
        <v>269</v>
      </c>
      <c r="D8484" s="731">
        <v>-10000</v>
      </c>
      <c r="E8484" s="207">
        <v>45597</v>
      </c>
      <c r="F8484" s="206" t="s">
        <v>109</v>
      </c>
      <c r="G8484" s="206" t="s">
        <v>4986</v>
      </c>
      <c r="H8484" s="206" t="s">
        <v>138</v>
      </c>
      <c r="I8484" s="206"/>
    </row>
    <row r="8485" spans="1:9" ht="15" hidden="1" customHeight="1">
      <c r="A8485" s="205">
        <v>45621</v>
      </c>
      <c r="B8485" s="208" t="s">
        <v>6737</v>
      </c>
      <c r="C8485" s="206" t="s">
        <v>269</v>
      </c>
      <c r="D8485" s="731">
        <v>-10000</v>
      </c>
      <c r="E8485" s="207">
        <v>45597</v>
      </c>
      <c r="F8485" s="206" t="s">
        <v>110</v>
      </c>
      <c r="G8485" s="206" t="s">
        <v>5469</v>
      </c>
      <c r="H8485" s="81" t="s">
        <v>138</v>
      </c>
      <c r="I8485" s="206"/>
    </row>
    <row r="8486" spans="1:9" ht="15" hidden="1" customHeight="1">
      <c r="A8486" s="205">
        <v>45621</v>
      </c>
      <c r="B8486" s="208" t="s">
        <v>6738</v>
      </c>
      <c r="C8486" s="206" t="s">
        <v>269</v>
      </c>
      <c r="D8486" s="763">
        <f>-134000-40000</f>
        <v>-174000</v>
      </c>
      <c r="E8486" s="207">
        <v>45597</v>
      </c>
      <c r="F8486" s="206" t="s">
        <v>109</v>
      </c>
      <c r="G8486" s="206" t="s">
        <v>4986</v>
      </c>
      <c r="H8486" s="206" t="s">
        <v>138</v>
      </c>
      <c r="I8486" s="206"/>
    </row>
    <row r="8487" spans="1:9" ht="15" hidden="1" customHeight="1">
      <c r="A8487" s="205">
        <v>45621</v>
      </c>
      <c r="B8487" s="208" t="s">
        <v>6738</v>
      </c>
      <c r="C8487" s="206" t="s">
        <v>269</v>
      </c>
      <c r="D8487" s="718">
        <v>-388720</v>
      </c>
      <c r="E8487" s="207">
        <v>45597</v>
      </c>
      <c r="F8487" s="206" t="s">
        <v>109</v>
      </c>
      <c r="G8487" s="601" t="s">
        <v>581</v>
      </c>
      <c r="H8487" s="206" t="s">
        <v>138</v>
      </c>
      <c r="I8487" s="206"/>
    </row>
    <row r="8488" spans="1:9" ht="15" hidden="1" customHeight="1">
      <c r="A8488" s="205">
        <v>45621</v>
      </c>
      <c r="B8488" s="208" t="s">
        <v>6738</v>
      </c>
      <c r="C8488" s="206" t="s">
        <v>269</v>
      </c>
      <c r="D8488" s="763">
        <f>-22000-47000</f>
        <v>-69000</v>
      </c>
      <c r="E8488" s="207">
        <v>45597</v>
      </c>
      <c r="F8488" s="206" t="s">
        <v>109</v>
      </c>
      <c r="G8488" s="206" t="s">
        <v>4225</v>
      </c>
      <c r="H8488" s="206" t="s">
        <v>138</v>
      </c>
      <c r="I8488" s="206"/>
    </row>
    <row r="8489" spans="1:9" ht="15" hidden="1" customHeight="1">
      <c r="A8489" s="205">
        <v>45621</v>
      </c>
      <c r="B8489" s="208" t="s">
        <v>6738</v>
      </c>
      <c r="C8489" s="206" t="s">
        <v>269</v>
      </c>
      <c r="D8489" s="763">
        <v>-86000</v>
      </c>
      <c r="E8489" s="207">
        <v>45597</v>
      </c>
      <c r="F8489" s="206" t="s">
        <v>110</v>
      </c>
      <c r="G8489" s="206" t="s">
        <v>4990</v>
      </c>
      <c r="H8489" s="206" t="s">
        <v>138</v>
      </c>
      <c r="I8489" s="206"/>
    </row>
    <row r="8490" spans="1:9" ht="15" hidden="1" customHeight="1">
      <c r="A8490" s="205">
        <v>45621</v>
      </c>
      <c r="B8490" s="208" t="s">
        <v>6738</v>
      </c>
      <c r="C8490" s="206" t="s">
        <v>269</v>
      </c>
      <c r="D8490" s="763">
        <v>-55000</v>
      </c>
      <c r="E8490" s="207">
        <v>45597</v>
      </c>
      <c r="F8490" s="206" t="s">
        <v>207</v>
      </c>
      <c r="G8490" s="206" t="s">
        <v>207</v>
      </c>
      <c r="H8490" s="206" t="s">
        <v>138</v>
      </c>
      <c r="I8490" s="206"/>
    </row>
    <row r="8491" spans="1:9" ht="15" hidden="1" customHeight="1">
      <c r="A8491" s="205">
        <v>45621</v>
      </c>
      <c r="B8491" s="208" t="s">
        <v>6738</v>
      </c>
      <c r="C8491" s="206" t="s">
        <v>269</v>
      </c>
      <c r="D8491" s="763">
        <v>-34000</v>
      </c>
      <c r="E8491" s="207">
        <v>45597</v>
      </c>
      <c r="F8491" s="206" t="s">
        <v>110</v>
      </c>
      <c r="G8491" s="206" t="s">
        <v>5469</v>
      </c>
      <c r="H8491" s="81" t="s">
        <v>138</v>
      </c>
      <c r="I8491" s="206"/>
    </row>
    <row r="8492" spans="1:9" ht="15" hidden="1" customHeight="1">
      <c r="A8492" s="205">
        <v>45621</v>
      </c>
      <c r="B8492" s="208" t="s">
        <v>6738</v>
      </c>
      <c r="C8492" s="206" t="s">
        <v>269</v>
      </c>
      <c r="D8492" s="763">
        <v>-14000</v>
      </c>
      <c r="E8492" s="207">
        <v>45597</v>
      </c>
      <c r="F8492" s="206" t="s">
        <v>110</v>
      </c>
      <c r="G8492" s="206" t="s">
        <v>4294</v>
      </c>
      <c r="H8492" s="206" t="s">
        <v>138</v>
      </c>
      <c r="I8492" s="206"/>
    </row>
    <row r="8493" spans="1:9" ht="15" hidden="1" customHeight="1">
      <c r="A8493" s="205">
        <v>45621</v>
      </c>
      <c r="B8493" s="208" t="s">
        <v>6738</v>
      </c>
      <c r="C8493" s="206" t="s">
        <v>269</v>
      </c>
      <c r="D8493" s="763">
        <v>-7000</v>
      </c>
      <c r="E8493" s="207">
        <v>45597</v>
      </c>
      <c r="F8493" s="206" t="s">
        <v>207</v>
      </c>
      <c r="G8493" s="201" t="s">
        <v>777</v>
      </c>
      <c r="H8493" s="206" t="s">
        <v>138</v>
      </c>
      <c r="I8493" s="206"/>
    </row>
    <row r="8494" spans="1:9" ht="15" hidden="1" customHeight="1">
      <c r="A8494" s="205">
        <v>45621</v>
      </c>
      <c r="B8494" s="208" t="s">
        <v>6738</v>
      </c>
      <c r="C8494" s="206" t="s">
        <v>269</v>
      </c>
      <c r="D8494" s="763">
        <v>-15000</v>
      </c>
      <c r="E8494" s="207">
        <v>45597</v>
      </c>
      <c r="F8494" s="206" t="s">
        <v>130</v>
      </c>
      <c r="G8494" s="206" t="s">
        <v>130</v>
      </c>
      <c r="H8494" s="206" t="s">
        <v>138</v>
      </c>
      <c r="I8494" s="206"/>
    </row>
    <row r="8495" spans="1:9" ht="15" hidden="1" customHeight="1">
      <c r="A8495" s="205">
        <v>45621</v>
      </c>
      <c r="B8495" s="208" t="s">
        <v>6739</v>
      </c>
      <c r="C8495" s="206" t="s">
        <v>4314</v>
      </c>
      <c r="D8495" s="781">
        <v>-4600</v>
      </c>
      <c r="E8495" s="207">
        <v>45597</v>
      </c>
      <c r="F8495" s="206" t="s">
        <v>109</v>
      </c>
      <c r="G8495" s="601" t="s">
        <v>581</v>
      </c>
      <c r="I8495" s="206"/>
    </row>
    <row r="8496" spans="1:9" ht="15" hidden="1" customHeight="1">
      <c r="A8496" s="205">
        <v>45621</v>
      </c>
      <c r="B8496" s="208" t="s">
        <v>6740</v>
      </c>
      <c r="C8496" s="206" t="s">
        <v>4314</v>
      </c>
      <c r="D8496" s="781">
        <v>-7680</v>
      </c>
      <c r="E8496" s="207">
        <v>45597</v>
      </c>
      <c r="F8496" s="206" t="s">
        <v>109</v>
      </c>
      <c r="G8496" s="601" t="s">
        <v>581</v>
      </c>
      <c r="I8496" s="206"/>
    </row>
    <row r="8497" spans="1:9" ht="15" hidden="1" customHeight="1">
      <c r="A8497" s="205">
        <v>45622</v>
      </c>
      <c r="B8497" s="208" t="s">
        <v>6741</v>
      </c>
      <c r="C8497" s="206" t="s">
        <v>269</v>
      </c>
      <c r="D8497" s="731">
        <v>-14000</v>
      </c>
      <c r="E8497" s="207">
        <v>45597</v>
      </c>
      <c r="F8497" s="206" t="s">
        <v>109</v>
      </c>
      <c r="G8497" s="206" t="s">
        <v>4225</v>
      </c>
      <c r="H8497" s="206" t="s">
        <v>138</v>
      </c>
      <c r="I8497" s="206"/>
    </row>
    <row r="8498" spans="1:9" ht="15" hidden="1" customHeight="1">
      <c r="A8498" s="205">
        <v>45622</v>
      </c>
      <c r="B8498" s="208" t="s">
        <v>6741</v>
      </c>
      <c r="C8498" s="206" t="s">
        <v>269</v>
      </c>
      <c r="D8498" s="731">
        <v>-56000</v>
      </c>
      <c r="E8498" s="207">
        <v>45597</v>
      </c>
      <c r="F8498" s="206" t="s">
        <v>109</v>
      </c>
      <c r="G8498" s="206" t="s">
        <v>4986</v>
      </c>
      <c r="H8498" s="206" t="s">
        <v>138</v>
      </c>
      <c r="I8498" s="206"/>
    </row>
    <row r="8499" spans="1:9" ht="15" hidden="1" customHeight="1">
      <c r="A8499" s="205">
        <v>45622</v>
      </c>
      <c r="B8499" s="208" t="s">
        <v>6741</v>
      </c>
      <c r="C8499" s="206" t="s">
        <v>269</v>
      </c>
      <c r="D8499" s="731">
        <v>-117640</v>
      </c>
      <c r="E8499" s="207">
        <v>45597</v>
      </c>
      <c r="F8499" s="206" t="s">
        <v>130</v>
      </c>
      <c r="G8499" s="206" t="s">
        <v>130</v>
      </c>
      <c r="H8499" s="206" t="s">
        <v>138</v>
      </c>
      <c r="I8499" s="206"/>
    </row>
    <row r="8500" spans="1:9" ht="15" hidden="1" customHeight="1">
      <c r="A8500" s="205">
        <v>45622</v>
      </c>
      <c r="B8500" s="208" t="s">
        <v>6741</v>
      </c>
      <c r="C8500" s="206" t="s">
        <v>269</v>
      </c>
      <c r="D8500" s="731">
        <v>-63000</v>
      </c>
      <c r="E8500" s="207">
        <v>45597</v>
      </c>
      <c r="F8500" s="206" t="s">
        <v>110</v>
      </c>
      <c r="G8500" s="206" t="s">
        <v>5469</v>
      </c>
      <c r="H8500" s="81" t="s">
        <v>138</v>
      </c>
      <c r="I8500" s="206"/>
    </row>
    <row r="8501" spans="1:9" ht="15" hidden="1" customHeight="1">
      <c r="A8501" s="205">
        <v>45622</v>
      </c>
      <c r="B8501" s="208" t="s">
        <v>6741</v>
      </c>
      <c r="C8501" s="206" t="s">
        <v>269</v>
      </c>
      <c r="D8501" s="731">
        <v>-50000</v>
      </c>
      <c r="E8501" s="207">
        <v>45597</v>
      </c>
      <c r="F8501" s="206" t="s">
        <v>110</v>
      </c>
      <c r="G8501" s="206" t="s">
        <v>4990</v>
      </c>
      <c r="H8501" s="206" t="s">
        <v>138</v>
      </c>
      <c r="I8501" s="206"/>
    </row>
    <row r="8502" spans="1:9" ht="15" hidden="1" customHeight="1">
      <c r="A8502" s="205">
        <v>45622</v>
      </c>
      <c r="B8502" s="208" t="s">
        <v>6741</v>
      </c>
      <c r="C8502" s="206" t="s">
        <v>269</v>
      </c>
      <c r="D8502" s="731">
        <v>-91000</v>
      </c>
      <c r="E8502" s="207">
        <v>45597</v>
      </c>
      <c r="F8502" s="206" t="s">
        <v>109</v>
      </c>
      <c r="G8502" s="601" t="s">
        <v>581</v>
      </c>
      <c r="H8502" s="206" t="s">
        <v>138</v>
      </c>
      <c r="I8502" s="206"/>
    </row>
    <row r="8503" spans="1:9" ht="15" hidden="1" customHeight="1">
      <c r="A8503" s="205">
        <v>45622</v>
      </c>
      <c r="B8503" s="208" t="s">
        <v>6742</v>
      </c>
      <c r="C8503" s="206" t="s">
        <v>4314</v>
      </c>
      <c r="D8503" s="781">
        <v>-2380</v>
      </c>
      <c r="E8503" s="207">
        <v>45597</v>
      </c>
      <c r="F8503" s="206" t="s">
        <v>130</v>
      </c>
      <c r="G8503" s="206" t="s">
        <v>130</v>
      </c>
      <c r="H8503" s="206" t="s">
        <v>138</v>
      </c>
      <c r="I8503" s="206"/>
    </row>
    <row r="8504" spans="1:9" ht="15" hidden="1" customHeight="1">
      <c r="A8504" s="205">
        <v>45622</v>
      </c>
      <c r="B8504" s="208" t="s">
        <v>6743</v>
      </c>
      <c r="C8504" s="206" t="s">
        <v>4314</v>
      </c>
      <c r="D8504" s="781">
        <v>-3980</v>
      </c>
      <c r="E8504" s="207">
        <v>45597</v>
      </c>
      <c r="F8504" s="206" t="s">
        <v>130</v>
      </c>
      <c r="G8504" s="206" t="s">
        <v>130</v>
      </c>
      <c r="H8504" s="206" t="s">
        <v>138</v>
      </c>
      <c r="I8504" s="206"/>
    </row>
    <row r="8505" spans="1:9" ht="15" hidden="1" customHeight="1">
      <c r="A8505" s="205">
        <v>45621</v>
      </c>
      <c r="B8505" s="208" t="s">
        <v>6744</v>
      </c>
      <c r="C8505" s="206" t="s">
        <v>269</v>
      </c>
      <c r="D8505" s="760">
        <v>-25000</v>
      </c>
      <c r="E8505" s="207">
        <v>45597</v>
      </c>
      <c r="F8505" s="206" t="s">
        <v>109</v>
      </c>
      <c r="G8505" s="601" t="s">
        <v>581</v>
      </c>
      <c r="H8505" s="206" t="s">
        <v>416</v>
      </c>
      <c r="I8505" s="206" t="s">
        <v>5430</v>
      </c>
    </row>
    <row r="8506" spans="1:9" ht="15" hidden="1" customHeight="1">
      <c r="A8506" s="205">
        <v>45622</v>
      </c>
      <c r="B8506" s="208" t="s">
        <v>6745</v>
      </c>
      <c r="C8506" s="206" t="s">
        <v>269</v>
      </c>
      <c r="D8506" s="760">
        <v>-25000</v>
      </c>
      <c r="E8506" s="207">
        <v>45597</v>
      </c>
      <c r="F8506" s="206" t="s">
        <v>109</v>
      </c>
      <c r="G8506" s="601" t="s">
        <v>581</v>
      </c>
      <c r="H8506" s="206" t="s">
        <v>416</v>
      </c>
      <c r="I8506" s="206" t="s">
        <v>5430</v>
      </c>
    </row>
    <row r="8507" spans="1:9" ht="15" hidden="1" customHeight="1">
      <c r="A8507" s="205">
        <v>45622</v>
      </c>
      <c r="B8507" s="208" t="s">
        <v>6746</v>
      </c>
      <c r="C8507" s="206" t="s">
        <v>269</v>
      </c>
      <c r="D8507" s="760">
        <v>-28000</v>
      </c>
      <c r="E8507" s="207">
        <v>45597</v>
      </c>
      <c r="F8507" s="206" t="s">
        <v>109</v>
      </c>
      <c r="G8507" s="601" t="s">
        <v>581</v>
      </c>
      <c r="H8507" s="206" t="s">
        <v>2941</v>
      </c>
      <c r="I8507" s="206" t="s">
        <v>5430</v>
      </c>
    </row>
    <row r="8508" spans="1:9" ht="15" hidden="1" customHeight="1">
      <c r="A8508" s="205">
        <v>45618</v>
      </c>
      <c r="B8508" s="208" t="s">
        <v>6747</v>
      </c>
      <c r="C8508" s="206" t="s">
        <v>269</v>
      </c>
      <c r="D8508" s="761">
        <v>-5000</v>
      </c>
      <c r="E8508" s="207">
        <v>45597</v>
      </c>
      <c r="F8508" s="206" t="s">
        <v>109</v>
      </c>
      <c r="G8508" s="206" t="s">
        <v>4986</v>
      </c>
      <c r="H8508" s="206" t="s">
        <v>416</v>
      </c>
      <c r="I8508" s="206" t="s">
        <v>5430</v>
      </c>
    </row>
    <row r="8509" spans="1:9" ht="15" hidden="1" customHeight="1">
      <c r="A8509" s="205">
        <v>45618</v>
      </c>
      <c r="B8509" s="208" t="s">
        <v>6748</v>
      </c>
      <c r="C8509" s="206" t="s">
        <v>269</v>
      </c>
      <c r="D8509" s="761">
        <v>-26000</v>
      </c>
      <c r="E8509" s="207">
        <v>45597</v>
      </c>
      <c r="F8509" s="206" t="s">
        <v>109</v>
      </c>
      <c r="G8509" s="206" t="s">
        <v>4986</v>
      </c>
      <c r="H8509" s="206" t="s">
        <v>416</v>
      </c>
      <c r="I8509" s="206" t="s">
        <v>5430</v>
      </c>
    </row>
    <row r="8510" spans="1:9" ht="15" hidden="1" customHeight="1">
      <c r="A8510" s="205">
        <v>45621</v>
      </c>
      <c r="B8510" s="208" t="s">
        <v>6749</v>
      </c>
      <c r="C8510" s="206" t="s">
        <v>269</v>
      </c>
      <c r="D8510" s="761">
        <v>-35999</v>
      </c>
      <c r="E8510" s="207">
        <v>45597</v>
      </c>
      <c r="F8510" s="206" t="s">
        <v>109</v>
      </c>
      <c r="G8510" s="206" t="s">
        <v>4986</v>
      </c>
      <c r="H8510" s="206" t="s">
        <v>1166</v>
      </c>
      <c r="I8510" s="206" t="s">
        <v>5430</v>
      </c>
    </row>
    <row r="8511" spans="1:9" ht="15" hidden="1" customHeight="1">
      <c r="A8511" s="205">
        <v>45621</v>
      </c>
      <c r="B8511" s="208" t="s">
        <v>6275</v>
      </c>
      <c r="C8511" s="206" t="s">
        <v>269</v>
      </c>
      <c r="D8511" s="761">
        <v>-15200</v>
      </c>
      <c r="E8511" s="207">
        <v>45597</v>
      </c>
      <c r="F8511" s="206" t="s">
        <v>130</v>
      </c>
      <c r="G8511" s="206" t="s">
        <v>130</v>
      </c>
      <c r="H8511" s="206" t="s">
        <v>184</v>
      </c>
      <c r="I8511" s="206" t="s">
        <v>5430</v>
      </c>
    </row>
    <row r="8512" spans="1:9" ht="15" hidden="1" customHeight="1">
      <c r="A8512" s="205">
        <v>45621</v>
      </c>
      <c r="B8512" s="208" t="s">
        <v>6275</v>
      </c>
      <c r="C8512" s="206" t="s">
        <v>269</v>
      </c>
      <c r="D8512" s="761">
        <v>-15200</v>
      </c>
      <c r="E8512" s="207">
        <v>45597</v>
      </c>
      <c r="F8512" s="206" t="s">
        <v>110</v>
      </c>
      <c r="G8512" s="206" t="s">
        <v>5469</v>
      </c>
      <c r="H8512" s="206" t="s">
        <v>147</v>
      </c>
      <c r="I8512" s="206" t="s">
        <v>5430</v>
      </c>
    </row>
    <row r="8513" spans="1:9" ht="15" hidden="1" customHeight="1">
      <c r="A8513" s="205">
        <v>45621</v>
      </c>
      <c r="B8513" s="208" t="s">
        <v>6750</v>
      </c>
      <c r="C8513" s="206" t="s">
        <v>269</v>
      </c>
      <c r="D8513" s="761">
        <v>-66752</v>
      </c>
      <c r="E8513" s="207">
        <v>45597</v>
      </c>
      <c r="F8513" s="206" t="s">
        <v>109</v>
      </c>
      <c r="G8513" s="206" t="s">
        <v>4225</v>
      </c>
      <c r="H8513" s="206" t="s">
        <v>2941</v>
      </c>
      <c r="I8513" s="206" t="s">
        <v>5430</v>
      </c>
    </row>
    <row r="8514" spans="1:9" ht="15" hidden="1" customHeight="1">
      <c r="A8514" s="205">
        <v>45622</v>
      </c>
      <c r="B8514" s="208" t="s">
        <v>6751</v>
      </c>
      <c r="C8514" s="206" t="s">
        <v>269</v>
      </c>
      <c r="D8514" s="761">
        <v>-15000</v>
      </c>
      <c r="E8514" s="207">
        <v>45597</v>
      </c>
      <c r="F8514" s="206" t="s">
        <v>130</v>
      </c>
      <c r="G8514" s="206" t="s">
        <v>130</v>
      </c>
      <c r="H8514" s="206" t="s">
        <v>184</v>
      </c>
      <c r="I8514" s="206" t="s">
        <v>5430</v>
      </c>
    </row>
    <row r="8515" spans="1:9" ht="15" hidden="1" customHeight="1">
      <c r="A8515" s="205">
        <v>45622</v>
      </c>
      <c r="B8515" s="208" t="s">
        <v>6752</v>
      </c>
      <c r="C8515" s="206" t="s">
        <v>269</v>
      </c>
      <c r="D8515" s="761">
        <v>-30000</v>
      </c>
      <c r="E8515" s="207">
        <v>45597</v>
      </c>
      <c r="F8515" s="206" t="s">
        <v>130</v>
      </c>
      <c r="G8515" s="206" t="s">
        <v>130</v>
      </c>
      <c r="H8515" s="206" t="s">
        <v>138</v>
      </c>
      <c r="I8515" s="206" t="s">
        <v>5430</v>
      </c>
    </row>
    <row r="8516" spans="1:9" ht="15" hidden="1" customHeight="1">
      <c r="A8516" s="205">
        <v>45622</v>
      </c>
      <c r="B8516" s="208" t="s">
        <v>6753</v>
      </c>
      <c r="C8516" s="206" t="s">
        <v>269</v>
      </c>
      <c r="D8516" s="761">
        <v>-104600</v>
      </c>
      <c r="E8516" s="207">
        <v>45597</v>
      </c>
      <c r="F8516" s="206" t="s">
        <v>110</v>
      </c>
      <c r="G8516" s="206" t="s">
        <v>130</v>
      </c>
      <c r="H8516" s="206" t="s">
        <v>2444</v>
      </c>
      <c r="I8516" s="206" t="s">
        <v>5430</v>
      </c>
    </row>
    <row r="8517" spans="1:9" ht="15" hidden="1" customHeight="1">
      <c r="A8517" s="205">
        <v>45622</v>
      </c>
      <c r="B8517" s="208" t="s">
        <v>6754</v>
      </c>
      <c r="C8517" s="206" t="s">
        <v>269</v>
      </c>
      <c r="D8517" s="761">
        <v>-38011</v>
      </c>
      <c r="E8517" s="207">
        <v>45597</v>
      </c>
      <c r="F8517" s="206" t="s">
        <v>110</v>
      </c>
      <c r="G8517" s="206" t="s">
        <v>5469</v>
      </c>
      <c r="H8517" s="81" t="s">
        <v>138</v>
      </c>
      <c r="I8517" s="206" t="s">
        <v>5430</v>
      </c>
    </row>
    <row r="8518" spans="1:9" ht="15" hidden="1" customHeight="1">
      <c r="A8518" s="205">
        <v>45622</v>
      </c>
      <c r="B8518" s="208" t="s">
        <v>6755</v>
      </c>
      <c r="C8518" s="206" t="s">
        <v>269</v>
      </c>
      <c r="D8518" s="761">
        <v>-77000</v>
      </c>
      <c r="E8518" s="207">
        <v>45597</v>
      </c>
      <c r="F8518" s="206" t="s">
        <v>109</v>
      </c>
      <c r="G8518" s="206" t="s">
        <v>4225</v>
      </c>
      <c r="H8518" s="206" t="s">
        <v>2941</v>
      </c>
      <c r="I8518" s="206" t="s">
        <v>5430</v>
      </c>
    </row>
    <row r="8519" spans="1:9" ht="15" hidden="1" customHeight="1">
      <c r="A8519" s="205">
        <v>45622</v>
      </c>
      <c r="B8519" s="208" t="s">
        <v>6756</v>
      </c>
      <c r="C8519" s="206" t="s">
        <v>269</v>
      </c>
      <c r="D8519" s="761">
        <v>-57000</v>
      </c>
      <c r="E8519" s="207">
        <v>45597</v>
      </c>
      <c r="F8519" s="206" t="s">
        <v>130</v>
      </c>
      <c r="G8519" s="206" t="s">
        <v>130</v>
      </c>
      <c r="H8519" s="206" t="s">
        <v>1148</v>
      </c>
      <c r="I8519" s="206" t="s">
        <v>5430</v>
      </c>
    </row>
    <row r="8520" spans="1:9" ht="15" hidden="1" customHeight="1">
      <c r="A8520" s="205">
        <v>45622</v>
      </c>
      <c r="B8520" s="208" t="s">
        <v>6757</v>
      </c>
      <c r="C8520" s="206" t="s">
        <v>269</v>
      </c>
      <c r="D8520" s="761">
        <v>-13199</v>
      </c>
      <c r="E8520" s="207">
        <v>45597</v>
      </c>
      <c r="F8520" s="206" t="s">
        <v>130</v>
      </c>
      <c r="G8520" s="206" t="s">
        <v>130</v>
      </c>
      <c r="H8520" s="206" t="s">
        <v>184</v>
      </c>
      <c r="I8520" s="206" t="s">
        <v>5430</v>
      </c>
    </row>
    <row r="8521" spans="1:9" ht="15" hidden="1" customHeight="1">
      <c r="A8521" s="205">
        <v>45622</v>
      </c>
      <c r="B8521" s="208" t="s">
        <v>6758</v>
      </c>
      <c r="C8521" s="206" t="s">
        <v>269</v>
      </c>
      <c r="D8521" s="761">
        <v>-26000</v>
      </c>
      <c r="E8521" s="207">
        <v>45597</v>
      </c>
      <c r="F8521" s="206" t="s">
        <v>130</v>
      </c>
      <c r="G8521" s="206" t="s">
        <v>130</v>
      </c>
      <c r="H8521" s="206" t="s">
        <v>184</v>
      </c>
      <c r="I8521" s="206" t="s">
        <v>5430</v>
      </c>
    </row>
    <row r="8522" spans="1:9" ht="15" hidden="1" customHeight="1">
      <c r="A8522" s="205">
        <v>45622</v>
      </c>
      <c r="B8522" s="208" t="s">
        <v>6759</v>
      </c>
      <c r="C8522" s="206" t="s">
        <v>269</v>
      </c>
      <c r="D8522" s="761">
        <v>-176000</v>
      </c>
      <c r="E8522" s="207">
        <v>45597</v>
      </c>
      <c r="F8522" s="206" t="s">
        <v>110</v>
      </c>
      <c r="G8522" s="206" t="s">
        <v>4990</v>
      </c>
      <c r="H8522" s="206" t="s">
        <v>2941</v>
      </c>
      <c r="I8522" s="206" t="s">
        <v>5430</v>
      </c>
    </row>
    <row r="8523" spans="1:9" ht="15" hidden="1" customHeight="1">
      <c r="A8523" s="205">
        <v>45622</v>
      </c>
      <c r="B8523" s="208" t="s">
        <v>6760</v>
      </c>
      <c r="C8523" s="206" t="s">
        <v>269</v>
      </c>
      <c r="D8523" s="761">
        <v>-124000</v>
      </c>
      <c r="E8523" s="207">
        <v>45597</v>
      </c>
      <c r="F8523" s="206" t="s">
        <v>109</v>
      </c>
      <c r="G8523" s="206" t="s">
        <v>4225</v>
      </c>
      <c r="H8523" s="206" t="s">
        <v>2941</v>
      </c>
      <c r="I8523" s="206" t="s">
        <v>5430</v>
      </c>
    </row>
    <row r="8524" spans="1:9" ht="15" hidden="1" customHeight="1">
      <c r="A8524" s="205">
        <v>45622</v>
      </c>
      <c r="B8524" s="208" t="s">
        <v>6761</v>
      </c>
      <c r="C8524" s="206" t="s">
        <v>269</v>
      </c>
      <c r="D8524" s="761">
        <v>-17600</v>
      </c>
      <c r="E8524" s="207">
        <v>45597</v>
      </c>
      <c r="F8524" s="206" t="s">
        <v>109</v>
      </c>
      <c r="G8524" s="206" t="s">
        <v>4225</v>
      </c>
      <c r="H8524" s="206" t="s">
        <v>2941</v>
      </c>
      <c r="I8524" s="206" t="s">
        <v>5430</v>
      </c>
    </row>
    <row r="8525" spans="1:9" ht="15" hidden="1" customHeight="1">
      <c r="A8525" s="205">
        <v>45616</v>
      </c>
      <c r="B8525" s="208" t="s">
        <v>6762</v>
      </c>
      <c r="C8525" s="206" t="s">
        <v>269</v>
      </c>
      <c r="D8525" s="757">
        <v>-150000</v>
      </c>
      <c r="E8525" s="207">
        <v>45597</v>
      </c>
      <c r="F8525" s="206" t="s">
        <v>109</v>
      </c>
      <c r="G8525" s="206" t="s">
        <v>5990</v>
      </c>
      <c r="H8525" s="206" t="s">
        <v>6763</v>
      </c>
      <c r="I8525" s="206" t="s">
        <v>6764</v>
      </c>
    </row>
    <row r="8526" spans="1:9" ht="15" hidden="1" customHeight="1">
      <c r="A8526" s="205">
        <v>45616</v>
      </c>
      <c r="B8526" s="208" t="s">
        <v>6765</v>
      </c>
      <c r="C8526" s="206" t="s">
        <v>269</v>
      </c>
      <c r="D8526" s="757">
        <v>-14000</v>
      </c>
      <c r="E8526" s="207">
        <v>45597</v>
      </c>
      <c r="F8526" s="206" t="s">
        <v>109</v>
      </c>
      <c r="G8526" s="206" t="s">
        <v>5990</v>
      </c>
      <c r="H8526" s="206" t="s">
        <v>6266</v>
      </c>
      <c r="I8526" s="206" t="s">
        <v>6764</v>
      </c>
    </row>
    <row r="8527" spans="1:9" ht="15" hidden="1" customHeight="1">
      <c r="A8527" s="205">
        <v>45616</v>
      </c>
      <c r="B8527" s="208" t="s">
        <v>6766</v>
      </c>
      <c r="C8527" s="206" t="s">
        <v>269</v>
      </c>
      <c r="D8527" s="757">
        <v>-10000</v>
      </c>
      <c r="E8527" s="207">
        <v>45597</v>
      </c>
      <c r="F8527" s="206" t="s">
        <v>109</v>
      </c>
      <c r="G8527" s="206" t="s">
        <v>5990</v>
      </c>
      <c r="H8527" s="206" t="s">
        <v>6266</v>
      </c>
      <c r="I8527" s="206" t="s">
        <v>6764</v>
      </c>
    </row>
    <row r="8528" spans="1:9" ht="15" hidden="1" customHeight="1">
      <c r="A8528" s="205">
        <v>45618</v>
      </c>
      <c r="B8528" s="208" t="s">
        <v>6767</v>
      </c>
      <c r="C8528" s="206" t="s">
        <v>269</v>
      </c>
      <c r="D8528" s="757">
        <v>-20000</v>
      </c>
      <c r="E8528" s="207">
        <v>45597</v>
      </c>
      <c r="F8528" s="206" t="s">
        <v>109</v>
      </c>
      <c r="G8528" s="206" t="s">
        <v>5990</v>
      </c>
      <c r="H8528" s="206" t="s">
        <v>6266</v>
      </c>
      <c r="I8528" s="206" t="s">
        <v>6764</v>
      </c>
    </row>
    <row r="8529" spans="1:9" ht="15" hidden="1" customHeight="1">
      <c r="A8529" s="205">
        <v>45616</v>
      </c>
      <c r="B8529" s="208" t="s">
        <v>6768</v>
      </c>
      <c r="C8529" s="206" t="s">
        <v>269</v>
      </c>
      <c r="D8529" s="731">
        <v>-40000</v>
      </c>
      <c r="E8529" s="207">
        <v>45597</v>
      </c>
      <c r="F8529" s="206" t="s">
        <v>109</v>
      </c>
      <c r="G8529" s="206" t="s">
        <v>4225</v>
      </c>
      <c r="H8529" s="206" t="s">
        <v>416</v>
      </c>
      <c r="I8529" s="206" t="s">
        <v>5430</v>
      </c>
    </row>
    <row r="8530" spans="1:9" ht="15" hidden="1" customHeight="1">
      <c r="A8530" s="205">
        <v>45616</v>
      </c>
      <c r="B8530" s="208" t="s">
        <v>6769</v>
      </c>
      <c r="C8530" s="206" t="s">
        <v>269</v>
      </c>
      <c r="D8530" s="731">
        <v>-6000</v>
      </c>
      <c r="E8530" s="207">
        <v>45597</v>
      </c>
      <c r="F8530" s="206" t="s">
        <v>110</v>
      </c>
      <c r="G8530" s="206" t="s">
        <v>4990</v>
      </c>
      <c r="H8530" s="206" t="s">
        <v>138</v>
      </c>
      <c r="I8530" s="206" t="s">
        <v>5430</v>
      </c>
    </row>
    <row r="8531" spans="1:9" ht="15" hidden="1" customHeight="1">
      <c r="A8531" s="205">
        <v>45616</v>
      </c>
      <c r="B8531" s="208" t="s">
        <v>6770</v>
      </c>
      <c r="C8531" s="206" t="s">
        <v>269</v>
      </c>
      <c r="D8531" s="731">
        <v>-25000</v>
      </c>
      <c r="E8531" s="207">
        <v>45597</v>
      </c>
      <c r="F8531" s="206" t="s">
        <v>130</v>
      </c>
      <c r="G8531" s="206" t="s">
        <v>130</v>
      </c>
      <c r="H8531" s="206" t="s">
        <v>2724</v>
      </c>
      <c r="I8531" s="206" t="s">
        <v>5430</v>
      </c>
    </row>
    <row r="8532" spans="1:9" ht="15" hidden="1" customHeight="1">
      <c r="A8532" s="205">
        <v>45616</v>
      </c>
      <c r="B8532" s="208" t="s">
        <v>6771</v>
      </c>
      <c r="C8532" s="206" t="s">
        <v>269</v>
      </c>
      <c r="D8532" s="731">
        <v>-7200</v>
      </c>
      <c r="E8532" s="207">
        <v>45597</v>
      </c>
      <c r="F8532" s="206" t="s">
        <v>110</v>
      </c>
      <c r="G8532" s="206" t="s">
        <v>5469</v>
      </c>
      <c r="H8532" s="206" t="s">
        <v>2941</v>
      </c>
      <c r="I8532" s="206" t="s">
        <v>5430</v>
      </c>
    </row>
    <row r="8533" spans="1:9" ht="15" hidden="1" customHeight="1">
      <c r="A8533" s="205">
        <v>45616</v>
      </c>
      <c r="B8533" s="208" t="s">
        <v>6772</v>
      </c>
      <c r="C8533" s="206" t="s">
        <v>269</v>
      </c>
      <c r="D8533" s="731">
        <v>-3000</v>
      </c>
      <c r="E8533" s="207">
        <v>45597</v>
      </c>
      <c r="F8533" s="206" t="s">
        <v>110</v>
      </c>
      <c r="G8533" s="206" t="s">
        <v>5469</v>
      </c>
      <c r="H8533" s="206" t="s">
        <v>2941</v>
      </c>
      <c r="I8533" s="206" t="s">
        <v>5430</v>
      </c>
    </row>
    <row r="8534" spans="1:9" ht="15" hidden="1" customHeight="1">
      <c r="A8534" s="205">
        <v>45616</v>
      </c>
      <c r="B8534" s="208" t="s">
        <v>6773</v>
      </c>
      <c r="C8534" s="206" t="s">
        <v>269</v>
      </c>
      <c r="D8534" s="731">
        <v>-139600</v>
      </c>
      <c r="E8534" s="207">
        <v>45597</v>
      </c>
      <c r="F8534" s="206" t="s">
        <v>130</v>
      </c>
      <c r="G8534" s="206" t="s">
        <v>130</v>
      </c>
      <c r="H8534" s="206" t="s">
        <v>2724</v>
      </c>
      <c r="I8534" s="206" t="s">
        <v>5430</v>
      </c>
    </row>
    <row r="8535" spans="1:9" ht="15" hidden="1" customHeight="1">
      <c r="A8535" s="205">
        <v>45617</v>
      </c>
      <c r="B8535" s="208" t="s">
        <v>6774</v>
      </c>
      <c r="C8535" s="206" t="s">
        <v>269</v>
      </c>
      <c r="D8535" s="731">
        <v>-20000</v>
      </c>
      <c r="E8535" s="207">
        <v>45597</v>
      </c>
      <c r="F8535" s="206" t="s">
        <v>109</v>
      </c>
      <c r="G8535" s="206" t="s">
        <v>4225</v>
      </c>
      <c r="H8535" s="206" t="s">
        <v>138</v>
      </c>
      <c r="I8535" s="206" t="s">
        <v>5430</v>
      </c>
    </row>
    <row r="8536" spans="1:9" ht="15" hidden="1" customHeight="1">
      <c r="A8536" s="205">
        <v>45617</v>
      </c>
      <c r="B8536" s="208" t="s">
        <v>6775</v>
      </c>
      <c r="C8536" s="206" t="s">
        <v>269</v>
      </c>
      <c r="D8536" s="731">
        <v>-6500</v>
      </c>
      <c r="E8536" s="207">
        <v>45597</v>
      </c>
      <c r="F8536" s="206" t="s">
        <v>109</v>
      </c>
      <c r="G8536" s="206" t="s">
        <v>4986</v>
      </c>
      <c r="H8536" s="206" t="s">
        <v>138</v>
      </c>
      <c r="I8536" s="206" t="s">
        <v>5430</v>
      </c>
    </row>
    <row r="8537" spans="1:9" ht="15" hidden="1" customHeight="1">
      <c r="A8537" s="205">
        <v>45617</v>
      </c>
      <c r="B8537" s="208" t="s">
        <v>4942</v>
      </c>
      <c r="C8537" s="206" t="s">
        <v>269</v>
      </c>
      <c r="D8537" s="731">
        <v>-22886</v>
      </c>
      <c r="E8537" s="207">
        <v>45597</v>
      </c>
      <c r="F8537" s="206" t="s">
        <v>110</v>
      </c>
      <c r="G8537" s="206" t="s">
        <v>5469</v>
      </c>
      <c r="H8537" s="81" t="s">
        <v>138</v>
      </c>
      <c r="I8537" s="206" t="s">
        <v>5430</v>
      </c>
    </row>
    <row r="8538" spans="1:9" ht="15" hidden="1" customHeight="1">
      <c r="A8538" s="205">
        <v>45618</v>
      </c>
      <c r="B8538" s="208" t="s">
        <v>6776</v>
      </c>
      <c r="C8538" s="206" t="s">
        <v>269</v>
      </c>
      <c r="D8538" s="731">
        <v>-34000</v>
      </c>
      <c r="E8538" s="207">
        <v>45597</v>
      </c>
      <c r="F8538" s="206" t="s">
        <v>110</v>
      </c>
      <c r="G8538" s="206" t="s">
        <v>5469</v>
      </c>
      <c r="H8538" s="206" t="s">
        <v>2941</v>
      </c>
      <c r="I8538" s="206" t="s">
        <v>5430</v>
      </c>
    </row>
    <row r="8539" spans="1:9" ht="15" hidden="1" customHeight="1">
      <c r="A8539" s="205">
        <v>45618</v>
      </c>
      <c r="B8539" s="208" t="s">
        <v>6777</v>
      </c>
      <c r="C8539" s="206" t="s">
        <v>269</v>
      </c>
      <c r="D8539" s="731">
        <v>-24800</v>
      </c>
      <c r="E8539" s="207">
        <v>45597</v>
      </c>
      <c r="F8539" s="206" t="s">
        <v>109</v>
      </c>
      <c r="G8539" s="206" t="s">
        <v>4986</v>
      </c>
      <c r="H8539" s="206" t="s">
        <v>138</v>
      </c>
      <c r="I8539" s="206" t="s">
        <v>5430</v>
      </c>
    </row>
    <row r="8540" spans="1:9" ht="15" hidden="1" customHeight="1">
      <c r="A8540" s="205">
        <v>45618</v>
      </c>
      <c r="B8540" s="208" t="s">
        <v>6778</v>
      </c>
      <c r="C8540" s="206" t="s">
        <v>269</v>
      </c>
      <c r="D8540" s="731">
        <v>-110500</v>
      </c>
      <c r="E8540" s="207">
        <v>45597</v>
      </c>
      <c r="F8540" s="206" t="s">
        <v>109</v>
      </c>
      <c r="G8540" s="206" t="s">
        <v>4986</v>
      </c>
      <c r="H8540" s="206" t="s">
        <v>2941</v>
      </c>
      <c r="I8540" s="206" t="s">
        <v>5430</v>
      </c>
    </row>
    <row r="8541" spans="1:9" ht="15" hidden="1" customHeight="1">
      <c r="A8541" s="205">
        <v>45618</v>
      </c>
      <c r="B8541" s="208" t="s">
        <v>6779</v>
      </c>
      <c r="C8541" s="206" t="s">
        <v>269</v>
      </c>
      <c r="D8541" s="731">
        <v>-19000</v>
      </c>
      <c r="E8541" s="207">
        <v>45597</v>
      </c>
      <c r="F8541" s="206" t="s">
        <v>110</v>
      </c>
      <c r="G8541" s="206" t="s">
        <v>5469</v>
      </c>
      <c r="H8541" s="206" t="s">
        <v>2941</v>
      </c>
      <c r="I8541" s="206" t="s">
        <v>5430</v>
      </c>
    </row>
    <row r="8542" spans="1:9" ht="15" hidden="1" customHeight="1">
      <c r="A8542" s="205">
        <v>45618</v>
      </c>
      <c r="B8542" s="208" t="s">
        <v>6780</v>
      </c>
      <c r="C8542" s="206" t="s">
        <v>269</v>
      </c>
      <c r="D8542" s="731">
        <v>-7000</v>
      </c>
      <c r="E8542" s="207">
        <v>45597</v>
      </c>
      <c r="F8542" s="206" t="s">
        <v>110</v>
      </c>
      <c r="G8542" s="206" t="s">
        <v>5469</v>
      </c>
      <c r="H8542" s="206" t="s">
        <v>2941</v>
      </c>
      <c r="I8542" s="206" t="s">
        <v>5430</v>
      </c>
    </row>
    <row r="8543" spans="1:9" ht="15" hidden="1" customHeight="1">
      <c r="A8543" s="205">
        <v>45618</v>
      </c>
      <c r="B8543" s="208" t="s">
        <v>6781</v>
      </c>
      <c r="C8543" s="206" t="s">
        <v>269</v>
      </c>
      <c r="D8543" s="731">
        <v>-4500</v>
      </c>
      <c r="E8543" s="207">
        <v>45597</v>
      </c>
      <c r="F8543" s="206" t="s">
        <v>110</v>
      </c>
      <c r="G8543" s="206" t="s">
        <v>5469</v>
      </c>
      <c r="H8543" s="206" t="s">
        <v>2941</v>
      </c>
      <c r="I8543" s="206" t="s">
        <v>5430</v>
      </c>
    </row>
    <row r="8544" spans="1:9" ht="15" hidden="1" customHeight="1">
      <c r="A8544" s="205">
        <v>45618</v>
      </c>
      <c r="B8544" s="208" t="s">
        <v>6782</v>
      </c>
      <c r="C8544" s="206" t="s">
        <v>269</v>
      </c>
      <c r="D8544" s="731">
        <v>-13700</v>
      </c>
      <c r="E8544" s="207">
        <v>45597</v>
      </c>
      <c r="F8544" s="206" t="s">
        <v>110</v>
      </c>
      <c r="G8544" s="206" t="s">
        <v>5503</v>
      </c>
      <c r="H8544" s="206" t="s">
        <v>416</v>
      </c>
      <c r="I8544" s="206" t="s">
        <v>5430</v>
      </c>
    </row>
    <row r="8545" spans="1:9" ht="15" hidden="1" customHeight="1">
      <c r="A8545" s="205">
        <v>45583</v>
      </c>
      <c r="B8545" s="208" t="s">
        <v>6783</v>
      </c>
      <c r="C8545" s="206" t="s">
        <v>269</v>
      </c>
      <c r="D8545" s="763">
        <v>-15931.72</v>
      </c>
      <c r="E8545" s="207">
        <v>45597</v>
      </c>
      <c r="F8545" s="206" t="s">
        <v>130</v>
      </c>
      <c r="G8545" s="206" t="s">
        <v>130</v>
      </c>
      <c r="H8545" s="206" t="s">
        <v>184</v>
      </c>
      <c r="I8545" s="206" t="s">
        <v>5430</v>
      </c>
    </row>
    <row r="8546" spans="1:9" ht="15" hidden="1" customHeight="1">
      <c r="A8546" s="205">
        <v>45618</v>
      </c>
      <c r="B8546" s="208" t="s">
        <v>6784</v>
      </c>
      <c r="C8546" s="206" t="s">
        <v>269</v>
      </c>
      <c r="D8546" s="763">
        <v>-51800</v>
      </c>
      <c r="E8546" s="207">
        <v>45597</v>
      </c>
      <c r="F8546" s="206" t="s">
        <v>130</v>
      </c>
      <c r="G8546" s="206" t="s">
        <v>130</v>
      </c>
      <c r="H8546" s="206" t="s">
        <v>184</v>
      </c>
      <c r="I8546" s="206" t="s">
        <v>5430</v>
      </c>
    </row>
    <row r="8547" spans="1:9" ht="15" hidden="1" customHeight="1">
      <c r="A8547" s="205">
        <v>45617</v>
      </c>
      <c r="B8547" s="208" t="s">
        <v>6785</v>
      </c>
      <c r="C8547" s="206" t="s">
        <v>269</v>
      </c>
      <c r="D8547" s="762">
        <v>-5000</v>
      </c>
      <c r="E8547" s="207">
        <v>45597</v>
      </c>
      <c r="F8547" s="206" t="s">
        <v>109</v>
      </c>
      <c r="G8547" s="601" t="s">
        <v>581</v>
      </c>
      <c r="H8547" s="206" t="s">
        <v>416</v>
      </c>
      <c r="I8547" s="206" t="s">
        <v>5430</v>
      </c>
    </row>
    <row r="8548" spans="1:9" ht="15" hidden="1" customHeight="1">
      <c r="A8548" s="205">
        <v>45617</v>
      </c>
      <c r="B8548" s="208" t="s">
        <v>6786</v>
      </c>
      <c r="C8548" s="206" t="s">
        <v>269</v>
      </c>
      <c r="D8548" s="762">
        <v>-41200</v>
      </c>
      <c r="E8548" s="207">
        <v>45597</v>
      </c>
      <c r="F8548" s="206" t="s">
        <v>109</v>
      </c>
      <c r="G8548" s="601" t="s">
        <v>581</v>
      </c>
      <c r="H8548" s="206" t="s">
        <v>2941</v>
      </c>
      <c r="I8548" s="206" t="s">
        <v>5430</v>
      </c>
    </row>
    <row r="8549" spans="1:9" ht="15" hidden="1" customHeight="1">
      <c r="A8549" s="205">
        <v>45617</v>
      </c>
      <c r="B8549" s="208" t="s">
        <v>6787</v>
      </c>
      <c r="C8549" s="206" t="s">
        <v>269</v>
      </c>
      <c r="D8549" s="762">
        <v>-60000</v>
      </c>
      <c r="E8549" s="207">
        <v>45597</v>
      </c>
      <c r="F8549" s="206" t="s">
        <v>109</v>
      </c>
      <c r="G8549" s="601" t="s">
        <v>581</v>
      </c>
      <c r="H8549" s="206" t="s">
        <v>2941</v>
      </c>
      <c r="I8549" s="206" t="s">
        <v>5430</v>
      </c>
    </row>
    <row r="8550" spans="1:9" ht="15" hidden="1" customHeight="1">
      <c r="A8550" s="205">
        <v>45617</v>
      </c>
      <c r="B8550" s="208" t="s">
        <v>6788</v>
      </c>
      <c r="C8550" s="206" t="s">
        <v>269</v>
      </c>
      <c r="D8550" s="762">
        <v>-34500</v>
      </c>
      <c r="E8550" s="207">
        <v>45597</v>
      </c>
      <c r="F8550" s="206" t="s">
        <v>109</v>
      </c>
      <c r="G8550" s="601" t="s">
        <v>581</v>
      </c>
      <c r="H8550" s="206" t="s">
        <v>2941</v>
      </c>
      <c r="I8550" s="206" t="s">
        <v>5430</v>
      </c>
    </row>
    <row r="8551" spans="1:9" ht="15" hidden="1" customHeight="1">
      <c r="A8551" s="205">
        <v>45617</v>
      </c>
      <c r="B8551" s="208" t="s">
        <v>6789</v>
      </c>
      <c r="C8551" s="206" t="s">
        <v>269</v>
      </c>
      <c r="D8551" s="762">
        <v>-34800</v>
      </c>
      <c r="E8551" s="207">
        <v>45597</v>
      </c>
      <c r="F8551" s="206" t="s">
        <v>109</v>
      </c>
      <c r="G8551" s="601" t="s">
        <v>581</v>
      </c>
      <c r="H8551" s="206" t="s">
        <v>416</v>
      </c>
      <c r="I8551" s="206" t="s">
        <v>5430</v>
      </c>
    </row>
    <row r="8552" spans="1:9" ht="15" hidden="1" customHeight="1">
      <c r="A8552" s="205">
        <v>45618</v>
      </c>
      <c r="B8552" s="208" t="s">
        <v>6785</v>
      </c>
      <c r="C8552" s="206" t="s">
        <v>269</v>
      </c>
      <c r="D8552" s="762">
        <v>-20000</v>
      </c>
      <c r="E8552" s="207">
        <v>45597</v>
      </c>
      <c r="F8552" s="206" t="s">
        <v>109</v>
      </c>
      <c r="G8552" s="601" t="s">
        <v>581</v>
      </c>
      <c r="H8552" s="206" t="s">
        <v>416</v>
      </c>
      <c r="I8552" s="206" t="s">
        <v>5430</v>
      </c>
    </row>
    <row r="8553" spans="1:9" ht="15" hidden="1" customHeight="1">
      <c r="A8553" s="205">
        <v>45618</v>
      </c>
      <c r="B8553" s="208" t="s">
        <v>6790</v>
      </c>
      <c r="C8553" s="206" t="s">
        <v>269</v>
      </c>
      <c r="D8553" s="762">
        <v>-24800</v>
      </c>
      <c r="E8553" s="207">
        <v>45597</v>
      </c>
      <c r="F8553" s="206" t="s">
        <v>109</v>
      </c>
      <c r="G8553" s="601" t="s">
        <v>581</v>
      </c>
      <c r="H8553" s="206" t="s">
        <v>138</v>
      </c>
      <c r="I8553" s="206" t="s">
        <v>5430</v>
      </c>
    </row>
    <row r="8554" spans="1:9" ht="15" hidden="1" customHeight="1">
      <c r="A8554" s="205">
        <v>45618</v>
      </c>
      <c r="B8554" s="208" t="s">
        <v>6791</v>
      </c>
      <c r="C8554" s="206" t="s">
        <v>269</v>
      </c>
      <c r="D8554" s="762">
        <v>-120000</v>
      </c>
      <c r="E8554" s="207">
        <v>45597</v>
      </c>
      <c r="F8554" s="206" t="s">
        <v>109</v>
      </c>
      <c r="G8554" s="601" t="s">
        <v>581</v>
      </c>
      <c r="H8554" s="206" t="s">
        <v>2941</v>
      </c>
      <c r="I8554" s="206" t="s">
        <v>5430</v>
      </c>
    </row>
    <row r="8555" spans="1:9" ht="15" hidden="1" customHeight="1">
      <c r="A8555" s="205">
        <v>45618</v>
      </c>
      <c r="B8555" s="208" t="s">
        <v>6792</v>
      </c>
      <c r="C8555" s="206" t="s">
        <v>269</v>
      </c>
      <c r="D8555" s="731">
        <v>-10000</v>
      </c>
      <c r="E8555" s="207">
        <v>45597</v>
      </c>
      <c r="F8555" s="206" t="s">
        <v>109</v>
      </c>
      <c r="G8555" s="206" t="s">
        <v>5990</v>
      </c>
      <c r="H8555" s="206" t="s">
        <v>6266</v>
      </c>
      <c r="I8555" s="206" t="s">
        <v>6793</v>
      </c>
    </row>
    <row r="8556" spans="1:9" ht="15" hidden="1" customHeight="1">
      <c r="A8556" s="205">
        <v>45618</v>
      </c>
      <c r="B8556" s="208" t="s">
        <v>6794</v>
      </c>
      <c r="C8556" s="206" t="s">
        <v>269</v>
      </c>
      <c r="D8556" s="731">
        <v>-7000</v>
      </c>
      <c r="E8556" s="207">
        <v>45597</v>
      </c>
      <c r="F8556" s="206" t="s">
        <v>109</v>
      </c>
      <c r="G8556" s="601" t="s">
        <v>581</v>
      </c>
      <c r="H8556" s="206" t="s">
        <v>6266</v>
      </c>
      <c r="I8556" s="206" t="s">
        <v>6793</v>
      </c>
    </row>
    <row r="8557" spans="1:9" ht="15" hidden="1" customHeight="1">
      <c r="A8557" s="205">
        <v>45618</v>
      </c>
      <c r="B8557" s="208" t="s">
        <v>6795</v>
      </c>
      <c r="C8557" s="206" t="s">
        <v>269</v>
      </c>
      <c r="D8557" s="731">
        <v>-6000</v>
      </c>
      <c r="E8557" s="207">
        <v>45597</v>
      </c>
      <c r="F8557" s="206" t="s">
        <v>109</v>
      </c>
      <c r="G8557" s="206" t="s">
        <v>5990</v>
      </c>
      <c r="H8557" s="206" t="s">
        <v>138</v>
      </c>
      <c r="I8557" s="206" t="s">
        <v>6793</v>
      </c>
    </row>
    <row r="8558" spans="1:9" ht="15" hidden="1" customHeight="1">
      <c r="A8558" s="205">
        <v>45618</v>
      </c>
      <c r="B8558" s="208" t="s">
        <v>6796</v>
      </c>
      <c r="C8558" s="206" t="s">
        <v>269</v>
      </c>
      <c r="D8558" s="731">
        <v>-13500</v>
      </c>
      <c r="E8558" s="207">
        <v>45597</v>
      </c>
      <c r="F8558" s="206" t="s">
        <v>109</v>
      </c>
      <c r="G8558" s="601" t="s">
        <v>581</v>
      </c>
      <c r="H8558" s="206" t="s">
        <v>138</v>
      </c>
      <c r="I8558" s="206" t="s">
        <v>6793</v>
      </c>
    </row>
    <row r="8559" spans="1:9" ht="15" hidden="1" customHeight="1">
      <c r="A8559" s="205">
        <v>45624</v>
      </c>
      <c r="B8559" s="208" t="s">
        <v>6797</v>
      </c>
      <c r="C8559" s="206" t="s">
        <v>269</v>
      </c>
      <c r="D8559" s="746">
        <v>-38000</v>
      </c>
      <c r="E8559" s="207">
        <v>45597</v>
      </c>
      <c r="F8559" s="206" t="s">
        <v>110</v>
      </c>
      <c r="G8559" s="206" t="s">
        <v>5469</v>
      </c>
      <c r="H8559" s="81" t="s">
        <v>138</v>
      </c>
      <c r="I8559" s="206"/>
    </row>
    <row r="8560" spans="1:9" ht="15" hidden="1" customHeight="1">
      <c r="A8560" s="205">
        <v>45624</v>
      </c>
      <c r="B8560" s="208" t="s">
        <v>6797</v>
      </c>
      <c r="C8560" s="206" t="s">
        <v>269</v>
      </c>
      <c r="D8560" s="746">
        <v>-48000</v>
      </c>
      <c r="E8560" s="207">
        <v>45597</v>
      </c>
      <c r="F8560" s="206" t="s">
        <v>109</v>
      </c>
      <c r="G8560" s="206" t="s">
        <v>4225</v>
      </c>
      <c r="H8560" s="206" t="s">
        <v>138</v>
      </c>
      <c r="I8560" s="206"/>
    </row>
    <row r="8561" spans="1:9" ht="15" hidden="1" customHeight="1">
      <c r="A8561" s="205">
        <v>45624</v>
      </c>
      <c r="B8561" s="208" t="s">
        <v>6797</v>
      </c>
      <c r="C8561" s="206" t="s">
        <v>269</v>
      </c>
      <c r="D8561" s="746">
        <v>-52672</v>
      </c>
      <c r="E8561" s="207">
        <v>45597</v>
      </c>
      <c r="F8561" s="206" t="s">
        <v>109</v>
      </c>
      <c r="G8561" s="206" t="s">
        <v>4986</v>
      </c>
      <c r="H8561" s="206" t="s">
        <v>138</v>
      </c>
      <c r="I8561" s="206"/>
    </row>
    <row r="8562" spans="1:9" ht="15" hidden="1" customHeight="1">
      <c r="A8562" s="205">
        <v>45624</v>
      </c>
      <c r="B8562" s="208" t="s">
        <v>6797</v>
      </c>
      <c r="C8562" s="206" t="s">
        <v>269</v>
      </c>
      <c r="D8562" s="746">
        <v>-28000</v>
      </c>
      <c r="E8562" s="207">
        <v>45597</v>
      </c>
      <c r="F8562" s="206" t="s">
        <v>109</v>
      </c>
      <c r="G8562" s="601" t="s">
        <v>581</v>
      </c>
      <c r="H8562" s="206" t="s">
        <v>138</v>
      </c>
      <c r="I8562" s="206"/>
    </row>
    <row r="8563" spans="1:9" ht="15" hidden="1" customHeight="1">
      <c r="A8563" s="205">
        <v>45624</v>
      </c>
      <c r="B8563" s="208" t="s">
        <v>6797</v>
      </c>
      <c r="C8563" s="206" t="s">
        <v>269</v>
      </c>
      <c r="D8563" s="746">
        <v>-7000</v>
      </c>
      <c r="E8563" s="207">
        <v>45597</v>
      </c>
      <c r="F8563" s="206" t="s">
        <v>110</v>
      </c>
      <c r="G8563" s="206" t="s">
        <v>4990</v>
      </c>
      <c r="H8563" s="206" t="s">
        <v>138</v>
      </c>
      <c r="I8563" s="206"/>
    </row>
    <row r="8564" spans="1:9" ht="15" hidden="1" customHeight="1">
      <c r="A8564" s="205">
        <v>45624</v>
      </c>
      <c r="B8564" s="208" t="s">
        <v>6797</v>
      </c>
      <c r="C8564" s="206" t="s">
        <v>269</v>
      </c>
      <c r="D8564" s="746">
        <v>-31000</v>
      </c>
      <c r="E8564" s="207">
        <v>45597</v>
      </c>
      <c r="F8564" s="206" t="s">
        <v>130</v>
      </c>
      <c r="G8564" s="206" t="s">
        <v>130</v>
      </c>
      <c r="H8564" s="206" t="s">
        <v>138</v>
      </c>
      <c r="I8564" s="206"/>
    </row>
    <row r="8565" spans="1:9" ht="15" hidden="1" customHeight="1">
      <c r="A8565" s="205">
        <v>45624</v>
      </c>
      <c r="B8565" s="208" t="s">
        <v>6798</v>
      </c>
      <c r="C8565" s="206" t="s">
        <v>4314</v>
      </c>
      <c r="D8565" s="211">
        <v>-1248</v>
      </c>
      <c r="E8565" s="207">
        <v>45597</v>
      </c>
      <c r="F8565" s="206" t="s">
        <v>109</v>
      </c>
      <c r="G8565" s="206" t="s">
        <v>4986</v>
      </c>
      <c r="I8565" s="206"/>
    </row>
    <row r="8566" spans="1:9" ht="15" hidden="1" customHeight="1">
      <c r="A8566" s="205">
        <v>45624</v>
      </c>
      <c r="B8566" s="208" t="s">
        <v>6799</v>
      </c>
      <c r="C8566" s="206" t="s">
        <v>4314</v>
      </c>
      <c r="D8566" s="211">
        <v>-2080</v>
      </c>
      <c r="E8566" s="207">
        <v>45597</v>
      </c>
      <c r="F8566" s="206" t="s">
        <v>109</v>
      </c>
      <c r="G8566" s="206" t="s">
        <v>4986</v>
      </c>
      <c r="I8566" s="206"/>
    </row>
    <row r="8567" spans="1:9" ht="15" hidden="1" customHeight="1">
      <c r="A8567" s="205">
        <v>45624</v>
      </c>
      <c r="B8567" s="208" t="s">
        <v>6800</v>
      </c>
      <c r="C8567" s="206" t="s">
        <v>269</v>
      </c>
      <c r="D8567" s="211">
        <v>-1688000</v>
      </c>
      <c r="E8567" s="207">
        <v>45597</v>
      </c>
      <c r="F8567" s="206" t="s">
        <v>130</v>
      </c>
      <c r="G8567" s="206" t="s">
        <v>130</v>
      </c>
      <c r="H8567" s="206" t="s">
        <v>275</v>
      </c>
      <c r="I8567" s="206"/>
    </row>
    <row r="8568" spans="1:9" ht="15" hidden="1" customHeight="1">
      <c r="A8568" s="205">
        <v>45624</v>
      </c>
      <c r="B8568" s="208" t="s">
        <v>6801</v>
      </c>
      <c r="C8568" s="206" t="s">
        <v>269</v>
      </c>
      <c r="D8568" s="764">
        <v>-29000</v>
      </c>
      <c r="E8568" s="207">
        <v>45597</v>
      </c>
      <c r="F8568" s="206" t="s">
        <v>110</v>
      </c>
      <c r="G8568" s="206" t="s">
        <v>5469</v>
      </c>
      <c r="H8568" s="81" t="s">
        <v>138</v>
      </c>
      <c r="I8568" s="206"/>
    </row>
    <row r="8569" spans="1:9" ht="15" hidden="1" customHeight="1">
      <c r="A8569" s="205">
        <v>45624</v>
      </c>
      <c r="B8569" s="208" t="s">
        <v>6801</v>
      </c>
      <c r="C8569" s="206" t="s">
        <v>269</v>
      </c>
      <c r="D8569" s="764">
        <v>-32536</v>
      </c>
      <c r="E8569" s="207">
        <v>45597</v>
      </c>
      <c r="F8569" s="206" t="s">
        <v>109</v>
      </c>
      <c r="G8569" s="206" t="s">
        <v>4986</v>
      </c>
      <c r="H8569" s="206" t="s">
        <v>138</v>
      </c>
      <c r="I8569" s="206"/>
    </row>
    <row r="8570" spans="1:9" ht="15" hidden="1" customHeight="1">
      <c r="A8570" s="205">
        <v>45624</v>
      </c>
      <c r="B8570" s="208" t="s">
        <v>6801</v>
      </c>
      <c r="C8570" s="206" t="s">
        <v>269</v>
      </c>
      <c r="D8570" s="764">
        <v>-14000</v>
      </c>
      <c r="E8570" s="207">
        <v>45597</v>
      </c>
      <c r="F8570" s="206" t="s">
        <v>130</v>
      </c>
      <c r="G8570" s="206" t="s">
        <v>130</v>
      </c>
      <c r="H8570" s="206" t="s">
        <v>138</v>
      </c>
      <c r="I8570" s="206"/>
    </row>
    <row r="8571" spans="1:9" ht="15" hidden="1" customHeight="1">
      <c r="A8571" s="205">
        <v>45624</v>
      </c>
      <c r="B8571" s="208" t="s">
        <v>6801</v>
      </c>
      <c r="C8571" s="206" t="s">
        <v>269</v>
      </c>
      <c r="D8571" s="764">
        <v>-24000</v>
      </c>
      <c r="E8571" s="207">
        <v>45597</v>
      </c>
      <c r="F8571" s="206" t="s">
        <v>110</v>
      </c>
      <c r="G8571" s="206" t="s">
        <v>4990</v>
      </c>
      <c r="H8571" s="206" t="s">
        <v>138</v>
      </c>
      <c r="I8571" s="206"/>
    </row>
    <row r="8572" spans="1:9" ht="15" hidden="1" customHeight="1">
      <c r="A8572" s="205">
        <v>45624</v>
      </c>
      <c r="B8572" s="208" t="s">
        <v>6801</v>
      </c>
      <c r="C8572" s="206" t="s">
        <v>269</v>
      </c>
      <c r="D8572" s="764">
        <v>-21000</v>
      </c>
      <c r="E8572" s="207">
        <v>45597</v>
      </c>
      <c r="F8572" s="206" t="s">
        <v>109</v>
      </c>
      <c r="G8572" s="601" t="s">
        <v>581</v>
      </c>
      <c r="H8572" s="206" t="s">
        <v>138</v>
      </c>
      <c r="I8572" s="206"/>
    </row>
    <row r="8573" spans="1:9" ht="15" hidden="1" customHeight="1">
      <c r="A8573" s="205">
        <v>45624</v>
      </c>
      <c r="B8573" s="208" t="s">
        <v>6801</v>
      </c>
      <c r="C8573" s="206" t="s">
        <v>269</v>
      </c>
      <c r="D8573" s="764">
        <v>-7000</v>
      </c>
      <c r="E8573" s="207">
        <v>45597</v>
      </c>
      <c r="F8573" s="206" t="s">
        <v>110</v>
      </c>
      <c r="G8573" s="206" t="s">
        <v>4294</v>
      </c>
      <c r="H8573" s="206" t="s">
        <v>138</v>
      </c>
      <c r="I8573" s="206"/>
    </row>
    <row r="8574" spans="1:9" ht="15" hidden="1" customHeight="1">
      <c r="A8574" s="205">
        <v>45624</v>
      </c>
      <c r="B8574" s="208" t="s">
        <v>6801</v>
      </c>
      <c r="C8574" s="206" t="s">
        <v>269</v>
      </c>
      <c r="D8574" s="764">
        <v>-24000</v>
      </c>
      <c r="E8574" s="207">
        <v>45597</v>
      </c>
      <c r="F8574" s="206" t="s">
        <v>109</v>
      </c>
      <c r="G8574" s="206" t="s">
        <v>4225</v>
      </c>
      <c r="H8574" s="206" t="s">
        <v>138</v>
      </c>
      <c r="I8574" s="206"/>
    </row>
    <row r="8575" spans="1:9" ht="15" hidden="1" customHeight="1">
      <c r="A8575" s="205">
        <v>45624</v>
      </c>
      <c r="B8575" s="208" t="s">
        <v>6802</v>
      </c>
      <c r="C8575" s="206" t="s">
        <v>4314</v>
      </c>
      <c r="D8575" s="211">
        <v>-924</v>
      </c>
      <c r="E8575" s="207">
        <v>45597</v>
      </c>
      <c r="F8575" s="206" t="s">
        <v>109</v>
      </c>
      <c r="G8575" s="206" t="s">
        <v>4986</v>
      </c>
      <c r="H8575" s="206" t="s">
        <v>138</v>
      </c>
      <c r="I8575" s="206"/>
    </row>
    <row r="8576" spans="1:9" ht="15" hidden="1" customHeight="1">
      <c r="A8576" s="205">
        <v>45624</v>
      </c>
      <c r="B8576" s="208" t="s">
        <v>6803</v>
      </c>
      <c r="C8576" s="206" t="s">
        <v>4314</v>
      </c>
      <c r="D8576" s="211">
        <v>-1540</v>
      </c>
      <c r="E8576" s="207">
        <v>45597</v>
      </c>
      <c r="F8576" s="206" t="s">
        <v>109</v>
      </c>
      <c r="G8576" s="206" t="s">
        <v>4986</v>
      </c>
      <c r="H8576" s="206" t="s">
        <v>138</v>
      </c>
      <c r="I8576" s="206"/>
    </row>
    <row r="8577" spans="1:9" s="561" customFormat="1" ht="15" hidden="1" customHeight="1">
      <c r="A8577" s="765">
        <v>45622</v>
      </c>
      <c r="B8577" s="766" t="s">
        <v>6804</v>
      </c>
      <c r="C8577" s="766" t="s">
        <v>27</v>
      </c>
      <c r="D8577" s="784">
        <v>-6372000</v>
      </c>
      <c r="E8577" s="767">
        <v>45597</v>
      </c>
      <c r="F8577" s="766" t="s">
        <v>109</v>
      </c>
      <c r="G8577" s="766" t="s">
        <v>5990</v>
      </c>
      <c r="H8577" s="766" t="s">
        <v>360</v>
      </c>
      <c r="I8577" s="766"/>
    </row>
    <row r="8578" spans="1:9" ht="15" hidden="1" customHeight="1">
      <c r="A8578" s="205">
        <v>45622</v>
      </c>
      <c r="B8578" s="208" t="s">
        <v>6805</v>
      </c>
      <c r="C8578" s="206" t="s">
        <v>4314</v>
      </c>
      <c r="D8578" s="737">
        <v>-649000</v>
      </c>
      <c r="E8578" s="212">
        <v>45597</v>
      </c>
      <c r="F8578" s="206" t="s">
        <v>109</v>
      </c>
      <c r="G8578" s="206" t="s">
        <v>5990</v>
      </c>
      <c r="I8578" s="206"/>
    </row>
    <row r="8579" spans="1:9" ht="15" hidden="1" customHeight="1">
      <c r="A8579" s="205">
        <v>45621</v>
      </c>
      <c r="B8579" s="208" t="s">
        <v>6806</v>
      </c>
      <c r="C8579" s="206" t="s">
        <v>27</v>
      </c>
      <c r="D8579" s="784">
        <v>-25000</v>
      </c>
      <c r="E8579" s="212">
        <v>45597</v>
      </c>
      <c r="F8579" s="206" t="s">
        <v>130</v>
      </c>
      <c r="G8579" s="206" t="s">
        <v>130</v>
      </c>
      <c r="H8579" s="206" t="s">
        <v>323</v>
      </c>
      <c r="I8579" s="206"/>
    </row>
    <row r="8580" spans="1:9" ht="15" hidden="1" customHeight="1">
      <c r="A8580" s="205">
        <v>45622</v>
      </c>
      <c r="B8580" s="208" t="s">
        <v>6807</v>
      </c>
      <c r="C8580" s="206" t="s">
        <v>27</v>
      </c>
      <c r="D8580" s="784">
        <v>-9594000</v>
      </c>
      <c r="E8580" s="212">
        <v>45597</v>
      </c>
      <c r="F8580" s="206" t="s">
        <v>109</v>
      </c>
      <c r="G8580" s="206" t="s">
        <v>5990</v>
      </c>
      <c r="H8580" s="206" t="s">
        <v>6482</v>
      </c>
      <c r="I8580" s="206"/>
    </row>
    <row r="8581" spans="1:9" ht="15" hidden="1" customHeight="1">
      <c r="A8581" s="205">
        <v>45622</v>
      </c>
      <c r="B8581" s="208" t="s">
        <v>6808</v>
      </c>
      <c r="C8581" s="206" t="s">
        <v>4314</v>
      </c>
      <c r="D8581" s="737">
        <v>-58500</v>
      </c>
      <c r="E8581" s="212">
        <v>45597</v>
      </c>
      <c r="F8581" s="206" t="s">
        <v>109</v>
      </c>
      <c r="G8581" s="206" t="s">
        <v>5990</v>
      </c>
      <c r="I8581" s="206"/>
    </row>
    <row r="8582" spans="1:9" ht="15" hidden="1" customHeight="1">
      <c r="A8582" s="205">
        <v>45622</v>
      </c>
      <c r="B8582" s="208" t="s">
        <v>6809</v>
      </c>
      <c r="C8582" s="206" t="s">
        <v>4314</v>
      </c>
      <c r="D8582" s="737">
        <v>-97500</v>
      </c>
      <c r="E8582" s="212">
        <v>45597</v>
      </c>
      <c r="F8582" s="206" t="s">
        <v>109</v>
      </c>
      <c r="G8582" s="206" t="s">
        <v>5990</v>
      </c>
      <c r="I8582" s="206"/>
    </row>
    <row r="8583" spans="1:9" ht="15" hidden="1" customHeight="1">
      <c r="A8583" s="205">
        <v>45622</v>
      </c>
      <c r="B8583" s="208" t="s">
        <v>6810</v>
      </c>
      <c r="C8583" s="206" t="s">
        <v>27</v>
      </c>
      <c r="D8583" s="784">
        <v>-430000</v>
      </c>
      <c r="E8583" s="212">
        <v>45597</v>
      </c>
      <c r="F8583" s="206" t="s">
        <v>130</v>
      </c>
      <c r="G8583" s="206" t="s">
        <v>130</v>
      </c>
      <c r="H8583" s="206" t="s">
        <v>323</v>
      </c>
      <c r="I8583" s="206"/>
    </row>
    <row r="8584" spans="1:9" ht="15" hidden="1" customHeight="1">
      <c r="A8584" s="205">
        <v>45622</v>
      </c>
      <c r="B8584" s="208" t="s">
        <v>6811</v>
      </c>
      <c r="C8584" s="206" t="s">
        <v>27</v>
      </c>
      <c r="D8584" s="784">
        <v>-1047369.42</v>
      </c>
      <c r="E8584" s="212">
        <v>45597</v>
      </c>
      <c r="F8584" s="206" t="s">
        <v>130</v>
      </c>
      <c r="G8584" s="206" t="s">
        <v>3107</v>
      </c>
      <c r="H8584" s="206" t="s">
        <v>1182</v>
      </c>
      <c r="I8584" s="206"/>
    </row>
    <row r="8585" spans="1:9" ht="15" hidden="1" customHeight="1">
      <c r="A8585" s="205">
        <v>45622</v>
      </c>
      <c r="B8585" s="208" t="s">
        <v>6812</v>
      </c>
      <c r="C8585" s="206" t="s">
        <v>4314</v>
      </c>
      <c r="D8585" s="737">
        <v>-6048.33</v>
      </c>
      <c r="E8585" s="212">
        <v>45597</v>
      </c>
      <c r="F8585" s="206" t="s">
        <v>130</v>
      </c>
      <c r="G8585" s="206" t="s">
        <v>3107</v>
      </c>
      <c r="H8585" s="206" t="s">
        <v>138</v>
      </c>
      <c r="I8585" s="206"/>
    </row>
    <row r="8586" spans="1:9" ht="15" hidden="1" customHeight="1">
      <c r="A8586" s="205">
        <v>45622</v>
      </c>
      <c r="B8586" s="208" t="s">
        <v>6813</v>
      </c>
      <c r="C8586" s="206" t="s">
        <v>4314</v>
      </c>
      <c r="D8586" s="737">
        <v>-35281.93</v>
      </c>
      <c r="E8586" s="212">
        <v>45597</v>
      </c>
      <c r="F8586" s="206" t="s">
        <v>130</v>
      </c>
      <c r="G8586" s="206" t="s">
        <v>3107</v>
      </c>
      <c r="H8586" s="206" t="s">
        <v>138</v>
      </c>
      <c r="I8586" s="206"/>
    </row>
    <row r="8587" spans="1:9" ht="15" hidden="1" customHeight="1">
      <c r="A8587" s="205">
        <v>45622</v>
      </c>
      <c r="B8587" s="208" t="s">
        <v>6814</v>
      </c>
      <c r="C8587" s="206" t="s">
        <v>27</v>
      </c>
      <c r="D8587" s="784">
        <v>-32000</v>
      </c>
      <c r="E8587" s="212">
        <v>45597</v>
      </c>
      <c r="F8587" s="206" t="s">
        <v>130</v>
      </c>
      <c r="G8587" s="206" t="s">
        <v>130</v>
      </c>
      <c r="H8587" s="754" t="s">
        <v>406</v>
      </c>
      <c r="I8587" s="206"/>
    </row>
    <row r="8588" spans="1:9" ht="15" hidden="1" customHeight="1">
      <c r="A8588" s="205">
        <v>45623</v>
      </c>
      <c r="B8588" s="208" t="s">
        <v>6815</v>
      </c>
      <c r="C8588" s="206" t="s">
        <v>27</v>
      </c>
      <c r="D8588" s="784">
        <v>-6085985</v>
      </c>
      <c r="E8588" s="212">
        <v>45597</v>
      </c>
      <c r="F8588" s="206" t="s">
        <v>110</v>
      </c>
      <c r="G8588" s="206" t="s">
        <v>5503</v>
      </c>
      <c r="H8588" s="458" t="s">
        <v>147</v>
      </c>
      <c r="I8588" s="206"/>
    </row>
    <row r="8589" spans="1:9" ht="15" hidden="1" customHeight="1">
      <c r="A8589" s="205">
        <v>45623</v>
      </c>
      <c r="B8589" s="208" t="s">
        <v>6816</v>
      </c>
      <c r="C8589" s="206" t="s">
        <v>27</v>
      </c>
      <c r="D8589" s="784">
        <v>-8515764</v>
      </c>
      <c r="E8589" s="212">
        <v>45597</v>
      </c>
      <c r="F8589" s="206" t="s">
        <v>109</v>
      </c>
      <c r="G8589" s="206" t="s">
        <v>4986</v>
      </c>
      <c r="H8589" s="206" t="s">
        <v>212</v>
      </c>
      <c r="I8589" s="206"/>
    </row>
    <row r="8590" spans="1:9" ht="15" hidden="1" customHeight="1">
      <c r="A8590" s="205">
        <v>45623</v>
      </c>
      <c r="B8590" s="208" t="s">
        <v>6817</v>
      </c>
      <c r="C8590" s="206" t="s">
        <v>27</v>
      </c>
      <c r="D8590" s="784">
        <v>-1504771.07</v>
      </c>
      <c r="E8590" s="212">
        <v>45597</v>
      </c>
      <c r="F8590" s="206" t="s">
        <v>109</v>
      </c>
      <c r="G8590" s="601" t="s">
        <v>581</v>
      </c>
      <c r="H8590" s="206" t="s">
        <v>6649</v>
      </c>
      <c r="I8590" s="206"/>
    </row>
    <row r="8591" spans="1:9" ht="15" hidden="1" customHeight="1">
      <c r="A8591" s="205">
        <v>45623</v>
      </c>
      <c r="B8591" s="208" t="s">
        <v>6818</v>
      </c>
      <c r="C8591" s="206" t="s">
        <v>27</v>
      </c>
      <c r="D8591" s="784">
        <v>-19599.3</v>
      </c>
      <c r="E8591" s="212">
        <v>45597</v>
      </c>
      <c r="F8591" s="206" t="s">
        <v>110</v>
      </c>
      <c r="G8591" s="206" t="s">
        <v>5469</v>
      </c>
      <c r="H8591" s="206" t="s">
        <v>2941</v>
      </c>
      <c r="I8591" s="206"/>
    </row>
    <row r="8592" spans="1:9" ht="15" hidden="1" customHeight="1">
      <c r="A8592" s="205">
        <v>45623</v>
      </c>
      <c r="B8592" s="208" t="s">
        <v>6819</v>
      </c>
      <c r="C8592" s="206" t="s">
        <v>27</v>
      </c>
      <c r="D8592" s="784">
        <v>-437699.85</v>
      </c>
      <c r="E8592" s="212">
        <v>45597</v>
      </c>
      <c r="F8592" s="206" t="s">
        <v>109</v>
      </c>
      <c r="G8592" s="206" t="s">
        <v>4986</v>
      </c>
      <c r="H8592" s="206" t="s">
        <v>2941</v>
      </c>
      <c r="I8592" s="206"/>
    </row>
    <row r="8593" spans="1:9" ht="15" hidden="1" customHeight="1">
      <c r="A8593" s="205">
        <v>45623</v>
      </c>
      <c r="B8593" s="208" t="s">
        <v>6820</v>
      </c>
      <c r="C8593" s="206" t="s">
        <v>27</v>
      </c>
      <c r="D8593" s="784">
        <v>-207200.42</v>
      </c>
      <c r="E8593" s="212">
        <v>45597</v>
      </c>
      <c r="F8593" s="206" t="s">
        <v>130</v>
      </c>
      <c r="G8593" s="206" t="s">
        <v>130</v>
      </c>
      <c r="H8593" s="206" t="s">
        <v>184</v>
      </c>
      <c r="I8593" s="206"/>
    </row>
    <row r="8594" spans="1:9" ht="15" hidden="1" customHeight="1">
      <c r="A8594" s="205">
        <v>45623</v>
      </c>
      <c r="B8594" s="208" t="s">
        <v>6818</v>
      </c>
      <c r="C8594" s="206" t="s">
        <v>27</v>
      </c>
      <c r="D8594" s="784">
        <v>-2212197.7200000002</v>
      </c>
      <c r="E8594" s="212">
        <v>45597</v>
      </c>
      <c r="F8594" s="206" t="s">
        <v>110</v>
      </c>
      <c r="G8594" s="206" t="s">
        <v>5469</v>
      </c>
      <c r="H8594" s="206" t="s">
        <v>212</v>
      </c>
      <c r="I8594" s="206"/>
    </row>
    <row r="8595" spans="1:9" ht="15" hidden="1" customHeight="1">
      <c r="A8595" s="205">
        <v>45623</v>
      </c>
      <c r="B8595" s="208" t="s">
        <v>6821</v>
      </c>
      <c r="C8595" s="206" t="s">
        <v>4314</v>
      </c>
      <c r="D8595" s="737">
        <v>-6349.25</v>
      </c>
      <c r="E8595" s="212">
        <v>45597</v>
      </c>
      <c r="F8595" s="206" t="s">
        <v>109</v>
      </c>
      <c r="G8595" s="601" t="s">
        <v>581</v>
      </c>
      <c r="I8595" s="206"/>
    </row>
    <row r="8596" spans="1:9" ht="15" hidden="1" customHeight="1">
      <c r="A8596" s="205">
        <v>45623</v>
      </c>
      <c r="B8596" s="208" t="s">
        <v>6822</v>
      </c>
      <c r="C8596" s="206" t="s">
        <v>4314</v>
      </c>
      <c r="D8596" s="737">
        <v>-47676.68</v>
      </c>
      <c r="E8596" s="212">
        <v>45597</v>
      </c>
      <c r="F8596" s="206" t="s">
        <v>110</v>
      </c>
      <c r="G8596" s="206" t="s">
        <v>5469</v>
      </c>
      <c r="H8596" s="206" t="s">
        <v>2941</v>
      </c>
      <c r="I8596" s="206"/>
    </row>
    <row r="8597" spans="1:9" ht="15" hidden="1" customHeight="1">
      <c r="A8597" s="205">
        <v>45623</v>
      </c>
      <c r="B8597" s="208" t="s">
        <v>6821</v>
      </c>
      <c r="C8597" s="206" t="s">
        <v>4314</v>
      </c>
      <c r="D8597" s="737">
        <v>-9535.34</v>
      </c>
      <c r="E8597" s="212">
        <v>45597</v>
      </c>
      <c r="F8597" s="206" t="s">
        <v>110</v>
      </c>
      <c r="G8597" s="206" t="s">
        <v>5469</v>
      </c>
      <c r="H8597" s="206" t="s">
        <v>2941</v>
      </c>
      <c r="I8597" s="206"/>
    </row>
    <row r="8598" spans="1:9" ht="15" hidden="1" customHeight="1">
      <c r="A8598" s="205">
        <v>45623</v>
      </c>
      <c r="B8598" s="208" t="s">
        <v>6823</v>
      </c>
      <c r="C8598" s="206" t="s">
        <v>27</v>
      </c>
      <c r="D8598" s="784">
        <v>-500000</v>
      </c>
      <c r="E8598" s="212">
        <v>45597</v>
      </c>
      <c r="F8598" s="206" t="s">
        <v>109</v>
      </c>
      <c r="G8598" s="206" t="s">
        <v>2809</v>
      </c>
      <c r="H8598" s="206" t="s">
        <v>5066</v>
      </c>
      <c r="I8598" s="206"/>
    </row>
    <row r="8599" spans="1:9" ht="15" hidden="1" customHeight="1">
      <c r="A8599" s="205">
        <v>45623</v>
      </c>
      <c r="B8599" s="208" t="s">
        <v>6823</v>
      </c>
      <c r="C8599" s="206" t="s">
        <v>27</v>
      </c>
      <c r="D8599" s="784">
        <v>-690000</v>
      </c>
      <c r="E8599" s="212">
        <v>45597</v>
      </c>
      <c r="F8599" s="206" t="s">
        <v>109</v>
      </c>
      <c r="G8599" s="206" t="s">
        <v>2809</v>
      </c>
      <c r="H8599" s="206" t="s">
        <v>5775</v>
      </c>
      <c r="I8599" s="206"/>
    </row>
    <row r="8600" spans="1:9" ht="15" hidden="1" customHeight="1">
      <c r="A8600" s="205">
        <v>45623</v>
      </c>
      <c r="B8600" s="208" t="s">
        <v>6824</v>
      </c>
      <c r="C8600" s="206" t="s">
        <v>27</v>
      </c>
      <c r="D8600" s="784">
        <v>-734400</v>
      </c>
      <c r="E8600" s="212">
        <v>45597</v>
      </c>
      <c r="F8600" s="206" t="s">
        <v>130</v>
      </c>
      <c r="G8600" s="206" t="s">
        <v>130</v>
      </c>
      <c r="H8600" s="206" t="s">
        <v>323</v>
      </c>
      <c r="I8600" s="206"/>
    </row>
    <row r="8601" spans="1:9" ht="15" hidden="1" customHeight="1">
      <c r="A8601" s="205">
        <v>45623</v>
      </c>
      <c r="B8601" s="208" t="s">
        <v>6825</v>
      </c>
      <c r="C8601" s="206" t="s">
        <v>4314</v>
      </c>
      <c r="D8601" s="737">
        <v>-74800</v>
      </c>
      <c r="E8601" s="212">
        <v>45597</v>
      </c>
      <c r="F8601" s="206" t="s">
        <v>130</v>
      </c>
      <c r="G8601" s="206" t="s">
        <v>130</v>
      </c>
      <c r="H8601" s="206" t="s">
        <v>323</v>
      </c>
      <c r="I8601" s="206"/>
    </row>
    <row r="8602" spans="1:9" ht="15" hidden="1" customHeight="1">
      <c r="A8602" s="205">
        <v>45623</v>
      </c>
      <c r="B8602" s="208" t="s">
        <v>6826</v>
      </c>
      <c r="C8602" s="206" t="s">
        <v>27</v>
      </c>
      <c r="D8602" s="784">
        <v>-244800</v>
      </c>
      <c r="E8602" s="212">
        <v>45597</v>
      </c>
      <c r="F8602" s="206" t="s">
        <v>109</v>
      </c>
      <c r="G8602" s="206" t="s">
        <v>2809</v>
      </c>
      <c r="H8602" s="206" t="s">
        <v>5775</v>
      </c>
      <c r="I8602" s="206"/>
    </row>
    <row r="8603" spans="1:9" ht="15" hidden="1" customHeight="1">
      <c r="A8603" s="205">
        <v>45623</v>
      </c>
      <c r="B8603" s="208" t="s">
        <v>6827</v>
      </c>
      <c r="C8603" s="206" t="s">
        <v>27</v>
      </c>
      <c r="D8603" s="784">
        <v>-3005700</v>
      </c>
      <c r="E8603" s="212">
        <v>45597</v>
      </c>
      <c r="F8603" s="206" t="s">
        <v>130</v>
      </c>
      <c r="G8603" s="206" t="s">
        <v>130</v>
      </c>
      <c r="H8603" s="206" t="s">
        <v>323</v>
      </c>
      <c r="I8603" s="206"/>
    </row>
    <row r="8604" spans="1:9" ht="15" hidden="1" customHeight="1">
      <c r="A8604" s="205">
        <v>45623</v>
      </c>
      <c r="B8604" s="208" t="s">
        <v>6828</v>
      </c>
      <c r="C8604" s="206" t="s">
        <v>4783</v>
      </c>
      <c r="D8604" s="211">
        <v>-19366000</v>
      </c>
      <c r="E8604" s="212">
        <v>45597</v>
      </c>
      <c r="F8604" s="206" t="s">
        <v>109</v>
      </c>
      <c r="G8604" s="206" t="s">
        <v>5990</v>
      </c>
      <c r="H8604" s="206" t="s">
        <v>123</v>
      </c>
      <c r="I8604" s="206"/>
    </row>
    <row r="8605" spans="1:9" ht="15" hidden="1" customHeight="1">
      <c r="A8605" s="205">
        <v>45623</v>
      </c>
      <c r="B8605" s="208" t="s">
        <v>6829</v>
      </c>
      <c r="C8605" s="206" t="s">
        <v>27</v>
      </c>
      <c r="D8605" s="718">
        <v>-1310000</v>
      </c>
      <c r="E8605" s="212">
        <v>45597</v>
      </c>
      <c r="F8605" s="206" t="s">
        <v>109</v>
      </c>
      <c r="G8605" s="206" t="s">
        <v>583</v>
      </c>
      <c r="H8605" s="206" t="s">
        <v>6830</v>
      </c>
      <c r="I8605" s="206"/>
    </row>
    <row r="8606" spans="1:9" ht="15" hidden="1" customHeight="1">
      <c r="A8606" s="205">
        <v>45623</v>
      </c>
      <c r="B8606" s="208" t="s">
        <v>6831</v>
      </c>
      <c r="C8606" s="206" t="s">
        <v>27</v>
      </c>
      <c r="D8606" s="784">
        <v>-3198975</v>
      </c>
      <c r="E8606" s="212">
        <v>45597</v>
      </c>
      <c r="F8606" s="206" t="s">
        <v>109</v>
      </c>
      <c r="G8606" s="206" t="s">
        <v>5990</v>
      </c>
      <c r="H8606" s="206" t="s">
        <v>6134</v>
      </c>
      <c r="I8606" s="206"/>
    </row>
    <row r="8607" spans="1:9" ht="15" hidden="1" customHeight="1">
      <c r="A8607" s="205">
        <v>45623</v>
      </c>
      <c r="B8607" s="655" t="s">
        <v>6832</v>
      </c>
      <c r="C8607" s="206" t="s">
        <v>4314</v>
      </c>
      <c r="D8607" s="737">
        <v>-82025</v>
      </c>
      <c r="E8607" s="212">
        <v>45597</v>
      </c>
      <c r="F8607" s="206" t="s">
        <v>109</v>
      </c>
      <c r="G8607" s="206" t="s">
        <v>5990</v>
      </c>
      <c r="I8607" s="206"/>
    </row>
    <row r="8608" spans="1:9" ht="15" hidden="1" customHeight="1">
      <c r="A8608" s="728">
        <v>45623</v>
      </c>
      <c r="B8608" s="739" t="s">
        <v>6833</v>
      </c>
      <c r="C8608" s="774" t="s">
        <v>27</v>
      </c>
      <c r="D8608" s="784">
        <v>-500000</v>
      </c>
      <c r="E8608" s="212">
        <v>45597</v>
      </c>
      <c r="F8608" s="206" t="s">
        <v>109</v>
      </c>
      <c r="G8608" s="206" t="s">
        <v>2809</v>
      </c>
      <c r="H8608" s="206" t="s">
        <v>5066</v>
      </c>
      <c r="I8608" s="206"/>
    </row>
    <row r="8609" spans="1:9" ht="15" hidden="1" customHeight="1">
      <c r="A8609" s="728">
        <v>45572</v>
      </c>
      <c r="B8609" s="739" t="s">
        <v>6834</v>
      </c>
      <c r="C8609" s="774" t="s">
        <v>27</v>
      </c>
      <c r="D8609" s="784">
        <v>-20000</v>
      </c>
      <c r="E8609" s="212">
        <v>45597</v>
      </c>
      <c r="F8609" s="206" t="s">
        <v>109</v>
      </c>
      <c r="G8609" s="206" t="s">
        <v>2809</v>
      </c>
      <c r="H8609" s="208" t="s">
        <v>4814</v>
      </c>
      <c r="I8609" s="206" t="s">
        <v>6835</v>
      </c>
    </row>
    <row r="8610" spans="1:9" ht="15" hidden="1" customHeight="1">
      <c r="A8610" s="728">
        <v>45574</v>
      </c>
      <c r="B8610" s="739" t="s">
        <v>6834</v>
      </c>
      <c r="C8610" s="774" t="s">
        <v>27</v>
      </c>
      <c r="D8610" s="784">
        <v>-20000</v>
      </c>
      <c r="E8610" s="212">
        <v>45597</v>
      </c>
      <c r="F8610" s="206" t="s">
        <v>109</v>
      </c>
      <c r="G8610" s="206" t="s">
        <v>2809</v>
      </c>
      <c r="H8610" s="208" t="s">
        <v>4814</v>
      </c>
      <c r="I8610" s="206" t="s">
        <v>6835</v>
      </c>
    </row>
    <row r="8611" spans="1:9" ht="15" hidden="1" customHeight="1">
      <c r="A8611" s="728">
        <v>45575</v>
      </c>
      <c r="B8611" s="739" t="s">
        <v>6836</v>
      </c>
      <c r="C8611" s="774" t="s">
        <v>27</v>
      </c>
      <c r="D8611" s="784">
        <v>-22100</v>
      </c>
      <c r="E8611" s="212">
        <v>45597</v>
      </c>
      <c r="F8611" s="206" t="s">
        <v>109</v>
      </c>
      <c r="G8611" s="206" t="s">
        <v>2809</v>
      </c>
      <c r="H8611" s="206" t="s">
        <v>4814</v>
      </c>
      <c r="I8611" s="206" t="s">
        <v>6835</v>
      </c>
    </row>
    <row r="8612" spans="1:9" ht="15" hidden="1" customHeight="1">
      <c r="A8612" s="728">
        <v>45573</v>
      </c>
      <c r="B8612" s="739" t="s">
        <v>6837</v>
      </c>
      <c r="C8612" s="774" t="s">
        <v>27</v>
      </c>
      <c r="D8612" s="784">
        <v>-90000</v>
      </c>
      <c r="E8612" s="212">
        <v>45597</v>
      </c>
      <c r="F8612" s="206" t="s">
        <v>109</v>
      </c>
      <c r="G8612" s="206" t="s">
        <v>2809</v>
      </c>
      <c r="H8612" s="208" t="s">
        <v>4814</v>
      </c>
      <c r="I8612" s="206" t="s">
        <v>6835</v>
      </c>
    </row>
    <row r="8613" spans="1:9" ht="15" hidden="1" customHeight="1">
      <c r="A8613" s="728">
        <v>45572</v>
      </c>
      <c r="B8613" s="739" t="s">
        <v>6837</v>
      </c>
      <c r="C8613" s="774" t="s">
        <v>27</v>
      </c>
      <c r="D8613" s="784">
        <v>-120000</v>
      </c>
      <c r="E8613" s="212">
        <v>45597</v>
      </c>
      <c r="F8613" s="206" t="s">
        <v>109</v>
      </c>
      <c r="G8613" s="206" t="s">
        <v>2809</v>
      </c>
      <c r="H8613" s="208" t="s">
        <v>4814</v>
      </c>
      <c r="I8613" s="206" t="s">
        <v>6835</v>
      </c>
    </row>
    <row r="8614" spans="1:9" ht="15" hidden="1" customHeight="1">
      <c r="A8614" s="728">
        <v>45574</v>
      </c>
      <c r="B8614" s="739" t="s">
        <v>6837</v>
      </c>
      <c r="C8614" s="774" t="s">
        <v>27</v>
      </c>
      <c r="D8614" s="784">
        <v>-100000</v>
      </c>
      <c r="E8614" s="212">
        <v>45597</v>
      </c>
      <c r="F8614" s="206" t="s">
        <v>109</v>
      </c>
      <c r="G8614" s="206" t="s">
        <v>2809</v>
      </c>
      <c r="H8614" s="208" t="s">
        <v>4814</v>
      </c>
      <c r="I8614" s="206" t="s">
        <v>6835</v>
      </c>
    </row>
    <row r="8615" spans="1:9" ht="15" hidden="1" customHeight="1">
      <c r="A8615" s="728">
        <v>45595</v>
      </c>
      <c r="B8615" s="739" t="s">
        <v>6834</v>
      </c>
      <c r="C8615" s="774" t="s">
        <v>27</v>
      </c>
      <c r="D8615" s="784">
        <v>-20000</v>
      </c>
      <c r="E8615" s="212">
        <v>45597</v>
      </c>
      <c r="F8615" s="206" t="s">
        <v>109</v>
      </c>
      <c r="G8615" s="206" t="s">
        <v>2809</v>
      </c>
      <c r="H8615" s="208" t="s">
        <v>4814</v>
      </c>
      <c r="I8615" s="206" t="s">
        <v>6835</v>
      </c>
    </row>
    <row r="8616" spans="1:9" ht="15" hidden="1" customHeight="1">
      <c r="A8616" s="728">
        <v>45595</v>
      </c>
      <c r="B8616" s="739" t="s">
        <v>6837</v>
      </c>
      <c r="C8616" s="774" t="s">
        <v>27</v>
      </c>
      <c r="D8616" s="784">
        <v>-100000</v>
      </c>
      <c r="E8616" s="212">
        <v>45597</v>
      </c>
      <c r="F8616" s="206" t="s">
        <v>109</v>
      </c>
      <c r="G8616" s="206" t="s">
        <v>2809</v>
      </c>
      <c r="H8616" s="208" t="s">
        <v>4814</v>
      </c>
      <c r="I8616" s="206" t="s">
        <v>6835</v>
      </c>
    </row>
    <row r="8617" spans="1:9" ht="15" hidden="1" customHeight="1">
      <c r="A8617" s="728">
        <v>45600</v>
      </c>
      <c r="B8617" s="739" t="s">
        <v>6834</v>
      </c>
      <c r="C8617" s="774" t="s">
        <v>27</v>
      </c>
      <c r="D8617" s="784">
        <v>-20000</v>
      </c>
      <c r="E8617" s="212">
        <v>45597</v>
      </c>
      <c r="F8617" s="206" t="s">
        <v>109</v>
      </c>
      <c r="G8617" s="206" t="s">
        <v>2809</v>
      </c>
      <c r="H8617" s="208" t="s">
        <v>4814</v>
      </c>
      <c r="I8617" s="206" t="s">
        <v>6835</v>
      </c>
    </row>
    <row r="8618" spans="1:9" ht="15" hidden="1" customHeight="1">
      <c r="A8618" s="728">
        <v>45600</v>
      </c>
      <c r="B8618" s="739" t="s">
        <v>6837</v>
      </c>
      <c r="C8618" s="774" t="s">
        <v>27</v>
      </c>
      <c r="D8618" s="784">
        <v>-88000</v>
      </c>
      <c r="E8618" s="212">
        <v>45597</v>
      </c>
      <c r="F8618" s="206" t="s">
        <v>109</v>
      </c>
      <c r="G8618" s="206" t="s">
        <v>2809</v>
      </c>
      <c r="H8618" s="208" t="s">
        <v>4814</v>
      </c>
      <c r="I8618" s="206" t="s">
        <v>6835</v>
      </c>
    </row>
    <row r="8619" spans="1:9" ht="15" hidden="1" customHeight="1">
      <c r="A8619" s="728">
        <v>45604</v>
      </c>
      <c r="B8619" s="739" t="s">
        <v>6834</v>
      </c>
      <c r="C8619" s="774" t="s">
        <v>27</v>
      </c>
      <c r="D8619" s="784">
        <v>-20000</v>
      </c>
      <c r="E8619" s="212">
        <v>45597</v>
      </c>
      <c r="F8619" s="206" t="s">
        <v>109</v>
      </c>
      <c r="G8619" s="206" t="s">
        <v>2809</v>
      </c>
      <c r="H8619" s="208" t="s">
        <v>4814</v>
      </c>
      <c r="I8619" s="206" t="s">
        <v>6835</v>
      </c>
    </row>
    <row r="8620" spans="1:9" ht="15" hidden="1" customHeight="1">
      <c r="A8620" s="728">
        <v>45604</v>
      </c>
      <c r="B8620" s="739" t="s">
        <v>6837</v>
      </c>
      <c r="C8620" s="774" t="s">
        <v>27</v>
      </c>
      <c r="D8620" s="784">
        <v>-120000</v>
      </c>
      <c r="E8620" s="212">
        <v>45597</v>
      </c>
      <c r="F8620" s="206" t="s">
        <v>109</v>
      </c>
      <c r="G8620" s="206" t="s">
        <v>2809</v>
      </c>
      <c r="H8620" s="208" t="s">
        <v>4814</v>
      </c>
      <c r="I8620" s="206" t="s">
        <v>6835</v>
      </c>
    </row>
    <row r="8621" spans="1:9" ht="15" hidden="1" customHeight="1">
      <c r="A8621" s="728">
        <v>45611</v>
      </c>
      <c r="B8621" s="739" t="s">
        <v>6834</v>
      </c>
      <c r="C8621" s="774" t="s">
        <v>27</v>
      </c>
      <c r="D8621" s="784">
        <v>-20000</v>
      </c>
      <c r="E8621" s="212">
        <v>45597</v>
      </c>
      <c r="F8621" s="206" t="s">
        <v>109</v>
      </c>
      <c r="G8621" s="206" t="s">
        <v>2809</v>
      </c>
      <c r="H8621" s="208" t="s">
        <v>4814</v>
      </c>
      <c r="I8621" s="206" t="s">
        <v>6835</v>
      </c>
    </row>
    <row r="8622" spans="1:9" ht="15" hidden="1" customHeight="1">
      <c r="A8622" s="728">
        <v>45611</v>
      </c>
      <c r="B8622" s="739" t="s">
        <v>6837</v>
      </c>
      <c r="C8622" s="774" t="s">
        <v>27</v>
      </c>
      <c r="D8622" s="784">
        <v>-100000</v>
      </c>
      <c r="E8622" s="212">
        <v>45597</v>
      </c>
      <c r="F8622" s="206" t="s">
        <v>109</v>
      </c>
      <c r="G8622" s="206" t="s">
        <v>2809</v>
      </c>
      <c r="H8622" s="208" t="s">
        <v>4814</v>
      </c>
      <c r="I8622" s="206" t="s">
        <v>6835</v>
      </c>
    </row>
    <row r="8623" spans="1:9" ht="15" hidden="1" customHeight="1">
      <c r="A8623" s="728">
        <v>45613</v>
      </c>
      <c r="B8623" s="739" t="s">
        <v>6834</v>
      </c>
      <c r="C8623" s="774" t="s">
        <v>27</v>
      </c>
      <c r="D8623" s="784">
        <v>-20000</v>
      </c>
      <c r="E8623" s="212">
        <v>45597</v>
      </c>
      <c r="F8623" s="206" t="s">
        <v>109</v>
      </c>
      <c r="G8623" s="206" t="s">
        <v>2809</v>
      </c>
      <c r="H8623" s="208" t="s">
        <v>4814</v>
      </c>
      <c r="I8623" s="206" t="s">
        <v>6835</v>
      </c>
    </row>
    <row r="8624" spans="1:9" ht="15" hidden="1" customHeight="1">
      <c r="A8624" s="728">
        <v>45613</v>
      </c>
      <c r="B8624" s="739" t="s">
        <v>6837</v>
      </c>
      <c r="C8624" s="774" t="s">
        <v>27</v>
      </c>
      <c r="D8624" s="784">
        <v>-90000</v>
      </c>
      <c r="E8624" s="212">
        <v>45597</v>
      </c>
      <c r="F8624" s="206" t="s">
        <v>109</v>
      </c>
      <c r="G8624" s="206" t="s">
        <v>2809</v>
      </c>
      <c r="H8624" s="208" t="s">
        <v>4814</v>
      </c>
      <c r="I8624" s="206" t="s">
        <v>6835</v>
      </c>
    </row>
    <row r="8625" spans="1:9" ht="15" hidden="1" customHeight="1">
      <c r="A8625" s="728">
        <v>45601</v>
      </c>
      <c r="B8625" s="739" t="s">
        <v>6836</v>
      </c>
      <c r="C8625" s="774" t="s">
        <v>27</v>
      </c>
      <c r="D8625" s="784">
        <v>-65100</v>
      </c>
      <c r="E8625" s="212">
        <v>45597</v>
      </c>
      <c r="F8625" s="206" t="s">
        <v>109</v>
      </c>
      <c r="G8625" s="206" t="s">
        <v>2809</v>
      </c>
      <c r="H8625" s="206" t="s">
        <v>4814</v>
      </c>
      <c r="I8625" s="206" t="s">
        <v>6835</v>
      </c>
    </row>
    <row r="8626" spans="1:9" ht="15" hidden="1" customHeight="1">
      <c r="A8626" s="205">
        <v>45623</v>
      </c>
      <c r="B8626" s="638" t="s">
        <v>6838</v>
      </c>
      <c r="C8626" s="206" t="s">
        <v>27</v>
      </c>
      <c r="D8626" s="784">
        <v>-650000</v>
      </c>
      <c r="E8626" s="212">
        <v>45597</v>
      </c>
      <c r="F8626" s="206" t="s">
        <v>109</v>
      </c>
      <c r="G8626" s="206" t="s">
        <v>2809</v>
      </c>
      <c r="H8626" s="206" t="s">
        <v>1175</v>
      </c>
      <c r="I8626" s="206"/>
    </row>
    <row r="8627" spans="1:9" ht="15" hidden="1" customHeight="1">
      <c r="A8627" s="205">
        <v>45623</v>
      </c>
      <c r="B8627" s="208" t="s">
        <v>6839</v>
      </c>
      <c r="C8627" s="206" t="s">
        <v>27</v>
      </c>
      <c r="D8627" s="784">
        <v>-382585</v>
      </c>
      <c r="E8627" s="212">
        <v>45597</v>
      </c>
      <c r="F8627" s="206" t="s">
        <v>109</v>
      </c>
      <c r="G8627" s="208" t="s">
        <v>3529</v>
      </c>
      <c r="H8627" s="206" t="s">
        <v>549</v>
      </c>
      <c r="I8627" s="720" t="s">
        <v>5410</v>
      </c>
    </row>
    <row r="8628" spans="1:9" ht="15" hidden="1" customHeight="1">
      <c r="A8628" s="205">
        <v>45623</v>
      </c>
      <c r="B8628" s="208" t="s">
        <v>1337</v>
      </c>
      <c r="C8628" s="206" t="s">
        <v>27</v>
      </c>
      <c r="D8628" s="718">
        <v>-1623465</v>
      </c>
      <c r="E8628" s="212">
        <v>45597</v>
      </c>
      <c r="F8628" s="206" t="s">
        <v>109</v>
      </c>
      <c r="G8628" s="601" t="s">
        <v>581</v>
      </c>
      <c r="H8628" s="206" t="s">
        <v>6840</v>
      </c>
      <c r="I8628" s="206"/>
    </row>
    <row r="8629" spans="1:9" ht="15" hidden="1" customHeight="1">
      <c r="A8629" s="205">
        <v>45623</v>
      </c>
      <c r="B8629" s="208" t="s">
        <v>6841</v>
      </c>
      <c r="C8629" s="206" t="s">
        <v>27</v>
      </c>
      <c r="D8629" s="784">
        <v>-340470</v>
      </c>
      <c r="E8629" s="212">
        <v>45597</v>
      </c>
      <c r="F8629" s="206" t="s">
        <v>130</v>
      </c>
      <c r="G8629" s="206" t="s">
        <v>257</v>
      </c>
      <c r="H8629" s="206" t="s">
        <v>2724</v>
      </c>
      <c r="I8629" s="206"/>
    </row>
    <row r="8630" spans="1:9" ht="15" hidden="1" customHeight="1">
      <c r="A8630" s="205">
        <v>45623</v>
      </c>
      <c r="B8630" s="208" t="s">
        <v>6842</v>
      </c>
      <c r="C8630" s="206" t="s">
        <v>27</v>
      </c>
      <c r="D8630" s="784">
        <v>-96986767</v>
      </c>
      <c r="E8630" s="212">
        <v>45597</v>
      </c>
      <c r="F8630" s="206" t="s">
        <v>109</v>
      </c>
      <c r="G8630" s="206" t="s">
        <v>5990</v>
      </c>
      <c r="H8630" s="206" t="s">
        <v>6843</v>
      </c>
      <c r="I8630" s="206"/>
    </row>
    <row r="8631" spans="1:9" ht="15" hidden="1" customHeight="1">
      <c r="A8631" s="205">
        <v>45623</v>
      </c>
      <c r="B8631" s="208" t="s">
        <v>6844</v>
      </c>
      <c r="C8631" s="206" t="s">
        <v>27</v>
      </c>
      <c r="D8631" s="784">
        <v>-3588945</v>
      </c>
      <c r="E8631" s="212">
        <v>45597</v>
      </c>
      <c r="F8631" s="206" t="s">
        <v>118</v>
      </c>
      <c r="I8631" s="206"/>
    </row>
    <row r="8632" spans="1:9" ht="15" hidden="1" customHeight="1">
      <c r="A8632" s="205">
        <v>45623</v>
      </c>
      <c r="B8632" s="208" t="s">
        <v>6845</v>
      </c>
      <c r="C8632" s="206" t="s">
        <v>27</v>
      </c>
      <c r="D8632" s="784">
        <v>-298010</v>
      </c>
      <c r="E8632" s="212">
        <v>45597</v>
      </c>
      <c r="F8632" s="206" t="s">
        <v>130</v>
      </c>
      <c r="G8632" s="206" t="s">
        <v>257</v>
      </c>
      <c r="H8632" s="206" t="s">
        <v>2724</v>
      </c>
      <c r="I8632" s="206"/>
    </row>
    <row r="8633" spans="1:9" ht="15" hidden="1" customHeight="1">
      <c r="A8633" s="205">
        <v>45624</v>
      </c>
      <c r="B8633" s="208" t="s">
        <v>6846</v>
      </c>
      <c r="C8633" s="206" t="s">
        <v>27</v>
      </c>
      <c r="D8633" s="784">
        <v>-468850.48</v>
      </c>
      <c r="E8633" s="212">
        <v>45597</v>
      </c>
      <c r="F8633" s="206" t="s">
        <v>109</v>
      </c>
      <c r="G8633" s="206" t="s">
        <v>4986</v>
      </c>
      <c r="H8633" s="206" t="s">
        <v>549</v>
      </c>
      <c r="I8633" s="206"/>
    </row>
    <row r="8634" spans="1:9" ht="15" hidden="1" customHeight="1">
      <c r="A8634" s="205">
        <v>45623</v>
      </c>
      <c r="B8634" s="208" t="s">
        <v>6847</v>
      </c>
      <c r="C8634" s="206" t="s">
        <v>27</v>
      </c>
      <c r="D8634" s="784">
        <v>-161810</v>
      </c>
      <c r="E8634" s="212">
        <v>45597</v>
      </c>
      <c r="F8634" s="206" t="s">
        <v>130</v>
      </c>
      <c r="G8634" s="206" t="s">
        <v>3107</v>
      </c>
      <c r="H8634" s="206" t="s">
        <v>2724</v>
      </c>
      <c r="I8634" s="206"/>
    </row>
    <row r="8635" spans="1:9" ht="15" hidden="1" customHeight="1">
      <c r="A8635" s="205">
        <v>45611</v>
      </c>
      <c r="B8635" s="208" t="s">
        <v>6848</v>
      </c>
      <c r="C8635" s="206" t="s">
        <v>27</v>
      </c>
      <c r="D8635" s="784">
        <v>-25000</v>
      </c>
      <c r="E8635" s="212">
        <v>45597</v>
      </c>
      <c r="F8635" s="206" t="s">
        <v>130</v>
      </c>
      <c r="G8635" s="206" t="s">
        <v>3107</v>
      </c>
      <c r="H8635" s="206" t="s">
        <v>303</v>
      </c>
      <c r="I8635" s="206" t="s">
        <v>6849</v>
      </c>
    </row>
    <row r="8636" spans="1:9" ht="15" hidden="1" customHeight="1">
      <c r="A8636" s="205">
        <v>45611</v>
      </c>
      <c r="B8636" s="208" t="s">
        <v>6850</v>
      </c>
      <c r="C8636" s="206" t="s">
        <v>27</v>
      </c>
      <c r="D8636" s="784">
        <v>-31000</v>
      </c>
      <c r="E8636" s="212">
        <v>45597</v>
      </c>
      <c r="F8636" s="206" t="s">
        <v>130</v>
      </c>
      <c r="G8636" s="206" t="s">
        <v>3107</v>
      </c>
      <c r="H8636" s="206" t="s">
        <v>303</v>
      </c>
      <c r="I8636" s="206" t="s">
        <v>6849</v>
      </c>
    </row>
    <row r="8637" spans="1:9" ht="15" hidden="1" customHeight="1">
      <c r="A8637" s="205">
        <v>45614</v>
      </c>
      <c r="B8637" s="208" t="s">
        <v>6851</v>
      </c>
      <c r="C8637" s="206" t="s">
        <v>27</v>
      </c>
      <c r="D8637" s="784">
        <v>-18000</v>
      </c>
      <c r="E8637" s="212">
        <v>45597</v>
      </c>
      <c r="F8637" s="206" t="s">
        <v>110</v>
      </c>
      <c r="G8637" s="206" t="s">
        <v>5503</v>
      </c>
      <c r="H8637" s="206" t="s">
        <v>2941</v>
      </c>
      <c r="I8637" s="206" t="s">
        <v>6849</v>
      </c>
    </row>
    <row r="8638" spans="1:9" ht="15" hidden="1" customHeight="1">
      <c r="A8638" s="205">
        <v>45614</v>
      </c>
      <c r="B8638" s="208" t="s">
        <v>6852</v>
      </c>
      <c r="C8638" s="206" t="s">
        <v>27</v>
      </c>
      <c r="D8638" s="784">
        <v>-43554</v>
      </c>
      <c r="E8638" s="212">
        <v>45597</v>
      </c>
      <c r="F8638" s="206" t="s">
        <v>110</v>
      </c>
      <c r="G8638" s="206" t="s">
        <v>5503</v>
      </c>
      <c r="H8638" s="206" t="s">
        <v>2941</v>
      </c>
      <c r="I8638" s="206" t="s">
        <v>6849</v>
      </c>
    </row>
    <row r="8639" spans="1:9" ht="15" hidden="1" customHeight="1">
      <c r="A8639" s="205">
        <v>45614</v>
      </c>
      <c r="B8639" s="208" t="s">
        <v>6853</v>
      </c>
      <c r="C8639" s="206" t="s">
        <v>27</v>
      </c>
      <c r="D8639" s="784">
        <v>-46400</v>
      </c>
      <c r="E8639" s="212">
        <v>45597</v>
      </c>
      <c r="F8639" s="206" t="s">
        <v>110</v>
      </c>
      <c r="G8639" s="206" t="s">
        <v>5503</v>
      </c>
      <c r="H8639" s="206" t="s">
        <v>2941</v>
      </c>
      <c r="I8639" s="206" t="s">
        <v>6849</v>
      </c>
    </row>
    <row r="8640" spans="1:9" ht="15" hidden="1" customHeight="1">
      <c r="A8640" s="205">
        <v>45614</v>
      </c>
      <c r="B8640" s="208" t="s">
        <v>6854</v>
      </c>
      <c r="C8640" s="206" t="s">
        <v>27</v>
      </c>
      <c r="D8640" s="784">
        <v>-9600</v>
      </c>
      <c r="E8640" s="212">
        <v>45597</v>
      </c>
      <c r="F8640" s="206" t="s">
        <v>110</v>
      </c>
      <c r="G8640" s="206" t="s">
        <v>5503</v>
      </c>
      <c r="H8640" s="206" t="s">
        <v>2941</v>
      </c>
      <c r="I8640" s="206" t="s">
        <v>6849</v>
      </c>
    </row>
    <row r="8641" spans="1:9" ht="15" hidden="1" customHeight="1">
      <c r="A8641" s="205">
        <v>45615</v>
      </c>
      <c r="B8641" s="208" t="s">
        <v>6455</v>
      </c>
      <c r="C8641" s="206" t="s">
        <v>27</v>
      </c>
      <c r="D8641" s="784">
        <v>-12895.56</v>
      </c>
      <c r="E8641" s="212">
        <v>45597</v>
      </c>
      <c r="F8641" s="206" t="s">
        <v>110</v>
      </c>
      <c r="G8641" s="206" t="s">
        <v>5503</v>
      </c>
      <c r="H8641" s="206" t="s">
        <v>2941</v>
      </c>
      <c r="I8641" s="206" t="s">
        <v>6849</v>
      </c>
    </row>
    <row r="8642" spans="1:9" ht="15" hidden="1" customHeight="1">
      <c r="A8642" s="205">
        <v>45615</v>
      </c>
      <c r="B8642" s="208" t="s">
        <v>6855</v>
      </c>
      <c r="C8642" s="206" t="s">
        <v>27</v>
      </c>
      <c r="D8642" s="784">
        <v>-114395</v>
      </c>
      <c r="E8642" s="212">
        <v>45597</v>
      </c>
      <c r="F8642" s="206" t="s">
        <v>110</v>
      </c>
      <c r="G8642" s="206" t="s">
        <v>5503</v>
      </c>
      <c r="H8642" s="206" t="s">
        <v>2941</v>
      </c>
      <c r="I8642" s="206" t="s">
        <v>6849</v>
      </c>
    </row>
    <row r="8643" spans="1:9" ht="15" hidden="1" customHeight="1">
      <c r="A8643" s="205">
        <v>45615</v>
      </c>
      <c r="B8643" s="208" t="s">
        <v>6856</v>
      </c>
      <c r="C8643" s="206" t="s">
        <v>27</v>
      </c>
      <c r="D8643" s="784">
        <v>-5600</v>
      </c>
      <c r="E8643" s="212">
        <v>45597</v>
      </c>
      <c r="F8643" s="206" t="s">
        <v>110</v>
      </c>
      <c r="G8643" s="206" t="s">
        <v>5503</v>
      </c>
      <c r="H8643" s="206" t="s">
        <v>2941</v>
      </c>
      <c r="I8643" s="206" t="s">
        <v>6849</v>
      </c>
    </row>
    <row r="8644" spans="1:9" ht="15" hidden="1" customHeight="1">
      <c r="A8644" s="205">
        <v>45616</v>
      </c>
      <c r="B8644" s="208" t="s">
        <v>6857</v>
      </c>
      <c r="C8644" s="206" t="s">
        <v>27</v>
      </c>
      <c r="D8644" s="784">
        <v>-11600</v>
      </c>
      <c r="E8644" s="212">
        <v>45597</v>
      </c>
      <c r="F8644" s="206" t="s">
        <v>130</v>
      </c>
      <c r="G8644" s="206" t="s">
        <v>3107</v>
      </c>
      <c r="H8644" s="206" t="s">
        <v>138</v>
      </c>
      <c r="I8644" s="206" t="s">
        <v>6849</v>
      </c>
    </row>
    <row r="8645" spans="1:9" ht="15" hidden="1" customHeight="1">
      <c r="A8645" s="205">
        <v>45616</v>
      </c>
      <c r="B8645" s="208" t="s">
        <v>6858</v>
      </c>
      <c r="C8645" s="206" t="s">
        <v>27</v>
      </c>
      <c r="D8645" s="784">
        <v>-11600</v>
      </c>
      <c r="E8645" s="212">
        <v>45597</v>
      </c>
      <c r="F8645" s="206" t="s">
        <v>130</v>
      </c>
      <c r="G8645" s="206" t="s">
        <v>3107</v>
      </c>
      <c r="H8645" s="206" t="s">
        <v>138</v>
      </c>
      <c r="I8645" s="206" t="s">
        <v>6849</v>
      </c>
    </row>
    <row r="8646" spans="1:9" ht="15" hidden="1" customHeight="1">
      <c r="A8646" s="205">
        <v>45616</v>
      </c>
      <c r="B8646" s="208" t="s">
        <v>6859</v>
      </c>
      <c r="C8646" s="206" t="s">
        <v>27</v>
      </c>
      <c r="D8646" s="784">
        <v>-15700</v>
      </c>
      <c r="E8646" s="212">
        <v>45597</v>
      </c>
      <c r="F8646" s="206" t="s">
        <v>130</v>
      </c>
      <c r="G8646" s="206" t="s">
        <v>3107</v>
      </c>
      <c r="H8646" s="262" t="s">
        <v>1138</v>
      </c>
      <c r="I8646" s="206" t="s">
        <v>6849</v>
      </c>
    </row>
    <row r="8647" spans="1:9" ht="15" hidden="1" customHeight="1">
      <c r="A8647" s="205">
        <v>45616</v>
      </c>
      <c r="B8647" s="208" t="s">
        <v>6860</v>
      </c>
      <c r="C8647" s="206" t="s">
        <v>27</v>
      </c>
      <c r="D8647" s="784">
        <v>-15000</v>
      </c>
      <c r="E8647" s="212">
        <v>45597</v>
      </c>
      <c r="F8647" s="206" t="s">
        <v>130</v>
      </c>
      <c r="G8647" s="206" t="s">
        <v>3107</v>
      </c>
      <c r="H8647" s="262" t="s">
        <v>1138</v>
      </c>
      <c r="I8647" s="206" t="s">
        <v>6849</v>
      </c>
    </row>
    <row r="8648" spans="1:9" ht="15" hidden="1" customHeight="1">
      <c r="A8648" s="205">
        <v>45616</v>
      </c>
      <c r="B8648" s="208" t="s">
        <v>6861</v>
      </c>
      <c r="C8648" s="206" t="s">
        <v>27</v>
      </c>
      <c r="D8648" s="784">
        <v>-15900</v>
      </c>
      <c r="E8648" s="212">
        <v>45597</v>
      </c>
      <c r="F8648" s="206" t="s">
        <v>130</v>
      </c>
      <c r="G8648" s="206" t="s">
        <v>3107</v>
      </c>
      <c r="H8648" s="262" t="s">
        <v>1138</v>
      </c>
      <c r="I8648" s="206" t="s">
        <v>6849</v>
      </c>
    </row>
    <row r="8649" spans="1:9" ht="15" hidden="1" customHeight="1">
      <c r="A8649" s="205">
        <v>45617</v>
      </c>
      <c r="B8649" s="208" t="s">
        <v>6862</v>
      </c>
      <c r="C8649" s="206" t="s">
        <v>27</v>
      </c>
      <c r="D8649" s="784">
        <v>-217457</v>
      </c>
      <c r="E8649" s="212">
        <v>45597</v>
      </c>
      <c r="F8649" s="206" t="s">
        <v>110</v>
      </c>
      <c r="G8649" s="206" t="s">
        <v>5503</v>
      </c>
      <c r="H8649" s="206" t="s">
        <v>2941</v>
      </c>
      <c r="I8649" s="206" t="s">
        <v>6849</v>
      </c>
    </row>
    <row r="8650" spans="1:9" ht="15" hidden="1" customHeight="1">
      <c r="A8650" s="205">
        <v>45618</v>
      </c>
      <c r="B8650" s="208" t="s">
        <v>6863</v>
      </c>
      <c r="C8650" s="206" t="s">
        <v>27</v>
      </c>
      <c r="D8650" s="784">
        <v>-20500</v>
      </c>
      <c r="E8650" s="212">
        <v>45597</v>
      </c>
      <c r="F8650" s="206" t="s">
        <v>110</v>
      </c>
      <c r="G8650" s="206" t="s">
        <v>5503</v>
      </c>
      <c r="H8650" s="206" t="s">
        <v>2941</v>
      </c>
      <c r="I8650" s="206" t="s">
        <v>6849</v>
      </c>
    </row>
    <row r="8651" spans="1:9" ht="15" hidden="1" customHeight="1">
      <c r="A8651" s="205">
        <v>45618</v>
      </c>
      <c r="B8651" s="208" t="s">
        <v>6864</v>
      </c>
      <c r="C8651" s="206" t="s">
        <v>27</v>
      </c>
      <c r="D8651" s="784">
        <v>-36000</v>
      </c>
      <c r="E8651" s="212">
        <v>45597</v>
      </c>
      <c r="F8651" s="206" t="s">
        <v>110</v>
      </c>
      <c r="G8651" s="206" t="s">
        <v>5503</v>
      </c>
      <c r="H8651" s="206" t="s">
        <v>2941</v>
      </c>
      <c r="I8651" s="206" t="s">
        <v>6849</v>
      </c>
    </row>
    <row r="8652" spans="1:9" ht="15" hidden="1" customHeight="1">
      <c r="A8652" s="205">
        <v>45621</v>
      </c>
      <c r="B8652" s="208" t="s">
        <v>6865</v>
      </c>
      <c r="C8652" s="206" t="s">
        <v>27</v>
      </c>
      <c r="D8652" s="784">
        <v>-108650</v>
      </c>
      <c r="E8652" s="212">
        <v>45597</v>
      </c>
      <c r="F8652" s="206" t="s">
        <v>110</v>
      </c>
      <c r="G8652" s="206" t="s">
        <v>5503</v>
      </c>
      <c r="H8652" s="206" t="s">
        <v>2941</v>
      </c>
      <c r="I8652" s="206" t="s">
        <v>6849</v>
      </c>
    </row>
    <row r="8653" spans="1:9" ht="15" hidden="1" customHeight="1">
      <c r="A8653" s="205">
        <v>45624</v>
      </c>
      <c r="B8653" s="591" t="s">
        <v>6866</v>
      </c>
      <c r="C8653" s="206" t="s">
        <v>27</v>
      </c>
      <c r="D8653" s="784">
        <v>-63225</v>
      </c>
      <c r="E8653" s="212">
        <v>45597</v>
      </c>
      <c r="F8653" s="206" t="s">
        <v>109</v>
      </c>
      <c r="G8653" s="208" t="s">
        <v>4225</v>
      </c>
      <c r="H8653" s="206" t="s">
        <v>549</v>
      </c>
      <c r="I8653" s="206"/>
    </row>
    <row r="8654" spans="1:9" ht="15" hidden="1" customHeight="1">
      <c r="A8654" s="205">
        <v>45624</v>
      </c>
      <c r="B8654" s="591" t="s">
        <v>6265</v>
      </c>
      <c r="C8654" s="206" t="s">
        <v>146</v>
      </c>
      <c r="D8654" s="211">
        <v>-3500</v>
      </c>
      <c r="E8654" s="212">
        <v>45597</v>
      </c>
      <c r="F8654" s="206" t="s">
        <v>109</v>
      </c>
      <c r="G8654" s="206" t="s">
        <v>5990</v>
      </c>
      <c r="H8654" s="206" t="s">
        <v>6266</v>
      </c>
      <c r="I8654" s="206" t="s">
        <v>6793</v>
      </c>
    </row>
    <row r="8655" spans="1:9" ht="15" hidden="1" customHeight="1">
      <c r="A8655" s="205">
        <v>45624</v>
      </c>
      <c r="B8655" s="591" t="s">
        <v>6265</v>
      </c>
      <c r="C8655" s="206" t="s">
        <v>146</v>
      </c>
      <c r="D8655" s="211">
        <v>-3500</v>
      </c>
      <c r="E8655" s="212">
        <v>45597</v>
      </c>
      <c r="F8655" s="206" t="s">
        <v>109</v>
      </c>
      <c r="G8655" s="601" t="s">
        <v>581</v>
      </c>
      <c r="H8655" s="206" t="s">
        <v>6266</v>
      </c>
      <c r="I8655" s="206" t="s">
        <v>6793</v>
      </c>
    </row>
    <row r="8656" spans="1:9" ht="15" hidden="1" customHeight="1">
      <c r="A8656" s="205">
        <v>45623</v>
      </c>
      <c r="B8656" s="591" t="s">
        <v>6867</v>
      </c>
      <c r="C8656" s="206" t="s">
        <v>146</v>
      </c>
      <c r="D8656" s="211">
        <v>-32189</v>
      </c>
      <c r="E8656" s="212">
        <v>45597</v>
      </c>
      <c r="F8656" s="206" t="s">
        <v>109</v>
      </c>
      <c r="G8656" s="206" t="s">
        <v>5990</v>
      </c>
      <c r="H8656" s="206" t="s">
        <v>6263</v>
      </c>
      <c r="I8656" s="206" t="s">
        <v>6793</v>
      </c>
    </row>
    <row r="8657" spans="1:9" ht="15" hidden="1" customHeight="1">
      <c r="A8657" s="205">
        <v>45623</v>
      </c>
      <c r="B8657" s="591" t="s">
        <v>6867</v>
      </c>
      <c r="C8657" s="206" t="s">
        <v>146</v>
      </c>
      <c r="D8657" s="211">
        <v>-32189</v>
      </c>
      <c r="E8657" s="212">
        <v>45597</v>
      </c>
      <c r="F8657" s="206" t="s">
        <v>109</v>
      </c>
      <c r="G8657" s="206" t="s">
        <v>5990</v>
      </c>
      <c r="H8657" s="206" t="s">
        <v>6263</v>
      </c>
      <c r="I8657" s="206" t="s">
        <v>6793</v>
      </c>
    </row>
    <row r="8658" spans="1:9" ht="15" hidden="1" customHeight="1">
      <c r="A8658" s="205">
        <v>45624</v>
      </c>
      <c r="B8658" s="591" t="s">
        <v>6868</v>
      </c>
      <c r="C8658" s="206" t="s">
        <v>146</v>
      </c>
      <c r="D8658" s="211">
        <v>-6750</v>
      </c>
      <c r="E8658" s="212">
        <v>45597</v>
      </c>
      <c r="F8658" s="206" t="s">
        <v>109</v>
      </c>
      <c r="G8658" s="206" t="s">
        <v>5990</v>
      </c>
      <c r="H8658" s="206" t="s">
        <v>6266</v>
      </c>
      <c r="I8658" s="206" t="s">
        <v>6793</v>
      </c>
    </row>
    <row r="8659" spans="1:9" ht="15" hidden="1" customHeight="1">
      <c r="A8659" s="205">
        <v>45624</v>
      </c>
      <c r="B8659" s="591" t="s">
        <v>6868</v>
      </c>
      <c r="C8659" s="206" t="s">
        <v>146</v>
      </c>
      <c r="D8659" s="211">
        <v>-6750</v>
      </c>
      <c r="E8659" s="212">
        <v>45597</v>
      </c>
      <c r="F8659" s="206" t="s">
        <v>109</v>
      </c>
      <c r="G8659" s="601" t="s">
        <v>581</v>
      </c>
      <c r="H8659" s="206" t="s">
        <v>6266</v>
      </c>
      <c r="I8659" s="206" t="s">
        <v>6793</v>
      </c>
    </row>
    <row r="8660" spans="1:9" ht="15" hidden="1" customHeight="1">
      <c r="A8660" s="205">
        <v>45624</v>
      </c>
      <c r="B8660" s="591" t="s">
        <v>6869</v>
      </c>
      <c r="C8660" s="206" t="s">
        <v>146</v>
      </c>
      <c r="D8660" s="211">
        <v>-6750</v>
      </c>
      <c r="E8660" s="212">
        <v>45597</v>
      </c>
      <c r="F8660" s="206" t="s">
        <v>109</v>
      </c>
      <c r="G8660" s="206" t="s">
        <v>5990</v>
      </c>
      <c r="H8660" s="206" t="s">
        <v>6266</v>
      </c>
      <c r="I8660" s="206" t="s">
        <v>6793</v>
      </c>
    </row>
    <row r="8661" spans="1:9" ht="15" hidden="1" customHeight="1">
      <c r="A8661" s="205">
        <v>45624</v>
      </c>
      <c r="B8661" s="591" t="s">
        <v>6869</v>
      </c>
      <c r="C8661" s="206" t="s">
        <v>146</v>
      </c>
      <c r="D8661" s="211">
        <v>-6750</v>
      </c>
      <c r="E8661" s="212">
        <v>45597</v>
      </c>
      <c r="F8661" s="206" t="s">
        <v>109</v>
      </c>
      <c r="G8661" s="601" t="s">
        <v>581</v>
      </c>
      <c r="H8661" s="206" t="s">
        <v>6266</v>
      </c>
      <c r="I8661" s="206" t="s">
        <v>6793</v>
      </c>
    </row>
    <row r="8662" spans="1:9" ht="15" hidden="1" customHeight="1">
      <c r="A8662" s="205">
        <v>45624</v>
      </c>
      <c r="B8662" s="591" t="s">
        <v>6870</v>
      </c>
      <c r="C8662" s="206" t="s">
        <v>146</v>
      </c>
      <c r="D8662" s="211">
        <v>-10000</v>
      </c>
      <c r="E8662" s="212">
        <v>45597</v>
      </c>
      <c r="F8662" s="206" t="s">
        <v>109</v>
      </c>
      <c r="G8662" s="206" t="s">
        <v>5990</v>
      </c>
      <c r="H8662" s="206" t="s">
        <v>6266</v>
      </c>
      <c r="I8662" s="206" t="s">
        <v>6793</v>
      </c>
    </row>
    <row r="8663" spans="1:9" ht="15" hidden="1" customHeight="1">
      <c r="A8663" s="205">
        <v>45624</v>
      </c>
      <c r="B8663" s="591" t="s">
        <v>6871</v>
      </c>
      <c r="C8663" s="206" t="s">
        <v>146</v>
      </c>
      <c r="D8663" s="211">
        <v>-10000</v>
      </c>
      <c r="E8663" s="212">
        <v>45597</v>
      </c>
      <c r="F8663" s="206" t="s">
        <v>109</v>
      </c>
      <c r="G8663" s="601" t="s">
        <v>581</v>
      </c>
      <c r="H8663" s="206" t="s">
        <v>6266</v>
      </c>
      <c r="I8663" s="206" t="s">
        <v>6793</v>
      </c>
    </row>
    <row r="8664" spans="1:9" ht="15" hidden="1" customHeight="1">
      <c r="A8664" s="205">
        <v>45624</v>
      </c>
      <c r="B8664" s="591" t="s">
        <v>6872</v>
      </c>
      <c r="C8664" s="206" t="s">
        <v>146</v>
      </c>
      <c r="D8664" s="211">
        <v>-5000</v>
      </c>
      <c r="E8664" s="212">
        <v>45597</v>
      </c>
      <c r="F8664" s="206" t="s">
        <v>109</v>
      </c>
      <c r="G8664" s="206" t="s">
        <v>5990</v>
      </c>
      <c r="H8664" s="206" t="s">
        <v>6266</v>
      </c>
      <c r="I8664" s="206" t="s">
        <v>6793</v>
      </c>
    </row>
    <row r="8665" spans="1:9" ht="15" hidden="1" customHeight="1">
      <c r="A8665" s="205">
        <v>45624</v>
      </c>
      <c r="B8665" s="591" t="s">
        <v>6872</v>
      </c>
      <c r="C8665" s="206" t="s">
        <v>146</v>
      </c>
      <c r="D8665" s="211">
        <v>-5000</v>
      </c>
      <c r="E8665" s="212">
        <v>45597</v>
      </c>
      <c r="F8665" s="206" t="s">
        <v>109</v>
      </c>
      <c r="G8665" s="601" t="s">
        <v>581</v>
      </c>
      <c r="H8665" s="206" t="s">
        <v>6266</v>
      </c>
      <c r="I8665" s="206" t="s">
        <v>6793</v>
      </c>
    </row>
    <row r="8666" spans="1:9" ht="15" hidden="1" customHeight="1">
      <c r="A8666" s="205">
        <v>45624</v>
      </c>
      <c r="B8666" s="591" t="s">
        <v>6873</v>
      </c>
      <c r="C8666" s="206" t="s">
        <v>146</v>
      </c>
      <c r="D8666" s="211">
        <v>-36996</v>
      </c>
      <c r="E8666" s="212">
        <v>45597</v>
      </c>
      <c r="F8666" s="206" t="s">
        <v>109</v>
      </c>
      <c r="G8666" s="206" t="s">
        <v>5990</v>
      </c>
      <c r="H8666" s="206" t="s">
        <v>6266</v>
      </c>
      <c r="I8666" s="206" t="s">
        <v>6793</v>
      </c>
    </row>
    <row r="8667" spans="1:9" ht="15" hidden="1" customHeight="1">
      <c r="A8667" s="205">
        <v>45624</v>
      </c>
      <c r="B8667" s="591" t="s">
        <v>6873</v>
      </c>
      <c r="C8667" s="206" t="s">
        <v>146</v>
      </c>
      <c r="D8667" s="211">
        <v>-36996</v>
      </c>
      <c r="E8667" s="212">
        <v>45597</v>
      </c>
      <c r="F8667" s="206" t="s">
        <v>109</v>
      </c>
      <c r="G8667" s="601" t="s">
        <v>581</v>
      </c>
      <c r="H8667" s="775" t="s">
        <v>6266</v>
      </c>
      <c r="I8667" s="206" t="s">
        <v>6793</v>
      </c>
    </row>
    <row r="8668" spans="1:9" ht="15" hidden="1" customHeight="1">
      <c r="A8668" s="205">
        <v>45624</v>
      </c>
      <c r="B8668" s="591" t="s">
        <v>6874</v>
      </c>
      <c r="C8668" s="206" t="s">
        <v>146</v>
      </c>
      <c r="D8668" s="211">
        <v>170000</v>
      </c>
      <c r="E8668" s="212">
        <v>45597</v>
      </c>
      <c r="F8668" s="206" t="s">
        <v>109</v>
      </c>
      <c r="G8668" s="206" t="s">
        <v>6875</v>
      </c>
      <c r="H8668" s="206" t="s">
        <v>2941</v>
      </c>
      <c r="I8668" s="206"/>
    </row>
    <row r="8669" spans="1:9" ht="15" hidden="1" customHeight="1">
      <c r="A8669" s="728">
        <v>45625</v>
      </c>
      <c r="B8669" s="591" t="s">
        <v>6359</v>
      </c>
      <c r="C8669" s="774" t="s">
        <v>27</v>
      </c>
      <c r="D8669" s="784">
        <v>-673000</v>
      </c>
      <c r="E8669" s="212">
        <v>45597</v>
      </c>
      <c r="F8669" s="206" t="s">
        <v>130</v>
      </c>
      <c r="G8669" s="206" t="s">
        <v>130</v>
      </c>
      <c r="H8669" s="206" t="s">
        <v>1175</v>
      </c>
      <c r="I8669" s="206"/>
    </row>
    <row r="8670" spans="1:9" ht="15" hidden="1" customHeight="1">
      <c r="A8670" s="728">
        <v>45625</v>
      </c>
      <c r="B8670" s="591" t="s">
        <v>6321</v>
      </c>
      <c r="C8670" s="774" t="s">
        <v>27</v>
      </c>
      <c r="D8670" s="784">
        <v>-699240</v>
      </c>
      <c r="E8670" s="212">
        <v>45597</v>
      </c>
      <c r="F8670" s="206" t="s">
        <v>130</v>
      </c>
      <c r="G8670" s="206" t="s">
        <v>130</v>
      </c>
      <c r="H8670" s="206" t="s">
        <v>1175</v>
      </c>
      <c r="I8670" s="206"/>
    </row>
    <row r="8671" spans="1:9" ht="15" hidden="1" customHeight="1">
      <c r="A8671" s="728">
        <v>45625</v>
      </c>
      <c r="B8671" s="591" t="s">
        <v>6320</v>
      </c>
      <c r="C8671" s="774" t="s">
        <v>27</v>
      </c>
      <c r="D8671" s="784">
        <v>-1038260</v>
      </c>
      <c r="E8671" s="212">
        <v>45597</v>
      </c>
      <c r="F8671" s="206" t="s">
        <v>110</v>
      </c>
      <c r="G8671" s="206" t="s">
        <v>5469</v>
      </c>
      <c r="H8671" s="206" t="s">
        <v>147</v>
      </c>
      <c r="I8671" s="206"/>
    </row>
    <row r="8672" spans="1:9" ht="15" hidden="1" customHeight="1">
      <c r="A8672" s="205">
        <v>45625</v>
      </c>
      <c r="B8672" s="591" t="s">
        <v>6322</v>
      </c>
      <c r="C8672" s="206" t="s">
        <v>27</v>
      </c>
      <c r="D8672" s="784">
        <v>-529200</v>
      </c>
      <c r="E8672" s="212">
        <v>45597</v>
      </c>
      <c r="F8672" s="206" t="s">
        <v>110</v>
      </c>
      <c r="G8672" s="206" t="s">
        <v>5469</v>
      </c>
      <c r="H8672" s="206" t="s">
        <v>147</v>
      </c>
      <c r="I8672" s="206"/>
    </row>
    <row r="8673" spans="1:9" ht="15" hidden="1" customHeight="1">
      <c r="A8673" s="205">
        <v>45625</v>
      </c>
      <c r="B8673" s="208" t="s">
        <v>6324</v>
      </c>
      <c r="C8673" s="206" t="s">
        <v>27</v>
      </c>
      <c r="D8673" s="784">
        <v>-1001000</v>
      </c>
      <c r="E8673" s="212">
        <v>45597</v>
      </c>
      <c r="F8673" s="206" t="s">
        <v>109</v>
      </c>
      <c r="G8673" s="206" t="s">
        <v>4986</v>
      </c>
      <c r="H8673" s="206" t="s">
        <v>147</v>
      </c>
      <c r="I8673" s="206"/>
    </row>
    <row r="8674" spans="1:9" ht="15" hidden="1" customHeight="1">
      <c r="A8674" s="205">
        <v>45625</v>
      </c>
      <c r="B8674" s="208" t="s">
        <v>6325</v>
      </c>
      <c r="C8674" s="206" t="s">
        <v>27</v>
      </c>
      <c r="D8674" s="784">
        <v>-679000</v>
      </c>
      <c r="E8674" s="212">
        <v>45597</v>
      </c>
      <c r="F8674" s="206" t="s">
        <v>109</v>
      </c>
      <c r="G8674" s="206" t="s">
        <v>4986</v>
      </c>
      <c r="H8674" s="206" t="s">
        <v>147</v>
      </c>
      <c r="I8674" s="206"/>
    </row>
    <row r="8675" spans="1:9" ht="15" hidden="1" customHeight="1">
      <c r="A8675" s="205">
        <v>45625</v>
      </c>
      <c r="B8675" s="208" t="s">
        <v>6331</v>
      </c>
      <c r="C8675" s="206" t="s">
        <v>27</v>
      </c>
      <c r="D8675" s="784">
        <v>-339500</v>
      </c>
      <c r="E8675" s="212">
        <v>45597</v>
      </c>
      <c r="F8675" s="206" t="s">
        <v>110</v>
      </c>
      <c r="G8675" s="208" t="s">
        <v>4990</v>
      </c>
      <c r="H8675" s="206" t="s">
        <v>147</v>
      </c>
      <c r="I8675" s="206"/>
    </row>
    <row r="8676" spans="1:9" ht="15" hidden="1" customHeight="1">
      <c r="A8676" s="205">
        <v>45625</v>
      </c>
      <c r="B8676" s="208" t="s">
        <v>6331</v>
      </c>
      <c r="C8676" s="206" t="s">
        <v>27</v>
      </c>
      <c r="D8676" s="784">
        <v>-339500</v>
      </c>
      <c r="E8676" s="212">
        <v>45597</v>
      </c>
      <c r="F8676" s="206" t="s">
        <v>109</v>
      </c>
      <c r="G8676" s="206" t="s">
        <v>4225</v>
      </c>
      <c r="H8676" s="206" t="s">
        <v>147</v>
      </c>
      <c r="I8676" s="206"/>
    </row>
    <row r="8677" spans="1:9" ht="15" hidden="1" customHeight="1">
      <c r="A8677" s="205">
        <v>45625</v>
      </c>
      <c r="B8677" s="208" t="s">
        <v>6332</v>
      </c>
      <c r="C8677" s="206" t="s">
        <v>27</v>
      </c>
      <c r="D8677" s="784">
        <v>-408850</v>
      </c>
      <c r="E8677" s="212">
        <v>45597</v>
      </c>
      <c r="F8677" s="206" t="s">
        <v>110</v>
      </c>
      <c r="G8677" s="208" t="s">
        <v>4990</v>
      </c>
      <c r="H8677" s="206" t="s">
        <v>147</v>
      </c>
      <c r="I8677" s="206"/>
    </row>
    <row r="8678" spans="1:9" ht="15" hidden="1" customHeight="1">
      <c r="A8678" s="205">
        <v>45625</v>
      </c>
      <c r="B8678" s="208" t="s">
        <v>6332</v>
      </c>
      <c r="C8678" s="206" t="s">
        <v>27</v>
      </c>
      <c r="D8678" s="784">
        <v>-408850</v>
      </c>
      <c r="E8678" s="212">
        <v>45597</v>
      </c>
      <c r="F8678" s="206" t="s">
        <v>109</v>
      </c>
      <c r="G8678" s="206" t="s">
        <v>4225</v>
      </c>
      <c r="H8678" s="206" t="s">
        <v>147</v>
      </c>
      <c r="I8678" s="206"/>
    </row>
    <row r="8679" spans="1:9" ht="15" hidden="1" customHeight="1">
      <c r="A8679" s="205">
        <v>45625</v>
      </c>
      <c r="B8679" s="208" t="s">
        <v>6333</v>
      </c>
      <c r="C8679" s="206" t="s">
        <v>27</v>
      </c>
      <c r="D8679" s="784">
        <v>-794000</v>
      </c>
      <c r="E8679" s="212">
        <v>45597</v>
      </c>
      <c r="F8679" s="206" t="s">
        <v>110</v>
      </c>
      <c r="G8679" s="206" t="s">
        <v>5469</v>
      </c>
      <c r="H8679" s="206" t="s">
        <v>147</v>
      </c>
      <c r="I8679" s="206"/>
    </row>
    <row r="8680" spans="1:9" ht="15" hidden="1" customHeight="1">
      <c r="A8680" s="205">
        <v>45625</v>
      </c>
      <c r="B8680" s="208" t="s">
        <v>6344</v>
      </c>
      <c r="C8680" s="206" t="s">
        <v>27</v>
      </c>
      <c r="D8680" s="784">
        <v>-679000</v>
      </c>
      <c r="E8680" s="212">
        <v>45597</v>
      </c>
      <c r="F8680" s="206" t="s">
        <v>109</v>
      </c>
      <c r="G8680" s="206" t="s">
        <v>4986</v>
      </c>
      <c r="H8680" s="206" t="s">
        <v>147</v>
      </c>
      <c r="I8680" s="206"/>
    </row>
    <row r="8681" spans="1:9" ht="15" hidden="1" customHeight="1">
      <c r="A8681" s="205">
        <v>45625</v>
      </c>
      <c r="B8681" s="208" t="s">
        <v>6345</v>
      </c>
      <c r="C8681" s="206" t="s">
        <v>27</v>
      </c>
      <c r="D8681" s="784">
        <v>-339500</v>
      </c>
      <c r="E8681" s="212">
        <v>45597</v>
      </c>
      <c r="F8681" s="206" t="s">
        <v>110</v>
      </c>
      <c r="G8681" s="208" t="s">
        <v>4990</v>
      </c>
      <c r="H8681" s="206" t="s">
        <v>147</v>
      </c>
      <c r="I8681" s="206"/>
    </row>
    <row r="8682" spans="1:9" ht="15" hidden="1" customHeight="1">
      <c r="A8682" s="205">
        <v>45625</v>
      </c>
      <c r="B8682" s="208" t="s">
        <v>6345</v>
      </c>
      <c r="C8682" s="206" t="s">
        <v>27</v>
      </c>
      <c r="D8682" s="784">
        <v>-339500</v>
      </c>
      <c r="E8682" s="212">
        <v>45597</v>
      </c>
      <c r="F8682" s="206" t="s">
        <v>109</v>
      </c>
      <c r="G8682" s="206" t="s">
        <v>4225</v>
      </c>
      <c r="H8682" s="206" t="s">
        <v>147</v>
      </c>
      <c r="I8682" s="206"/>
    </row>
    <row r="8683" spans="1:9" ht="15" hidden="1" customHeight="1">
      <c r="A8683" s="205">
        <v>45625</v>
      </c>
      <c r="B8683" s="208" t="s">
        <v>6346</v>
      </c>
      <c r="C8683" s="206" t="s">
        <v>27</v>
      </c>
      <c r="D8683" s="784">
        <v>-679000</v>
      </c>
      <c r="E8683" s="212">
        <v>45597</v>
      </c>
      <c r="F8683" s="206" t="s">
        <v>109</v>
      </c>
      <c r="G8683" s="206" t="s">
        <v>4225</v>
      </c>
      <c r="H8683" s="206" t="s">
        <v>147</v>
      </c>
      <c r="I8683" s="206"/>
    </row>
    <row r="8684" spans="1:9" ht="15" hidden="1" customHeight="1">
      <c r="A8684" s="205">
        <v>45625</v>
      </c>
      <c r="B8684" s="208" t="s">
        <v>6347</v>
      </c>
      <c r="C8684" s="206" t="s">
        <v>27</v>
      </c>
      <c r="D8684" s="784">
        <v>-679000</v>
      </c>
      <c r="E8684" s="212">
        <v>45597</v>
      </c>
      <c r="F8684" s="206" t="s">
        <v>110</v>
      </c>
      <c r="G8684" s="206" t="s">
        <v>5469</v>
      </c>
      <c r="H8684" s="206" t="s">
        <v>147</v>
      </c>
      <c r="I8684" s="206"/>
    </row>
    <row r="8685" spans="1:9" ht="15" hidden="1" customHeight="1">
      <c r="A8685" s="205">
        <v>45625</v>
      </c>
      <c r="B8685" s="208" t="s">
        <v>6348</v>
      </c>
      <c r="C8685" s="206" t="s">
        <v>27</v>
      </c>
      <c r="D8685" s="784">
        <v>-339500</v>
      </c>
      <c r="E8685" s="212">
        <v>45597</v>
      </c>
      <c r="F8685" s="206" t="s">
        <v>110</v>
      </c>
      <c r="G8685" s="208" t="s">
        <v>4990</v>
      </c>
      <c r="H8685" s="206" t="s">
        <v>147</v>
      </c>
      <c r="I8685" s="206"/>
    </row>
    <row r="8686" spans="1:9" ht="15" hidden="1" customHeight="1">
      <c r="A8686" s="205">
        <v>45625</v>
      </c>
      <c r="B8686" s="208" t="s">
        <v>6348</v>
      </c>
      <c r="C8686" s="206" t="s">
        <v>27</v>
      </c>
      <c r="D8686" s="784">
        <v>-339500</v>
      </c>
      <c r="E8686" s="212">
        <v>45597</v>
      </c>
      <c r="F8686" s="206" t="s">
        <v>109</v>
      </c>
      <c r="G8686" s="206" t="s">
        <v>4225</v>
      </c>
      <c r="H8686" s="206" t="s">
        <v>147</v>
      </c>
      <c r="I8686" s="206"/>
    </row>
    <row r="8687" spans="1:9" ht="15" hidden="1" customHeight="1">
      <c r="A8687" s="205">
        <v>45625</v>
      </c>
      <c r="B8687" s="208" t="s">
        <v>6364</v>
      </c>
      <c r="C8687" s="206" t="s">
        <v>27</v>
      </c>
      <c r="D8687" s="784">
        <v>-679000</v>
      </c>
      <c r="E8687" s="212">
        <v>45597</v>
      </c>
      <c r="F8687" s="206" t="s">
        <v>109</v>
      </c>
      <c r="G8687" s="206" t="s">
        <v>4986</v>
      </c>
      <c r="H8687" s="206" t="s">
        <v>147</v>
      </c>
      <c r="I8687" s="206"/>
    </row>
    <row r="8688" spans="1:9" ht="15" hidden="1" customHeight="1">
      <c r="A8688" s="205">
        <v>45625</v>
      </c>
      <c r="B8688" s="208" t="s">
        <v>6876</v>
      </c>
      <c r="C8688" s="206" t="s">
        <v>27</v>
      </c>
      <c r="D8688" s="784">
        <v>-679000</v>
      </c>
      <c r="E8688" s="212">
        <v>45597</v>
      </c>
      <c r="F8688" s="206" t="s">
        <v>110</v>
      </c>
      <c r="G8688" s="206" t="s">
        <v>5469</v>
      </c>
      <c r="H8688" s="206" t="s">
        <v>147</v>
      </c>
      <c r="I8688" s="206"/>
    </row>
    <row r="8689" spans="1:9" ht="15" hidden="1" customHeight="1">
      <c r="A8689" s="205">
        <v>45625</v>
      </c>
      <c r="B8689" s="208" t="s">
        <v>6366</v>
      </c>
      <c r="C8689" s="206" t="s">
        <v>27</v>
      </c>
      <c r="D8689" s="784">
        <v>-311466.5</v>
      </c>
      <c r="E8689" s="212">
        <v>45597</v>
      </c>
      <c r="F8689" s="206" t="s">
        <v>109</v>
      </c>
      <c r="G8689" s="206" t="s">
        <v>4986</v>
      </c>
      <c r="H8689" s="206" t="s">
        <v>147</v>
      </c>
      <c r="I8689" s="206"/>
    </row>
    <row r="8690" spans="1:9" ht="15" hidden="1" customHeight="1">
      <c r="A8690" s="205">
        <v>45625</v>
      </c>
      <c r="B8690" s="208" t="s">
        <v>6366</v>
      </c>
      <c r="C8690" s="206" t="s">
        <v>27</v>
      </c>
      <c r="D8690" s="784">
        <v>-311466.5</v>
      </c>
      <c r="E8690" s="212">
        <v>45597</v>
      </c>
      <c r="F8690" s="206" t="s">
        <v>110</v>
      </c>
      <c r="G8690" s="206" t="s">
        <v>5469</v>
      </c>
      <c r="H8690" s="206" t="s">
        <v>147</v>
      </c>
      <c r="I8690" s="206"/>
    </row>
    <row r="8691" spans="1:9" ht="15" hidden="1" customHeight="1">
      <c r="A8691" s="205">
        <v>45625</v>
      </c>
      <c r="B8691" s="208" t="s">
        <v>6367</v>
      </c>
      <c r="C8691" s="206" t="s">
        <v>27</v>
      </c>
      <c r="D8691" s="784">
        <v>-679000</v>
      </c>
      <c r="E8691" s="212">
        <v>45597</v>
      </c>
      <c r="F8691" s="206" t="s">
        <v>110</v>
      </c>
      <c r="G8691" s="206" t="s">
        <v>5469</v>
      </c>
      <c r="H8691" s="206" t="s">
        <v>147</v>
      </c>
      <c r="I8691" s="206"/>
    </row>
    <row r="8692" spans="1:9" ht="15" hidden="1" customHeight="1">
      <c r="A8692" s="205">
        <v>45625</v>
      </c>
      <c r="B8692" s="208" t="s">
        <v>6368</v>
      </c>
      <c r="C8692" s="206" t="s">
        <v>27</v>
      </c>
      <c r="D8692" s="784">
        <v>-679000</v>
      </c>
      <c r="E8692" s="212">
        <v>45597</v>
      </c>
      <c r="F8692" s="206" t="s">
        <v>110</v>
      </c>
      <c r="G8692" s="206" t="s">
        <v>5469</v>
      </c>
      <c r="H8692" s="206" t="s">
        <v>147</v>
      </c>
      <c r="I8692" s="206"/>
    </row>
    <row r="8693" spans="1:9" ht="15" hidden="1" customHeight="1">
      <c r="A8693" s="205">
        <v>45625</v>
      </c>
      <c r="B8693" s="208" t="s">
        <v>6369</v>
      </c>
      <c r="C8693" s="206" t="s">
        <v>27</v>
      </c>
      <c r="D8693" s="784">
        <v>-339500</v>
      </c>
      <c r="E8693" s="212">
        <v>45597</v>
      </c>
      <c r="F8693" s="206" t="s">
        <v>109</v>
      </c>
      <c r="G8693" s="206" t="s">
        <v>4986</v>
      </c>
      <c r="H8693" s="206" t="s">
        <v>147</v>
      </c>
      <c r="I8693" s="206"/>
    </row>
    <row r="8694" spans="1:9" ht="15" hidden="1" customHeight="1">
      <c r="A8694" s="205">
        <v>45625</v>
      </c>
      <c r="B8694" s="208" t="s">
        <v>6369</v>
      </c>
      <c r="C8694" s="206" t="s">
        <v>27</v>
      </c>
      <c r="D8694" s="784">
        <v>-339500</v>
      </c>
      <c r="E8694" s="212">
        <v>45597</v>
      </c>
      <c r="F8694" s="206" t="s">
        <v>110</v>
      </c>
      <c r="G8694" s="206" t="s">
        <v>5469</v>
      </c>
      <c r="H8694" s="206" t="s">
        <v>147</v>
      </c>
      <c r="I8694" s="720" t="s">
        <v>5410</v>
      </c>
    </row>
    <row r="8695" spans="1:9" ht="15" hidden="1" customHeight="1">
      <c r="A8695" s="205">
        <v>45625</v>
      </c>
      <c r="B8695" s="208" t="s">
        <v>6370</v>
      </c>
      <c r="C8695" s="206" t="s">
        <v>27</v>
      </c>
      <c r="D8695" s="784">
        <v>-771000</v>
      </c>
      <c r="E8695" s="212">
        <v>45597</v>
      </c>
      <c r="F8695" s="206" t="s">
        <v>110</v>
      </c>
      <c r="G8695" s="206" t="s">
        <v>5503</v>
      </c>
      <c r="H8695" s="206" t="s">
        <v>147</v>
      </c>
      <c r="I8695" s="206"/>
    </row>
    <row r="8696" spans="1:9" ht="15" hidden="1" customHeight="1">
      <c r="A8696" s="205">
        <v>45625</v>
      </c>
      <c r="B8696" s="208" t="s">
        <v>6371</v>
      </c>
      <c r="C8696" s="206" t="s">
        <v>27</v>
      </c>
      <c r="D8696" s="784">
        <v>-771000</v>
      </c>
      <c r="E8696" s="212">
        <v>45597</v>
      </c>
      <c r="F8696" s="206" t="s">
        <v>110</v>
      </c>
      <c r="G8696" s="206" t="s">
        <v>5503</v>
      </c>
      <c r="H8696" s="206" t="s">
        <v>147</v>
      </c>
      <c r="I8696" s="206"/>
    </row>
    <row r="8697" spans="1:9" ht="15" hidden="1" customHeight="1">
      <c r="A8697" s="205">
        <v>45625</v>
      </c>
      <c r="B8697" s="208" t="s">
        <v>6377</v>
      </c>
      <c r="C8697" s="206" t="s">
        <v>27</v>
      </c>
      <c r="D8697" s="784">
        <v>-1228700</v>
      </c>
      <c r="E8697" s="212">
        <v>45597</v>
      </c>
      <c r="F8697" s="206" t="s">
        <v>110</v>
      </c>
      <c r="G8697" s="206" t="s">
        <v>5503</v>
      </c>
      <c r="H8697" s="206" t="s">
        <v>147</v>
      </c>
      <c r="I8697" s="206"/>
    </row>
    <row r="8698" spans="1:9" ht="15" hidden="1" customHeight="1">
      <c r="A8698" s="205">
        <v>45625</v>
      </c>
      <c r="B8698" s="208" t="s">
        <v>6877</v>
      </c>
      <c r="C8698" s="206" t="s">
        <v>27</v>
      </c>
      <c r="D8698" s="784">
        <v>-2958699</v>
      </c>
      <c r="E8698" s="212">
        <v>45597</v>
      </c>
      <c r="F8698" s="206" t="s">
        <v>130</v>
      </c>
      <c r="G8698" s="206" t="s">
        <v>3107</v>
      </c>
      <c r="H8698" s="206" t="s">
        <v>1175</v>
      </c>
      <c r="I8698" s="206"/>
    </row>
    <row r="8699" spans="1:9" ht="15" hidden="1" customHeight="1">
      <c r="A8699" s="205">
        <v>45625</v>
      </c>
      <c r="B8699" s="655" t="s">
        <v>6878</v>
      </c>
      <c r="C8699" s="206" t="s">
        <v>27</v>
      </c>
      <c r="D8699" s="784">
        <v>-2484000</v>
      </c>
      <c r="E8699" s="212">
        <v>45597</v>
      </c>
      <c r="F8699" s="206" t="s">
        <v>130</v>
      </c>
      <c r="G8699" s="206" t="s">
        <v>130</v>
      </c>
      <c r="H8699" s="206" t="s">
        <v>1175</v>
      </c>
      <c r="I8699" s="206"/>
    </row>
    <row r="8700" spans="1:9" ht="15" hidden="1" customHeight="1">
      <c r="A8700" s="728">
        <v>45625</v>
      </c>
      <c r="B8700" s="655" t="s">
        <v>6382</v>
      </c>
      <c r="C8700" s="774" t="s">
        <v>27</v>
      </c>
      <c r="D8700" s="784">
        <v>-725000</v>
      </c>
      <c r="E8700" s="212">
        <v>45597</v>
      </c>
      <c r="F8700" s="206" t="s">
        <v>130</v>
      </c>
      <c r="G8700" s="206" t="s">
        <v>130</v>
      </c>
      <c r="H8700" s="206" t="s">
        <v>1175</v>
      </c>
      <c r="I8700" s="206"/>
    </row>
    <row r="8701" spans="1:9" ht="15" hidden="1" customHeight="1">
      <c r="A8701" s="728">
        <v>45625</v>
      </c>
      <c r="B8701" s="655" t="s">
        <v>6381</v>
      </c>
      <c r="C8701" s="774" t="s">
        <v>27</v>
      </c>
      <c r="D8701" s="784">
        <v>-679000</v>
      </c>
      <c r="E8701" s="212">
        <v>45597</v>
      </c>
      <c r="F8701" s="206" t="s">
        <v>130</v>
      </c>
      <c r="G8701" s="206" t="s">
        <v>130</v>
      </c>
      <c r="H8701" s="206" t="s">
        <v>1175</v>
      </c>
      <c r="I8701" s="206"/>
    </row>
    <row r="8702" spans="1:9" ht="15" hidden="1" customHeight="1">
      <c r="A8702" s="728">
        <v>45625</v>
      </c>
      <c r="B8702" s="655" t="s">
        <v>6380</v>
      </c>
      <c r="C8702" s="774" t="s">
        <v>27</v>
      </c>
      <c r="D8702" s="784">
        <v>-679000</v>
      </c>
      <c r="E8702" s="212">
        <v>45597</v>
      </c>
      <c r="F8702" s="206" t="s">
        <v>130</v>
      </c>
      <c r="G8702" s="206" t="s">
        <v>130</v>
      </c>
      <c r="H8702" s="206" t="s">
        <v>1175</v>
      </c>
      <c r="I8702" s="206"/>
    </row>
    <row r="8703" spans="1:9" ht="15" hidden="1" customHeight="1">
      <c r="A8703" s="728">
        <v>45625</v>
      </c>
      <c r="B8703" s="655" t="s">
        <v>6326</v>
      </c>
      <c r="C8703" s="774" t="s">
        <v>27</v>
      </c>
      <c r="D8703" s="784">
        <v>-2464000</v>
      </c>
      <c r="E8703" s="212">
        <v>45597</v>
      </c>
      <c r="F8703" s="206" t="s">
        <v>130</v>
      </c>
      <c r="G8703" s="206" t="s">
        <v>130</v>
      </c>
      <c r="H8703" s="206" t="s">
        <v>1175</v>
      </c>
      <c r="I8703" s="206"/>
    </row>
    <row r="8704" spans="1:9" ht="15" hidden="1" customHeight="1">
      <c r="A8704" s="728">
        <v>45625</v>
      </c>
      <c r="B8704" s="655" t="s">
        <v>6327</v>
      </c>
      <c r="C8704" s="774" t="s">
        <v>27</v>
      </c>
      <c r="D8704" s="784">
        <v>-811600</v>
      </c>
      <c r="E8704" s="212">
        <v>45597</v>
      </c>
      <c r="F8704" s="206" t="s">
        <v>130</v>
      </c>
      <c r="G8704" s="206" t="s">
        <v>130</v>
      </c>
      <c r="H8704" s="206" t="s">
        <v>1175</v>
      </c>
      <c r="I8704" s="206"/>
    </row>
    <row r="8705" spans="1:9" ht="15" hidden="1" customHeight="1">
      <c r="A8705" s="728">
        <v>45625</v>
      </c>
      <c r="B8705" s="655" t="s">
        <v>6879</v>
      </c>
      <c r="C8705" s="774" t="s">
        <v>27</v>
      </c>
      <c r="D8705" s="784">
        <v>-679000</v>
      </c>
      <c r="E8705" s="212">
        <v>45597</v>
      </c>
      <c r="F8705" s="206" t="s">
        <v>130</v>
      </c>
      <c r="G8705" s="206" t="s">
        <v>130</v>
      </c>
      <c r="H8705" s="206" t="s">
        <v>1175</v>
      </c>
      <c r="I8705" s="206"/>
    </row>
    <row r="8706" spans="1:9" ht="15" hidden="1" customHeight="1">
      <c r="A8706" s="728">
        <v>45625</v>
      </c>
      <c r="B8706" s="655" t="s">
        <v>6880</v>
      </c>
      <c r="C8706" s="774" t="s">
        <v>27</v>
      </c>
      <c r="D8706" s="784">
        <v>-10819117</v>
      </c>
      <c r="E8706" s="212">
        <v>45597</v>
      </c>
      <c r="F8706" s="206" t="s">
        <v>130</v>
      </c>
      <c r="G8706" s="206" t="s">
        <v>257</v>
      </c>
      <c r="H8706" s="206" t="s">
        <v>1175</v>
      </c>
      <c r="I8706" s="206"/>
    </row>
    <row r="8707" spans="1:9" ht="15" hidden="1" customHeight="1">
      <c r="A8707" s="728">
        <v>45625</v>
      </c>
      <c r="B8707" s="655" t="s">
        <v>6881</v>
      </c>
      <c r="C8707" s="774" t="s">
        <v>27</v>
      </c>
      <c r="D8707" s="784">
        <v>-9054530</v>
      </c>
      <c r="E8707" s="212">
        <v>45597</v>
      </c>
      <c r="F8707" s="206" t="s">
        <v>130</v>
      </c>
      <c r="G8707" s="206" t="s">
        <v>130</v>
      </c>
      <c r="H8707" s="206" t="s">
        <v>1175</v>
      </c>
      <c r="I8707" s="206"/>
    </row>
    <row r="8708" spans="1:9" ht="15" hidden="1" customHeight="1">
      <c r="A8708" s="728">
        <v>45625</v>
      </c>
      <c r="B8708" s="655" t="s">
        <v>6882</v>
      </c>
      <c r="C8708" s="774" t="s">
        <v>27</v>
      </c>
      <c r="D8708" s="784">
        <v>-9054530</v>
      </c>
      <c r="E8708" s="212">
        <v>45597</v>
      </c>
      <c r="F8708" s="206" t="s">
        <v>130</v>
      </c>
      <c r="G8708" s="206" t="s">
        <v>130</v>
      </c>
      <c r="H8708" s="206" t="s">
        <v>1175</v>
      </c>
      <c r="I8708" s="206"/>
    </row>
    <row r="8709" spans="1:9" ht="15" hidden="1" customHeight="1">
      <c r="A8709" s="728">
        <v>45625</v>
      </c>
      <c r="B8709" s="655" t="s">
        <v>6883</v>
      </c>
      <c r="C8709" s="774" t="s">
        <v>27</v>
      </c>
      <c r="D8709" s="784">
        <v>-2718000</v>
      </c>
      <c r="E8709" s="212">
        <v>45597</v>
      </c>
      <c r="F8709" s="206" t="s">
        <v>130</v>
      </c>
      <c r="G8709" s="206" t="s">
        <v>257</v>
      </c>
      <c r="H8709" s="206" t="s">
        <v>1175</v>
      </c>
      <c r="I8709" s="206"/>
    </row>
    <row r="8710" spans="1:9" ht="15" hidden="1" customHeight="1">
      <c r="A8710" s="728">
        <v>45625</v>
      </c>
      <c r="B8710" s="655" t="s">
        <v>6884</v>
      </c>
      <c r="C8710" s="774" t="s">
        <v>27</v>
      </c>
      <c r="D8710" s="784">
        <v>-4600000</v>
      </c>
      <c r="E8710" s="212">
        <v>45597</v>
      </c>
      <c r="F8710" s="206" t="s">
        <v>130</v>
      </c>
      <c r="G8710" s="206" t="s">
        <v>130</v>
      </c>
      <c r="H8710" s="206" t="s">
        <v>1175</v>
      </c>
      <c r="I8710" s="206"/>
    </row>
    <row r="8711" spans="1:9" ht="15" hidden="1" customHeight="1">
      <c r="A8711" s="728">
        <v>45625</v>
      </c>
      <c r="B8711" s="655" t="s">
        <v>6885</v>
      </c>
      <c r="C8711" s="774" t="s">
        <v>27</v>
      </c>
      <c r="D8711" s="784">
        <v>-3930000</v>
      </c>
      <c r="E8711" s="212">
        <v>45597</v>
      </c>
      <c r="F8711" s="206" t="s">
        <v>130</v>
      </c>
      <c r="G8711" s="206" t="s">
        <v>257</v>
      </c>
      <c r="H8711" s="206" t="s">
        <v>1175</v>
      </c>
      <c r="I8711" s="206"/>
    </row>
    <row r="8712" spans="1:9" ht="15" hidden="1" customHeight="1">
      <c r="A8712" s="728">
        <v>45625</v>
      </c>
      <c r="B8712" s="776" t="s">
        <v>6886</v>
      </c>
      <c r="C8712" s="774" t="s">
        <v>27</v>
      </c>
      <c r="D8712" s="784">
        <v>-1818000</v>
      </c>
      <c r="E8712" s="212">
        <v>45597</v>
      </c>
      <c r="F8712" s="206" t="s">
        <v>130</v>
      </c>
      <c r="G8712" s="206" t="s">
        <v>130</v>
      </c>
      <c r="H8712" s="206" t="s">
        <v>1175</v>
      </c>
      <c r="I8712" s="206"/>
    </row>
    <row r="8713" spans="1:9" ht="15" hidden="1" customHeight="1">
      <c r="A8713" s="205">
        <v>45625</v>
      </c>
      <c r="B8713" s="638" t="s">
        <v>6887</v>
      </c>
      <c r="C8713" s="206" t="s">
        <v>27</v>
      </c>
      <c r="D8713" s="784">
        <v>-3118800</v>
      </c>
      <c r="E8713" s="212">
        <v>45597</v>
      </c>
      <c r="F8713" s="206" t="s">
        <v>109</v>
      </c>
      <c r="G8713" s="206" t="s">
        <v>2809</v>
      </c>
      <c r="H8713" s="206" t="s">
        <v>1175</v>
      </c>
      <c r="I8713" s="206"/>
    </row>
    <row r="8714" spans="1:9" ht="15" hidden="1" customHeight="1">
      <c r="A8714" s="205">
        <v>45625</v>
      </c>
      <c r="B8714" s="208" t="s">
        <v>6888</v>
      </c>
      <c r="C8714" s="206" t="s">
        <v>27</v>
      </c>
      <c r="D8714" s="784">
        <v>-2462000</v>
      </c>
      <c r="E8714" s="212">
        <v>45597</v>
      </c>
      <c r="F8714" s="206" t="s">
        <v>109</v>
      </c>
      <c r="G8714" s="206" t="s">
        <v>2809</v>
      </c>
      <c r="H8714" s="206" t="s">
        <v>1175</v>
      </c>
      <c r="I8714" s="206"/>
    </row>
    <row r="8715" spans="1:9" ht="15" hidden="1" customHeight="1">
      <c r="A8715" s="205">
        <v>45625</v>
      </c>
      <c r="B8715" s="208" t="s">
        <v>6889</v>
      </c>
      <c r="C8715" s="206" t="s">
        <v>27</v>
      </c>
      <c r="D8715" s="784">
        <v>-3036000</v>
      </c>
      <c r="E8715" s="212">
        <v>45597</v>
      </c>
      <c r="F8715" s="206" t="s">
        <v>109</v>
      </c>
      <c r="G8715" s="206" t="s">
        <v>2809</v>
      </c>
      <c r="H8715" s="206" t="s">
        <v>1175</v>
      </c>
      <c r="I8715" s="206"/>
    </row>
    <row r="8716" spans="1:9" ht="15" hidden="1" customHeight="1">
      <c r="A8716" s="205">
        <v>45625</v>
      </c>
      <c r="B8716" s="208" t="s">
        <v>6890</v>
      </c>
      <c r="C8716" s="206" t="s">
        <v>27</v>
      </c>
      <c r="D8716" s="784">
        <v>-3680000</v>
      </c>
      <c r="E8716" s="212">
        <v>45597</v>
      </c>
      <c r="F8716" s="206" t="s">
        <v>109</v>
      </c>
      <c r="G8716" s="601" t="s">
        <v>581</v>
      </c>
      <c r="H8716" s="206" t="s">
        <v>147</v>
      </c>
      <c r="I8716" s="206"/>
    </row>
    <row r="8717" spans="1:9" ht="15" hidden="1" customHeight="1">
      <c r="A8717" s="205">
        <v>45625</v>
      </c>
      <c r="B8717" s="208" t="s">
        <v>4424</v>
      </c>
      <c r="C8717" s="206" t="s">
        <v>27</v>
      </c>
      <c r="D8717" s="718">
        <v>-1228700</v>
      </c>
      <c r="E8717" s="212">
        <v>45597</v>
      </c>
      <c r="F8717" s="206" t="s">
        <v>109</v>
      </c>
      <c r="G8717" s="601" t="s">
        <v>581</v>
      </c>
      <c r="H8717" s="206" t="s">
        <v>147</v>
      </c>
      <c r="I8717" s="206"/>
    </row>
    <row r="8718" spans="1:9" ht="15" hidden="1" customHeight="1">
      <c r="A8718" s="205">
        <v>45625</v>
      </c>
      <c r="B8718" s="208" t="s">
        <v>6329</v>
      </c>
      <c r="C8718" s="206" t="s">
        <v>27</v>
      </c>
      <c r="D8718" s="718">
        <v>-955000</v>
      </c>
      <c r="E8718" s="212">
        <v>45597</v>
      </c>
      <c r="F8718" s="206" t="s">
        <v>109</v>
      </c>
      <c r="G8718" s="601" t="s">
        <v>581</v>
      </c>
      <c r="H8718" s="206" t="s">
        <v>147</v>
      </c>
      <c r="I8718" s="206"/>
    </row>
    <row r="8719" spans="1:9" ht="15" hidden="1" customHeight="1">
      <c r="A8719" s="205">
        <v>45625</v>
      </c>
      <c r="B8719" s="208" t="s">
        <v>6330</v>
      </c>
      <c r="C8719" s="206" t="s">
        <v>27</v>
      </c>
      <c r="D8719" s="820">
        <v>-679000</v>
      </c>
      <c r="E8719" s="212">
        <v>45597</v>
      </c>
      <c r="F8719" s="206" t="s">
        <v>109</v>
      </c>
      <c r="G8719" s="601" t="s">
        <v>581</v>
      </c>
      <c r="H8719" s="206" t="s">
        <v>147</v>
      </c>
      <c r="I8719" s="206"/>
    </row>
    <row r="8720" spans="1:9" ht="15" hidden="1" customHeight="1">
      <c r="A8720" s="205">
        <v>45625</v>
      </c>
      <c r="B8720" s="208" t="s">
        <v>6334</v>
      </c>
      <c r="C8720" s="206" t="s">
        <v>27</v>
      </c>
      <c r="D8720" s="820">
        <v>-679000</v>
      </c>
      <c r="E8720" s="212">
        <v>45597</v>
      </c>
      <c r="F8720" s="206" t="s">
        <v>109</v>
      </c>
      <c r="G8720" s="601" t="s">
        <v>581</v>
      </c>
      <c r="H8720" s="206" t="s">
        <v>147</v>
      </c>
      <c r="I8720" s="206"/>
    </row>
    <row r="8721" spans="1:9" ht="15" hidden="1" customHeight="1">
      <c r="A8721" s="205">
        <v>45625</v>
      </c>
      <c r="B8721" s="208" t="s">
        <v>6335</v>
      </c>
      <c r="C8721" s="206" t="s">
        <v>27</v>
      </c>
      <c r="D8721" s="718">
        <v>-1038260</v>
      </c>
      <c r="E8721" s="212">
        <v>45597</v>
      </c>
      <c r="F8721" s="206" t="s">
        <v>109</v>
      </c>
      <c r="G8721" s="601" t="s">
        <v>581</v>
      </c>
      <c r="H8721" s="206" t="s">
        <v>147</v>
      </c>
      <c r="I8721" s="206"/>
    </row>
    <row r="8722" spans="1:9" ht="15" hidden="1" customHeight="1">
      <c r="A8722" s="205">
        <v>45625</v>
      </c>
      <c r="B8722" s="208" t="s">
        <v>6336</v>
      </c>
      <c r="C8722" s="206" t="s">
        <v>27</v>
      </c>
      <c r="D8722" s="820">
        <v>-679000</v>
      </c>
      <c r="E8722" s="212">
        <v>45597</v>
      </c>
      <c r="F8722" s="206" t="s">
        <v>109</v>
      </c>
      <c r="G8722" s="601" t="s">
        <v>581</v>
      </c>
      <c r="H8722" s="206" t="s">
        <v>147</v>
      </c>
      <c r="I8722" s="206"/>
    </row>
    <row r="8723" spans="1:9" ht="15" hidden="1" customHeight="1">
      <c r="A8723" s="205">
        <v>45625</v>
      </c>
      <c r="B8723" s="208" t="s">
        <v>6337</v>
      </c>
      <c r="C8723" s="206" t="s">
        <v>27</v>
      </c>
      <c r="D8723" s="820">
        <v>-679000</v>
      </c>
      <c r="E8723" s="212">
        <v>45597</v>
      </c>
      <c r="F8723" s="206" t="s">
        <v>109</v>
      </c>
      <c r="G8723" s="601" t="s">
        <v>581</v>
      </c>
      <c r="H8723" s="206" t="s">
        <v>147</v>
      </c>
      <c r="I8723" s="206"/>
    </row>
    <row r="8724" spans="1:9" ht="15" hidden="1" customHeight="1">
      <c r="A8724" s="205">
        <v>45625</v>
      </c>
      <c r="B8724" s="208" t="s">
        <v>6338</v>
      </c>
      <c r="C8724" s="206" t="s">
        <v>27</v>
      </c>
      <c r="D8724" s="820">
        <v>-679000</v>
      </c>
      <c r="E8724" s="212">
        <v>45597</v>
      </c>
      <c r="F8724" s="206" t="s">
        <v>109</v>
      </c>
      <c r="G8724" s="601" t="s">
        <v>581</v>
      </c>
      <c r="H8724" s="206" t="s">
        <v>147</v>
      </c>
      <c r="I8724" s="206"/>
    </row>
    <row r="8725" spans="1:9" ht="15" hidden="1" customHeight="1">
      <c r="A8725" s="205">
        <v>45625</v>
      </c>
      <c r="B8725" s="208" t="s">
        <v>6339</v>
      </c>
      <c r="C8725" s="206" t="s">
        <v>27</v>
      </c>
      <c r="D8725" s="820">
        <v>-679000</v>
      </c>
      <c r="E8725" s="212">
        <v>45597</v>
      </c>
      <c r="F8725" s="206" t="s">
        <v>109</v>
      </c>
      <c r="G8725" s="601" t="s">
        <v>581</v>
      </c>
      <c r="H8725" s="206" t="s">
        <v>147</v>
      </c>
      <c r="I8725" s="206"/>
    </row>
    <row r="8726" spans="1:9" ht="15" hidden="1" customHeight="1">
      <c r="A8726" s="205">
        <v>45625</v>
      </c>
      <c r="B8726" s="208" t="s">
        <v>6340</v>
      </c>
      <c r="C8726" s="206" t="s">
        <v>27</v>
      </c>
      <c r="D8726" s="820">
        <v>-679000</v>
      </c>
      <c r="E8726" s="212">
        <v>45597</v>
      </c>
      <c r="F8726" s="206" t="s">
        <v>109</v>
      </c>
      <c r="G8726" s="601" t="s">
        <v>581</v>
      </c>
      <c r="H8726" s="206" t="s">
        <v>147</v>
      </c>
      <c r="I8726" s="206"/>
    </row>
    <row r="8727" spans="1:9" ht="15" hidden="1" customHeight="1">
      <c r="A8727" s="205">
        <v>45625</v>
      </c>
      <c r="B8727" s="208" t="s">
        <v>6341</v>
      </c>
      <c r="C8727" s="206" t="s">
        <v>27</v>
      </c>
      <c r="D8727" s="820">
        <v>-679000</v>
      </c>
      <c r="E8727" s="212">
        <v>45597</v>
      </c>
      <c r="F8727" s="206" t="s">
        <v>109</v>
      </c>
      <c r="G8727" s="601" t="s">
        <v>581</v>
      </c>
      <c r="H8727" s="206" t="s">
        <v>147</v>
      </c>
      <c r="I8727" s="206"/>
    </row>
    <row r="8728" spans="1:9" ht="15" hidden="1" customHeight="1">
      <c r="A8728" s="205">
        <v>45625</v>
      </c>
      <c r="B8728" s="208" t="s">
        <v>6349</v>
      </c>
      <c r="C8728" s="206" t="s">
        <v>27</v>
      </c>
      <c r="D8728" s="820">
        <v>-679000</v>
      </c>
      <c r="E8728" s="212">
        <v>45597</v>
      </c>
      <c r="F8728" s="206" t="s">
        <v>109</v>
      </c>
      <c r="G8728" s="601" t="s">
        <v>581</v>
      </c>
      <c r="H8728" s="206" t="s">
        <v>147</v>
      </c>
      <c r="I8728" s="206"/>
    </row>
    <row r="8729" spans="1:9" ht="15" hidden="1" customHeight="1">
      <c r="A8729" s="205">
        <v>45625</v>
      </c>
      <c r="B8729" s="208" t="s">
        <v>6350</v>
      </c>
      <c r="C8729" s="206" t="s">
        <v>27</v>
      </c>
      <c r="D8729" s="820">
        <v>-679000</v>
      </c>
      <c r="E8729" s="212">
        <v>45597</v>
      </c>
      <c r="F8729" s="206" t="s">
        <v>109</v>
      </c>
      <c r="G8729" s="601" t="s">
        <v>581</v>
      </c>
      <c r="H8729" s="206" t="s">
        <v>147</v>
      </c>
      <c r="I8729" s="206"/>
    </row>
    <row r="8730" spans="1:9" ht="15" hidden="1" customHeight="1">
      <c r="A8730" s="205">
        <v>45625</v>
      </c>
      <c r="B8730" s="208" t="s">
        <v>6351</v>
      </c>
      <c r="C8730" s="206" t="s">
        <v>27</v>
      </c>
      <c r="D8730" s="820">
        <v>-679000</v>
      </c>
      <c r="E8730" s="212">
        <v>45597</v>
      </c>
      <c r="F8730" s="206" t="s">
        <v>109</v>
      </c>
      <c r="G8730" s="601" t="s">
        <v>581</v>
      </c>
      <c r="H8730" s="206" t="s">
        <v>147</v>
      </c>
      <c r="I8730" s="206"/>
    </row>
    <row r="8731" spans="1:9" ht="15" hidden="1" customHeight="1">
      <c r="A8731" s="205">
        <v>45625</v>
      </c>
      <c r="B8731" s="208" t="s">
        <v>6352</v>
      </c>
      <c r="C8731" s="206" t="s">
        <v>27</v>
      </c>
      <c r="D8731" s="820">
        <v>-679000</v>
      </c>
      <c r="E8731" s="212">
        <v>45597</v>
      </c>
      <c r="F8731" s="206" t="s">
        <v>109</v>
      </c>
      <c r="G8731" s="601" t="s">
        <v>581</v>
      </c>
      <c r="H8731" s="206" t="s">
        <v>147</v>
      </c>
      <c r="I8731" s="206"/>
    </row>
    <row r="8732" spans="1:9" ht="15" hidden="1" customHeight="1">
      <c r="A8732" s="205">
        <v>45625</v>
      </c>
      <c r="B8732" s="208" t="s">
        <v>6328</v>
      </c>
      <c r="C8732" s="206" t="s">
        <v>27</v>
      </c>
      <c r="D8732" s="718">
        <v>-650000</v>
      </c>
      <c r="E8732" s="212">
        <v>45597</v>
      </c>
      <c r="F8732" s="206" t="s">
        <v>109</v>
      </c>
      <c r="G8732" s="601" t="s">
        <v>581</v>
      </c>
      <c r="H8732" s="206" t="s">
        <v>147</v>
      </c>
      <c r="I8732" s="206"/>
    </row>
    <row r="8733" spans="1:9" ht="15" hidden="1" customHeight="1">
      <c r="A8733" s="205">
        <v>45625</v>
      </c>
      <c r="B8733" s="208" t="s">
        <v>6353</v>
      </c>
      <c r="C8733" s="206" t="s">
        <v>27</v>
      </c>
      <c r="D8733" s="820">
        <v>-679000</v>
      </c>
      <c r="E8733" s="212">
        <v>45597</v>
      </c>
      <c r="F8733" s="206" t="s">
        <v>109</v>
      </c>
      <c r="G8733" s="601" t="s">
        <v>581</v>
      </c>
      <c r="H8733" s="206" t="s">
        <v>147</v>
      </c>
      <c r="I8733" s="206"/>
    </row>
    <row r="8734" spans="1:9" ht="15" hidden="1" customHeight="1">
      <c r="A8734" s="205">
        <v>45625</v>
      </c>
      <c r="B8734" s="208" t="s">
        <v>6354</v>
      </c>
      <c r="C8734" s="206" t="s">
        <v>27</v>
      </c>
      <c r="D8734" s="820">
        <v>-679000</v>
      </c>
      <c r="E8734" s="212">
        <v>45597</v>
      </c>
      <c r="F8734" s="206" t="s">
        <v>109</v>
      </c>
      <c r="G8734" s="601" t="s">
        <v>581</v>
      </c>
      <c r="H8734" s="206" t="s">
        <v>147</v>
      </c>
      <c r="I8734" s="206"/>
    </row>
    <row r="8735" spans="1:9" ht="15" hidden="1" customHeight="1">
      <c r="A8735" s="205">
        <v>45625</v>
      </c>
      <c r="B8735" s="208" t="s">
        <v>6355</v>
      </c>
      <c r="C8735" s="206" t="s">
        <v>27</v>
      </c>
      <c r="D8735" s="820">
        <v>-679000</v>
      </c>
      <c r="E8735" s="212">
        <v>45597</v>
      </c>
      <c r="F8735" s="206" t="s">
        <v>109</v>
      </c>
      <c r="G8735" s="601" t="s">
        <v>581</v>
      </c>
      <c r="H8735" s="206" t="s">
        <v>147</v>
      </c>
      <c r="I8735" s="206"/>
    </row>
    <row r="8736" spans="1:9" ht="15" hidden="1" customHeight="1">
      <c r="A8736" s="205">
        <v>45625</v>
      </c>
      <c r="B8736" s="208" t="s">
        <v>6356</v>
      </c>
      <c r="C8736" s="206" t="s">
        <v>27</v>
      </c>
      <c r="D8736" s="718">
        <v>-817000</v>
      </c>
      <c r="E8736" s="212">
        <v>45597</v>
      </c>
      <c r="F8736" s="206" t="s">
        <v>109</v>
      </c>
      <c r="G8736" s="601" t="s">
        <v>581</v>
      </c>
      <c r="H8736" s="206" t="s">
        <v>147</v>
      </c>
      <c r="I8736" s="206"/>
    </row>
    <row r="8737" spans="1:9" ht="15" hidden="1" customHeight="1">
      <c r="A8737" s="205">
        <v>45625</v>
      </c>
      <c r="B8737" s="208" t="s">
        <v>6357</v>
      </c>
      <c r="C8737" s="206" t="s">
        <v>27</v>
      </c>
      <c r="D8737" s="820">
        <v>-679000</v>
      </c>
      <c r="E8737" s="212">
        <v>45597</v>
      </c>
      <c r="F8737" s="206" t="s">
        <v>109</v>
      </c>
      <c r="G8737" s="601" t="s">
        <v>581</v>
      </c>
      <c r="H8737" s="206" t="s">
        <v>147</v>
      </c>
      <c r="I8737" s="206"/>
    </row>
    <row r="8738" spans="1:9" ht="15" hidden="1" customHeight="1">
      <c r="A8738" s="205">
        <v>45625</v>
      </c>
      <c r="B8738" s="208" t="s">
        <v>6358</v>
      </c>
      <c r="C8738" s="206" t="s">
        <v>27</v>
      </c>
      <c r="D8738" s="820">
        <v>-679000</v>
      </c>
      <c r="E8738" s="212">
        <v>45597</v>
      </c>
      <c r="F8738" s="206" t="s">
        <v>109</v>
      </c>
      <c r="G8738" s="601" t="s">
        <v>581</v>
      </c>
      <c r="H8738" s="206" t="s">
        <v>147</v>
      </c>
      <c r="I8738" s="206"/>
    </row>
    <row r="8739" spans="1:9" ht="15" hidden="1" customHeight="1">
      <c r="A8739" s="205">
        <v>45625</v>
      </c>
      <c r="B8739" s="208" t="s">
        <v>6360</v>
      </c>
      <c r="C8739" s="206" t="s">
        <v>27</v>
      </c>
      <c r="D8739" s="820">
        <v>-679000</v>
      </c>
      <c r="E8739" s="212">
        <v>45597</v>
      </c>
      <c r="F8739" s="206" t="s">
        <v>109</v>
      </c>
      <c r="G8739" s="601" t="s">
        <v>581</v>
      </c>
      <c r="H8739" s="206" t="s">
        <v>147</v>
      </c>
      <c r="I8739" s="206"/>
    </row>
    <row r="8740" spans="1:9" ht="15" hidden="1" customHeight="1">
      <c r="A8740" s="205">
        <v>45625</v>
      </c>
      <c r="B8740" s="208" t="s">
        <v>6361</v>
      </c>
      <c r="C8740" s="206" t="s">
        <v>27</v>
      </c>
      <c r="D8740" s="820">
        <v>-679000</v>
      </c>
      <c r="E8740" s="212">
        <v>45597</v>
      </c>
      <c r="F8740" s="206" t="s">
        <v>109</v>
      </c>
      <c r="G8740" s="601" t="s">
        <v>581</v>
      </c>
      <c r="H8740" s="206" t="s">
        <v>147</v>
      </c>
      <c r="I8740" s="206"/>
    </row>
    <row r="8741" spans="1:9" ht="15" hidden="1" customHeight="1">
      <c r="A8741" s="205">
        <v>45625</v>
      </c>
      <c r="B8741" s="208" t="s">
        <v>6362</v>
      </c>
      <c r="C8741" s="206" t="s">
        <v>27</v>
      </c>
      <c r="D8741" s="820">
        <v>-679000</v>
      </c>
      <c r="E8741" s="212">
        <v>45597</v>
      </c>
      <c r="F8741" s="206" t="s">
        <v>109</v>
      </c>
      <c r="G8741" s="601" t="s">
        <v>581</v>
      </c>
      <c r="H8741" s="206" t="s">
        <v>147</v>
      </c>
      <c r="I8741" s="206"/>
    </row>
    <row r="8742" spans="1:9" ht="15" hidden="1" customHeight="1">
      <c r="A8742" s="205">
        <v>45625</v>
      </c>
      <c r="B8742" s="208" t="s">
        <v>6363</v>
      </c>
      <c r="C8742" s="206" t="s">
        <v>27</v>
      </c>
      <c r="D8742" s="820">
        <v>-679000</v>
      </c>
      <c r="E8742" s="212">
        <v>45597</v>
      </c>
      <c r="F8742" s="206" t="s">
        <v>109</v>
      </c>
      <c r="G8742" s="601" t="s">
        <v>581</v>
      </c>
      <c r="H8742" s="206" t="s">
        <v>147</v>
      </c>
      <c r="I8742" s="206"/>
    </row>
    <row r="8743" spans="1:9" ht="15" hidden="1" customHeight="1">
      <c r="A8743" s="205">
        <v>45625</v>
      </c>
      <c r="B8743" s="208" t="s">
        <v>6891</v>
      </c>
      <c r="C8743" s="206" t="s">
        <v>27</v>
      </c>
      <c r="D8743" s="718">
        <v>-2462000</v>
      </c>
      <c r="E8743" s="212">
        <v>45597</v>
      </c>
      <c r="F8743" s="206" t="s">
        <v>109</v>
      </c>
      <c r="G8743" s="601" t="s">
        <v>581</v>
      </c>
      <c r="H8743" s="206" t="s">
        <v>147</v>
      </c>
      <c r="I8743" s="206"/>
    </row>
    <row r="8744" spans="1:9" ht="15" hidden="1" customHeight="1">
      <c r="A8744" s="205">
        <v>45625</v>
      </c>
      <c r="B8744" s="208" t="s">
        <v>6372</v>
      </c>
      <c r="C8744" s="206" t="s">
        <v>27</v>
      </c>
      <c r="D8744" s="784">
        <v>-679000</v>
      </c>
      <c r="E8744" s="212">
        <v>45597</v>
      </c>
      <c r="F8744" s="206" t="s">
        <v>109</v>
      </c>
      <c r="G8744" s="201" t="s">
        <v>5990</v>
      </c>
      <c r="H8744" s="206" t="s">
        <v>147</v>
      </c>
      <c r="I8744" s="206"/>
    </row>
    <row r="8745" spans="1:9" ht="15" hidden="1" customHeight="1">
      <c r="A8745" s="205">
        <v>45625</v>
      </c>
      <c r="B8745" s="208" t="s">
        <v>6373</v>
      </c>
      <c r="C8745" s="206" t="s">
        <v>27</v>
      </c>
      <c r="D8745" s="820">
        <v>-679000</v>
      </c>
      <c r="E8745" s="212">
        <v>45597</v>
      </c>
      <c r="F8745" s="206" t="s">
        <v>109</v>
      </c>
      <c r="G8745" s="601" t="s">
        <v>581</v>
      </c>
      <c r="H8745" s="206" t="s">
        <v>147</v>
      </c>
      <c r="I8745" s="206"/>
    </row>
    <row r="8746" spans="1:9" ht="15" hidden="1" customHeight="1">
      <c r="A8746" s="205">
        <v>45625</v>
      </c>
      <c r="B8746" s="208" t="s">
        <v>6374</v>
      </c>
      <c r="C8746" s="206" t="s">
        <v>27</v>
      </c>
      <c r="D8746" s="784">
        <v>-679000</v>
      </c>
      <c r="E8746" s="212">
        <v>45597</v>
      </c>
      <c r="F8746" s="206" t="s">
        <v>109</v>
      </c>
      <c r="G8746" s="201" t="s">
        <v>5990</v>
      </c>
      <c r="H8746" s="206" t="s">
        <v>147</v>
      </c>
      <c r="I8746" s="206"/>
    </row>
    <row r="8747" spans="1:9" ht="15" hidden="1" customHeight="1">
      <c r="A8747" s="205">
        <v>45625</v>
      </c>
      <c r="B8747" s="208" t="s">
        <v>6375</v>
      </c>
      <c r="C8747" s="206" t="s">
        <v>27</v>
      </c>
      <c r="D8747" s="820">
        <v>-679000</v>
      </c>
      <c r="E8747" s="212">
        <v>45597</v>
      </c>
      <c r="F8747" s="206" t="s">
        <v>109</v>
      </c>
      <c r="G8747" s="601" t="s">
        <v>581</v>
      </c>
      <c r="H8747" s="206" t="s">
        <v>147</v>
      </c>
      <c r="I8747" s="206"/>
    </row>
    <row r="8748" spans="1:9" ht="15" hidden="1" customHeight="1">
      <c r="A8748" s="205">
        <v>45625</v>
      </c>
      <c r="B8748" s="208" t="s">
        <v>6376</v>
      </c>
      <c r="C8748" s="206" t="s">
        <v>27</v>
      </c>
      <c r="D8748" s="784">
        <v>-679000</v>
      </c>
      <c r="E8748" s="212">
        <v>45597</v>
      </c>
      <c r="F8748" s="206" t="s">
        <v>109</v>
      </c>
      <c r="G8748" s="201" t="s">
        <v>5990</v>
      </c>
      <c r="H8748" s="206" t="s">
        <v>147</v>
      </c>
      <c r="I8748" s="206"/>
    </row>
    <row r="8749" spans="1:9" ht="15" hidden="1" customHeight="1">
      <c r="A8749" s="205">
        <v>45625</v>
      </c>
      <c r="B8749" s="208" t="s">
        <v>6378</v>
      </c>
      <c r="C8749" s="206" t="s">
        <v>27</v>
      </c>
      <c r="D8749" s="784">
        <v>-563333</v>
      </c>
      <c r="E8749" s="212">
        <v>45597</v>
      </c>
      <c r="F8749" s="206" t="s">
        <v>130</v>
      </c>
      <c r="G8749" s="206" t="s">
        <v>130</v>
      </c>
      <c r="H8749" s="206" t="s">
        <v>1175</v>
      </c>
      <c r="I8749" s="206"/>
    </row>
    <row r="8750" spans="1:9" ht="15" hidden="1" customHeight="1">
      <c r="A8750" s="205">
        <v>45625</v>
      </c>
      <c r="B8750" s="208" t="s">
        <v>6379</v>
      </c>
      <c r="C8750" s="206" t="s">
        <v>27</v>
      </c>
      <c r="D8750" s="784">
        <v>-679000</v>
      </c>
      <c r="E8750" s="212">
        <v>45597</v>
      </c>
      <c r="F8750" s="206" t="s">
        <v>109</v>
      </c>
      <c r="G8750" s="201" t="s">
        <v>4986</v>
      </c>
      <c r="H8750" s="206" t="s">
        <v>147</v>
      </c>
      <c r="I8750" s="206"/>
    </row>
    <row r="8751" spans="1:9" ht="15" hidden="1" customHeight="1">
      <c r="A8751" s="205">
        <v>45625</v>
      </c>
      <c r="B8751" s="208" t="s">
        <v>6892</v>
      </c>
      <c r="C8751" s="206" t="s">
        <v>27</v>
      </c>
      <c r="D8751" s="784">
        <v>-533600</v>
      </c>
      <c r="E8751" s="212">
        <v>45597</v>
      </c>
      <c r="F8751" s="206" t="s">
        <v>109</v>
      </c>
      <c r="G8751" s="201" t="s">
        <v>6893</v>
      </c>
      <c r="H8751" s="206" t="s">
        <v>147</v>
      </c>
      <c r="I8751" s="206"/>
    </row>
    <row r="8752" spans="1:9" ht="15" hidden="1" customHeight="1">
      <c r="A8752" s="205">
        <v>45625</v>
      </c>
      <c r="B8752" s="208" t="s">
        <v>6894</v>
      </c>
      <c r="C8752" s="206" t="s">
        <v>27</v>
      </c>
      <c r="D8752" s="784">
        <v>-490667</v>
      </c>
      <c r="E8752" s="212">
        <v>45597</v>
      </c>
      <c r="F8752" s="206" t="s">
        <v>130</v>
      </c>
      <c r="G8752" s="206" t="s">
        <v>257</v>
      </c>
      <c r="H8752" s="206" t="s">
        <v>147</v>
      </c>
      <c r="I8752" s="206"/>
    </row>
    <row r="8753" spans="1:9" ht="15" hidden="1" customHeight="1">
      <c r="A8753" s="205">
        <v>45625</v>
      </c>
      <c r="B8753" s="208" t="s">
        <v>6895</v>
      </c>
      <c r="C8753" s="206" t="s">
        <v>27</v>
      </c>
      <c r="D8753" s="784">
        <v>-2014067</v>
      </c>
      <c r="E8753" s="212">
        <v>45597</v>
      </c>
      <c r="F8753" s="206" t="s">
        <v>110</v>
      </c>
      <c r="G8753" s="201" t="s">
        <v>1489</v>
      </c>
      <c r="H8753" s="201" t="s">
        <v>508</v>
      </c>
      <c r="I8753" s="206"/>
    </row>
    <row r="8754" spans="1:9" ht="15" hidden="1" customHeight="1">
      <c r="A8754" s="205">
        <v>45625</v>
      </c>
      <c r="B8754" s="208" t="s">
        <v>6895</v>
      </c>
      <c r="C8754" s="206" t="s">
        <v>27</v>
      </c>
      <c r="D8754" s="784">
        <v>-2014067</v>
      </c>
      <c r="E8754" s="212">
        <v>45597</v>
      </c>
      <c r="F8754" s="206" t="s">
        <v>110</v>
      </c>
      <c r="G8754" s="208" t="s">
        <v>4990</v>
      </c>
      <c r="H8754" s="201" t="s">
        <v>508</v>
      </c>
      <c r="I8754" s="206"/>
    </row>
    <row r="8755" spans="1:9" ht="15" hidden="1" customHeight="1">
      <c r="A8755" s="205">
        <v>45625</v>
      </c>
      <c r="B8755" s="208" t="s">
        <v>6895</v>
      </c>
      <c r="C8755" s="206" t="s">
        <v>27</v>
      </c>
      <c r="D8755" s="784">
        <v>-2014067</v>
      </c>
      <c r="E8755" s="212">
        <v>45597</v>
      </c>
      <c r="F8755" s="206" t="s">
        <v>109</v>
      </c>
      <c r="G8755" s="208" t="s">
        <v>4986</v>
      </c>
      <c r="H8755" s="201" t="s">
        <v>508</v>
      </c>
      <c r="I8755" s="206"/>
    </row>
    <row r="8756" spans="1:9" ht="15" hidden="1" customHeight="1">
      <c r="A8756" s="205">
        <v>45625</v>
      </c>
      <c r="B8756" s="208" t="s">
        <v>6323</v>
      </c>
      <c r="C8756" s="206" t="s">
        <v>27</v>
      </c>
      <c r="D8756" s="784">
        <v>-303800</v>
      </c>
      <c r="E8756" s="212">
        <v>45597</v>
      </c>
      <c r="F8756" s="206" t="s">
        <v>110</v>
      </c>
      <c r="G8756" s="201" t="s">
        <v>1489</v>
      </c>
      <c r="H8756" s="201" t="s">
        <v>508</v>
      </c>
      <c r="I8756" s="206"/>
    </row>
    <row r="8757" spans="1:9" ht="15" hidden="1" customHeight="1">
      <c r="A8757" s="205">
        <v>45625</v>
      </c>
      <c r="B8757" s="208" t="s">
        <v>6323</v>
      </c>
      <c r="C8757" s="206" t="s">
        <v>27</v>
      </c>
      <c r="D8757" s="784">
        <v>-303800</v>
      </c>
      <c r="E8757" s="212">
        <v>45597</v>
      </c>
      <c r="F8757" s="206" t="s">
        <v>110</v>
      </c>
      <c r="G8757" s="208" t="s">
        <v>4990</v>
      </c>
      <c r="H8757" s="201" t="s">
        <v>508</v>
      </c>
      <c r="I8757" s="206"/>
    </row>
    <row r="8758" spans="1:9" ht="15" hidden="1" customHeight="1">
      <c r="A8758" s="205">
        <v>45625</v>
      </c>
      <c r="B8758" s="208" t="s">
        <v>6323</v>
      </c>
      <c r="C8758" s="206" t="s">
        <v>27</v>
      </c>
      <c r="D8758" s="784">
        <v>-303800</v>
      </c>
      <c r="E8758" s="212">
        <v>45597</v>
      </c>
      <c r="F8758" s="206" t="s">
        <v>109</v>
      </c>
      <c r="G8758" s="208" t="s">
        <v>4986</v>
      </c>
      <c r="H8758" s="201" t="s">
        <v>508</v>
      </c>
      <c r="I8758" s="206"/>
    </row>
    <row r="8759" spans="1:9" ht="15" hidden="1" customHeight="1">
      <c r="A8759" s="205">
        <v>45625</v>
      </c>
      <c r="B8759" s="208" t="s">
        <v>6896</v>
      </c>
      <c r="C8759" s="206" t="s">
        <v>27</v>
      </c>
      <c r="D8759" s="784">
        <v>-955067</v>
      </c>
      <c r="E8759" s="212">
        <v>45597</v>
      </c>
      <c r="F8759" s="206" t="s">
        <v>110</v>
      </c>
      <c r="G8759" s="201" t="s">
        <v>1489</v>
      </c>
      <c r="H8759" s="201" t="s">
        <v>508</v>
      </c>
      <c r="I8759" s="206"/>
    </row>
    <row r="8760" spans="1:9" ht="15" hidden="1" customHeight="1">
      <c r="A8760" s="205">
        <v>45625</v>
      </c>
      <c r="B8760" s="208" t="s">
        <v>6896</v>
      </c>
      <c r="C8760" s="206" t="s">
        <v>27</v>
      </c>
      <c r="D8760" s="784">
        <v>-955067</v>
      </c>
      <c r="E8760" s="212">
        <v>45597</v>
      </c>
      <c r="F8760" s="206" t="s">
        <v>110</v>
      </c>
      <c r="G8760" s="208" t="s">
        <v>4990</v>
      </c>
      <c r="H8760" s="201" t="s">
        <v>508</v>
      </c>
      <c r="I8760" s="206"/>
    </row>
    <row r="8761" spans="1:9" ht="15" hidden="1" customHeight="1">
      <c r="A8761" s="205">
        <v>45625</v>
      </c>
      <c r="B8761" s="208" t="s">
        <v>6896</v>
      </c>
      <c r="C8761" s="206" t="s">
        <v>27</v>
      </c>
      <c r="D8761" s="784">
        <v>-955067</v>
      </c>
      <c r="E8761" s="212">
        <v>45597</v>
      </c>
      <c r="F8761" s="206" t="s">
        <v>109</v>
      </c>
      <c r="G8761" s="208" t="s">
        <v>4986</v>
      </c>
      <c r="H8761" s="201" t="s">
        <v>508</v>
      </c>
      <c r="I8761" s="206"/>
    </row>
    <row r="8762" spans="1:9" ht="15" hidden="1" customHeight="1">
      <c r="A8762" s="205">
        <v>45625</v>
      </c>
      <c r="B8762" s="208" t="s">
        <v>6897</v>
      </c>
      <c r="C8762" s="206" t="s">
        <v>27</v>
      </c>
      <c r="D8762" s="784">
        <v>-853333</v>
      </c>
      <c r="E8762" s="212">
        <v>45597</v>
      </c>
      <c r="F8762" s="206" t="s">
        <v>110</v>
      </c>
      <c r="G8762" s="201" t="s">
        <v>1489</v>
      </c>
      <c r="H8762" s="201" t="s">
        <v>508</v>
      </c>
      <c r="I8762" s="206"/>
    </row>
    <row r="8763" spans="1:9" ht="15" hidden="1" customHeight="1">
      <c r="A8763" s="205">
        <v>45625</v>
      </c>
      <c r="B8763" s="208" t="s">
        <v>6897</v>
      </c>
      <c r="C8763" s="206" t="s">
        <v>27</v>
      </c>
      <c r="D8763" s="784">
        <v>-853333</v>
      </c>
      <c r="E8763" s="212">
        <v>45597</v>
      </c>
      <c r="F8763" s="206" t="s">
        <v>110</v>
      </c>
      <c r="G8763" s="208" t="s">
        <v>4990</v>
      </c>
      <c r="H8763" s="201" t="s">
        <v>508</v>
      </c>
      <c r="I8763" s="206"/>
    </row>
    <row r="8764" spans="1:9" ht="15" hidden="1" customHeight="1">
      <c r="A8764" s="205">
        <v>45625</v>
      </c>
      <c r="B8764" s="208" t="s">
        <v>6897</v>
      </c>
      <c r="C8764" s="206" t="s">
        <v>27</v>
      </c>
      <c r="D8764" s="784">
        <v>-853333</v>
      </c>
      <c r="E8764" s="212">
        <v>45597</v>
      </c>
      <c r="F8764" s="206" t="s">
        <v>109</v>
      </c>
      <c r="G8764" s="208" t="s">
        <v>4986</v>
      </c>
      <c r="H8764" s="201" t="s">
        <v>508</v>
      </c>
      <c r="I8764" s="206"/>
    </row>
    <row r="8765" spans="1:9" ht="15" hidden="1" customHeight="1">
      <c r="A8765" s="205">
        <v>45625</v>
      </c>
      <c r="B8765" s="208" t="s">
        <v>6898</v>
      </c>
      <c r="C8765" s="206" t="s">
        <v>27</v>
      </c>
      <c r="D8765" s="784">
        <v>-677333</v>
      </c>
      <c r="E8765" s="212">
        <v>45597</v>
      </c>
      <c r="F8765" s="206" t="s">
        <v>110</v>
      </c>
      <c r="G8765" s="201" t="s">
        <v>1489</v>
      </c>
      <c r="H8765" s="201" t="s">
        <v>508</v>
      </c>
      <c r="I8765" s="206"/>
    </row>
    <row r="8766" spans="1:9" ht="15" hidden="1" customHeight="1">
      <c r="A8766" s="205">
        <v>45625</v>
      </c>
      <c r="B8766" s="208" t="s">
        <v>6898</v>
      </c>
      <c r="C8766" s="206" t="s">
        <v>27</v>
      </c>
      <c r="D8766" s="784">
        <v>-677333</v>
      </c>
      <c r="E8766" s="212">
        <v>45597</v>
      </c>
      <c r="F8766" s="206" t="s">
        <v>110</v>
      </c>
      <c r="G8766" s="208" t="s">
        <v>4990</v>
      </c>
      <c r="H8766" s="201" t="s">
        <v>508</v>
      </c>
      <c r="I8766" s="206"/>
    </row>
    <row r="8767" spans="1:9" ht="15" hidden="1" customHeight="1">
      <c r="A8767" s="205">
        <v>45625</v>
      </c>
      <c r="B8767" s="208" t="s">
        <v>6898</v>
      </c>
      <c r="C8767" s="206" t="s">
        <v>27</v>
      </c>
      <c r="D8767" s="784">
        <v>-677333</v>
      </c>
      <c r="E8767" s="212">
        <v>45597</v>
      </c>
      <c r="F8767" s="206" t="s">
        <v>109</v>
      </c>
      <c r="G8767" s="208" t="s">
        <v>4986</v>
      </c>
      <c r="H8767" s="201" t="s">
        <v>508</v>
      </c>
      <c r="I8767" s="206"/>
    </row>
    <row r="8768" spans="1:9" ht="15" hidden="1" customHeight="1">
      <c r="A8768" s="205">
        <v>45625</v>
      </c>
      <c r="B8768" s="208" t="s">
        <v>6343</v>
      </c>
      <c r="C8768" s="206" t="s">
        <v>27</v>
      </c>
      <c r="D8768" s="784">
        <v>-268000</v>
      </c>
      <c r="E8768" s="212">
        <v>45597</v>
      </c>
      <c r="F8768" s="206" t="s">
        <v>110</v>
      </c>
      <c r="G8768" s="201" t="s">
        <v>1489</v>
      </c>
      <c r="H8768" s="201" t="s">
        <v>508</v>
      </c>
      <c r="I8768" s="206"/>
    </row>
    <row r="8769" spans="1:9" ht="15" hidden="1" customHeight="1">
      <c r="A8769" s="205">
        <v>45625</v>
      </c>
      <c r="B8769" s="208" t="s">
        <v>6343</v>
      </c>
      <c r="C8769" s="206" t="s">
        <v>27</v>
      </c>
      <c r="D8769" s="784">
        <v>-268000</v>
      </c>
      <c r="E8769" s="212">
        <v>45597</v>
      </c>
      <c r="F8769" s="206" t="s">
        <v>110</v>
      </c>
      <c r="G8769" s="208" t="s">
        <v>4990</v>
      </c>
      <c r="H8769" s="201" t="s">
        <v>508</v>
      </c>
      <c r="I8769" s="206"/>
    </row>
    <row r="8770" spans="1:9" ht="15" hidden="1" customHeight="1">
      <c r="A8770" s="205">
        <v>45625</v>
      </c>
      <c r="B8770" s="208" t="s">
        <v>6343</v>
      </c>
      <c r="C8770" s="206" t="s">
        <v>27</v>
      </c>
      <c r="D8770" s="784">
        <v>-268000</v>
      </c>
      <c r="E8770" s="212">
        <v>45597</v>
      </c>
      <c r="F8770" s="206" t="s">
        <v>109</v>
      </c>
      <c r="G8770" s="208" t="s">
        <v>4986</v>
      </c>
      <c r="H8770" s="201" t="s">
        <v>508</v>
      </c>
      <c r="I8770" s="206"/>
    </row>
    <row r="8771" spans="1:9" ht="15" hidden="1" customHeight="1">
      <c r="A8771" s="205">
        <v>45625</v>
      </c>
      <c r="B8771" s="208" t="s">
        <v>6899</v>
      </c>
      <c r="C8771" s="206" t="s">
        <v>27</v>
      </c>
      <c r="D8771" s="784">
        <v>-820667</v>
      </c>
      <c r="E8771" s="212">
        <v>45597</v>
      </c>
      <c r="F8771" s="206" t="s">
        <v>110</v>
      </c>
      <c r="G8771" s="201" t="s">
        <v>1489</v>
      </c>
      <c r="H8771" s="201" t="s">
        <v>508</v>
      </c>
      <c r="I8771" s="206"/>
    </row>
    <row r="8772" spans="1:9" ht="15" hidden="1" customHeight="1">
      <c r="A8772" s="205">
        <v>45625</v>
      </c>
      <c r="B8772" s="208" t="s">
        <v>6899</v>
      </c>
      <c r="C8772" s="206" t="s">
        <v>27</v>
      </c>
      <c r="D8772" s="784">
        <v>-820667</v>
      </c>
      <c r="E8772" s="212">
        <v>45597</v>
      </c>
      <c r="F8772" s="206" t="s">
        <v>110</v>
      </c>
      <c r="G8772" s="208" t="s">
        <v>4990</v>
      </c>
      <c r="H8772" s="201" t="s">
        <v>508</v>
      </c>
      <c r="I8772" s="206"/>
    </row>
    <row r="8773" spans="1:9" ht="15" hidden="1" customHeight="1">
      <c r="A8773" s="205">
        <v>45625</v>
      </c>
      <c r="B8773" s="208" t="s">
        <v>6899</v>
      </c>
      <c r="C8773" s="206" t="s">
        <v>27</v>
      </c>
      <c r="D8773" s="784">
        <v>-820667</v>
      </c>
      <c r="E8773" s="212">
        <v>45597</v>
      </c>
      <c r="F8773" s="206" t="s">
        <v>109</v>
      </c>
      <c r="G8773" s="208" t="s">
        <v>4986</v>
      </c>
      <c r="H8773" s="201" t="s">
        <v>508</v>
      </c>
      <c r="I8773" s="206"/>
    </row>
    <row r="8774" spans="1:9" ht="15" hidden="1" customHeight="1">
      <c r="A8774" s="205">
        <v>45625</v>
      </c>
      <c r="B8774" s="208" t="s">
        <v>6900</v>
      </c>
      <c r="C8774" s="206" t="s">
        <v>27</v>
      </c>
      <c r="D8774" s="784">
        <v>-835533</v>
      </c>
      <c r="E8774" s="212">
        <v>45597</v>
      </c>
      <c r="F8774" s="206" t="s">
        <v>110</v>
      </c>
      <c r="G8774" s="201" t="s">
        <v>1489</v>
      </c>
      <c r="H8774" s="201" t="s">
        <v>508</v>
      </c>
      <c r="I8774" s="206"/>
    </row>
    <row r="8775" spans="1:9" ht="15" hidden="1" customHeight="1">
      <c r="A8775" s="205">
        <v>45625</v>
      </c>
      <c r="B8775" s="208" t="s">
        <v>6900</v>
      </c>
      <c r="C8775" s="206" t="s">
        <v>27</v>
      </c>
      <c r="D8775" s="784">
        <v>-835533</v>
      </c>
      <c r="E8775" s="212">
        <v>45597</v>
      </c>
      <c r="F8775" s="206" t="s">
        <v>110</v>
      </c>
      <c r="G8775" s="208" t="s">
        <v>4990</v>
      </c>
      <c r="H8775" s="201" t="s">
        <v>508</v>
      </c>
      <c r="I8775" s="206"/>
    </row>
    <row r="8776" spans="1:9" ht="15" hidden="1" customHeight="1">
      <c r="A8776" s="205">
        <v>45625</v>
      </c>
      <c r="B8776" s="208" t="s">
        <v>6900</v>
      </c>
      <c r="C8776" s="206" t="s">
        <v>27</v>
      </c>
      <c r="D8776" s="784">
        <v>-835533</v>
      </c>
      <c r="E8776" s="212">
        <v>45597</v>
      </c>
      <c r="F8776" s="206" t="s">
        <v>109</v>
      </c>
      <c r="G8776" s="208" t="s">
        <v>4986</v>
      </c>
      <c r="H8776" s="201" t="s">
        <v>508</v>
      </c>
      <c r="I8776" s="206"/>
    </row>
    <row r="8777" spans="1:9" ht="15" hidden="1" customHeight="1">
      <c r="A8777" s="205">
        <v>45625</v>
      </c>
      <c r="B8777" s="208" t="s">
        <v>6901</v>
      </c>
      <c r="C8777" s="206" t="s">
        <v>27</v>
      </c>
      <c r="D8777" s="784">
        <v>-790000</v>
      </c>
      <c r="E8777" s="212">
        <v>45597</v>
      </c>
      <c r="F8777" s="206" t="s">
        <v>110</v>
      </c>
      <c r="G8777" s="201" t="s">
        <v>1489</v>
      </c>
      <c r="H8777" s="201" t="s">
        <v>508</v>
      </c>
      <c r="I8777" s="720" t="s">
        <v>5410</v>
      </c>
    </row>
    <row r="8778" spans="1:9" ht="15" hidden="1" customHeight="1">
      <c r="A8778" s="205">
        <v>45625</v>
      </c>
      <c r="B8778" s="208" t="s">
        <v>6901</v>
      </c>
      <c r="C8778" s="206" t="s">
        <v>27</v>
      </c>
      <c r="D8778" s="784">
        <v>-790000</v>
      </c>
      <c r="E8778" s="212">
        <v>45597</v>
      </c>
      <c r="F8778" s="206" t="s">
        <v>110</v>
      </c>
      <c r="G8778" s="208" t="s">
        <v>4990</v>
      </c>
      <c r="H8778" s="201" t="s">
        <v>508</v>
      </c>
      <c r="I8778" s="206"/>
    </row>
    <row r="8779" spans="1:9" ht="15" hidden="1" customHeight="1">
      <c r="A8779" s="205">
        <v>45625</v>
      </c>
      <c r="B8779" s="208" t="s">
        <v>6901</v>
      </c>
      <c r="C8779" s="206" t="s">
        <v>27</v>
      </c>
      <c r="D8779" s="784">
        <v>-790000</v>
      </c>
      <c r="E8779" s="212">
        <v>45597</v>
      </c>
      <c r="F8779" s="206" t="s">
        <v>109</v>
      </c>
      <c r="G8779" s="208" t="s">
        <v>4986</v>
      </c>
      <c r="H8779" s="201" t="s">
        <v>508</v>
      </c>
      <c r="I8779" s="206"/>
    </row>
    <row r="8780" spans="1:9" ht="15" hidden="1" customHeight="1">
      <c r="A8780" s="205">
        <v>45625</v>
      </c>
      <c r="B8780" s="208" t="s">
        <v>6902</v>
      </c>
      <c r="C8780" s="206" t="s">
        <v>27</v>
      </c>
      <c r="D8780" s="784">
        <v>-1078667</v>
      </c>
      <c r="E8780" s="212">
        <v>45597</v>
      </c>
      <c r="F8780" s="206" t="s">
        <v>109</v>
      </c>
      <c r="G8780" s="206" t="s">
        <v>6903</v>
      </c>
      <c r="H8780" s="201" t="s">
        <v>508</v>
      </c>
      <c r="I8780" s="206"/>
    </row>
    <row r="8781" spans="1:9" ht="15" hidden="1" customHeight="1">
      <c r="A8781" s="205">
        <v>45625</v>
      </c>
      <c r="B8781" s="208" t="s">
        <v>6902</v>
      </c>
      <c r="C8781" s="206" t="s">
        <v>27</v>
      </c>
      <c r="D8781" s="784">
        <v>-1078667</v>
      </c>
      <c r="E8781" s="212">
        <v>45597</v>
      </c>
      <c r="F8781" s="206" t="s">
        <v>110</v>
      </c>
      <c r="G8781" s="208" t="s">
        <v>4990</v>
      </c>
      <c r="H8781" s="201" t="s">
        <v>508</v>
      </c>
      <c r="I8781" s="206"/>
    </row>
    <row r="8782" spans="1:9" ht="15" hidden="1" customHeight="1">
      <c r="A8782" s="205">
        <v>45625</v>
      </c>
      <c r="B8782" s="208" t="s">
        <v>6902</v>
      </c>
      <c r="C8782" s="206" t="s">
        <v>27</v>
      </c>
      <c r="D8782" s="784">
        <v>-1078667</v>
      </c>
      <c r="E8782" s="212">
        <v>45597</v>
      </c>
      <c r="F8782" s="206" t="s">
        <v>109</v>
      </c>
      <c r="G8782" s="208" t="s">
        <v>4986</v>
      </c>
      <c r="H8782" s="201" t="s">
        <v>508</v>
      </c>
      <c r="I8782" s="206"/>
    </row>
    <row r="8783" spans="1:9" ht="15" hidden="1" customHeight="1">
      <c r="A8783" s="205">
        <v>45625</v>
      </c>
      <c r="B8783" s="208" t="s">
        <v>6904</v>
      </c>
      <c r="C8783" s="206" t="s">
        <v>27</v>
      </c>
      <c r="D8783" s="784">
        <v>-114653525</v>
      </c>
      <c r="E8783" s="212">
        <v>45597</v>
      </c>
      <c r="F8783" s="206" t="s">
        <v>109</v>
      </c>
      <c r="G8783" s="206" t="s">
        <v>5990</v>
      </c>
      <c r="H8783" s="206" t="s">
        <v>6905</v>
      </c>
      <c r="I8783" s="206"/>
    </row>
    <row r="8784" spans="1:9" ht="15" hidden="1" customHeight="1">
      <c r="A8784" s="205">
        <v>45625</v>
      </c>
      <c r="B8784" s="208" t="s">
        <v>6906</v>
      </c>
      <c r="C8784" s="206" t="s">
        <v>27</v>
      </c>
      <c r="D8784" s="784">
        <v>-43624357</v>
      </c>
      <c r="E8784" s="212">
        <v>45597</v>
      </c>
      <c r="F8784" s="206" t="s">
        <v>130</v>
      </c>
      <c r="G8784" s="206" t="s">
        <v>130</v>
      </c>
      <c r="H8784" s="206" t="s">
        <v>2724</v>
      </c>
      <c r="I8784" s="206"/>
    </row>
    <row r="8785" spans="1:9" ht="15" hidden="1" customHeight="1">
      <c r="A8785" s="205">
        <v>45625</v>
      </c>
      <c r="B8785" s="208" t="s">
        <v>6907</v>
      </c>
      <c r="C8785" s="206" t="s">
        <v>27</v>
      </c>
      <c r="D8785" s="784">
        <v>-546360</v>
      </c>
      <c r="E8785" s="212">
        <v>45597</v>
      </c>
      <c r="F8785" s="206" t="s">
        <v>130</v>
      </c>
      <c r="G8785" s="206" t="s">
        <v>130</v>
      </c>
      <c r="H8785" s="206" t="s">
        <v>2724</v>
      </c>
      <c r="I8785" s="206"/>
    </row>
    <row r="8786" spans="1:9" ht="15" hidden="1" customHeight="1">
      <c r="A8786" s="205">
        <v>45618</v>
      </c>
      <c r="B8786" s="208" t="s">
        <v>6908</v>
      </c>
      <c r="C8786" s="206" t="s">
        <v>27</v>
      </c>
      <c r="D8786" s="784">
        <v>-4186100</v>
      </c>
      <c r="E8786" s="212">
        <v>45597</v>
      </c>
      <c r="F8786" s="206" t="s">
        <v>109</v>
      </c>
      <c r="G8786" s="206" t="s">
        <v>5990</v>
      </c>
      <c r="H8786" s="206" t="s">
        <v>6134</v>
      </c>
      <c r="I8786" s="206"/>
    </row>
    <row r="8787" spans="1:9" ht="15" hidden="1" customHeight="1">
      <c r="A8787" s="205">
        <v>45618</v>
      </c>
      <c r="B8787" s="208" t="s">
        <v>6909</v>
      </c>
      <c r="C8787" s="206" t="s">
        <v>27</v>
      </c>
      <c r="D8787" s="784">
        <v>-740000</v>
      </c>
      <c r="E8787" s="212">
        <v>45597</v>
      </c>
      <c r="F8787" s="206" t="s">
        <v>130</v>
      </c>
      <c r="G8787" s="206" t="s">
        <v>130</v>
      </c>
      <c r="H8787" s="206" t="s">
        <v>2724</v>
      </c>
      <c r="I8787" s="206"/>
    </row>
    <row r="8788" spans="1:9" ht="15" hidden="1" customHeight="1">
      <c r="A8788" s="205">
        <v>45604</v>
      </c>
      <c r="B8788" s="208" t="s">
        <v>6910</v>
      </c>
      <c r="C8788" s="206" t="s">
        <v>27</v>
      </c>
      <c r="D8788" s="784">
        <v>-47900</v>
      </c>
      <c r="E8788" s="212">
        <v>45597</v>
      </c>
      <c r="F8788" s="206" t="s">
        <v>110</v>
      </c>
      <c r="G8788" s="206" t="s">
        <v>5503</v>
      </c>
      <c r="H8788" s="206" t="s">
        <v>1166</v>
      </c>
      <c r="I8788" s="206" t="s">
        <v>6849</v>
      </c>
    </row>
    <row r="8789" spans="1:9" ht="15" hidden="1" customHeight="1">
      <c r="A8789" s="205">
        <v>45604</v>
      </c>
      <c r="B8789" s="208" t="s">
        <v>6911</v>
      </c>
      <c r="C8789" s="206" t="s">
        <v>27</v>
      </c>
      <c r="D8789" s="784">
        <v>-26418</v>
      </c>
      <c r="E8789" s="212">
        <v>45597</v>
      </c>
      <c r="F8789" s="206" t="s">
        <v>110</v>
      </c>
      <c r="G8789" s="206" t="s">
        <v>5503</v>
      </c>
      <c r="H8789" s="206" t="s">
        <v>1166</v>
      </c>
      <c r="I8789" s="206" t="s">
        <v>6849</v>
      </c>
    </row>
    <row r="8790" spans="1:9" ht="15" hidden="1" customHeight="1">
      <c r="A8790" s="205">
        <v>45604</v>
      </c>
      <c r="B8790" s="208" t="s">
        <v>6912</v>
      </c>
      <c r="C8790" s="206" t="s">
        <v>27</v>
      </c>
      <c r="D8790" s="784">
        <v>-22500</v>
      </c>
      <c r="E8790" s="212">
        <v>45597</v>
      </c>
      <c r="F8790" s="206" t="s">
        <v>110</v>
      </c>
      <c r="G8790" s="206" t="s">
        <v>5503</v>
      </c>
      <c r="H8790" s="206" t="s">
        <v>2941</v>
      </c>
      <c r="I8790" s="206" t="s">
        <v>6849</v>
      </c>
    </row>
    <row r="8791" spans="1:9" ht="15" hidden="1" customHeight="1">
      <c r="A8791" s="205">
        <v>45604</v>
      </c>
      <c r="B8791" s="208" t="s">
        <v>6913</v>
      </c>
      <c r="C8791" s="206" t="s">
        <v>27</v>
      </c>
      <c r="D8791" s="784">
        <v>-119900</v>
      </c>
      <c r="E8791" s="212">
        <v>45597</v>
      </c>
      <c r="F8791" s="206" t="s">
        <v>110</v>
      </c>
      <c r="G8791" s="206" t="s">
        <v>5503</v>
      </c>
      <c r="H8791" s="206" t="s">
        <v>147</v>
      </c>
      <c r="I8791" s="206" t="s">
        <v>6849</v>
      </c>
    </row>
    <row r="8792" spans="1:9" ht="15" hidden="1" customHeight="1">
      <c r="A8792" s="205">
        <v>45604</v>
      </c>
      <c r="B8792" s="208" t="s">
        <v>6914</v>
      </c>
      <c r="C8792" s="206" t="s">
        <v>27</v>
      </c>
      <c r="D8792" s="784">
        <v>-45000</v>
      </c>
      <c r="E8792" s="212">
        <v>45597</v>
      </c>
      <c r="F8792" s="206" t="s">
        <v>110</v>
      </c>
      <c r="G8792" s="206" t="s">
        <v>5503</v>
      </c>
      <c r="H8792" s="206" t="s">
        <v>1166</v>
      </c>
      <c r="I8792" s="206" t="s">
        <v>6849</v>
      </c>
    </row>
    <row r="8793" spans="1:9" ht="15" hidden="1" customHeight="1">
      <c r="A8793" s="205">
        <v>45604</v>
      </c>
      <c r="B8793" s="208" t="s">
        <v>6915</v>
      </c>
      <c r="C8793" s="206" t="s">
        <v>27</v>
      </c>
      <c r="D8793" s="784">
        <v>-57512</v>
      </c>
      <c r="E8793" s="212">
        <v>45597</v>
      </c>
      <c r="F8793" s="206" t="s">
        <v>110</v>
      </c>
      <c r="G8793" s="206" t="s">
        <v>5503</v>
      </c>
      <c r="H8793" s="206" t="s">
        <v>416</v>
      </c>
      <c r="I8793" s="206" t="s">
        <v>6849</v>
      </c>
    </row>
    <row r="8794" spans="1:9" ht="15" hidden="1" customHeight="1">
      <c r="A8794" s="205">
        <v>45605</v>
      </c>
      <c r="B8794" s="208" t="s">
        <v>6916</v>
      </c>
      <c r="C8794" s="206" t="s">
        <v>27</v>
      </c>
      <c r="D8794" s="784">
        <v>-24998.33</v>
      </c>
      <c r="E8794" s="212">
        <v>45597</v>
      </c>
      <c r="F8794" s="206" t="s">
        <v>110</v>
      </c>
      <c r="G8794" s="206" t="s">
        <v>5503</v>
      </c>
      <c r="H8794" s="206" t="s">
        <v>2941</v>
      </c>
      <c r="I8794" s="206" t="s">
        <v>6849</v>
      </c>
    </row>
    <row r="8795" spans="1:9" ht="15" hidden="1" customHeight="1">
      <c r="A8795" s="205">
        <v>45608</v>
      </c>
      <c r="B8795" s="208" t="s">
        <v>6917</v>
      </c>
      <c r="C8795" s="206" t="s">
        <v>27</v>
      </c>
      <c r="D8795" s="784">
        <v>-33900</v>
      </c>
      <c r="E8795" s="212">
        <v>45597</v>
      </c>
      <c r="F8795" s="206" t="s">
        <v>110</v>
      </c>
      <c r="G8795" s="206" t="s">
        <v>5503</v>
      </c>
      <c r="H8795" s="206" t="s">
        <v>147</v>
      </c>
      <c r="I8795" s="206" t="s">
        <v>6849</v>
      </c>
    </row>
    <row r="8796" spans="1:9" ht="15" hidden="1" customHeight="1">
      <c r="A8796" s="205">
        <v>45608</v>
      </c>
      <c r="B8796" s="208" t="s">
        <v>6918</v>
      </c>
      <c r="C8796" s="206" t="s">
        <v>27</v>
      </c>
      <c r="D8796" s="784">
        <v>-21000</v>
      </c>
      <c r="E8796" s="212">
        <v>45597</v>
      </c>
      <c r="F8796" s="206" t="s">
        <v>110</v>
      </c>
      <c r="G8796" s="206" t="s">
        <v>5503</v>
      </c>
      <c r="H8796" s="206" t="s">
        <v>2941</v>
      </c>
      <c r="I8796" s="206" t="s">
        <v>6849</v>
      </c>
    </row>
    <row r="8797" spans="1:9" ht="15" hidden="1" customHeight="1">
      <c r="A8797" s="205">
        <v>45610</v>
      </c>
      <c r="B8797" s="208" t="s">
        <v>6919</v>
      </c>
      <c r="C8797" s="206" t="s">
        <v>27</v>
      </c>
      <c r="D8797" s="784">
        <v>-37497.49</v>
      </c>
      <c r="E8797" s="212">
        <v>45597</v>
      </c>
      <c r="F8797" s="206" t="s">
        <v>110</v>
      </c>
      <c r="G8797" s="206" t="s">
        <v>5503</v>
      </c>
      <c r="H8797" s="206" t="s">
        <v>2941</v>
      </c>
      <c r="I8797" s="720" t="s">
        <v>5410</v>
      </c>
    </row>
    <row r="8798" spans="1:9" ht="15" hidden="1" customHeight="1">
      <c r="A8798" s="205">
        <v>45618</v>
      </c>
      <c r="B8798" s="208" t="s">
        <v>6920</v>
      </c>
      <c r="C8798" s="206" t="s">
        <v>27</v>
      </c>
      <c r="D8798" s="737">
        <v>831971</v>
      </c>
      <c r="E8798" s="212">
        <v>45597</v>
      </c>
      <c r="F8798" s="206" t="s">
        <v>108</v>
      </c>
      <c r="I8798" s="206"/>
    </row>
    <row r="8799" spans="1:9" ht="15" hidden="1" customHeight="1">
      <c r="A8799" s="205">
        <v>45618</v>
      </c>
      <c r="B8799" s="208" t="s">
        <v>6921</v>
      </c>
      <c r="C8799" s="206" t="s">
        <v>27</v>
      </c>
      <c r="D8799" s="737">
        <v>5164246</v>
      </c>
      <c r="E8799" s="212">
        <v>45597</v>
      </c>
      <c r="F8799" s="206" t="s">
        <v>108</v>
      </c>
      <c r="I8799" s="206"/>
    </row>
    <row r="8800" spans="1:9" ht="15" hidden="1" customHeight="1">
      <c r="A8800" s="205">
        <v>45623</v>
      </c>
      <c r="B8800" s="208" t="s">
        <v>6922</v>
      </c>
      <c r="C8800" s="206" t="s">
        <v>27</v>
      </c>
      <c r="D8800" s="737">
        <v>400000000</v>
      </c>
      <c r="E8800" s="212">
        <v>45597</v>
      </c>
      <c r="F8800" s="292" t="s">
        <v>707</v>
      </c>
      <c r="G8800" s="206" t="s">
        <v>5990</v>
      </c>
      <c r="H8800" s="206" t="s">
        <v>461</v>
      </c>
      <c r="I8800" s="206"/>
    </row>
    <row r="8801" spans="1:9" ht="15" hidden="1" customHeight="1">
      <c r="A8801" s="205">
        <v>45623</v>
      </c>
      <c r="B8801" s="208" t="s">
        <v>6923</v>
      </c>
      <c r="C8801" s="206" t="s">
        <v>27</v>
      </c>
      <c r="D8801" s="737">
        <v>180000000</v>
      </c>
      <c r="E8801" s="212">
        <v>45597</v>
      </c>
      <c r="F8801" s="292" t="s">
        <v>707</v>
      </c>
      <c r="G8801" s="206" t="s">
        <v>6924</v>
      </c>
      <c r="H8801" s="206" t="s">
        <v>461</v>
      </c>
      <c r="I8801" s="206"/>
    </row>
    <row r="8802" spans="1:9" ht="15" hidden="1" customHeight="1">
      <c r="A8802" s="205">
        <v>45618</v>
      </c>
      <c r="B8802" s="208" t="s">
        <v>6925</v>
      </c>
      <c r="C8802" s="206" t="s">
        <v>27</v>
      </c>
      <c r="D8802" s="737">
        <v>25000000</v>
      </c>
      <c r="E8802" s="212">
        <v>45597</v>
      </c>
      <c r="F8802" s="206" t="s">
        <v>109</v>
      </c>
      <c r="G8802" s="206" t="s">
        <v>6926</v>
      </c>
      <c r="I8802" s="206"/>
    </row>
    <row r="8803" spans="1:9" ht="15" hidden="1" customHeight="1">
      <c r="A8803" s="205">
        <v>45622</v>
      </c>
      <c r="B8803" s="208" t="s">
        <v>6927</v>
      </c>
      <c r="C8803" s="206" t="s">
        <v>27</v>
      </c>
      <c r="D8803" s="737">
        <v>15529854</v>
      </c>
      <c r="E8803" s="212">
        <v>45597</v>
      </c>
      <c r="F8803" s="206" t="s">
        <v>108</v>
      </c>
      <c r="I8803" s="206"/>
    </row>
    <row r="8804" spans="1:9" ht="15" hidden="1" customHeight="1">
      <c r="A8804" s="205">
        <v>45623</v>
      </c>
      <c r="B8804" s="208" t="s">
        <v>6928</v>
      </c>
      <c r="C8804" s="206" t="s">
        <v>27</v>
      </c>
      <c r="D8804" s="784">
        <v>-250000</v>
      </c>
      <c r="E8804" s="212">
        <v>45597</v>
      </c>
      <c r="F8804" s="206" t="s">
        <v>130</v>
      </c>
      <c r="G8804" s="206" t="s">
        <v>257</v>
      </c>
      <c r="H8804" s="206" t="s">
        <v>6929</v>
      </c>
      <c r="I8804" s="206"/>
    </row>
    <row r="8805" spans="1:9" ht="15" hidden="1" customHeight="1">
      <c r="A8805" s="205">
        <v>45623</v>
      </c>
      <c r="B8805" s="208" t="s">
        <v>6930</v>
      </c>
      <c r="C8805" s="206" t="s">
        <v>27</v>
      </c>
      <c r="D8805" s="784">
        <v>-282500</v>
      </c>
      <c r="E8805" s="212">
        <v>45597</v>
      </c>
      <c r="F8805" s="206" t="s">
        <v>110</v>
      </c>
      <c r="G8805" s="206" t="s">
        <v>4990</v>
      </c>
      <c r="H8805" s="206" t="s">
        <v>6931</v>
      </c>
      <c r="I8805" s="720" t="s">
        <v>5410</v>
      </c>
    </row>
    <row r="8806" spans="1:9" ht="15" hidden="1" customHeight="1">
      <c r="A8806" s="205">
        <v>45623</v>
      </c>
      <c r="B8806" s="208" t="s">
        <v>6932</v>
      </c>
      <c r="C8806" s="206" t="s">
        <v>27</v>
      </c>
      <c r="D8806" s="784">
        <v>-282500</v>
      </c>
      <c r="E8806" s="212">
        <v>45597</v>
      </c>
      <c r="F8806" s="206" t="s">
        <v>109</v>
      </c>
      <c r="G8806" s="206" t="s">
        <v>4225</v>
      </c>
      <c r="H8806" s="206" t="s">
        <v>549</v>
      </c>
      <c r="I8806" s="206"/>
    </row>
    <row r="8807" spans="1:9" ht="15" hidden="1" customHeight="1">
      <c r="A8807" s="205">
        <v>45623</v>
      </c>
      <c r="B8807" s="208" t="s">
        <v>6933</v>
      </c>
      <c r="C8807" s="475" t="s">
        <v>3331</v>
      </c>
      <c r="D8807" s="211">
        <v>-20900</v>
      </c>
      <c r="E8807" s="207">
        <v>45597</v>
      </c>
      <c r="F8807" s="206" t="s">
        <v>109</v>
      </c>
      <c r="G8807" s="206" t="s">
        <v>3644</v>
      </c>
      <c r="H8807" s="206" t="s">
        <v>6316</v>
      </c>
      <c r="I8807" s="206"/>
    </row>
    <row r="8808" spans="1:9" ht="15" hidden="1" customHeight="1">
      <c r="A8808" s="205">
        <v>45624</v>
      </c>
      <c r="B8808" s="208" t="s">
        <v>6934</v>
      </c>
      <c r="C8808" s="475" t="s">
        <v>3331</v>
      </c>
      <c r="D8808" s="211">
        <v>-7900</v>
      </c>
      <c r="E8808" s="207">
        <v>45597</v>
      </c>
      <c r="F8808" s="206" t="s">
        <v>109</v>
      </c>
      <c r="G8808" s="206" t="s">
        <v>3644</v>
      </c>
      <c r="H8808" s="206" t="s">
        <v>6316</v>
      </c>
      <c r="I8808" s="206"/>
    </row>
    <row r="8809" spans="1:9" ht="15" hidden="1" customHeight="1">
      <c r="A8809" s="205">
        <v>45621</v>
      </c>
      <c r="B8809" s="208" t="s">
        <v>6935</v>
      </c>
      <c r="C8809" s="206" t="s">
        <v>643</v>
      </c>
      <c r="D8809" s="211">
        <v>4698126.67</v>
      </c>
      <c r="E8809" s="207">
        <v>45597</v>
      </c>
      <c r="F8809" s="206" t="s">
        <v>108</v>
      </c>
      <c r="I8809" s="206"/>
    </row>
    <row r="8810" spans="1:9" ht="15" hidden="1" customHeight="1">
      <c r="A8810" s="205">
        <v>45621</v>
      </c>
      <c r="B8810" s="208" t="s">
        <v>6936</v>
      </c>
      <c r="C8810" s="206" t="s">
        <v>643</v>
      </c>
      <c r="D8810" s="211">
        <v>-1415889.77</v>
      </c>
      <c r="E8810" s="207">
        <v>45597</v>
      </c>
      <c r="F8810" s="206" t="s">
        <v>130</v>
      </c>
      <c r="G8810" s="206" t="s">
        <v>130</v>
      </c>
      <c r="H8810" s="206" t="s">
        <v>1245</v>
      </c>
      <c r="I8810" s="206"/>
    </row>
    <row r="8811" spans="1:9" ht="15" hidden="1" customHeight="1">
      <c r="A8811" s="205">
        <v>45621</v>
      </c>
      <c r="B8811" s="208" t="s">
        <v>5913</v>
      </c>
      <c r="C8811" s="206" t="s">
        <v>643</v>
      </c>
      <c r="D8811" s="211">
        <v>-2494907.0099999998</v>
      </c>
      <c r="E8811" s="207">
        <v>45597</v>
      </c>
      <c r="F8811" s="206" t="s">
        <v>130</v>
      </c>
      <c r="G8811" s="206" t="s">
        <v>130</v>
      </c>
      <c r="H8811" s="206" t="s">
        <v>1245</v>
      </c>
      <c r="I8811" s="206"/>
    </row>
    <row r="8812" spans="1:9" ht="15" hidden="1" customHeight="1">
      <c r="A8812" s="205">
        <v>45623</v>
      </c>
      <c r="B8812" s="208" t="s">
        <v>6937</v>
      </c>
      <c r="C8812" s="206" t="s">
        <v>4783</v>
      </c>
      <c r="D8812" s="211">
        <v>-13854720</v>
      </c>
      <c r="E8812" s="727">
        <v>45597</v>
      </c>
      <c r="F8812" s="206" t="s">
        <v>109</v>
      </c>
      <c r="G8812" s="206" t="s">
        <v>10</v>
      </c>
      <c r="H8812" s="206" t="s">
        <v>6225</v>
      </c>
      <c r="I8812" s="206"/>
    </row>
    <row r="8813" spans="1:9" ht="15" hidden="1" customHeight="1">
      <c r="A8813" s="205">
        <v>45623</v>
      </c>
      <c r="B8813" s="208" t="s">
        <v>6938</v>
      </c>
      <c r="C8813" s="206" t="s">
        <v>4783</v>
      </c>
      <c r="D8813" s="211">
        <v>-1729000</v>
      </c>
      <c r="E8813" s="727">
        <v>45597</v>
      </c>
      <c r="F8813" s="206" t="s">
        <v>1702</v>
      </c>
      <c r="I8813" s="206"/>
    </row>
    <row r="8814" spans="1:9" ht="15" hidden="1" customHeight="1">
      <c r="A8814" s="205">
        <v>45625</v>
      </c>
      <c r="B8814" s="208" t="s">
        <v>6939</v>
      </c>
      <c r="C8814" s="206" t="s">
        <v>4783</v>
      </c>
      <c r="D8814" s="211">
        <v>-396000</v>
      </c>
      <c r="E8814" s="727">
        <v>45597</v>
      </c>
      <c r="F8814" s="206" t="s">
        <v>109</v>
      </c>
      <c r="G8814" s="206" t="s">
        <v>2809</v>
      </c>
      <c r="H8814" s="208" t="s">
        <v>4814</v>
      </c>
      <c r="I8814" s="206"/>
    </row>
    <row r="8815" spans="1:9" ht="15" hidden="1" customHeight="1">
      <c r="A8815" s="205">
        <v>45623</v>
      </c>
      <c r="B8815" s="208" t="s">
        <v>6940</v>
      </c>
      <c r="C8815" s="206" t="s">
        <v>4783</v>
      </c>
      <c r="D8815" s="211">
        <v>-9500000</v>
      </c>
      <c r="E8815" s="727">
        <v>45597</v>
      </c>
      <c r="F8815" s="206" t="s">
        <v>109</v>
      </c>
      <c r="G8815" s="206" t="s">
        <v>3644</v>
      </c>
      <c r="H8815" s="206" t="s">
        <v>2724</v>
      </c>
      <c r="I8815" s="206"/>
    </row>
    <row r="8816" spans="1:9" ht="15" hidden="1" customHeight="1">
      <c r="A8816" s="205">
        <v>45620</v>
      </c>
      <c r="B8816" s="208" t="s">
        <v>6941</v>
      </c>
      <c r="C8816" s="206" t="s">
        <v>643</v>
      </c>
      <c r="D8816" s="211">
        <v>-30800</v>
      </c>
      <c r="E8816" s="727">
        <v>45597</v>
      </c>
      <c r="F8816" s="206" t="s">
        <v>130</v>
      </c>
      <c r="G8816" s="206" t="s">
        <v>257</v>
      </c>
      <c r="H8816" s="262" t="s">
        <v>1138</v>
      </c>
      <c r="I8816" s="206"/>
    </row>
    <row r="8817" spans="1:9" ht="15" hidden="1" customHeight="1">
      <c r="A8817" s="205">
        <v>45621</v>
      </c>
      <c r="B8817" s="208" t="s">
        <v>6942</v>
      </c>
      <c r="C8817" s="206" t="s">
        <v>3331</v>
      </c>
      <c r="D8817" s="211">
        <v>1113730</v>
      </c>
      <c r="E8817" s="207">
        <v>45597</v>
      </c>
      <c r="F8817" s="206" t="s">
        <v>108</v>
      </c>
      <c r="I8817" s="206"/>
    </row>
    <row r="8818" spans="1:9" ht="15" hidden="1" customHeight="1">
      <c r="A8818" s="205">
        <v>45622</v>
      </c>
      <c r="B8818" s="208" t="s">
        <v>6943</v>
      </c>
      <c r="C8818" s="206" t="s">
        <v>3331</v>
      </c>
      <c r="D8818" s="211">
        <v>1444156</v>
      </c>
      <c r="E8818" s="207">
        <v>45597</v>
      </c>
      <c r="F8818" s="206" t="s">
        <v>108</v>
      </c>
      <c r="I8818" s="206"/>
    </row>
    <row r="8819" spans="1:9" ht="15" hidden="1" customHeight="1">
      <c r="A8819" s="205">
        <v>45622</v>
      </c>
      <c r="B8819" s="208" t="s">
        <v>6944</v>
      </c>
      <c r="C8819" s="206" t="s">
        <v>3331</v>
      </c>
      <c r="D8819" s="211">
        <v>2380000</v>
      </c>
      <c r="E8819" s="207">
        <v>45597</v>
      </c>
      <c r="F8819" s="206" t="s">
        <v>109</v>
      </c>
      <c r="G8819" s="206" t="s">
        <v>6875</v>
      </c>
      <c r="H8819" s="206" t="s">
        <v>2941</v>
      </c>
      <c r="I8819" s="206"/>
    </row>
    <row r="8820" spans="1:9" ht="15" hidden="1" customHeight="1">
      <c r="A8820" s="205">
        <v>45622</v>
      </c>
      <c r="B8820" s="208" t="s">
        <v>6945</v>
      </c>
      <c r="C8820" s="206" t="s">
        <v>3331</v>
      </c>
      <c r="D8820" s="211">
        <v>494500</v>
      </c>
      <c r="E8820" s="207">
        <v>45597</v>
      </c>
      <c r="F8820" s="206" t="s">
        <v>207</v>
      </c>
      <c r="G8820" s="206" t="s">
        <v>207</v>
      </c>
      <c r="I8820" s="206"/>
    </row>
    <row r="8821" spans="1:9" ht="15" hidden="1" customHeight="1">
      <c r="A8821" s="205">
        <v>45620</v>
      </c>
      <c r="B8821" s="208" t="s">
        <v>6946</v>
      </c>
      <c r="C8821" s="206" t="s">
        <v>643</v>
      </c>
      <c r="D8821" s="211">
        <v>-144734</v>
      </c>
      <c r="E8821" s="727">
        <v>45597</v>
      </c>
      <c r="F8821" s="206" t="s">
        <v>130</v>
      </c>
      <c r="G8821" s="206" t="s">
        <v>130</v>
      </c>
      <c r="H8821" s="206" t="s">
        <v>2444</v>
      </c>
      <c r="I8821" s="206"/>
    </row>
    <row r="8822" spans="1:9" ht="15" hidden="1" customHeight="1">
      <c r="A8822" s="205">
        <v>45622</v>
      </c>
      <c r="B8822" s="208" t="s">
        <v>6947</v>
      </c>
      <c r="C8822" s="206" t="s">
        <v>27</v>
      </c>
      <c r="D8822" s="784">
        <v>-201491</v>
      </c>
      <c r="E8822" s="212">
        <v>45597</v>
      </c>
      <c r="F8822" s="206" t="s">
        <v>130</v>
      </c>
      <c r="G8822" s="206" t="s">
        <v>130</v>
      </c>
      <c r="H8822" s="206" t="s">
        <v>2724</v>
      </c>
      <c r="I8822" s="206"/>
    </row>
    <row r="8823" spans="1:9" ht="15" hidden="1" customHeight="1">
      <c r="A8823" s="205">
        <v>45617</v>
      </c>
      <c r="B8823" s="208" t="s">
        <v>6948</v>
      </c>
      <c r="C8823" s="206" t="s">
        <v>4314</v>
      </c>
      <c r="D8823" s="737">
        <v>-2541</v>
      </c>
      <c r="E8823" s="212">
        <v>45597</v>
      </c>
      <c r="F8823" s="206" t="s">
        <v>130</v>
      </c>
      <c r="G8823" s="206" t="s">
        <v>130</v>
      </c>
      <c r="H8823" s="206" t="s">
        <v>6929</v>
      </c>
      <c r="I8823" s="206"/>
    </row>
    <row r="8824" spans="1:9" ht="15" hidden="1" customHeight="1">
      <c r="A8824" s="205">
        <v>45617</v>
      </c>
      <c r="B8824" s="208" t="s">
        <v>6949</v>
      </c>
      <c r="C8824" s="206" t="s">
        <v>4314</v>
      </c>
      <c r="D8824" s="737">
        <v>-1524</v>
      </c>
      <c r="E8824" s="212">
        <v>45597</v>
      </c>
      <c r="F8824" s="206" t="s">
        <v>130</v>
      </c>
      <c r="G8824" s="206" t="s">
        <v>130</v>
      </c>
      <c r="H8824" s="206" t="s">
        <v>6929</v>
      </c>
      <c r="I8824" s="206"/>
    </row>
    <row r="8825" spans="1:9" s="780" customFormat="1" ht="15" hidden="1" customHeight="1">
      <c r="A8825" s="777">
        <v>45624</v>
      </c>
      <c r="B8825" s="778" t="s">
        <v>6950</v>
      </c>
      <c r="C8825" s="778" t="s">
        <v>4314</v>
      </c>
      <c r="D8825" s="737">
        <v>-27003</v>
      </c>
      <c r="E8825" s="779">
        <v>45597</v>
      </c>
      <c r="F8825" s="778" t="s">
        <v>130</v>
      </c>
      <c r="G8825" s="778" t="s">
        <v>130</v>
      </c>
      <c r="H8825" s="778" t="s">
        <v>2724</v>
      </c>
      <c r="I8825" s="778"/>
    </row>
    <row r="8826" spans="1:9" ht="15" hidden="1" customHeight="1">
      <c r="A8826" s="205">
        <v>45624</v>
      </c>
      <c r="B8826" s="208" t="s">
        <v>6951</v>
      </c>
      <c r="C8826" s="208" t="s">
        <v>4314</v>
      </c>
      <c r="D8826" s="737">
        <v>-4629.82</v>
      </c>
      <c r="E8826" s="212">
        <v>45597</v>
      </c>
      <c r="F8826" s="206" t="s">
        <v>130</v>
      </c>
      <c r="G8826" s="206" t="s">
        <v>130</v>
      </c>
      <c r="H8826" s="206" t="s">
        <v>2724</v>
      </c>
      <c r="I8826" s="206"/>
    </row>
    <row r="8827" spans="1:9" ht="15" hidden="1" customHeight="1">
      <c r="A8827" s="205">
        <v>45617</v>
      </c>
      <c r="B8827" s="208" t="s">
        <v>6948</v>
      </c>
      <c r="C8827" s="206" t="s">
        <v>4314</v>
      </c>
      <c r="D8827" s="737">
        <v>-2541</v>
      </c>
      <c r="E8827" s="212">
        <v>45597</v>
      </c>
      <c r="F8827" s="206" t="s">
        <v>130</v>
      </c>
      <c r="G8827" s="206" t="s">
        <v>130</v>
      </c>
      <c r="H8827" s="206" t="s">
        <v>6929</v>
      </c>
      <c r="I8827" s="206"/>
    </row>
    <row r="8828" spans="1:9" ht="15" hidden="1" customHeight="1">
      <c r="A8828" s="205">
        <v>45617</v>
      </c>
      <c r="B8828" s="208" t="s">
        <v>6949</v>
      </c>
      <c r="C8828" s="206" t="s">
        <v>4314</v>
      </c>
      <c r="D8828" s="737">
        <v>-1524</v>
      </c>
      <c r="E8828" s="212">
        <v>45597</v>
      </c>
      <c r="F8828" s="206" t="s">
        <v>130</v>
      </c>
      <c r="G8828" s="206" t="s">
        <v>130</v>
      </c>
      <c r="H8828" s="206" t="s">
        <v>6929</v>
      </c>
      <c r="I8828" s="206"/>
    </row>
    <row r="8829" spans="1:9" ht="15" hidden="1" customHeight="1">
      <c r="A8829" s="205">
        <v>45623</v>
      </c>
      <c r="B8829" s="208" t="s">
        <v>6952</v>
      </c>
      <c r="C8829" s="206" t="s">
        <v>4314</v>
      </c>
      <c r="D8829" s="737">
        <v>-64500</v>
      </c>
      <c r="E8829" s="212">
        <v>45597</v>
      </c>
      <c r="F8829" s="206" t="s">
        <v>130</v>
      </c>
      <c r="G8829" s="206" t="s">
        <v>130</v>
      </c>
      <c r="H8829" s="206" t="s">
        <v>323</v>
      </c>
      <c r="I8829" s="206"/>
    </row>
    <row r="8830" spans="1:9" ht="15" hidden="1" customHeight="1">
      <c r="A8830" s="205">
        <v>45623</v>
      </c>
      <c r="B8830" s="208" t="s">
        <v>6953</v>
      </c>
      <c r="C8830" s="206" t="s">
        <v>4314</v>
      </c>
      <c r="D8830" s="718">
        <v>-47512.959999999999</v>
      </c>
      <c r="E8830" s="212">
        <v>45597</v>
      </c>
      <c r="F8830" s="206" t="s">
        <v>109</v>
      </c>
      <c r="G8830" s="206" t="s">
        <v>6954</v>
      </c>
      <c r="I8830" s="206"/>
    </row>
    <row r="8831" spans="1:9" ht="15" hidden="1" customHeight="1">
      <c r="A8831" s="205">
        <v>45623</v>
      </c>
      <c r="B8831" s="208" t="s">
        <v>6955</v>
      </c>
      <c r="C8831" s="206" t="s">
        <v>4314</v>
      </c>
      <c r="D8831" s="781">
        <v>-183529.4</v>
      </c>
      <c r="E8831" s="212">
        <v>45597</v>
      </c>
      <c r="F8831" s="206" t="s">
        <v>109</v>
      </c>
      <c r="G8831" s="206" t="s">
        <v>4986</v>
      </c>
      <c r="I8831" s="206"/>
    </row>
    <row r="8832" spans="1:9" ht="15" hidden="1" customHeight="1">
      <c r="A8832" s="205">
        <v>45623</v>
      </c>
      <c r="B8832" s="208" t="s">
        <v>6956</v>
      </c>
      <c r="C8832" s="206" t="s">
        <v>4314</v>
      </c>
      <c r="D8832" s="781">
        <v>-36705.879999999997</v>
      </c>
      <c r="E8832" s="212">
        <v>45597</v>
      </c>
      <c r="F8832" s="206" t="s">
        <v>109</v>
      </c>
      <c r="G8832" s="206" t="s">
        <v>4986</v>
      </c>
      <c r="I8832" s="206"/>
    </row>
    <row r="8833" spans="1:9" ht="15" hidden="1" customHeight="1">
      <c r="A8833" s="205">
        <v>45624</v>
      </c>
      <c r="B8833" s="208" t="s">
        <v>6957</v>
      </c>
      <c r="C8833" s="206" t="s">
        <v>4314</v>
      </c>
      <c r="D8833" s="781">
        <v>-140800</v>
      </c>
      <c r="E8833" s="212">
        <v>45597</v>
      </c>
      <c r="F8833" s="206" t="s">
        <v>109</v>
      </c>
      <c r="G8833" s="206" t="s">
        <v>5990</v>
      </c>
      <c r="H8833" s="206" t="s">
        <v>6225</v>
      </c>
      <c r="I8833" s="206"/>
    </row>
    <row r="8834" spans="1:9" ht="15" hidden="1" customHeight="1">
      <c r="A8834" s="205">
        <v>45624</v>
      </c>
      <c r="B8834" s="208" t="s">
        <v>6958</v>
      </c>
      <c r="C8834" s="206" t="s">
        <v>4314</v>
      </c>
      <c r="D8834" s="781">
        <v>-84480</v>
      </c>
      <c r="E8834" s="212">
        <v>45597</v>
      </c>
      <c r="F8834" s="206" t="s">
        <v>109</v>
      </c>
      <c r="G8834" s="206" t="s">
        <v>5990</v>
      </c>
      <c r="H8834" s="206" t="s">
        <v>6225</v>
      </c>
      <c r="I8834" s="206"/>
    </row>
    <row r="8835" spans="1:9" ht="15" hidden="1" customHeight="1">
      <c r="A8835" s="205">
        <v>45624</v>
      </c>
      <c r="B8835" s="208" t="s">
        <v>6959</v>
      </c>
      <c r="C8835" s="206" t="s">
        <v>4314</v>
      </c>
      <c r="D8835" s="781">
        <v>-4000</v>
      </c>
      <c r="E8835" s="212">
        <v>45597</v>
      </c>
      <c r="F8835" s="206" t="s">
        <v>109</v>
      </c>
      <c r="G8835" s="206" t="s">
        <v>5990</v>
      </c>
      <c r="H8835" s="206" t="s">
        <v>6225</v>
      </c>
      <c r="I8835" s="206"/>
    </row>
    <row r="8836" spans="1:9" ht="15" hidden="1" customHeight="1">
      <c r="A8836" s="205">
        <v>45625</v>
      </c>
      <c r="B8836" s="208" t="s">
        <v>6960</v>
      </c>
      <c r="C8836" s="206" t="s">
        <v>27</v>
      </c>
      <c r="D8836" s="211">
        <v>-58747000</v>
      </c>
      <c r="E8836" s="212">
        <v>45597</v>
      </c>
      <c r="F8836" s="206" t="s">
        <v>109</v>
      </c>
      <c r="G8836" s="206" t="s">
        <v>5990</v>
      </c>
      <c r="H8836" s="206" t="s">
        <v>6961</v>
      </c>
      <c r="I8836" s="206"/>
    </row>
    <row r="8837" spans="1:9" ht="15" hidden="1" customHeight="1">
      <c r="A8837" s="205">
        <v>45625</v>
      </c>
      <c r="B8837" s="208" t="s">
        <v>6962</v>
      </c>
      <c r="C8837" s="206" t="s">
        <v>27</v>
      </c>
      <c r="D8837" s="211">
        <v>-1130000</v>
      </c>
      <c r="E8837" s="212">
        <v>45597</v>
      </c>
      <c r="F8837" s="206" t="s">
        <v>109</v>
      </c>
      <c r="G8837" s="206" t="s">
        <v>4986</v>
      </c>
      <c r="H8837" s="206" t="s">
        <v>1166</v>
      </c>
      <c r="I8837" s="206"/>
    </row>
    <row r="8838" spans="1:9" ht="15" hidden="1" customHeight="1">
      <c r="A8838" s="205">
        <v>45625</v>
      </c>
      <c r="B8838" s="208" t="s">
        <v>6963</v>
      </c>
      <c r="C8838" s="206" t="s">
        <v>27</v>
      </c>
      <c r="D8838" s="211">
        <v>-7800000</v>
      </c>
      <c r="E8838" s="212">
        <v>45597</v>
      </c>
      <c r="F8838" s="206" t="s">
        <v>109</v>
      </c>
      <c r="G8838" s="206" t="s">
        <v>5990</v>
      </c>
      <c r="H8838" s="206" t="s">
        <v>6905</v>
      </c>
      <c r="I8838" s="206"/>
    </row>
    <row r="8839" spans="1:9" ht="15" hidden="1" customHeight="1">
      <c r="A8839" s="205">
        <v>45625</v>
      </c>
      <c r="B8839" s="208" t="s">
        <v>1337</v>
      </c>
      <c r="C8839" s="206" t="s">
        <v>27</v>
      </c>
      <c r="D8839" s="718">
        <v>-23476915</v>
      </c>
      <c r="E8839" s="212">
        <v>45597</v>
      </c>
      <c r="F8839" s="206" t="s">
        <v>109</v>
      </c>
      <c r="G8839" s="601" t="s">
        <v>581</v>
      </c>
      <c r="H8839" s="206" t="s">
        <v>6931</v>
      </c>
      <c r="I8839" s="206"/>
    </row>
    <row r="8840" spans="1:9" ht="15" hidden="1" customHeight="1">
      <c r="A8840" s="205">
        <v>45625</v>
      </c>
      <c r="B8840" s="208" t="s">
        <v>1337</v>
      </c>
      <c r="C8840" s="206" t="s">
        <v>27</v>
      </c>
      <c r="D8840" s="718">
        <v>-23476915</v>
      </c>
      <c r="E8840" s="212">
        <v>45597</v>
      </c>
      <c r="F8840" s="206" t="s">
        <v>109</v>
      </c>
      <c r="G8840" s="206" t="s">
        <v>6954</v>
      </c>
      <c r="H8840" s="206" t="s">
        <v>6931</v>
      </c>
      <c r="I8840" s="206"/>
    </row>
    <row r="8841" spans="1:9" ht="15" hidden="1" customHeight="1">
      <c r="A8841" s="205">
        <v>45625</v>
      </c>
      <c r="B8841" s="208" t="s">
        <v>1337</v>
      </c>
      <c r="C8841" s="206" t="s">
        <v>27</v>
      </c>
      <c r="D8841" s="211">
        <v>-356881</v>
      </c>
      <c r="E8841" s="212">
        <v>45597</v>
      </c>
      <c r="F8841" s="206" t="s">
        <v>109</v>
      </c>
      <c r="G8841" s="206" t="s">
        <v>4225</v>
      </c>
      <c r="H8841" s="206" t="s">
        <v>549</v>
      </c>
      <c r="I8841" s="206"/>
    </row>
    <row r="8842" spans="1:9" ht="15" hidden="1" customHeight="1">
      <c r="A8842" s="205">
        <v>45625</v>
      </c>
      <c r="B8842" s="208" t="s">
        <v>6964</v>
      </c>
      <c r="C8842" s="206" t="s">
        <v>27</v>
      </c>
      <c r="D8842" s="718">
        <v>-32423151</v>
      </c>
      <c r="E8842" s="212">
        <v>45597</v>
      </c>
      <c r="F8842" s="206" t="s">
        <v>109</v>
      </c>
      <c r="G8842" s="601" t="s">
        <v>581</v>
      </c>
      <c r="H8842" s="206" t="s">
        <v>6965</v>
      </c>
      <c r="I8842" s="206"/>
    </row>
    <row r="8843" spans="1:9" ht="15" hidden="1" customHeight="1">
      <c r="A8843" s="205">
        <v>45625</v>
      </c>
      <c r="B8843" s="208" t="s">
        <v>6966</v>
      </c>
      <c r="C8843" s="206" t="s">
        <v>27</v>
      </c>
      <c r="D8843" s="718">
        <v>-32423151</v>
      </c>
      <c r="E8843" s="212">
        <v>45597</v>
      </c>
      <c r="F8843" s="206" t="s">
        <v>109</v>
      </c>
      <c r="G8843" s="206" t="s">
        <v>6954</v>
      </c>
      <c r="H8843" s="206" t="s">
        <v>6965</v>
      </c>
      <c r="I8843" s="206"/>
    </row>
    <row r="8844" spans="1:9" ht="15" hidden="1" customHeight="1">
      <c r="A8844" s="205">
        <v>45625</v>
      </c>
      <c r="B8844" s="208" t="s">
        <v>6967</v>
      </c>
      <c r="C8844" s="206" t="s">
        <v>27</v>
      </c>
      <c r="D8844" s="718">
        <v>-2235789</v>
      </c>
      <c r="E8844" s="212">
        <v>45597</v>
      </c>
      <c r="F8844" s="206" t="s">
        <v>109</v>
      </c>
      <c r="G8844" s="601" t="s">
        <v>581</v>
      </c>
      <c r="H8844" s="206" t="s">
        <v>1913</v>
      </c>
      <c r="I8844" s="206"/>
    </row>
    <row r="8845" spans="1:9" ht="15" hidden="1" customHeight="1">
      <c r="A8845" s="205">
        <v>45625</v>
      </c>
      <c r="B8845" s="208" t="s">
        <v>6968</v>
      </c>
      <c r="C8845" s="206" t="s">
        <v>27</v>
      </c>
      <c r="D8845" s="718">
        <v>-6487200</v>
      </c>
      <c r="E8845" s="212">
        <v>45597</v>
      </c>
      <c r="F8845" s="206" t="s">
        <v>109</v>
      </c>
      <c r="G8845" s="601" t="s">
        <v>581</v>
      </c>
      <c r="H8845" s="206" t="s">
        <v>147</v>
      </c>
      <c r="I8845" s="206"/>
    </row>
    <row r="8846" spans="1:9" ht="15" hidden="1" customHeight="1">
      <c r="A8846" s="205">
        <v>45625</v>
      </c>
      <c r="B8846" s="208" t="s">
        <v>6969</v>
      </c>
      <c r="C8846" s="206" t="s">
        <v>27</v>
      </c>
      <c r="D8846" s="718">
        <v>-15046360</v>
      </c>
      <c r="E8846" s="212">
        <v>45597</v>
      </c>
      <c r="F8846" s="206" t="s">
        <v>109</v>
      </c>
      <c r="G8846" s="601" t="s">
        <v>581</v>
      </c>
      <c r="H8846" s="206" t="s">
        <v>631</v>
      </c>
      <c r="I8846" s="206"/>
    </row>
    <row r="8847" spans="1:9" ht="15" hidden="1" customHeight="1">
      <c r="A8847" s="205">
        <v>45625</v>
      </c>
      <c r="B8847" s="208" t="s">
        <v>6122</v>
      </c>
      <c r="C8847" s="206" t="s">
        <v>27</v>
      </c>
      <c r="D8847" s="211">
        <v>-311559</v>
      </c>
      <c r="E8847" s="212">
        <v>45597</v>
      </c>
      <c r="F8847" s="206" t="s">
        <v>130</v>
      </c>
      <c r="G8847" s="206" t="s">
        <v>257</v>
      </c>
      <c r="H8847" s="206" t="s">
        <v>2724</v>
      </c>
      <c r="I8847" s="206"/>
    </row>
    <row r="8848" spans="1:9" ht="15" hidden="1" customHeight="1">
      <c r="A8848" s="205">
        <v>45625</v>
      </c>
      <c r="B8848" s="208" t="s">
        <v>6970</v>
      </c>
      <c r="C8848" s="206" t="s">
        <v>27</v>
      </c>
      <c r="D8848" s="211">
        <v>-210000</v>
      </c>
      <c r="E8848" s="212">
        <v>45597</v>
      </c>
      <c r="F8848" s="206" t="s">
        <v>109</v>
      </c>
      <c r="G8848" s="206" t="s">
        <v>4225</v>
      </c>
      <c r="H8848" s="206" t="s">
        <v>549</v>
      </c>
      <c r="I8848" s="206"/>
    </row>
    <row r="8849" spans="1:9" ht="15" hidden="1" customHeight="1">
      <c r="A8849" s="205">
        <v>45625</v>
      </c>
      <c r="B8849" s="208" t="s">
        <v>6971</v>
      </c>
      <c r="C8849" s="206" t="s">
        <v>27</v>
      </c>
      <c r="D8849" s="211">
        <v>-344400</v>
      </c>
      <c r="E8849" s="212">
        <v>45597</v>
      </c>
      <c r="F8849" s="206" t="s">
        <v>109</v>
      </c>
      <c r="G8849" s="206" t="s">
        <v>4225</v>
      </c>
      <c r="H8849" s="206" t="s">
        <v>6931</v>
      </c>
      <c r="I8849" s="720" t="s">
        <v>5410</v>
      </c>
    </row>
    <row r="8850" spans="1:9" ht="15" hidden="1" customHeight="1">
      <c r="A8850" s="205">
        <v>45625</v>
      </c>
      <c r="B8850" s="208" t="s">
        <v>5743</v>
      </c>
      <c r="C8850" s="206" t="s">
        <v>27</v>
      </c>
      <c r="D8850" s="718">
        <v>-1616457</v>
      </c>
      <c r="E8850" s="212">
        <v>45597</v>
      </c>
      <c r="F8850" s="206" t="s">
        <v>109</v>
      </c>
      <c r="G8850" s="206" t="s">
        <v>6954</v>
      </c>
      <c r="H8850" s="206" t="s">
        <v>6667</v>
      </c>
      <c r="I8850" s="206"/>
    </row>
    <row r="8851" spans="1:9" ht="15" hidden="1" customHeight="1">
      <c r="A8851" s="205">
        <v>45625</v>
      </c>
      <c r="B8851" s="208" t="s">
        <v>5743</v>
      </c>
      <c r="C8851" s="206" t="s">
        <v>27</v>
      </c>
      <c r="D8851" s="718">
        <v>-62191</v>
      </c>
      <c r="E8851" s="212">
        <v>45597</v>
      </c>
      <c r="F8851" s="206" t="s">
        <v>109</v>
      </c>
      <c r="G8851" s="206" t="s">
        <v>6954</v>
      </c>
      <c r="H8851" s="206" t="s">
        <v>6134</v>
      </c>
      <c r="I8851" s="206"/>
    </row>
    <row r="8852" spans="1:9" ht="15" hidden="1" customHeight="1">
      <c r="A8852" s="205">
        <v>45625</v>
      </c>
      <c r="B8852" s="208" t="s">
        <v>5743</v>
      </c>
      <c r="C8852" s="206" t="s">
        <v>27</v>
      </c>
      <c r="D8852" s="718">
        <v>-146900</v>
      </c>
      <c r="E8852" s="212">
        <v>45597</v>
      </c>
      <c r="F8852" s="206" t="s">
        <v>109</v>
      </c>
      <c r="G8852" s="601" t="s">
        <v>581</v>
      </c>
      <c r="H8852" s="206" t="s">
        <v>6134</v>
      </c>
      <c r="I8852" s="206"/>
    </row>
    <row r="8853" spans="1:9" ht="15" hidden="1" customHeight="1">
      <c r="A8853" s="205">
        <v>45625</v>
      </c>
      <c r="B8853" s="208" t="s">
        <v>5743</v>
      </c>
      <c r="C8853" s="206" t="s">
        <v>27</v>
      </c>
      <c r="D8853" s="211">
        <v>-516171</v>
      </c>
      <c r="E8853" s="212">
        <v>45597</v>
      </c>
      <c r="F8853" s="206" t="s">
        <v>109</v>
      </c>
      <c r="G8853" s="206" t="s">
        <v>4986</v>
      </c>
      <c r="H8853" s="206" t="s">
        <v>212</v>
      </c>
      <c r="I8853" s="720" t="s">
        <v>5410</v>
      </c>
    </row>
    <row r="8854" spans="1:9" ht="15" hidden="1" customHeight="1">
      <c r="A8854" s="205">
        <v>45625</v>
      </c>
      <c r="B8854" s="208" t="s">
        <v>6972</v>
      </c>
      <c r="C8854" s="206" t="s">
        <v>27</v>
      </c>
      <c r="D8854" s="211">
        <v>-214500</v>
      </c>
      <c r="E8854" s="212">
        <v>45597</v>
      </c>
      <c r="F8854" s="206" t="s">
        <v>109</v>
      </c>
      <c r="G8854" s="206" t="s">
        <v>5990</v>
      </c>
      <c r="H8854" s="206" t="s">
        <v>6973</v>
      </c>
      <c r="I8854" s="766" t="s">
        <v>5410</v>
      </c>
    </row>
    <row r="8855" spans="1:9" ht="15" hidden="1" customHeight="1">
      <c r="A8855" s="205">
        <v>45625</v>
      </c>
      <c r="B8855" s="208" t="s">
        <v>6972</v>
      </c>
      <c r="C8855" s="206" t="s">
        <v>27</v>
      </c>
      <c r="D8855" s="211">
        <v>-214500</v>
      </c>
      <c r="E8855" s="212">
        <v>45597</v>
      </c>
      <c r="F8855" s="206" t="s">
        <v>109</v>
      </c>
      <c r="G8855" s="206" t="s">
        <v>6974</v>
      </c>
      <c r="H8855" s="206" t="s">
        <v>6973</v>
      </c>
      <c r="I8855" s="206"/>
    </row>
    <row r="8856" spans="1:9" ht="15" hidden="1" customHeight="1">
      <c r="A8856" s="205">
        <v>45625</v>
      </c>
      <c r="B8856" s="208" t="s">
        <v>6975</v>
      </c>
      <c r="C8856" s="206" t="s">
        <v>27</v>
      </c>
      <c r="D8856" s="718">
        <v>-1878400</v>
      </c>
      <c r="E8856" s="212">
        <v>45597</v>
      </c>
      <c r="F8856" s="206" t="s">
        <v>109</v>
      </c>
      <c r="G8856" s="601" t="s">
        <v>581</v>
      </c>
      <c r="H8856" s="206" t="s">
        <v>6837</v>
      </c>
      <c r="I8856" s="206"/>
    </row>
    <row r="8857" spans="1:9" ht="15" hidden="1" customHeight="1">
      <c r="A8857" s="205">
        <v>45625</v>
      </c>
      <c r="B8857" s="208" t="s">
        <v>6976</v>
      </c>
      <c r="C8857" s="206" t="s">
        <v>27</v>
      </c>
      <c r="D8857" s="718">
        <v>-7455086</v>
      </c>
      <c r="E8857" s="212">
        <v>45597</v>
      </c>
      <c r="F8857" s="206" t="s">
        <v>109</v>
      </c>
      <c r="G8857" s="206" t="s">
        <v>6954</v>
      </c>
      <c r="H8857" s="206" t="s">
        <v>6669</v>
      </c>
      <c r="I8857" s="206"/>
    </row>
    <row r="8858" spans="1:9" ht="15" hidden="1" customHeight="1">
      <c r="A8858" s="205">
        <v>45624</v>
      </c>
      <c r="B8858" s="208" t="s">
        <v>6293</v>
      </c>
      <c r="C8858" s="206" t="s">
        <v>146</v>
      </c>
      <c r="D8858" s="211">
        <v>-13500</v>
      </c>
      <c r="E8858" s="212">
        <v>45597</v>
      </c>
      <c r="F8858" s="206" t="s">
        <v>109</v>
      </c>
      <c r="G8858" s="206" t="s">
        <v>4986</v>
      </c>
      <c r="H8858" s="206" t="s">
        <v>6929</v>
      </c>
      <c r="I8858" s="206"/>
    </row>
    <row r="8859" spans="1:9" ht="15" hidden="1" customHeight="1">
      <c r="A8859" s="205">
        <v>45624</v>
      </c>
      <c r="B8859" s="208" t="s">
        <v>6977</v>
      </c>
      <c r="C8859" s="206" t="s">
        <v>146</v>
      </c>
      <c r="D8859" s="211">
        <v>-12000</v>
      </c>
      <c r="E8859" s="212">
        <v>45597</v>
      </c>
      <c r="F8859" s="206" t="s">
        <v>109</v>
      </c>
      <c r="G8859" s="206" t="s">
        <v>4225</v>
      </c>
      <c r="H8859" s="206" t="s">
        <v>6929</v>
      </c>
      <c r="I8859" s="206"/>
    </row>
    <row r="8860" spans="1:9" ht="15" hidden="1" customHeight="1">
      <c r="A8860" s="205">
        <v>45624</v>
      </c>
      <c r="B8860" s="208" t="s">
        <v>6978</v>
      </c>
      <c r="C8860" s="206" t="s">
        <v>146</v>
      </c>
      <c r="D8860" s="211">
        <v>-12000</v>
      </c>
      <c r="E8860" s="212">
        <v>45597</v>
      </c>
      <c r="F8860" s="206" t="s">
        <v>110</v>
      </c>
      <c r="G8860" s="206" t="s">
        <v>5469</v>
      </c>
      <c r="H8860" s="81" t="s">
        <v>138</v>
      </c>
      <c r="I8860" s="206"/>
    </row>
    <row r="8861" spans="1:9" ht="15" hidden="1" customHeight="1">
      <c r="A8861" s="205">
        <v>45628</v>
      </c>
      <c r="B8861" s="208" t="s">
        <v>6499</v>
      </c>
      <c r="C8861" s="206" t="s">
        <v>27</v>
      </c>
      <c r="D8861" s="737">
        <v>-5437800</v>
      </c>
      <c r="E8861" s="207">
        <v>45627</v>
      </c>
      <c r="F8861" s="206" t="s">
        <v>109</v>
      </c>
      <c r="G8861" s="206" t="s">
        <v>5990</v>
      </c>
      <c r="H8861" s="206" t="s">
        <v>6979</v>
      </c>
      <c r="I8861" s="206"/>
    </row>
    <row r="8862" spans="1:9" ht="15" hidden="1" customHeight="1">
      <c r="A8862" s="205">
        <v>45628</v>
      </c>
      <c r="B8862" s="208" t="s">
        <v>6980</v>
      </c>
      <c r="C8862" s="206" t="s">
        <v>27</v>
      </c>
      <c r="D8862" s="737">
        <v>-932858</v>
      </c>
      <c r="E8862" s="207">
        <v>45627</v>
      </c>
      <c r="F8862" s="206" t="s">
        <v>110</v>
      </c>
      <c r="G8862" s="206" t="s">
        <v>1489</v>
      </c>
      <c r="H8862" s="206" t="s">
        <v>1166</v>
      </c>
      <c r="I8862" s="206"/>
    </row>
    <row r="8863" spans="1:9" ht="15" hidden="1" customHeight="1">
      <c r="A8863" s="205">
        <v>45628</v>
      </c>
      <c r="B8863" s="208" t="s">
        <v>6981</v>
      </c>
      <c r="C8863" s="206" t="s">
        <v>27</v>
      </c>
      <c r="D8863" s="737">
        <v>-680680</v>
      </c>
      <c r="E8863" s="207">
        <v>45627</v>
      </c>
      <c r="F8863" s="206" t="s">
        <v>109</v>
      </c>
      <c r="G8863" s="206" t="s">
        <v>6954</v>
      </c>
      <c r="H8863" s="206" t="s">
        <v>1166</v>
      </c>
      <c r="I8863" s="206"/>
    </row>
    <row r="8864" spans="1:9" ht="15" hidden="1" customHeight="1">
      <c r="A8864" s="205">
        <v>45628</v>
      </c>
      <c r="B8864" s="208" t="s">
        <v>6982</v>
      </c>
      <c r="C8864" s="206" t="s">
        <v>27</v>
      </c>
      <c r="D8864" s="737">
        <v>-13788000</v>
      </c>
      <c r="E8864" s="207">
        <v>45627</v>
      </c>
      <c r="F8864" s="206" t="s">
        <v>109</v>
      </c>
      <c r="G8864" s="206" t="s">
        <v>6974</v>
      </c>
      <c r="H8864" s="206" t="s">
        <v>163</v>
      </c>
      <c r="I8864" s="206"/>
    </row>
    <row r="8865" spans="1:9" ht="15" hidden="1" customHeight="1">
      <c r="A8865" s="205">
        <v>45628</v>
      </c>
      <c r="B8865" s="208" t="s">
        <v>6983</v>
      </c>
      <c r="C8865" s="206" t="s">
        <v>27</v>
      </c>
      <c r="D8865" s="737">
        <v>28763204</v>
      </c>
      <c r="E8865" s="207">
        <v>45627</v>
      </c>
      <c r="F8865" s="206" t="s">
        <v>109</v>
      </c>
      <c r="G8865" s="206" t="s">
        <v>6984</v>
      </c>
      <c r="H8865" s="206" t="s">
        <v>461</v>
      </c>
      <c r="I8865" s="206"/>
    </row>
    <row r="8866" spans="1:9" ht="15" hidden="1" customHeight="1">
      <c r="A8866" s="205">
        <v>45628</v>
      </c>
      <c r="B8866" s="208" t="s">
        <v>4126</v>
      </c>
      <c r="C8866" s="206" t="s">
        <v>3331</v>
      </c>
      <c r="D8866" s="737">
        <v>-11111111</v>
      </c>
      <c r="E8866" s="207">
        <v>45627</v>
      </c>
      <c r="F8866" s="84" t="s">
        <v>111</v>
      </c>
      <c r="I8866" s="206"/>
    </row>
    <row r="8867" spans="1:9" ht="15" hidden="1" customHeight="1">
      <c r="A8867" s="205">
        <v>45628</v>
      </c>
      <c r="B8867" s="208" t="s">
        <v>4126</v>
      </c>
      <c r="C8867" s="206" t="s">
        <v>3331</v>
      </c>
      <c r="D8867" s="737">
        <v>-3357134</v>
      </c>
      <c r="E8867" s="207">
        <v>45627</v>
      </c>
      <c r="F8867" s="208" t="s">
        <v>118</v>
      </c>
      <c r="I8867" s="206"/>
    </row>
    <row r="8868" spans="1:9" ht="15" hidden="1" customHeight="1">
      <c r="A8868" s="205">
        <v>45628</v>
      </c>
      <c r="B8868" s="208" t="s">
        <v>6985</v>
      </c>
      <c r="C8868" s="206" t="s">
        <v>3331</v>
      </c>
      <c r="D8868" s="211">
        <v>1462184</v>
      </c>
      <c r="E8868" s="207">
        <v>45627</v>
      </c>
      <c r="F8868" s="206" t="s">
        <v>108</v>
      </c>
      <c r="I8868" s="206"/>
    </row>
    <row r="8869" spans="1:9" ht="15" hidden="1" customHeight="1">
      <c r="A8869" s="205">
        <v>45628</v>
      </c>
      <c r="B8869" s="208" t="s">
        <v>6986</v>
      </c>
      <c r="C8869" s="206" t="s">
        <v>4783</v>
      </c>
      <c r="D8869" s="737">
        <v>-304000</v>
      </c>
      <c r="E8869" s="207">
        <v>45627</v>
      </c>
      <c r="F8869" s="206" t="s">
        <v>109</v>
      </c>
      <c r="G8869" s="206" t="s">
        <v>4986</v>
      </c>
      <c r="H8869" s="206" t="s">
        <v>549</v>
      </c>
      <c r="I8869" s="206"/>
    </row>
    <row r="8870" spans="1:9" ht="15" hidden="1" customHeight="1">
      <c r="A8870" s="205">
        <v>45628</v>
      </c>
      <c r="B8870" s="208" t="s">
        <v>6987</v>
      </c>
      <c r="C8870" s="206" t="s">
        <v>27</v>
      </c>
      <c r="D8870" s="737">
        <v>-2318350</v>
      </c>
      <c r="E8870" s="207">
        <v>45627</v>
      </c>
      <c r="F8870" s="206" t="s">
        <v>110</v>
      </c>
      <c r="G8870" s="206" t="s">
        <v>1489</v>
      </c>
      <c r="H8870" s="206" t="s">
        <v>5625</v>
      </c>
      <c r="I8870" s="206"/>
    </row>
    <row r="8871" spans="1:9" ht="15" hidden="1" customHeight="1">
      <c r="A8871" s="205">
        <v>45628</v>
      </c>
      <c r="B8871" s="208" t="s">
        <v>6987</v>
      </c>
      <c r="C8871" s="206" t="s">
        <v>27</v>
      </c>
      <c r="D8871" s="737">
        <v>-928200</v>
      </c>
      <c r="E8871" s="207">
        <v>45627</v>
      </c>
      <c r="F8871" s="206" t="s">
        <v>110</v>
      </c>
      <c r="G8871" s="206" t="s">
        <v>4294</v>
      </c>
      <c r="H8871" s="206" t="s">
        <v>5625</v>
      </c>
      <c r="I8871" s="206"/>
    </row>
    <row r="8872" spans="1:9" ht="15" hidden="1" customHeight="1">
      <c r="A8872" s="205">
        <v>45628</v>
      </c>
      <c r="B8872" s="208" t="s">
        <v>6987</v>
      </c>
      <c r="C8872" s="206" t="s">
        <v>27</v>
      </c>
      <c r="D8872" s="737">
        <v>-4320750</v>
      </c>
      <c r="E8872" s="207">
        <v>45627</v>
      </c>
      <c r="F8872" s="206" t="s">
        <v>110</v>
      </c>
      <c r="G8872" s="206" t="s">
        <v>4990</v>
      </c>
      <c r="H8872" s="206" t="s">
        <v>212</v>
      </c>
      <c r="I8872" s="206"/>
    </row>
    <row r="8873" spans="1:9" ht="15" hidden="1" customHeight="1">
      <c r="A8873" s="205">
        <v>45628</v>
      </c>
      <c r="B8873" s="208" t="s">
        <v>6987</v>
      </c>
      <c r="C8873" s="206" t="s">
        <v>27</v>
      </c>
      <c r="D8873" s="737">
        <v>-1263015</v>
      </c>
      <c r="E8873" s="207">
        <v>45627</v>
      </c>
      <c r="F8873" s="206" t="s">
        <v>109</v>
      </c>
      <c r="G8873" s="206" t="s">
        <v>4225</v>
      </c>
      <c r="H8873" s="206" t="s">
        <v>212</v>
      </c>
      <c r="I8873" s="206"/>
    </row>
    <row r="8874" spans="1:9" ht="15" hidden="1" customHeight="1">
      <c r="A8874" s="205">
        <v>45628</v>
      </c>
      <c r="B8874" s="208" t="s">
        <v>6987</v>
      </c>
      <c r="C8874" s="206" t="s">
        <v>27</v>
      </c>
      <c r="D8874" s="737">
        <v>-107755780</v>
      </c>
      <c r="E8874" s="207">
        <v>45627</v>
      </c>
      <c r="F8874" s="206" t="s">
        <v>109</v>
      </c>
      <c r="G8874" s="206" t="s">
        <v>4986</v>
      </c>
      <c r="H8874" s="206" t="s">
        <v>123</v>
      </c>
      <c r="I8874" s="206"/>
    </row>
    <row r="8875" spans="1:9" ht="15" hidden="1" customHeight="1">
      <c r="A8875" s="205">
        <v>45628</v>
      </c>
      <c r="B8875" s="208" t="s">
        <v>6987</v>
      </c>
      <c r="C8875" s="206" t="s">
        <v>27</v>
      </c>
      <c r="D8875" s="737">
        <v>-1316250</v>
      </c>
      <c r="E8875" s="207">
        <v>45627</v>
      </c>
      <c r="F8875" s="206" t="s">
        <v>109</v>
      </c>
      <c r="G8875" s="206" t="s">
        <v>2585</v>
      </c>
      <c r="H8875" s="206" t="s">
        <v>5625</v>
      </c>
      <c r="I8875" s="720" t="s">
        <v>5410</v>
      </c>
    </row>
    <row r="8876" spans="1:9" ht="15" hidden="1" customHeight="1">
      <c r="A8876" s="205">
        <v>45628</v>
      </c>
      <c r="B8876" s="208" t="s">
        <v>6987</v>
      </c>
      <c r="C8876" s="206" t="s">
        <v>27</v>
      </c>
      <c r="D8876" s="737">
        <v>-1874535</v>
      </c>
      <c r="E8876" s="207">
        <v>45627</v>
      </c>
      <c r="F8876" s="206" t="s">
        <v>109</v>
      </c>
      <c r="G8876" s="601" t="s">
        <v>581</v>
      </c>
      <c r="H8876" s="206" t="s">
        <v>5625</v>
      </c>
      <c r="I8876" s="206"/>
    </row>
    <row r="8877" spans="1:9" ht="15" hidden="1" customHeight="1">
      <c r="A8877" s="205">
        <v>45628</v>
      </c>
      <c r="B8877" s="208" t="s">
        <v>6987</v>
      </c>
      <c r="C8877" s="206" t="s">
        <v>27</v>
      </c>
      <c r="D8877" s="737">
        <v>-267950</v>
      </c>
      <c r="E8877" s="207">
        <v>45627</v>
      </c>
      <c r="F8877" s="206" t="s">
        <v>110</v>
      </c>
      <c r="G8877" s="206" t="s">
        <v>4990</v>
      </c>
      <c r="H8877" s="206" t="s">
        <v>5625</v>
      </c>
      <c r="I8877" s="206"/>
    </row>
    <row r="8878" spans="1:9" ht="15" hidden="1" customHeight="1">
      <c r="A8878" s="205">
        <v>45628</v>
      </c>
      <c r="B8878" s="208" t="s">
        <v>6987</v>
      </c>
      <c r="C8878" s="206" t="s">
        <v>27</v>
      </c>
      <c r="D8878" s="737">
        <v>-2652210</v>
      </c>
      <c r="E8878" s="207">
        <v>45627</v>
      </c>
      <c r="F8878" s="206" t="s">
        <v>110</v>
      </c>
      <c r="G8878" s="206" t="s">
        <v>1489</v>
      </c>
      <c r="H8878" s="201" t="s">
        <v>310</v>
      </c>
      <c r="I8878" s="720" t="s">
        <v>5410</v>
      </c>
    </row>
    <row r="8879" spans="1:9" ht="15" hidden="1" customHeight="1">
      <c r="A8879" s="205">
        <v>45628</v>
      </c>
      <c r="B8879" s="208" t="s">
        <v>6988</v>
      </c>
      <c r="C8879" s="206" t="s">
        <v>27</v>
      </c>
      <c r="D8879" s="737">
        <v>-49400</v>
      </c>
      <c r="E8879" s="207">
        <v>45627</v>
      </c>
      <c r="F8879" s="206" t="s">
        <v>109</v>
      </c>
      <c r="G8879" s="206" t="s">
        <v>1306</v>
      </c>
      <c r="H8879" s="206" t="s">
        <v>418</v>
      </c>
      <c r="I8879" s="206"/>
    </row>
    <row r="8880" spans="1:9" ht="15" hidden="1" customHeight="1">
      <c r="A8880" s="205">
        <v>45628</v>
      </c>
      <c r="B8880" s="208" t="s">
        <v>6988</v>
      </c>
      <c r="C8880" s="206" t="s">
        <v>27</v>
      </c>
      <c r="D8880" s="737">
        <v>-342205</v>
      </c>
      <c r="E8880" s="207">
        <v>45627</v>
      </c>
      <c r="F8880" s="206" t="s">
        <v>109</v>
      </c>
      <c r="G8880" s="206" t="s">
        <v>1306</v>
      </c>
      <c r="H8880" s="206" t="s">
        <v>418</v>
      </c>
      <c r="I8880" s="720" t="s">
        <v>5410</v>
      </c>
    </row>
    <row r="8881" spans="1:9" ht="15" hidden="1" customHeight="1">
      <c r="A8881" s="205">
        <v>45628</v>
      </c>
      <c r="B8881" s="208" t="s">
        <v>6988</v>
      </c>
      <c r="C8881" s="206" t="s">
        <v>27</v>
      </c>
      <c r="D8881" s="737">
        <v>-3937731</v>
      </c>
      <c r="E8881" s="207">
        <v>45627</v>
      </c>
      <c r="F8881" s="206" t="s">
        <v>109</v>
      </c>
      <c r="G8881" s="206" t="s">
        <v>125</v>
      </c>
      <c r="H8881" s="206" t="s">
        <v>123</v>
      </c>
      <c r="I8881" s="720" t="s">
        <v>5410</v>
      </c>
    </row>
    <row r="8882" spans="1:9" ht="15" hidden="1" customHeight="1">
      <c r="A8882" s="205">
        <v>45628</v>
      </c>
      <c r="B8882" s="208" t="s">
        <v>6988</v>
      </c>
      <c r="C8882" s="206" t="s">
        <v>27</v>
      </c>
      <c r="D8882" s="737">
        <v>-59400</v>
      </c>
      <c r="E8882" s="207">
        <v>45627</v>
      </c>
      <c r="F8882" s="206" t="s">
        <v>109</v>
      </c>
      <c r="G8882" s="206" t="s">
        <v>4225</v>
      </c>
      <c r="H8882" s="206" t="s">
        <v>6989</v>
      </c>
      <c r="I8882" s="206"/>
    </row>
    <row r="8883" spans="1:9" ht="15" hidden="1" customHeight="1">
      <c r="A8883" s="205">
        <v>45628</v>
      </c>
      <c r="B8883" s="208" t="s">
        <v>6988</v>
      </c>
      <c r="C8883" s="206" t="s">
        <v>27</v>
      </c>
      <c r="D8883" s="737">
        <v>-310839</v>
      </c>
      <c r="E8883" s="207">
        <v>45627</v>
      </c>
      <c r="F8883" s="206" t="s">
        <v>110</v>
      </c>
      <c r="G8883" s="206" t="s">
        <v>4399</v>
      </c>
      <c r="H8883" s="206" t="s">
        <v>123</v>
      </c>
      <c r="I8883" s="720" t="s">
        <v>5410</v>
      </c>
    </row>
    <row r="8884" spans="1:9" ht="15" hidden="1" customHeight="1">
      <c r="A8884" s="205">
        <v>45628</v>
      </c>
      <c r="B8884" s="208" t="s">
        <v>6988</v>
      </c>
      <c r="C8884" s="206" t="s">
        <v>27</v>
      </c>
      <c r="D8884" s="737">
        <v>-2440513</v>
      </c>
      <c r="E8884" s="207">
        <v>45627</v>
      </c>
      <c r="F8884" s="206" t="s">
        <v>110</v>
      </c>
      <c r="G8884" s="206" t="s">
        <v>6990</v>
      </c>
      <c r="H8884" s="206" t="s">
        <v>418</v>
      </c>
      <c r="I8884" s="720" t="s">
        <v>5410</v>
      </c>
    </row>
    <row r="8885" spans="1:9" ht="15" hidden="1" customHeight="1">
      <c r="A8885" s="205">
        <v>45629</v>
      </c>
      <c r="B8885" s="208" t="s">
        <v>6991</v>
      </c>
      <c r="C8885" s="206" t="s">
        <v>146</v>
      </c>
      <c r="D8885" s="737">
        <v>-185000</v>
      </c>
      <c r="E8885" s="207">
        <v>45627</v>
      </c>
      <c r="F8885" s="206" t="s">
        <v>109</v>
      </c>
      <c r="G8885" s="206" t="s">
        <v>4225</v>
      </c>
      <c r="H8885" s="206" t="s">
        <v>6929</v>
      </c>
      <c r="I8885" s="206"/>
    </row>
    <row r="8886" spans="1:9" ht="15" hidden="1" customHeight="1">
      <c r="A8886" s="205">
        <v>45629</v>
      </c>
      <c r="B8886" s="208" t="s">
        <v>6991</v>
      </c>
      <c r="C8886" s="206" t="s">
        <v>146</v>
      </c>
      <c r="D8886" s="737">
        <v>-94000</v>
      </c>
      <c r="E8886" s="207">
        <v>45627</v>
      </c>
      <c r="F8886" s="206" t="s">
        <v>109</v>
      </c>
      <c r="G8886" s="601" t="s">
        <v>581</v>
      </c>
      <c r="H8886" s="206" t="s">
        <v>6929</v>
      </c>
      <c r="I8886" s="206"/>
    </row>
    <row r="8887" spans="1:9" ht="15" hidden="1" customHeight="1">
      <c r="A8887" s="205">
        <v>45629</v>
      </c>
      <c r="B8887" s="208" t="s">
        <v>6991</v>
      </c>
      <c r="C8887" s="206" t="s">
        <v>146</v>
      </c>
      <c r="D8887" s="737">
        <v>-92608</v>
      </c>
      <c r="E8887" s="207">
        <v>45627</v>
      </c>
      <c r="F8887" s="206" t="s">
        <v>109</v>
      </c>
      <c r="G8887" s="206" t="s">
        <v>4986</v>
      </c>
      <c r="H8887" s="206" t="s">
        <v>6929</v>
      </c>
      <c r="I8887" s="206"/>
    </row>
    <row r="8888" spans="1:9" ht="15" hidden="1" customHeight="1">
      <c r="A8888" s="205">
        <v>45629</v>
      </c>
      <c r="B8888" s="208" t="s">
        <v>6991</v>
      </c>
      <c r="C8888" s="206" t="s">
        <v>146</v>
      </c>
      <c r="D8888" s="737">
        <v>-177000</v>
      </c>
      <c r="E8888" s="207">
        <v>45627</v>
      </c>
      <c r="F8888" s="206" t="s">
        <v>110</v>
      </c>
      <c r="G8888" s="206" t="s">
        <v>5469</v>
      </c>
      <c r="H8888" s="81" t="s">
        <v>138</v>
      </c>
      <c r="I8888" s="206"/>
    </row>
    <row r="8889" spans="1:9" ht="15" hidden="1" customHeight="1">
      <c r="A8889" s="205">
        <v>45629</v>
      </c>
      <c r="B8889" s="208" t="s">
        <v>6991</v>
      </c>
      <c r="C8889" s="206" t="s">
        <v>146</v>
      </c>
      <c r="D8889" s="737">
        <v>-29000</v>
      </c>
      <c r="E8889" s="207">
        <v>45627</v>
      </c>
      <c r="F8889" s="206" t="s">
        <v>109</v>
      </c>
      <c r="G8889" s="206" t="s">
        <v>3529</v>
      </c>
      <c r="H8889" s="206" t="s">
        <v>6929</v>
      </c>
      <c r="I8889" s="206"/>
    </row>
    <row r="8890" spans="1:9" ht="15" hidden="1" customHeight="1">
      <c r="A8890" s="205">
        <v>45629</v>
      </c>
      <c r="B8890" s="208" t="s">
        <v>6992</v>
      </c>
      <c r="C8890" s="206" t="s">
        <v>4314</v>
      </c>
      <c r="D8890" s="211">
        <v>-5870</v>
      </c>
      <c r="E8890" s="207">
        <v>45627</v>
      </c>
      <c r="F8890" s="206" t="s">
        <v>109</v>
      </c>
      <c r="G8890" s="206" t="s">
        <v>4986</v>
      </c>
      <c r="H8890" s="206" t="s">
        <v>6929</v>
      </c>
      <c r="I8890" s="206"/>
    </row>
    <row r="8891" spans="1:9" ht="15" hidden="1" customHeight="1">
      <c r="A8891" s="205">
        <v>45629</v>
      </c>
      <c r="B8891" s="208" t="s">
        <v>6992</v>
      </c>
      <c r="C8891" s="206" t="s">
        <v>4314</v>
      </c>
      <c r="D8891" s="211">
        <v>-3522</v>
      </c>
      <c r="E8891" s="207">
        <v>45627</v>
      </c>
      <c r="F8891" s="206" t="s">
        <v>109</v>
      </c>
      <c r="G8891" s="206" t="s">
        <v>4986</v>
      </c>
      <c r="H8891" s="206" t="s">
        <v>6929</v>
      </c>
      <c r="I8891" s="206"/>
    </row>
    <row r="8892" spans="1:9" ht="15" hidden="1" customHeight="1">
      <c r="A8892" s="205">
        <v>45616</v>
      </c>
      <c r="B8892" s="208" t="s">
        <v>6993</v>
      </c>
      <c r="C8892" s="206" t="s">
        <v>146</v>
      </c>
      <c r="D8892" s="737">
        <v>-12500</v>
      </c>
      <c r="E8892" s="207">
        <v>45627</v>
      </c>
      <c r="F8892" s="206" t="s">
        <v>109</v>
      </c>
      <c r="G8892" s="206" t="s">
        <v>6994</v>
      </c>
      <c r="H8892" s="206" t="s">
        <v>6667</v>
      </c>
      <c r="I8892" s="206" t="s">
        <v>6995</v>
      </c>
    </row>
    <row r="8893" spans="1:9" ht="15" hidden="1" customHeight="1">
      <c r="A8893" s="205">
        <v>45616</v>
      </c>
      <c r="B8893" s="208" t="s">
        <v>6996</v>
      </c>
      <c r="C8893" s="206" t="s">
        <v>146</v>
      </c>
      <c r="D8893" s="737">
        <v>-11000</v>
      </c>
      <c r="E8893" s="207">
        <v>45627</v>
      </c>
      <c r="F8893" s="206" t="s">
        <v>109</v>
      </c>
      <c r="G8893" s="206" t="s">
        <v>6994</v>
      </c>
      <c r="H8893" s="206" t="s">
        <v>6667</v>
      </c>
      <c r="I8893" s="206" t="s">
        <v>6995</v>
      </c>
    </row>
    <row r="8894" spans="1:9" ht="15" hidden="1" customHeight="1">
      <c r="A8894" s="205">
        <v>45616</v>
      </c>
      <c r="B8894" s="208" t="s">
        <v>6997</v>
      </c>
      <c r="C8894" s="206" t="s">
        <v>146</v>
      </c>
      <c r="D8894" s="737">
        <v>-36000</v>
      </c>
      <c r="E8894" s="207">
        <v>45627</v>
      </c>
      <c r="F8894" s="206" t="s">
        <v>109</v>
      </c>
      <c r="G8894" s="206" t="s">
        <v>6994</v>
      </c>
      <c r="H8894" s="206" t="s">
        <v>6667</v>
      </c>
      <c r="I8894" s="206" t="s">
        <v>6995</v>
      </c>
    </row>
    <row r="8895" spans="1:9" ht="15" hidden="1" customHeight="1">
      <c r="A8895" s="205">
        <v>45617</v>
      </c>
      <c r="B8895" s="208" t="s">
        <v>6998</v>
      </c>
      <c r="C8895" s="206" t="s">
        <v>146</v>
      </c>
      <c r="D8895" s="737">
        <v>-109000</v>
      </c>
      <c r="E8895" s="207">
        <v>45627</v>
      </c>
      <c r="F8895" s="206" t="s">
        <v>109</v>
      </c>
      <c r="G8895" s="206" t="s">
        <v>6994</v>
      </c>
      <c r="H8895" s="206" t="s">
        <v>6134</v>
      </c>
      <c r="I8895" s="206" t="s">
        <v>6995</v>
      </c>
    </row>
    <row r="8896" spans="1:9" ht="15" hidden="1" customHeight="1">
      <c r="A8896" s="205">
        <v>45617</v>
      </c>
      <c r="B8896" s="208" t="s">
        <v>6999</v>
      </c>
      <c r="C8896" s="206" t="s">
        <v>146</v>
      </c>
      <c r="D8896" s="737">
        <v>-10000</v>
      </c>
      <c r="E8896" s="207">
        <v>45627</v>
      </c>
      <c r="F8896" s="206" t="s">
        <v>109</v>
      </c>
      <c r="G8896" s="206" t="s">
        <v>6994</v>
      </c>
      <c r="H8896" s="206" t="s">
        <v>6266</v>
      </c>
      <c r="I8896" s="206" t="s">
        <v>6995</v>
      </c>
    </row>
    <row r="8897" spans="1:9" ht="15" hidden="1" customHeight="1">
      <c r="A8897" s="205">
        <v>45617</v>
      </c>
      <c r="B8897" s="208" t="s">
        <v>7000</v>
      </c>
      <c r="C8897" s="206" t="s">
        <v>146</v>
      </c>
      <c r="D8897" s="737">
        <v>-52000</v>
      </c>
      <c r="E8897" s="207">
        <v>45627</v>
      </c>
      <c r="F8897" s="206" t="s">
        <v>109</v>
      </c>
      <c r="G8897" s="206" t="s">
        <v>6994</v>
      </c>
      <c r="H8897" s="206" t="s">
        <v>6266</v>
      </c>
      <c r="I8897" s="206" t="s">
        <v>6995</v>
      </c>
    </row>
    <row r="8898" spans="1:9" ht="15" hidden="1" customHeight="1">
      <c r="A8898" s="205">
        <v>45617</v>
      </c>
      <c r="B8898" s="208" t="s">
        <v>7001</v>
      </c>
      <c r="C8898" s="206" t="s">
        <v>146</v>
      </c>
      <c r="D8898" s="737">
        <v>-8000</v>
      </c>
      <c r="E8898" s="207">
        <v>45627</v>
      </c>
      <c r="F8898" s="206" t="s">
        <v>109</v>
      </c>
      <c r="G8898" s="206" t="s">
        <v>6994</v>
      </c>
      <c r="H8898" s="206" t="s">
        <v>6669</v>
      </c>
      <c r="I8898" s="206" t="s">
        <v>6995</v>
      </c>
    </row>
    <row r="8899" spans="1:9" ht="15" hidden="1" customHeight="1">
      <c r="A8899" s="205">
        <v>45618</v>
      </c>
      <c r="B8899" s="208" t="s">
        <v>7002</v>
      </c>
      <c r="C8899" s="206" t="s">
        <v>146</v>
      </c>
      <c r="D8899" s="737">
        <v>-25000</v>
      </c>
      <c r="E8899" s="207">
        <v>45627</v>
      </c>
      <c r="F8899" s="206" t="s">
        <v>109</v>
      </c>
      <c r="G8899" s="206" t="s">
        <v>6994</v>
      </c>
      <c r="H8899" s="206" t="s">
        <v>2724</v>
      </c>
      <c r="I8899" s="206" t="s">
        <v>6995</v>
      </c>
    </row>
    <row r="8900" spans="1:9" ht="15" hidden="1" customHeight="1">
      <c r="A8900" s="205">
        <v>45618</v>
      </c>
      <c r="B8900" s="208" t="s">
        <v>7003</v>
      </c>
      <c r="C8900" s="206" t="s">
        <v>146</v>
      </c>
      <c r="D8900" s="737">
        <v>-20000</v>
      </c>
      <c r="E8900" s="207">
        <v>45627</v>
      </c>
      <c r="F8900" s="206" t="s">
        <v>109</v>
      </c>
      <c r="G8900" s="206" t="s">
        <v>6994</v>
      </c>
      <c r="H8900" s="206" t="s">
        <v>6266</v>
      </c>
      <c r="I8900" s="206" t="s">
        <v>6995</v>
      </c>
    </row>
    <row r="8901" spans="1:9" ht="15" hidden="1" customHeight="1">
      <c r="A8901" s="205">
        <v>45618</v>
      </c>
      <c r="B8901" s="208" t="s">
        <v>7004</v>
      </c>
      <c r="C8901" s="206" t="s">
        <v>146</v>
      </c>
      <c r="D8901" s="737">
        <v>-40000</v>
      </c>
      <c r="E8901" s="207">
        <v>45627</v>
      </c>
      <c r="F8901" s="206" t="s">
        <v>109</v>
      </c>
      <c r="G8901" s="206" t="s">
        <v>6994</v>
      </c>
      <c r="H8901" s="206" t="s">
        <v>6266</v>
      </c>
      <c r="I8901" s="206" t="s">
        <v>6995</v>
      </c>
    </row>
    <row r="8902" spans="1:9" ht="15" hidden="1" customHeight="1">
      <c r="A8902" s="205">
        <v>45618</v>
      </c>
      <c r="B8902" s="208" t="s">
        <v>7005</v>
      </c>
      <c r="C8902" s="206" t="s">
        <v>146</v>
      </c>
      <c r="D8902" s="737">
        <v>-33500</v>
      </c>
      <c r="E8902" s="207">
        <v>45627</v>
      </c>
      <c r="F8902" s="206" t="s">
        <v>109</v>
      </c>
      <c r="G8902" s="206" t="s">
        <v>6994</v>
      </c>
      <c r="H8902" s="206" t="s">
        <v>6973</v>
      </c>
      <c r="I8902" s="206" t="s">
        <v>6995</v>
      </c>
    </row>
    <row r="8903" spans="1:9" ht="15" hidden="1" customHeight="1">
      <c r="A8903" s="205">
        <v>45618</v>
      </c>
      <c r="B8903" s="208" t="s">
        <v>7006</v>
      </c>
      <c r="C8903" s="206" t="s">
        <v>146</v>
      </c>
      <c r="D8903" s="737">
        <v>-8000</v>
      </c>
      <c r="E8903" s="207">
        <v>45627</v>
      </c>
      <c r="F8903" s="206" t="s">
        <v>109</v>
      </c>
      <c r="G8903" s="206" t="s">
        <v>6994</v>
      </c>
      <c r="H8903" s="206" t="s">
        <v>6667</v>
      </c>
      <c r="I8903" s="206" t="s">
        <v>6995</v>
      </c>
    </row>
    <row r="8904" spans="1:9" ht="15" hidden="1" customHeight="1">
      <c r="A8904" s="205">
        <v>45618</v>
      </c>
      <c r="B8904" s="208" t="s">
        <v>7007</v>
      </c>
      <c r="C8904" s="206" t="s">
        <v>146</v>
      </c>
      <c r="D8904" s="737">
        <v>-40000</v>
      </c>
      <c r="E8904" s="207">
        <v>45627</v>
      </c>
      <c r="F8904" s="206" t="s">
        <v>109</v>
      </c>
      <c r="G8904" s="206" t="s">
        <v>6994</v>
      </c>
      <c r="H8904" s="206" t="s">
        <v>6266</v>
      </c>
      <c r="I8904" s="206" t="s">
        <v>6995</v>
      </c>
    </row>
    <row r="8905" spans="1:9" ht="15" hidden="1" customHeight="1">
      <c r="A8905" s="205">
        <v>45621</v>
      </c>
      <c r="B8905" s="208" t="s">
        <v>7008</v>
      </c>
      <c r="C8905" s="206" t="s">
        <v>146</v>
      </c>
      <c r="D8905" s="737">
        <v>-378000</v>
      </c>
      <c r="E8905" s="207">
        <v>45627</v>
      </c>
      <c r="F8905" s="206" t="s">
        <v>109</v>
      </c>
      <c r="G8905" s="206" t="s">
        <v>6954</v>
      </c>
      <c r="H8905" s="206" t="s">
        <v>6679</v>
      </c>
      <c r="I8905" s="206" t="s">
        <v>6995</v>
      </c>
    </row>
    <row r="8906" spans="1:9" ht="15" hidden="1" customHeight="1">
      <c r="A8906" s="205">
        <v>45621</v>
      </c>
      <c r="B8906" s="208" t="s">
        <v>7009</v>
      </c>
      <c r="C8906" s="206" t="s">
        <v>146</v>
      </c>
      <c r="D8906" s="737">
        <v>-13500</v>
      </c>
      <c r="E8906" s="207">
        <v>45627</v>
      </c>
      <c r="F8906" s="206" t="s">
        <v>109</v>
      </c>
      <c r="G8906" s="206" t="s">
        <v>6994</v>
      </c>
      <c r="H8906" s="206" t="s">
        <v>6266</v>
      </c>
      <c r="I8906" s="206" t="s">
        <v>6995</v>
      </c>
    </row>
    <row r="8907" spans="1:9" ht="15" hidden="1" customHeight="1">
      <c r="A8907" s="205">
        <v>45622</v>
      </c>
      <c r="B8907" s="208" t="s">
        <v>7010</v>
      </c>
      <c r="C8907" s="206" t="s">
        <v>146</v>
      </c>
      <c r="D8907" s="737">
        <v>-10000</v>
      </c>
      <c r="E8907" s="207">
        <v>45627</v>
      </c>
      <c r="F8907" s="206" t="s">
        <v>109</v>
      </c>
      <c r="G8907" s="206" t="s">
        <v>6994</v>
      </c>
      <c r="H8907" s="206" t="s">
        <v>6266</v>
      </c>
      <c r="I8907" s="206" t="s">
        <v>6995</v>
      </c>
    </row>
    <row r="8908" spans="1:9" ht="15" hidden="1" customHeight="1">
      <c r="A8908" s="205">
        <v>45622</v>
      </c>
      <c r="B8908" s="208" t="s">
        <v>7011</v>
      </c>
      <c r="C8908" s="206" t="s">
        <v>146</v>
      </c>
      <c r="D8908" s="737">
        <v>-17430</v>
      </c>
      <c r="E8908" s="207">
        <v>45627</v>
      </c>
      <c r="F8908" s="206" t="s">
        <v>109</v>
      </c>
      <c r="G8908" s="206" t="s">
        <v>6994</v>
      </c>
      <c r="H8908" s="206" t="s">
        <v>6266</v>
      </c>
      <c r="I8908" s="206" t="s">
        <v>6995</v>
      </c>
    </row>
    <row r="8909" spans="1:9" ht="15" hidden="1" customHeight="1">
      <c r="A8909" s="205">
        <v>45622</v>
      </c>
      <c r="B8909" s="208" t="s">
        <v>7012</v>
      </c>
      <c r="C8909" s="206" t="s">
        <v>146</v>
      </c>
      <c r="D8909" s="737">
        <v>-79000</v>
      </c>
      <c r="E8909" s="207">
        <v>45627</v>
      </c>
      <c r="F8909" s="206" t="s">
        <v>109</v>
      </c>
      <c r="G8909" s="206" t="s">
        <v>6994</v>
      </c>
      <c r="H8909" s="206" t="s">
        <v>6667</v>
      </c>
      <c r="I8909" s="206" t="s">
        <v>6995</v>
      </c>
    </row>
    <row r="8910" spans="1:9" ht="15" hidden="1" customHeight="1">
      <c r="A8910" s="205">
        <v>45622</v>
      </c>
      <c r="B8910" s="208" t="s">
        <v>7013</v>
      </c>
      <c r="C8910" s="206" t="s">
        <v>146</v>
      </c>
      <c r="D8910" s="737">
        <v>-690000</v>
      </c>
      <c r="E8910" s="207">
        <v>45627</v>
      </c>
      <c r="F8910" s="206" t="s">
        <v>109</v>
      </c>
      <c r="G8910" s="206" t="s">
        <v>6954</v>
      </c>
      <c r="H8910" s="206" t="s">
        <v>6667</v>
      </c>
      <c r="I8910" s="206" t="s">
        <v>6995</v>
      </c>
    </row>
    <row r="8911" spans="1:9" ht="15" hidden="1" customHeight="1">
      <c r="A8911" s="205">
        <v>45622</v>
      </c>
      <c r="B8911" s="208" t="s">
        <v>7014</v>
      </c>
      <c r="C8911" s="206" t="s">
        <v>146</v>
      </c>
      <c r="D8911" s="737">
        <v>-56500</v>
      </c>
      <c r="E8911" s="207">
        <v>45627</v>
      </c>
      <c r="F8911" s="206" t="s">
        <v>109</v>
      </c>
      <c r="G8911" s="206" t="s">
        <v>6954</v>
      </c>
      <c r="H8911" s="206" t="s">
        <v>6679</v>
      </c>
      <c r="I8911" s="206" t="s">
        <v>6995</v>
      </c>
    </row>
    <row r="8912" spans="1:9" ht="15" hidden="1" customHeight="1">
      <c r="A8912" s="205">
        <v>45623</v>
      </c>
      <c r="B8912" s="208" t="s">
        <v>7000</v>
      </c>
      <c r="C8912" s="206" t="s">
        <v>146</v>
      </c>
      <c r="D8912" s="737">
        <v>-52000</v>
      </c>
      <c r="E8912" s="207">
        <v>45627</v>
      </c>
      <c r="F8912" s="206" t="s">
        <v>109</v>
      </c>
      <c r="G8912" s="206" t="s">
        <v>6994</v>
      </c>
      <c r="H8912" s="206" t="s">
        <v>6266</v>
      </c>
      <c r="I8912" s="206" t="s">
        <v>6995</v>
      </c>
    </row>
    <row r="8913" spans="1:9" ht="15" hidden="1" customHeight="1">
      <c r="A8913" s="205">
        <v>45623</v>
      </c>
      <c r="B8913" s="208" t="s">
        <v>7015</v>
      </c>
      <c r="C8913" s="206" t="s">
        <v>146</v>
      </c>
      <c r="D8913" s="737">
        <v>-8000</v>
      </c>
      <c r="E8913" s="207">
        <v>45627</v>
      </c>
      <c r="F8913" s="206" t="s">
        <v>109</v>
      </c>
      <c r="G8913" s="206" t="s">
        <v>6994</v>
      </c>
      <c r="H8913" s="206" t="s">
        <v>6667</v>
      </c>
      <c r="I8913" s="206" t="s">
        <v>6995</v>
      </c>
    </row>
    <row r="8914" spans="1:9" ht="15" hidden="1" customHeight="1">
      <c r="A8914" s="205">
        <v>45623</v>
      </c>
      <c r="B8914" s="208" t="s">
        <v>7016</v>
      </c>
      <c r="C8914" s="206" t="s">
        <v>146</v>
      </c>
      <c r="D8914" s="737">
        <v>-30000</v>
      </c>
      <c r="E8914" s="207">
        <v>45627</v>
      </c>
      <c r="F8914" s="206" t="s">
        <v>109</v>
      </c>
      <c r="G8914" s="206" t="s">
        <v>6994</v>
      </c>
      <c r="H8914" s="206" t="s">
        <v>6667</v>
      </c>
      <c r="I8914" s="206" t="s">
        <v>6995</v>
      </c>
    </row>
    <row r="8915" spans="1:9" ht="15" hidden="1" customHeight="1">
      <c r="A8915" s="205">
        <v>45623</v>
      </c>
      <c r="B8915" s="208" t="s">
        <v>7013</v>
      </c>
      <c r="C8915" s="206" t="s">
        <v>146</v>
      </c>
      <c r="D8915" s="737">
        <v>-21000</v>
      </c>
      <c r="E8915" s="207">
        <v>45627</v>
      </c>
      <c r="F8915" s="206" t="s">
        <v>109</v>
      </c>
      <c r="G8915" s="206" t="s">
        <v>6954</v>
      </c>
      <c r="H8915" s="206" t="s">
        <v>6667</v>
      </c>
      <c r="I8915" s="206" t="s">
        <v>6995</v>
      </c>
    </row>
    <row r="8916" spans="1:9" ht="15" hidden="1" customHeight="1">
      <c r="A8916" s="205">
        <v>45624</v>
      </c>
      <c r="B8916" s="208" t="s">
        <v>7005</v>
      </c>
      <c r="C8916" s="206" t="s">
        <v>146</v>
      </c>
      <c r="D8916" s="737">
        <v>-315000</v>
      </c>
      <c r="E8916" s="207">
        <v>45627</v>
      </c>
      <c r="F8916" s="206" t="s">
        <v>109</v>
      </c>
      <c r="G8916" s="206" t="s">
        <v>6994</v>
      </c>
      <c r="H8916" s="206" t="s">
        <v>6667</v>
      </c>
      <c r="I8916" s="206" t="s">
        <v>6995</v>
      </c>
    </row>
    <row r="8917" spans="1:9" ht="15" hidden="1" customHeight="1">
      <c r="A8917" s="205">
        <v>45624</v>
      </c>
      <c r="B8917" s="208" t="s">
        <v>7017</v>
      </c>
      <c r="C8917" s="206" t="s">
        <v>146</v>
      </c>
      <c r="D8917" s="737">
        <v>-52000</v>
      </c>
      <c r="E8917" s="207">
        <v>45627</v>
      </c>
      <c r="F8917" s="206" t="s">
        <v>109</v>
      </c>
      <c r="G8917" s="206" t="s">
        <v>6954</v>
      </c>
      <c r="H8917" s="206" t="s">
        <v>6667</v>
      </c>
      <c r="I8917" s="206" t="s">
        <v>6995</v>
      </c>
    </row>
    <row r="8918" spans="1:9" ht="15" hidden="1" customHeight="1">
      <c r="A8918" s="205">
        <v>45624</v>
      </c>
      <c r="B8918" s="208" t="s">
        <v>7012</v>
      </c>
      <c r="C8918" s="206" t="s">
        <v>146</v>
      </c>
      <c r="D8918" s="737">
        <v>-33000</v>
      </c>
      <c r="E8918" s="207">
        <v>45627</v>
      </c>
      <c r="F8918" s="206" t="s">
        <v>109</v>
      </c>
      <c r="G8918" s="206" t="s">
        <v>6994</v>
      </c>
      <c r="H8918" s="206" t="s">
        <v>6973</v>
      </c>
      <c r="I8918" s="206" t="s">
        <v>6995</v>
      </c>
    </row>
    <row r="8919" spans="1:9" ht="15" hidden="1" customHeight="1">
      <c r="A8919" s="205">
        <v>45625</v>
      </c>
      <c r="B8919" s="208" t="s">
        <v>7018</v>
      </c>
      <c r="C8919" s="206" t="s">
        <v>146</v>
      </c>
      <c r="D8919" s="737">
        <v>-27500</v>
      </c>
      <c r="E8919" s="207">
        <v>45627</v>
      </c>
      <c r="F8919" s="206" t="s">
        <v>109</v>
      </c>
      <c r="G8919" s="206" t="s">
        <v>6994</v>
      </c>
      <c r="H8919" s="206" t="s">
        <v>6667</v>
      </c>
      <c r="I8919" s="206" t="s">
        <v>6995</v>
      </c>
    </row>
    <row r="8920" spans="1:9" ht="15" hidden="1" customHeight="1">
      <c r="A8920" s="205">
        <v>45614</v>
      </c>
      <c r="B8920" s="208" t="s">
        <v>7019</v>
      </c>
      <c r="C8920" s="206" t="s">
        <v>146</v>
      </c>
      <c r="D8920" s="737">
        <v>-16000</v>
      </c>
      <c r="E8920" s="207">
        <v>45627</v>
      </c>
      <c r="F8920" s="206" t="s">
        <v>207</v>
      </c>
      <c r="G8920" s="206" t="s">
        <v>207</v>
      </c>
      <c r="H8920" s="206" t="s">
        <v>138</v>
      </c>
      <c r="I8920" s="206"/>
    </row>
    <row r="8921" spans="1:9" ht="15" hidden="1" customHeight="1">
      <c r="A8921" s="205">
        <v>45618</v>
      </c>
      <c r="B8921" s="208" t="s">
        <v>7020</v>
      </c>
      <c r="C8921" s="206" t="s">
        <v>146</v>
      </c>
      <c r="D8921" s="737">
        <v>-16000</v>
      </c>
      <c r="E8921" s="207">
        <v>45627</v>
      </c>
      <c r="F8921" s="206" t="s">
        <v>109</v>
      </c>
      <c r="G8921" s="206" t="s">
        <v>6994</v>
      </c>
      <c r="H8921" s="206" t="s">
        <v>6266</v>
      </c>
      <c r="I8921" s="206" t="s">
        <v>7021</v>
      </c>
    </row>
    <row r="8922" spans="1:9" ht="15" hidden="1" customHeight="1">
      <c r="A8922" s="205">
        <v>45618</v>
      </c>
      <c r="B8922" s="208" t="s">
        <v>7022</v>
      </c>
      <c r="C8922" s="206" t="s">
        <v>146</v>
      </c>
      <c r="D8922" s="737">
        <v>-13500</v>
      </c>
      <c r="E8922" s="207">
        <v>45627</v>
      </c>
      <c r="F8922" s="206" t="s">
        <v>109</v>
      </c>
      <c r="G8922" s="206" t="s">
        <v>5990</v>
      </c>
      <c r="H8922" s="206" t="s">
        <v>6266</v>
      </c>
      <c r="I8922" s="206" t="s">
        <v>7021</v>
      </c>
    </row>
    <row r="8923" spans="1:9" ht="15" hidden="1" customHeight="1">
      <c r="A8923" s="205">
        <v>45618</v>
      </c>
      <c r="B8923" s="208" t="s">
        <v>7023</v>
      </c>
      <c r="C8923" s="206" t="s">
        <v>146</v>
      </c>
      <c r="D8923" s="737">
        <v>-20000</v>
      </c>
      <c r="E8923" s="207">
        <v>45627</v>
      </c>
      <c r="F8923" s="206" t="s">
        <v>109</v>
      </c>
      <c r="G8923" s="206" t="s">
        <v>6994</v>
      </c>
      <c r="H8923" s="206" t="s">
        <v>6266</v>
      </c>
      <c r="I8923" s="206" t="s">
        <v>7021</v>
      </c>
    </row>
    <row r="8924" spans="1:9" ht="15" hidden="1" customHeight="1">
      <c r="A8924" s="205">
        <v>45618</v>
      </c>
      <c r="B8924" s="208" t="s">
        <v>7024</v>
      </c>
      <c r="C8924" s="206" t="s">
        <v>146</v>
      </c>
      <c r="D8924" s="737">
        <v>-13200</v>
      </c>
      <c r="E8924" s="207">
        <v>45627</v>
      </c>
      <c r="F8924" s="206" t="s">
        <v>109</v>
      </c>
      <c r="G8924" s="206" t="s">
        <v>6994</v>
      </c>
      <c r="H8924" s="206" t="s">
        <v>7025</v>
      </c>
      <c r="I8924" s="206" t="s">
        <v>7021</v>
      </c>
    </row>
    <row r="8925" spans="1:9" ht="15" hidden="1" customHeight="1">
      <c r="A8925" s="205">
        <v>45618</v>
      </c>
      <c r="B8925" s="208" t="s">
        <v>7026</v>
      </c>
      <c r="C8925" s="206" t="s">
        <v>146</v>
      </c>
      <c r="D8925" s="737">
        <v>-10000</v>
      </c>
      <c r="E8925" s="207">
        <v>45627</v>
      </c>
      <c r="F8925" s="206" t="s">
        <v>109</v>
      </c>
      <c r="G8925" s="206" t="s">
        <v>5990</v>
      </c>
      <c r="H8925" s="206" t="s">
        <v>6266</v>
      </c>
      <c r="I8925" s="206" t="s">
        <v>7021</v>
      </c>
    </row>
    <row r="8926" spans="1:9" ht="15" hidden="1" customHeight="1">
      <c r="A8926" s="205">
        <v>45624</v>
      </c>
      <c r="B8926" s="208" t="s">
        <v>7027</v>
      </c>
      <c r="C8926" s="206" t="s">
        <v>146</v>
      </c>
      <c r="D8926" s="737">
        <v>-21000</v>
      </c>
      <c r="E8926" s="207">
        <v>45627</v>
      </c>
      <c r="F8926" s="206" t="s">
        <v>109</v>
      </c>
      <c r="G8926" s="206" t="s">
        <v>6994</v>
      </c>
      <c r="H8926" s="206" t="s">
        <v>6266</v>
      </c>
      <c r="I8926" s="206" t="s">
        <v>7021</v>
      </c>
    </row>
    <row r="8927" spans="1:9" ht="15" hidden="1" customHeight="1">
      <c r="A8927" s="205">
        <v>45626</v>
      </c>
      <c r="B8927" s="208" t="s">
        <v>7028</v>
      </c>
      <c r="C8927" s="206" t="s">
        <v>146</v>
      </c>
      <c r="D8927" s="211">
        <v>-16000</v>
      </c>
      <c r="E8927" s="207">
        <v>45627</v>
      </c>
      <c r="F8927" s="206" t="s">
        <v>130</v>
      </c>
      <c r="G8927" s="206" t="s">
        <v>130</v>
      </c>
      <c r="H8927" s="206" t="s">
        <v>138</v>
      </c>
      <c r="I8927" s="206" t="s">
        <v>7021</v>
      </c>
    </row>
    <row r="8928" spans="1:9" ht="15" hidden="1" customHeight="1">
      <c r="A8928" s="205">
        <v>45623</v>
      </c>
      <c r="B8928" s="208" t="s">
        <v>6785</v>
      </c>
      <c r="C8928" s="206" t="s">
        <v>146</v>
      </c>
      <c r="D8928" s="737">
        <v>-5000</v>
      </c>
      <c r="E8928" s="207">
        <v>45627</v>
      </c>
      <c r="F8928" s="206" t="s">
        <v>109</v>
      </c>
      <c r="G8928" s="206" t="s">
        <v>6994</v>
      </c>
      <c r="H8928" s="206" t="s">
        <v>6763</v>
      </c>
      <c r="I8928" s="206" t="s">
        <v>5430</v>
      </c>
    </row>
    <row r="8929" spans="1:9" ht="15" hidden="1" customHeight="1">
      <c r="A8929" s="205">
        <v>45623</v>
      </c>
      <c r="B8929" s="208" t="s">
        <v>7029</v>
      </c>
      <c r="C8929" s="206" t="s">
        <v>146</v>
      </c>
      <c r="D8929" s="737">
        <v>-70722</v>
      </c>
      <c r="E8929" s="207">
        <v>45627</v>
      </c>
      <c r="F8929" s="206" t="s">
        <v>109</v>
      </c>
      <c r="G8929" s="206" t="s">
        <v>6994</v>
      </c>
      <c r="H8929" s="206" t="s">
        <v>6677</v>
      </c>
      <c r="I8929" s="206" t="s">
        <v>5430</v>
      </c>
    </row>
    <row r="8930" spans="1:9" ht="15" hidden="1" customHeight="1">
      <c r="A8930" s="205">
        <v>45621</v>
      </c>
      <c r="B8930" s="208" t="s">
        <v>7030</v>
      </c>
      <c r="C8930" s="206" t="s">
        <v>146</v>
      </c>
      <c r="D8930" s="211">
        <v>-40000</v>
      </c>
      <c r="E8930" s="207">
        <v>45627</v>
      </c>
      <c r="F8930" s="206" t="s">
        <v>130</v>
      </c>
      <c r="G8930" s="206" t="s">
        <v>130</v>
      </c>
      <c r="H8930" s="206" t="s">
        <v>2444</v>
      </c>
      <c r="I8930" s="206" t="s">
        <v>5430</v>
      </c>
    </row>
    <row r="8931" spans="1:9" ht="15" hidden="1" customHeight="1">
      <c r="A8931" s="205">
        <v>45622</v>
      </c>
      <c r="B8931" s="208" t="s">
        <v>7031</v>
      </c>
      <c r="C8931" s="206" t="s">
        <v>146</v>
      </c>
      <c r="D8931" s="737">
        <v>-13000</v>
      </c>
      <c r="E8931" s="207">
        <v>45627</v>
      </c>
      <c r="F8931" s="206" t="s">
        <v>109</v>
      </c>
      <c r="G8931" s="206" t="s">
        <v>4225</v>
      </c>
      <c r="H8931" s="206" t="s">
        <v>2941</v>
      </c>
      <c r="I8931" s="206" t="s">
        <v>5430</v>
      </c>
    </row>
    <row r="8932" spans="1:9" ht="15" hidden="1" customHeight="1">
      <c r="A8932" s="205">
        <v>45623</v>
      </c>
      <c r="B8932" s="208" t="s">
        <v>7032</v>
      </c>
      <c r="C8932" s="206" t="s">
        <v>146</v>
      </c>
      <c r="D8932" s="211">
        <v>-4200</v>
      </c>
      <c r="E8932" s="207">
        <v>45627</v>
      </c>
      <c r="F8932" s="206" t="s">
        <v>130</v>
      </c>
      <c r="G8932" s="206" t="s">
        <v>130</v>
      </c>
      <c r="H8932" s="206" t="s">
        <v>2444</v>
      </c>
      <c r="I8932" s="206" t="s">
        <v>5430</v>
      </c>
    </row>
    <row r="8933" spans="1:9" ht="15" hidden="1" customHeight="1">
      <c r="A8933" s="205">
        <v>45623</v>
      </c>
      <c r="B8933" s="208" t="s">
        <v>7033</v>
      </c>
      <c r="C8933" s="206" t="s">
        <v>146</v>
      </c>
      <c r="D8933" s="737">
        <v>-14000</v>
      </c>
      <c r="E8933" s="207">
        <v>45627</v>
      </c>
      <c r="F8933" s="206" t="s">
        <v>109</v>
      </c>
      <c r="G8933" s="206" t="s">
        <v>4225</v>
      </c>
      <c r="H8933" s="206" t="s">
        <v>2941</v>
      </c>
      <c r="I8933" s="206" t="s">
        <v>5430</v>
      </c>
    </row>
    <row r="8934" spans="1:9" ht="15" hidden="1" customHeight="1">
      <c r="A8934" s="205">
        <v>45623</v>
      </c>
      <c r="B8934" s="208" t="s">
        <v>7034</v>
      </c>
      <c r="C8934" s="206" t="s">
        <v>146</v>
      </c>
      <c r="D8934" s="737">
        <v>-3700</v>
      </c>
      <c r="E8934" s="207">
        <v>45627</v>
      </c>
      <c r="F8934" s="206" t="s">
        <v>109</v>
      </c>
      <c r="G8934" s="206" t="s">
        <v>4225</v>
      </c>
      <c r="H8934" s="206" t="s">
        <v>2941</v>
      </c>
      <c r="I8934" s="206" t="s">
        <v>5430</v>
      </c>
    </row>
    <row r="8935" spans="1:9" ht="15" hidden="1" customHeight="1">
      <c r="A8935" s="205">
        <v>45623</v>
      </c>
      <c r="B8935" s="208" t="s">
        <v>7035</v>
      </c>
      <c r="C8935" s="206" t="s">
        <v>146</v>
      </c>
      <c r="D8935" s="737">
        <v>-51744</v>
      </c>
      <c r="E8935" s="207">
        <v>45627</v>
      </c>
      <c r="F8935" s="206" t="s">
        <v>109</v>
      </c>
      <c r="G8935" s="206" t="s">
        <v>4225</v>
      </c>
      <c r="H8935" s="206" t="s">
        <v>2941</v>
      </c>
      <c r="I8935" s="206" t="s">
        <v>5430</v>
      </c>
    </row>
    <row r="8936" spans="1:9" ht="15" hidden="1" customHeight="1">
      <c r="A8936" s="205">
        <v>45623</v>
      </c>
      <c r="B8936" s="208" t="s">
        <v>7036</v>
      </c>
      <c r="C8936" s="206" t="s">
        <v>146</v>
      </c>
      <c r="D8936" s="737">
        <v>-37200</v>
      </c>
      <c r="E8936" s="207">
        <v>45627</v>
      </c>
      <c r="F8936" s="206" t="s">
        <v>109</v>
      </c>
      <c r="G8936" s="206" t="s">
        <v>4225</v>
      </c>
      <c r="H8936" s="206" t="s">
        <v>2941</v>
      </c>
      <c r="I8936" s="206" t="s">
        <v>5430</v>
      </c>
    </row>
    <row r="8937" spans="1:9" ht="15" hidden="1" customHeight="1">
      <c r="A8937" s="205">
        <v>45624</v>
      </c>
      <c r="B8937" s="208" t="s">
        <v>7037</v>
      </c>
      <c r="C8937" s="206" t="s">
        <v>146</v>
      </c>
      <c r="D8937" s="737">
        <v>-6699</v>
      </c>
      <c r="E8937" s="207">
        <v>45627</v>
      </c>
      <c r="F8937" s="206" t="s">
        <v>109</v>
      </c>
      <c r="G8937" s="206" t="s">
        <v>4986</v>
      </c>
      <c r="H8937" s="206" t="s">
        <v>2941</v>
      </c>
      <c r="I8937" s="206" t="s">
        <v>5430</v>
      </c>
    </row>
    <row r="8938" spans="1:9" ht="15" hidden="1" customHeight="1">
      <c r="A8938" s="205">
        <v>45624</v>
      </c>
      <c r="B8938" s="208" t="s">
        <v>6455</v>
      </c>
      <c r="C8938" s="206" t="s">
        <v>146</v>
      </c>
      <c r="D8938" s="737">
        <v>-1380</v>
      </c>
      <c r="E8938" s="207">
        <v>45627</v>
      </c>
      <c r="F8938" s="206" t="s">
        <v>109</v>
      </c>
      <c r="G8938" s="206" t="s">
        <v>4225</v>
      </c>
      <c r="H8938" s="206" t="s">
        <v>2941</v>
      </c>
      <c r="I8938" s="206" t="s">
        <v>5430</v>
      </c>
    </row>
    <row r="8939" spans="1:9" ht="15" hidden="1" customHeight="1">
      <c r="A8939" s="205">
        <v>45624</v>
      </c>
      <c r="B8939" s="208" t="s">
        <v>7038</v>
      </c>
      <c r="C8939" s="206" t="s">
        <v>146</v>
      </c>
      <c r="D8939" s="737">
        <v>-153400</v>
      </c>
      <c r="E8939" s="207">
        <v>45627</v>
      </c>
      <c r="F8939" s="206" t="s">
        <v>109</v>
      </c>
      <c r="G8939" s="206" t="s">
        <v>4986</v>
      </c>
      <c r="H8939" s="206" t="s">
        <v>2941</v>
      </c>
      <c r="I8939" s="206" t="s">
        <v>5430</v>
      </c>
    </row>
    <row r="8940" spans="1:9" ht="15" hidden="1" customHeight="1">
      <c r="A8940" s="205">
        <v>45624</v>
      </c>
      <c r="B8940" s="208" t="s">
        <v>7039</v>
      </c>
      <c r="C8940" s="206" t="s">
        <v>146</v>
      </c>
      <c r="D8940" s="737">
        <v>-20000</v>
      </c>
      <c r="E8940" s="207">
        <v>45627</v>
      </c>
      <c r="F8940" s="206" t="s">
        <v>109</v>
      </c>
      <c r="G8940" s="206" t="s">
        <v>3529</v>
      </c>
      <c r="H8940" s="206" t="s">
        <v>2941</v>
      </c>
      <c r="I8940" s="206" t="s">
        <v>5430</v>
      </c>
    </row>
    <row r="8941" spans="1:9" ht="15" hidden="1" customHeight="1">
      <c r="A8941" s="205">
        <v>45624</v>
      </c>
      <c r="B8941" s="208" t="s">
        <v>7040</v>
      </c>
      <c r="C8941" s="206" t="s">
        <v>146</v>
      </c>
      <c r="D8941" s="737">
        <v>-57596</v>
      </c>
      <c r="E8941" s="207">
        <v>45627</v>
      </c>
      <c r="F8941" s="206" t="s">
        <v>109</v>
      </c>
      <c r="G8941" s="206" t="s">
        <v>4986</v>
      </c>
      <c r="H8941" s="206" t="s">
        <v>2941</v>
      </c>
      <c r="I8941" s="206" t="s">
        <v>5430</v>
      </c>
    </row>
    <row r="8942" spans="1:9" ht="15" hidden="1" customHeight="1">
      <c r="A8942" s="205">
        <v>45625</v>
      </c>
      <c r="B8942" s="208" t="s">
        <v>7041</v>
      </c>
      <c r="C8942" s="206" t="s">
        <v>146</v>
      </c>
      <c r="D8942" s="737">
        <v>-15000</v>
      </c>
      <c r="E8942" s="207">
        <v>45627</v>
      </c>
      <c r="F8942" s="206" t="s">
        <v>109</v>
      </c>
      <c r="G8942" s="206" t="s">
        <v>4986</v>
      </c>
      <c r="H8942" s="206" t="s">
        <v>2941</v>
      </c>
      <c r="I8942" s="206" t="s">
        <v>5430</v>
      </c>
    </row>
    <row r="8943" spans="1:9" ht="15" hidden="1" customHeight="1">
      <c r="A8943" s="205">
        <v>45625</v>
      </c>
      <c r="B8943" s="208" t="s">
        <v>7042</v>
      </c>
      <c r="C8943" s="206" t="s">
        <v>146</v>
      </c>
      <c r="D8943" s="737">
        <v>-7000</v>
      </c>
      <c r="E8943" s="207">
        <v>45627</v>
      </c>
      <c r="F8943" s="206" t="s">
        <v>109</v>
      </c>
      <c r="G8943" s="206" t="s">
        <v>4986</v>
      </c>
      <c r="H8943" s="206" t="s">
        <v>2941</v>
      </c>
      <c r="I8943" s="206" t="s">
        <v>5430</v>
      </c>
    </row>
    <row r="8944" spans="1:9" ht="15" hidden="1" customHeight="1">
      <c r="A8944" s="205">
        <v>45625</v>
      </c>
      <c r="B8944" s="208" t="s">
        <v>6275</v>
      </c>
      <c r="C8944" s="206" t="s">
        <v>146</v>
      </c>
      <c r="D8944" s="737">
        <v>-15200</v>
      </c>
      <c r="E8944" s="207">
        <v>45627</v>
      </c>
      <c r="F8944" s="206" t="s">
        <v>109</v>
      </c>
      <c r="G8944" s="206" t="s">
        <v>4986</v>
      </c>
      <c r="H8944" s="206" t="s">
        <v>2941</v>
      </c>
      <c r="I8944" s="206" t="s">
        <v>5430</v>
      </c>
    </row>
    <row r="8945" spans="1:9" ht="15" hidden="1" customHeight="1">
      <c r="A8945" s="205">
        <v>45625</v>
      </c>
      <c r="B8945" s="208" t="s">
        <v>7043</v>
      </c>
      <c r="C8945" s="206" t="s">
        <v>146</v>
      </c>
      <c r="D8945" s="737">
        <v>-120000</v>
      </c>
      <c r="E8945" s="207">
        <v>45627</v>
      </c>
      <c r="F8945" s="206" t="s">
        <v>109</v>
      </c>
      <c r="G8945" s="206" t="s">
        <v>4986</v>
      </c>
      <c r="H8945" s="206" t="s">
        <v>2941</v>
      </c>
      <c r="I8945" s="206" t="s">
        <v>5430</v>
      </c>
    </row>
    <row r="8946" spans="1:9" ht="15" hidden="1" customHeight="1">
      <c r="A8946" s="205">
        <v>45625</v>
      </c>
      <c r="B8946" s="208" t="s">
        <v>7044</v>
      </c>
      <c r="C8946" s="206" t="s">
        <v>146</v>
      </c>
      <c r="D8946" s="737">
        <v>-191070</v>
      </c>
      <c r="E8946" s="207">
        <v>45627</v>
      </c>
      <c r="F8946" s="206" t="s">
        <v>109</v>
      </c>
      <c r="G8946" s="206" t="s">
        <v>4986</v>
      </c>
      <c r="H8946" s="206" t="s">
        <v>2941</v>
      </c>
      <c r="I8946" s="206" t="s">
        <v>5430</v>
      </c>
    </row>
    <row r="8947" spans="1:9" ht="15" hidden="1" customHeight="1">
      <c r="A8947" s="205">
        <v>45625</v>
      </c>
      <c r="B8947" s="208" t="s">
        <v>7045</v>
      </c>
      <c r="C8947" s="206" t="s">
        <v>146</v>
      </c>
      <c r="D8947" s="737">
        <v>-43373</v>
      </c>
      <c r="E8947" s="207">
        <v>45627</v>
      </c>
      <c r="F8947" s="206" t="s">
        <v>109</v>
      </c>
      <c r="G8947" s="206" t="s">
        <v>4225</v>
      </c>
      <c r="H8947" s="206" t="s">
        <v>2941</v>
      </c>
      <c r="I8947" s="206" t="s">
        <v>5430</v>
      </c>
    </row>
    <row r="8948" spans="1:9" ht="15" hidden="1" customHeight="1">
      <c r="A8948" s="205">
        <v>45629</v>
      </c>
      <c r="B8948" s="208" t="s">
        <v>7046</v>
      </c>
      <c r="C8948" s="206" t="s">
        <v>146</v>
      </c>
      <c r="D8948" s="737">
        <v>-350000</v>
      </c>
      <c r="E8948" s="207">
        <v>45627</v>
      </c>
      <c r="F8948" s="206" t="s">
        <v>109</v>
      </c>
      <c r="G8948" s="206" t="s">
        <v>6994</v>
      </c>
      <c r="H8948" s="206" t="s">
        <v>6134</v>
      </c>
      <c r="I8948" s="206"/>
    </row>
    <row r="8949" spans="1:9" ht="15" hidden="1" customHeight="1">
      <c r="A8949" s="205">
        <v>45616</v>
      </c>
      <c r="B8949" s="208" t="s">
        <v>6484</v>
      </c>
      <c r="C8949" s="206" t="s">
        <v>146</v>
      </c>
      <c r="D8949" s="737">
        <v>-150000</v>
      </c>
      <c r="E8949" s="207">
        <v>45627</v>
      </c>
      <c r="F8949" s="206" t="s">
        <v>109</v>
      </c>
      <c r="G8949" s="206" t="s">
        <v>5990</v>
      </c>
      <c r="H8949" s="206" t="s">
        <v>6266</v>
      </c>
      <c r="I8949" s="206" t="s">
        <v>7047</v>
      </c>
    </row>
    <row r="8950" spans="1:9" ht="15" hidden="1" customHeight="1">
      <c r="A8950" s="205">
        <v>45624</v>
      </c>
      <c r="B8950" s="208" t="s">
        <v>6484</v>
      </c>
      <c r="C8950" s="206" t="s">
        <v>146</v>
      </c>
      <c r="D8950" s="737">
        <v>-100000</v>
      </c>
      <c r="E8950" s="207">
        <v>45627</v>
      </c>
      <c r="F8950" s="206" t="s">
        <v>109</v>
      </c>
      <c r="G8950" s="206" t="s">
        <v>5990</v>
      </c>
      <c r="H8950" s="206" t="s">
        <v>6266</v>
      </c>
      <c r="I8950" s="206" t="s">
        <v>7047</v>
      </c>
    </row>
    <row r="8951" spans="1:9" ht="15" hidden="1" customHeight="1">
      <c r="A8951" s="205">
        <v>45624</v>
      </c>
      <c r="B8951" s="208" t="s">
        <v>7048</v>
      </c>
      <c r="C8951" s="206" t="s">
        <v>146</v>
      </c>
      <c r="D8951" s="737">
        <v>-50000</v>
      </c>
      <c r="E8951" s="207">
        <v>45627</v>
      </c>
      <c r="F8951" s="206" t="s">
        <v>109</v>
      </c>
      <c r="G8951" s="206" t="s">
        <v>5990</v>
      </c>
      <c r="H8951" s="206" t="s">
        <v>6266</v>
      </c>
      <c r="I8951" s="206" t="s">
        <v>7047</v>
      </c>
    </row>
    <row r="8952" spans="1:9" ht="15" hidden="1" customHeight="1">
      <c r="A8952" s="205">
        <v>45625</v>
      </c>
      <c r="B8952" s="208" t="s">
        <v>7049</v>
      </c>
      <c r="C8952" s="206" t="s">
        <v>146</v>
      </c>
      <c r="D8952" s="737">
        <v>-32500</v>
      </c>
      <c r="E8952" s="207">
        <v>45627</v>
      </c>
      <c r="F8952" s="206" t="s">
        <v>109</v>
      </c>
      <c r="G8952" s="206" t="s">
        <v>5990</v>
      </c>
      <c r="H8952" s="206" t="s">
        <v>6266</v>
      </c>
      <c r="I8952" s="206" t="s">
        <v>7047</v>
      </c>
    </row>
    <row r="8953" spans="1:9" ht="15" hidden="1" customHeight="1">
      <c r="A8953" s="205">
        <v>45629</v>
      </c>
      <c r="B8953" s="208" t="s">
        <v>7050</v>
      </c>
      <c r="C8953" s="206" t="s">
        <v>3331</v>
      </c>
      <c r="D8953" s="211">
        <v>-45900</v>
      </c>
      <c r="E8953" s="207">
        <v>45627</v>
      </c>
      <c r="F8953" s="206" t="s">
        <v>130</v>
      </c>
      <c r="G8953" s="206" t="s">
        <v>130</v>
      </c>
      <c r="H8953" s="206" t="s">
        <v>2444</v>
      </c>
      <c r="I8953" s="206"/>
    </row>
    <row r="8954" spans="1:9" ht="15" hidden="1" customHeight="1">
      <c r="A8954" s="205">
        <v>45629</v>
      </c>
      <c r="B8954" s="208" t="s">
        <v>7051</v>
      </c>
      <c r="C8954" s="206" t="s">
        <v>146</v>
      </c>
      <c r="D8954" s="737">
        <v>-8000</v>
      </c>
      <c r="E8954" s="207">
        <v>45627</v>
      </c>
      <c r="F8954" s="206" t="s">
        <v>110</v>
      </c>
      <c r="G8954" s="206" t="s">
        <v>5469</v>
      </c>
      <c r="H8954" s="81" t="s">
        <v>138</v>
      </c>
      <c r="I8954" s="206"/>
    </row>
    <row r="8955" spans="1:9" ht="15" hidden="1" customHeight="1">
      <c r="A8955" s="205">
        <v>45629</v>
      </c>
      <c r="B8955" s="208" t="s">
        <v>6977</v>
      </c>
      <c r="C8955" s="206" t="s">
        <v>146</v>
      </c>
      <c r="D8955" s="737">
        <v>-8000</v>
      </c>
      <c r="E8955" s="207">
        <v>45627</v>
      </c>
      <c r="F8955" s="206" t="s">
        <v>109</v>
      </c>
      <c r="G8955" s="206" t="s">
        <v>4225</v>
      </c>
      <c r="H8955" s="206" t="s">
        <v>6929</v>
      </c>
      <c r="I8955" s="206"/>
    </row>
    <row r="8956" spans="1:9" ht="15" hidden="1" customHeight="1">
      <c r="A8956" s="205">
        <v>45629</v>
      </c>
      <c r="B8956" s="208" t="s">
        <v>6293</v>
      </c>
      <c r="C8956" s="206" t="s">
        <v>146</v>
      </c>
      <c r="D8956" s="737">
        <v>-8000</v>
      </c>
      <c r="E8956" s="207">
        <v>45627</v>
      </c>
      <c r="F8956" s="206" t="s">
        <v>109</v>
      </c>
      <c r="G8956" s="206" t="s">
        <v>4986</v>
      </c>
      <c r="H8956" s="206" t="s">
        <v>6929</v>
      </c>
      <c r="I8956" s="206"/>
    </row>
    <row r="8957" spans="1:9" ht="15" hidden="1" customHeight="1">
      <c r="A8957" s="205">
        <v>45629</v>
      </c>
      <c r="B8957" s="208" t="s">
        <v>6977</v>
      </c>
      <c r="C8957" s="206" t="s">
        <v>146</v>
      </c>
      <c r="D8957" s="737">
        <v>-24000</v>
      </c>
      <c r="E8957" s="207">
        <v>45627</v>
      </c>
      <c r="F8957" s="206" t="s">
        <v>109</v>
      </c>
      <c r="G8957" s="206" t="s">
        <v>4986</v>
      </c>
      <c r="H8957" s="206" t="s">
        <v>6929</v>
      </c>
      <c r="I8957" s="206"/>
    </row>
    <row r="8958" spans="1:9" ht="15" hidden="1" customHeight="1">
      <c r="A8958" s="205">
        <v>45629</v>
      </c>
      <c r="B8958" s="208" t="s">
        <v>7052</v>
      </c>
      <c r="C8958" s="206" t="s">
        <v>146</v>
      </c>
      <c r="D8958" s="737">
        <v>-185400</v>
      </c>
      <c r="E8958" s="207">
        <v>45627</v>
      </c>
      <c r="F8958" s="206" t="s">
        <v>109</v>
      </c>
      <c r="G8958" s="206" t="s">
        <v>3529</v>
      </c>
      <c r="H8958" s="206" t="s">
        <v>416</v>
      </c>
      <c r="I8958" s="720" t="s">
        <v>5410</v>
      </c>
    </row>
    <row r="8959" spans="1:9" ht="15" hidden="1" customHeight="1">
      <c r="A8959" s="205">
        <v>45597</v>
      </c>
      <c r="B8959" s="208" t="s">
        <v>7053</v>
      </c>
      <c r="C8959" s="206" t="s">
        <v>146</v>
      </c>
      <c r="D8959" s="737">
        <v>-20000</v>
      </c>
      <c r="E8959" s="207">
        <v>45627</v>
      </c>
      <c r="F8959" s="206" t="s">
        <v>110</v>
      </c>
      <c r="G8959" s="206" t="s">
        <v>4294</v>
      </c>
      <c r="H8959" s="206" t="s">
        <v>6929</v>
      </c>
      <c r="I8959" s="206" t="s">
        <v>2052</v>
      </c>
    </row>
    <row r="8960" spans="1:9" ht="15" hidden="1" customHeight="1">
      <c r="A8960" s="205">
        <v>45597</v>
      </c>
      <c r="B8960" s="208" t="s">
        <v>7053</v>
      </c>
      <c r="C8960" s="206" t="s">
        <v>146</v>
      </c>
      <c r="D8960" s="737">
        <v>-20000</v>
      </c>
      <c r="E8960" s="207">
        <v>45627</v>
      </c>
      <c r="F8960" s="206" t="s">
        <v>110</v>
      </c>
      <c r="G8960" s="206" t="s">
        <v>4294</v>
      </c>
      <c r="H8960" s="206" t="s">
        <v>6929</v>
      </c>
      <c r="I8960" s="206" t="s">
        <v>2052</v>
      </c>
    </row>
    <row r="8961" spans="1:9" ht="15" hidden="1" customHeight="1">
      <c r="A8961" s="205">
        <v>45621</v>
      </c>
      <c r="B8961" s="208" t="s">
        <v>7054</v>
      </c>
      <c r="C8961" s="206" t="s">
        <v>146</v>
      </c>
      <c r="D8961" s="737">
        <v>-16000</v>
      </c>
      <c r="E8961" s="207">
        <v>45627</v>
      </c>
      <c r="F8961" s="206" t="s">
        <v>207</v>
      </c>
      <c r="G8961" s="206" t="s">
        <v>207</v>
      </c>
      <c r="H8961" s="206" t="s">
        <v>138</v>
      </c>
      <c r="I8961" s="206" t="s">
        <v>2052</v>
      </c>
    </row>
    <row r="8962" spans="1:9" ht="15" hidden="1" customHeight="1">
      <c r="A8962" s="205">
        <v>45622</v>
      </c>
      <c r="B8962" s="208" t="s">
        <v>7054</v>
      </c>
      <c r="C8962" s="206" t="s">
        <v>146</v>
      </c>
      <c r="D8962" s="737">
        <v>-20000</v>
      </c>
      <c r="E8962" s="207">
        <v>45627</v>
      </c>
      <c r="F8962" s="206" t="s">
        <v>207</v>
      </c>
      <c r="G8962" s="206" t="s">
        <v>207</v>
      </c>
      <c r="H8962" s="206" t="s">
        <v>138</v>
      </c>
      <c r="I8962" s="206" t="s">
        <v>2052</v>
      </c>
    </row>
    <row r="8963" spans="1:9" ht="15" hidden="1" customHeight="1">
      <c r="A8963" s="205">
        <v>45622</v>
      </c>
      <c r="B8963" s="208" t="s">
        <v>7055</v>
      </c>
      <c r="C8963" s="206" t="s">
        <v>146</v>
      </c>
      <c r="D8963" s="737">
        <v>-69000</v>
      </c>
      <c r="E8963" s="207">
        <v>45627</v>
      </c>
      <c r="F8963" s="206" t="s">
        <v>207</v>
      </c>
      <c r="G8963" s="206" t="s">
        <v>207</v>
      </c>
      <c r="H8963" s="206" t="s">
        <v>852</v>
      </c>
      <c r="I8963" s="206" t="s">
        <v>2052</v>
      </c>
    </row>
    <row r="8964" spans="1:9" ht="15" hidden="1" customHeight="1">
      <c r="A8964" s="205">
        <v>45623</v>
      </c>
      <c r="B8964" s="208" t="s">
        <v>7056</v>
      </c>
      <c r="C8964" s="206" t="s">
        <v>146</v>
      </c>
      <c r="D8964" s="211">
        <v>-20000</v>
      </c>
      <c r="E8964" s="207">
        <v>45627</v>
      </c>
      <c r="F8964" s="206" t="s">
        <v>130</v>
      </c>
      <c r="G8964" s="206" t="s">
        <v>257</v>
      </c>
      <c r="H8964" s="206" t="s">
        <v>6929</v>
      </c>
      <c r="I8964" s="206" t="s">
        <v>7057</v>
      </c>
    </row>
    <row r="8965" spans="1:9" ht="15" hidden="1" customHeight="1">
      <c r="A8965" s="205">
        <v>45623</v>
      </c>
      <c r="B8965" s="208" t="s">
        <v>7056</v>
      </c>
      <c r="C8965" s="206" t="s">
        <v>146</v>
      </c>
      <c r="D8965" s="211">
        <v>-20000</v>
      </c>
      <c r="E8965" s="207">
        <v>45627</v>
      </c>
      <c r="F8965" s="206" t="s">
        <v>130</v>
      </c>
      <c r="G8965" s="206" t="s">
        <v>257</v>
      </c>
      <c r="H8965" s="206" t="s">
        <v>6929</v>
      </c>
      <c r="I8965" s="206" t="s">
        <v>7057</v>
      </c>
    </row>
    <row r="8966" spans="1:9" ht="15" hidden="1" customHeight="1">
      <c r="A8966" s="205">
        <v>45623</v>
      </c>
      <c r="B8966" s="208" t="s">
        <v>7058</v>
      </c>
      <c r="C8966" s="206" t="s">
        <v>146</v>
      </c>
      <c r="D8966" s="211">
        <v>-54000</v>
      </c>
      <c r="E8966" s="207">
        <v>45627</v>
      </c>
      <c r="F8966" s="206" t="s">
        <v>130</v>
      </c>
      <c r="G8966" s="206" t="s">
        <v>257</v>
      </c>
      <c r="H8966" s="206" t="s">
        <v>6929</v>
      </c>
      <c r="I8966" s="206" t="s">
        <v>7057</v>
      </c>
    </row>
    <row r="8967" spans="1:9" ht="15" hidden="1" customHeight="1">
      <c r="A8967" s="205">
        <v>45623</v>
      </c>
      <c r="B8967" s="208" t="s">
        <v>7059</v>
      </c>
      <c r="C8967" s="206" t="s">
        <v>146</v>
      </c>
      <c r="D8967" s="211">
        <v>-28000</v>
      </c>
      <c r="E8967" s="207">
        <v>45627</v>
      </c>
      <c r="F8967" s="206" t="s">
        <v>130</v>
      </c>
      <c r="G8967" s="206" t="s">
        <v>257</v>
      </c>
      <c r="H8967" s="262" t="s">
        <v>303</v>
      </c>
      <c r="I8967" s="206"/>
    </row>
    <row r="8968" spans="1:9" ht="15" hidden="1" customHeight="1">
      <c r="A8968" s="205">
        <v>45631</v>
      </c>
      <c r="B8968" s="208" t="s">
        <v>7060</v>
      </c>
      <c r="C8968" s="206" t="s">
        <v>146</v>
      </c>
      <c r="D8968" s="211">
        <v>-18700</v>
      </c>
      <c r="E8968" s="207">
        <v>45627</v>
      </c>
      <c r="F8968" s="206" t="s">
        <v>130</v>
      </c>
      <c r="G8968" s="206" t="s">
        <v>257</v>
      </c>
      <c r="H8968" s="206" t="s">
        <v>6929</v>
      </c>
      <c r="I8968" s="206"/>
    </row>
    <row r="8969" spans="1:9" ht="15" hidden="1" customHeight="1">
      <c r="A8969" s="205">
        <v>45629</v>
      </c>
      <c r="B8969" s="208" t="s">
        <v>7061</v>
      </c>
      <c r="C8969" s="206" t="s">
        <v>146</v>
      </c>
      <c r="D8969" s="211">
        <v>-59900</v>
      </c>
      <c r="E8969" s="207">
        <v>45627</v>
      </c>
      <c r="F8969" s="206" t="s">
        <v>130</v>
      </c>
      <c r="G8969" s="206" t="s">
        <v>257</v>
      </c>
      <c r="H8969" s="262" t="s">
        <v>303</v>
      </c>
      <c r="I8969" s="206"/>
    </row>
    <row r="8970" spans="1:9" ht="15" hidden="1" customHeight="1">
      <c r="A8970" s="205">
        <v>45630</v>
      </c>
      <c r="B8970" s="208" t="s">
        <v>7062</v>
      </c>
      <c r="C8970" s="206" t="s">
        <v>146</v>
      </c>
      <c r="D8970" s="211">
        <v>-14000</v>
      </c>
      <c r="E8970" s="207">
        <v>45627</v>
      </c>
      <c r="F8970" s="206" t="s">
        <v>130</v>
      </c>
      <c r="G8970" s="206" t="s">
        <v>130</v>
      </c>
      <c r="H8970" s="206" t="s">
        <v>6929</v>
      </c>
      <c r="I8970" s="206"/>
    </row>
    <row r="8971" spans="1:9" ht="15" hidden="1" customHeight="1">
      <c r="A8971" s="205">
        <v>45631</v>
      </c>
      <c r="B8971" s="208" t="s">
        <v>7063</v>
      </c>
      <c r="C8971" s="206" t="s">
        <v>146</v>
      </c>
      <c r="D8971" s="737">
        <v>-36500</v>
      </c>
      <c r="E8971" s="207">
        <v>45627</v>
      </c>
      <c r="F8971" s="206" t="s">
        <v>109</v>
      </c>
      <c r="G8971" s="206" t="s">
        <v>6994</v>
      </c>
      <c r="H8971" s="206" t="s">
        <v>6134</v>
      </c>
      <c r="I8971" s="206"/>
    </row>
    <row r="8972" spans="1:9" ht="15" hidden="1" customHeight="1">
      <c r="A8972" s="205">
        <v>45629</v>
      </c>
      <c r="B8972" s="208" t="s">
        <v>7064</v>
      </c>
      <c r="C8972" s="206" t="s">
        <v>146</v>
      </c>
      <c r="D8972" s="737">
        <v>-464000</v>
      </c>
      <c r="E8972" s="207">
        <v>45627</v>
      </c>
      <c r="F8972" s="206" t="s">
        <v>109</v>
      </c>
      <c r="G8972" s="206" t="s">
        <v>120</v>
      </c>
      <c r="H8972" s="206" t="s">
        <v>6134</v>
      </c>
      <c r="I8972" s="206"/>
    </row>
    <row r="8973" spans="1:9" ht="15" hidden="1" customHeight="1">
      <c r="A8973" s="205">
        <v>45631</v>
      </c>
      <c r="B8973" s="208" t="s">
        <v>7065</v>
      </c>
      <c r="C8973" s="206" t="s">
        <v>146</v>
      </c>
      <c r="D8973" s="737">
        <v>-56000</v>
      </c>
      <c r="E8973" s="207">
        <v>45627</v>
      </c>
      <c r="F8973" s="206" t="s">
        <v>109</v>
      </c>
      <c r="G8973" s="206" t="s">
        <v>4986</v>
      </c>
      <c r="H8973" s="206" t="s">
        <v>6929</v>
      </c>
      <c r="I8973" s="206"/>
    </row>
    <row r="8974" spans="1:9" ht="15" hidden="1" customHeight="1">
      <c r="A8974" s="205">
        <v>45631</v>
      </c>
      <c r="B8974" s="208" t="s">
        <v>7065</v>
      </c>
      <c r="C8974" s="206" t="s">
        <v>146</v>
      </c>
      <c r="D8974" s="737">
        <v>-49000</v>
      </c>
      <c r="E8974" s="207">
        <v>45627</v>
      </c>
      <c r="F8974" s="206" t="s">
        <v>110</v>
      </c>
      <c r="G8974" s="206" t="s">
        <v>5469</v>
      </c>
      <c r="H8974" s="81" t="s">
        <v>138</v>
      </c>
      <c r="I8974" s="206"/>
    </row>
    <row r="8975" spans="1:9" ht="15" hidden="1" customHeight="1">
      <c r="A8975" s="205">
        <v>45631</v>
      </c>
      <c r="B8975" s="208" t="s">
        <v>7065</v>
      </c>
      <c r="C8975" s="206" t="s">
        <v>146</v>
      </c>
      <c r="D8975" s="737">
        <v>-26000</v>
      </c>
      <c r="E8975" s="207">
        <v>45627</v>
      </c>
      <c r="F8975" s="206" t="s">
        <v>109</v>
      </c>
      <c r="G8975" s="206" t="s">
        <v>4225</v>
      </c>
      <c r="H8975" s="206" t="s">
        <v>6929</v>
      </c>
      <c r="I8975" s="206"/>
    </row>
    <row r="8976" spans="1:9" ht="15" hidden="1" customHeight="1">
      <c r="A8976" s="205">
        <v>45631</v>
      </c>
      <c r="B8976" s="208" t="s">
        <v>7065</v>
      </c>
      <c r="C8976" s="206" t="s">
        <v>146</v>
      </c>
      <c r="D8976" s="737">
        <v>-19000</v>
      </c>
      <c r="E8976" s="207">
        <v>45627</v>
      </c>
      <c r="F8976" s="206" t="s">
        <v>110</v>
      </c>
      <c r="G8976" s="206" t="s">
        <v>4990</v>
      </c>
      <c r="H8976" s="206" t="s">
        <v>6929</v>
      </c>
      <c r="I8976" s="206"/>
    </row>
    <row r="8977" spans="1:9" ht="15" hidden="1" customHeight="1">
      <c r="A8977" s="205">
        <v>45631</v>
      </c>
      <c r="B8977" s="208" t="s">
        <v>7065</v>
      </c>
      <c r="C8977" s="206" t="s">
        <v>146</v>
      </c>
      <c r="D8977" s="737">
        <v>-73244</v>
      </c>
      <c r="E8977" s="207">
        <v>45627</v>
      </c>
      <c r="F8977" s="206" t="s">
        <v>109</v>
      </c>
      <c r="G8977" s="206" t="s">
        <v>6994</v>
      </c>
      <c r="H8977" s="206" t="s">
        <v>6266</v>
      </c>
      <c r="I8977" s="206"/>
    </row>
    <row r="8978" spans="1:9" ht="15" hidden="1" customHeight="1">
      <c r="A8978" s="205">
        <v>45631</v>
      </c>
      <c r="B8978" s="208" t="s">
        <v>7065</v>
      </c>
      <c r="C8978" s="206" t="s">
        <v>146</v>
      </c>
      <c r="D8978" s="211">
        <v>-14000</v>
      </c>
      <c r="E8978" s="207">
        <v>45627</v>
      </c>
      <c r="F8978" s="206" t="s">
        <v>130</v>
      </c>
      <c r="G8978" s="206" t="s">
        <v>130</v>
      </c>
      <c r="H8978" s="206" t="s">
        <v>6929</v>
      </c>
      <c r="I8978" s="206"/>
    </row>
    <row r="8979" spans="1:9" ht="15" hidden="1" customHeight="1">
      <c r="A8979" s="205">
        <v>45631</v>
      </c>
      <c r="B8979" s="208" t="s">
        <v>7066</v>
      </c>
      <c r="C8979" s="206" t="s">
        <v>4314</v>
      </c>
      <c r="D8979" s="211">
        <v>-2410</v>
      </c>
      <c r="E8979" s="207">
        <v>45627</v>
      </c>
      <c r="F8979" s="206" t="s">
        <v>109</v>
      </c>
      <c r="G8979" s="206" t="s">
        <v>6994</v>
      </c>
      <c r="H8979" s="206" t="s">
        <v>6929</v>
      </c>
      <c r="I8979" s="206"/>
    </row>
    <row r="8980" spans="1:9" ht="15" hidden="1" customHeight="1">
      <c r="A8980" s="205">
        <v>45631</v>
      </c>
      <c r="B8980" s="208" t="s">
        <v>7067</v>
      </c>
      <c r="C8980" s="206" t="s">
        <v>4314</v>
      </c>
      <c r="D8980" s="211">
        <v>-1446</v>
      </c>
      <c r="E8980" s="207">
        <v>45627</v>
      </c>
      <c r="F8980" s="206" t="s">
        <v>109</v>
      </c>
      <c r="G8980" s="206" t="s">
        <v>6994</v>
      </c>
      <c r="H8980" s="206" t="s">
        <v>6929</v>
      </c>
      <c r="I8980" s="206"/>
    </row>
    <row r="8981" spans="1:9" ht="15" hidden="1" customHeight="1">
      <c r="A8981" s="205">
        <v>45628</v>
      </c>
      <c r="B8981" s="208" t="s">
        <v>6275</v>
      </c>
      <c r="C8981" s="206" t="s">
        <v>146</v>
      </c>
      <c r="D8981" s="737">
        <v>-15200</v>
      </c>
      <c r="E8981" s="207">
        <v>45627</v>
      </c>
      <c r="F8981" s="206" t="s">
        <v>110</v>
      </c>
      <c r="G8981" s="206" t="s">
        <v>5469</v>
      </c>
      <c r="H8981" s="206" t="s">
        <v>2941</v>
      </c>
      <c r="I8981" s="206" t="s">
        <v>5430</v>
      </c>
    </row>
    <row r="8982" spans="1:9" ht="15" hidden="1" customHeight="1">
      <c r="A8982" s="205">
        <v>45628</v>
      </c>
      <c r="B8982" s="208" t="s">
        <v>7068</v>
      </c>
      <c r="C8982" s="206" t="s">
        <v>146</v>
      </c>
      <c r="D8982" s="737">
        <v>-159499.62</v>
      </c>
      <c r="E8982" s="207">
        <v>45627</v>
      </c>
      <c r="F8982" s="206" t="s">
        <v>109</v>
      </c>
      <c r="G8982" s="206" t="s">
        <v>4986</v>
      </c>
      <c r="H8982" s="206" t="s">
        <v>2941</v>
      </c>
      <c r="I8982" s="206" t="s">
        <v>5430</v>
      </c>
    </row>
    <row r="8983" spans="1:9" ht="15" hidden="1" customHeight="1">
      <c r="A8983" s="205">
        <v>45628</v>
      </c>
      <c r="B8983" s="208" t="s">
        <v>7069</v>
      </c>
      <c r="C8983" s="206" t="s">
        <v>146</v>
      </c>
      <c r="D8983" s="737">
        <v>-11800</v>
      </c>
      <c r="E8983" s="207">
        <v>45627</v>
      </c>
      <c r="F8983" s="206" t="s">
        <v>109</v>
      </c>
      <c r="G8983" s="206" t="s">
        <v>4986</v>
      </c>
      <c r="H8983" s="206" t="s">
        <v>2941</v>
      </c>
      <c r="I8983" s="206" t="s">
        <v>5430</v>
      </c>
    </row>
    <row r="8984" spans="1:9" ht="15" hidden="1" customHeight="1">
      <c r="A8984" s="205">
        <v>45628</v>
      </c>
      <c r="B8984" s="208" t="s">
        <v>7070</v>
      </c>
      <c r="C8984" s="206" t="s">
        <v>146</v>
      </c>
      <c r="D8984" s="211">
        <v>-10000</v>
      </c>
      <c r="E8984" s="207">
        <v>45627</v>
      </c>
      <c r="F8984" s="206" t="s">
        <v>130</v>
      </c>
      <c r="G8984" s="206" t="s">
        <v>130</v>
      </c>
      <c r="H8984" s="206" t="s">
        <v>2444</v>
      </c>
      <c r="I8984" s="206" t="s">
        <v>5430</v>
      </c>
    </row>
    <row r="8985" spans="1:9" ht="15" hidden="1" customHeight="1">
      <c r="A8985" s="205">
        <v>45628</v>
      </c>
      <c r="B8985" s="208" t="s">
        <v>6275</v>
      </c>
      <c r="C8985" s="206" t="s">
        <v>146</v>
      </c>
      <c r="D8985" s="211">
        <v>-15200</v>
      </c>
      <c r="E8985" s="207">
        <v>45627</v>
      </c>
      <c r="F8985" s="206" t="s">
        <v>130</v>
      </c>
      <c r="G8985" s="206" t="s">
        <v>130</v>
      </c>
      <c r="H8985" s="206" t="s">
        <v>2444</v>
      </c>
      <c r="I8985" s="206" t="s">
        <v>5430</v>
      </c>
    </row>
    <row r="8986" spans="1:9" ht="15" hidden="1" customHeight="1">
      <c r="A8986" s="205">
        <v>45628</v>
      </c>
      <c r="B8986" s="208" t="s">
        <v>7071</v>
      </c>
      <c r="C8986" s="206" t="s">
        <v>146</v>
      </c>
      <c r="D8986" s="211">
        <v>-41500</v>
      </c>
      <c r="E8986" s="207">
        <v>45627</v>
      </c>
      <c r="F8986" s="206" t="s">
        <v>130</v>
      </c>
      <c r="G8986" s="206" t="s">
        <v>130</v>
      </c>
      <c r="H8986" s="206" t="s">
        <v>2444</v>
      </c>
      <c r="I8986" s="206" t="s">
        <v>5430</v>
      </c>
    </row>
    <row r="8987" spans="1:9" ht="15" hidden="1" customHeight="1">
      <c r="A8987" s="205">
        <v>45629</v>
      </c>
      <c r="B8987" s="208" t="s">
        <v>7072</v>
      </c>
      <c r="C8987" s="206" t="s">
        <v>146</v>
      </c>
      <c r="D8987" s="737">
        <v>-5000</v>
      </c>
      <c r="E8987" s="207">
        <v>45627</v>
      </c>
      <c r="F8987" s="206" t="s">
        <v>109</v>
      </c>
      <c r="G8987" s="206" t="s">
        <v>4986</v>
      </c>
      <c r="H8987" s="206" t="s">
        <v>2941</v>
      </c>
      <c r="I8987" s="206" t="s">
        <v>5430</v>
      </c>
    </row>
    <row r="8988" spans="1:9" ht="15" hidden="1" customHeight="1">
      <c r="A8988" s="205">
        <v>45629</v>
      </c>
      <c r="B8988" s="208" t="s">
        <v>6775</v>
      </c>
      <c r="C8988" s="206" t="s">
        <v>146</v>
      </c>
      <c r="D8988" s="737">
        <v>-7000</v>
      </c>
      <c r="E8988" s="207">
        <v>45627</v>
      </c>
      <c r="F8988" s="206" t="s">
        <v>109</v>
      </c>
      <c r="G8988" s="206" t="s">
        <v>4986</v>
      </c>
      <c r="H8988" s="206" t="s">
        <v>138</v>
      </c>
      <c r="I8988" s="206" t="s">
        <v>5430</v>
      </c>
    </row>
    <row r="8989" spans="1:9" ht="15" hidden="1" customHeight="1">
      <c r="A8989" s="205">
        <v>45629</v>
      </c>
      <c r="B8989" s="208" t="s">
        <v>7073</v>
      </c>
      <c r="C8989" s="206" t="s">
        <v>146</v>
      </c>
      <c r="D8989" s="737">
        <v>-10000</v>
      </c>
      <c r="E8989" s="207">
        <v>45627</v>
      </c>
      <c r="F8989" s="206" t="s">
        <v>110</v>
      </c>
      <c r="G8989" s="206" t="s">
        <v>5503</v>
      </c>
      <c r="H8989" s="206" t="s">
        <v>416</v>
      </c>
      <c r="I8989" s="206" t="s">
        <v>5430</v>
      </c>
    </row>
    <row r="8990" spans="1:9" ht="15" hidden="1" customHeight="1">
      <c r="A8990" s="205">
        <v>45630</v>
      </c>
      <c r="B8990" s="208" t="s">
        <v>7074</v>
      </c>
      <c r="C8990" s="206" t="s">
        <v>146</v>
      </c>
      <c r="D8990" s="737">
        <v>-22600</v>
      </c>
      <c r="E8990" s="207">
        <v>45627</v>
      </c>
      <c r="F8990" s="206" t="s">
        <v>109</v>
      </c>
      <c r="G8990" s="206" t="s">
        <v>4986</v>
      </c>
      <c r="H8990" s="206" t="s">
        <v>2941</v>
      </c>
      <c r="I8990" s="206" t="s">
        <v>5430</v>
      </c>
    </row>
    <row r="8991" spans="1:9" ht="15" hidden="1" customHeight="1">
      <c r="A8991" s="205">
        <v>45630</v>
      </c>
      <c r="B8991" s="208" t="s">
        <v>7075</v>
      </c>
      <c r="C8991" s="206" t="s">
        <v>146</v>
      </c>
      <c r="D8991" s="211">
        <v>-105000</v>
      </c>
      <c r="E8991" s="207">
        <v>45627</v>
      </c>
      <c r="F8991" s="206" t="s">
        <v>130</v>
      </c>
      <c r="G8991" s="206" t="s">
        <v>130</v>
      </c>
      <c r="H8991" s="206" t="s">
        <v>2444</v>
      </c>
      <c r="I8991" s="206" t="s">
        <v>5430</v>
      </c>
    </row>
    <row r="8992" spans="1:9" ht="15" hidden="1" customHeight="1">
      <c r="A8992" s="205">
        <v>45630</v>
      </c>
      <c r="B8992" s="208" t="s">
        <v>7076</v>
      </c>
      <c r="C8992" s="206" t="s">
        <v>146</v>
      </c>
      <c r="D8992" s="737">
        <v>-7500</v>
      </c>
      <c r="E8992" s="207">
        <v>45627</v>
      </c>
      <c r="F8992" s="206" t="s">
        <v>110</v>
      </c>
      <c r="G8992" s="206" t="s">
        <v>5469</v>
      </c>
      <c r="H8992" s="206" t="s">
        <v>2941</v>
      </c>
      <c r="I8992" s="206" t="s">
        <v>5430</v>
      </c>
    </row>
    <row r="8993" spans="1:9" ht="15" hidden="1" customHeight="1">
      <c r="A8993" s="205">
        <v>45632</v>
      </c>
      <c r="B8993" s="208" t="s">
        <v>7077</v>
      </c>
      <c r="C8993" s="206" t="s">
        <v>146</v>
      </c>
      <c r="D8993" s="718">
        <v>-42000</v>
      </c>
      <c r="E8993" s="207">
        <v>45627</v>
      </c>
      <c r="F8993" s="206" t="s">
        <v>110</v>
      </c>
      <c r="G8993" s="206" t="s">
        <v>4294</v>
      </c>
      <c r="H8993" s="206" t="s">
        <v>138</v>
      </c>
      <c r="I8993" s="720" t="s">
        <v>5410</v>
      </c>
    </row>
    <row r="8994" spans="1:9" ht="15" hidden="1" customHeight="1">
      <c r="A8994" s="205">
        <v>45632</v>
      </c>
      <c r="B8994" s="208" t="s">
        <v>7077</v>
      </c>
      <c r="C8994" s="206" t="s">
        <v>146</v>
      </c>
      <c r="D8994" s="718">
        <v>-54000</v>
      </c>
      <c r="E8994" s="207">
        <v>45627</v>
      </c>
      <c r="F8994" s="206" t="s">
        <v>110</v>
      </c>
      <c r="G8994" s="206" t="s">
        <v>5469</v>
      </c>
      <c r="H8994" s="81" t="s">
        <v>138</v>
      </c>
      <c r="I8994" s="206"/>
    </row>
    <row r="8995" spans="1:9" ht="15" hidden="1" customHeight="1">
      <c r="A8995" s="205">
        <v>45632</v>
      </c>
      <c r="B8995" s="208" t="s">
        <v>7077</v>
      </c>
      <c r="C8995" s="206" t="s">
        <v>146</v>
      </c>
      <c r="D8995" s="211">
        <v>-21000</v>
      </c>
      <c r="E8995" s="207">
        <v>45627</v>
      </c>
      <c r="F8995" s="206" t="s">
        <v>130</v>
      </c>
      <c r="G8995" s="206" t="s">
        <v>130</v>
      </c>
      <c r="H8995" s="206" t="s">
        <v>138</v>
      </c>
      <c r="I8995" s="206"/>
    </row>
    <row r="8996" spans="1:9" ht="15" hidden="1" customHeight="1">
      <c r="A8996" s="205">
        <v>45629</v>
      </c>
      <c r="B8996" s="208" t="s">
        <v>7078</v>
      </c>
      <c r="C8996" s="206" t="s">
        <v>146</v>
      </c>
      <c r="D8996" s="211">
        <v>-60000</v>
      </c>
      <c r="E8996" s="207">
        <v>45627</v>
      </c>
      <c r="F8996" s="206" t="s">
        <v>130</v>
      </c>
      <c r="G8996" s="206" t="s">
        <v>257</v>
      </c>
      <c r="H8996" s="206" t="s">
        <v>6929</v>
      </c>
      <c r="I8996" s="206" t="s">
        <v>7079</v>
      </c>
    </row>
    <row r="8997" spans="1:9" ht="15" hidden="1" customHeight="1">
      <c r="A8997" s="205">
        <v>45629</v>
      </c>
      <c r="B8997" s="208" t="s">
        <v>7080</v>
      </c>
      <c r="C8997" s="206" t="s">
        <v>146</v>
      </c>
      <c r="D8997" s="211">
        <v>-14800</v>
      </c>
      <c r="E8997" s="207">
        <v>45627</v>
      </c>
      <c r="F8997" s="206" t="s">
        <v>130</v>
      </c>
      <c r="G8997" s="206" t="s">
        <v>257</v>
      </c>
      <c r="H8997" s="262" t="s">
        <v>1138</v>
      </c>
      <c r="I8997" s="206" t="s">
        <v>7079</v>
      </c>
    </row>
    <row r="8998" spans="1:9" ht="15" hidden="1" customHeight="1">
      <c r="A8998" s="205">
        <v>45629</v>
      </c>
      <c r="B8998" s="208" t="s">
        <v>7081</v>
      </c>
      <c r="C8998" s="206" t="s">
        <v>146</v>
      </c>
      <c r="D8998" s="211">
        <v>-49400</v>
      </c>
      <c r="E8998" s="207">
        <v>45627</v>
      </c>
      <c r="F8998" s="206" t="s">
        <v>130</v>
      </c>
      <c r="G8998" s="206" t="s">
        <v>257</v>
      </c>
      <c r="H8998" s="262" t="s">
        <v>303</v>
      </c>
      <c r="I8998" s="206" t="s">
        <v>7079</v>
      </c>
    </row>
    <row r="8999" spans="1:9" ht="15" hidden="1" customHeight="1">
      <c r="A8999" s="205">
        <v>45629</v>
      </c>
      <c r="B8999" s="208" t="s">
        <v>7081</v>
      </c>
      <c r="C8999" s="206" t="s">
        <v>146</v>
      </c>
      <c r="D8999" s="211">
        <v>-24900</v>
      </c>
      <c r="E8999" s="207">
        <v>45627</v>
      </c>
      <c r="F8999" s="206" t="s">
        <v>130</v>
      </c>
      <c r="G8999" s="206" t="s">
        <v>257</v>
      </c>
      <c r="H8999" s="262" t="s">
        <v>303</v>
      </c>
      <c r="I8999" s="206" t="s">
        <v>7079</v>
      </c>
    </row>
    <row r="9000" spans="1:9" ht="15" hidden="1" customHeight="1">
      <c r="A9000" s="205">
        <v>45629</v>
      </c>
      <c r="B9000" s="208" t="s">
        <v>7082</v>
      </c>
      <c r="C9000" s="206" t="s">
        <v>146</v>
      </c>
      <c r="D9000" s="211">
        <v>-14800</v>
      </c>
      <c r="E9000" s="207">
        <v>45627</v>
      </c>
      <c r="F9000" s="206" t="s">
        <v>130</v>
      </c>
      <c r="G9000" s="206" t="s">
        <v>257</v>
      </c>
      <c r="H9000" s="262" t="s">
        <v>1138</v>
      </c>
      <c r="I9000" s="206" t="s">
        <v>7079</v>
      </c>
    </row>
    <row r="9001" spans="1:9" ht="15" hidden="1" customHeight="1">
      <c r="A9001" s="205">
        <v>45622</v>
      </c>
      <c r="B9001" s="208" t="s">
        <v>7083</v>
      </c>
      <c r="C9001" s="206" t="s">
        <v>146</v>
      </c>
      <c r="D9001" s="211">
        <v>-16000</v>
      </c>
      <c r="E9001" s="207">
        <v>45627</v>
      </c>
      <c r="F9001" s="206" t="s">
        <v>130</v>
      </c>
      <c r="G9001" s="206" t="s">
        <v>257</v>
      </c>
      <c r="H9001" s="206" t="s">
        <v>6929</v>
      </c>
      <c r="I9001" s="206" t="s">
        <v>7079</v>
      </c>
    </row>
    <row r="9002" spans="1:9" ht="15" hidden="1" customHeight="1">
      <c r="A9002" s="205">
        <v>45622</v>
      </c>
      <c r="B9002" s="208" t="s">
        <v>7084</v>
      </c>
      <c r="C9002" s="206" t="s">
        <v>146</v>
      </c>
      <c r="D9002" s="211">
        <v>-6500</v>
      </c>
      <c r="E9002" s="207">
        <v>45627</v>
      </c>
      <c r="F9002" s="206" t="s">
        <v>130</v>
      </c>
      <c r="G9002" s="206" t="s">
        <v>257</v>
      </c>
      <c r="H9002" s="206" t="s">
        <v>6929</v>
      </c>
      <c r="I9002" s="206" t="s">
        <v>7079</v>
      </c>
    </row>
    <row r="9003" spans="1:9" ht="15" hidden="1" customHeight="1">
      <c r="A9003" s="205">
        <v>45622</v>
      </c>
      <c r="B9003" s="208" t="s">
        <v>7085</v>
      </c>
      <c r="C9003" s="206" t="s">
        <v>146</v>
      </c>
      <c r="D9003" s="211">
        <v>-6500</v>
      </c>
      <c r="E9003" s="207">
        <v>45627</v>
      </c>
      <c r="F9003" s="206" t="s">
        <v>130</v>
      </c>
      <c r="G9003" s="206" t="s">
        <v>257</v>
      </c>
      <c r="H9003" s="206" t="s">
        <v>6929</v>
      </c>
      <c r="I9003" s="206" t="s">
        <v>7079</v>
      </c>
    </row>
    <row r="9004" spans="1:9" ht="15" hidden="1" customHeight="1">
      <c r="A9004" s="205">
        <v>45622</v>
      </c>
      <c r="B9004" s="208" t="s">
        <v>7085</v>
      </c>
      <c r="C9004" s="206" t="s">
        <v>146</v>
      </c>
      <c r="D9004" s="211">
        <v>-6500</v>
      </c>
      <c r="E9004" s="207">
        <v>45627</v>
      </c>
      <c r="F9004" s="206" t="s">
        <v>130</v>
      </c>
      <c r="G9004" s="206" t="s">
        <v>257</v>
      </c>
      <c r="H9004" s="206" t="s">
        <v>6929</v>
      </c>
      <c r="I9004" s="206" t="s">
        <v>7079</v>
      </c>
    </row>
    <row r="9005" spans="1:9" ht="15" hidden="1" customHeight="1">
      <c r="A9005" s="205">
        <v>45622</v>
      </c>
      <c r="B9005" s="208" t="s">
        <v>7086</v>
      </c>
      <c r="C9005" s="206" t="s">
        <v>146</v>
      </c>
      <c r="D9005" s="211">
        <v>-16000</v>
      </c>
      <c r="E9005" s="207">
        <v>45627</v>
      </c>
      <c r="F9005" s="206" t="s">
        <v>130</v>
      </c>
      <c r="G9005" s="206" t="s">
        <v>257</v>
      </c>
      <c r="H9005" s="262" t="s">
        <v>303</v>
      </c>
      <c r="I9005" s="206" t="s">
        <v>7079</v>
      </c>
    </row>
    <row r="9006" spans="1:9" ht="15" hidden="1" customHeight="1">
      <c r="A9006" s="205">
        <v>45631</v>
      </c>
      <c r="B9006" s="208" t="s">
        <v>7087</v>
      </c>
      <c r="C9006" s="206" t="s">
        <v>146</v>
      </c>
      <c r="D9006" s="211">
        <v>-15000</v>
      </c>
      <c r="E9006" s="207">
        <v>45627</v>
      </c>
      <c r="F9006" s="206" t="s">
        <v>130</v>
      </c>
      <c r="G9006" s="206" t="s">
        <v>130</v>
      </c>
      <c r="H9006" s="206" t="s">
        <v>2724</v>
      </c>
      <c r="I9006" s="206"/>
    </row>
    <row r="9007" spans="1:9" s="209" customFormat="1" ht="15" hidden="1" customHeight="1">
      <c r="A9007" s="468">
        <v>45631</v>
      </c>
      <c r="B9007" s="208" t="s">
        <v>7088</v>
      </c>
      <c r="C9007" s="208" t="s">
        <v>27</v>
      </c>
      <c r="D9007" s="211">
        <v>-293467</v>
      </c>
      <c r="E9007" s="212">
        <v>45627</v>
      </c>
      <c r="F9007" s="208" t="s">
        <v>110</v>
      </c>
      <c r="G9007" s="208" t="s">
        <v>5469</v>
      </c>
      <c r="H9007" s="208" t="s">
        <v>2941</v>
      </c>
      <c r="I9007" s="208"/>
    </row>
    <row r="9008" spans="1:9" ht="15" hidden="1" customHeight="1">
      <c r="A9008" s="205">
        <v>45631</v>
      </c>
      <c r="B9008" s="208" t="s">
        <v>7089</v>
      </c>
      <c r="C9008" s="206" t="s">
        <v>27</v>
      </c>
      <c r="D9008" s="737">
        <v>-583125.44999999995</v>
      </c>
      <c r="E9008" s="207">
        <v>45627</v>
      </c>
      <c r="F9008" s="206" t="s">
        <v>109</v>
      </c>
      <c r="G9008" s="206" t="s">
        <v>6994</v>
      </c>
      <c r="H9008" s="206" t="s">
        <v>6973</v>
      </c>
      <c r="I9008" s="206"/>
    </row>
    <row r="9009" spans="1:9" ht="15" hidden="1" customHeight="1">
      <c r="A9009" s="205">
        <v>45631</v>
      </c>
      <c r="B9009" s="208" t="s">
        <v>7090</v>
      </c>
      <c r="C9009" s="206" t="s">
        <v>4314</v>
      </c>
      <c r="D9009" s="211">
        <v>-3657</v>
      </c>
      <c r="E9009" s="207">
        <v>45627</v>
      </c>
      <c r="F9009" s="206" t="s">
        <v>110</v>
      </c>
      <c r="G9009" s="206" t="s">
        <v>5469</v>
      </c>
      <c r="H9009" s="206" t="s">
        <v>2941</v>
      </c>
      <c r="I9009" s="206"/>
    </row>
    <row r="9010" spans="1:9" ht="15" hidden="1" customHeight="1">
      <c r="A9010" s="205">
        <v>45631</v>
      </c>
      <c r="B9010" s="208" t="s">
        <v>7091</v>
      </c>
      <c r="C9010" s="206" t="s">
        <v>4314</v>
      </c>
      <c r="D9010" s="211">
        <v>-1487</v>
      </c>
      <c r="E9010" s="207">
        <v>45627</v>
      </c>
      <c r="F9010" s="206" t="s">
        <v>109</v>
      </c>
      <c r="G9010" s="206" t="s">
        <v>6994</v>
      </c>
      <c r="I9010" s="206"/>
    </row>
    <row r="9011" spans="1:9" ht="15" hidden="1" customHeight="1">
      <c r="A9011" s="205">
        <v>45630</v>
      </c>
      <c r="B9011" s="208" t="s">
        <v>7092</v>
      </c>
      <c r="C9011" s="206" t="s">
        <v>27</v>
      </c>
      <c r="D9011" s="211">
        <v>-141891</v>
      </c>
      <c r="E9011" s="207">
        <v>45627</v>
      </c>
      <c r="F9011" s="206" t="s">
        <v>130</v>
      </c>
      <c r="G9011" s="206" t="s">
        <v>130</v>
      </c>
      <c r="H9011" s="206" t="s">
        <v>2444</v>
      </c>
      <c r="I9011" s="206"/>
    </row>
    <row r="9012" spans="1:9" ht="15" hidden="1" customHeight="1">
      <c r="A9012" s="205">
        <v>45630</v>
      </c>
      <c r="B9012" s="208" t="s">
        <v>7092</v>
      </c>
      <c r="C9012" s="206" t="s">
        <v>27</v>
      </c>
      <c r="D9012" s="211">
        <v>-6000</v>
      </c>
      <c r="E9012" s="207">
        <v>45627</v>
      </c>
      <c r="F9012" s="206" t="s">
        <v>130</v>
      </c>
      <c r="G9012" s="206" t="s">
        <v>130</v>
      </c>
      <c r="H9012" s="206" t="s">
        <v>2444</v>
      </c>
      <c r="I9012" s="206"/>
    </row>
    <row r="9013" spans="1:9" ht="15" customHeight="1">
      <c r="A9013" s="205">
        <v>45630</v>
      </c>
      <c r="B9013" s="208" t="s">
        <v>7093</v>
      </c>
      <c r="C9013" s="206" t="s">
        <v>27</v>
      </c>
      <c r="D9013" s="737">
        <v>-1685000</v>
      </c>
      <c r="E9013" s="207">
        <v>45627</v>
      </c>
      <c r="F9013" s="206" t="s">
        <v>109</v>
      </c>
      <c r="G9013" s="206" t="s">
        <v>2809</v>
      </c>
      <c r="H9013" s="206" t="s">
        <v>5483</v>
      </c>
      <c r="I9013" s="206"/>
    </row>
    <row r="9014" spans="1:9" ht="15" hidden="1" customHeight="1">
      <c r="A9014" s="205">
        <v>45631</v>
      </c>
      <c r="B9014" s="208" t="s">
        <v>7094</v>
      </c>
      <c r="C9014" s="206" t="s">
        <v>27</v>
      </c>
      <c r="D9014" s="737">
        <v>-493400</v>
      </c>
      <c r="E9014" s="207">
        <v>45627</v>
      </c>
      <c r="F9014" s="206" t="s">
        <v>109</v>
      </c>
      <c r="G9014" s="206" t="s">
        <v>5906</v>
      </c>
      <c r="H9014" s="206" t="s">
        <v>549</v>
      </c>
      <c r="I9014" s="206"/>
    </row>
    <row r="9015" spans="1:9" ht="15" hidden="1" customHeight="1">
      <c r="A9015" s="205">
        <v>45631</v>
      </c>
      <c r="B9015" s="208" t="s">
        <v>7095</v>
      </c>
      <c r="C9015" s="206" t="s">
        <v>27</v>
      </c>
      <c r="D9015" s="737">
        <v>-315336</v>
      </c>
      <c r="E9015" s="207">
        <v>45627</v>
      </c>
      <c r="F9015" s="206" t="s">
        <v>109</v>
      </c>
      <c r="G9015" s="206" t="s">
        <v>5911</v>
      </c>
      <c r="H9015" s="206" t="s">
        <v>585</v>
      </c>
      <c r="I9015" s="206"/>
    </row>
    <row r="9016" spans="1:9" ht="15" hidden="1" customHeight="1">
      <c r="A9016" s="205">
        <v>45631</v>
      </c>
      <c r="B9016" s="208" t="s">
        <v>7096</v>
      </c>
      <c r="C9016" s="206" t="s">
        <v>27</v>
      </c>
      <c r="D9016" s="737">
        <v>-315336</v>
      </c>
      <c r="E9016" s="207">
        <v>45627</v>
      </c>
      <c r="F9016" s="206" t="s">
        <v>109</v>
      </c>
      <c r="G9016" s="206" t="s">
        <v>5906</v>
      </c>
      <c r="H9016" s="206" t="s">
        <v>585</v>
      </c>
      <c r="I9016" s="206"/>
    </row>
    <row r="9017" spans="1:9" ht="15" hidden="1" customHeight="1">
      <c r="A9017" s="205">
        <v>45631</v>
      </c>
      <c r="B9017" s="208" t="s">
        <v>7097</v>
      </c>
      <c r="C9017" s="206" t="s">
        <v>27</v>
      </c>
      <c r="D9017" s="737">
        <v>-148500</v>
      </c>
      <c r="E9017" s="207">
        <v>45627</v>
      </c>
      <c r="F9017" s="206" t="s">
        <v>109</v>
      </c>
      <c r="G9017" s="206" t="s">
        <v>6994</v>
      </c>
      <c r="H9017" s="206" t="s">
        <v>6763</v>
      </c>
      <c r="I9017" s="206"/>
    </row>
    <row r="9018" spans="1:9" ht="15" hidden="1" customHeight="1">
      <c r="A9018" s="205">
        <v>45631</v>
      </c>
      <c r="B9018" s="208" t="s">
        <v>7097</v>
      </c>
      <c r="C9018" s="206" t="s">
        <v>27</v>
      </c>
      <c r="D9018" s="737">
        <v>-148500</v>
      </c>
      <c r="E9018" s="207">
        <v>45627</v>
      </c>
      <c r="F9018" s="206" t="s">
        <v>109</v>
      </c>
      <c r="G9018" s="206" t="s">
        <v>5990</v>
      </c>
      <c r="H9018" s="206" t="s">
        <v>6763</v>
      </c>
      <c r="I9018" s="206"/>
    </row>
    <row r="9019" spans="1:9" ht="15" hidden="1" customHeight="1">
      <c r="A9019" s="205">
        <v>45631</v>
      </c>
      <c r="B9019" s="208" t="s">
        <v>7098</v>
      </c>
      <c r="C9019" s="206" t="s">
        <v>4314</v>
      </c>
      <c r="D9019" s="211">
        <v>-3000</v>
      </c>
      <c r="E9019" s="207">
        <v>45627</v>
      </c>
      <c r="F9019" s="206" t="s">
        <v>109</v>
      </c>
      <c r="G9019" s="206" t="s">
        <v>6994</v>
      </c>
      <c r="I9019" s="206"/>
    </row>
    <row r="9020" spans="1:9" ht="15" hidden="1" customHeight="1">
      <c r="A9020" s="205">
        <v>45631</v>
      </c>
      <c r="B9020" s="208" t="s">
        <v>7099</v>
      </c>
      <c r="C9020" s="206" t="s">
        <v>27</v>
      </c>
      <c r="D9020" s="211">
        <v>-2600000</v>
      </c>
      <c r="E9020" s="207">
        <v>45627</v>
      </c>
      <c r="F9020" s="206" t="s">
        <v>130</v>
      </c>
      <c r="G9020" s="206" t="s">
        <v>130</v>
      </c>
      <c r="H9020" s="206" t="s">
        <v>360</v>
      </c>
      <c r="I9020" s="206"/>
    </row>
    <row r="9021" spans="1:9" ht="15" hidden="1" customHeight="1">
      <c r="A9021" s="205">
        <v>45631</v>
      </c>
      <c r="B9021" s="208" t="s">
        <v>7100</v>
      </c>
      <c r="C9021" s="206" t="s">
        <v>27</v>
      </c>
      <c r="D9021" s="737">
        <v>-50422286</v>
      </c>
      <c r="E9021" s="207">
        <v>45627</v>
      </c>
      <c r="F9021" s="206" t="s">
        <v>109</v>
      </c>
      <c r="G9021" s="206" t="s">
        <v>6974</v>
      </c>
      <c r="H9021" s="206" t="s">
        <v>6965</v>
      </c>
      <c r="I9021" s="206"/>
    </row>
    <row r="9022" spans="1:9" ht="15" hidden="1" customHeight="1">
      <c r="A9022" s="205">
        <v>45631</v>
      </c>
      <c r="B9022" s="208" t="s">
        <v>7100</v>
      </c>
      <c r="C9022" s="206" t="s">
        <v>27</v>
      </c>
      <c r="D9022" s="737">
        <v>-4639498</v>
      </c>
      <c r="E9022" s="207">
        <v>45627</v>
      </c>
      <c r="F9022" s="206" t="s">
        <v>109</v>
      </c>
      <c r="G9022" s="206" t="s">
        <v>6974</v>
      </c>
      <c r="H9022" s="206" t="s">
        <v>7101</v>
      </c>
      <c r="I9022" s="206"/>
    </row>
    <row r="9023" spans="1:9" ht="15" hidden="1" customHeight="1">
      <c r="A9023" s="205">
        <v>45631</v>
      </c>
      <c r="B9023" s="208" t="s">
        <v>7102</v>
      </c>
      <c r="C9023" s="206" t="s">
        <v>27</v>
      </c>
      <c r="D9023" s="737">
        <v>-4639498</v>
      </c>
      <c r="E9023" s="207">
        <v>45627</v>
      </c>
      <c r="F9023" s="206" t="s">
        <v>109</v>
      </c>
      <c r="G9023" s="206" t="s">
        <v>6954</v>
      </c>
      <c r="H9023" s="206" t="s">
        <v>7101</v>
      </c>
      <c r="I9023" s="206"/>
    </row>
    <row r="9024" spans="1:9" ht="15" hidden="1" customHeight="1">
      <c r="A9024" s="205">
        <v>45631</v>
      </c>
      <c r="B9024" s="208" t="s">
        <v>7103</v>
      </c>
      <c r="C9024" s="206" t="s">
        <v>27</v>
      </c>
      <c r="D9024" s="737">
        <v>-4639498</v>
      </c>
      <c r="E9024" s="207">
        <v>45627</v>
      </c>
      <c r="F9024" s="206" t="s">
        <v>109</v>
      </c>
      <c r="G9024" s="206" t="s">
        <v>5990</v>
      </c>
      <c r="H9024" s="206" t="s">
        <v>7101</v>
      </c>
      <c r="I9024" s="206"/>
    </row>
    <row r="9025" spans="1:9" ht="15" hidden="1" customHeight="1">
      <c r="A9025" s="205">
        <v>45631</v>
      </c>
      <c r="B9025" s="208" t="s">
        <v>7104</v>
      </c>
      <c r="C9025" s="206" t="s">
        <v>27</v>
      </c>
      <c r="D9025" s="737">
        <v>-20769225</v>
      </c>
      <c r="E9025" s="207">
        <v>45627</v>
      </c>
      <c r="F9025" s="206" t="s">
        <v>109</v>
      </c>
      <c r="G9025" s="206" t="s">
        <v>6903</v>
      </c>
      <c r="H9025" s="206" t="s">
        <v>418</v>
      </c>
      <c r="I9025" s="206"/>
    </row>
    <row r="9026" spans="1:9" ht="15" hidden="1" customHeight="1">
      <c r="A9026" s="205">
        <v>45631</v>
      </c>
      <c r="B9026" s="208" t="s">
        <v>7105</v>
      </c>
      <c r="C9026" s="206" t="s">
        <v>4314</v>
      </c>
      <c r="D9026" s="211">
        <v>-529475</v>
      </c>
      <c r="E9026" s="207">
        <v>45627</v>
      </c>
      <c r="F9026" s="206" t="s">
        <v>109</v>
      </c>
      <c r="G9026" s="206" t="s">
        <v>6903</v>
      </c>
      <c r="H9026" s="206" t="s">
        <v>418</v>
      </c>
      <c r="I9026" s="720" t="s">
        <v>5410</v>
      </c>
    </row>
    <row r="9027" spans="1:9" ht="15" hidden="1" customHeight="1">
      <c r="A9027" s="205">
        <v>45631</v>
      </c>
      <c r="B9027" s="208" t="s">
        <v>7106</v>
      </c>
      <c r="C9027" s="206" t="s">
        <v>27</v>
      </c>
      <c r="D9027" s="737">
        <v>-138040</v>
      </c>
      <c r="E9027" s="207">
        <v>45627</v>
      </c>
      <c r="F9027" s="206" t="s">
        <v>109</v>
      </c>
      <c r="G9027" s="206" t="s">
        <v>6994</v>
      </c>
      <c r="H9027" s="206" t="s">
        <v>6973</v>
      </c>
      <c r="I9027" s="206"/>
    </row>
    <row r="9028" spans="1:9" ht="15" hidden="1" customHeight="1">
      <c r="A9028" s="205">
        <v>45631</v>
      </c>
      <c r="B9028" s="208" t="s">
        <v>7107</v>
      </c>
      <c r="C9028" s="206" t="s">
        <v>27</v>
      </c>
      <c r="D9028" s="211">
        <v>-265080</v>
      </c>
      <c r="E9028" s="207">
        <v>45627</v>
      </c>
      <c r="F9028" s="206" t="s">
        <v>130</v>
      </c>
      <c r="G9028" s="206" t="s">
        <v>257</v>
      </c>
      <c r="H9028" s="206" t="s">
        <v>2272</v>
      </c>
      <c r="I9028" s="206"/>
    </row>
    <row r="9029" spans="1:9" ht="15" hidden="1" customHeight="1">
      <c r="A9029" s="205">
        <v>45631</v>
      </c>
      <c r="B9029" s="208" t="s">
        <v>7108</v>
      </c>
      <c r="C9029" s="206" t="s">
        <v>27</v>
      </c>
      <c r="D9029" s="737">
        <v>-39200</v>
      </c>
      <c r="E9029" s="207">
        <v>45627</v>
      </c>
      <c r="F9029" s="206" t="s">
        <v>109</v>
      </c>
      <c r="G9029" s="206" t="s">
        <v>6994</v>
      </c>
      <c r="H9029" s="206" t="s">
        <v>6134</v>
      </c>
      <c r="I9029" s="206"/>
    </row>
    <row r="9030" spans="1:9" ht="15" hidden="1" customHeight="1">
      <c r="A9030" s="205">
        <v>45631</v>
      </c>
      <c r="B9030" s="208" t="s">
        <v>7109</v>
      </c>
      <c r="C9030" s="206" t="s">
        <v>27</v>
      </c>
      <c r="D9030" s="737">
        <v>-39200</v>
      </c>
      <c r="E9030" s="207">
        <v>45627</v>
      </c>
      <c r="F9030" s="206" t="s">
        <v>109</v>
      </c>
      <c r="G9030" s="206" t="s">
        <v>6954</v>
      </c>
      <c r="H9030" s="206" t="s">
        <v>6134</v>
      </c>
      <c r="I9030" s="206"/>
    </row>
    <row r="9031" spans="1:9" ht="15" hidden="1" customHeight="1">
      <c r="A9031" s="205">
        <v>45631</v>
      </c>
      <c r="B9031" s="208" t="s">
        <v>7110</v>
      </c>
      <c r="C9031" s="206" t="s">
        <v>27</v>
      </c>
      <c r="D9031" s="737">
        <v>-39200</v>
      </c>
      <c r="E9031" s="207">
        <v>45627</v>
      </c>
      <c r="F9031" s="206" t="s">
        <v>109</v>
      </c>
      <c r="G9031" s="206" t="s">
        <v>5990</v>
      </c>
      <c r="H9031" s="206" t="s">
        <v>6134</v>
      </c>
      <c r="I9031" s="206"/>
    </row>
    <row r="9032" spans="1:9" ht="15" hidden="1" customHeight="1">
      <c r="A9032" s="205">
        <v>45631</v>
      </c>
      <c r="B9032" s="208" t="s">
        <v>7111</v>
      </c>
      <c r="C9032" s="206" t="s">
        <v>27</v>
      </c>
      <c r="D9032" s="737">
        <v>-839510</v>
      </c>
      <c r="E9032" s="207">
        <v>45627</v>
      </c>
      <c r="F9032" s="206" t="s">
        <v>109</v>
      </c>
      <c r="G9032" s="206" t="s">
        <v>6974</v>
      </c>
      <c r="H9032" s="206" t="s">
        <v>1463</v>
      </c>
      <c r="I9032" s="206"/>
    </row>
    <row r="9033" spans="1:9" ht="15" hidden="1" customHeight="1">
      <c r="A9033" s="205">
        <v>45631</v>
      </c>
      <c r="B9033" s="208" t="s">
        <v>7112</v>
      </c>
      <c r="C9033" s="206" t="s">
        <v>27</v>
      </c>
      <c r="D9033" s="737">
        <v>-825266</v>
      </c>
      <c r="E9033" s="207">
        <v>45627</v>
      </c>
      <c r="F9033" s="206" t="s">
        <v>109</v>
      </c>
      <c r="G9033" s="206" t="s">
        <v>5990</v>
      </c>
      <c r="H9033" s="206" t="s">
        <v>1463</v>
      </c>
      <c r="I9033" s="206"/>
    </row>
    <row r="9034" spans="1:9" ht="15" hidden="1" customHeight="1">
      <c r="A9034" s="205">
        <v>45631</v>
      </c>
      <c r="B9034" s="208" t="s">
        <v>7111</v>
      </c>
      <c r="C9034" s="206" t="s">
        <v>27</v>
      </c>
      <c r="D9034" s="737">
        <v>-2373987</v>
      </c>
      <c r="E9034" s="207">
        <v>45627</v>
      </c>
      <c r="F9034" s="206" t="s">
        <v>109</v>
      </c>
      <c r="G9034" s="206" t="s">
        <v>6974</v>
      </c>
      <c r="H9034" s="206" t="s">
        <v>1463</v>
      </c>
      <c r="I9034" s="206"/>
    </row>
    <row r="9035" spans="1:9" ht="15" hidden="1" customHeight="1">
      <c r="A9035" s="205">
        <v>45631</v>
      </c>
      <c r="B9035" s="208" t="s">
        <v>7112</v>
      </c>
      <c r="C9035" s="206" t="s">
        <v>27</v>
      </c>
      <c r="D9035" s="737">
        <v>-2350457</v>
      </c>
      <c r="E9035" s="207">
        <v>45627</v>
      </c>
      <c r="F9035" s="206" t="s">
        <v>109</v>
      </c>
      <c r="G9035" s="206" t="s">
        <v>5990</v>
      </c>
      <c r="H9035" s="206" t="s">
        <v>1463</v>
      </c>
      <c r="I9035" s="206"/>
    </row>
    <row r="9036" spans="1:9" ht="15" hidden="1" customHeight="1">
      <c r="A9036" s="205">
        <v>45631</v>
      </c>
      <c r="B9036" s="208" t="s">
        <v>7113</v>
      </c>
      <c r="C9036" s="206" t="s">
        <v>27</v>
      </c>
      <c r="D9036" s="737">
        <v>-194999</v>
      </c>
      <c r="E9036" s="207">
        <v>45627</v>
      </c>
      <c r="F9036" s="206" t="s">
        <v>109</v>
      </c>
      <c r="G9036" s="206" t="s">
        <v>6875</v>
      </c>
      <c r="H9036" s="206" t="s">
        <v>2941</v>
      </c>
      <c r="I9036" s="206"/>
    </row>
    <row r="9037" spans="1:9" ht="15" hidden="1" customHeight="1">
      <c r="A9037" s="205">
        <v>45631</v>
      </c>
      <c r="B9037" s="208" t="s">
        <v>7114</v>
      </c>
      <c r="C9037" s="206" t="s">
        <v>27</v>
      </c>
      <c r="D9037" s="211">
        <v>-2610000</v>
      </c>
      <c r="E9037" s="207">
        <v>45627</v>
      </c>
      <c r="F9037" s="206" t="s">
        <v>130</v>
      </c>
      <c r="G9037" s="206" t="s">
        <v>130</v>
      </c>
      <c r="H9037" s="206" t="s">
        <v>360</v>
      </c>
      <c r="I9037" s="206"/>
    </row>
    <row r="9038" spans="1:9" ht="15" hidden="1" customHeight="1">
      <c r="A9038" s="205">
        <v>45631</v>
      </c>
      <c r="B9038" s="208" t="s">
        <v>7115</v>
      </c>
      <c r="C9038" s="206" t="s">
        <v>4314</v>
      </c>
      <c r="D9038" s="211">
        <v>-290000</v>
      </c>
      <c r="E9038" s="207">
        <v>45627</v>
      </c>
      <c r="F9038" s="206" t="s">
        <v>130</v>
      </c>
      <c r="G9038" s="206" t="s">
        <v>130</v>
      </c>
      <c r="H9038" s="206" t="s">
        <v>360</v>
      </c>
      <c r="I9038" s="206"/>
    </row>
    <row r="9039" spans="1:9" ht="15" hidden="1" customHeight="1">
      <c r="A9039" s="205">
        <v>45631</v>
      </c>
      <c r="B9039" s="208" t="s">
        <v>7116</v>
      </c>
      <c r="C9039" s="206" t="s">
        <v>27</v>
      </c>
      <c r="D9039" s="737">
        <v>-200000</v>
      </c>
      <c r="E9039" s="207">
        <v>45627</v>
      </c>
      <c r="F9039" s="206" t="s">
        <v>109</v>
      </c>
      <c r="G9039" s="206" t="s">
        <v>6994</v>
      </c>
      <c r="H9039" s="206" t="s">
        <v>6134</v>
      </c>
      <c r="I9039" s="206"/>
    </row>
    <row r="9040" spans="1:9" ht="15" hidden="1" customHeight="1">
      <c r="A9040" s="205">
        <v>45631</v>
      </c>
      <c r="B9040" s="208" t="s">
        <v>7117</v>
      </c>
      <c r="C9040" s="206" t="s">
        <v>27</v>
      </c>
      <c r="D9040" s="737">
        <v>-200000</v>
      </c>
      <c r="E9040" s="207">
        <v>45627</v>
      </c>
      <c r="F9040" s="206" t="s">
        <v>109</v>
      </c>
      <c r="G9040" s="206" t="s">
        <v>6954</v>
      </c>
      <c r="H9040" s="206" t="s">
        <v>6134</v>
      </c>
      <c r="I9040" s="206"/>
    </row>
    <row r="9041" spans="1:9" ht="15" hidden="1" customHeight="1">
      <c r="A9041" s="205">
        <v>45622</v>
      </c>
      <c r="B9041" s="208" t="s">
        <v>3535</v>
      </c>
      <c r="C9041" s="206" t="s">
        <v>27</v>
      </c>
      <c r="D9041" s="211">
        <v>-47000</v>
      </c>
      <c r="E9041" s="207">
        <v>45627</v>
      </c>
      <c r="F9041" s="206" t="s">
        <v>130</v>
      </c>
      <c r="G9041" s="206" t="s">
        <v>257</v>
      </c>
      <c r="H9041" s="40" t="s">
        <v>303</v>
      </c>
      <c r="I9041" s="206" t="s">
        <v>6849</v>
      </c>
    </row>
    <row r="9042" spans="1:9" ht="15" hidden="1" customHeight="1">
      <c r="A9042" s="205">
        <v>45623</v>
      </c>
      <c r="B9042" s="208" t="s">
        <v>7118</v>
      </c>
      <c r="C9042" s="206" t="s">
        <v>27</v>
      </c>
      <c r="D9042" s="737">
        <v>-17000</v>
      </c>
      <c r="E9042" s="207">
        <v>45627</v>
      </c>
      <c r="F9042" s="206" t="s">
        <v>110</v>
      </c>
      <c r="G9042" s="206" t="s">
        <v>5503</v>
      </c>
      <c r="H9042" s="206" t="s">
        <v>2941</v>
      </c>
      <c r="I9042" s="206" t="s">
        <v>6849</v>
      </c>
    </row>
    <row r="9043" spans="1:9" ht="15" hidden="1" customHeight="1">
      <c r="A9043" s="205">
        <v>45623</v>
      </c>
      <c r="B9043" s="208" t="s">
        <v>7119</v>
      </c>
      <c r="C9043" s="206" t="s">
        <v>27</v>
      </c>
      <c r="D9043" s="737">
        <v>-142844</v>
      </c>
      <c r="E9043" s="207">
        <v>45627</v>
      </c>
      <c r="F9043" s="206" t="s">
        <v>110</v>
      </c>
      <c r="G9043" s="206" t="s">
        <v>5503</v>
      </c>
      <c r="H9043" s="206" t="s">
        <v>2941</v>
      </c>
      <c r="I9043" s="206" t="s">
        <v>6849</v>
      </c>
    </row>
    <row r="9044" spans="1:9" ht="15" hidden="1" customHeight="1">
      <c r="A9044" s="205">
        <v>45624</v>
      </c>
      <c r="B9044" s="208" t="s">
        <v>7120</v>
      </c>
      <c r="C9044" s="206" t="s">
        <v>27</v>
      </c>
      <c r="D9044" s="737">
        <v>-49043</v>
      </c>
      <c r="E9044" s="207">
        <v>45627</v>
      </c>
      <c r="F9044" s="206" t="s">
        <v>110</v>
      </c>
      <c r="G9044" s="206" t="s">
        <v>5503</v>
      </c>
      <c r="H9044" s="206" t="s">
        <v>2941</v>
      </c>
      <c r="I9044" s="206" t="s">
        <v>6849</v>
      </c>
    </row>
    <row r="9045" spans="1:9" ht="15" hidden="1" customHeight="1">
      <c r="A9045" s="205">
        <v>45624</v>
      </c>
      <c r="B9045" s="208" t="s">
        <v>7121</v>
      </c>
      <c r="C9045" s="206" t="s">
        <v>27</v>
      </c>
      <c r="D9045" s="737">
        <v>-6148</v>
      </c>
      <c r="E9045" s="207">
        <v>45627</v>
      </c>
      <c r="F9045" s="206" t="s">
        <v>110</v>
      </c>
      <c r="G9045" s="206" t="s">
        <v>5503</v>
      </c>
      <c r="H9045" s="206" t="s">
        <v>2941</v>
      </c>
      <c r="I9045" s="206" t="s">
        <v>6849</v>
      </c>
    </row>
    <row r="9046" spans="1:9" ht="15" hidden="1" customHeight="1">
      <c r="A9046" s="205">
        <v>45624</v>
      </c>
      <c r="B9046" s="208" t="s">
        <v>7122</v>
      </c>
      <c r="C9046" s="206" t="s">
        <v>27</v>
      </c>
      <c r="D9046" s="737">
        <v>-180000</v>
      </c>
      <c r="E9046" s="207">
        <v>45627</v>
      </c>
      <c r="F9046" s="206" t="s">
        <v>110</v>
      </c>
      <c r="G9046" s="206" t="s">
        <v>5503</v>
      </c>
      <c r="H9046" s="206" t="s">
        <v>1166</v>
      </c>
      <c r="I9046" s="206" t="s">
        <v>6849</v>
      </c>
    </row>
    <row r="9047" spans="1:9" ht="15" hidden="1" customHeight="1">
      <c r="A9047" s="205">
        <v>45625</v>
      </c>
      <c r="B9047" s="208" t="s">
        <v>7123</v>
      </c>
      <c r="C9047" s="206" t="s">
        <v>27</v>
      </c>
      <c r="D9047" s="737">
        <v>-190638</v>
      </c>
      <c r="E9047" s="207">
        <v>45627</v>
      </c>
      <c r="F9047" s="206" t="s">
        <v>110</v>
      </c>
      <c r="G9047" s="206" t="s">
        <v>5503</v>
      </c>
      <c r="H9047" s="206" t="s">
        <v>2941</v>
      </c>
      <c r="I9047" s="206" t="s">
        <v>6849</v>
      </c>
    </row>
    <row r="9048" spans="1:9" ht="15" hidden="1" customHeight="1">
      <c r="A9048" s="205">
        <v>45625</v>
      </c>
      <c r="B9048" s="208" t="s">
        <v>7124</v>
      </c>
      <c r="C9048" s="206" t="s">
        <v>27</v>
      </c>
      <c r="D9048" s="737">
        <v>-10000</v>
      </c>
      <c r="E9048" s="207">
        <v>45627</v>
      </c>
      <c r="F9048" s="206" t="s">
        <v>110</v>
      </c>
      <c r="G9048" s="206" t="s">
        <v>5503</v>
      </c>
      <c r="H9048" s="206" t="s">
        <v>2941</v>
      </c>
      <c r="I9048" s="206" t="s">
        <v>6849</v>
      </c>
    </row>
    <row r="9049" spans="1:9" ht="15" hidden="1" customHeight="1">
      <c r="A9049" s="205">
        <v>45625</v>
      </c>
      <c r="B9049" s="208" t="s">
        <v>7125</v>
      </c>
      <c r="C9049" s="206" t="s">
        <v>27</v>
      </c>
      <c r="D9049" s="737">
        <v>-3800</v>
      </c>
      <c r="E9049" s="207">
        <v>45627</v>
      </c>
      <c r="F9049" s="206" t="s">
        <v>110</v>
      </c>
      <c r="G9049" s="206" t="s">
        <v>5503</v>
      </c>
      <c r="H9049" s="206" t="s">
        <v>2941</v>
      </c>
      <c r="I9049" s="206" t="s">
        <v>6849</v>
      </c>
    </row>
    <row r="9050" spans="1:9" ht="15" hidden="1" customHeight="1">
      <c r="A9050" s="205">
        <v>45625</v>
      </c>
      <c r="B9050" s="208" t="s">
        <v>7126</v>
      </c>
      <c r="C9050" s="206" t="s">
        <v>27</v>
      </c>
      <c r="D9050" s="737">
        <v>-159600</v>
      </c>
      <c r="E9050" s="207">
        <v>45627</v>
      </c>
      <c r="F9050" s="206" t="s">
        <v>110</v>
      </c>
      <c r="G9050" s="206" t="s">
        <v>5503</v>
      </c>
      <c r="H9050" s="206" t="s">
        <v>1166</v>
      </c>
      <c r="I9050" s="206" t="s">
        <v>6849</v>
      </c>
    </row>
    <row r="9051" spans="1:9" ht="15" hidden="1" customHeight="1">
      <c r="A9051" s="205">
        <v>45625</v>
      </c>
      <c r="B9051" s="208" t="s">
        <v>7127</v>
      </c>
      <c r="C9051" s="206" t="s">
        <v>27</v>
      </c>
      <c r="D9051" s="737">
        <v>-98000</v>
      </c>
      <c r="E9051" s="207">
        <v>45627</v>
      </c>
      <c r="F9051" s="206" t="s">
        <v>110</v>
      </c>
      <c r="G9051" s="206" t="s">
        <v>5503</v>
      </c>
      <c r="H9051" s="206" t="s">
        <v>1166</v>
      </c>
      <c r="I9051" s="720" t="s">
        <v>5410</v>
      </c>
    </row>
    <row r="9052" spans="1:9" ht="15" hidden="1" customHeight="1">
      <c r="A9052" s="205">
        <v>45630</v>
      </c>
      <c r="B9052" s="208" t="s">
        <v>7128</v>
      </c>
      <c r="C9052" s="206" t="s">
        <v>27</v>
      </c>
      <c r="D9052" s="737">
        <v>-17367600</v>
      </c>
      <c r="E9052" s="207">
        <v>45627</v>
      </c>
      <c r="F9052" s="206" t="s">
        <v>109</v>
      </c>
      <c r="G9052" s="206" t="s">
        <v>5990</v>
      </c>
      <c r="H9052" s="206" t="s">
        <v>6979</v>
      </c>
      <c r="I9052" s="206"/>
    </row>
    <row r="9053" spans="1:9" ht="15" hidden="1" customHeight="1">
      <c r="A9053" s="205">
        <v>45630</v>
      </c>
      <c r="B9053" s="208" t="s">
        <v>7129</v>
      </c>
      <c r="C9053" s="206" t="s">
        <v>4314</v>
      </c>
      <c r="D9053" s="211">
        <v>-176500</v>
      </c>
      <c r="E9053" s="207">
        <v>45627</v>
      </c>
      <c r="F9053" s="206" t="s">
        <v>109</v>
      </c>
      <c r="G9053" s="206" t="s">
        <v>5990</v>
      </c>
      <c r="I9053" s="206"/>
    </row>
    <row r="9054" spans="1:9" ht="15" hidden="1" customHeight="1">
      <c r="A9054" s="205">
        <v>45630</v>
      </c>
      <c r="B9054" s="208" t="s">
        <v>7130</v>
      </c>
      <c r="C9054" s="206" t="s">
        <v>4314</v>
      </c>
      <c r="D9054" s="211">
        <v>-105900</v>
      </c>
      <c r="E9054" s="207">
        <v>45627</v>
      </c>
      <c r="F9054" s="206" t="s">
        <v>109</v>
      </c>
      <c r="G9054" s="206" t="s">
        <v>5990</v>
      </c>
      <c r="I9054" s="206"/>
    </row>
    <row r="9055" spans="1:9" ht="15" hidden="1" customHeight="1">
      <c r="A9055" s="205">
        <v>45630</v>
      </c>
      <c r="B9055" s="208" t="s">
        <v>7131</v>
      </c>
      <c r="C9055" s="206" t="s">
        <v>27</v>
      </c>
      <c r="D9055" s="211">
        <v>-1499000</v>
      </c>
      <c r="E9055" s="207">
        <v>45627</v>
      </c>
      <c r="F9055" s="206" t="s">
        <v>130</v>
      </c>
      <c r="G9055" s="206" t="s">
        <v>130</v>
      </c>
      <c r="H9055" s="206" t="s">
        <v>360</v>
      </c>
      <c r="I9055" s="206"/>
    </row>
    <row r="9056" spans="1:9" ht="15" hidden="1" customHeight="1">
      <c r="A9056" s="205">
        <v>45631</v>
      </c>
      <c r="B9056" s="208" t="s">
        <v>7132</v>
      </c>
      <c r="C9056" s="206" t="s">
        <v>27</v>
      </c>
      <c r="D9056" s="737">
        <v>-640000</v>
      </c>
      <c r="E9056" s="207">
        <v>45627</v>
      </c>
      <c r="F9056" s="206" t="s">
        <v>110</v>
      </c>
      <c r="G9056" s="206" t="s">
        <v>5469</v>
      </c>
      <c r="H9056" s="201" t="s">
        <v>363</v>
      </c>
      <c r="I9056" s="206"/>
    </row>
    <row r="9057" spans="1:9" ht="15" hidden="1" customHeight="1">
      <c r="A9057" s="205">
        <v>45631</v>
      </c>
      <c r="B9057" s="208" t="s">
        <v>7132</v>
      </c>
      <c r="C9057" s="206" t="s">
        <v>27</v>
      </c>
      <c r="D9057" s="737">
        <v>-340000</v>
      </c>
      <c r="E9057" s="207">
        <v>45627</v>
      </c>
      <c r="F9057" s="206" t="s">
        <v>110</v>
      </c>
      <c r="G9057" s="206" t="s">
        <v>5469</v>
      </c>
      <c r="H9057" s="201" t="s">
        <v>363</v>
      </c>
      <c r="I9057" s="206"/>
    </row>
    <row r="9058" spans="1:9" ht="15" hidden="1" customHeight="1">
      <c r="A9058" s="205">
        <v>45631</v>
      </c>
      <c r="B9058" s="208" t="s">
        <v>7133</v>
      </c>
      <c r="C9058" s="206" t="s">
        <v>27</v>
      </c>
      <c r="D9058" s="737">
        <v>-7532000</v>
      </c>
      <c r="E9058" s="207">
        <v>45627</v>
      </c>
      <c r="F9058" s="206" t="s">
        <v>109</v>
      </c>
      <c r="G9058" s="206" t="s">
        <v>6994</v>
      </c>
      <c r="H9058" s="206" t="s">
        <v>6667</v>
      </c>
      <c r="I9058" s="206"/>
    </row>
    <row r="9059" spans="1:9" ht="15" hidden="1" customHeight="1">
      <c r="A9059" s="205">
        <v>45631</v>
      </c>
      <c r="B9059" s="208" t="s">
        <v>7134</v>
      </c>
      <c r="C9059" s="206" t="s">
        <v>27</v>
      </c>
      <c r="D9059" s="737">
        <v>-4495000</v>
      </c>
      <c r="E9059" s="207">
        <v>45627</v>
      </c>
      <c r="F9059" s="206" t="s">
        <v>109</v>
      </c>
      <c r="G9059" s="206" t="s">
        <v>6954</v>
      </c>
      <c r="H9059" s="206" t="s">
        <v>6687</v>
      </c>
      <c r="I9059" s="206"/>
    </row>
    <row r="9060" spans="1:9" ht="15" hidden="1" customHeight="1">
      <c r="A9060" s="205">
        <v>45630</v>
      </c>
      <c r="B9060" s="208" t="s">
        <v>7135</v>
      </c>
      <c r="C9060" s="206" t="s">
        <v>27</v>
      </c>
      <c r="D9060" s="211">
        <v>-1707405</v>
      </c>
      <c r="E9060" s="207">
        <v>45627</v>
      </c>
      <c r="F9060" s="206" t="s">
        <v>130</v>
      </c>
      <c r="G9060" s="206" t="s">
        <v>130</v>
      </c>
      <c r="H9060" s="206" t="s">
        <v>2724</v>
      </c>
      <c r="I9060" s="206"/>
    </row>
    <row r="9061" spans="1:9" ht="15" hidden="1" customHeight="1">
      <c r="A9061" s="205">
        <v>45631</v>
      </c>
      <c r="B9061" s="208" t="s">
        <v>7136</v>
      </c>
      <c r="C9061" s="206" t="s">
        <v>27</v>
      </c>
      <c r="D9061" s="737">
        <v>-4954969</v>
      </c>
      <c r="E9061" s="207">
        <v>45627</v>
      </c>
      <c r="F9061" s="206" t="s">
        <v>109</v>
      </c>
      <c r="G9061" s="206" t="s">
        <v>5990</v>
      </c>
      <c r="H9061" s="206" t="s">
        <v>6763</v>
      </c>
      <c r="I9061" s="206"/>
    </row>
    <row r="9062" spans="1:9" ht="15" hidden="1" customHeight="1">
      <c r="A9062" s="205">
        <v>45631</v>
      </c>
      <c r="B9062" s="208" t="s">
        <v>7137</v>
      </c>
      <c r="C9062" s="206" t="s">
        <v>27</v>
      </c>
      <c r="D9062" s="737">
        <v>-1925000</v>
      </c>
      <c r="E9062" s="207">
        <v>45627</v>
      </c>
      <c r="F9062" s="206" t="s">
        <v>109</v>
      </c>
      <c r="G9062" s="206" t="s">
        <v>6994</v>
      </c>
      <c r="H9062" s="206" t="s">
        <v>6266</v>
      </c>
      <c r="I9062" s="206"/>
    </row>
    <row r="9063" spans="1:9" ht="15" hidden="1" customHeight="1">
      <c r="A9063" s="205">
        <v>45631</v>
      </c>
      <c r="B9063" s="208" t="s">
        <v>7138</v>
      </c>
      <c r="C9063" s="206" t="s">
        <v>27</v>
      </c>
      <c r="D9063" s="737">
        <v>-1925000</v>
      </c>
      <c r="E9063" s="207">
        <v>45627</v>
      </c>
      <c r="F9063" s="206" t="s">
        <v>109</v>
      </c>
      <c r="G9063" s="206" t="s">
        <v>6954</v>
      </c>
      <c r="H9063" s="206" t="s">
        <v>6266</v>
      </c>
      <c r="I9063" s="206"/>
    </row>
    <row r="9064" spans="1:9" ht="15" hidden="1" customHeight="1">
      <c r="A9064" s="205">
        <v>45632</v>
      </c>
      <c r="B9064" s="208" t="s">
        <v>7136</v>
      </c>
      <c r="C9064" s="206" t="s">
        <v>27</v>
      </c>
      <c r="D9064" s="737">
        <v>-4954971</v>
      </c>
      <c r="E9064" s="207">
        <v>45627</v>
      </c>
      <c r="F9064" s="206" t="s">
        <v>109</v>
      </c>
      <c r="G9064" s="206" t="s">
        <v>5990</v>
      </c>
      <c r="H9064" s="206" t="s">
        <v>6763</v>
      </c>
      <c r="I9064" s="206"/>
    </row>
    <row r="9065" spans="1:9" ht="15" hidden="1" customHeight="1">
      <c r="A9065" s="205">
        <v>45632</v>
      </c>
      <c r="B9065" s="208" t="s">
        <v>7137</v>
      </c>
      <c r="C9065" s="206" t="s">
        <v>27</v>
      </c>
      <c r="D9065" s="737">
        <v>-1925000</v>
      </c>
      <c r="E9065" s="207">
        <v>45627</v>
      </c>
      <c r="F9065" s="206" t="s">
        <v>109</v>
      </c>
      <c r="G9065" s="206" t="s">
        <v>6994</v>
      </c>
      <c r="H9065" s="206" t="s">
        <v>6266</v>
      </c>
      <c r="I9065" s="206"/>
    </row>
    <row r="9066" spans="1:9" ht="15" hidden="1" customHeight="1">
      <c r="A9066" s="205">
        <v>45632</v>
      </c>
      <c r="B9066" s="208" t="s">
        <v>7138</v>
      </c>
      <c r="C9066" s="206" t="s">
        <v>27</v>
      </c>
      <c r="D9066" s="737">
        <v>-1925000</v>
      </c>
      <c r="E9066" s="207">
        <v>45627</v>
      </c>
      <c r="F9066" s="206" t="s">
        <v>109</v>
      </c>
      <c r="G9066" s="206" t="s">
        <v>6954</v>
      </c>
      <c r="H9066" s="206" t="s">
        <v>6266</v>
      </c>
      <c r="I9066" s="206"/>
    </row>
    <row r="9067" spans="1:9" ht="15" hidden="1" customHeight="1">
      <c r="A9067" s="205">
        <v>45630</v>
      </c>
      <c r="B9067" s="208" t="s">
        <v>7139</v>
      </c>
      <c r="C9067" s="206" t="s">
        <v>27</v>
      </c>
      <c r="D9067" s="737">
        <v>-546805</v>
      </c>
      <c r="E9067" s="207">
        <v>45627</v>
      </c>
      <c r="F9067" s="206" t="s">
        <v>109</v>
      </c>
      <c r="G9067" s="206" t="s">
        <v>5911</v>
      </c>
      <c r="H9067" s="206" t="s">
        <v>549</v>
      </c>
      <c r="I9067" s="720" t="s">
        <v>5410</v>
      </c>
    </row>
    <row r="9068" spans="1:9" ht="15" hidden="1" customHeight="1">
      <c r="A9068" s="205">
        <v>45631</v>
      </c>
      <c r="B9068" s="208" t="s">
        <v>7140</v>
      </c>
      <c r="C9068" s="206" t="s">
        <v>27</v>
      </c>
      <c r="D9068" s="737">
        <v>-255344</v>
      </c>
      <c r="E9068" s="207">
        <v>45627</v>
      </c>
      <c r="F9068" s="206" t="s">
        <v>109</v>
      </c>
      <c r="G9068" s="206" t="s">
        <v>5906</v>
      </c>
      <c r="H9068" s="206" t="s">
        <v>549</v>
      </c>
      <c r="I9068" s="206"/>
    </row>
    <row r="9069" spans="1:9" ht="15" hidden="1" customHeight="1">
      <c r="A9069" s="205">
        <v>45630</v>
      </c>
      <c r="B9069" s="208" t="s">
        <v>7141</v>
      </c>
      <c r="C9069" s="206" t="s">
        <v>27</v>
      </c>
      <c r="D9069" s="737">
        <v>-2472975.81</v>
      </c>
      <c r="E9069" s="207">
        <v>45627</v>
      </c>
      <c r="F9069" s="206" t="s">
        <v>109</v>
      </c>
      <c r="G9069" s="206" t="s">
        <v>6994</v>
      </c>
      <c r="H9069" s="206" t="s">
        <v>6266</v>
      </c>
      <c r="I9069" s="206"/>
    </row>
    <row r="9070" spans="1:9" ht="15" hidden="1" customHeight="1">
      <c r="A9070" s="205">
        <v>45630</v>
      </c>
      <c r="B9070" s="208" t="s">
        <v>7142</v>
      </c>
      <c r="C9070" s="206" t="s">
        <v>27</v>
      </c>
      <c r="D9070" s="737">
        <v>-2472975.81</v>
      </c>
      <c r="E9070" s="207">
        <v>45627</v>
      </c>
      <c r="F9070" s="206" t="s">
        <v>109</v>
      </c>
      <c r="G9070" s="206" t="s">
        <v>6994</v>
      </c>
      <c r="H9070" s="206" t="s">
        <v>6266</v>
      </c>
      <c r="I9070" s="206"/>
    </row>
    <row r="9071" spans="1:9" ht="15" hidden="1" customHeight="1">
      <c r="A9071" s="205">
        <v>45630</v>
      </c>
      <c r="B9071" s="208" t="s">
        <v>7143</v>
      </c>
      <c r="C9071" s="206" t="s">
        <v>4314</v>
      </c>
      <c r="D9071" s="211">
        <v>-72734.59</v>
      </c>
      <c r="E9071" s="207">
        <v>45627</v>
      </c>
      <c r="F9071" s="206" t="s">
        <v>109</v>
      </c>
      <c r="G9071" s="206" t="s">
        <v>6954</v>
      </c>
      <c r="H9071" s="206" t="s">
        <v>6266</v>
      </c>
      <c r="I9071" s="206"/>
    </row>
    <row r="9072" spans="1:9" ht="15" hidden="1" customHeight="1">
      <c r="A9072" s="205">
        <v>45630</v>
      </c>
      <c r="B9072" s="208" t="s">
        <v>7144</v>
      </c>
      <c r="C9072" s="206" t="s">
        <v>27</v>
      </c>
      <c r="D9072" s="737">
        <v>-748302.61</v>
      </c>
      <c r="E9072" s="207">
        <v>45627</v>
      </c>
      <c r="F9072" s="206" t="s">
        <v>109</v>
      </c>
      <c r="G9072" s="206" t="s">
        <v>5906</v>
      </c>
      <c r="H9072" s="206" t="s">
        <v>2941</v>
      </c>
      <c r="I9072" s="206"/>
    </row>
    <row r="9073" spans="1:9" ht="15" hidden="1" customHeight="1">
      <c r="A9073" s="205">
        <v>45630</v>
      </c>
      <c r="B9073" s="208" t="s">
        <v>7145</v>
      </c>
      <c r="C9073" s="206" t="s">
        <v>4314</v>
      </c>
      <c r="D9073" s="211">
        <v>-1891.25</v>
      </c>
      <c r="E9073" s="207">
        <v>45627</v>
      </c>
      <c r="F9073" s="206" t="s">
        <v>109</v>
      </c>
      <c r="G9073" s="206" t="s">
        <v>4225</v>
      </c>
      <c r="H9073" s="206" t="s">
        <v>2941</v>
      </c>
      <c r="I9073" s="720" t="s">
        <v>5410</v>
      </c>
    </row>
    <row r="9074" spans="1:9" ht="15" hidden="1" customHeight="1">
      <c r="A9074" s="205">
        <v>45630</v>
      </c>
      <c r="B9074" s="208" t="s">
        <v>7146</v>
      </c>
      <c r="C9074" s="206" t="s">
        <v>27</v>
      </c>
      <c r="D9074" s="737">
        <v>-2050929</v>
      </c>
      <c r="E9074" s="207">
        <v>45627</v>
      </c>
      <c r="F9074" s="206" t="s">
        <v>110</v>
      </c>
      <c r="G9074" s="206" t="s">
        <v>5469</v>
      </c>
      <c r="H9074" s="206" t="s">
        <v>2941</v>
      </c>
      <c r="I9074" s="206"/>
    </row>
    <row r="9075" spans="1:9" ht="15" hidden="1" customHeight="1">
      <c r="A9075" s="205">
        <v>45630</v>
      </c>
      <c r="B9075" s="208" t="s">
        <v>7147</v>
      </c>
      <c r="C9075" s="206" t="s">
        <v>4314</v>
      </c>
      <c r="D9075" s="211">
        <v>-44201</v>
      </c>
      <c r="E9075" s="207">
        <v>45627</v>
      </c>
      <c r="F9075" s="206" t="s">
        <v>110</v>
      </c>
      <c r="G9075" s="206" t="s">
        <v>5469</v>
      </c>
      <c r="H9075" s="206" t="s">
        <v>2941</v>
      </c>
      <c r="I9075" s="206"/>
    </row>
    <row r="9076" spans="1:9" ht="15" hidden="1" customHeight="1">
      <c r="A9076" s="205">
        <v>45630</v>
      </c>
      <c r="B9076" s="208" t="s">
        <v>7148</v>
      </c>
      <c r="C9076" s="206" t="s">
        <v>4314</v>
      </c>
      <c r="D9076" s="211">
        <v>-8840.2099999999991</v>
      </c>
      <c r="E9076" s="207">
        <v>45627</v>
      </c>
      <c r="F9076" s="206" t="s">
        <v>110</v>
      </c>
      <c r="G9076" s="206" t="s">
        <v>5469</v>
      </c>
      <c r="H9076" s="206" t="s">
        <v>2941</v>
      </c>
      <c r="I9076" s="206"/>
    </row>
    <row r="9077" spans="1:9" ht="15" customHeight="1">
      <c r="A9077" s="205">
        <v>45631</v>
      </c>
      <c r="B9077" s="208" t="s">
        <v>7149</v>
      </c>
      <c r="C9077" s="206" t="s">
        <v>27</v>
      </c>
      <c r="D9077" s="737">
        <v>-67716000</v>
      </c>
      <c r="E9077" s="207">
        <v>45627</v>
      </c>
      <c r="F9077" s="206" t="s">
        <v>109</v>
      </c>
      <c r="G9077" s="206" t="s">
        <v>2809</v>
      </c>
      <c r="H9077" s="206" t="s">
        <v>4957</v>
      </c>
      <c r="I9077" s="206"/>
    </row>
    <row r="9078" spans="1:9" ht="15" hidden="1" customHeight="1">
      <c r="A9078" s="205">
        <v>45631</v>
      </c>
      <c r="B9078" s="208" t="s">
        <v>7150</v>
      </c>
      <c r="C9078" s="206" t="s">
        <v>27</v>
      </c>
      <c r="D9078" s="211">
        <v>-100000</v>
      </c>
      <c r="E9078" s="207">
        <v>45627</v>
      </c>
      <c r="F9078" s="206" t="s">
        <v>130</v>
      </c>
      <c r="G9078" s="206" t="s">
        <v>130</v>
      </c>
      <c r="H9078" s="206" t="s">
        <v>323</v>
      </c>
      <c r="I9078" s="206"/>
    </row>
    <row r="9079" spans="1:9" ht="15" hidden="1" customHeight="1">
      <c r="A9079" s="205">
        <v>45630</v>
      </c>
      <c r="B9079" s="208" t="s">
        <v>7151</v>
      </c>
      <c r="C9079" s="206" t="s">
        <v>27</v>
      </c>
      <c r="D9079" s="737">
        <v>-1113280</v>
      </c>
      <c r="E9079" s="207">
        <v>45627</v>
      </c>
      <c r="F9079" s="206" t="s">
        <v>109</v>
      </c>
      <c r="G9079" s="206" t="s">
        <v>5990</v>
      </c>
      <c r="H9079" s="206" t="s">
        <v>6687</v>
      </c>
      <c r="I9079" s="206"/>
    </row>
    <row r="9080" spans="1:9" ht="15" hidden="1" customHeight="1">
      <c r="A9080" s="205">
        <v>45630</v>
      </c>
      <c r="B9080" s="208" t="s">
        <v>7152</v>
      </c>
      <c r="C9080" s="206" t="s">
        <v>4314</v>
      </c>
      <c r="D9080" s="211">
        <v>-6720</v>
      </c>
      <c r="E9080" s="207">
        <v>45627</v>
      </c>
      <c r="F9080" s="206" t="s">
        <v>109</v>
      </c>
      <c r="G9080" s="206" t="s">
        <v>5990</v>
      </c>
      <c r="I9080" s="206"/>
    </row>
    <row r="9081" spans="1:9" ht="15" hidden="1" customHeight="1">
      <c r="A9081" s="205">
        <v>45631</v>
      </c>
      <c r="B9081" s="208" t="s">
        <v>7153</v>
      </c>
      <c r="C9081" s="206" t="s">
        <v>27</v>
      </c>
      <c r="D9081" s="737">
        <v>-8375657.4199999999</v>
      </c>
      <c r="E9081" s="207">
        <v>45627</v>
      </c>
      <c r="F9081" s="206" t="s">
        <v>111</v>
      </c>
      <c r="I9081" s="206"/>
    </row>
    <row r="9082" spans="1:9" ht="15" hidden="1" customHeight="1">
      <c r="A9082" s="205">
        <v>45630</v>
      </c>
      <c r="B9082" s="208" t="s">
        <v>7154</v>
      </c>
      <c r="C9082" s="206" t="s">
        <v>27</v>
      </c>
      <c r="D9082" s="737">
        <v>-4710000</v>
      </c>
      <c r="E9082" s="207">
        <v>45627</v>
      </c>
      <c r="F9082" s="206" t="s">
        <v>109</v>
      </c>
      <c r="G9082" s="206" t="s">
        <v>5990</v>
      </c>
      <c r="H9082" s="206" t="s">
        <v>6667</v>
      </c>
      <c r="I9082" s="206"/>
    </row>
    <row r="9083" spans="1:9" ht="15" hidden="1" customHeight="1">
      <c r="A9083" s="205">
        <v>45630</v>
      </c>
      <c r="B9083" s="208" t="s">
        <v>7155</v>
      </c>
      <c r="C9083" s="206" t="s">
        <v>27</v>
      </c>
      <c r="D9083" s="737">
        <v>-11877452</v>
      </c>
      <c r="E9083" s="207">
        <v>45627</v>
      </c>
      <c r="F9083" s="206" t="s">
        <v>109</v>
      </c>
      <c r="G9083" s="206" t="s">
        <v>4986</v>
      </c>
      <c r="H9083" s="206" t="s">
        <v>549</v>
      </c>
      <c r="I9083" s="206"/>
    </row>
    <row r="9084" spans="1:9" ht="15" hidden="1" customHeight="1">
      <c r="A9084" s="205">
        <v>45631</v>
      </c>
      <c r="B9084" s="208" t="s">
        <v>7156</v>
      </c>
      <c r="C9084" s="206" t="s">
        <v>27</v>
      </c>
      <c r="D9084" s="211">
        <v>-364158</v>
      </c>
      <c r="E9084" s="207">
        <v>45627</v>
      </c>
      <c r="F9084" s="206" t="s">
        <v>130</v>
      </c>
      <c r="G9084" s="206" t="s">
        <v>130</v>
      </c>
      <c r="H9084" s="206" t="s">
        <v>2724</v>
      </c>
      <c r="I9084" s="206"/>
    </row>
    <row r="9085" spans="1:9" ht="15" hidden="1" customHeight="1">
      <c r="A9085" s="205">
        <v>45630</v>
      </c>
      <c r="B9085" s="208" t="s">
        <v>7157</v>
      </c>
      <c r="C9085" s="206" t="s">
        <v>27</v>
      </c>
      <c r="D9085" s="737">
        <v>-595000</v>
      </c>
      <c r="E9085" s="207">
        <v>45627</v>
      </c>
      <c r="F9085" s="206" t="s">
        <v>109</v>
      </c>
      <c r="G9085" s="206" t="s">
        <v>6994</v>
      </c>
      <c r="H9085" s="206" t="s">
        <v>6830</v>
      </c>
      <c r="I9085" s="206"/>
    </row>
    <row r="9086" spans="1:9" ht="15" hidden="1" customHeight="1">
      <c r="A9086" s="205">
        <v>45630</v>
      </c>
      <c r="B9086" s="208" t="s">
        <v>7157</v>
      </c>
      <c r="C9086" s="206" t="s">
        <v>27</v>
      </c>
      <c r="D9086" s="737">
        <v>-595000</v>
      </c>
      <c r="E9086" s="207">
        <v>45627</v>
      </c>
      <c r="F9086" s="206" t="s">
        <v>109</v>
      </c>
      <c r="G9086" s="206" t="s">
        <v>6994</v>
      </c>
      <c r="H9086" s="206" t="s">
        <v>6830</v>
      </c>
      <c r="I9086" s="206"/>
    </row>
    <row r="9087" spans="1:9" ht="15" hidden="1" customHeight="1">
      <c r="A9087" s="205">
        <v>45630</v>
      </c>
      <c r="B9087" s="208" t="s">
        <v>7158</v>
      </c>
      <c r="C9087" s="206" t="s">
        <v>4314</v>
      </c>
      <c r="D9087" s="211">
        <v>-43160.639999999999</v>
      </c>
      <c r="E9087" s="207">
        <v>45627</v>
      </c>
      <c r="F9087" s="206" t="s">
        <v>109</v>
      </c>
      <c r="G9087" s="206" t="s">
        <v>6994</v>
      </c>
      <c r="H9087" s="206" t="s">
        <v>6830</v>
      </c>
      <c r="I9087" s="206"/>
    </row>
    <row r="9088" spans="1:9" ht="15" hidden="1" customHeight="1">
      <c r="A9088" s="205">
        <v>45630</v>
      </c>
      <c r="B9088" s="208" t="s">
        <v>7159</v>
      </c>
      <c r="C9088" s="206" t="s">
        <v>27</v>
      </c>
      <c r="D9088" s="211">
        <v>-230160</v>
      </c>
      <c r="E9088" s="207">
        <v>45627</v>
      </c>
      <c r="F9088" s="206" t="s">
        <v>130</v>
      </c>
      <c r="G9088" s="206" t="s">
        <v>257</v>
      </c>
      <c r="H9088" s="262" t="s">
        <v>1138</v>
      </c>
      <c r="I9088" s="206"/>
    </row>
    <row r="9089" spans="1:9" ht="15" hidden="1" customHeight="1">
      <c r="A9089" s="205">
        <v>45630</v>
      </c>
      <c r="B9089" s="208" t="s">
        <v>7160</v>
      </c>
      <c r="C9089" s="206" t="s">
        <v>27</v>
      </c>
      <c r="D9089" s="737">
        <v>-10000000</v>
      </c>
      <c r="E9089" s="207">
        <v>45627</v>
      </c>
      <c r="F9089" s="206" t="s">
        <v>109</v>
      </c>
      <c r="G9089" s="206" t="s">
        <v>4986</v>
      </c>
      <c r="H9089" s="206" t="s">
        <v>549</v>
      </c>
      <c r="I9089" s="206"/>
    </row>
    <row r="9090" spans="1:9" ht="15" hidden="1" customHeight="1">
      <c r="A9090" s="205">
        <v>45628</v>
      </c>
      <c r="B9090" s="208" t="s">
        <v>7161</v>
      </c>
      <c r="C9090" s="206" t="s">
        <v>27</v>
      </c>
      <c r="D9090" s="737">
        <v>-10022064</v>
      </c>
      <c r="E9090" s="207">
        <v>45627</v>
      </c>
      <c r="F9090" s="206" t="s">
        <v>109</v>
      </c>
      <c r="G9090" s="206" t="s">
        <v>5990</v>
      </c>
      <c r="H9090" s="206" t="s">
        <v>6134</v>
      </c>
      <c r="I9090" s="206"/>
    </row>
    <row r="9091" spans="1:9" ht="15" hidden="1" customHeight="1">
      <c r="A9091" s="205">
        <v>45628</v>
      </c>
      <c r="B9091" s="208" t="s">
        <v>7162</v>
      </c>
      <c r="C9091" s="206" t="s">
        <v>4314</v>
      </c>
      <c r="D9091" s="211">
        <v>-215992.78</v>
      </c>
      <c r="E9091" s="207">
        <v>45627</v>
      </c>
      <c r="F9091" s="206" t="s">
        <v>109</v>
      </c>
      <c r="G9091" s="206" t="s">
        <v>5990</v>
      </c>
      <c r="H9091" s="206" t="s">
        <v>6134</v>
      </c>
      <c r="I9091" s="206"/>
    </row>
    <row r="9092" spans="1:9" ht="15" hidden="1" customHeight="1">
      <c r="A9092" s="205">
        <v>45628</v>
      </c>
      <c r="B9092" s="208" t="s">
        <v>7163</v>
      </c>
      <c r="C9092" s="206" t="s">
        <v>4314</v>
      </c>
      <c r="D9092" s="211">
        <v>-43198.559999999998</v>
      </c>
      <c r="E9092" s="207">
        <v>45627</v>
      </c>
      <c r="F9092" s="206" t="s">
        <v>109</v>
      </c>
      <c r="G9092" s="206" t="s">
        <v>5990</v>
      </c>
      <c r="H9092" s="206" t="s">
        <v>6134</v>
      </c>
      <c r="I9092" s="206"/>
    </row>
    <row r="9093" spans="1:9" ht="15" hidden="1" customHeight="1">
      <c r="A9093" s="205">
        <v>45628</v>
      </c>
      <c r="B9093" s="208" t="s">
        <v>7164</v>
      </c>
      <c r="C9093" s="206" t="s">
        <v>27</v>
      </c>
      <c r="D9093" s="737">
        <v>-4850625</v>
      </c>
      <c r="E9093" s="207">
        <v>45627</v>
      </c>
      <c r="F9093" s="206" t="s">
        <v>109</v>
      </c>
      <c r="G9093" s="206" t="s">
        <v>5990</v>
      </c>
      <c r="H9093" s="206" t="s">
        <v>6979</v>
      </c>
      <c r="I9093" s="206"/>
    </row>
    <row r="9094" spans="1:9" ht="15" hidden="1" customHeight="1">
      <c r="A9094" s="205">
        <v>45628</v>
      </c>
      <c r="B9094" s="208" t="s">
        <v>7165</v>
      </c>
      <c r="C9094" s="206" t="s">
        <v>27</v>
      </c>
      <c r="D9094" s="737">
        <v>-4577650</v>
      </c>
      <c r="E9094" s="207">
        <v>45627</v>
      </c>
      <c r="F9094" s="206" t="s">
        <v>109</v>
      </c>
      <c r="G9094" s="206" t="s">
        <v>5990</v>
      </c>
      <c r="H9094" s="206" t="s">
        <v>6667</v>
      </c>
      <c r="I9094" s="206"/>
    </row>
    <row r="9095" spans="1:9" ht="15" hidden="1" customHeight="1">
      <c r="A9095" s="205">
        <v>45630</v>
      </c>
      <c r="B9095" s="208" t="s">
        <v>7166</v>
      </c>
      <c r="C9095" s="206" t="s">
        <v>27</v>
      </c>
      <c r="D9095" s="737">
        <v>280000000</v>
      </c>
      <c r="E9095" s="207">
        <v>45627</v>
      </c>
      <c r="F9095" s="883" t="s">
        <v>707</v>
      </c>
      <c r="G9095" s="206" t="s">
        <v>7167</v>
      </c>
      <c r="I9095" s="206"/>
    </row>
    <row r="9096" spans="1:9" s="451" customFormat="1" ht="15" hidden="1" customHeight="1">
      <c r="A9096" s="795">
        <v>45630</v>
      </c>
      <c r="B9096" s="720" t="s">
        <v>7168</v>
      </c>
      <c r="C9096" s="720" t="s">
        <v>27</v>
      </c>
      <c r="D9096" s="737">
        <v>1850895</v>
      </c>
      <c r="E9096" s="727">
        <v>45627</v>
      </c>
      <c r="F9096" s="720" t="s">
        <v>108</v>
      </c>
      <c r="G9096" s="720"/>
      <c r="H9096" s="720"/>
      <c r="I9096" s="720"/>
    </row>
    <row r="9097" spans="1:9" ht="15" hidden="1" customHeight="1">
      <c r="A9097" s="205">
        <v>45630</v>
      </c>
      <c r="B9097" s="208" t="s">
        <v>7169</v>
      </c>
      <c r="C9097" s="206" t="s">
        <v>27</v>
      </c>
      <c r="D9097" s="737">
        <v>2306700</v>
      </c>
      <c r="E9097" s="207">
        <v>45627</v>
      </c>
      <c r="F9097" s="206" t="s">
        <v>108</v>
      </c>
      <c r="I9097" s="206"/>
    </row>
    <row r="9098" spans="1:9" ht="15" hidden="1" customHeight="1">
      <c r="A9098" s="205">
        <v>45630</v>
      </c>
      <c r="B9098" s="208" t="s">
        <v>7170</v>
      </c>
      <c r="C9098" s="206" t="s">
        <v>643</v>
      </c>
      <c r="D9098" s="211">
        <v>-89270.51</v>
      </c>
      <c r="E9098" s="207">
        <v>45627</v>
      </c>
      <c r="F9098" s="206" t="s">
        <v>130</v>
      </c>
      <c r="G9098" s="206" t="s">
        <v>130</v>
      </c>
      <c r="H9098" s="206" t="s">
        <v>1245</v>
      </c>
      <c r="I9098" s="206"/>
    </row>
    <row r="9099" spans="1:9" ht="15" hidden="1" customHeight="1">
      <c r="A9099" s="205">
        <v>45630</v>
      </c>
      <c r="B9099" s="208" t="s">
        <v>7159</v>
      </c>
      <c r="C9099" s="206" t="s">
        <v>27</v>
      </c>
      <c r="D9099" s="450">
        <v>-230160</v>
      </c>
      <c r="E9099" s="207">
        <v>45627</v>
      </c>
      <c r="F9099" s="206" t="s">
        <v>109</v>
      </c>
      <c r="G9099" s="206" t="s">
        <v>4986</v>
      </c>
      <c r="H9099" s="262" t="s">
        <v>147</v>
      </c>
      <c r="I9099" s="720" t="s">
        <v>5410</v>
      </c>
    </row>
    <row r="9100" spans="1:9" ht="15" hidden="1" customHeight="1">
      <c r="A9100" s="205">
        <v>45630</v>
      </c>
      <c r="B9100" s="208" t="s">
        <v>7171</v>
      </c>
      <c r="C9100" s="206" t="s">
        <v>643</v>
      </c>
      <c r="D9100" s="211">
        <v>-15000</v>
      </c>
      <c r="E9100" s="207">
        <v>45627</v>
      </c>
      <c r="F9100" s="206" t="s">
        <v>130</v>
      </c>
      <c r="G9100" s="206" t="s">
        <v>257</v>
      </c>
      <c r="H9100" s="262" t="s">
        <v>1138</v>
      </c>
      <c r="I9100" s="206"/>
    </row>
    <row r="9101" spans="1:9" ht="15" hidden="1" customHeight="1">
      <c r="A9101" s="205">
        <v>45630</v>
      </c>
      <c r="B9101" s="208" t="s">
        <v>7172</v>
      </c>
      <c r="C9101" s="206" t="s">
        <v>643</v>
      </c>
      <c r="D9101" s="211">
        <v>-7000</v>
      </c>
      <c r="E9101" s="207">
        <v>45627</v>
      </c>
      <c r="F9101" s="206" t="s">
        <v>130</v>
      </c>
      <c r="G9101" s="206" t="s">
        <v>257</v>
      </c>
      <c r="H9101" s="262" t="s">
        <v>1138</v>
      </c>
      <c r="I9101" s="206"/>
    </row>
    <row r="9102" spans="1:9" ht="15" hidden="1" customHeight="1">
      <c r="A9102" s="205">
        <v>45631</v>
      </c>
      <c r="B9102" s="208" t="s">
        <v>7173</v>
      </c>
      <c r="C9102" s="206" t="s">
        <v>643</v>
      </c>
      <c r="D9102" s="211">
        <v>-32500</v>
      </c>
      <c r="E9102" s="207">
        <v>45627</v>
      </c>
      <c r="F9102" s="206" t="s">
        <v>130</v>
      </c>
      <c r="G9102" s="206" t="s">
        <v>257</v>
      </c>
      <c r="H9102" s="262" t="s">
        <v>1138</v>
      </c>
      <c r="I9102" s="206"/>
    </row>
    <row r="9103" spans="1:9" ht="15" hidden="1" customHeight="1">
      <c r="A9103" s="205">
        <v>45631</v>
      </c>
      <c r="B9103" s="208" t="s">
        <v>7174</v>
      </c>
      <c r="C9103" s="206" t="s">
        <v>643</v>
      </c>
      <c r="D9103" s="211">
        <v>-161000</v>
      </c>
      <c r="E9103" s="207">
        <v>45627</v>
      </c>
      <c r="F9103" s="206" t="s">
        <v>130</v>
      </c>
      <c r="G9103" s="206" t="s">
        <v>257</v>
      </c>
      <c r="H9103" s="262" t="s">
        <v>1138</v>
      </c>
      <c r="I9103" s="206"/>
    </row>
    <row r="9104" spans="1:9" ht="15" hidden="1" customHeight="1">
      <c r="A9104" s="205">
        <v>45631</v>
      </c>
      <c r="B9104" s="208" t="s">
        <v>7172</v>
      </c>
      <c r="C9104" s="206" t="s">
        <v>643</v>
      </c>
      <c r="D9104" s="211">
        <v>-62400</v>
      </c>
      <c r="E9104" s="207">
        <v>45627</v>
      </c>
      <c r="F9104" s="206" t="s">
        <v>130</v>
      </c>
      <c r="G9104" s="206" t="s">
        <v>257</v>
      </c>
      <c r="H9104" s="262" t="s">
        <v>1138</v>
      </c>
      <c r="I9104" s="206"/>
    </row>
    <row r="9105" spans="1:9" ht="15" hidden="1" customHeight="1">
      <c r="A9105" s="205">
        <v>45631</v>
      </c>
      <c r="B9105" s="208" t="s">
        <v>7175</v>
      </c>
      <c r="C9105" s="206" t="s">
        <v>3331</v>
      </c>
      <c r="D9105" s="211">
        <v>-449900</v>
      </c>
      <c r="E9105" s="207">
        <v>45627</v>
      </c>
      <c r="F9105" s="206" t="s">
        <v>130</v>
      </c>
      <c r="G9105" s="206" t="s">
        <v>257</v>
      </c>
      <c r="H9105" s="206" t="s">
        <v>3622</v>
      </c>
      <c r="I9105" s="206"/>
    </row>
    <row r="9106" spans="1:9" ht="15" hidden="1" customHeight="1">
      <c r="A9106" s="205">
        <v>45631</v>
      </c>
      <c r="B9106" s="208" t="s">
        <v>6925</v>
      </c>
      <c r="C9106" s="206" t="s">
        <v>3331</v>
      </c>
      <c r="D9106" s="737">
        <v>1216595</v>
      </c>
      <c r="E9106" s="207">
        <v>45627</v>
      </c>
      <c r="F9106" s="206" t="s">
        <v>109</v>
      </c>
      <c r="G9106" s="206" t="s">
        <v>6926</v>
      </c>
      <c r="H9106" s="206" t="s">
        <v>461</v>
      </c>
      <c r="I9106" s="206"/>
    </row>
    <row r="9107" spans="1:9" ht="15" hidden="1" customHeight="1">
      <c r="A9107" s="205">
        <v>45631</v>
      </c>
      <c r="B9107" s="208" t="s">
        <v>7176</v>
      </c>
      <c r="C9107" s="206" t="s">
        <v>3331</v>
      </c>
      <c r="D9107" s="211">
        <v>2373641</v>
      </c>
      <c r="E9107" s="207">
        <v>45627</v>
      </c>
      <c r="F9107" s="206" t="s">
        <v>108</v>
      </c>
      <c r="I9107" s="206"/>
    </row>
    <row r="9108" spans="1:9" ht="15" hidden="1" customHeight="1">
      <c r="A9108" s="205">
        <v>45629</v>
      </c>
      <c r="B9108" s="208" t="s">
        <v>6239</v>
      </c>
      <c r="C9108" s="206" t="s">
        <v>4783</v>
      </c>
      <c r="D9108" s="737">
        <v>-108500000</v>
      </c>
      <c r="E9108" s="207">
        <v>45627</v>
      </c>
      <c r="F9108" s="206" t="s">
        <v>4859</v>
      </c>
      <c r="G9108" s="208" t="s">
        <v>4860</v>
      </c>
      <c r="H9108" s="206" t="s">
        <v>2986</v>
      </c>
      <c r="I9108" s="206"/>
    </row>
    <row r="9109" spans="1:9" ht="15" hidden="1" customHeight="1">
      <c r="A9109" s="205">
        <v>45629</v>
      </c>
      <c r="B9109" s="208" t="s">
        <v>7177</v>
      </c>
      <c r="C9109" s="206" t="s">
        <v>4783</v>
      </c>
      <c r="D9109" s="737">
        <v>-104000000</v>
      </c>
      <c r="E9109" s="207">
        <v>45627</v>
      </c>
      <c r="F9109" s="206" t="s">
        <v>6974</v>
      </c>
      <c r="G9109" s="208" t="s">
        <v>7178</v>
      </c>
      <c r="H9109" s="206" t="s">
        <v>2986</v>
      </c>
      <c r="I9109" s="206"/>
    </row>
    <row r="9110" spans="1:9" ht="15" hidden="1" customHeight="1">
      <c r="A9110" s="205">
        <v>45629</v>
      </c>
      <c r="B9110" s="208" t="s">
        <v>7179</v>
      </c>
      <c r="C9110" s="206" t="s">
        <v>4783</v>
      </c>
      <c r="D9110" s="737">
        <v>-6265547</v>
      </c>
      <c r="E9110" s="207">
        <v>45627</v>
      </c>
      <c r="F9110" s="206" t="s">
        <v>109</v>
      </c>
      <c r="G9110" s="206" t="s">
        <v>5990</v>
      </c>
      <c r="H9110" s="206" t="s">
        <v>6134</v>
      </c>
      <c r="I9110" s="206"/>
    </row>
    <row r="9111" spans="1:9" s="209" customFormat="1" ht="15" hidden="1" customHeight="1">
      <c r="A9111" s="468">
        <v>45629</v>
      </c>
      <c r="B9111" s="208" t="s">
        <v>7180</v>
      </c>
      <c r="C9111" s="208" t="s">
        <v>4783</v>
      </c>
      <c r="D9111" s="211">
        <v>-577227</v>
      </c>
      <c r="E9111" s="212">
        <v>45627</v>
      </c>
      <c r="F9111" s="208" t="s">
        <v>110</v>
      </c>
      <c r="G9111" s="208" t="s">
        <v>5469</v>
      </c>
      <c r="H9111" s="201" t="s">
        <v>1463</v>
      </c>
      <c r="I9111" s="208" t="s">
        <v>5410</v>
      </c>
    </row>
    <row r="9112" spans="1:9" ht="15" hidden="1" customHeight="1">
      <c r="A9112" s="205">
        <v>45629</v>
      </c>
      <c r="B9112" s="208" t="s">
        <v>7181</v>
      </c>
      <c r="C9112" s="206" t="s">
        <v>4783</v>
      </c>
      <c r="D9112" s="737">
        <v>-606900</v>
      </c>
      <c r="E9112" s="207">
        <v>45627</v>
      </c>
      <c r="F9112" s="206" t="s">
        <v>110</v>
      </c>
      <c r="G9112" s="206" t="s">
        <v>4990</v>
      </c>
      <c r="H9112" s="201" t="s">
        <v>1463</v>
      </c>
      <c r="I9112" s="720" t="s">
        <v>5410</v>
      </c>
    </row>
    <row r="9113" spans="1:9" ht="15" hidden="1" customHeight="1">
      <c r="A9113" s="205">
        <v>45629</v>
      </c>
      <c r="B9113" s="208" t="s">
        <v>7182</v>
      </c>
      <c r="C9113" s="206" t="s">
        <v>4783</v>
      </c>
      <c r="D9113" s="737">
        <v>200000000</v>
      </c>
      <c r="E9113" s="207">
        <v>45627</v>
      </c>
      <c r="F9113" s="208" t="s">
        <v>707</v>
      </c>
      <c r="G9113" s="206" t="s">
        <v>5990</v>
      </c>
      <c r="H9113" s="206" t="s">
        <v>461</v>
      </c>
      <c r="I9113" s="206"/>
    </row>
    <row r="9114" spans="1:9" ht="15" hidden="1" customHeight="1">
      <c r="A9114" s="205">
        <v>45325</v>
      </c>
      <c r="B9114" s="208" t="s">
        <v>6101</v>
      </c>
      <c r="C9114" s="208" t="s">
        <v>4783</v>
      </c>
      <c r="D9114" s="737">
        <v>-5088365</v>
      </c>
      <c r="E9114" s="207">
        <v>45627</v>
      </c>
      <c r="F9114" s="206" t="s">
        <v>111</v>
      </c>
      <c r="I9114" s="206"/>
    </row>
    <row r="9115" spans="1:9" ht="15" hidden="1" customHeight="1">
      <c r="A9115" s="205">
        <v>45629</v>
      </c>
      <c r="B9115" s="741" t="s">
        <v>7183</v>
      </c>
      <c r="C9115" s="208" t="s">
        <v>4783</v>
      </c>
      <c r="D9115" s="737">
        <v>-519475282.95999998</v>
      </c>
      <c r="E9115" s="207">
        <v>45627</v>
      </c>
      <c r="F9115" s="206" t="s">
        <v>109</v>
      </c>
      <c r="G9115" s="206" t="s">
        <v>6974</v>
      </c>
      <c r="I9115" s="206"/>
    </row>
    <row r="9116" spans="1:9" ht="15" hidden="1" customHeight="1">
      <c r="A9116" s="205">
        <v>45629</v>
      </c>
      <c r="B9116" s="208" t="s">
        <v>7184</v>
      </c>
      <c r="C9116" s="206" t="s">
        <v>4783</v>
      </c>
      <c r="D9116" s="211">
        <v>600000000</v>
      </c>
      <c r="E9116" s="207">
        <v>45627</v>
      </c>
      <c r="F9116" s="292" t="s">
        <v>707</v>
      </c>
      <c r="G9116" s="206" t="s">
        <v>6974</v>
      </c>
      <c r="I9116" s="206"/>
    </row>
    <row r="9117" spans="1:9" ht="15" hidden="1" customHeight="1">
      <c r="A9117" s="205">
        <v>45632</v>
      </c>
      <c r="B9117" s="208" t="s">
        <v>5422</v>
      </c>
      <c r="C9117" s="206" t="s">
        <v>27</v>
      </c>
      <c r="D9117" s="737">
        <v>9568455.6099999994</v>
      </c>
      <c r="E9117" s="207">
        <v>45627</v>
      </c>
      <c r="F9117" s="206" t="s">
        <v>108</v>
      </c>
      <c r="I9117" s="206"/>
    </row>
    <row r="9118" spans="1:9" ht="15" hidden="1" customHeight="1">
      <c r="A9118" s="205">
        <v>45633</v>
      </c>
      <c r="B9118" s="208" t="s">
        <v>6201</v>
      </c>
      <c r="C9118" s="206" t="s">
        <v>27</v>
      </c>
      <c r="D9118" s="737">
        <v>742000</v>
      </c>
      <c r="E9118" s="207">
        <v>45627</v>
      </c>
      <c r="F9118" s="206" t="s">
        <v>111</v>
      </c>
      <c r="I9118" s="206"/>
    </row>
    <row r="9119" spans="1:9" ht="15" hidden="1" customHeight="1">
      <c r="A9119" s="205">
        <v>45635</v>
      </c>
      <c r="B9119" s="208" t="s">
        <v>7185</v>
      </c>
      <c r="C9119" s="206" t="s">
        <v>27</v>
      </c>
      <c r="D9119" s="737">
        <v>200000000</v>
      </c>
      <c r="E9119" s="207">
        <v>45627</v>
      </c>
      <c r="F9119" s="206" t="s">
        <v>707</v>
      </c>
      <c r="G9119" s="206" t="s">
        <v>5990</v>
      </c>
      <c r="I9119" s="206"/>
    </row>
    <row r="9120" spans="1:9" ht="15" hidden="1" customHeight="1">
      <c r="A9120" s="205">
        <v>45635</v>
      </c>
      <c r="B9120" s="208" t="s">
        <v>7186</v>
      </c>
      <c r="C9120" s="206" t="s">
        <v>27</v>
      </c>
      <c r="D9120" s="737">
        <v>50391971</v>
      </c>
      <c r="E9120" s="207">
        <v>45627</v>
      </c>
      <c r="F9120" s="206" t="s">
        <v>109</v>
      </c>
      <c r="G9120" s="206" t="s">
        <v>6903</v>
      </c>
      <c r="I9120" s="206"/>
    </row>
    <row r="9121" spans="1:9" ht="15" hidden="1" customHeight="1">
      <c r="A9121" s="205">
        <v>45637</v>
      </c>
      <c r="B9121" s="208" t="s">
        <v>7185</v>
      </c>
      <c r="C9121" s="206" t="s">
        <v>27</v>
      </c>
      <c r="D9121" s="737">
        <v>250000000</v>
      </c>
      <c r="E9121" s="207">
        <v>45627</v>
      </c>
      <c r="F9121" s="206" t="s">
        <v>707</v>
      </c>
      <c r="G9121" s="206" t="s">
        <v>5990</v>
      </c>
      <c r="I9121" s="206"/>
    </row>
    <row r="9122" spans="1:9" s="806" customFormat="1" ht="15" hidden="1" customHeight="1">
      <c r="A9122" s="803">
        <v>45635</v>
      </c>
      <c r="B9122" s="635" t="s">
        <v>7187</v>
      </c>
      <c r="C9122" s="804" t="s">
        <v>3331</v>
      </c>
      <c r="D9122" s="812">
        <v>12272109</v>
      </c>
      <c r="E9122" s="805">
        <v>45627</v>
      </c>
      <c r="F9122" s="804" t="s">
        <v>109</v>
      </c>
      <c r="G9122" s="804" t="s">
        <v>4986</v>
      </c>
      <c r="H9122" s="804"/>
      <c r="I9122" s="804"/>
    </row>
    <row r="9123" spans="1:9" ht="15" hidden="1" customHeight="1">
      <c r="A9123" s="205">
        <v>45635</v>
      </c>
      <c r="B9123" s="208" t="s">
        <v>5028</v>
      </c>
      <c r="C9123" s="206" t="s">
        <v>3331</v>
      </c>
      <c r="D9123" s="811">
        <v>1613244</v>
      </c>
      <c r="E9123" s="207">
        <v>45627</v>
      </c>
      <c r="F9123" s="206" t="s">
        <v>108</v>
      </c>
      <c r="I9123" s="206"/>
    </row>
    <row r="9124" spans="1:9" ht="15" hidden="1" customHeight="1">
      <c r="A9124" s="205">
        <v>45637</v>
      </c>
      <c r="B9124" s="208" t="s">
        <v>7188</v>
      </c>
      <c r="C9124" s="206" t="s">
        <v>3331</v>
      </c>
      <c r="D9124" s="811">
        <v>2808110</v>
      </c>
      <c r="E9124" s="207">
        <v>45627</v>
      </c>
      <c r="F9124" s="206" t="s">
        <v>108</v>
      </c>
      <c r="I9124" s="206"/>
    </row>
    <row r="9125" spans="1:9" s="808" customFormat="1" ht="15" hidden="1" customHeight="1">
      <c r="A9125" s="807">
        <v>45635</v>
      </c>
      <c r="B9125" s="462" t="s">
        <v>7189</v>
      </c>
      <c r="C9125" s="462" t="s">
        <v>146</v>
      </c>
      <c r="D9125" s="761">
        <v>-119000</v>
      </c>
      <c r="E9125" s="809">
        <v>45627</v>
      </c>
      <c r="F9125" s="462" t="s">
        <v>130</v>
      </c>
      <c r="G9125" s="462" t="s">
        <v>130</v>
      </c>
      <c r="H9125" s="462" t="s">
        <v>2444</v>
      </c>
      <c r="I9125" s="462"/>
    </row>
    <row r="9126" spans="1:9" ht="15" hidden="1" customHeight="1">
      <c r="A9126" s="205">
        <v>45630</v>
      </c>
      <c r="B9126" s="208" t="s">
        <v>7190</v>
      </c>
      <c r="C9126" s="206" t="s">
        <v>146</v>
      </c>
      <c r="D9126" s="211">
        <v>-6000</v>
      </c>
      <c r="E9126" s="207">
        <v>45627</v>
      </c>
      <c r="F9126" s="206" t="s">
        <v>109</v>
      </c>
      <c r="G9126" s="206" t="s">
        <v>6994</v>
      </c>
      <c r="H9126" s="206" t="s">
        <v>6266</v>
      </c>
      <c r="I9126" s="206" t="s">
        <v>6793</v>
      </c>
    </row>
    <row r="9127" spans="1:9" ht="15" hidden="1" customHeight="1">
      <c r="A9127" s="205">
        <v>45630</v>
      </c>
      <c r="B9127" s="208" t="s">
        <v>7191</v>
      </c>
      <c r="C9127" s="206" t="s">
        <v>146</v>
      </c>
      <c r="D9127" s="211">
        <v>-20000</v>
      </c>
      <c r="E9127" s="207">
        <v>45627</v>
      </c>
      <c r="F9127" s="206" t="s">
        <v>109</v>
      </c>
      <c r="G9127" s="206" t="s">
        <v>6994</v>
      </c>
      <c r="H9127" s="206" t="s">
        <v>6266</v>
      </c>
      <c r="I9127" s="206" t="s">
        <v>6793</v>
      </c>
    </row>
    <row r="9128" spans="1:9" ht="15" hidden="1" customHeight="1">
      <c r="A9128" s="205">
        <v>45630</v>
      </c>
      <c r="B9128" s="208" t="s">
        <v>7192</v>
      </c>
      <c r="C9128" s="206" t="s">
        <v>146</v>
      </c>
      <c r="D9128" s="211">
        <v>-10000</v>
      </c>
      <c r="E9128" s="207">
        <v>45627</v>
      </c>
      <c r="F9128" s="206" t="s">
        <v>109</v>
      </c>
      <c r="G9128" s="206" t="s">
        <v>6994</v>
      </c>
      <c r="H9128" s="206" t="s">
        <v>6266</v>
      </c>
      <c r="I9128" s="206" t="s">
        <v>6793</v>
      </c>
    </row>
    <row r="9129" spans="1:9" ht="15" hidden="1" customHeight="1">
      <c r="A9129" s="205">
        <v>45630</v>
      </c>
      <c r="B9129" s="208" t="s">
        <v>7193</v>
      </c>
      <c r="C9129" s="206" t="s">
        <v>146</v>
      </c>
      <c r="D9129" s="211">
        <v>-18000</v>
      </c>
      <c r="E9129" s="207">
        <v>45627</v>
      </c>
      <c r="F9129" s="206" t="s">
        <v>109</v>
      </c>
      <c r="G9129" s="206" t="s">
        <v>5990</v>
      </c>
      <c r="H9129" s="206" t="s">
        <v>6266</v>
      </c>
      <c r="I9129" s="206" t="s">
        <v>6793</v>
      </c>
    </row>
    <row r="9130" spans="1:9" ht="15" hidden="1" customHeight="1">
      <c r="A9130" s="205">
        <v>45630</v>
      </c>
      <c r="B9130" s="208" t="s">
        <v>7194</v>
      </c>
      <c r="C9130" s="206" t="s">
        <v>146</v>
      </c>
      <c r="D9130" s="211">
        <v>-20000</v>
      </c>
      <c r="E9130" s="207">
        <v>45627</v>
      </c>
      <c r="F9130" s="206" t="s">
        <v>109</v>
      </c>
      <c r="G9130" s="206" t="s">
        <v>5990</v>
      </c>
      <c r="H9130" s="206" t="s">
        <v>6266</v>
      </c>
      <c r="I9130" s="206" t="s">
        <v>6793</v>
      </c>
    </row>
    <row r="9131" spans="1:9" ht="15" hidden="1" customHeight="1">
      <c r="A9131" s="205">
        <v>45628</v>
      </c>
      <c r="B9131" s="208" t="s">
        <v>7195</v>
      </c>
      <c r="C9131" s="206" t="s">
        <v>146</v>
      </c>
      <c r="D9131" s="211">
        <v>-115000</v>
      </c>
      <c r="E9131" s="207">
        <v>45627</v>
      </c>
      <c r="F9131" s="206" t="s">
        <v>109</v>
      </c>
      <c r="G9131" s="206" t="s">
        <v>6994</v>
      </c>
      <c r="H9131" s="206" t="s">
        <v>6134</v>
      </c>
      <c r="I9131" s="206" t="s">
        <v>5430</v>
      </c>
    </row>
    <row r="9132" spans="1:9" ht="14.15" hidden="1">
      <c r="A9132" s="205">
        <v>45628</v>
      </c>
      <c r="B9132" s="208" t="s">
        <v>7196</v>
      </c>
      <c r="C9132" s="206" t="s">
        <v>146</v>
      </c>
      <c r="D9132" s="211">
        <v>-43113.43</v>
      </c>
      <c r="E9132" s="207">
        <v>45627</v>
      </c>
      <c r="F9132" s="206" t="s">
        <v>109</v>
      </c>
      <c r="G9132" s="206" t="s">
        <v>6994</v>
      </c>
      <c r="H9132" s="206" t="s">
        <v>6134</v>
      </c>
      <c r="I9132" s="206" t="s">
        <v>5430</v>
      </c>
    </row>
    <row r="9133" spans="1:9" ht="15" hidden="1" customHeight="1">
      <c r="A9133" s="205">
        <v>45628</v>
      </c>
      <c r="B9133" s="208" t="s">
        <v>7197</v>
      </c>
      <c r="C9133" s="206" t="s">
        <v>146</v>
      </c>
      <c r="D9133" s="211">
        <v>-267400</v>
      </c>
      <c r="E9133" s="207">
        <v>45627</v>
      </c>
      <c r="F9133" s="206" t="s">
        <v>109</v>
      </c>
      <c r="G9133" s="206" t="s">
        <v>6994</v>
      </c>
      <c r="H9133" s="206" t="s">
        <v>6973</v>
      </c>
      <c r="I9133" s="206" t="s">
        <v>5430</v>
      </c>
    </row>
    <row r="9134" spans="1:9" ht="15" hidden="1" customHeight="1">
      <c r="A9134" s="205">
        <v>45628</v>
      </c>
      <c r="B9134" s="208" t="s">
        <v>7195</v>
      </c>
      <c r="C9134" s="206" t="s">
        <v>146</v>
      </c>
      <c r="D9134" s="211">
        <v>-10000</v>
      </c>
      <c r="E9134" s="207">
        <v>45627</v>
      </c>
      <c r="F9134" s="206" t="s">
        <v>109</v>
      </c>
      <c r="G9134" s="206" t="s">
        <v>6994</v>
      </c>
      <c r="H9134" s="206" t="s">
        <v>6134</v>
      </c>
      <c r="I9134" s="206" t="s">
        <v>5430</v>
      </c>
    </row>
    <row r="9135" spans="1:9" ht="15" hidden="1" customHeight="1">
      <c r="A9135" s="205">
        <v>45629</v>
      </c>
      <c r="B9135" s="208" t="s">
        <v>7198</v>
      </c>
      <c r="C9135" s="206" t="s">
        <v>146</v>
      </c>
      <c r="D9135" s="211">
        <v>-19100</v>
      </c>
      <c r="E9135" s="207">
        <v>45627</v>
      </c>
      <c r="F9135" s="206" t="s">
        <v>109</v>
      </c>
      <c r="G9135" s="206" t="s">
        <v>6994</v>
      </c>
      <c r="H9135" s="206" t="s">
        <v>6134</v>
      </c>
      <c r="I9135" s="206" t="s">
        <v>5430</v>
      </c>
    </row>
    <row r="9136" spans="1:9" ht="15" hidden="1" customHeight="1">
      <c r="A9136" s="205">
        <v>45629</v>
      </c>
      <c r="B9136" s="208" t="s">
        <v>7199</v>
      </c>
      <c r="C9136" s="206" t="s">
        <v>146</v>
      </c>
      <c r="D9136" s="211">
        <v>-117000</v>
      </c>
      <c r="E9136" s="207">
        <v>45627</v>
      </c>
      <c r="F9136" s="206" t="s">
        <v>109</v>
      </c>
      <c r="G9136" s="206" t="s">
        <v>6994</v>
      </c>
      <c r="H9136" s="206" t="s">
        <v>6134</v>
      </c>
      <c r="I9136" s="206" t="s">
        <v>5430</v>
      </c>
    </row>
    <row r="9137" spans="1:9" ht="15" hidden="1" customHeight="1">
      <c r="A9137" s="205">
        <v>45631</v>
      </c>
      <c r="B9137" s="208" t="s">
        <v>6785</v>
      </c>
      <c r="C9137" s="206" t="s">
        <v>146</v>
      </c>
      <c r="D9137" s="211">
        <v>-50000</v>
      </c>
      <c r="E9137" s="207">
        <v>45627</v>
      </c>
      <c r="F9137" s="206" t="s">
        <v>109</v>
      </c>
      <c r="G9137" s="206" t="s">
        <v>6994</v>
      </c>
      <c r="H9137" s="206" t="s">
        <v>6763</v>
      </c>
      <c r="I9137" s="206" t="s">
        <v>5430</v>
      </c>
    </row>
    <row r="9138" spans="1:9" ht="15" hidden="1" customHeight="1">
      <c r="A9138" s="205">
        <v>45631</v>
      </c>
      <c r="B9138" s="208" t="s">
        <v>7200</v>
      </c>
      <c r="C9138" s="206" t="s">
        <v>146</v>
      </c>
      <c r="D9138" s="211">
        <v>-18000</v>
      </c>
      <c r="E9138" s="207">
        <v>45627</v>
      </c>
      <c r="F9138" s="206" t="s">
        <v>109</v>
      </c>
      <c r="G9138" s="206" t="s">
        <v>6994</v>
      </c>
      <c r="H9138" s="206" t="s">
        <v>6973</v>
      </c>
      <c r="I9138" s="206" t="s">
        <v>5430</v>
      </c>
    </row>
    <row r="9139" spans="1:9" ht="15" hidden="1" customHeight="1">
      <c r="A9139" s="205">
        <v>45631</v>
      </c>
      <c r="B9139" s="208" t="s">
        <v>7201</v>
      </c>
      <c r="C9139" s="206" t="s">
        <v>146</v>
      </c>
      <c r="D9139" s="211">
        <v>-70000</v>
      </c>
      <c r="E9139" s="207">
        <v>45627</v>
      </c>
      <c r="F9139" s="206" t="s">
        <v>109</v>
      </c>
      <c r="G9139" s="206" t="s">
        <v>6994</v>
      </c>
      <c r="H9139" s="206" t="s">
        <v>6973</v>
      </c>
      <c r="I9139" s="206" t="s">
        <v>5430</v>
      </c>
    </row>
    <row r="9140" spans="1:9" ht="15" hidden="1" customHeight="1">
      <c r="A9140" s="205">
        <v>45631</v>
      </c>
      <c r="B9140" s="208" t="s">
        <v>7202</v>
      </c>
      <c r="C9140" s="206" t="s">
        <v>146</v>
      </c>
      <c r="D9140" s="211">
        <v>-100000</v>
      </c>
      <c r="E9140" s="207">
        <v>45627</v>
      </c>
      <c r="F9140" s="206" t="s">
        <v>109</v>
      </c>
      <c r="G9140" s="206" t="s">
        <v>5990</v>
      </c>
      <c r="H9140" s="206" t="s">
        <v>6134</v>
      </c>
      <c r="I9140" s="206" t="s">
        <v>6479</v>
      </c>
    </row>
    <row r="9141" spans="1:9" ht="15" hidden="1" customHeight="1">
      <c r="A9141" s="205">
        <v>45631</v>
      </c>
      <c r="B9141" s="208" t="s">
        <v>7203</v>
      </c>
      <c r="C9141" s="206" t="s">
        <v>146</v>
      </c>
      <c r="D9141" s="211">
        <v>-20000</v>
      </c>
      <c r="E9141" s="207">
        <v>45627</v>
      </c>
      <c r="F9141" s="206" t="s">
        <v>109</v>
      </c>
      <c r="G9141" s="206" t="s">
        <v>5990</v>
      </c>
      <c r="H9141" s="206" t="s">
        <v>6134</v>
      </c>
      <c r="I9141" s="206" t="s">
        <v>6479</v>
      </c>
    </row>
    <row r="9142" spans="1:9" ht="15" hidden="1" customHeight="1">
      <c r="A9142" s="205">
        <v>45631</v>
      </c>
      <c r="B9142" s="208" t="s">
        <v>7204</v>
      </c>
      <c r="C9142" s="206" t="s">
        <v>146</v>
      </c>
      <c r="D9142" s="211">
        <v>-27000</v>
      </c>
      <c r="E9142" s="207">
        <v>45627</v>
      </c>
      <c r="F9142" s="206" t="s">
        <v>109</v>
      </c>
      <c r="G9142" s="206" t="s">
        <v>5990</v>
      </c>
      <c r="H9142" s="206" t="s">
        <v>6134</v>
      </c>
      <c r="I9142" s="206" t="s">
        <v>6479</v>
      </c>
    </row>
    <row r="9143" spans="1:9" ht="15" hidden="1" customHeight="1">
      <c r="A9143" s="205">
        <v>45630</v>
      </c>
      <c r="B9143" s="208" t="s">
        <v>7205</v>
      </c>
      <c r="C9143" s="206" t="s">
        <v>146</v>
      </c>
      <c r="D9143" s="211">
        <v>-50000</v>
      </c>
      <c r="E9143" s="207">
        <v>45627</v>
      </c>
      <c r="F9143" s="206" t="s">
        <v>109</v>
      </c>
      <c r="G9143" s="206" t="s">
        <v>4986</v>
      </c>
      <c r="H9143" s="206" t="s">
        <v>416</v>
      </c>
      <c r="I9143" s="206" t="s">
        <v>5430</v>
      </c>
    </row>
    <row r="9144" spans="1:9" ht="15" hidden="1" customHeight="1">
      <c r="A9144" s="205">
        <v>45630</v>
      </c>
      <c r="B9144" s="208" t="s">
        <v>7206</v>
      </c>
      <c r="C9144" s="206" t="s">
        <v>146</v>
      </c>
      <c r="D9144" s="211">
        <v>-60000</v>
      </c>
      <c r="E9144" s="207">
        <v>45627</v>
      </c>
      <c r="F9144" s="206" t="s">
        <v>109</v>
      </c>
      <c r="G9144" s="206" t="s">
        <v>6875</v>
      </c>
      <c r="H9144" s="206" t="s">
        <v>416</v>
      </c>
      <c r="I9144" s="206" t="s">
        <v>5430</v>
      </c>
    </row>
    <row r="9145" spans="1:9" ht="15" hidden="1" customHeight="1">
      <c r="A9145" s="205">
        <v>45630</v>
      </c>
      <c r="B9145" s="208" t="s">
        <v>7207</v>
      </c>
      <c r="C9145" s="206" t="s">
        <v>146</v>
      </c>
      <c r="D9145" s="211">
        <v>-90000</v>
      </c>
      <c r="E9145" s="207">
        <v>45627</v>
      </c>
      <c r="F9145" s="206" t="s">
        <v>109</v>
      </c>
      <c r="G9145" s="206" t="s">
        <v>6875</v>
      </c>
      <c r="H9145" s="206" t="s">
        <v>416</v>
      </c>
      <c r="I9145" s="206" t="s">
        <v>5430</v>
      </c>
    </row>
    <row r="9146" spans="1:9" ht="15" hidden="1" customHeight="1">
      <c r="A9146" s="205">
        <v>45630</v>
      </c>
      <c r="B9146" s="208" t="s">
        <v>7208</v>
      </c>
      <c r="C9146" s="206" t="s">
        <v>146</v>
      </c>
      <c r="D9146" s="211">
        <v>-85200</v>
      </c>
      <c r="E9146" s="207">
        <v>45627</v>
      </c>
      <c r="F9146" s="206" t="s">
        <v>110</v>
      </c>
      <c r="G9146" s="206" t="s">
        <v>5469</v>
      </c>
      <c r="H9146" s="206" t="s">
        <v>2941</v>
      </c>
      <c r="I9146" s="206" t="s">
        <v>5430</v>
      </c>
    </row>
    <row r="9147" spans="1:9" ht="15" hidden="1" customHeight="1">
      <c r="A9147" s="205">
        <v>45631</v>
      </c>
      <c r="B9147" s="208" t="s">
        <v>7209</v>
      </c>
      <c r="C9147" s="206" t="s">
        <v>146</v>
      </c>
      <c r="D9147" s="211">
        <v>-76900</v>
      </c>
      <c r="E9147" s="207">
        <v>45627</v>
      </c>
      <c r="F9147" s="206" t="s">
        <v>109</v>
      </c>
      <c r="G9147" s="206" t="s">
        <v>6875</v>
      </c>
      <c r="H9147" s="206" t="s">
        <v>2941</v>
      </c>
      <c r="I9147" s="206" t="s">
        <v>5430</v>
      </c>
    </row>
    <row r="9148" spans="1:9" ht="15" hidden="1" customHeight="1">
      <c r="A9148" s="205">
        <v>45631</v>
      </c>
      <c r="B9148" s="208" t="s">
        <v>7210</v>
      </c>
      <c r="C9148" s="206" t="s">
        <v>146</v>
      </c>
      <c r="D9148" s="211">
        <v>-48000</v>
      </c>
      <c r="E9148" s="207">
        <v>45627</v>
      </c>
      <c r="F9148" s="206" t="s">
        <v>130</v>
      </c>
      <c r="G9148" s="206" t="s">
        <v>257</v>
      </c>
      <c r="H9148" s="206" t="s">
        <v>2724</v>
      </c>
      <c r="I9148" s="206" t="s">
        <v>5430</v>
      </c>
    </row>
    <row r="9149" spans="1:9" ht="15" hidden="1" customHeight="1">
      <c r="A9149" s="205">
        <v>45632</v>
      </c>
      <c r="B9149" s="208" t="s">
        <v>7211</v>
      </c>
      <c r="C9149" s="206" t="s">
        <v>146</v>
      </c>
      <c r="D9149" s="211">
        <v>-63600</v>
      </c>
      <c r="E9149" s="207">
        <v>45627</v>
      </c>
      <c r="F9149" s="206" t="s">
        <v>109</v>
      </c>
      <c r="G9149" s="206" t="s">
        <v>4986</v>
      </c>
      <c r="H9149" s="206" t="s">
        <v>2941</v>
      </c>
      <c r="I9149" s="206" t="s">
        <v>5430</v>
      </c>
    </row>
    <row r="9150" spans="1:9" ht="15" hidden="1" customHeight="1">
      <c r="A9150" s="205">
        <v>45632</v>
      </c>
      <c r="B9150" s="208" t="s">
        <v>7212</v>
      </c>
      <c r="C9150" s="206" t="s">
        <v>146</v>
      </c>
      <c r="D9150" s="211">
        <v>-49000</v>
      </c>
      <c r="E9150" s="207">
        <v>45627</v>
      </c>
      <c r="F9150" s="206" t="s">
        <v>109</v>
      </c>
      <c r="G9150" s="206" t="s">
        <v>4986</v>
      </c>
      <c r="H9150" s="206" t="s">
        <v>2941</v>
      </c>
      <c r="I9150" s="206" t="s">
        <v>5430</v>
      </c>
    </row>
    <row r="9151" spans="1:9" ht="15" hidden="1" customHeight="1">
      <c r="A9151" s="205">
        <v>45632</v>
      </c>
      <c r="B9151" s="208" t="s">
        <v>7213</v>
      </c>
      <c r="C9151" s="206" t="s">
        <v>146</v>
      </c>
      <c r="D9151" s="211">
        <v>-175200</v>
      </c>
      <c r="E9151" s="207">
        <v>45627</v>
      </c>
      <c r="F9151" s="206" t="s">
        <v>109</v>
      </c>
      <c r="G9151" s="206" t="s">
        <v>4986</v>
      </c>
      <c r="H9151" s="206" t="s">
        <v>2941</v>
      </c>
      <c r="I9151" s="206" t="s">
        <v>5430</v>
      </c>
    </row>
    <row r="9152" spans="1:9" ht="15" hidden="1" customHeight="1">
      <c r="A9152" s="205">
        <v>45632</v>
      </c>
      <c r="B9152" s="208" t="s">
        <v>7214</v>
      </c>
      <c r="C9152" s="206" t="s">
        <v>146</v>
      </c>
      <c r="D9152" s="211">
        <v>-18885</v>
      </c>
      <c r="E9152" s="207">
        <v>45627</v>
      </c>
      <c r="F9152" s="206" t="s">
        <v>109</v>
      </c>
      <c r="G9152" s="206" t="s">
        <v>4986</v>
      </c>
      <c r="H9152" s="206" t="s">
        <v>2941</v>
      </c>
      <c r="I9152" s="206" t="s">
        <v>5430</v>
      </c>
    </row>
    <row r="9153" spans="1:9" ht="15" hidden="1" customHeight="1">
      <c r="A9153" s="205">
        <v>45632</v>
      </c>
      <c r="B9153" s="208" t="s">
        <v>7215</v>
      </c>
      <c r="C9153" s="206" t="s">
        <v>146</v>
      </c>
      <c r="D9153" s="211">
        <v>-36000</v>
      </c>
      <c r="E9153" s="207">
        <v>45627</v>
      </c>
      <c r="F9153" s="206" t="s">
        <v>109</v>
      </c>
      <c r="G9153" s="206" t="s">
        <v>6875</v>
      </c>
      <c r="H9153" s="206" t="s">
        <v>2941</v>
      </c>
      <c r="I9153" s="206" t="s">
        <v>5430</v>
      </c>
    </row>
    <row r="9154" spans="1:9" ht="15" hidden="1" customHeight="1">
      <c r="A9154" s="205">
        <v>45632</v>
      </c>
      <c r="B9154" s="208" t="s">
        <v>7216</v>
      </c>
      <c r="C9154" s="206" t="s">
        <v>146</v>
      </c>
      <c r="D9154" s="211">
        <v>-89200</v>
      </c>
      <c r="E9154" s="207">
        <v>45627</v>
      </c>
      <c r="F9154" s="206" t="s">
        <v>109</v>
      </c>
      <c r="G9154" s="206" t="s">
        <v>6875</v>
      </c>
      <c r="H9154" s="206" t="s">
        <v>2941</v>
      </c>
      <c r="I9154" s="206" t="s">
        <v>5430</v>
      </c>
    </row>
    <row r="9155" spans="1:9" ht="15" hidden="1" customHeight="1">
      <c r="A9155" s="205">
        <v>45635</v>
      </c>
      <c r="B9155" s="208" t="s">
        <v>7217</v>
      </c>
      <c r="C9155" s="206" t="s">
        <v>146</v>
      </c>
      <c r="D9155" s="211">
        <v>-45920</v>
      </c>
      <c r="E9155" s="207">
        <v>45627</v>
      </c>
      <c r="F9155" s="206" t="s">
        <v>110</v>
      </c>
      <c r="G9155" s="206" t="s">
        <v>5469</v>
      </c>
      <c r="H9155" s="206" t="s">
        <v>2941</v>
      </c>
      <c r="I9155" s="206" t="s">
        <v>5430</v>
      </c>
    </row>
    <row r="9156" spans="1:9" ht="15" hidden="1" customHeight="1">
      <c r="A9156" s="205">
        <v>45635</v>
      </c>
      <c r="B9156" s="208" t="s">
        <v>7217</v>
      </c>
      <c r="C9156" s="206" t="s">
        <v>146</v>
      </c>
      <c r="D9156" s="211">
        <v>-195160</v>
      </c>
      <c r="E9156" s="207">
        <v>45627</v>
      </c>
      <c r="F9156" s="206" t="s">
        <v>110</v>
      </c>
      <c r="G9156" s="206" t="s">
        <v>5469</v>
      </c>
      <c r="H9156" s="206" t="s">
        <v>2941</v>
      </c>
      <c r="I9156" s="206" t="s">
        <v>5430</v>
      </c>
    </row>
    <row r="9157" spans="1:9" ht="15" hidden="1" customHeight="1">
      <c r="A9157" s="205">
        <v>45635</v>
      </c>
      <c r="B9157" s="208" t="s">
        <v>6275</v>
      </c>
      <c r="C9157" s="206" t="s">
        <v>146</v>
      </c>
      <c r="D9157" s="211">
        <v>-15200</v>
      </c>
      <c r="E9157" s="207">
        <v>45627</v>
      </c>
      <c r="F9157" s="206" t="s">
        <v>130</v>
      </c>
      <c r="G9157" s="206" t="s">
        <v>130</v>
      </c>
      <c r="H9157" s="206" t="s">
        <v>2444</v>
      </c>
      <c r="I9157" s="206" t="s">
        <v>5430</v>
      </c>
    </row>
    <row r="9158" spans="1:9" ht="15" hidden="1" customHeight="1">
      <c r="A9158" s="205">
        <v>45635</v>
      </c>
      <c r="B9158" s="208" t="s">
        <v>7218</v>
      </c>
      <c r="C9158" s="206" t="s">
        <v>146</v>
      </c>
      <c r="D9158" s="211">
        <v>-7916</v>
      </c>
      <c r="E9158" s="207">
        <v>45627</v>
      </c>
      <c r="F9158" s="206" t="s">
        <v>109</v>
      </c>
      <c r="G9158" s="206" t="s">
        <v>6994</v>
      </c>
      <c r="H9158" s="206" t="s">
        <v>6973</v>
      </c>
      <c r="I9158" s="206" t="s">
        <v>5430</v>
      </c>
    </row>
    <row r="9159" spans="1:9" ht="15" hidden="1" customHeight="1">
      <c r="A9159" s="205">
        <v>45636</v>
      </c>
      <c r="B9159" s="208" t="s">
        <v>7219</v>
      </c>
      <c r="C9159" s="206" t="s">
        <v>146</v>
      </c>
      <c r="D9159" s="211">
        <v>-10000</v>
      </c>
      <c r="E9159" s="207">
        <v>45627</v>
      </c>
      <c r="F9159" s="206" t="s">
        <v>109</v>
      </c>
      <c r="G9159" s="206" t="s">
        <v>6994</v>
      </c>
      <c r="H9159" s="206" t="s">
        <v>6763</v>
      </c>
      <c r="I9159" s="206" t="s">
        <v>5430</v>
      </c>
    </row>
    <row r="9160" spans="1:9" ht="15" hidden="1" customHeight="1">
      <c r="A9160" s="205">
        <v>45636</v>
      </c>
      <c r="B9160" s="208" t="s">
        <v>7220</v>
      </c>
      <c r="C9160" s="206" t="s">
        <v>146</v>
      </c>
      <c r="D9160" s="211">
        <v>-40000</v>
      </c>
      <c r="E9160" s="207">
        <v>45627</v>
      </c>
      <c r="F9160" s="206" t="s">
        <v>109</v>
      </c>
      <c r="G9160" s="206" t="s">
        <v>6994</v>
      </c>
      <c r="H9160" s="206" t="s">
        <v>6763</v>
      </c>
      <c r="I9160" s="206" t="s">
        <v>5430</v>
      </c>
    </row>
    <row r="9161" spans="1:9" ht="15" hidden="1" customHeight="1">
      <c r="A9161" s="205">
        <v>45636</v>
      </c>
      <c r="B9161" s="208" t="s">
        <v>7221</v>
      </c>
      <c r="C9161" s="206" t="s">
        <v>146</v>
      </c>
      <c r="D9161" s="211">
        <v>-21176</v>
      </c>
      <c r="E9161" s="207">
        <v>45627</v>
      </c>
      <c r="F9161" s="206" t="s">
        <v>109</v>
      </c>
      <c r="G9161" s="206" t="s">
        <v>6994</v>
      </c>
      <c r="H9161" s="206" t="s">
        <v>6973</v>
      </c>
      <c r="I9161" s="206" t="s">
        <v>5430</v>
      </c>
    </row>
    <row r="9162" spans="1:9" ht="15" hidden="1" customHeight="1">
      <c r="A9162" s="205">
        <v>45636</v>
      </c>
      <c r="B9162" s="208" t="s">
        <v>7222</v>
      </c>
      <c r="C9162" s="206" t="s">
        <v>146</v>
      </c>
      <c r="D9162" s="211">
        <v>-104698</v>
      </c>
      <c r="E9162" s="207">
        <v>45627</v>
      </c>
      <c r="F9162" s="206" t="s">
        <v>109</v>
      </c>
      <c r="G9162" s="206" t="s">
        <v>6994</v>
      </c>
      <c r="H9162" s="206" t="s">
        <v>6134</v>
      </c>
      <c r="I9162" s="206" t="s">
        <v>5430</v>
      </c>
    </row>
    <row r="9163" spans="1:9" ht="15" hidden="1" customHeight="1">
      <c r="A9163" s="205">
        <v>45635</v>
      </c>
      <c r="B9163" s="208" t="s">
        <v>7223</v>
      </c>
      <c r="C9163" s="206" t="s">
        <v>146</v>
      </c>
      <c r="D9163" s="211">
        <v>-592874</v>
      </c>
      <c r="E9163" s="207">
        <v>45627</v>
      </c>
      <c r="F9163" s="206" t="s">
        <v>109</v>
      </c>
      <c r="G9163" s="206" t="s">
        <v>5990</v>
      </c>
      <c r="H9163" s="206" t="s">
        <v>6266</v>
      </c>
      <c r="I9163" s="206"/>
    </row>
    <row r="9164" spans="1:9" ht="15" hidden="1" customHeight="1">
      <c r="A9164" s="205">
        <v>45635</v>
      </c>
      <c r="B9164" s="208" t="s">
        <v>7223</v>
      </c>
      <c r="C9164" s="206" t="s">
        <v>146</v>
      </c>
      <c r="D9164" s="211">
        <v>-54000</v>
      </c>
      <c r="E9164" s="207">
        <v>45627</v>
      </c>
      <c r="F9164" s="206" t="s">
        <v>109</v>
      </c>
      <c r="G9164" s="206" t="s">
        <v>4986</v>
      </c>
      <c r="H9164" s="206" t="s">
        <v>6929</v>
      </c>
      <c r="I9164" s="206"/>
    </row>
    <row r="9165" spans="1:9" ht="15" hidden="1" customHeight="1">
      <c r="A9165" s="205">
        <v>45635</v>
      </c>
      <c r="B9165" s="208" t="s">
        <v>7223</v>
      </c>
      <c r="C9165" s="206" t="s">
        <v>146</v>
      </c>
      <c r="D9165" s="211">
        <v>-36000</v>
      </c>
      <c r="E9165" s="207">
        <v>45627</v>
      </c>
      <c r="F9165" s="206" t="s">
        <v>109</v>
      </c>
      <c r="G9165" s="206" t="s">
        <v>6994</v>
      </c>
      <c r="H9165" s="206" t="s">
        <v>6266</v>
      </c>
      <c r="I9165" s="206"/>
    </row>
    <row r="9166" spans="1:9" ht="15" hidden="1" customHeight="1">
      <c r="A9166" s="205">
        <v>45635</v>
      </c>
      <c r="B9166" s="208" t="s">
        <v>7223</v>
      </c>
      <c r="C9166" s="206" t="s">
        <v>146</v>
      </c>
      <c r="D9166" s="211">
        <v>-7000</v>
      </c>
      <c r="E9166" s="207">
        <v>45627</v>
      </c>
      <c r="F9166" s="206" t="s">
        <v>130</v>
      </c>
      <c r="G9166" s="206" t="s">
        <v>130</v>
      </c>
      <c r="H9166" s="206" t="s">
        <v>6929</v>
      </c>
      <c r="I9166" s="206"/>
    </row>
    <row r="9167" spans="1:9" ht="15" hidden="1" customHeight="1">
      <c r="A9167" s="205">
        <v>45635</v>
      </c>
      <c r="B9167" s="208" t="s">
        <v>7223</v>
      </c>
      <c r="C9167" s="206" t="s">
        <v>146</v>
      </c>
      <c r="D9167" s="211">
        <v>-7000</v>
      </c>
      <c r="E9167" s="207">
        <v>45627</v>
      </c>
      <c r="F9167" s="206" t="s">
        <v>109</v>
      </c>
      <c r="G9167" s="206" t="s">
        <v>5906</v>
      </c>
      <c r="H9167" s="206" t="s">
        <v>6929</v>
      </c>
      <c r="I9167" s="206"/>
    </row>
    <row r="9168" spans="1:9" ht="15" hidden="1" customHeight="1">
      <c r="A9168" s="205">
        <v>45635</v>
      </c>
      <c r="B9168" s="208" t="s">
        <v>7223</v>
      </c>
      <c r="C9168" s="206" t="s">
        <v>146</v>
      </c>
      <c r="D9168" s="211">
        <v>-75000</v>
      </c>
      <c r="E9168" s="207">
        <v>45627</v>
      </c>
      <c r="F9168" s="206" t="s">
        <v>110</v>
      </c>
      <c r="G9168" s="206" t="s">
        <v>5469</v>
      </c>
      <c r="H9168" s="81" t="s">
        <v>138</v>
      </c>
      <c r="I9168" s="206"/>
    </row>
    <row r="9169" spans="1:9" ht="15" hidden="1" customHeight="1">
      <c r="A9169" s="205">
        <v>45635</v>
      </c>
      <c r="B9169" s="208" t="s">
        <v>7223</v>
      </c>
      <c r="C9169" s="206" t="s">
        <v>146</v>
      </c>
      <c r="D9169" s="211">
        <v>-97000</v>
      </c>
      <c r="E9169" s="207">
        <v>45627</v>
      </c>
      <c r="F9169" s="206" t="s">
        <v>109</v>
      </c>
      <c r="G9169" s="206" t="s">
        <v>6875</v>
      </c>
      <c r="H9169" s="206" t="s">
        <v>6929</v>
      </c>
      <c r="I9169" s="206"/>
    </row>
    <row r="9170" spans="1:9" ht="15" hidden="1" customHeight="1">
      <c r="A9170" s="468">
        <v>45635</v>
      </c>
      <c r="B9170" s="208" t="s">
        <v>7224</v>
      </c>
      <c r="C9170" s="208" t="s">
        <v>4314</v>
      </c>
      <c r="D9170" s="211">
        <v>-8830</v>
      </c>
      <c r="E9170" s="212">
        <v>45627</v>
      </c>
      <c r="F9170" s="208" t="s">
        <v>109</v>
      </c>
      <c r="G9170" s="206" t="s">
        <v>5990</v>
      </c>
      <c r="H9170" s="81"/>
      <c r="I9170" s="206"/>
    </row>
    <row r="9171" spans="1:9" ht="15" hidden="1" customHeight="1">
      <c r="A9171" s="468">
        <v>45635</v>
      </c>
      <c r="B9171" s="208" t="s">
        <v>7225</v>
      </c>
      <c r="C9171" s="208" t="s">
        <v>4314</v>
      </c>
      <c r="D9171" s="211">
        <v>-5296</v>
      </c>
      <c r="E9171" s="212">
        <v>45627</v>
      </c>
      <c r="F9171" s="208" t="s">
        <v>109</v>
      </c>
      <c r="G9171" s="206" t="s">
        <v>5990</v>
      </c>
      <c r="H9171" s="81"/>
      <c r="I9171" s="206"/>
    </row>
    <row r="9172" spans="1:9" ht="15" hidden="1" customHeight="1">
      <c r="A9172" s="468">
        <v>45639</v>
      </c>
      <c r="B9172" s="208" t="s">
        <v>7226</v>
      </c>
      <c r="C9172" s="208" t="s">
        <v>146</v>
      </c>
      <c r="D9172" s="211">
        <v>-43000</v>
      </c>
      <c r="E9172" s="212">
        <v>45627</v>
      </c>
      <c r="F9172" s="208" t="s">
        <v>109</v>
      </c>
      <c r="G9172" s="206" t="s">
        <v>6875</v>
      </c>
      <c r="H9172" s="81" t="s">
        <v>6929</v>
      </c>
      <c r="I9172" s="206"/>
    </row>
    <row r="9173" spans="1:9" ht="15" hidden="1" customHeight="1">
      <c r="A9173" s="468">
        <v>45639</v>
      </c>
      <c r="B9173" s="208" t="s">
        <v>7226</v>
      </c>
      <c r="C9173" s="208" t="s">
        <v>146</v>
      </c>
      <c r="D9173" s="211">
        <v>-80000</v>
      </c>
      <c r="E9173" s="212">
        <v>45627</v>
      </c>
      <c r="F9173" s="208" t="s">
        <v>110</v>
      </c>
      <c r="G9173" s="206" t="s">
        <v>5469</v>
      </c>
      <c r="H9173" s="81" t="s">
        <v>138</v>
      </c>
      <c r="I9173" s="206"/>
    </row>
    <row r="9174" spans="1:9" ht="15" hidden="1" customHeight="1">
      <c r="A9174" s="468">
        <v>45639</v>
      </c>
      <c r="B9174" s="208" t="s">
        <v>7226</v>
      </c>
      <c r="C9174" s="208" t="s">
        <v>146</v>
      </c>
      <c r="D9174" s="211">
        <v>-14000</v>
      </c>
      <c r="E9174" s="212">
        <v>45627</v>
      </c>
      <c r="F9174" s="208" t="s">
        <v>130</v>
      </c>
      <c r="G9174" s="206" t="s">
        <v>130</v>
      </c>
      <c r="H9174" s="81" t="s">
        <v>6929</v>
      </c>
      <c r="I9174" s="206"/>
    </row>
    <row r="9175" spans="1:9" ht="15" hidden="1" customHeight="1">
      <c r="A9175" s="468">
        <v>45639</v>
      </c>
      <c r="B9175" s="208" t="s">
        <v>7226</v>
      </c>
      <c r="C9175" s="208" t="s">
        <v>146</v>
      </c>
      <c r="D9175" s="211">
        <v>-77696</v>
      </c>
      <c r="E9175" s="212">
        <v>45627</v>
      </c>
      <c r="F9175" s="208" t="s">
        <v>109</v>
      </c>
      <c r="G9175" s="206" t="s">
        <v>4986</v>
      </c>
      <c r="H9175" s="81" t="s">
        <v>6929</v>
      </c>
      <c r="I9175" s="206"/>
    </row>
    <row r="9176" spans="1:9" ht="15" hidden="1" customHeight="1">
      <c r="A9176" s="468">
        <v>45639</v>
      </c>
      <c r="B9176" s="208" t="s">
        <v>7226</v>
      </c>
      <c r="C9176" s="208" t="s">
        <v>146</v>
      </c>
      <c r="D9176" s="211">
        <v>-50000</v>
      </c>
      <c r="E9176" s="212">
        <v>45627</v>
      </c>
      <c r="F9176" s="208" t="s">
        <v>109</v>
      </c>
      <c r="G9176" s="206" t="s">
        <v>5906</v>
      </c>
      <c r="H9176" s="81" t="s">
        <v>6929</v>
      </c>
      <c r="I9176" s="720" t="s">
        <v>5410</v>
      </c>
    </row>
    <row r="9177" spans="1:9" ht="15" hidden="1" customHeight="1">
      <c r="A9177" s="468">
        <v>45639</v>
      </c>
      <c r="B9177" s="208" t="s">
        <v>7066</v>
      </c>
      <c r="C9177" s="208" t="s">
        <v>4314</v>
      </c>
      <c r="D9177" s="211">
        <v>-2690</v>
      </c>
      <c r="E9177" s="212">
        <v>45627</v>
      </c>
      <c r="F9177" s="208" t="s">
        <v>109</v>
      </c>
      <c r="G9177" s="206" t="s">
        <v>4986</v>
      </c>
      <c r="H9177" s="81" t="s">
        <v>2941</v>
      </c>
      <c r="I9177" s="206"/>
    </row>
    <row r="9178" spans="1:9" ht="15" hidden="1" customHeight="1">
      <c r="A9178" s="468">
        <v>45639</v>
      </c>
      <c r="B9178" s="208" t="s">
        <v>7067</v>
      </c>
      <c r="C9178" s="208" t="s">
        <v>4314</v>
      </c>
      <c r="D9178" s="211">
        <v>-1614</v>
      </c>
      <c r="E9178" s="212">
        <v>45627</v>
      </c>
      <c r="F9178" s="208" t="s">
        <v>109</v>
      </c>
      <c r="G9178" s="206" t="s">
        <v>4986</v>
      </c>
      <c r="H9178" s="81" t="s">
        <v>2941</v>
      </c>
      <c r="I9178" s="206"/>
    </row>
    <row r="9179" spans="1:9" ht="15" hidden="1" customHeight="1">
      <c r="A9179" s="468">
        <v>45639</v>
      </c>
      <c r="B9179" s="208" t="s">
        <v>7223</v>
      </c>
      <c r="C9179" s="208" t="s">
        <v>146</v>
      </c>
      <c r="D9179" s="211">
        <v>-139000</v>
      </c>
      <c r="E9179" s="212">
        <v>45627</v>
      </c>
      <c r="F9179" s="208" t="s">
        <v>110</v>
      </c>
      <c r="G9179" s="206" t="s">
        <v>5469</v>
      </c>
      <c r="H9179" s="81" t="s">
        <v>138</v>
      </c>
      <c r="I9179" s="206"/>
    </row>
    <row r="9180" spans="1:9" ht="15" hidden="1" customHeight="1">
      <c r="A9180" s="468">
        <v>45639</v>
      </c>
      <c r="B9180" s="208" t="s">
        <v>7223</v>
      </c>
      <c r="C9180" s="208" t="s">
        <v>146</v>
      </c>
      <c r="D9180" s="211">
        <v>-320000</v>
      </c>
      <c r="E9180" s="212">
        <v>45627</v>
      </c>
      <c r="F9180" s="208" t="s">
        <v>109</v>
      </c>
      <c r="G9180" s="206" t="s">
        <v>6994</v>
      </c>
      <c r="H9180" s="81" t="s">
        <v>6266</v>
      </c>
      <c r="I9180" s="206"/>
    </row>
    <row r="9181" spans="1:9" ht="15" hidden="1" customHeight="1">
      <c r="A9181" s="468">
        <v>45639</v>
      </c>
      <c r="B9181" s="208" t="s">
        <v>7223</v>
      </c>
      <c r="C9181" s="208" t="s">
        <v>146</v>
      </c>
      <c r="D9181" s="211">
        <v>-7000</v>
      </c>
      <c r="E9181" s="212">
        <v>45627</v>
      </c>
      <c r="F9181" s="208" t="s">
        <v>109</v>
      </c>
      <c r="G9181" s="206" t="s">
        <v>6954</v>
      </c>
      <c r="H9181" s="81" t="s">
        <v>6266</v>
      </c>
      <c r="I9181" s="206"/>
    </row>
    <row r="9182" spans="1:9" ht="15" hidden="1" customHeight="1">
      <c r="A9182" s="468">
        <v>45639</v>
      </c>
      <c r="B9182" s="208" t="s">
        <v>7223</v>
      </c>
      <c r="C9182" s="208" t="s">
        <v>146</v>
      </c>
      <c r="D9182" s="211">
        <v>-58000</v>
      </c>
      <c r="E9182" s="212">
        <v>45627</v>
      </c>
      <c r="F9182" s="208" t="s">
        <v>109</v>
      </c>
      <c r="G9182" s="206" t="s">
        <v>4986</v>
      </c>
      <c r="H9182" s="81" t="s">
        <v>6929</v>
      </c>
      <c r="I9182" s="206"/>
    </row>
    <row r="9183" spans="1:9" ht="15" hidden="1" customHeight="1">
      <c r="A9183" s="468">
        <v>45639</v>
      </c>
      <c r="B9183" s="208" t="s">
        <v>7223</v>
      </c>
      <c r="C9183" s="208" t="s">
        <v>146</v>
      </c>
      <c r="D9183" s="211">
        <v>-30000</v>
      </c>
      <c r="E9183" s="212">
        <v>45627</v>
      </c>
      <c r="F9183" s="208" t="s">
        <v>109</v>
      </c>
      <c r="G9183" s="206" t="s">
        <v>6875</v>
      </c>
      <c r="H9183" s="81" t="s">
        <v>6929</v>
      </c>
      <c r="I9183" s="206"/>
    </row>
    <row r="9184" spans="1:9" ht="15" hidden="1" customHeight="1">
      <c r="A9184" s="468">
        <v>45639</v>
      </c>
      <c r="B9184" s="208" t="s">
        <v>7223</v>
      </c>
      <c r="C9184" s="208" t="s">
        <v>146</v>
      </c>
      <c r="D9184" s="211">
        <v>-14000</v>
      </c>
      <c r="E9184" s="212">
        <v>45627</v>
      </c>
      <c r="F9184" s="208" t="s">
        <v>130</v>
      </c>
      <c r="G9184" s="206" t="s">
        <v>130</v>
      </c>
      <c r="H9184" s="81" t="s">
        <v>6929</v>
      </c>
      <c r="I9184" s="206"/>
    </row>
    <row r="9185" spans="1:9" ht="15" hidden="1" customHeight="1">
      <c r="A9185" s="468">
        <v>45639</v>
      </c>
      <c r="B9185" s="208" t="s">
        <v>7223</v>
      </c>
      <c r="C9185" s="208" t="s">
        <v>146</v>
      </c>
      <c r="D9185" s="211">
        <v>-7000</v>
      </c>
      <c r="E9185" s="212">
        <v>45627</v>
      </c>
      <c r="F9185" s="208" t="s">
        <v>109</v>
      </c>
      <c r="G9185" s="206" t="s">
        <v>6994</v>
      </c>
      <c r="H9185" s="81" t="s">
        <v>6266</v>
      </c>
      <c r="I9185" s="206"/>
    </row>
    <row r="9186" spans="1:9" ht="15" hidden="1" customHeight="1">
      <c r="A9186" s="468">
        <v>45639</v>
      </c>
      <c r="B9186" s="208" t="s">
        <v>7223</v>
      </c>
      <c r="C9186" s="208" t="s">
        <v>146</v>
      </c>
      <c r="D9186" s="211">
        <v>-40000</v>
      </c>
      <c r="E9186" s="212">
        <v>45627</v>
      </c>
      <c r="F9186" s="208" t="s">
        <v>109</v>
      </c>
      <c r="G9186" s="206" t="s">
        <v>4225</v>
      </c>
      <c r="H9186" s="81" t="s">
        <v>6929</v>
      </c>
      <c r="I9186" s="206"/>
    </row>
    <row r="9187" spans="1:9" ht="15" hidden="1" customHeight="1">
      <c r="A9187" s="468">
        <v>45639</v>
      </c>
      <c r="B9187" s="208" t="s">
        <v>7224</v>
      </c>
      <c r="C9187" s="208" t="s">
        <v>4314</v>
      </c>
      <c r="D9187" s="211">
        <v>-6250</v>
      </c>
      <c r="E9187" s="212">
        <v>45627</v>
      </c>
      <c r="F9187" s="208" t="s">
        <v>109</v>
      </c>
      <c r="G9187" s="206" t="s">
        <v>6994</v>
      </c>
      <c r="H9187" s="81" t="s">
        <v>6266</v>
      </c>
      <c r="I9187" s="206"/>
    </row>
    <row r="9188" spans="1:9" ht="15" hidden="1" customHeight="1">
      <c r="A9188" s="468">
        <v>45639</v>
      </c>
      <c r="B9188" s="208" t="s">
        <v>7225</v>
      </c>
      <c r="C9188" s="208" t="s">
        <v>4314</v>
      </c>
      <c r="D9188" s="211">
        <v>-3750</v>
      </c>
      <c r="E9188" s="212">
        <v>45627</v>
      </c>
      <c r="F9188" s="208" t="s">
        <v>109</v>
      </c>
      <c r="G9188" s="206" t="s">
        <v>6994</v>
      </c>
      <c r="H9188" s="81" t="s">
        <v>6266</v>
      </c>
      <c r="I9188" s="206"/>
    </row>
    <row r="9189" spans="1:9" ht="15" hidden="1" customHeight="1">
      <c r="A9189" s="468">
        <v>45636</v>
      </c>
      <c r="B9189" s="208" t="s">
        <v>7227</v>
      </c>
      <c r="C9189" s="208" t="s">
        <v>146</v>
      </c>
      <c r="D9189" s="211">
        <v>-77100</v>
      </c>
      <c r="E9189" s="212">
        <v>45627</v>
      </c>
      <c r="F9189" s="208" t="s">
        <v>110</v>
      </c>
      <c r="G9189" s="206" t="s">
        <v>5469</v>
      </c>
      <c r="H9189" s="81" t="s">
        <v>2941</v>
      </c>
      <c r="I9189" s="206" t="s">
        <v>7228</v>
      </c>
    </row>
    <row r="9190" spans="1:9" ht="15" hidden="1" customHeight="1">
      <c r="A9190" s="468">
        <v>45636</v>
      </c>
      <c r="B9190" s="208" t="s">
        <v>7229</v>
      </c>
      <c r="C9190" s="208" t="s">
        <v>146</v>
      </c>
      <c r="D9190" s="211">
        <v>-172500</v>
      </c>
      <c r="E9190" s="212">
        <v>45627</v>
      </c>
      <c r="F9190" s="208" t="s">
        <v>110</v>
      </c>
      <c r="G9190" s="206" t="s">
        <v>5469</v>
      </c>
      <c r="H9190" s="81" t="s">
        <v>2941</v>
      </c>
      <c r="I9190" s="206" t="s">
        <v>7228</v>
      </c>
    </row>
    <row r="9191" spans="1:9" ht="15" hidden="1" customHeight="1">
      <c r="A9191" s="468">
        <v>45636</v>
      </c>
      <c r="B9191" s="208" t="s">
        <v>7230</v>
      </c>
      <c r="C9191" s="208" t="s">
        <v>146</v>
      </c>
      <c r="D9191" s="211">
        <v>-113600</v>
      </c>
      <c r="E9191" s="212">
        <v>45627</v>
      </c>
      <c r="F9191" s="208" t="s">
        <v>110</v>
      </c>
      <c r="G9191" s="206" t="s">
        <v>5469</v>
      </c>
      <c r="H9191" s="81" t="s">
        <v>2941</v>
      </c>
      <c r="I9191" s="206" t="s">
        <v>7228</v>
      </c>
    </row>
    <row r="9192" spans="1:9" ht="15" hidden="1" customHeight="1">
      <c r="A9192" s="468">
        <v>45636</v>
      </c>
      <c r="B9192" s="208" t="s">
        <v>7231</v>
      </c>
      <c r="C9192" s="208" t="s">
        <v>146</v>
      </c>
      <c r="D9192" s="211">
        <v>-90000</v>
      </c>
      <c r="E9192" s="212">
        <v>45627</v>
      </c>
      <c r="F9192" s="208" t="s">
        <v>110</v>
      </c>
      <c r="G9192" s="206" t="s">
        <v>5469</v>
      </c>
      <c r="H9192" s="81" t="s">
        <v>2941</v>
      </c>
      <c r="I9192" s="206" t="s">
        <v>7228</v>
      </c>
    </row>
    <row r="9193" spans="1:9" ht="15" hidden="1" customHeight="1">
      <c r="A9193" s="468">
        <v>45636</v>
      </c>
      <c r="B9193" s="208" t="s">
        <v>7232</v>
      </c>
      <c r="C9193" s="208" t="s">
        <v>146</v>
      </c>
      <c r="D9193" s="211">
        <v>-198811</v>
      </c>
      <c r="E9193" s="212">
        <v>45627</v>
      </c>
      <c r="F9193" s="208" t="s">
        <v>110</v>
      </c>
      <c r="G9193" s="206" t="s">
        <v>5469</v>
      </c>
      <c r="H9193" s="81" t="s">
        <v>2941</v>
      </c>
      <c r="I9193" s="206" t="s">
        <v>7228</v>
      </c>
    </row>
    <row r="9194" spans="1:9" ht="15" hidden="1" customHeight="1">
      <c r="A9194" s="468">
        <v>45637</v>
      </c>
      <c r="B9194" s="208" t="s">
        <v>7233</v>
      </c>
      <c r="C9194" s="208" t="s">
        <v>146</v>
      </c>
      <c r="D9194" s="211">
        <v>-1200</v>
      </c>
      <c r="E9194" s="212">
        <v>45627</v>
      </c>
      <c r="F9194" s="208" t="s">
        <v>109</v>
      </c>
      <c r="G9194" s="206" t="s">
        <v>4225</v>
      </c>
      <c r="H9194" s="81" t="s">
        <v>2941</v>
      </c>
      <c r="I9194" s="206" t="s">
        <v>7228</v>
      </c>
    </row>
    <row r="9195" spans="1:9" ht="15" hidden="1" customHeight="1">
      <c r="A9195" s="468">
        <v>45637</v>
      </c>
      <c r="B9195" s="208" t="s">
        <v>6275</v>
      </c>
      <c r="C9195" s="208" t="s">
        <v>146</v>
      </c>
      <c r="D9195" s="211">
        <v>-15200</v>
      </c>
      <c r="E9195" s="212">
        <v>45627</v>
      </c>
      <c r="F9195" s="208" t="s">
        <v>109</v>
      </c>
      <c r="G9195" s="206" t="s">
        <v>4986</v>
      </c>
      <c r="H9195" s="81" t="s">
        <v>2941</v>
      </c>
      <c r="I9195" s="206" t="s">
        <v>7228</v>
      </c>
    </row>
    <row r="9196" spans="1:9" ht="15" hidden="1" customHeight="1">
      <c r="A9196" s="468">
        <v>45637</v>
      </c>
      <c r="B9196" s="208" t="s">
        <v>6275</v>
      </c>
      <c r="C9196" s="208" t="s">
        <v>146</v>
      </c>
      <c r="D9196" s="211">
        <v>-15200</v>
      </c>
      <c r="E9196" s="212">
        <v>45627</v>
      </c>
      <c r="F9196" s="208" t="s">
        <v>110</v>
      </c>
      <c r="G9196" s="206" t="s">
        <v>5469</v>
      </c>
      <c r="H9196" s="81" t="s">
        <v>2941</v>
      </c>
      <c r="I9196" s="206" t="s">
        <v>7228</v>
      </c>
    </row>
    <row r="9197" spans="1:9" ht="15" hidden="1" customHeight="1">
      <c r="A9197" s="468">
        <v>45637</v>
      </c>
      <c r="B9197" s="208" t="s">
        <v>7234</v>
      </c>
      <c r="C9197" s="208" t="s">
        <v>146</v>
      </c>
      <c r="D9197" s="211">
        <v>-24000</v>
      </c>
      <c r="E9197" s="212">
        <v>45627</v>
      </c>
      <c r="F9197" s="208" t="s">
        <v>109</v>
      </c>
      <c r="G9197" s="206" t="s">
        <v>4225</v>
      </c>
      <c r="H9197" s="81" t="s">
        <v>2941</v>
      </c>
      <c r="I9197" s="206" t="s">
        <v>7228</v>
      </c>
    </row>
    <row r="9198" spans="1:9" ht="15" hidden="1" customHeight="1">
      <c r="A9198" s="468">
        <v>45637</v>
      </c>
      <c r="B9198" s="208" t="s">
        <v>7235</v>
      </c>
      <c r="C9198" s="208" t="s">
        <v>146</v>
      </c>
      <c r="D9198" s="211">
        <v>-8000</v>
      </c>
      <c r="E9198" s="212">
        <v>45627</v>
      </c>
      <c r="F9198" s="208" t="s">
        <v>110</v>
      </c>
      <c r="G9198" s="206" t="s">
        <v>5469</v>
      </c>
      <c r="H9198" s="81" t="s">
        <v>2941</v>
      </c>
      <c r="I9198" s="206" t="s">
        <v>7228</v>
      </c>
    </row>
    <row r="9199" spans="1:9" ht="15" hidden="1" customHeight="1">
      <c r="A9199" s="468">
        <v>45637</v>
      </c>
      <c r="B9199" s="208" t="s">
        <v>7236</v>
      </c>
      <c r="C9199" s="208" t="s">
        <v>146</v>
      </c>
      <c r="D9199" s="211">
        <v>-152280</v>
      </c>
      <c r="E9199" s="212">
        <v>45627</v>
      </c>
      <c r="F9199" s="208" t="s">
        <v>109</v>
      </c>
      <c r="G9199" s="206" t="s">
        <v>4986</v>
      </c>
      <c r="H9199" s="81" t="s">
        <v>2941</v>
      </c>
      <c r="I9199" s="206" t="s">
        <v>7228</v>
      </c>
    </row>
    <row r="9200" spans="1:9" ht="15" hidden="1" customHeight="1">
      <c r="A9200" s="468">
        <v>45637</v>
      </c>
      <c r="B9200" s="208" t="s">
        <v>7237</v>
      </c>
      <c r="C9200" s="208" t="s">
        <v>146</v>
      </c>
      <c r="D9200" s="211">
        <v>-6600</v>
      </c>
      <c r="E9200" s="212">
        <v>45627</v>
      </c>
      <c r="F9200" s="208" t="s">
        <v>109</v>
      </c>
      <c r="G9200" s="206" t="s">
        <v>4225</v>
      </c>
      <c r="H9200" s="81" t="s">
        <v>2941</v>
      </c>
      <c r="I9200" s="206" t="s">
        <v>7228</v>
      </c>
    </row>
    <row r="9201" spans="1:9" ht="15" hidden="1" customHeight="1">
      <c r="A9201" s="468">
        <v>45637</v>
      </c>
      <c r="B9201" s="208" t="s">
        <v>6269</v>
      </c>
      <c r="C9201" s="208" t="s">
        <v>146</v>
      </c>
      <c r="D9201" s="211">
        <v>-9600</v>
      </c>
      <c r="E9201" s="212">
        <v>45627</v>
      </c>
      <c r="F9201" s="208" t="s">
        <v>109</v>
      </c>
      <c r="G9201" s="206" t="s">
        <v>4986</v>
      </c>
      <c r="H9201" s="81" t="s">
        <v>2941</v>
      </c>
      <c r="I9201" s="206" t="s">
        <v>7228</v>
      </c>
    </row>
    <row r="9202" spans="1:9" ht="15" hidden="1" customHeight="1">
      <c r="A9202" s="468">
        <v>45638</v>
      </c>
      <c r="B9202" s="208" t="s">
        <v>7238</v>
      </c>
      <c r="C9202" s="208" t="s">
        <v>146</v>
      </c>
      <c r="D9202" s="211">
        <v>-1500</v>
      </c>
      <c r="E9202" s="212">
        <v>45627</v>
      </c>
      <c r="F9202" s="208" t="s">
        <v>109</v>
      </c>
      <c r="G9202" s="206" t="s">
        <v>4225</v>
      </c>
      <c r="H9202" s="81" t="s">
        <v>2941</v>
      </c>
      <c r="I9202" s="206" t="s">
        <v>7228</v>
      </c>
    </row>
    <row r="9203" spans="1:9" ht="15" hidden="1" customHeight="1">
      <c r="A9203" s="468">
        <v>45638</v>
      </c>
      <c r="B9203" s="208" t="s">
        <v>7239</v>
      </c>
      <c r="C9203" s="208" t="s">
        <v>146</v>
      </c>
      <c r="D9203" s="211">
        <v>-16700</v>
      </c>
      <c r="E9203" s="212">
        <v>45627</v>
      </c>
      <c r="F9203" s="208" t="s">
        <v>109</v>
      </c>
      <c r="G9203" s="206" t="s">
        <v>4225</v>
      </c>
      <c r="H9203" s="81" t="s">
        <v>2941</v>
      </c>
      <c r="I9203" s="720" t="s">
        <v>5410</v>
      </c>
    </row>
    <row r="9204" spans="1:9" ht="15" hidden="1" customHeight="1">
      <c r="A9204" s="468">
        <v>45638</v>
      </c>
      <c r="B9204" s="208" t="s">
        <v>7239</v>
      </c>
      <c r="C9204" s="208" t="s">
        <v>146</v>
      </c>
      <c r="D9204" s="211">
        <v>-126200</v>
      </c>
      <c r="E9204" s="212">
        <v>45627</v>
      </c>
      <c r="F9204" s="208" t="s">
        <v>110</v>
      </c>
      <c r="G9204" s="206" t="s">
        <v>5469</v>
      </c>
      <c r="H9204" s="81" t="s">
        <v>2941</v>
      </c>
      <c r="I9204" s="206" t="s">
        <v>7228</v>
      </c>
    </row>
    <row r="9205" spans="1:9" ht="15" hidden="1" customHeight="1">
      <c r="A9205" s="468">
        <v>45632</v>
      </c>
      <c r="B9205" s="208" t="s">
        <v>7240</v>
      </c>
      <c r="C9205" s="208" t="s">
        <v>146</v>
      </c>
      <c r="D9205" s="211">
        <v>-10000</v>
      </c>
      <c r="E9205" s="212">
        <v>45627</v>
      </c>
      <c r="F9205" s="208" t="s">
        <v>130</v>
      </c>
      <c r="G9205" s="206" t="s">
        <v>130</v>
      </c>
      <c r="H9205" s="81" t="s">
        <v>6929</v>
      </c>
      <c r="I9205" s="206"/>
    </row>
    <row r="9206" spans="1:9" ht="15" hidden="1" customHeight="1">
      <c r="A9206" s="468">
        <v>45636</v>
      </c>
      <c r="B9206" s="208" t="s">
        <v>6293</v>
      </c>
      <c r="C9206" s="208" t="s">
        <v>146</v>
      </c>
      <c r="D9206" s="211">
        <v>-13500</v>
      </c>
      <c r="E9206" s="212">
        <v>45627</v>
      </c>
      <c r="F9206" s="208" t="s">
        <v>109</v>
      </c>
      <c r="G9206" s="206" t="s">
        <v>4986</v>
      </c>
      <c r="H9206" s="81" t="s">
        <v>6929</v>
      </c>
      <c r="I9206" s="206"/>
    </row>
    <row r="9207" spans="1:9" ht="15" hidden="1" customHeight="1">
      <c r="A9207" s="468">
        <v>45637</v>
      </c>
      <c r="B9207" s="208" t="s">
        <v>7241</v>
      </c>
      <c r="C9207" s="208" t="s">
        <v>146</v>
      </c>
      <c r="D9207" s="211">
        <v>-7000</v>
      </c>
      <c r="E9207" s="212">
        <v>45627</v>
      </c>
      <c r="F9207" s="208" t="s">
        <v>110</v>
      </c>
      <c r="G9207" s="206" t="s">
        <v>5469</v>
      </c>
      <c r="H9207" s="81" t="s">
        <v>138</v>
      </c>
      <c r="I9207" s="206"/>
    </row>
    <row r="9208" spans="1:9" ht="15" hidden="1" customHeight="1">
      <c r="A9208" s="468">
        <v>45637</v>
      </c>
      <c r="B9208" s="208" t="s">
        <v>7242</v>
      </c>
      <c r="C9208" s="208" t="s">
        <v>146</v>
      </c>
      <c r="D9208" s="211">
        <v>-7000</v>
      </c>
      <c r="E9208" s="212">
        <v>45627</v>
      </c>
      <c r="F9208" s="208" t="s">
        <v>109</v>
      </c>
      <c r="G9208" s="206" t="s">
        <v>4986</v>
      </c>
      <c r="H9208" s="81" t="s">
        <v>6929</v>
      </c>
      <c r="I9208" s="206"/>
    </row>
    <row r="9209" spans="1:9" ht="15" hidden="1" customHeight="1">
      <c r="A9209" s="468">
        <v>45637</v>
      </c>
      <c r="B9209" s="208" t="s">
        <v>7243</v>
      </c>
      <c r="C9209" s="208" t="s">
        <v>146</v>
      </c>
      <c r="D9209" s="211">
        <v>-7000</v>
      </c>
      <c r="E9209" s="212">
        <v>45627</v>
      </c>
      <c r="F9209" s="208" t="s">
        <v>130</v>
      </c>
      <c r="G9209" s="206" t="s">
        <v>130</v>
      </c>
      <c r="H9209" s="81" t="s">
        <v>6929</v>
      </c>
      <c r="I9209" s="206"/>
    </row>
    <row r="9210" spans="1:9" ht="15" hidden="1" customHeight="1">
      <c r="A9210" s="468">
        <v>45635</v>
      </c>
      <c r="B9210" s="208" t="s">
        <v>7244</v>
      </c>
      <c r="C9210" s="208" t="s">
        <v>146</v>
      </c>
      <c r="D9210" s="211">
        <v>-12000</v>
      </c>
      <c r="E9210" s="212">
        <v>45627</v>
      </c>
      <c r="F9210" s="208" t="s">
        <v>109</v>
      </c>
      <c r="G9210" s="206" t="s">
        <v>6875</v>
      </c>
      <c r="H9210" s="81" t="s">
        <v>6929</v>
      </c>
      <c r="I9210" s="206"/>
    </row>
    <row r="9211" spans="1:9" ht="15" hidden="1" customHeight="1">
      <c r="A9211" s="468">
        <v>45635</v>
      </c>
      <c r="B9211" s="208" t="s">
        <v>6140</v>
      </c>
      <c r="C9211" s="208" t="s">
        <v>146</v>
      </c>
      <c r="D9211" s="211">
        <v>-14000</v>
      </c>
      <c r="E9211" s="212">
        <v>45627</v>
      </c>
      <c r="F9211" s="208" t="s">
        <v>110</v>
      </c>
      <c r="G9211" s="601" t="s">
        <v>5469</v>
      </c>
      <c r="H9211" s="81" t="s">
        <v>138</v>
      </c>
      <c r="I9211" s="206"/>
    </row>
    <row r="9212" spans="1:9" ht="15" hidden="1" customHeight="1">
      <c r="A9212" s="468">
        <v>45635</v>
      </c>
      <c r="B9212" s="208" t="s">
        <v>6293</v>
      </c>
      <c r="C9212" s="208" t="s">
        <v>146</v>
      </c>
      <c r="D9212" s="211">
        <v>-19000</v>
      </c>
      <c r="E9212" s="212">
        <v>45627</v>
      </c>
      <c r="F9212" s="208" t="s">
        <v>109</v>
      </c>
      <c r="G9212" s="601" t="s">
        <v>4986</v>
      </c>
      <c r="H9212" s="81" t="s">
        <v>6929</v>
      </c>
      <c r="I9212" s="206"/>
    </row>
    <row r="9213" spans="1:9" ht="15" hidden="1" customHeight="1">
      <c r="A9213" s="468">
        <v>45638</v>
      </c>
      <c r="B9213" s="208" t="s">
        <v>6140</v>
      </c>
      <c r="C9213" s="208" t="s">
        <v>146</v>
      </c>
      <c r="D9213" s="211">
        <v>-10000</v>
      </c>
      <c r="E9213" s="212">
        <v>45627</v>
      </c>
      <c r="F9213" s="208" t="s">
        <v>110</v>
      </c>
      <c r="G9213" s="601" t="s">
        <v>5469</v>
      </c>
      <c r="H9213" s="81" t="s">
        <v>138</v>
      </c>
      <c r="I9213" s="206"/>
    </row>
    <row r="9214" spans="1:9" ht="15" hidden="1" customHeight="1">
      <c r="A9214" s="468">
        <v>45638</v>
      </c>
      <c r="B9214" s="208" t="s">
        <v>6293</v>
      </c>
      <c r="C9214" s="208" t="s">
        <v>146</v>
      </c>
      <c r="D9214" s="211">
        <v>-10000</v>
      </c>
      <c r="E9214" s="212">
        <v>45627</v>
      </c>
      <c r="F9214" s="208" t="s">
        <v>130</v>
      </c>
      <c r="G9214" s="601" t="s">
        <v>130</v>
      </c>
      <c r="H9214" s="81" t="s">
        <v>6929</v>
      </c>
      <c r="I9214" s="206"/>
    </row>
    <row r="9215" spans="1:9" ht="15" hidden="1" customHeight="1">
      <c r="A9215" s="468">
        <v>45632</v>
      </c>
      <c r="B9215" s="208" t="s">
        <v>7245</v>
      </c>
      <c r="C9215" s="208" t="s">
        <v>146</v>
      </c>
      <c r="D9215" s="211">
        <v>-37000</v>
      </c>
      <c r="E9215" s="212">
        <v>45627</v>
      </c>
      <c r="F9215" s="208" t="s">
        <v>130</v>
      </c>
      <c r="G9215" s="601" t="s">
        <v>130</v>
      </c>
      <c r="H9215" s="81" t="s">
        <v>2724</v>
      </c>
      <c r="I9215" s="206"/>
    </row>
    <row r="9216" spans="1:9" ht="15" hidden="1" customHeight="1">
      <c r="A9216" s="468">
        <v>45617</v>
      </c>
      <c r="B9216" s="208" t="s">
        <v>7246</v>
      </c>
      <c r="C9216" s="208" t="s">
        <v>146</v>
      </c>
      <c r="D9216" s="211">
        <v>-100000</v>
      </c>
      <c r="E9216" s="212">
        <v>45627</v>
      </c>
      <c r="F9216" s="208" t="s">
        <v>130</v>
      </c>
      <c r="G9216" s="601" t="s">
        <v>130</v>
      </c>
      <c r="H9216" s="81" t="s">
        <v>2724</v>
      </c>
      <c r="I9216" s="206"/>
    </row>
    <row r="9217" spans="1:9" ht="15" hidden="1" customHeight="1">
      <c r="A9217" s="468">
        <v>45632</v>
      </c>
      <c r="B9217" s="208" t="s">
        <v>7247</v>
      </c>
      <c r="C9217" s="208" t="s">
        <v>27</v>
      </c>
      <c r="D9217" s="450">
        <v>-5831524</v>
      </c>
      <c r="E9217" s="212">
        <v>45627</v>
      </c>
      <c r="F9217" s="208" t="s">
        <v>130</v>
      </c>
      <c r="G9217" s="601" t="s">
        <v>130</v>
      </c>
      <c r="H9217" s="81" t="s">
        <v>1148</v>
      </c>
      <c r="I9217" s="206"/>
    </row>
    <row r="9218" spans="1:9" ht="15" hidden="1" customHeight="1">
      <c r="A9218" s="468">
        <v>45632</v>
      </c>
      <c r="B9218" s="208" t="s">
        <v>7248</v>
      </c>
      <c r="C9218" s="208" t="s">
        <v>27</v>
      </c>
      <c r="D9218" s="450">
        <v>-3668500</v>
      </c>
      <c r="E9218" s="212">
        <v>45627</v>
      </c>
      <c r="F9218" s="208" t="s">
        <v>130</v>
      </c>
      <c r="G9218" s="601" t="s">
        <v>130</v>
      </c>
      <c r="H9218" s="81" t="s">
        <v>163</v>
      </c>
      <c r="I9218" s="206"/>
    </row>
    <row r="9219" spans="1:9" ht="15" hidden="1" customHeight="1">
      <c r="A9219" s="468">
        <v>45635</v>
      </c>
      <c r="B9219" s="208" t="s">
        <v>7249</v>
      </c>
      <c r="C9219" s="208" t="s">
        <v>27</v>
      </c>
      <c r="D9219" s="450">
        <v>-61750000</v>
      </c>
      <c r="E9219" s="212">
        <v>45627</v>
      </c>
      <c r="F9219" s="208" t="s">
        <v>109</v>
      </c>
      <c r="G9219" s="601" t="s">
        <v>6994</v>
      </c>
      <c r="H9219" s="81" t="s">
        <v>6905</v>
      </c>
      <c r="I9219" s="206"/>
    </row>
    <row r="9220" spans="1:9" ht="15" hidden="1" customHeight="1">
      <c r="A9220" s="468">
        <v>45635</v>
      </c>
      <c r="B9220" s="208" t="s">
        <v>7250</v>
      </c>
      <c r="C9220" s="208" t="s">
        <v>27</v>
      </c>
      <c r="D9220" s="450">
        <v>-61750000</v>
      </c>
      <c r="E9220" s="212">
        <v>45627</v>
      </c>
      <c r="F9220" s="208" t="s">
        <v>109</v>
      </c>
      <c r="G9220" s="601" t="s">
        <v>6954</v>
      </c>
      <c r="H9220" s="81" t="s">
        <v>6905</v>
      </c>
      <c r="I9220" s="206"/>
    </row>
    <row r="9221" spans="1:9" ht="15" hidden="1" customHeight="1">
      <c r="A9221" s="468">
        <v>45636</v>
      </c>
      <c r="B9221" s="208" t="s">
        <v>7251</v>
      </c>
      <c r="C9221" s="208" t="s">
        <v>27</v>
      </c>
      <c r="D9221" s="450">
        <v>-5095000</v>
      </c>
      <c r="E9221" s="212">
        <v>45627</v>
      </c>
      <c r="F9221" s="208" t="s">
        <v>130</v>
      </c>
      <c r="G9221" s="601" t="s">
        <v>257</v>
      </c>
      <c r="H9221" s="81" t="s">
        <v>7252</v>
      </c>
      <c r="I9221" s="206"/>
    </row>
    <row r="9222" spans="1:9" ht="15" hidden="1" customHeight="1">
      <c r="A9222" s="468">
        <v>45636</v>
      </c>
      <c r="B9222" s="208" t="s">
        <v>7253</v>
      </c>
      <c r="C9222" s="208" t="s">
        <v>27</v>
      </c>
      <c r="D9222" s="450">
        <v>-1785000</v>
      </c>
      <c r="E9222" s="212">
        <v>45627</v>
      </c>
      <c r="F9222" s="208" t="s">
        <v>109</v>
      </c>
      <c r="G9222" s="601" t="s">
        <v>6994</v>
      </c>
      <c r="H9222" s="81" t="s">
        <v>6763</v>
      </c>
      <c r="I9222" s="206"/>
    </row>
    <row r="9223" spans="1:9" ht="15" hidden="1" customHeight="1">
      <c r="A9223" s="468">
        <v>45636</v>
      </c>
      <c r="B9223" s="208" t="s">
        <v>7254</v>
      </c>
      <c r="C9223" s="208" t="s">
        <v>27</v>
      </c>
      <c r="D9223" s="450">
        <v>-1785000</v>
      </c>
      <c r="E9223" s="212">
        <v>45627</v>
      </c>
      <c r="F9223" s="208" t="s">
        <v>109</v>
      </c>
      <c r="G9223" s="601" t="s">
        <v>6954</v>
      </c>
      <c r="H9223" s="81" t="s">
        <v>6763</v>
      </c>
      <c r="I9223" s="206"/>
    </row>
    <row r="9224" spans="1:9" ht="15" hidden="1" customHeight="1">
      <c r="A9224" s="468">
        <v>45636</v>
      </c>
      <c r="B9224" s="208" t="s">
        <v>7255</v>
      </c>
      <c r="C9224" s="208" t="s">
        <v>27</v>
      </c>
      <c r="D9224" s="450">
        <v>-315350</v>
      </c>
      <c r="E9224" s="212">
        <v>45627</v>
      </c>
      <c r="F9224" s="208" t="s">
        <v>109</v>
      </c>
      <c r="G9224" s="601" t="s">
        <v>3529</v>
      </c>
      <c r="H9224" s="81" t="s">
        <v>3637</v>
      </c>
      <c r="I9224" s="206"/>
    </row>
    <row r="9225" spans="1:9" ht="15" hidden="1" customHeight="1">
      <c r="A9225" s="468">
        <v>45636</v>
      </c>
      <c r="B9225" s="208" t="s">
        <v>7256</v>
      </c>
      <c r="C9225" s="208" t="s">
        <v>27</v>
      </c>
      <c r="D9225" s="450">
        <v>-380656</v>
      </c>
      <c r="E9225" s="212">
        <v>45627</v>
      </c>
      <c r="F9225" s="208" t="s">
        <v>109</v>
      </c>
      <c r="G9225" s="601" t="s">
        <v>3529</v>
      </c>
      <c r="H9225" s="81" t="s">
        <v>549</v>
      </c>
      <c r="I9225" s="206"/>
    </row>
    <row r="9226" spans="1:9" ht="15" hidden="1" customHeight="1">
      <c r="A9226" s="468">
        <v>45636</v>
      </c>
      <c r="B9226" s="208" t="s">
        <v>7257</v>
      </c>
      <c r="C9226" s="208" t="s">
        <v>4314</v>
      </c>
      <c r="D9226" s="211">
        <v>-1929</v>
      </c>
      <c r="E9226" s="212">
        <v>45627</v>
      </c>
      <c r="F9226" s="208" t="s">
        <v>109</v>
      </c>
      <c r="G9226" s="601" t="s">
        <v>3529</v>
      </c>
      <c r="H9226" s="81" t="s">
        <v>549</v>
      </c>
      <c r="I9226" s="206"/>
    </row>
    <row r="9227" spans="1:9" ht="15" hidden="1" customHeight="1">
      <c r="A9227" s="468">
        <v>45636</v>
      </c>
      <c r="B9227" s="208" t="s">
        <v>7258</v>
      </c>
      <c r="C9227" s="208" t="s">
        <v>27</v>
      </c>
      <c r="D9227" s="450">
        <v>-6588514.8099999996</v>
      </c>
      <c r="E9227" s="212">
        <v>45627</v>
      </c>
      <c r="F9227" s="208" t="s">
        <v>130</v>
      </c>
      <c r="G9227" s="601" t="s">
        <v>257</v>
      </c>
      <c r="H9227" s="81" t="s">
        <v>1031</v>
      </c>
      <c r="I9227" s="206"/>
    </row>
    <row r="9228" spans="1:9" ht="15" hidden="1" customHeight="1">
      <c r="A9228" s="468">
        <v>45636</v>
      </c>
      <c r="B9228" s="208" t="s">
        <v>7258</v>
      </c>
      <c r="C9228" s="208" t="s">
        <v>27</v>
      </c>
      <c r="D9228" s="450">
        <v>-2000000</v>
      </c>
      <c r="E9228" s="212">
        <v>45627</v>
      </c>
      <c r="F9228" s="208" t="s">
        <v>130</v>
      </c>
      <c r="G9228" s="601" t="s">
        <v>257</v>
      </c>
      <c r="H9228" s="81" t="s">
        <v>1031</v>
      </c>
      <c r="I9228" s="206"/>
    </row>
    <row r="9229" spans="1:9" ht="15" hidden="1" customHeight="1">
      <c r="A9229" s="468">
        <v>45636</v>
      </c>
      <c r="B9229" s="208" t="s">
        <v>7258</v>
      </c>
      <c r="C9229" s="208" t="s">
        <v>27</v>
      </c>
      <c r="D9229" s="450">
        <v>-2380386</v>
      </c>
      <c r="E9229" s="212">
        <v>45627</v>
      </c>
      <c r="F9229" s="208" t="s">
        <v>130</v>
      </c>
      <c r="G9229" s="601" t="s">
        <v>257</v>
      </c>
      <c r="H9229" s="81" t="s">
        <v>1031</v>
      </c>
      <c r="I9229" s="206"/>
    </row>
    <row r="9230" spans="1:9" ht="15" hidden="1" customHeight="1">
      <c r="A9230" s="468">
        <v>45636</v>
      </c>
      <c r="B9230" s="208" t="s">
        <v>7259</v>
      </c>
      <c r="C9230" s="208" t="s">
        <v>27</v>
      </c>
      <c r="D9230" s="450">
        <v>-788170</v>
      </c>
      <c r="E9230" s="212">
        <v>45627</v>
      </c>
      <c r="F9230" s="208" t="s">
        <v>110</v>
      </c>
      <c r="G9230" s="601" t="s">
        <v>5469</v>
      </c>
      <c r="H9230" s="81" t="s">
        <v>310</v>
      </c>
      <c r="I9230" s="206"/>
    </row>
    <row r="9231" spans="1:9" ht="15" hidden="1" customHeight="1">
      <c r="A9231" s="468">
        <v>45636</v>
      </c>
      <c r="B9231" s="208" t="s">
        <v>7260</v>
      </c>
      <c r="C9231" s="208" t="s">
        <v>27</v>
      </c>
      <c r="D9231" s="450">
        <v>-2781900</v>
      </c>
      <c r="E9231" s="212">
        <v>45627</v>
      </c>
      <c r="F9231" s="208" t="s">
        <v>109</v>
      </c>
      <c r="G9231" s="654" t="s">
        <v>5805</v>
      </c>
      <c r="H9231" s="81" t="s">
        <v>418</v>
      </c>
      <c r="I9231" s="206"/>
    </row>
    <row r="9232" spans="1:9" ht="15" hidden="1" customHeight="1">
      <c r="A9232" s="468">
        <v>45636</v>
      </c>
      <c r="B9232" s="208" t="s">
        <v>7261</v>
      </c>
      <c r="C9232" s="208" t="s">
        <v>4314</v>
      </c>
      <c r="D9232" s="211">
        <v>-68500</v>
      </c>
      <c r="E9232" s="212">
        <v>45627</v>
      </c>
      <c r="F9232" s="208" t="s">
        <v>109</v>
      </c>
      <c r="G9232" s="654" t="s">
        <v>5805</v>
      </c>
      <c r="H9232" s="81" t="s">
        <v>418</v>
      </c>
      <c r="I9232" s="206"/>
    </row>
    <row r="9233" spans="1:9" ht="15" hidden="1" customHeight="1">
      <c r="A9233" s="468">
        <v>45636</v>
      </c>
      <c r="B9233" s="208" t="s">
        <v>7262</v>
      </c>
      <c r="C9233" s="208" t="s">
        <v>27</v>
      </c>
      <c r="D9233" s="450">
        <v>-242950</v>
      </c>
      <c r="E9233" s="212">
        <v>45627</v>
      </c>
      <c r="F9233" s="208" t="s">
        <v>109</v>
      </c>
      <c r="G9233" s="601" t="s">
        <v>5906</v>
      </c>
      <c r="H9233" s="81" t="s">
        <v>2941</v>
      </c>
      <c r="I9233" s="206"/>
    </row>
    <row r="9234" spans="1:9" ht="15" hidden="1" customHeight="1">
      <c r="A9234" s="468">
        <v>45636</v>
      </c>
      <c r="B9234" s="208" t="s">
        <v>7263</v>
      </c>
      <c r="C9234" s="208" t="s">
        <v>27</v>
      </c>
      <c r="D9234" s="450">
        <v>-1821286</v>
      </c>
      <c r="E9234" s="212">
        <v>45627</v>
      </c>
      <c r="F9234" s="208" t="s">
        <v>109</v>
      </c>
      <c r="G9234" s="601" t="s">
        <v>6994</v>
      </c>
      <c r="H9234" s="81" t="s">
        <v>6973</v>
      </c>
      <c r="I9234" s="206"/>
    </row>
    <row r="9235" spans="1:9" ht="15" hidden="1" customHeight="1">
      <c r="A9235" s="468">
        <v>45636</v>
      </c>
      <c r="B9235" s="208" t="s">
        <v>7264</v>
      </c>
      <c r="C9235" s="208" t="s">
        <v>4314</v>
      </c>
      <c r="D9235" s="211">
        <v>-39285.71</v>
      </c>
      <c r="E9235" s="212">
        <v>45627</v>
      </c>
      <c r="F9235" s="208" t="s">
        <v>109</v>
      </c>
      <c r="G9235" s="601" t="s">
        <v>6994</v>
      </c>
      <c r="H9235" s="81" t="s">
        <v>6973</v>
      </c>
      <c r="I9235" s="206"/>
    </row>
    <row r="9236" spans="1:9" ht="15" hidden="1" customHeight="1">
      <c r="A9236" s="468">
        <v>45636</v>
      </c>
      <c r="B9236" s="208" t="s">
        <v>7265</v>
      </c>
      <c r="C9236" s="208" t="s">
        <v>4314</v>
      </c>
      <c r="D9236" s="211">
        <v>-9428.57</v>
      </c>
      <c r="E9236" s="212">
        <v>45627</v>
      </c>
      <c r="F9236" s="208" t="s">
        <v>109</v>
      </c>
      <c r="G9236" s="601" t="s">
        <v>6994</v>
      </c>
      <c r="H9236" s="81" t="s">
        <v>6973</v>
      </c>
      <c r="I9236" s="206"/>
    </row>
    <row r="9237" spans="1:9" ht="15" hidden="1" customHeight="1">
      <c r="A9237" s="468">
        <v>45636</v>
      </c>
      <c r="B9237" s="208" t="s">
        <v>7266</v>
      </c>
      <c r="C9237" s="208" t="s">
        <v>27</v>
      </c>
      <c r="D9237" s="450">
        <v>-3905334</v>
      </c>
      <c r="E9237" s="212">
        <v>45627</v>
      </c>
      <c r="F9237" s="208" t="s">
        <v>110</v>
      </c>
      <c r="G9237" s="601" t="s">
        <v>5503</v>
      </c>
      <c r="H9237" s="81" t="s">
        <v>1166</v>
      </c>
      <c r="I9237" s="206"/>
    </row>
    <row r="9238" spans="1:9" ht="15" hidden="1" customHeight="1">
      <c r="A9238" s="468">
        <v>45636</v>
      </c>
      <c r="B9238" s="208" t="s">
        <v>7267</v>
      </c>
      <c r="C9238" s="208" t="s">
        <v>4314</v>
      </c>
      <c r="D9238" s="211">
        <v>-397765.5</v>
      </c>
      <c r="E9238" s="212">
        <v>45627</v>
      </c>
      <c r="F9238" s="208" t="s">
        <v>110</v>
      </c>
      <c r="G9238" s="601" t="s">
        <v>5503</v>
      </c>
      <c r="H9238" s="81" t="s">
        <v>1166</v>
      </c>
      <c r="I9238" s="206"/>
    </row>
    <row r="9239" spans="1:9" ht="15" hidden="1" customHeight="1">
      <c r="A9239" s="468">
        <v>45636</v>
      </c>
      <c r="B9239" s="208" t="s">
        <v>7268</v>
      </c>
      <c r="C9239" s="208" t="s">
        <v>27</v>
      </c>
      <c r="D9239" s="450">
        <v>-6393036</v>
      </c>
      <c r="E9239" s="212">
        <v>45627</v>
      </c>
      <c r="F9239" s="208" t="s">
        <v>130</v>
      </c>
      <c r="G9239" s="601" t="s">
        <v>130</v>
      </c>
      <c r="H9239" s="81" t="s">
        <v>163</v>
      </c>
      <c r="I9239" s="206"/>
    </row>
    <row r="9240" spans="1:9" s="451" customFormat="1" ht="15" hidden="1" customHeight="1">
      <c r="A9240" s="468">
        <v>45636</v>
      </c>
      <c r="B9240" s="720" t="s">
        <v>7269</v>
      </c>
      <c r="C9240" s="208" t="s">
        <v>27</v>
      </c>
      <c r="D9240" s="450">
        <v>-3449000</v>
      </c>
      <c r="E9240" s="212">
        <v>45627</v>
      </c>
      <c r="F9240" s="208" t="s">
        <v>109</v>
      </c>
      <c r="G9240" s="601" t="s">
        <v>6954</v>
      </c>
      <c r="H9240" s="81" t="s">
        <v>6961</v>
      </c>
      <c r="I9240" s="720"/>
    </row>
    <row r="9241" spans="1:9" ht="15" hidden="1" customHeight="1">
      <c r="A9241" s="468">
        <v>45636</v>
      </c>
      <c r="B9241" s="208" t="s">
        <v>7270</v>
      </c>
      <c r="C9241" s="208" t="s">
        <v>27</v>
      </c>
      <c r="D9241" s="450">
        <v>-658319</v>
      </c>
      <c r="E9241" s="212">
        <v>45627</v>
      </c>
      <c r="F9241" s="208" t="s">
        <v>130</v>
      </c>
      <c r="G9241" s="601" t="s">
        <v>130</v>
      </c>
      <c r="H9241" s="81" t="s">
        <v>1242</v>
      </c>
      <c r="I9241" s="206"/>
    </row>
    <row r="9242" spans="1:9" ht="15" hidden="1" customHeight="1">
      <c r="A9242" s="468">
        <v>45636</v>
      </c>
      <c r="B9242" s="208" t="s">
        <v>7271</v>
      </c>
      <c r="C9242" s="208" t="s">
        <v>27</v>
      </c>
      <c r="D9242" s="450">
        <v>-200000</v>
      </c>
      <c r="E9242" s="212">
        <v>45627</v>
      </c>
      <c r="F9242" s="208" t="s">
        <v>109</v>
      </c>
      <c r="G9242" s="601" t="s">
        <v>1306</v>
      </c>
      <c r="H9242" s="81" t="s">
        <v>2941</v>
      </c>
      <c r="I9242" s="720" t="s">
        <v>5410</v>
      </c>
    </row>
    <row r="9243" spans="1:9" ht="15" customHeight="1">
      <c r="A9243" s="468">
        <v>45636</v>
      </c>
      <c r="B9243" s="208" t="s">
        <v>7272</v>
      </c>
      <c r="C9243" s="208" t="s">
        <v>27</v>
      </c>
      <c r="D9243" s="450">
        <v>-8991000</v>
      </c>
      <c r="E9243" s="212">
        <v>45627</v>
      </c>
      <c r="F9243" s="208" t="s">
        <v>109</v>
      </c>
      <c r="G9243" s="206" t="s">
        <v>2809</v>
      </c>
      <c r="H9243" s="206" t="s">
        <v>5775</v>
      </c>
      <c r="I9243" s="206"/>
    </row>
    <row r="9244" spans="1:9" ht="15" hidden="1" customHeight="1">
      <c r="A9244" s="468">
        <v>45636</v>
      </c>
      <c r="B9244" s="208" t="s">
        <v>7273</v>
      </c>
      <c r="C9244" s="208" t="s">
        <v>27</v>
      </c>
      <c r="D9244" s="450">
        <v>-64001</v>
      </c>
      <c r="E9244" s="212">
        <v>45627</v>
      </c>
      <c r="F9244" s="208" t="s">
        <v>130</v>
      </c>
      <c r="G9244" s="601" t="s">
        <v>130</v>
      </c>
      <c r="H9244" s="84" t="s">
        <v>1032</v>
      </c>
      <c r="I9244" s="206"/>
    </row>
    <row r="9245" spans="1:9" ht="15" hidden="1" customHeight="1">
      <c r="A9245" s="468">
        <v>45636</v>
      </c>
      <c r="B9245" s="208" t="s">
        <v>7273</v>
      </c>
      <c r="C9245" s="208" t="s">
        <v>27</v>
      </c>
      <c r="D9245" s="450">
        <v>-109000</v>
      </c>
      <c r="E9245" s="212">
        <v>45627</v>
      </c>
      <c r="F9245" s="208" t="s">
        <v>130</v>
      </c>
      <c r="G9245" s="601" t="s">
        <v>130</v>
      </c>
      <c r="H9245" s="84" t="s">
        <v>1032</v>
      </c>
      <c r="I9245" s="206"/>
    </row>
    <row r="9246" spans="1:9" ht="15" hidden="1" customHeight="1">
      <c r="A9246" s="468">
        <v>45636</v>
      </c>
      <c r="B9246" s="208" t="s">
        <v>7274</v>
      </c>
      <c r="C9246" s="208" t="s">
        <v>27</v>
      </c>
      <c r="D9246" s="450">
        <v>-186510</v>
      </c>
      <c r="E9246" s="212">
        <v>45627</v>
      </c>
      <c r="F9246" s="208" t="s">
        <v>130</v>
      </c>
      <c r="G9246" s="601" t="s">
        <v>130</v>
      </c>
      <c r="H9246" s="81" t="s">
        <v>1242</v>
      </c>
      <c r="I9246" s="206"/>
    </row>
    <row r="9247" spans="1:9" ht="15" hidden="1" customHeight="1">
      <c r="A9247" s="468">
        <v>45636</v>
      </c>
      <c r="B9247" s="208" t="s">
        <v>7275</v>
      </c>
      <c r="C9247" s="208" t="s">
        <v>27</v>
      </c>
      <c r="D9247" s="450">
        <v>-77290</v>
      </c>
      <c r="E9247" s="212">
        <v>45627</v>
      </c>
      <c r="F9247" s="208" t="s">
        <v>130</v>
      </c>
      <c r="G9247" s="601" t="s">
        <v>130</v>
      </c>
      <c r="H9247" s="81" t="s">
        <v>1242</v>
      </c>
      <c r="I9247" s="206"/>
    </row>
    <row r="9248" spans="1:9" ht="15" hidden="1" customHeight="1">
      <c r="A9248" s="468">
        <v>45636</v>
      </c>
      <c r="B9248" s="208" t="s">
        <v>7276</v>
      </c>
      <c r="C9248" s="208" t="s">
        <v>27</v>
      </c>
      <c r="D9248" s="450">
        <v>-44390</v>
      </c>
      <c r="E9248" s="212">
        <v>45627</v>
      </c>
      <c r="F9248" s="208" t="s">
        <v>130</v>
      </c>
      <c r="G9248" s="601" t="s">
        <v>130</v>
      </c>
      <c r="H9248" s="81" t="s">
        <v>1242</v>
      </c>
      <c r="I9248" s="206"/>
    </row>
    <row r="9249" spans="1:9" ht="15" hidden="1" customHeight="1">
      <c r="A9249" s="468">
        <v>45637</v>
      </c>
      <c r="B9249" s="208" t="s">
        <v>7277</v>
      </c>
      <c r="C9249" s="208" t="s">
        <v>27</v>
      </c>
      <c r="D9249" s="450">
        <v>-8519000</v>
      </c>
      <c r="E9249" s="212">
        <v>45627</v>
      </c>
      <c r="F9249" s="208" t="s">
        <v>210</v>
      </c>
      <c r="G9249" s="601"/>
      <c r="H9249" s="81" t="s">
        <v>7278</v>
      </c>
      <c r="I9249" s="206"/>
    </row>
    <row r="9250" spans="1:9" ht="15" hidden="1" customHeight="1">
      <c r="A9250" s="468">
        <v>45637</v>
      </c>
      <c r="B9250" s="208" t="s">
        <v>7277</v>
      </c>
      <c r="C9250" s="208" t="s">
        <v>27</v>
      </c>
      <c r="D9250" s="450">
        <v>-75211000</v>
      </c>
      <c r="E9250" s="212">
        <v>45627</v>
      </c>
      <c r="F9250" s="208" t="s">
        <v>210</v>
      </c>
      <c r="G9250" s="601"/>
      <c r="H9250" s="81" t="s">
        <v>7278</v>
      </c>
      <c r="I9250" s="206"/>
    </row>
    <row r="9251" spans="1:9" ht="15" hidden="1" customHeight="1">
      <c r="A9251" s="468">
        <v>45637</v>
      </c>
      <c r="B9251" s="208" t="s">
        <v>7279</v>
      </c>
      <c r="C9251" s="208" t="s">
        <v>27</v>
      </c>
      <c r="D9251" s="450">
        <v>-57130670</v>
      </c>
      <c r="E9251" s="212">
        <v>45627</v>
      </c>
      <c r="F9251" s="208" t="s">
        <v>109</v>
      </c>
      <c r="G9251" s="601" t="s">
        <v>120</v>
      </c>
      <c r="H9251" s="81" t="s">
        <v>7280</v>
      </c>
      <c r="I9251" s="206"/>
    </row>
    <row r="9252" spans="1:9" ht="15" hidden="1" customHeight="1">
      <c r="A9252" s="468">
        <v>45638</v>
      </c>
      <c r="B9252" s="208" t="s">
        <v>7281</v>
      </c>
      <c r="C9252" s="208" t="s">
        <v>27</v>
      </c>
      <c r="D9252" s="450">
        <v>-234646</v>
      </c>
      <c r="E9252" s="212">
        <v>45627</v>
      </c>
      <c r="F9252" s="208" t="s">
        <v>110</v>
      </c>
      <c r="G9252" s="601" t="s">
        <v>5469</v>
      </c>
      <c r="H9252" s="81" t="s">
        <v>212</v>
      </c>
      <c r="I9252" s="206"/>
    </row>
    <row r="9253" spans="1:9" ht="15" hidden="1" customHeight="1">
      <c r="A9253" s="468">
        <v>45638</v>
      </c>
      <c r="B9253" s="208" t="s">
        <v>7282</v>
      </c>
      <c r="C9253" s="208" t="s">
        <v>4314</v>
      </c>
      <c r="D9253" s="211">
        <v>-5757.57</v>
      </c>
      <c r="E9253" s="212">
        <v>45627</v>
      </c>
      <c r="F9253" s="208" t="s">
        <v>110</v>
      </c>
      <c r="G9253" s="601" t="s">
        <v>5469</v>
      </c>
      <c r="H9253" s="81" t="s">
        <v>2941</v>
      </c>
      <c r="I9253" s="206"/>
    </row>
    <row r="9254" spans="1:9" ht="15" hidden="1" customHeight="1">
      <c r="A9254" s="468">
        <v>45638</v>
      </c>
      <c r="B9254" s="208" t="s">
        <v>7283</v>
      </c>
      <c r="C9254" s="208" t="s">
        <v>27</v>
      </c>
      <c r="D9254" s="450">
        <v>-2646000</v>
      </c>
      <c r="E9254" s="212">
        <v>45627</v>
      </c>
      <c r="F9254" s="208" t="s">
        <v>130</v>
      </c>
      <c r="G9254" s="601" t="s">
        <v>130</v>
      </c>
      <c r="H9254" s="206" t="s">
        <v>360</v>
      </c>
      <c r="I9254" s="206"/>
    </row>
    <row r="9255" spans="1:9" s="454" customFormat="1" ht="15" hidden="1" customHeight="1">
      <c r="A9255" s="468">
        <v>45638</v>
      </c>
      <c r="B9255" s="208" t="s">
        <v>7284</v>
      </c>
      <c r="C9255" s="208" t="s">
        <v>27</v>
      </c>
      <c r="D9255" s="450">
        <v>-3876692</v>
      </c>
      <c r="E9255" s="212">
        <v>45627</v>
      </c>
      <c r="F9255" s="208" t="s">
        <v>109</v>
      </c>
      <c r="G9255" s="206" t="s">
        <v>6875</v>
      </c>
      <c r="H9255" s="81" t="s">
        <v>2941</v>
      </c>
      <c r="I9255" s="810"/>
    </row>
    <row r="9256" spans="1:9" s="454" customFormat="1" ht="15" hidden="1" customHeight="1">
      <c r="A9256" s="468">
        <v>45638</v>
      </c>
      <c r="B9256" s="208" t="s">
        <v>7285</v>
      </c>
      <c r="C9256" s="208" t="s">
        <v>27</v>
      </c>
      <c r="D9256" s="450">
        <v>-1438218</v>
      </c>
      <c r="E9256" s="212">
        <v>45627</v>
      </c>
      <c r="F9256" s="208" t="s">
        <v>109</v>
      </c>
      <c r="G9256" s="601" t="s">
        <v>6994</v>
      </c>
      <c r="H9256" s="81" t="s">
        <v>6973</v>
      </c>
      <c r="I9256" s="810"/>
    </row>
    <row r="9257" spans="1:9" ht="15" hidden="1" customHeight="1">
      <c r="A9257" s="468">
        <v>45638</v>
      </c>
      <c r="B9257" s="208" t="s">
        <v>7286</v>
      </c>
      <c r="C9257" s="208" t="s">
        <v>4314</v>
      </c>
      <c r="D9257" s="211">
        <v>-83549.399999999994</v>
      </c>
      <c r="E9257" s="212">
        <v>45627</v>
      </c>
      <c r="F9257" s="208" t="s">
        <v>109</v>
      </c>
      <c r="G9257" s="206" t="s">
        <v>6875</v>
      </c>
      <c r="H9257" s="81" t="s">
        <v>2941</v>
      </c>
      <c r="I9257" s="206"/>
    </row>
    <row r="9258" spans="1:9" ht="15" hidden="1" customHeight="1">
      <c r="A9258" s="468">
        <v>45638</v>
      </c>
      <c r="B9258" s="208" t="s">
        <v>7287</v>
      </c>
      <c r="C9258" s="208" t="s">
        <v>4314</v>
      </c>
      <c r="D9258" s="211">
        <v>-16709.88</v>
      </c>
      <c r="E9258" s="212">
        <v>45627</v>
      </c>
      <c r="F9258" s="208" t="s">
        <v>109</v>
      </c>
      <c r="G9258" s="206" t="s">
        <v>6875</v>
      </c>
      <c r="H9258" s="81" t="s">
        <v>2941</v>
      </c>
      <c r="I9258" s="206"/>
    </row>
    <row r="9259" spans="1:9" ht="15" hidden="1" customHeight="1">
      <c r="A9259" s="468">
        <v>45638</v>
      </c>
      <c r="B9259" s="208" t="s">
        <v>7287</v>
      </c>
      <c r="C9259" s="208" t="s">
        <v>4314</v>
      </c>
      <c r="D9259" s="211">
        <v>-6068.433</v>
      </c>
      <c r="E9259" s="212">
        <v>45627</v>
      </c>
      <c r="F9259" s="208" t="s">
        <v>109</v>
      </c>
      <c r="G9259" s="601" t="s">
        <v>6994</v>
      </c>
      <c r="H9259" s="81" t="s">
        <v>6973</v>
      </c>
      <c r="I9259" s="206"/>
    </row>
    <row r="9260" spans="1:9" ht="15" hidden="1" customHeight="1">
      <c r="A9260" s="468">
        <v>45638</v>
      </c>
      <c r="B9260" s="208" t="s">
        <v>7288</v>
      </c>
      <c r="C9260" s="208" t="s">
        <v>27</v>
      </c>
      <c r="D9260" s="450">
        <v>-253700</v>
      </c>
      <c r="E9260" s="212">
        <v>45627</v>
      </c>
      <c r="F9260" s="208" t="s">
        <v>109</v>
      </c>
      <c r="G9260" s="601" t="s">
        <v>4986</v>
      </c>
      <c r="H9260" s="81" t="s">
        <v>2941</v>
      </c>
      <c r="I9260" s="720" t="s">
        <v>5410</v>
      </c>
    </row>
    <row r="9261" spans="1:9" ht="15" hidden="1" customHeight="1">
      <c r="A9261" s="468">
        <v>45638</v>
      </c>
      <c r="B9261" s="208" t="s">
        <v>7289</v>
      </c>
      <c r="C9261" s="208" t="s">
        <v>27</v>
      </c>
      <c r="D9261" s="450">
        <v>-125566624</v>
      </c>
      <c r="E9261" s="212">
        <v>45627</v>
      </c>
      <c r="F9261" s="208" t="s">
        <v>109</v>
      </c>
      <c r="G9261" s="206" t="s">
        <v>6974</v>
      </c>
      <c r="H9261" s="81" t="s">
        <v>7101</v>
      </c>
      <c r="I9261" s="206"/>
    </row>
    <row r="9262" spans="1:9" ht="15" hidden="1" customHeight="1">
      <c r="A9262" s="468">
        <v>45638</v>
      </c>
      <c r="B9262" s="208" t="s">
        <v>7290</v>
      </c>
      <c r="C9262" s="208" t="s">
        <v>27</v>
      </c>
      <c r="D9262" s="450">
        <v>-36584935</v>
      </c>
      <c r="E9262" s="212">
        <v>45627</v>
      </c>
      <c r="F9262" s="208" t="s">
        <v>109</v>
      </c>
      <c r="G9262" s="206" t="s">
        <v>5990</v>
      </c>
      <c r="H9262" s="81" t="s">
        <v>6965</v>
      </c>
      <c r="I9262" s="206"/>
    </row>
    <row r="9263" spans="1:9" ht="15" hidden="1" customHeight="1">
      <c r="A9263" s="468">
        <v>45638</v>
      </c>
      <c r="B9263" s="208" t="s">
        <v>7291</v>
      </c>
      <c r="C9263" s="208" t="s">
        <v>27</v>
      </c>
      <c r="D9263" s="450">
        <v>-947151.94</v>
      </c>
      <c r="E9263" s="212">
        <v>45627</v>
      </c>
      <c r="F9263" s="208" t="s">
        <v>109</v>
      </c>
      <c r="G9263" s="206" t="s">
        <v>6903</v>
      </c>
      <c r="H9263" s="81" t="s">
        <v>310</v>
      </c>
      <c r="I9263" s="206"/>
    </row>
    <row r="9264" spans="1:9" ht="15" hidden="1" customHeight="1">
      <c r="A9264" s="468">
        <v>45638</v>
      </c>
      <c r="B9264" s="208" t="s">
        <v>7292</v>
      </c>
      <c r="C9264" s="208" t="s">
        <v>27</v>
      </c>
      <c r="D9264" s="450">
        <v>-5853982.4699999997</v>
      </c>
      <c r="E9264" s="212">
        <v>45627</v>
      </c>
      <c r="F9264" s="208" t="s">
        <v>109</v>
      </c>
      <c r="G9264" s="654" t="s">
        <v>5805</v>
      </c>
      <c r="H9264" s="81" t="s">
        <v>310</v>
      </c>
      <c r="I9264" s="206"/>
    </row>
    <row r="9265" spans="1:9" ht="15" hidden="1" customHeight="1">
      <c r="A9265" s="468">
        <v>45638</v>
      </c>
      <c r="B9265" s="208" t="s">
        <v>7292</v>
      </c>
      <c r="C9265" s="208" t="s">
        <v>27</v>
      </c>
      <c r="D9265" s="450">
        <v>-7162047.1299999999</v>
      </c>
      <c r="E9265" s="212">
        <v>45627</v>
      </c>
      <c r="F9265" s="208" t="s">
        <v>109</v>
      </c>
      <c r="G9265" s="654" t="s">
        <v>5805</v>
      </c>
      <c r="H9265" s="81" t="s">
        <v>310</v>
      </c>
      <c r="I9265" s="206"/>
    </row>
    <row r="9266" spans="1:9" ht="15" hidden="1" customHeight="1">
      <c r="A9266" s="468">
        <v>45638</v>
      </c>
      <c r="B9266" s="208" t="s">
        <v>7293</v>
      </c>
      <c r="C9266" s="208" t="s">
        <v>27</v>
      </c>
      <c r="D9266" s="450">
        <v>-3444000</v>
      </c>
      <c r="E9266" s="212">
        <v>45627</v>
      </c>
      <c r="F9266" s="208" t="s">
        <v>109</v>
      </c>
      <c r="G9266" s="206" t="s">
        <v>5990</v>
      </c>
      <c r="H9266" s="81" t="s">
        <v>6667</v>
      </c>
      <c r="I9266" s="206"/>
    </row>
    <row r="9267" spans="1:9" ht="15" hidden="1" customHeight="1">
      <c r="A9267" s="468">
        <v>45638</v>
      </c>
      <c r="B9267" s="208" t="s">
        <v>7294</v>
      </c>
      <c r="C9267" s="208" t="s">
        <v>4314</v>
      </c>
      <c r="D9267" s="211">
        <v>-35000</v>
      </c>
      <c r="E9267" s="212">
        <v>45627</v>
      </c>
      <c r="F9267" s="208" t="s">
        <v>109</v>
      </c>
      <c r="G9267" s="206" t="s">
        <v>5990</v>
      </c>
      <c r="H9267" s="81" t="s">
        <v>6667</v>
      </c>
      <c r="I9267" s="206"/>
    </row>
    <row r="9268" spans="1:9" ht="15" hidden="1" customHeight="1">
      <c r="A9268" s="468">
        <v>45638</v>
      </c>
      <c r="B9268" s="208" t="s">
        <v>7295</v>
      </c>
      <c r="C9268" s="208" t="s">
        <v>4314</v>
      </c>
      <c r="D9268" s="211">
        <v>-21000</v>
      </c>
      <c r="E9268" s="212">
        <v>45627</v>
      </c>
      <c r="F9268" s="208" t="s">
        <v>109</v>
      </c>
      <c r="G9268" s="206" t="s">
        <v>5990</v>
      </c>
      <c r="H9268" s="81" t="s">
        <v>6667</v>
      </c>
      <c r="I9268" s="206"/>
    </row>
    <row r="9269" spans="1:9" ht="15" hidden="1" customHeight="1">
      <c r="A9269" s="468">
        <v>45638</v>
      </c>
      <c r="B9269" s="208" t="s">
        <v>7296</v>
      </c>
      <c r="C9269" s="208" t="s">
        <v>27</v>
      </c>
      <c r="D9269" s="450">
        <v>-1452276</v>
      </c>
      <c r="E9269" s="212">
        <v>45627</v>
      </c>
      <c r="F9269" s="208" t="s">
        <v>109</v>
      </c>
      <c r="G9269" s="654" t="s">
        <v>5805</v>
      </c>
      <c r="H9269" s="81" t="s">
        <v>549</v>
      </c>
      <c r="I9269" s="206"/>
    </row>
    <row r="9270" spans="1:9" ht="15" hidden="1" customHeight="1">
      <c r="A9270" s="468">
        <v>45638</v>
      </c>
      <c r="B9270" s="208" t="s">
        <v>7297</v>
      </c>
      <c r="C9270" s="208" t="s">
        <v>27</v>
      </c>
      <c r="D9270" s="450">
        <v>-1600000</v>
      </c>
      <c r="E9270" s="212">
        <v>45627</v>
      </c>
      <c r="F9270" s="208" t="s">
        <v>130</v>
      </c>
      <c r="G9270" s="601" t="s">
        <v>257</v>
      </c>
      <c r="H9270" s="81" t="s">
        <v>1031</v>
      </c>
      <c r="I9270" s="206"/>
    </row>
    <row r="9271" spans="1:9" ht="15" hidden="1" customHeight="1">
      <c r="A9271" s="468">
        <v>45638</v>
      </c>
      <c r="B9271" s="208" t="s">
        <v>7298</v>
      </c>
      <c r="C9271" s="208" t="s">
        <v>27</v>
      </c>
      <c r="D9271" s="450">
        <v>-305836</v>
      </c>
      <c r="E9271" s="212">
        <v>45627</v>
      </c>
      <c r="F9271" s="208" t="s">
        <v>130</v>
      </c>
      <c r="G9271" s="601" t="s">
        <v>130</v>
      </c>
      <c r="H9271" s="81" t="s">
        <v>1156</v>
      </c>
      <c r="I9271" s="206"/>
    </row>
    <row r="9272" spans="1:9" ht="15" hidden="1" customHeight="1">
      <c r="A9272" s="468">
        <v>45638</v>
      </c>
      <c r="B9272" s="208" t="s">
        <v>7299</v>
      </c>
      <c r="C9272" s="208" t="s">
        <v>4314</v>
      </c>
      <c r="D9272" s="211">
        <v>-6280</v>
      </c>
      <c r="E9272" s="212">
        <v>45627</v>
      </c>
      <c r="F9272" s="208" t="s">
        <v>130</v>
      </c>
      <c r="G9272" s="601" t="s">
        <v>130</v>
      </c>
      <c r="H9272" s="81" t="s">
        <v>1156</v>
      </c>
      <c r="I9272" s="206"/>
    </row>
    <row r="9273" spans="1:9" ht="15" hidden="1" customHeight="1">
      <c r="A9273" s="468">
        <v>45638</v>
      </c>
      <c r="B9273" s="208" t="s">
        <v>7300</v>
      </c>
      <c r="C9273" s="208" t="s">
        <v>4314</v>
      </c>
      <c r="D9273" s="211">
        <v>-1884</v>
      </c>
      <c r="E9273" s="212">
        <v>45627</v>
      </c>
      <c r="F9273" s="208" t="s">
        <v>130</v>
      </c>
      <c r="G9273" s="601" t="s">
        <v>130</v>
      </c>
      <c r="H9273" s="81" t="s">
        <v>1156</v>
      </c>
      <c r="I9273" s="206"/>
    </row>
    <row r="9274" spans="1:9" ht="15" hidden="1" customHeight="1">
      <c r="A9274" s="468">
        <v>45638</v>
      </c>
      <c r="B9274" s="208" t="s">
        <v>7301</v>
      </c>
      <c r="C9274" s="208" t="s">
        <v>27</v>
      </c>
      <c r="D9274" s="450">
        <v>-619790</v>
      </c>
      <c r="E9274" s="212">
        <v>45627</v>
      </c>
      <c r="F9274" s="208" t="s">
        <v>110</v>
      </c>
      <c r="G9274" s="601" t="s">
        <v>5503</v>
      </c>
      <c r="H9274" s="81" t="s">
        <v>5625</v>
      </c>
      <c r="I9274" s="206"/>
    </row>
    <row r="9275" spans="1:9" ht="15" hidden="1" customHeight="1">
      <c r="A9275" s="468">
        <v>45638</v>
      </c>
      <c r="B9275" s="208" t="s">
        <v>7302</v>
      </c>
      <c r="C9275" s="208" t="s">
        <v>27</v>
      </c>
      <c r="D9275" s="450">
        <v>-3402818</v>
      </c>
      <c r="E9275" s="212">
        <v>45627</v>
      </c>
      <c r="F9275" s="208" t="s">
        <v>109</v>
      </c>
      <c r="G9275" s="206" t="s">
        <v>6903</v>
      </c>
      <c r="H9275" s="81" t="s">
        <v>549</v>
      </c>
      <c r="I9275" s="206"/>
    </row>
    <row r="9276" spans="1:9" ht="15" hidden="1" customHeight="1">
      <c r="A9276" s="468">
        <v>45638</v>
      </c>
      <c r="B9276" s="208" t="s">
        <v>7303</v>
      </c>
      <c r="C9276" s="208" t="s">
        <v>27</v>
      </c>
      <c r="D9276" s="450">
        <v>-490000</v>
      </c>
      <c r="E9276" s="212">
        <v>45627</v>
      </c>
      <c r="F9276" s="208" t="s">
        <v>109</v>
      </c>
      <c r="G9276" s="601" t="s">
        <v>6994</v>
      </c>
      <c r="H9276" s="81" t="s">
        <v>6830</v>
      </c>
      <c r="I9276" s="206"/>
    </row>
    <row r="9277" spans="1:9" ht="15" hidden="1" customHeight="1">
      <c r="A9277" s="468">
        <v>45638</v>
      </c>
      <c r="B9277" s="208" t="s">
        <v>7303</v>
      </c>
      <c r="C9277" s="208" t="s">
        <v>27</v>
      </c>
      <c r="D9277" s="450">
        <v>-490000</v>
      </c>
      <c r="E9277" s="212">
        <v>45627</v>
      </c>
      <c r="F9277" s="208" t="s">
        <v>109</v>
      </c>
      <c r="G9277" s="601" t="s">
        <v>6954</v>
      </c>
      <c r="H9277" s="81" t="s">
        <v>6830</v>
      </c>
      <c r="I9277" s="206"/>
    </row>
    <row r="9278" spans="1:9" ht="15" hidden="1" customHeight="1">
      <c r="A9278" s="468">
        <v>45638</v>
      </c>
      <c r="B9278" s="208" t="s">
        <v>7304</v>
      </c>
      <c r="C9278" s="208" t="s">
        <v>4314</v>
      </c>
      <c r="D9278" s="211">
        <v>-35544.080000000002</v>
      </c>
      <c r="E9278" s="212">
        <v>45627</v>
      </c>
      <c r="F9278" s="208" t="s">
        <v>109</v>
      </c>
      <c r="G9278" s="601" t="s">
        <v>6994</v>
      </c>
      <c r="H9278" s="81" t="s">
        <v>6830</v>
      </c>
      <c r="I9278" s="206"/>
    </row>
    <row r="9279" spans="1:9" ht="15" hidden="1" customHeight="1">
      <c r="A9279" s="468">
        <v>45638</v>
      </c>
      <c r="B9279" s="208" t="s">
        <v>7305</v>
      </c>
      <c r="C9279" s="208" t="s">
        <v>27</v>
      </c>
      <c r="D9279" s="450">
        <v>-15046360</v>
      </c>
      <c r="E9279" s="212">
        <v>45627</v>
      </c>
      <c r="F9279" s="208" t="s">
        <v>109</v>
      </c>
      <c r="G9279" s="601" t="s">
        <v>6954</v>
      </c>
      <c r="H9279" s="81" t="s">
        <v>631</v>
      </c>
      <c r="I9279" s="206"/>
    </row>
    <row r="9280" spans="1:9" ht="15" hidden="1" customHeight="1">
      <c r="A9280" s="468">
        <v>45638</v>
      </c>
      <c r="B9280" s="208" t="s">
        <v>7306</v>
      </c>
      <c r="C9280" s="208" t="s">
        <v>27</v>
      </c>
      <c r="D9280" s="450">
        <v>-1209270</v>
      </c>
      <c r="E9280" s="212">
        <v>45627</v>
      </c>
      <c r="F9280" s="208" t="s">
        <v>110</v>
      </c>
      <c r="G9280" s="601" t="s">
        <v>4990</v>
      </c>
      <c r="H9280" s="81" t="s">
        <v>3637</v>
      </c>
      <c r="I9280" s="720" t="s">
        <v>5410</v>
      </c>
    </row>
    <row r="9281" spans="1:9" ht="15" hidden="1" customHeight="1">
      <c r="A9281" s="468">
        <v>45638</v>
      </c>
      <c r="B9281" s="208" t="s">
        <v>7306</v>
      </c>
      <c r="C9281" s="208" t="s">
        <v>27</v>
      </c>
      <c r="D9281" s="450">
        <v>-1209270</v>
      </c>
      <c r="E9281" s="212">
        <v>45627</v>
      </c>
      <c r="F9281" s="208" t="s">
        <v>109</v>
      </c>
      <c r="G9281" s="601" t="s">
        <v>5911</v>
      </c>
      <c r="H9281" s="81" t="s">
        <v>3637</v>
      </c>
      <c r="I9281" s="206"/>
    </row>
    <row r="9282" spans="1:9" ht="15" hidden="1" customHeight="1">
      <c r="A9282" s="468">
        <v>45638</v>
      </c>
      <c r="B9282" s="208" t="s">
        <v>7306</v>
      </c>
      <c r="C9282" s="208" t="s">
        <v>27</v>
      </c>
      <c r="D9282" s="450">
        <v>-1209270</v>
      </c>
      <c r="E9282" s="212">
        <v>45627</v>
      </c>
      <c r="F9282" s="208" t="s">
        <v>109</v>
      </c>
      <c r="G9282" s="601" t="s">
        <v>6301</v>
      </c>
      <c r="H9282" s="81" t="s">
        <v>3637</v>
      </c>
      <c r="I9282" s="206"/>
    </row>
    <row r="9283" spans="1:9" ht="15" hidden="1" customHeight="1">
      <c r="A9283" s="468">
        <v>45638</v>
      </c>
      <c r="B9283" s="208" t="s">
        <v>7306</v>
      </c>
      <c r="C9283" s="208" t="s">
        <v>27</v>
      </c>
      <c r="D9283" s="450">
        <v>-1209270</v>
      </c>
      <c r="E9283" s="212">
        <v>45627</v>
      </c>
      <c r="F9283" s="208" t="s">
        <v>109</v>
      </c>
      <c r="G9283" s="601" t="s">
        <v>6926</v>
      </c>
      <c r="H9283" s="81" t="s">
        <v>3637</v>
      </c>
      <c r="I9283" s="206"/>
    </row>
    <row r="9284" spans="1:9" ht="15" hidden="1" customHeight="1">
      <c r="A9284" s="468">
        <v>45638</v>
      </c>
      <c r="B9284" s="208" t="s">
        <v>7306</v>
      </c>
      <c r="C9284" s="208" t="s">
        <v>27</v>
      </c>
      <c r="D9284" s="450">
        <v>-1209270</v>
      </c>
      <c r="E9284" s="212">
        <v>45627</v>
      </c>
      <c r="F9284" s="208" t="s">
        <v>109</v>
      </c>
      <c r="G9284" s="601" t="s">
        <v>7307</v>
      </c>
      <c r="H9284" s="81" t="s">
        <v>3637</v>
      </c>
      <c r="I9284" s="206"/>
    </row>
    <row r="9285" spans="1:9" ht="15" hidden="1" customHeight="1">
      <c r="A9285" s="468">
        <v>45638</v>
      </c>
      <c r="B9285" s="208" t="s">
        <v>7306</v>
      </c>
      <c r="C9285" s="208" t="s">
        <v>27</v>
      </c>
      <c r="D9285" s="450">
        <v>-1209270</v>
      </c>
      <c r="E9285" s="212">
        <v>45627</v>
      </c>
      <c r="F9285" s="208" t="s">
        <v>109</v>
      </c>
      <c r="G9285" s="601" t="s">
        <v>7308</v>
      </c>
      <c r="H9285" s="81" t="s">
        <v>3637</v>
      </c>
      <c r="I9285" s="720" t="s">
        <v>5410</v>
      </c>
    </row>
    <row r="9286" spans="1:9" ht="15" hidden="1" customHeight="1">
      <c r="A9286" s="468">
        <v>45638</v>
      </c>
      <c r="B9286" s="208" t="s">
        <v>7309</v>
      </c>
      <c r="C9286" s="208" t="s">
        <v>4314</v>
      </c>
      <c r="D9286" s="211">
        <v>-155700</v>
      </c>
      <c r="E9286" s="212">
        <v>45627</v>
      </c>
      <c r="F9286" s="208" t="s">
        <v>109</v>
      </c>
      <c r="G9286" s="601" t="s">
        <v>5911</v>
      </c>
      <c r="H9286" s="81" t="s">
        <v>3637</v>
      </c>
      <c r="I9286" s="720" t="s">
        <v>5410</v>
      </c>
    </row>
    <row r="9287" spans="1:9" ht="15" hidden="1" customHeight="1">
      <c r="A9287" s="468">
        <v>45627</v>
      </c>
      <c r="B9287" s="208" t="s">
        <v>7310</v>
      </c>
      <c r="C9287" s="208" t="s">
        <v>27</v>
      </c>
      <c r="D9287" s="450">
        <v>-110000</v>
      </c>
      <c r="E9287" s="212">
        <v>45627</v>
      </c>
      <c r="F9287" s="208" t="s">
        <v>110</v>
      </c>
      <c r="G9287" s="601" t="s">
        <v>5503</v>
      </c>
      <c r="H9287" s="81" t="s">
        <v>2941</v>
      </c>
      <c r="I9287" s="206" t="s">
        <v>7311</v>
      </c>
    </row>
    <row r="9288" spans="1:9" ht="15" hidden="1" customHeight="1">
      <c r="A9288" s="468">
        <v>45627</v>
      </c>
      <c r="B9288" s="208" t="s">
        <v>7312</v>
      </c>
      <c r="C9288" s="208" t="s">
        <v>27</v>
      </c>
      <c r="D9288" s="450">
        <v>-8000</v>
      </c>
      <c r="E9288" s="212">
        <v>45627</v>
      </c>
      <c r="F9288" s="208" t="s">
        <v>110</v>
      </c>
      <c r="G9288" s="601" t="s">
        <v>5503</v>
      </c>
      <c r="H9288" s="81" t="s">
        <v>2941</v>
      </c>
      <c r="I9288" s="206" t="s">
        <v>7311</v>
      </c>
    </row>
    <row r="9289" spans="1:9" ht="15" hidden="1" customHeight="1">
      <c r="A9289" s="468">
        <v>45627</v>
      </c>
      <c r="B9289" s="208" t="s">
        <v>7313</v>
      </c>
      <c r="C9289" s="208" t="s">
        <v>27</v>
      </c>
      <c r="D9289" s="450">
        <v>-74000</v>
      </c>
      <c r="E9289" s="212">
        <v>45627</v>
      </c>
      <c r="F9289" s="208" t="s">
        <v>110</v>
      </c>
      <c r="G9289" s="601" t="s">
        <v>5503</v>
      </c>
      <c r="H9289" s="81" t="s">
        <v>138</v>
      </c>
      <c r="I9289" s="206" t="s">
        <v>7311</v>
      </c>
    </row>
    <row r="9290" spans="1:9" ht="15" hidden="1" customHeight="1">
      <c r="A9290" s="468">
        <v>45627</v>
      </c>
      <c r="B9290" s="208" t="s">
        <v>7314</v>
      </c>
      <c r="C9290" s="208" t="s">
        <v>27</v>
      </c>
      <c r="D9290" s="450">
        <v>-23100</v>
      </c>
      <c r="E9290" s="212">
        <v>45627</v>
      </c>
      <c r="F9290" s="208" t="s">
        <v>110</v>
      </c>
      <c r="G9290" s="601" t="s">
        <v>5503</v>
      </c>
      <c r="H9290" s="81" t="s">
        <v>2941</v>
      </c>
      <c r="I9290" s="206" t="s">
        <v>7311</v>
      </c>
    </row>
    <row r="9291" spans="1:9" ht="15" hidden="1" customHeight="1">
      <c r="A9291" s="468">
        <v>45628</v>
      </c>
      <c r="B9291" s="208" t="s">
        <v>7315</v>
      </c>
      <c r="C9291" s="208" t="s">
        <v>27</v>
      </c>
      <c r="D9291" s="450">
        <v>-239900</v>
      </c>
      <c r="E9291" s="212">
        <v>45627</v>
      </c>
      <c r="F9291" s="208" t="s">
        <v>109</v>
      </c>
      <c r="G9291" s="206" t="s">
        <v>6903</v>
      </c>
      <c r="H9291" s="81" t="s">
        <v>147</v>
      </c>
      <c r="I9291" s="206" t="s">
        <v>7311</v>
      </c>
    </row>
    <row r="9292" spans="1:9" ht="15" hidden="1" customHeight="1">
      <c r="A9292" s="468">
        <v>45630</v>
      </c>
      <c r="B9292" s="208" t="s">
        <v>7316</v>
      </c>
      <c r="C9292" s="208" t="s">
        <v>27</v>
      </c>
      <c r="D9292" s="450">
        <v>-94719</v>
      </c>
      <c r="E9292" s="212">
        <v>45627</v>
      </c>
      <c r="F9292" s="208" t="s">
        <v>110</v>
      </c>
      <c r="G9292" s="601" t="s">
        <v>5503</v>
      </c>
      <c r="H9292" s="81" t="s">
        <v>2941</v>
      </c>
      <c r="I9292" s="206" t="s">
        <v>7311</v>
      </c>
    </row>
    <row r="9293" spans="1:9" ht="15" hidden="1" customHeight="1">
      <c r="A9293" s="468">
        <v>45631</v>
      </c>
      <c r="B9293" s="208" t="s">
        <v>7317</v>
      </c>
      <c r="C9293" s="208" t="s">
        <v>27</v>
      </c>
      <c r="D9293" s="450">
        <v>-11400</v>
      </c>
      <c r="E9293" s="212">
        <v>45627</v>
      </c>
      <c r="F9293" s="208" t="s">
        <v>109</v>
      </c>
      <c r="G9293" s="206" t="s">
        <v>6903</v>
      </c>
      <c r="H9293" s="81" t="s">
        <v>2941</v>
      </c>
      <c r="I9293" s="206" t="s">
        <v>7311</v>
      </c>
    </row>
    <row r="9294" spans="1:9" ht="15" hidden="1" customHeight="1">
      <c r="A9294" s="468">
        <v>45632</v>
      </c>
      <c r="B9294" s="208" t="s">
        <v>7318</v>
      </c>
      <c r="C9294" s="208" t="s">
        <v>27</v>
      </c>
      <c r="D9294" s="450">
        <v>-40000</v>
      </c>
      <c r="E9294" s="212">
        <v>45627</v>
      </c>
      <c r="F9294" s="208" t="s">
        <v>109</v>
      </c>
      <c r="G9294" s="206" t="s">
        <v>6903</v>
      </c>
      <c r="H9294" s="81" t="s">
        <v>138</v>
      </c>
      <c r="I9294" s="206" t="s">
        <v>7311</v>
      </c>
    </row>
    <row r="9295" spans="1:9" ht="15" hidden="1" customHeight="1">
      <c r="A9295" s="468">
        <v>45632</v>
      </c>
      <c r="B9295" s="208" t="s">
        <v>7319</v>
      </c>
      <c r="C9295" s="208" t="s">
        <v>27</v>
      </c>
      <c r="D9295" s="450">
        <v>-20000</v>
      </c>
      <c r="E9295" s="212">
        <v>45627</v>
      </c>
      <c r="F9295" s="208" t="s">
        <v>109</v>
      </c>
      <c r="G9295" s="206" t="s">
        <v>6903</v>
      </c>
      <c r="H9295" s="81" t="s">
        <v>138</v>
      </c>
      <c r="I9295" s="206" t="s">
        <v>7311</v>
      </c>
    </row>
    <row r="9296" spans="1:9" ht="15" hidden="1" customHeight="1">
      <c r="A9296" s="468">
        <v>45632</v>
      </c>
      <c r="B9296" s="208" t="s">
        <v>7320</v>
      </c>
      <c r="C9296" s="208" t="s">
        <v>27</v>
      </c>
      <c r="D9296" s="450">
        <v>-100000</v>
      </c>
      <c r="E9296" s="212">
        <v>45627</v>
      </c>
      <c r="F9296" s="208" t="s">
        <v>109</v>
      </c>
      <c r="G9296" s="206" t="s">
        <v>6903</v>
      </c>
      <c r="H9296" s="81" t="s">
        <v>138</v>
      </c>
      <c r="I9296" s="206" t="s">
        <v>7311</v>
      </c>
    </row>
    <row r="9297" spans="1:9" ht="15" hidden="1" customHeight="1">
      <c r="A9297" s="468">
        <v>45632</v>
      </c>
      <c r="B9297" s="208" t="s">
        <v>3535</v>
      </c>
      <c r="C9297" s="208" t="s">
        <v>27</v>
      </c>
      <c r="D9297" s="450">
        <v>-22000</v>
      </c>
      <c r="E9297" s="212">
        <v>45627</v>
      </c>
      <c r="F9297" s="208" t="s">
        <v>109</v>
      </c>
      <c r="G9297" s="206" t="s">
        <v>6903</v>
      </c>
      <c r="H9297" s="81" t="s">
        <v>138</v>
      </c>
      <c r="I9297" s="720" t="s">
        <v>5410</v>
      </c>
    </row>
    <row r="9298" spans="1:9" ht="15" hidden="1" customHeight="1">
      <c r="A9298" s="468">
        <v>45632</v>
      </c>
      <c r="B9298" s="208" t="s">
        <v>7321</v>
      </c>
      <c r="C9298" s="208" t="s">
        <v>27</v>
      </c>
      <c r="D9298" s="450">
        <v>-100000</v>
      </c>
      <c r="E9298" s="212">
        <v>45627</v>
      </c>
      <c r="F9298" s="208" t="s">
        <v>130</v>
      </c>
      <c r="G9298" s="601" t="s">
        <v>257</v>
      </c>
      <c r="H9298" s="81" t="s">
        <v>138</v>
      </c>
      <c r="I9298" s="206" t="s">
        <v>7311</v>
      </c>
    </row>
    <row r="9299" spans="1:9" ht="15" hidden="1" customHeight="1">
      <c r="A9299" s="468">
        <v>45632</v>
      </c>
      <c r="B9299" s="208" t="s">
        <v>7322</v>
      </c>
      <c r="C9299" s="208" t="s">
        <v>27</v>
      </c>
      <c r="D9299" s="450">
        <v>-3500</v>
      </c>
      <c r="E9299" s="212">
        <v>45627</v>
      </c>
      <c r="F9299" s="208" t="s">
        <v>110</v>
      </c>
      <c r="G9299" s="601" t="s">
        <v>5503</v>
      </c>
      <c r="H9299" s="81" t="s">
        <v>2941</v>
      </c>
      <c r="I9299" s="206" t="s">
        <v>7311</v>
      </c>
    </row>
    <row r="9300" spans="1:9" ht="15" hidden="1" customHeight="1">
      <c r="A9300" s="468">
        <v>45636</v>
      </c>
      <c r="B9300" s="208" t="s">
        <v>7323</v>
      </c>
      <c r="C9300" s="208" t="s">
        <v>27</v>
      </c>
      <c r="D9300" s="450">
        <v>-162600</v>
      </c>
      <c r="E9300" s="212">
        <v>45627</v>
      </c>
      <c r="F9300" s="208" t="s">
        <v>110</v>
      </c>
      <c r="G9300" s="601" t="s">
        <v>5503</v>
      </c>
      <c r="H9300" s="81" t="s">
        <v>1166</v>
      </c>
      <c r="I9300" s="720" t="s">
        <v>5410</v>
      </c>
    </row>
    <row r="9301" spans="1:9" ht="15" hidden="1" customHeight="1">
      <c r="A9301" s="468">
        <v>45630</v>
      </c>
      <c r="B9301" s="208" t="s">
        <v>7324</v>
      </c>
      <c r="C9301" s="208" t="s">
        <v>27</v>
      </c>
      <c r="D9301" s="450">
        <v>-11600</v>
      </c>
      <c r="E9301" s="212">
        <v>45627</v>
      </c>
      <c r="F9301" s="208" t="s">
        <v>130</v>
      </c>
      <c r="G9301" s="601" t="s">
        <v>257</v>
      </c>
      <c r="H9301" s="262" t="s">
        <v>1138</v>
      </c>
      <c r="I9301" s="206" t="s">
        <v>7325</v>
      </c>
    </row>
    <row r="9302" spans="1:9" ht="15" hidden="1" customHeight="1">
      <c r="A9302" s="468">
        <v>45630</v>
      </c>
      <c r="B9302" s="208" t="s">
        <v>3535</v>
      </c>
      <c r="C9302" s="208" t="s">
        <v>27</v>
      </c>
      <c r="D9302" s="450">
        <v>-34100</v>
      </c>
      <c r="E9302" s="212">
        <v>45627</v>
      </c>
      <c r="F9302" s="208" t="s">
        <v>130</v>
      </c>
      <c r="G9302" s="601" t="s">
        <v>257</v>
      </c>
      <c r="H9302" s="262" t="s">
        <v>1138</v>
      </c>
      <c r="I9302" s="206" t="s">
        <v>7325</v>
      </c>
    </row>
    <row r="9303" spans="1:9" ht="15" hidden="1" customHeight="1">
      <c r="A9303" s="468">
        <v>45630</v>
      </c>
      <c r="B9303" s="208" t="s">
        <v>7326</v>
      </c>
      <c r="C9303" s="208" t="s">
        <v>27</v>
      </c>
      <c r="D9303" s="450">
        <v>-60000</v>
      </c>
      <c r="E9303" s="212">
        <v>45627</v>
      </c>
      <c r="F9303" s="208" t="s">
        <v>130</v>
      </c>
      <c r="G9303" s="601" t="s">
        <v>257</v>
      </c>
      <c r="H9303" s="81" t="s">
        <v>6929</v>
      </c>
      <c r="I9303" s="206" t="s">
        <v>7325</v>
      </c>
    </row>
    <row r="9304" spans="1:9" ht="15" hidden="1" customHeight="1">
      <c r="A9304" s="468">
        <v>45632</v>
      </c>
      <c r="B9304" s="208" t="s">
        <v>7327</v>
      </c>
      <c r="C9304" s="208" t="s">
        <v>27</v>
      </c>
      <c r="D9304" s="450">
        <v>-130500</v>
      </c>
      <c r="E9304" s="212">
        <v>45627</v>
      </c>
      <c r="F9304" s="208" t="s">
        <v>130</v>
      </c>
      <c r="G9304" s="601" t="s">
        <v>257</v>
      </c>
      <c r="H9304" s="81" t="s">
        <v>303</v>
      </c>
      <c r="I9304" s="206" t="s">
        <v>7325</v>
      </c>
    </row>
    <row r="9305" spans="1:9" ht="15" hidden="1" customHeight="1">
      <c r="A9305" s="468">
        <v>45632</v>
      </c>
      <c r="B9305" s="208" t="s">
        <v>7328</v>
      </c>
      <c r="C9305" s="208" t="s">
        <v>27</v>
      </c>
      <c r="D9305" s="450">
        <v>-57200</v>
      </c>
      <c r="E9305" s="212">
        <v>45627</v>
      </c>
      <c r="F9305" s="208" t="s">
        <v>130</v>
      </c>
      <c r="G9305" s="601" t="s">
        <v>257</v>
      </c>
      <c r="H9305" s="262" t="s">
        <v>1138</v>
      </c>
      <c r="I9305" s="206" t="s">
        <v>7325</v>
      </c>
    </row>
    <row r="9306" spans="1:9" ht="15" hidden="1" customHeight="1">
      <c r="A9306" s="468">
        <v>45636</v>
      </c>
      <c r="B9306" s="208" t="s">
        <v>7324</v>
      </c>
      <c r="C9306" s="208" t="s">
        <v>27</v>
      </c>
      <c r="D9306" s="450">
        <v>-11600</v>
      </c>
      <c r="E9306" s="212">
        <v>45627</v>
      </c>
      <c r="F9306" s="208" t="s">
        <v>130</v>
      </c>
      <c r="G9306" s="601" t="s">
        <v>257</v>
      </c>
      <c r="H9306" s="262" t="s">
        <v>1138</v>
      </c>
      <c r="I9306" s="206" t="s">
        <v>7325</v>
      </c>
    </row>
    <row r="9307" spans="1:9" ht="15" hidden="1" customHeight="1">
      <c r="A9307" s="468">
        <v>45636</v>
      </c>
      <c r="B9307" s="208" t="s">
        <v>7329</v>
      </c>
      <c r="C9307" s="208" t="s">
        <v>27</v>
      </c>
      <c r="D9307" s="450">
        <v>-11600</v>
      </c>
      <c r="E9307" s="212">
        <v>45627</v>
      </c>
      <c r="F9307" s="208" t="s">
        <v>130</v>
      </c>
      <c r="G9307" s="601" t="s">
        <v>257</v>
      </c>
      <c r="H9307" s="262" t="s">
        <v>1138</v>
      </c>
      <c r="I9307" s="206" t="s">
        <v>7325</v>
      </c>
    </row>
    <row r="9308" spans="1:9" ht="15" hidden="1" customHeight="1">
      <c r="A9308" s="468">
        <v>45636</v>
      </c>
      <c r="B9308" s="208" t="s">
        <v>4942</v>
      </c>
      <c r="C9308" s="208" t="s">
        <v>27</v>
      </c>
      <c r="D9308" s="450">
        <v>-32829</v>
      </c>
      <c r="E9308" s="212">
        <v>45627</v>
      </c>
      <c r="F9308" s="208" t="s">
        <v>130</v>
      </c>
      <c r="G9308" s="601" t="s">
        <v>257</v>
      </c>
      <c r="H9308" s="262" t="s">
        <v>1138</v>
      </c>
      <c r="I9308" s="206" t="s">
        <v>7325</v>
      </c>
    </row>
    <row r="9309" spans="1:9" ht="15" hidden="1" customHeight="1">
      <c r="A9309" s="468">
        <v>45638</v>
      </c>
      <c r="B9309" s="208" t="s">
        <v>7330</v>
      </c>
      <c r="C9309" s="208" t="s">
        <v>27</v>
      </c>
      <c r="D9309" s="450">
        <v>-146666</v>
      </c>
      <c r="E9309" s="212">
        <v>45627</v>
      </c>
      <c r="F9309" s="208" t="s">
        <v>109</v>
      </c>
      <c r="G9309" s="601" t="s">
        <v>6994</v>
      </c>
      <c r="H9309" s="81" t="s">
        <v>7331</v>
      </c>
      <c r="I9309" s="206"/>
    </row>
    <row r="9310" spans="1:9" ht="15" hidden="1" customHeight="1">
      <c r="A9310" s="468">
        <v>45638</v>
      </c>
      <c r="B9310" s="208" t="s">
        <v>7330</v>
      </c>
      <c r="C9310" s="208" t="s">
        <v>27</v>
      </c>
      <c r="D9310" s="450">
        <v>-146666</v>
      </c>
      <c r="E9310" s="212">
        <v>45627</v>
      </c>
      <c r="F9310" s="208" t="s">
        <v>109</v>
      </c>
      <c r="G9310" s="601" t="s">
        <v>6954</v>
      </c>
      <c r="H9310" s="81" t="s">
        <v>7331</v>
      </c>
      <c r="I9310" s="206"/>
    </row>
    <row r="9311" spans="1:9" ht="15" hidden="1" customHeight="1">
      <c r="A9311" s="468">
        <v>45638</v>
      </c>
      <c r="B9311" s="208" t="s">
        <v>7330</v>
      </c>
      <c r="C9311" s="208" t="s">
        <v>27</v>
      </c>
      <c r="D9311" s="450">
        <v>-146666</v>
      </c>
      <c r="E9311" s="212">
        <v>45627</v>
      </c>
      <c r="F9311" s="208" t="s">
        <v>109</v>
      </c>
      <c r="G9311" s="206" t="s">
        <v>5990</v>
      </c>
      <c r="H9311" s="81" t="s">
        <v>7331</v>
      </c>
      <c r="I9311" s="206"/>
    </row>
    <row r="9312" spans="1:9" ht="15" hidden="1" customHeight="1">
      <c r="A9312" s="468">
        <v>45638</v>
      </c>
      <c r="B9312" s="208" t="s">
        <v>7332</v>
      </c>
      <c r="C9312" s="208" t="s">
        <v>27</v>
      </c>
      <c r="D9312" s="450">
        <v>-320000</v>
      </c>
      <c r="E9312" s="212">
        <v>45627</v>
      </c>
      <c r="F9312" s="208" t="s">
        <v>109</v>
      </c>
      <c r="G9312" s="206" t="s">
        <v>5990</v>
      </c>
      <c r="H9312" s="81" t="s">
        <v>6830</v>
      </c>
      <c r="I9312" s="206"/>
    </row>
    <row r="9313" spans="1:9" ht="15" hidden="1" customHeight="1">
      <c r="A9313" s="468">
        <v>45638</v>
      </c>
      <c r="B9313" s="208" t="s">
        <v>7332</v>
      </c>
      <c r="C9313" s="208" t="s">
        <v>27</v>
      </c>
      <c r="D9313" s="450">
        <v>-320000</v>
      </c>
      <c r="E9313" s="212">
        <v>45627</v>
      </c>
      <c r="F9313" s="208" t="s">
        <v>109</v>
      </c>
      <c r="G9313" s="601" t="s">
        <v>6994</v>
      </c>
      <c r="H9313" s="81" t="s">
        <v>7331</v>
      </c>
      <c r="I9313" s="206"/>
    </row>
    <row r="9314" spans="1:9" ht="15" hidden="1" customHeight="1">
      <c r="A9314" s="468">
        <v>45638</v>
      </c>
      <c r="B9314" s="208" t="s">
        <v>7332</v>
      </c>
      <c r="C9314" s="208" t="s">
        <v>27</v>
      </c>
      <c r="D9314" s="450">
        <v>-320000</v>
      </c>
      <c r="E9314" s="212">
        <v>45627</v>
      </c>
      <c r="F9314" s="208" t="s">
        <v>109</v>
      </c>
      <c r="G9314" s="601" t="s">
        <v>6954</v>
      </c>
      <c r="H9314" s="81" t="s">
        <v>7331</v>
      </c>
      <c r="I9314" s="206"/>
    </row>
    <row r="9315" spans="1:9" ht="15" hidden="1" customHeight="1">
      <c r="A9315" s="468">
        <v>45632</v>
      </c>
      <c r="B9315" s="208" t="s">
        <v>7333</v>
      </c>
      <c r="C9315" s="208" t="s">
        <v>27</v>
      </c>
      <c r="D9315" s="450">
        <v>-486000</v>
      </c>
      <c r="E9315" s="212">
        <v>45627</v>
      </c>
      <c r="F9315" s="208" t="s">
        <v>109</v>
      </c>
      <c r="G9315" s="206" t="s">
        <v>5990</v>
      </c>
      <c r="H9315" s="81" t="s">
        <v>6134</v>
      </c>
      <c r="I9315" s="206"/>
    </row>
    <row r="9316" spans="1:9" ht="15" hidden="1" customHeight="1">
      <c r="A9316" s="468">
        <v>45636</v>
      </c>
      <c r="B9316" s="208" t="s">
        <v>7334</v>
      </c>
      <c r="C9316" s="208" t="s">
        <v>27</v>
      </c>
      <c r="D9316" s="450">
        <v>-180000</v>
      </c>
      <c r="E9316" s="212">
        <v>45627</v>
      </c>
      <c r="F9316" s="208" t="s">
        <v>109</v>
      </c>
      <c r="G9316" s="601" t="s">
        <v>5906</v>
      </c>
      <c r="H9316" s="81" t="s">
        <v>549</v>
      </c>
      <c r="I9316" s="720" t="s">
        <v>5410</v>
      </c>
    </row>
    <row r="9317" spans="1:9" ht="15" hidden="1" customHeight="1">
      <c r="A9317" s="468">
        <v>45636</v>
      </c>
      <c r="B9317" s="208" t="s">
        <v>7335</v>
      </c>
      <c r="C9317" s="208" t="s">
        <v>27</v>
      </c>
      <c r="D9317" s="450">
        <v>-180000</v>
      </c>
      <c r="E9317" s="212">
        <v>45627</v>
      </c>
      <c r="F9317" s="208" t="s">
        <v>109</v>
      </c>
      <c r="G9317" s="206" t="s">
        <v>6875</v>
      </c>
      <c r="H9317" s="81" t="s">
        <v>549</v>
      </c>
      <c r="I9317" s="206"/>
    </row>
    <row r="9318" spans="1:9" ht="15" hidden="1" customHeight="1">
      <c r="A9318" s="468">
        <v>45639</v>
      </c>
      <c r="B9318" s="208" t="s">
        <v>7336</v>
      </c>
      <c r="C9318" s="208" t="s">
        <v>27</v>
      </c>
      <c r="D9318" s="450">
        <v>-326900</v>
      </c>
      <c r="E9318" s="212">
        <v>45627</v>
      </c>
      <c r="F9318" s="208" t="s">
        <v>110</v>
      </c>
      <c r="G9318" s="601" t="s">
        <v>5469</v>
      </c>
      <c r="H9318" s="81" t="s">
        <v>1166</v>
      </c>
      <c r="I9318" s="206"/>
    </row>
    <row r="9319" spans="1:9" ht="15" hidden="1" customHeight="1">
      <c r="A9319" s="468">
        <v>45639</v>
      </c>
      <c r="B9319" s="208" t="s">
        <v>7337</v>
      </c>
      <c r="C9319" s="208" t="s">
        <v>4314</v>
      </c>
      <c r="D9319" s="211">
        <v>-21000</v>
      </c>
      <c r="E9319" s="212">
        <v>45627</v>
      </c>
      <c r="F9319" s="208" t="s">
        <v>110</v>
      </c>
      <c r="G9319" s="601" t="s">
        <v>5469</v>
      </c>
      <c r="H9319" s="81" t="s">
        <v>138</v>
      </c>
      <c r="I9319" s="206"/>
    </row>
    <row r="9320" spans="1:9" ht="15" hidden="1" customHeight="1">
      <c r="A9320" s="468">
        <v>45639</v>
      </c>
      <c r="B9320" s="208" t="s">
        <v>7338</v>
      </c>
      <c r="C9320" s="208" t="s">
        <v>4314</v>
      </c>
      <c r="D9320" s="211">
        <v>-2100</v>
      </c>
      <c r="E9320" s="212">
        <v>45627</v>
      </c>
      <c r="F9320" s="208" t="s">
        <v>110</v>
      </c>
      <c r="G9320" s="601" t="s">
        <v>5469</v>
      </c>
      <c r="H9320" s="81" t="s">
        <v>138</v>
      </c>
      <c r="I9320" s="720" t="s">
        <v>5410</v>
      </c>
    </row>
    <row r="9321" spans="1:9" ht="15" hidden="1" customHeight="1">
      <c r="A9321" s="205">
        <v>45638</v>
      </c>
      <c r="B9321" s="208" t="s">
        <v>7339</v>
      </c>
      <c r="C9321" s="206" t="s">
        <v>27</v>
      </c>
      <c r="D9321" s="737">
        <v>100000000</v>
      </c>
      <c r="E9321" s="207">
        <v>45627</v>
      </c>
      <c r="F9321" s="206" t="s">
        <v>707</v>
      </c>
      <c r="G9321" s="206" t="s">
        <v>6994</v>
      </c>
      <c r="H9321" s="206" t="s">
        <v>7331</v>
      </c>
      <c r="I9321" s="206"/>
    </row>
    <row r="9322" spans="1:9" ht="14.15" hidden="1">
      <c r="A9322" s="205">
        <v>45637</v>
      </c>
      <c r="B9322" s="208" t="s">
        <v>7340</v>
      </c>
      <c r="C9322" s="206" t="s">
        <v>3331</v>
      </c>
      <c r="D9322" s="811">
        <v>-2209897</v>
      </c>
      <c r="E9322" s="207">
        <v>45627</v>
      </c>
      <c r="F9322" s="206" t="s">
        <v>109</v>
      </c>
      <c r="G9322" s="206" t="s">
        <v>3529</v>
      </c>
      <c r="H9322" s="206" t="s">
        <v>3637</v>
      </c>
      <c r="I9322" s="720" t="s">
        <v>5410</v>
      </c>
    </row>
    <row r="9323" spans="1:9" ht="15" hidden="1" customHeight="1">
      <c r="A9323" s="205">
        <v>45638</v>
      </c>
      <c r="B9323" s="208" t="s">
        <v>7341</v>
      </c>
      <c r="C9323" s="206" t="s">
        <v>3331</v>
      </c>
      <c r="D9323" s="811">
        <v>-352903</v>
      </c>
      <c r="E9323" s="207">
        <v>45627</v>
      </c>
      <c r="F9323" s="206" t="s">
        <v>110</v>
      </c>
      <c r="G9323" s="206" t="s">
        <v>1489</v>
      </c>
      <c r="H9323" s="843" t="s">
        <v>1463</v>
      </c>
      <c r="I9323" s="206"/>
    </row>
    <row r="9324" spans="1:9" ht="15" hidden="1" customHeight="1">
      <c r="A9324" s="205">
        <v>45638</v>
      </c>
      <c r="B9324" s="208" t="s">
        <v>7342</v>
      </c>
      <c r="C9324" s="206" t="s">
        <v>3331</v>
      </c>
      <c r="D9324" s="811">
        <v>-274008</v>
      </c>
      <c r="E9324" s="207">
        <v>45627</v>
      </c>
      <c r="F9324" s="206" t="s">
        <v>110</v>
      </c>
      <c r="G9324" s="206" t="s">
        <v>4294</v>
      </c>
      <c r="H9324" s="206" t="s">
        <v>318</v>
      </c>
      <c r="I9324" s="206"/>
    </row>
    <row r="9325" spans="1:9" ht="15" hidden="1" customHeight="1">
      <c r="A9325" s="205">
        <v>45638</v>
      </c>
      <c r="B9325" s="208" t="s">
        <v>7343</v>
      </c>
      <c r="C9325" s="206" t="s">
        <v>3331</v>
      </c>
      <c r="D9325" s="718">
        <v>507500</v>
      </c>
      <c r="E9325" s="207">
        <v>45627</v>
      </c>
      <c r="F9325" s="206" t="s">
        <v>108</v>
      </c>
      <c r="I9325" s="206"/>
    </row>
    <row r="9326" spans="1:9" ht="15" hidden="1" customHeight="1">
      <c r="A9326" s="205">
        <v>45638</v>
      </c>
      <c r="B9326" s="208" t="s">
        <v>7344</v>
      </c>
      <c r="C9326" s="206" t="s">
        <v>3331</v>
      </c>
      <c r="D9326" s="718">
        <v>1444999</v>
      </c>
      <c r="E9326" s="207">
        <v>45627</v>
      </c>
      <c r="F9326" s="206" t="s">
        <v>108</v>
      </c>
      <c r="I9326" s="206"/>
    </row>
    <row r="9327" spans="1:9" ht="15" hidden="1" customHeight="1">
      <c r="A9327" s="205">
        <v>45637</v>
      </c>
      <c r="B9327" s="208" t="s">
        <v>7345</v>
      </c>
      <c r="C9327" s="206" t="s">
        <v>3331</v>
      </c>
      <c r="D9327" s="811">
        <v>-30600</v>
      </c>
      <c r="E9327" s="207">
        <v>45627</v>
      </c>
      <c r="F9327" s="206" t="s">
        <v>130</v>
      </c>
      <c r="G9327" s="206" t="s">
        <v>257</v>
      </c>
      <c r="H9327" s="206" t="s">
        <v>1182</v>
      </c>
      <c r="I9327" s="206"/>
    </row>
    <row r="9328" spans="1:9" ht="15" hidden="1" customHeight="1">
      <c r="A9328" s="205">
        <v>45637</v>
      </c>
      <c r="B9328" s="208" t="s">
        <v>7346</v>
      </c>
      <c r="C9328" s="206" t="s">
        <v>3331</v>
      </c>
      <c r="D9328" s="811">
        <v>-62830</v>
      </c>
      <c r="E9328" s="207">
        <v>45627</v>
      </c>
      <c r="F9328" s="206" t="s">
        <v>130</v>
      </c>
      <c r="G9328" s="206" t="s">
        <v>257</v>
      </c>
      <c r="H9328" s="206" t="s">
        <v>1182</v>
      </c>
      <c r="I9328" s="206"/>
    </row>
    <row r="9329" spans="1:9" ht="15" hidden="1" customHeight="1">
      <c r="A9329" s="205">
        <v>45637</v>
      </c>
      <c r="B9329" s="208" t="s">
        <v>7346</v>
      </c>
      <c r="C9329" s="206" t="s">
        <v>3331</v>
      </c>
      <c r="D9329" s="811">
        <v>-21850</v>
      </c>
      <c r="E9329" s="207">
        <v>45627</v>
      </c>
      <c r="F9329" s="206" t="s">
        <v>130</v>
      </c>
      <c r="G9329" s="206" t="s">
        <v>257</v>
      </c>
      <c r="H9329" s="206" t="s">
        <v>1182</v>
      </c>
      <c r="I9329" s="206"/>
    </row>
    <row r="9330" spans="1:9" ht="15" hidden="1" customHeight="1">
      <c r="A9330" s="205">
        <v>45636</v>
      </c>
      <c r="B9330" s="208" t="s">
        <v>7347</v>
      </c>
      <c r="C9330" s="206" t="s">
        <v>4783</v>
      </c>
      <c r="D9330" s="811">
        <v>-9185205</v>
      </c>
      <c r="E9330" s="207">
        <v>45627</v>
      </c>
      <c r="F9330" s="206" t="s">
        <v>109</v>
      </c>
      <c r="G9330" s="206" t="s">
        <v>5990</v>
      </c>
      <c r="H9330" s="206" t="s">
        <v>7348</v>
      </c>
      <c r="I9330" s="206"/>
    </row>
    <row r="9331" spans="1:9" ht="15" hidden="1" customHeight="1">
      <c r="A9331" s="205">
        <v>45638</v>
      </c>
      <c r="B9331" s="208" t="s">
        <v>7349</v>
      </c>
      <c r="C9331" s="206" t="s">
        <v>4783</v>
      </c>
      <c r="D9331" s="211">
        <v>-210000000</v>
      </c>
      <c r="E9331" s="207">
        <v>45627</v>
      </c>
      <c r="F9331" s="206" t="s">
        <v>109</v>
      </c>
      <c r="G9331" s="206" t="s">
        <v>7350</v>
      </c>
      <c r="I9331" s="206"/>
    </row>
    <row r="9332" spans="1:9" ht="15" customHeight="1">
      <c r="A9332" s="205">
        <v>45638</v>
      </c>
      <c r="B9332" s="208" t="s">
        <v>7351</v>
      </c>
      <c r="C9332" s="206" t="s">
        <v>4783</v>
      </c>
      <c r="D9332" s="211">
        <v>-21000000</v>
      </c>
      <c r="E9332" s="207">
        <v>45627</v>
      </c>
      <c r="F9332" s="206" t="s">
        <v>109</v>
      </c>
      <c r="G9332" s="206" t="s">
        <v>7350</v>
      </c>
      <c r="I9332" s="206"/>
    </row>
    <row r="9333" spans="1:9" ht="15" hidden="1" customHeight="1">
      <c r="A9333" s="205">
        <v>45638</v>
      </c>
      <c r="B9333" s="208" t="s">
        <v>7352</v>
      </c>
      <c r="C9333" s="206" t="s">
        <v>4783</v>
      </c>
      <c r="D9333" s="211">
        <v>200000000</v>
      </c>
      <c r="E9333" s="207">
        <v>45627</v>
      </c>
      <c r="F9333" s="208" t="s">
        <v>707</v>
      </c>
      <c r="G9333" s="206" t="s">
        <v>6994</v>
      </c>
      <c r="I9333" s="206"/>
    </row>
    <row r="9334" spans="1:9" ht="15" hidden="1" customHeight="1">
      <c r="A9334" s="205">
        <v>45632</v>
      </c>
      <c r="B9334" s="208" t="s">
        <v>7172</v>
      </c>
      <c r="C9334" s="206" t="s">
        <v>643</v>
      </c>
      <c r="D9334" s="211">
        <v>-59100</v>
      </c>
      <c r="E9334" s="207">
        <v>45627</v>
      </c>
      <c r="F9334" s="206" t="s">
        <v>130</v>
      </c>
      <c r="G9334" s="206" t="s">
        <v>257</v>
      </c>
      <c r="H9334" s="262" t="s">
        <v>1138</v>
      </c>
      <c r="I9334" s="206"/>
    </row>
    <row r="9335" spans="1:9" ht="15" hidden="1" customHeight="1">
      <c r="A9335" s="205">
        <v>45635</v>
      </c>
      <c r="B9335" s="208" t="s">
        <v>7353</v>
      </c>
      <c r="C9335" s="206" t="s">
        <v>643</v>
      </c>
      <c r="D9335" s="211">
        <v>-95520</v>
      </c>
      <c r="E9335" s="207">
        <v>45627</v>
      </c>
      <c r="F9335" s="206" t="s">
        <v>130</v>
      </c>
      <c r="G9335" s="206" t="s">
        <v>130</v>
      </c>
      <c r="H9335" s="206" t="s">
        <v>143</v>
      </c>
      <c r="I9335" s="206"/>
    </row>
    <row r="9336" spans="1:9" ht="15" hidden="1" customHeight="1">
      <c r="A9336" s="205">
        <v>45635</v>
      </c>
      <c r="B9336" s="208" t="s">
        <v>7354</v>
      </c>
      <c r="C9336" s="206" t="s">
        <v>643</v>
      </c>
      <c r="D9336" s="811">
        <v>-231300</v>
      </c>
      <c r="E9336" s="813">
        <v>45627</v>
      </c>
      <c r="F9336" s="814" t="s">
        <v>130</v>
      </c>
      <c r="G9336" s="814" t="s">
        <v>130</v>
      </c>
      <c r="H9336" s="814" t="s">
        <v>2724</v>
      </c>
      <c r="I9336" s="206"/>
    </row>
    <row r="9337" spans="1:9" ht="15" hidden="1" customHeight="1">
      <c r="A9337" s="205">
        <v>45635</v>
      </c>
      <c r="B9337" s="208" t="s">
        <v>7354</v>
      </c>
      <c r="C9337" s="206" t="s">
        <v>643</v>
      </c>
      <c r="D9337" s="811">
        <v>-299600</v>
      </c>
      <c r="E9337" s="813">
        <v>45627</v>
      </c>
      <c r="F9337" s="814" t="s">
        <v>130</v>
      </c>
      <c r="G9337" s="814" t="s">
        <v>130</v>
      </c>
      <c r="H9337" s="814" t="s">
        <v>2724</v>
      </c>
      <c r="I9337" s="206"/>
    </row>
    <row r="9338" spans="1:9" ht="15" hidden="1" customHeight="1">
      <c r="A9338" s="205">
        <v>45635</v>
      </c>
      <c r="B9338" s="208" t="s">
        <v>7354</v>
      </c>
      <c r="C9338" s="206" t="s">
        <v>643</v>
      </c>
      <c r="D9338" s="811">
        <v>-299600</v>
      </c>
      <c r="E9338" s="813">
        <v>45627</v>
      </c>
      <c r="F9338" s="814" t="s">
        <v>130</v>
      </c>
      <c r="G9338" s="814" t="s">
        <v>130</v>
      </c>
      <c r="H9338" s="814" t="s">
        <v>2724</v>
      </c>
      <c r="I9338" s="206"/>
    </row>
    <row r="9339" spans="1:9" ht="15" hidden="1" customHeight="1">
      <c r="A9339" s="205">
        <v>45635</v>
      </c>
      <c r="B9339" s="208" t="s">
        <v>7172</v>
      </c>
      <c r="C9339" s="206" t="s">
        <v>643</v>
      </c>
      <c r="D9339" s="211">
        <v>-6400</v>
      </c>
      <c r="E9339" s="207">
        <v>45627</v>
      </c>
      <c r="F9339" s="206" t="s">
        <v>130</v>
      </c>
      <c r="G9339" s="206" t="s">
        <v>257</v>
      </c>
      <c r="H9339" s="262" t="s">
        <v>1138</v>
      </c>
      <c r="I9339" s="206"/>
    </row>
    <row r="9340" spans="1:9" ht="15" hidden="1" customHeight="1">
      <c r="A9340" s="205">
        <v>45635</v>
      </c>
      <c r="B9340" s="208" t="s">
        <v>7355</v>
      </c>
      <c r="C9340" s="206" t="s">
        <v>643</v>
      </c>
      <c r="D9340" s="811">
        <v>-99900</v>
      </c>
      <c r="E9340" s="813">
        <v>45627</v>
      </c>
      <c r="F9340" s="814" t="s">
        <v>130</v>
      </c>
      <c r="G9340" s="814" t="s">
        <v>130</v>
      </c>
      <c r="H9340" s="814" t="s">
        <v>1148</v>
      </c>
      <c r="I9340" s="206"/>
    </row>
    <row r="9341" spans="1:9" ht="15" hidden="1" customHeight="1">
      <c r="A9341" s="205">
        <v>45636</v>
      </c>
      <c r="B9341" s="208" t="s">
        <v>7356</v>
      </c>
      <c r="C9341" s="206" t="s">
        <v>643</v>
      </c>
      <c r="D9341" s="211">
        <v>-44016.08</v>
      </c>
      <c r="E9341" s="207">
        <v>45627</v>
      </c>
      <c r="F9341" s="206" t="s">
        <v>130</v>
      </c>
      <c r="G9341" s="206" t="s">
        <v>130</v>
      </c>
      <c r="H9341" s="206" t="s">
        <v>143</v>
      </c>
      <c r="I9341" s="206"/>
    </row>
    <row r="9342" spans="1:9" ht="15" hidden="1" customHeight="1">
      <c r="A9342" s="205">
        <v>45636</v>
      </c>
      <c r="B9342" s="208" t="s">
        <v>7356</v>
      </c>
      <c r="C9342" s="206" t="s">
        <v>643</v>
      </c>
      <c r="D9342" s="211">
        <v>-21986.14</v>
      </c>
      <c r="E9342" s="207">
        <v>45627</v>
      </c>
      <c r="F9342" s="206" t="s">
        <v>130</v>
      </c>
      <c r="G9342" s="206" t="s">
        <v>130</v>
      </c>
      <c r="H9342" s="206" t="s">
        <v>143</v>
      </c>
      <c r="I9342" s="206"/>
    </row>
    <row r="9343" spans="1:9" ht="15" hidden="1" customHeight="1">
      <c r="A9343" s="205">
        <v>45638</v>
      </c>
      <c r="B9343" s="208" t="s">
        <v>7357</v>
      </c>
      <c r="C9343" s="206" t="s">
        <v>643</v>
      </c>
      <c r="D9343" s="211">
        <v>-215241</v>
      </c>
      <c r="E9343" s="207">
        <v>45627</v>
      </c>
      <c r="F9343" s="206" t="s">
        <v>130</v>
      </c>
      <c r="G9343" s="206" t="s">
        <v>130</v>
      </c>
      <c r="H9343" s="94" t="s">
        <v>275</v>
      </c>
      <c r="I9343" s="206"/>
    </row>
    <row r="9344" spans="1:9" ht="15" hidden="1" customHeight="1">
      <c r="A9344" s="205">
        <v>45638</v>
      </c>
      <c r="B9344" s="208" t="s">
        <v>7358</v>
      </c>
      <c r="C9344" s="206" t="s">
        <v>643</v>
      </c>
      <c r="D9344" s="211">
        <v>-213175</v>
      </c>
      <c r="E9344" s="207">
        <v>45627</v>
      </c>
      <c r="F9344" s="206" t="s">
        <v>130</v>
      </c>
      <c r="G9344" s="206" t="s">
        <v>130</v>
      </c>
      <c r="H9344" s="94" t="s">
        <v>275</v>
      </c>
      <c r="I9344" s="206"/>
    </row>
    <row r="9345" spans="1:9" ht="15" hidden="1" customHeight="1">
      <c r="A9345" s="205">
        <v>45638</v>
      </c>
      <c r="B9345" s="208" t="s">
        <v>7359</v>
      </c>
      <c r="C9345" s="206" t="s">
        <v>643</v>
      </c>
      <c r="D9345" s="211">
        <v>-135000</v>
      </c>
      <c r="E9345" s="207">
        <v>45627</v>
      </c>
      <c r="F9345" s="206" t="s">
        <v>130</v>
      </c>
      <c r="G9345" s="206" t="s">
        <v>130</v>
      </c>
      <c r="H9345" s="94" t="s">
        <v>275</v>
      </c>
      <c r="I9345" s="206"/>
    </row>
    <row r="9346" spans="1:9" ht="15" hidden="1" customHeight="1">
      <c r="A9346" s="205">
        <v>45638</v>
      </c>
      <c r="B9346" s="208" t="s">
        <v>7360</v>
      </c>
      <c r="C9346" s="206" t="s">
        <v>643</v>
      </c>
      <c r="D9346" s="211">
        <v>-91000</v>
      </c>
      <c r="E9346" s="207">
        <v>45627</v>
      </c>
      <c r="F9346" s="206" t="s">
        <v>130</v>
      </c>
      <c r="G9346" s="206" t="s">
        <v>130</v>
      </c>
      <c r="H9346" s="94" t="s">
        <v>275</v>
      </c>
      <c r="I9346" s="206"/>
    </row>
    <row r="9347" spans="1:9" ht="15" hidden="1" customHeight="1">
      <c r="A9347" s="205">
        <v>45638</v>
      </c>
      <c r="B9347" s="208" t="s">
        <v>7361</v>
      </c>
      <c r="C9347" s="206" t="s">
        <v>643</v>
      </c>
      <c r="D9347" s="211">
        <v>-58000</v>
      </c>
      <c r="E9347" s="207">
        <v>45627</v>
      </c>
      <c r="F9347" s="206" t="s">
        <v>130</v>
      </c>
      <c r="G9347" s="206" t="s">
        <v>130</v>
      </c>
      <c r="H9347" s="206" t="s">
        <v>6929</v>
      </c>
      <c r="I9347" s="206"/>
    </row>
    <row r="9348" spans="1:9" ht="15" hidden="1" customHeight="1">
      <c r="A9348" s="205">
        <v>45638</v>
      </c>
      <c r="B9348" s="208" t="s">
        <v>7362</v>
      </c>
      <c r="C9348" s="206" t="s">
        <v>643</v>
      </c>
      <c r="D9348" s="211">
        <v>-39000</v>
      </c>
      <c r="E9348" s="207">
        <v>45627</v>
      </c>
      <c r="F9348" s="206" t="s">
        <v>130</v>
      </c>
      <c r="G9348" s="206" t="s">
        <v>130</v>
      </c>
      <c r="H9348" s="94" t="s">
        <v>275</v>
      </c>
      <c r="I9348" s="206"/>
    </row>
    <row r="9349" spans="1:9" ht="15" hidden="1" customHeight="1">
      <c r="A9349" s="205">
        <v>45639</v>
      </c>
      <c r="B9349" s="208" t="s">
        <v>7363</v>
      </c>
      <c r="C9349" s="206" t="s">
        <v>643</v>
      </c>
      <c r="D9349" s="211">
        <v>-132650</v>
      </c>
      <c r="E9349" s="207">
        <v>45627</v>
      </c>
      <c r="F9349" s="206" t="s">
        <v>130</v>
      </c>
      <c r="G9349" s="206" t="s">
        <v>130</v>
      </c>
      <c r="H9349" s="94" t="s">
        <v>275</v>
      </c>
      <c r="I9349" s="206"/>
    </row>
    <row r="9350" spans="1:9" s="166" customFormat="1" ht="15" hidden="1" customHeight="1">
      <c r="A9350" s="817">
        <v>45639</v>
      </c>
      <c r="B9350" s="671" t="s">
        <v>7364</v>
      </c>
      <c r="C9350" s="818" t="s">
        <v>27</v>
      </c>
      <c r="D9350" s="835">
        <v>6347067</v>
      </c>
      <c r="E9350" s="819">
        <v>45627</v>
      </c>
      <c r="F9350" s="818" t="s">
        <v>118</v>
      </c>
      <c r="G9350" s="818" t="s">
        <v>130</v>
      </c>
      <c r="H9350" s="818"/>
      <c r="I9350" s="818"/>
    </row>
    <row r="9351" spans="1:9" s="563" customFormat="1" ht="15" hidden="1" customHeight="1">
      <c r="A9351" s="822">
        <v>45645</v>
      </c>
      <c r="B9351" s="823" t="s">
        <v>7365</v>
      </c>
      <c r="C9351" s="823" t="s">
        <v>146</v>
      </c>
      <c r="D9351" s="824">
        <v>-75666</v>
      </c>
      <c r="E9351" s="825">
        <v>45627</v>
      </c>
      <c r="F9351" s="823" t="s">
        <v>109</v>
      </c>
      <c r="G9351" s="823" t="s">
        <v>4986</v>
      </c>
      <c r="H9351" s="826" t="s">
        <v>6929</v>
      </c>
      <c r="I9351" s="823"/>
    </row>
    <row r="9352" spans="1:9" ht="15" hidden="1" customHeight="1">
      <c r="A9352" s="205">
        <v>45645</v>
      </c>
      <c r="B9352" s="208" t="s">
        <v>7226</v>
      </c>
      <c r="C9352" s="206" t="s">
        <v>146</v>
      </c>
      <c r="D9352" s="211">
        <v>-35000</v>
      </c>
      <c r="E9352" s="212">
        <v>45627</v>
      </c>
      <c r="F9352" s="206" t="s">
        <v>110</v>
      </c>
      <c r="G9352" s="206" t="s">
        <v>5469</v>
      </c>
      <c r="H9352" s="81" t="s">
        <v>6929</v>
      </c>
      <c r="I9352" s="206"/>
    </row>
    <row r="9353" spans="1:9" ht="15" hidden="1" customHeight="1">
      <c r="A9353" s="205">
        <v>45645</v>
      </c>
      <c r="B9353" s="208" t="s">
        <v>7226</v>
      </c>
      <c r="C9353" s="206" t="s">
        <v>146</v>
      </c>
      <c r="D9353" s="211">
        <v>-21000</v>
      </c>
      <c r="E9353" s="212">
        <v>45627</v>
      </c>
      <c r="F9353" s="206" t="s">
        <v>109</v>
      </c>
      <c r="G9353" s="206" t="s">
        <v>6994</v>
      </c>
      <c r="H9353" s="81" t="s">
        <v>6266</v>
      </c>
      <c r="I9353" s="206"/>
    </row>
    <row r="9354" spans="1:9" ht="15" hidden="1" customHeight="1">
      <c r="A9354" s="205">
        <v>45645</v>
      </c>
      <c r="B9354" s="208" t="s">
        <v>7226</v>
      </c>
      <c r="C9354" s="206" t="s">
        <v>146</v>
      </c>
      <c r="D9354" s="211">
        <v>-15000</v>
      </c>
      <c r="E9354" s="212">
        <v>45627</v>
      </c>
      <c r="F9354" s="206" t="s">
        <v>109</v>
      </c>
      <c r="G9354" s="654" t="s">
        <v>5805</v>
      </c>
      <c r="H9354" s="81" t="s">
        <v>6929</v>
      </c>
      <c r="I9354" s="206"/>
    </row>
    <row r="9355" spans="1:9" ht="15" hidden="1" customHeight="1">
      <c r="A9355" s="205">
        <v>45645</v>
      </c>
      <c r="B9355" s="208" t="s">
        <v>7366</v>
      </c>
      <c r="C9355" s="206" t="s">
        <v>4314</v>
      </c>
      <c r="D9355" s="211">
        <v>-894</v>
      </c>
      <c r="E9355" s="212">
        <v>45627</v>
      </c>
      <c r="F9355" s="206" t="s">
        <v>109</v>
      </c>
      <c r="G9355" s="206" t="s">
        <v>4986</v>
      </c>
      <c r="H9355" s="81" t="s">
        <v>6929</v>
      </c>
      <c r="I9355" s="206"/>
    </row>
    <row r="9356" spans="1:9" ht="15" hidden="1" customHeight="1">
      <c r="A9356" s="205">
        <v>45645</v>
      </c>
      <c r="B9356" s="208" t="s">
        <v>7367</v>
      </c>
      <c r="C9356" s="206" t="s">
        <v>4314</v>
      </c>
      <c r="D9356" s="211">
        <v>-1440</v>
      </c>
      <c r="E9356" s="212">
        <v>45627</v>
      </c>
      <c r="F9356" s="206" t="s">
        <v>109</v>
      </c>
      <c r="G9356" s="206" t="s">
        <v>4986</v>
      </c>
      <c r="H9356" s="81" t="s">
        <v>6929</v>
      </c>
      <c r="I9356" s="206"/>
    </row>
    <row r="9357" spans="1:9" ht="15" hidden="1" customHeight="1">
      <c r="A9357" s="205">
        <v>45643</v>
      </c>
      <c r="B9357" s="208" t="s">
        <v>7226</v>
      </c>
      <c r="C9357" s="206" t="s">
        <v>146</v>
      </c>
      <c r="D9357" s="211">
        <v>-12000</v>
      </c>
      <c r="E9357" s="212">
        <v>45627</v>
      </c>
      <c r="F9357" s="206" t="s">
        <v>109</v>
      </c>
      <c r="G9357" s="206" t="s">
        <v>4225</v>
      </c>
      <c r="H9357" s="81" t="s">
        <v>6929</v>
      </c>
      <c r="I9357" s="206"/>
    </row>
    <row r="9358" spans="1:9" ht="15" hidden="1" customHeight="1">
      <c r="A9358" s="205">
        <v>45643</v>
      </c>
      <c r="B9358" s="208" t="s">
        <v>7226</v>
      </c>
      <c r="C9358" s="206" t="s">
        <v>146</v>
      </c>
      <c r="D9358" s="211">
        <v>-28000</v>
      </c>
      <c r="E9358" s="212">
        <v>45627</v>
      </c>
      <c r="F9358" s="206" t="s">
        <v>109</v>
      </c>
      <c r="G9358" s="206" t="s">
        <v>6994</v>
      </c>
      <c r="H9358" s="81" t="s">
        <v>6266</v>
      </c>
      <c r="I9358" s="206"/>
    </row>
    <row r="9359" spans="1:9" ht="15" hidden="1" customHeight="1">
      <c r="A9359" s="205">
        <v>45643</v>
      </c>
      <c r="B9359" s="208" t="s">
        <v>7226</v>
      </c>
      <c r="C9359" s="206" t="s">
        <v>146</v>
      </c>
      <c r="D9359" s="211">
        <v>-117000</v>
      </c>
      <c r="E9359" s="212">
        <v>45627</v>
      </c>
      <c r="F9359" s="206" t="s">
        <v>109</v>
      </c>
      <c r="G9359" s="206" t="s">
        <v>3529</v>
      </c>
      <c r="H9359" s="81" t="s">
        <v>6929</v>
      </c>
      <c r="I9359" s="206"/>
    </row>
    <row r="9360" spans="1:9" ht="15" hidden="1" customHeight="1">
      <c r="A9360" s="205">
        <v>45643</v>
      </c>
      <c r="B9360" s="208" t="s">
        <v>7226</v>
      </c>
      <c r="C9360" s="206" t="s">
        <v>146</v>
      </c>
      <c r="D9360" s="211">
        <v>-126168</v>
      </c>
      <c r="E9360" s="212">
        <v>45627</v>
      </c>
      <c r="F9360" s="206" t="s">
        <v>110</v>
      </c>
      <c r="G9360" s="206" t="s">
        <v>5469</v>
      </c>
      <c r="H9360" s="81" t="s">
        <v>6929</v>
      </c>
      <c r="I9360" s="206"/>
    </row>
    <row r="9361" spans="1:9" ht="15" hidden="1" customHeight="1">
      <c r="A9361" s="205">
        <v>45643</v>
      </c>
      <c r="B9361" s="208" t="s">
        <v>7226</v>
      </c>
      <c r="C9361" s="206" t="s">
        <v>146</v>
      </c>
      <c r="D9361" s="211">
        <v>-7000</v>
      </c>
      <c r="E9361" s="212">
        <v>45627</v>
      </c>
      <c r="F9361" s="206" t="s">
        <v>109</v>
      </c>
      <c r="G9361" s="206" t="s">
        <v>4986</v>
      </c>
      <c r="H9361" s="81" t="s">
        <v>6929</v>
      </c>
      <c r="I9361" s="206"/>
    </row>
    <row r="9362" spans="1:9" ht="15" hidden="1" customHeight="1">
      <c r="A9362" s="205">
        <v>45643</v>
      </c>
      <c r="B9362" s="208" t="s">
        <v>7226</v>
      </c>
      <c r="C9362" s="206" t="s">
        <v>146</v>
      </c>
      <c r="D9362" s="211">
        <v>-7000</v>
      </c>
      <c r="E9362" s="212">
        <v>45627</v>
      </c>
      <c r="F9362" s="206" t="s">
        <v>130</v>
      </c>
      <c r="G9362" s="206" t="s">
        <v>130</v>
      </c>
      <c r="H9362" s="81" t="s">
        <v>6929</v>
      </c>
      <c r="I9362" s="206"/>
    </row>
    <row r="9363" spans="1:9" ht="15" hidden="1" customHeight="1">
      <c r="A9363" s="205">
        <v>45643</v>
      </c>
      <c r="B9363" s="208" t="s">
        <v>7366</v>
      </c>
      <c r="C9363" s="206" t="s">
        <v>4314</v>
      </c>
      <c r="D9363" s="211">
        <v>-1812</v>
      </c>
      <c r="E9363" s="212">
        <v>45627</v>
      </c>
      <c r="F9363" s="206" t="s">
        <v>110</v>
      </c>
      <c r="G9363" s="206" t="s">
        <v>5469</v>
      </c>
      <c r="H9363" s="81" t="s">
        <v>6929</v>
      </c>
      <c r="I9363" s="206"/>
    </row>
    <row r="9364" spans="1:9" ht="15" hidden="1" customHeight="1">
      <c r="A9364" s="205">
        <v>45643</v>
      </c>
      <c r="B9364" s="208" t="s">
        <v>7367</v>
      </c>
      <c r="C9364" s="206" t="s">
        <v>4314</v>
      </c>
      <c r="D9364" s="211">
        <v>-3020</v>
      </c>
      <c r="E9364" s="212">
        <v>45627</v>
      </c>
      <c r="F9364" s="206" t="s">
        <v>110</v>
      </c>
      <c r="G9364" s="206" t="s">
        <v>5469</v>
      </c>
      <c r="H9364" s="81" t="s">
        <v>6929</v>
      </c>
      <c r="I9364" s="206"/>
    </row>
    <row r="9365" spans="1:9" ht="15" hidden="1" customHeight="1">
      <c r="A9365" s="205">
        <v>45645</v>
      </c>
      <c r="B9365" s="208" t="s">
        <v>7368</v>
      </c>
      <c r="C9365" s="206" t="s">
        <v>146</v>
      </c>
      <c r="D9365" s="211">
        <v>-80000</v>
      </c>
      <c r="E9365" s="212">
        <v>45627</v>
      </c>
      <c r="F9365" s="206" t="s">
        <v>109</v>
      </c>
      <c r="G9365" s="206" t="s">
        <v>3529</v>
      </c>
      <c r="H9365" s="81" t="s">
        <v>6929</v>
      </c>
      <c r="I9365" s="206"/>
    </row>
    <row r="9366" spans="1:9" ht="15" hidden="1" customHeight="1">
      <c r="A9366" s="205">
        <v>45645</v>
      </c>
      <c r="B9366" s="208" t="s">
        <v>7368</v>
      </c>
      <c r="C9366" s="206" t="s">
        <v>146</v>
      </c>
      <c r="D9366" s="211">
        <v>-368816</v>
      </c>
      <c r="E9366" s="212">
        <v>45627</v>
      </c>
      <c r="F9366" s="206" t="s">
        <v>109</v>
      </c>
      <c r="G9366" s="206" t="s">
        <v>6994</v>
      </c>
      <c r="H9366" s="81" t="s">
        <v>6266</v>
      </c>
      <c r="I9366" s="206"/>
    </row>
    <row r="9367" spans="1:9" ht="15" hidden="1" customHeight="1">
      <c r="A9367" s="205">
        <v>45645</v>
      </c>
      <c r="B9367" s="208" t="s">
        <v>7368</v>
      </c>
      <c r="C9367" s="206" t="s">
        <v>146</v>
      </c>
      <c r="D9367" s="211">
        <v>-51000</v>
      </c>
      <c r="E9367" s="212">
        <v>45627</v>
      </c>
      <c r="F9367" s="206" t="s">
        <v>109</v>
      </c>
      <c r="G9367" s="206" t="s">
        <v>5990</v>
      </c>
      <c r="H9367" s="81" t="s">
        <v>6266</v>
      </c>
      <c r="I9367" s="206"/>
    </row>
    <row r="9368" spans="1:9" ht="15" hidden="1" customHeight="1">
      <c r="A9368" s="205">
        <v>45645</v>
      </c>
      <c r="B9368" s="208" t="s">
        <v>7368</v>
      </c>
      <c r="C9368" s="206" t="s">
        <v>146</v>
      </c>
      <c r="D9368" s="211">
        <v>-123000</v>
      </c>
      <c r="E9368" s="212">
        <v>45627</v>
      </c>
      <c r="F9368" s="206" t="s">
        <v>110</v>
      </c>
      <c r="G9368" s="206" t="s">
        <v>5469</v>
      </c>
      <c r="H9368" s="81" t="s">
        <v>6929</v>
      </c>
      <c r="I9368" s="206"/>
    </row>
    <row r="9369" spans="1:9" ht="15" hidden="1" customHeight="1">
      <c r="A9369" s="205">
        <v>45645</v>
      </c>
      <c r="B9369" s="208" t="s">
        <v>7368</v>
      </c>
      <c r="C9369" s="206" t="s">
        <v>146</v>
      </c>
      <c r="D9369" s="211">
        <v>-35000</v>
      </c>
      <c r="E9369" s="212">
        <v>45627</v>
      </c>
      <c r="F9369" s="206" t="s">
        <v>109</v>
      </c>
      <c r="G9369" s="206" t="s">
        <v>4986</v>
      </c>
      <c r="H9369" s="81" t="s">
        <v>6929</v>
      </c>
      <c r="I9369" s="206"/>
    </row>
    <row r="9370" spans="1:9" ht="15" hidden="1" customHeight="1">
      <c r="A9370" s="205">
        <v>45645</v>
      </c>
      <c r="B9370" s="208" t="s">
        <v>7368</v>
      </c>
      <c r="C9370" s="206" t="s">
        <v>146</v>
      </c>
      <c r="D9370" s="211">
        <v>-125000</v>
      </c>
      <c r="E9370" s="212">
        <v>45627</v>
      </c>
      <c r="F9370" s="206" t="s">
        <v>109</v>
      </c>
      <c r="G9370" s="206" t="s">
        <v>6954</v>
      </c>
      <c r="H9370" s="81" t="s">
        <v>6266</v>
      </c>
      <c r="I9370" s="206"/>
    </row>
    <row r="9371" spans="1:9" ht="15" hidden="1" customHeight="1">
      <c r="A9371" s="205">
        <v>45645</v>
      </c>
      <c r="B9371" s="208" t="s">
        <v>7368</v>
      </c>
      <c r="C9371" s="206" t="s">
        <v>146</v>
      </c>
      <c r="D9371" s="211">
        <v>-7000</v>
      </c>
      <c r="E9371" s="212">
        <v>45627</v>
      </c>
      <c r="F9371" s="206" t="s">
        <v>130</v>
      </c>
      <c r="G9371" s="206" t="s">
        <v>130</v>
      </c>
      <c r="H9371" s="81" t="s">
        <v>6929</v>
      </c>
      <c r="I9371" s="206"/>
    </row>
    <row r="9372" spans="1:9" ht="15" hidden="1" customHeight="1">
      <c r="A9372" s="205">
        <v>45645</v>
      </c>
      <c r="B9372" s="208" t="s">
        <v>7368</v>
      </c>
      <c r="C9372" s="206" t="s">
        <v>146</v>
      </c>
      <c r="D9372" s="211">
        <v>-14000</v>
      </c>
      <c r="E9372" s="212">
        <v>45627</v>
      </c>
      <c r="F9372" s="206" t="s">
        <v>109</v>
      </c>
      <c r="G9372" s="206" t="s">
        <v>6301</v>
      </c>
      <c r="H9372" s="81" t="s">
        <v>6929</v>
      </c>
      <c r="I9372" s="206"/>
    </row>
    <row r="9373" spans="1:9" ht="15" hidden="1" customHeight="1">
      <c r="A9373" s="205">
        <v>45645</v>
      </c>
      <c r="B9373" s="208" t="s">
        <v>7368</v>
      </c>
      <c r="C9373" s="206" t="s">
        <v>146</v>
      </c>
      <c r="D9373" s="211">
        <v>-7000</v>
      </c>
      <c r="E9373" s="212">
        <v>45627</v>
      </c>
      <c r="F9373" s="206" t="s">
        <v>109</v>
      </c>
      <c r="G9373" s="206" t="s">
        <v>207</v>
      </c>
      <c r="H9373" s="81" t="s">
        <v>6929</v>
      </c>
      <c r="I9373" s="206"/>
    </row>
    <row r="9374" spans="1:9" ht="15" hidden="1" customHeight="1">
      <c r="A9374" s="205">
        <v>45645</v>
      </c>
      <c r="B9374" s="208" t="s">
        <v>7369</v>
      </c>
      <c r="C9374" s="206" t="s">
        <v>4314</v>
      </c>
      <c r="D9374" s="211">
        <v>-8240</v>
      </c>
      <c r="E9374" s="212">
        <v>45627</v>
      </c>
      <c r="F9374" s="206" t="s">
        <v>109</v>
      </c>
      <c r="G9374" s="206" t="s">
        <v>6994</v>
      </c>
      <c r="H9374" s="81" t="s">
        <v>6266</v>
      </c>
      <c r="I9374" s="206"/>
    </row>
    <row r="9375" spans="1:9" ht="15" hidden="1" customHeight="1">
      <c r="A9375" s="205">
        <v>45645</v>
      </c>
      <c r="B9375" s="208" t="s">
        <v>7370</v>
      </c>
      <c r="C9375" s="206" t="s">
        <v>4314</v>
      </c>
      <c r="D9375" s="211">
        <v>-4944</v>
      </c>
      <c r="E9375" s="212">
        <v>45627</v>
      </c>
      <c r="F9375" s="206" t="s">
        <v>109</v>
      </c>
      <c r="G9375" s="206" t="s">
        <v>6994</v>
      </c>
      <c r="H9375" s="81" t="s">
        <v>6266</v>
      </c>
      <c r="I9375" s="206"/>
    </row>
    <row r="9376" spans="1:9" ht="15" hidden="1" customHeight="1">
      <c r="A9376" s="205">
        <v>45645</v>
      </c>
      <c r="B9376" s="208" t="s">
        <v>7371</v>
      </c>
      <c r="C9376" s="206" t="s">
        <v>146</v>
      </c>
      <c r="D9376" s="211">
        <v>-14000</v>
      </c>
      <c r="E9376" s="212">
        <v>45627</v>
      </c>
      <c r="F9376" s="206" t="s">
        <v>109</v>
      </c>
      <c r="G9376" s="206" t="s">
        <v>4986</v>
      </c>
      <c r="H9376" s="722" t="s">
        <v>6929</v>
      </c>
      <c r="I9376" s="206"/>
    </row>
    <row r="9377" spans="1:9" ht="15" hidden="1" customHeight="1">
      <c r="A9377" s="205">
        <v>45645</v>
      </c>
      <c r="B9377" s="208" t="s">
        <v>7371</v>
      </c>
      <c r="C9377" s="206" t="s">
        <v>146</v>
      </c>
      <c r="D9377" s="211">
        <v>-33240</v>
      </c>
      <c r="E9377" s="212">
        <v>45627</v>
      </c>
      <c r="F9377" s="206" t="s">
        <v>110</v>
      </c>
      <c r="G9377" s="206" t="s">
        <v>5469</v>
      </c>
      <c r="H9377" s="722" t="s">
        <v>6929</v>
      </c>
      <c r="I9377" s="206"/>
    </row>
    <row r="9378" spans="1:9" ht="15" hidden="1" customHeight="1">
      <c r="A9378" s="205">
        <v>45645</v>
      </c>
      <c r="B9378" s="208" t="s">
        <v>7371</v>
      </c>
      <c r="C9378" s="206" t="s">
        <v>146</v>
      </c>
      <c r="D9378" s="211">
        <v>-21000</v>
      </c>
      <c r="E9378" s="212">
        <v>45627</v>
      </c>
      <c r="F9378" s="206" t="s">
        <v>109</v>
      </c>
      <c r="G9378" s="206" t="s">
        <v>6875</v>
      </c>
      <c r="H9378" s="722" t="s">
        <v>6929</v>
      </c>
      <c r="I9378" s="206"/>
    </row>
    <row r="9379" spans="1:9" ht="15" hidden="1" customHeight="1">
      <c r="A9379" s="205">
        <v>45645</v>
      </c>
      <c r="B9379" s="208" t="s">
        <v>7371</v>
      </c>
      <c r="C9379" s="206" t="s">
        <v>146</v>
      </c>
      <c r="D9379" s="211">
        <v>-28000</v>
      </c>
      <c r="E9379" s="212">
        <v>45627</v>
      </c>
      <c r="F9379" s="206" t="s">
        <v>109</v>
      </c>
      <c r="G9379" s="206" t="s">
        <v>6994</v>
      </c>
      <c r="H9379" s="81" t="s">
        <v>6266</v>
      </c>
      <c r="I9379" s="206"/>
    </row>
    <row r="9380" spans="1:9" ht="15" hidden="1" customHeight="1">
      <c r="A9380" s="205">
        <v>45645</v>
      </c>
      <c r="B9380" s="208" t="s">
        <v>7371</v>
      </c>
      <c r="C9380" s="206" t="s">
        <v>146</v>
      </c>
      <c r="D9380" s="211">
        <v>-12000</v>
      </c>
      <c r="E9380" s="212">
        <v>45627</v>
      </c>
      <c r="F9380" s="206" t="s">
        <v>109</v>
      </c>
      <c r="G9380" s="206" t="s">
        <v>4225</v>
      </c>
      <c r="H9380" s="722" t="s">
        <v>6929</v>
      </c>
      <c r="I9380" s="206"/>
    </row>
    <row r="9381" spans="1:9" ht="15" hidden="1" customHeight="1">
      <c r="A9381" s="205">
        <v>45645</v>
      </c>
      <c r="B9381" s="208" t="s">
        <v>7372</v>
      </c>
      <c r="C9381" s="206" t="s">
        <v>4314</v>
      </c>
      <c r="D9381" s="211">
        <v>-1100</v>
      </c>
      <c r="E9381" s="212">
        <v>45627</v>
      </c>
      <c r="F9381" s="206" t="s">
        <v>110</v>
      </c>
      <c r="G9381" s="206" t="s">
        <v>5469</v>
      </c>
      <c r="H9381" s="722" t="s">
        <v>6929</v>
      </c>
      <c r="I9381" s="206"/>
    </row>
    <row r="9382" spans="1:9" ht="15" hidden="1" customHeight="1">
      <c r="A9382" s="205">
        <v>45645</v>
      </c>
      <c r="B9382" s="208" t="s">
        <v>7373</v>
      </c>
      <c r="C9382" s="206" t="s">
        <v>4314</v>
      </c>
      <c r="D9382" s="211">
        <v>-660</v>
      </c>
      <c r="E9382" s="212">
        <v>45627</v>
      </c>
      <c r="F9382" s="206" t="s">
        <v>110</v>
      </c>
      <c r="G9382" s="206" t="s">
        <v>5469</v>
      </c>
      <c r="H9382" s="722" t="s">
        <v>6929</v>
      </c>
      <c r="I9382" s="206"/>
    </row>
    <row r="9383" spans="1:9" ht="15" hidden="1" customHeight="1">
      <c r="A9383" s="205">
        <v>45643</v>
      </c>
      <c r="B9383" s="208" t="s">
        <v>7374</v>
      </c>
      <c r="C9383" s="206" t="s">
        <v>146</v>
      </c>
      <c r="D9383" s="211">
        <v>-12500</v>
      </c>
      <c r="E9383" s="212">
        <v>45627</v>
      </c>
      <c r="F9383" s="206" t="s">
        <v>130</v>
      </c>
      <c r="G9383" s="206" t="s">
        <v>130</v>
      </c>
      <c r="H9383" s="206" t="s">
        <v>1148</v>
      </c>
      <c r="I9383" s="206"/>
    </row>
    <row r="9384" spans="1:9" ht="15" hidden="1" customHeight="1">
      <c r="A9384" s="205">
        <v>45643</v>
      </c>
      <c r="B9384" s="208" t="s">
        <v>7375</v>
      </c>
      <c r="C9384" s="206" t="s">
        <v>146</v>
      </c>
      <c r="D9384" s="211">
        <v>-72500</v>
      </c>
      <c r="E9384" s="212">
        <v>45627</v>
      </c>
      <c r="F9384" s="206" t="s">
        <v>130</v>
      </c>
      <c r="G9384" s="206" t="s">
        <v>130</v>
      </c>
      <c r="H9384" s="206" t="s">
        <v>2444</v>
      </c>
      <c r="I9384" s="206"/>
    </row>
    <row r="9385" spans="1:9" ht="15" hidden="1" customHeight="1">
      <c r="A9385" s="205">
        <v>45643</v>
      </c>
      <c r="B9385" s="208" t="s">
        <v>7376</v>
      </c>
      <c r="C9385" s="206" t="s">
        <v>146</v>
      </c>
      <c r="D9385" s="211">
        <v>-64600</v>
      </c>
      <c r="E9385" s="212">
        <v>45627</v>
      </c>
      <c r="F9385" s="206" t="s">
        <v>130</v>
      </c>
      <c r="G9385" s="206" t="s">
        <v>130</v>
      </c>
      <c r="H9385" s="206" t="s">
        <v>2444</v>
      </c>
      <c r="I9385" s="206"/>
    </row>
    <row r="9386" spans="1:9" ht="15" hidden="1" customHeight="1">
      <c r="A9386" s="205">
        <v>45644</v>
      </c>
      <c r="B9386" s="208" t="s">
        <v>7024</v>
      </c>
      <c r="C9386" s="206" t="s">
        <v>146</v>
      </c>
      <c r="D9386" s="211">
        <v>-55100</v>
      </c>
      <c r="E9386" s="212">
        <v>45627</v>
      </c>
      <c r="F9386" s="206" t="s">
        <v>109</v>
      </c>
      <c r="G9386" s="206" t="s">
        <v>6994</v>
      </c>
      <c r="H9386" s="206" t="s">
        <v>6266</v>
      </c>
      <c r="I9386" s="206"/>
    </row>
    <row r="9387" spans="1:9" ht="15" hidden="1" customHeight="1">
      <c r="A9387" s="205">
        <v>45644</v>
      </c>
      <c r="B9387" s="208" t="s">
        <v>7024</v>
      </c>
      <c r="C9387" s="206" t="s">
        <v>146</v>
      </c>
      <c r="D9387" s="211">
        <v>-55100</v>
      </c>
      <c r="E9387" s="212">
        <v>45627</v>
      </c>
      <c r="F9387" s="206" t="s">
        <v>109</v>
      </c>
      <c r="G9387" s="206" t="s">
        <v>5990</v>
      </c>
      <c r="H9387" s="206" t="s">
        <v>6266</v>
      </c>
      <c r="I9387" s="206"/>
    </row>
    <row r="9388" spans="1:9" ht="15" hidden="1" customHeight="1">
      <c r="A9388" s="205">
        <v>45644</v>
      </c>
      <c r="B9388" s="208" t="s">
        <v>7377</v>
      </c>
      <c r="C9388" s="206" t="s">
        <v>146</v>
      </c>
      <c r="D9388" s="211">
        <v>-13000</v>
      </c>
      <c r="E9388" s="212">
        <v>45627</v>
      </c>
      <c r="F9388" s="206" t="s">
        <v>109</v>
      </c>
      <c r="G9388" s="206" t="s">
        <v>3529</v>
      </c>
      <c r="H9388" s="722" t="s">
        <v>6929</v>
      </c>
      <c r="I9388" s="206"/>
    </row>
    <row r="9389" spans="1:9" ht="15" hidden="1" customHeight="1">
      <c r="A9389" s="205">
        <v>45644</v>
      </c>
      <c r="B9389" s="208" t="s">
        <v>7377</v>
      </c>
      <c r="C9389" s="206" t="s">
        <v>146</v>
      </c>
      <c r="D9389" s="211">
        <v>-7500</v>
      </c>
      <c r="E9389" s="212">
        <v>45627</v>
      </c>
      <c r="F9389" s="206" t="s">
        <v>109</v>
      </c>
      <c r="G9389" s="206" t="s">
        <v>4986</v>
      </c>
      <c r="H9389" s="722" t="s">
        <v>6929</v>
      </c>
      <c r="I9389" s="206"/>
    </row>
    <row r="9390" spans="1:9" ht="15" hidden="1" customHeight="1">
      <c r="A9390" s="205">
        <v>45644</v>
      </c>
      <c r="B9390" s="208" t="s">
        <v>7377</v>
      </c>
      <c r="C9390" s="206" t="s">
        <v>146</v>
      </c>
      <c r="D9390" s="211">
        <v>-7500</v>
      </c>
      <c r="E9390" s="212">
        <v>45627</v>
      </c>
      <c r="F9390" s="206" t="s">
        <v>110</v>
      </c>
      <c r="G9390" s="206" t="s">
        <v>5469</v>
      </c>
      <c r="H9390" s="722" t="s">
        <v>6929</v>
      </c>
      <c r="I9390" s="206"/>
    </row>
    <row r="9391" spans="1:9" ht="15" hidden="1" customHeight="1">
      <c r="A9391" s="205">
        <v>45642</v>
      </c>
      <c r="B9391" s="208" t="s">
        <v>7377</v>
      </c>
      <c r="C9391" s="206" t="s">
        <v>146</v>
      </c>
      <c r="D9391" s="211">
        <v>-6000</v>
      </c>
      <c r="E9391" s="212">
        <v>45627</v>
      </c>
      <c r="F9391" s="206" t="s">
        <v>109</v>
      </c>
      <c r="G9391" s="206" t="s">
        <v>4986</v>
      </c>
      <c r="H9391" s="722" t="s">
        <v>6929</v>
      </c>
      <c r="I9391" s="206"/>
    </row>
    <row r="9392" spans="1:9" ht="15" hidden="1" customHeight="1">
      <c r="A9392" s="205">
        <v>45642</v>
      </c>
      <c r="B9392" s="208" t="s">
        <v>7377</v>
      </c>
      <c r="C9392" s="206" t="s">
        <v>146</v>
      </c>
      <c r="D9392" s="211">
        <v>-14600</v>
      </c>
      <c r="E9392" s="212">
        <v>45627</v>
      </c>
      <c r="F9392" s="206" t="s">
        <v>110</v>
      </c>
      <c r="G9392" s="206" t="s">
        <v>5469</v>
      </c>
      <c r="H9392" s="722" t="s">
        <v>6929</v>
      </c>
      <c r="I9392" s="206"/>
    </row>
    <row r="9393" spans="1:9" ht="15" hidden="1" customHeight="1">
      <c r="A9393" s="205">
        <v>45643</v>
      </c>
      <c r="B9393" s="208" t="s">
        <v>7377</v>
      </c>
      <c r="C9393" s="206" t="s">
        <v>146</v>
      </c>
      <c r="D9393" s="211">
        <v>-14000</v>
      </c>
      <c r="E9393" s="212">
        <v>45627</v>
      </c>
      <c r="F9393" s="206" t="s">
        <v>109</v>
      </c>
      <c r="G9393" s="206" t="s">
        <v>3529</v>
      </c>
      <c r="H9393" s="722" t="s">
        <v>6929</v>
      </c>
      <c r="I9393" s="206"/>
    </row>
    <row r="9394" spans="1:9" ht="15" hidden="1" customHeight="1">
      <c r="A9394" s="205">
        <v>45643</v>
      </c>
      <c r="B9394" s="208" t="s">
        <v>7377</v>
      </c>
      <c r="C9394" s="206" t="s">
        <v>146</v>
      </c>
      <c r="D9394" s="211">
        <v>-14000</v>
      </c>
      <c r="E9394" s="212">
        <v>45627</v>
      </c>
      <c r="F9394" s="206" t="s">
        <v>110</v>
      </c>
      <c r="G9394" s="206" t="s">
        <v>5469</v>
      </c>
      <c r="H9394" s="722" t="s">
        <v>6929</v>
      </c>
      <c r="I9394" s="206"/>
    </row>
    <row r="9395" spans="1:9" ht="15" hidden="1" customHeight="1">
      <c r="A9395" s="205">
        <v>45643</v>
      </c>
      <c r="B9395" s="208" t="s">
        <v>7377</v>
      </c>
      <c r="C9395" s="206" t="s">
        <v>146</v>
      </c>
      <c r="D9395" s="211">
        <v>-7000</v>
      </c>
      <c r="E9395" s="212">
        <v>45627</v>
      </c>
      <c r="F9395" s="206" t="s">
        <v>109</v>
      </c>
      <c r="G9395" s="206" t="s">
        <v>4986</v>
      </c>
      <c r="H9395" s="722" t="s">
        <v>6929</v>
      </c>
      <c r="I9395" s="206"/>
    </row>
    <row r="9396" spans="1:9" ht="15" hidden="1" customHeight="1">
      <c r="A9396" s="205">
        <v>45640</v>
      </c>
      <c r="B9396" s="208" t="s">
        <v>7378</v>
      </c>
      <c r="C9396" s="206" t="s">
        <v>146</v>
      </c>
      <c r="D9396" s="211">
        <v>-7000</v>
      </c>
      <c r="E9396" s="212">
        <v>45627</v>
      </c>
      <c r="F9396" s="206" t="s">
        <v>110</v>
      </c>
      <c r="G9396" s="206" t="s">
        <v>5469</v>
      </c>
      <c r="H9396" s="722" t="s">
        <v>6929</v>
      </c>
      <c r="I9396" s="206"/>
    </row>
    <row r="9397" spans="1:9" ht="15" hidden="1" customHeight="1">
      <c r="A9397" s="205">
        <v>45640</v>
      </c>
      <c r="B9397" s="208" t="s">
        <v>7378</v>
      </c>
      <c r="C9397" s="206" t="s">
        <v>146</v>
      </c>
      <c r="D9397" s="211">
        <v>-7000</v>
      </c>
      <c r="E9397" s="212">
        <v>45627</v>
      </c>
      <c r="F9397" s="206" t="s">
        <v>109</v>
      </c>
      <c r="G9397" s="206" t="s">
        <v>4986</v>
      </c>
      <c r="H9397" s="722" t="s">
        <v>6929</v>
      </c>
      <c r="I9397" s="206"/>
    </row>
    <row r="9398" spans="1:9" ht="15" hidden="1" customHeight="1">
      <c r="A9398" s="205">
        <v>45638</v>
      </c>
      <c r="B9398" s="208" t="s">
        <v>7379</v>
      </c>
      <c r="C9398" s="206" t="s">
        <v>146</v>
      </c>
      <c r="D9398" s="211">
        <v>-21400</v>
      </c>
      <c r="E9398" s="212">
        <v>45627</v>
      </c>
      <c r="F9398" s="206" t="s">
        <v>110</v>
      </c>
      <c r="G9398" s="206" t="s">
        <v>5503</v>
      </c>
      <c r="H9398" s="206" t="s">
        <v>416</v>
      </c>
      <c r="I9398" s="206" t="s">
        <v>7228</v>
      </c>
    </row>
    <row r="9399" spans="1:9" ht="15" hidden="1" customHeight="1">
      <c r="A9399" s="205">
        <v>45639</v>
      </c>
      <c r="B9399" s="208" t="s">
        <v>7380</v>
      </c>
      <c r="C9399" s="206" t="s">
        <v>146</v>
      </c>
      <c r="D9399" s="211">
        <v>-139100</v>
      </c>
      <c r="E9399" s="212">
        <v>45627</v>
      </c>
      <c r="F9399" s="206" t="s">
        <v>109</v>
      </c>
      <c r="G9399" s="206" t="s">
        <v>3529</v>
      </c>
      <c r="H9399" s="206" t="s">
        <v>2941</v>
      </c>
      <c r="I9399" s="206" t="s">
        <v>7228</v>
      </c>
    </row>
    <row r="9400" spans="1:9" ht="15" hidden="1" customHeight="1">
      <c r="A9400" s="205">
        <v>45639</v>
      </c>
      <c r="B9400" s="208" t="s">
        <v>7381</v>
      </c>
      <c r="C9400" s="206" t="s">
        <v>146</v>
      </c>
      <c r="D9400" s="211">
        <v>-2856</v>
      </c>
      <c r="E9400" s="212">
        <v>45627</v>
      </c>
      <c r="F9400" s="206" t="s">
        <v>109</v>
      </c>
      <c r="G9400" s="206" t="s">
        <v>3529</v>
      </c>
      <c r="H9400" s="206" t="s">
        <v>2941</v>
      </c>
      <c r="I9400" s="206" t="s">
        <v>7228</v>
      </c>
    </row>
    <row r="9401" spans="1:9" ht="15" hidden="1" customHeight="1">
      <c r="A9401" s="205">
        <v>45639</v>
      </c>
      <c r="B9401" s="208" t="s">
        <v>7382</v>
      </c>
      <c r="C9401" s="206" t="s">
        <v>146</v>
      </c>
      <c r="D9401" s="211">
        <v>-41000.119999999995</v>
      </c>
      <c r="E9401" s="212">
        <v>45627</v>
      </c>
      <c r="F9401" s="206" t="s">
        <v>109</v>
      </c>
      <c r="G9401" s="206" t="s">
        <v>3529</v>
      </c>
      <c r="H9401" s="206" t="s">
        <v>2941</v>
      </c>
      <c r="I9401" s="206" t="s">
        <v>7228</v>
      </c>
    </row>
    <row r="9402" spans="1:9" ht="15" hidden="1" customHeight="1">
      <c r="A9402" s="205">
        <v>45639</v>
      </c>
      <c r="B9402" s="208" t="s">
        <v>7383</v>
      </c>
      <c r="C9402" s="206" t="s">
        <v>146</v>
      </c>
      <c r="D9402" s="211">
        <v>-165000</v>
      </c>
      <c r="E9402" s="212">
        <v>45627</v>
      </c>
      <c r="F9402" s="206" t="s">
        <v>110</v>
      </c>
      <c r="G9402" s="206" t="s">
        <v>5469</v>
      </c>
      <c r="H9402" s="206" t="s">
        <v>2941</v>
      </c>
      <c r="I9402" s="206" t="s">
        <v>7228</v>
      </c>
    </row>
    <row r="9403" spans="1:9" ht="15" hidden="1" customHeight="1">
      <c r="A9403" s="205">
        <v>45639</v>
      </c>
      <c r="B9403" s="208" t="s">
        <v>7384</v>
      </c>
      <c r="C9403" s="206" t="s">
        <v>146</v>
      </c>
      <c r="D9403" s="211">
        <v>-16500</v>
      </c>
      <c r="E9403" s="212">
        <v>45627</v>
      </c>
      <c r="F9403" s="206" t="s">
        <v>109</v>
      </c>
      <c r="G9403" s="206" t="s">
        <v>3529</v>
      </c>
      <c r="H9403" s="206" t="s">
        <v>2941</v>
      </c>
      <c r="I9403" s="206" t="s">
        <v>7228</v>
      </c>
    </row>
    <row r="9404" spans="1:9" ht="15" hidden="1" customHeight="1">
      <c r="A9404" s="205">
        <v>45639</v>
      </c>
      <c r="B9404" s="208" t="s">
        <v>7385</v>
      </c>
      <c r="C9404" s="206" t="s">
        <v>146</v>
      </c>
      <c r="D9404" s="211">
        <v>-65069</v>
      </c>
      <c r="E9404" s="212">
        <v>45627</v>
      </c>
      <c r="F9404" s="206" t="s">
        <v>110</v>
      </c>
      <c r="G9404" s="206" t="s">
        <v>5469</v>
      </c>
      <c r="H9404" s="206" t="s">
        <v>2941</v>
      </c>
      <c r="I9404" s="206" t="s">
        <v>7228</v>
      </c>
    </row>
    <row r="9405" spans="1:9" ht="15" hidden="1" customHeight="1">
      <c r="A9405" s="205">
        <v>45639</v>
      </c>
      <c r="B9405" s="208" t="s">
        <v>7386</v>
      </c>
      <c r="C9405" s="206" t="s">
        <v>146</v>
      </c>
      <c r="D9405" s="211">
        <v>-59854</v>
      </c>
      <c r="E9405" s="212">
        <v>45627</v>
      </c>
      <c r="F9405" s="206" t="s">
        <v>110</v>
      </c>
      <c r="G9405" s="206" t="s">
        <v>5469</v>
      </c>
      <c r="H9405" s="206" t="s">
        <v>2941</v>
      </c>
      <c r="I9405" s="206" t="s">
        <v>7228</v>
      </c>
    </row>
    <row r="9406" spans="1:9" ht="15" hidden="1" customHeight="1">
      <c r="A9406" s="205">
        <v>45639</v>
      </c>
      <c r="B9406" s="208" t="s">
        <v>7387</v>
      </c>
      <c r="C9406" s="206" t="s">
        <v>146</v>
      </c>
      <c r="D9406" s="211">
        <v>-27200</v>
      </c>
      <c r="E9406" s="212">
        <v>45627</v>
      </c>
      <c r="F9406" s="206" t="s">
        <v>109</v>
      </c>
      <c r="G9406" s="206" t="s">
        <v>3529</v>
      </c>
      <c r="H9406" s="206" t="s">
        <v>2941</v>
      </c>
      <c r="I9406" s="206" t="s">
        <v>7228</v>
      </c>
    </row>
    <row r="9407" spans="1:9" ht="15" hidden="1" customHeight="1">
      <c r="A9407" s="205">
        <v>45639</v>
      </c>
      <c r="B9407" s="208" t="s">
        <v>7388</v>
      </c>
      <c r="C9407" s="206" t="s">
        <v>146</v>
      </c>
      <c r="D9407" s="211">
        <v>-3600</v>
      </c>
      <c r="E9407" s="212">
        <v>45627</v>
      </c>
      <c r="F9407" s="206" t="s">
        <v>109</v>
      </c>
      <c r="G9407" s="206" t="s">
        <v>3529</v>
      </c>
      <c r="H9407" s="206" t="s">
        <v>2941</v>
      </c>
      <c r="I9407" s="206" t="s">
        <v>7228</v>
      </c>
    </row>
    <row r="9408" spans="1:9" ht="15" hidden="1" customHeight="1">
      <c r="A9408" s="205">
        <v>45639</v>
      </c>
      <c r="B9408" s="208" t="s">
        <v>7389</v>
      </c>
      <c r="C9408" s="206" t="s">
        <v>146</v>
      </c>
      <c r="D9408" s="211">
        <v>-5000</v>
      </c>
      <c r="E9408" s="212">
        <v>45627</v>
      </c>
      <c r="F9408" s="206" t="s">
        <v>109</v>
      </c>
      <c r="G9408" s="206" t="s">
        <v>3529</v>
      </c>
      <c r="H9408" s="206" t="s">
        <v>2941</v>
      </c>
      <c r="I9408" s="206" t="s">
        <v>7228</v>
      </c>
    </row>
    <row r="9409" spans="1:9" ht="15" hidden="1" customHeight="1">
      <c r="A9409" s="205">
        <v>45640</v>
      </c>
      <c r="B9409" s="208" t="s">
        <v>6275</v>
      </c>
      <c r="C9409" s="206" t="s">
        <v>146</v>
      </c>
      <c r="D9409" s="211">
        <v>-15200</v>
      </c>
      <c r="E9409" s="212">
        <v>45627</v>
      </c>
      <c r="F9409" s="206" t="s">
        <v>130</v>
      </c>
      <c r="G9409" s="206" t="s">
        <v>130</v>
      </c>
      <c r="H9409" s="206" t="s">
        <v>2444</v>
      </c>
      <c r="I9409" s="206" t="s">
        <v>7228</v>
      </c>
    </row>
    <row r="9410" spans="1:9" ht="15" hidden="1" customHeight="1">
      <c r="A9410" s="205">
        <v>45640</v>
      </c>
      <c r="B9410" s="208" t="s">
        <v>7390</v>
      </c>
      <c r="C9410" s="206" t="s">
        <v>146</v>
      </c>
      <c r="D9410" s="211">
        <v>-155000</v>
      </c>
      <c r="E9410" s="212">
        <v>45627</v>
      </c>
      <c r="F9410" s="206" t="s">
        <v>109</v>
      </c>
      <c r="G9410" s="206" t="s">
        <v>3529</v>
      </c>
      <c r="H9410" s="206" t="s">
        <v>2941</v>
      </c>
      <c r="I9410" s="206" t="s">
        <v>7228</v>
      </c>
    </row>
    <row r="9411" spans="1:9" ht="15" hidden="1" customHeight="1">
      <c r="A9411" s="205">
        <v>45642</v>
      </c>
      <c r="B9411" s="208" t="s">
        <v>7391</v>
      </c>
      <c r="C9411" s="206" t="s">
        <v>146</v>
      </c>
      <c r="D9411" s="211">
        <v>-7220</v>
      </c>
      <c r="E9411" s="212">
        <v>45627</v>
      </c>
      <c r="F9411" s="206" t="s">
        <v>109</v>
      </c>
      <c r="G9411" s="206" t="s">
        <v>3529</v>
      </c>
      <c r="H9411" s="206" t="s">
        <v>2941</v>
      </c>
      <c r="I9411" s="206" t="s">
        <v>7228</v>
      </c>
    </row>
    <row r="9412" spans="1:9" ht="15" hidden="1" customHeight="1">
      <c r="A9412" s="205">
        <v>45642</v>
      </c>
      <c r="B9412" s="208" t="s">
        <v>7392</v>
      </c>
      <c r="C9412" s="206" t="s">
        <v>146</v>
      </c>
      <c r="D9412" s="211">
        <v>-57700</v>
      </c>
      <c r="E9412" s="212">
        <v>45627</v>
      </c>
      <c r="F9412" s="206" t="s">
        <v>130</v>
      </c>
      <c r="G9412" s="206" t="s">
        <v>130</v>
      </c>
      <c r="H9412" s="206" t="s">
        <v>2444</v>
      </c>
      <c r="I9412" s="206" t="s">
        <v>7228</v>
      </c>
    </row>
    <row r="9413" spans="1:9" ht="15" hidden="1" customHeight="1">
      <c r="A9413" s="205">
        <v>45642</v>
      </c>
      <c r="B9413" s="208" t="s">
        <v>7393</v>
      </c>
      <c r="C9413" s="206" t="s">
        <v>146</v>
      </c>
      <c r="D9413" s="211">
        <v>-29000</v>
      </c>
      <c r="E9413" s="212">
        <v>45627</v>
      </c>
      <c r="F9413" s="206" t="s">
        <v>110</v>
      </c>
      <c r="G9413" s="206" t="s">
        <v>5469</v>
      </c>
      <c r="H9413" s="206" t="s">
        <v>2941</v>
      </c>
      <c r="I9413" s="206" t="s">
        <v>7228</v>
      </c>
    </row>
    <row r="9414" spans="1:9" ht="15" hidden="1" customHeight="1">
      <c r="A9414" s="205">
        <v>45642</v>
      </c>
      <c r="B9414" s="208" t="s">
        <v>7394</v>
      </c>
      <c r="C9414" s="206" t="s">
        <v>146</v>
      </c>
      <c r="D9414" s="211">
        <v>-39734</v>
      </c>
      <c r="E9414" s="212">
        <v>45627</v>
      </c>
      <c r="F9414" s="206" t="s">
        <v>110</v>
      </c>
      <c r="G9414" s="206" t="s">
        <v>5469</v>
      </c>
      <c r="H9414" s="206" t="s">
        <v>2941</v>
      </c>
      <c r="I9414" s="206" t="s">
        <v>7228</v>
      </c>
    </row>
    <row r="9415" spans="1:9" ht="15" hidden="1" customHeight="1">
      <c r="A9415" s="205">
        <v>45642</v>
      </c>
      <c r="B9415" s="208" t="s">
        <v>7395</v>
      </c>
      <c r="C9415" s="206" t="s">
        <v>146</v>
      </c>
      <c r="D9415" s="211">
        <v>-11100</v>
      </c>
      <c r="E9415" s="212">
        <v>45627</v>
      </c>
      <c r="F9415" s="206" t="s">
        <v>109</v>
      </c>
      <c r="G9415" s="206" t="s">
        <v>4986</v>
      </c>
      <c r="H9415" s="206" t="s">
        <v>2941</v>
      </c>
      <c r="I9415" s="206" t="s">
        <v>7228</v>
      </c>
    </row>
    <row r="9416" spans="1:9" ht="15" hidden="1" customHeight="1">
      <c r="A9416" s="205">
        <v>45642</v>
      </c>
      <c r="B9416" s="208" t="s">
        <v>7396</v>
      </c>
      <c r="C9416" s="206" t="s">
        <v>146</v>
      </c>
      <c r="D9416" s="211">
        <v>-160670</v>
      </c>
      <c r="E9416" s="212">
        <v>45627</v>
      </c>
      <c r="F9416" s="206" t="s">
        <v>110</v>
      </c>
      <c r="G9416" s="206" t="s">
        <v>5469</v>
      </c>
      <c r="H9416" s="206" t="s">
        <v>2941</v>
      </c>
      <c r="I9416" s="206" t="s">
        <v>7228</v>
      </c>
    </row>
    <row r="9417" spans="1:9" ht="15" hidden="1" customHeight="1">
      <c r="A9417" s="205">
        <v>45642</v>
      </c>
      <c r="B9417" s="208" t="s">
        <v>7397</v>
      </c>
      <c r="C9417" s="206" t="s">
        <v>146</v>
      </c>
      <c r="D9417" s="211">
        <v>-60000</v>
      </c>
      <c r="E9417" s="212">
        <v>45627</v>
      </c>
      <c r="F9417" s="206" t="s">
        <v>110</v>
      </c>
      <c r="G9417" s="206" t="s">
        <v>5469</v>
      </c>
      <c r="H9417" s="722" t="s">
        <v>6929</v>
      </c>
      <c r="I9417" s="206" t="s">
        <v>7228</v>
      </c>
    </row>
    <row r="9418" spans="1:9" ht="15" hidden="1" customHeight="1">
      <c r="A9418" s="205">
        <v>45638</v>
      </c>
      <c r="B9418" s="208" t="s">
        <v>7398</v>
      </c>
      <c r="C9418" s="206" t="s">
        <v>146</v>
      </c>
      <c r="D9418" s="211">
        <v>-67600</v>
      </c>
      <c r="E9418" s="212">
        <v>45627</v>
      </c>
      <c r="F9418" s="206" t="s">
        <v>109</v>
      </c>
      <c r="G9418" s="206" t="s">
        <v>6994</v>
      </c>
      <c r="H9418" s="206" t="s">
        <v>6134</v>
      </c>
      <c r="I9418" s="206" t="s">
        <v>7228</v>
      </c>
    </row>
    <row r="9419" spans="1:9" ht="15" hidden="1" customHeight="1">
      <c r="A9419" s="205">
        <v>45638</v>
      </c>
      <c r="B9419" s="208" t="s">
        <v>7399</v>
      </c>
      <c r="C9419" s="206" t="s">
        <v>146</v>
      </c>
      <c r="D9419" s="211">
        <v>-40000</v>
      </c>
      <c r="E9419" s="212">
        <v>45627</v>
      </c>
      <c r="F9419" s="206" t="s">
        <v>109</v>
      </c>
      <c r="G9419" s="206" t="s">
        <v>6994</v>
      </c>
      <c r="H9419" s="206" t="s">
        <v>6973</v>
      </c>
      <c r="I9419" s="206" t="s">
        <v>7228</v>
      </c>
    </row>
    <row r="9420" spans="1:9" ht="15" hidden="1" customHeight="1">
      <c r="A9420" s="205">
        <v>45638</v>
      </c>
      <c r="B9420" s="208" t="s">
        <v>7400</v>
      </c>
      <c r="C9420" s="206" t="s">
        <v>146</v>
      </c>
      <c r="D9420" s="211">
        <v>-67999</v>
      </c>
      <c r="E9420" s="212">
        <v>45627</v>
      </c>
      <c r="F9420" s="206" t="s">
        <v>109</v>
      </c>
      <c r="G9420" s="206" t="s">
        <v>6994</v>
      </c>
      <c r="H9420" s="206" t="s">
        <v>6973</v>
      </c>
      <c r="I9420" s="206" t="s">
        <v>7228</v>
      </c>
    </row>
    <row r="9421" spans="1:9" ht="15" hidden="1" customHeight="1">
      <c r="A9421" s="205">
        <v>45640</v>
      </c>
      <c r="B9421" s="208" t="s">
        <v>7401</v>
      </c>
      <c r="C9421" s="206" t="s">
        <v>146</v>
      </c>
      <c r="D9421" s="211">
        <v>-17000</v>
      </c>
      <c r="E9421" s="212">
        <v>45627</v>
      </c>
      <c r="F9421" s="206" t="s">
        <v>109</v>
      </c>
      <c r="G9421" s="206" t="s">
        <v>6994</v>
      </c>
      <c r="H9421" s="206" t="s">
        <v>6973</v>
      </c>
      <c r="I9421" s="206" t="s">
        <v>7228</v>
      </c>
    </row>
    <row r="9422" spans="1:9" ht="15" hidden="1" customHeight="1">
      <c r="A9422" s="205">
        <v>45642</v>
      </c>
      <c r="B9422" s="208" t="s">
        <v>7402</v>
      </c>
      <c r="C9422" s="206" t="s">
        <v>146</v>
      </c>
      <c r="D9422" s="211">
        <v>-5000</v>
      </c>
      <c r="E9422" s="212">
        <v>45627</v>
      </c>
      <c r="F9422" s="206" t="s">
        <v>109</v>
      </c>
      <c r="G9422" s="206" t="s">
        <v>6994</v>
      </c>
      <c r="H9422" s="206" t="s">
        <v>6763</v>
      </c>
      <c r="I9422" s="206" t="s">
        <v>7228</v>
      </c>
    </row>
    <row r="9423" spans="1:9" ht="15" hidden="1" customHeight="1">
      <c r="A9423" s="205">
        <v>45621</v>
      </c>
      <c r="B9423" s="208" t="s">
        <v>7403</v>
      </c>
      <c r="C9423" s="206" t="s">
        <v>146</v>
      </c>
      <c r="D9423" s="211">
        <v>-10000</v>
      </c>
      <c r="E9423" s="212">
        <v>45627</v>
      </c>
      <c r="F9423" s="206" t="s">
        <v>110</v>
      </c>
      <c r="G9423" s="206" t="s">
        <v>4990</v>
      </c>
      <c r="H9423" s="722" t="s">
        <v>6929</v>
      </c>
      <c r="I9423" s="206" t="s">
        <v>7404</v>
      </c>
    </row>
    <row r="9424" spans="1:9" ht="15" hidden="1" customHeight="1">
      <c r="A9424" s="205">
        <v>45621</v>
      </c>
      <c r="B9424" s="208" t="s">
        <v>7405</v>
      </c>
      <c r="C9424" s="206" t="s">
        <v>146</v>
      </c>
      <c r="D9424" s="211">
        <v>-13000</v>
      </c>
      <c r="E9424" s="212">
        <v>45627</v>
      </c>
      <c r="F9424" s="206" t="s">
        <v>110</v>
      </c>
      <c r="G9424" s="206" t="s">
        <v>4990</v>
      </c>
      <c r="H9424" s="722" t="s">
        <v>6929</v>
      </c>
      <c r="I9424" s="206" t="s">
        <v>7404</v>
      </c>
    </row>
    <row r="9425" spans="1:9" ht="15" hidden="1" customHeight="1">
      <c r="A9425" s="205">
        <v>45639</v>
      </c>
      <c r="B9425" s="208" t="s">
        <v>7406</v>
      </c>
      <c r="C9425" s="206" t="s">
        <v>146</v>
      </c>
      <c r="D9425" s="211">
        <v>-20000</v>
      </c>
      <c r="E9425" s="212">
        <v>45627</v>
      </c>
      <c r="F9425" s="206" t="s">
        <v>110</v>
      </c>
      <c r="G9425" s="206" t="s">
        <v>4294</v>
      </c>
      <c r="H9425" s="722" t="s">
        <v>6929</v>
      </c>
      <c r="I9425" s="206" t="s">
        <v>7404</v>
      </c>
    </row>
    <row r="9426" spans="1:9" ht="15" hidden="1" customHeight="1">
      <c r="A9426" s="205">
        <v>45639</v>
      </c>
      <c r="B9426" s="208" t="s">
        <v>7407</v>
      </c>
      <c r="C9426" s="206" t="s">
        <v>146</v>
      </c>
      <c r="D9426" s="211">
        <v>-20000</v>
      </c>
      <c r="E9426" s="212">
        <v>45627</v>
      </c>
      <c r="F9426" s="206" t="s">
        <v>110</v>
      </c>
      <c r="G9426" s="206" t="s">
        <v>4294</v>
      </c>
      <c r="H9426" s="722" t="s">
        <v>6929</v>
      </c>
      <c r="I9426" s="206" t="s">
        <v>7404</v>
      </c>
    </row>
    <row r="9427" spans="1:9" ht="15" hidden="1" customHeight="1">
      <c r="A9427" s="205">
        <v>45639</v>
      </c>
      <c r="B9427" s="208" t="s">
        <v>7408</v>
      </c>
      <c r="C9427" s="206" t="s">
        <v>146</v>
      </c>
      <c r="D9427" s="211">
        <v>-10000</v>
      </c>
      <c r="E9427" s="212">
        <v>45627</v>
      </c>
      <c r="F9427" s="206" t="s">
        <v>110</v>
      </c>
      <c r="G9427" s="206" t="s">
        <v>4294</v>
      </c>
      <c r="H9427" s="206" t="s">
        <v>2941</v>
      </c>
      <c r="I9427" s="720" t="s">
        <v>5410</v>
      </c>
    </row>
    <row r="9428" spans="1:9" ht="15" hidden="1" customHeight="1">
      <c r="A9428" s="205">
        <v>45637</v>
      </c>
      <c r="B9428" s="208" t="s">
        <v>7409</v>
      </c>
      <c r="C9428" s="206" t="s">
        <v>146</v>
      </c>
      <c r="D9428" s="211">
        <v>-14800</v>
      </c>
      <c r="E9428" s="212">
        <v>45627</v>
      </c>
      <c r="F9428" s="206" t="s">
        <v>130</v>
      </c>
      <c r="G9428" s="206" t="s">
        <v>257</v>
      </c>
      <c r="H9428" s="374" t="s">
        <v>2032</v>
      </c>
      <c r="I9428" s="206" t="s">
        <v>7057</v>
      </c>
    </row>
    <row r="9429" spans="1:9" ht="15" hidden="1" customHeight="1">
      <c r="A9429" s="205">
        <v>45637</v>
      </c>
      <c r="B9429" s="208" t="s">
        <v>7410</v>
      </c>
      <c r="C9429" s="206" t="s">
        <v>146</v>
      </c>
      <c r="D9429" s="211">
        <v>-14800</v>
      </c>
      <c r="E9429" s="212">
        <v>45627</v>
      </c>
      <c r="F9429" s="206" t="s">
        <v>130</v>
      </c>
      <c r="G9429" s="206" t="s">
        <v>257</v>
      </c>
      <c r="H9429" s="374" t="s">
        <v>2032</v>
      </c>
      <c r="I9429" s="206" t="s">
        <v>7057</v>
      </c>
    </row>
    <row r="9430" spans="1:9" ht="15" hidden="1" customHeight="1">
      <c r="A9430" s="205">
        <v>45637</v>
      </c>
      <c r="B9430" s="208" t="s">
        <v>7411</v>
      </c>
      <c r="C9430" s="206" t="s">
        <v>146</v>
      </c>
      <c r="D9430" s="211">
        <v>-110013</v>
      </c>
      <c r="E9430" s="212">
        <v>45627</v>
      </c>
      <c r="F9430" s="206" t="s">
        <v>130</v>
      </c>
      <c r="G9430" s="206" t="s">
        <v>257</v>
      </c>
      <c r="H9430" s="374" t="s">
        <v>2032</v>
      </c>
      <c r="I9430" s="206" t="s">
        <v>7057</v>
      </c>
    </row>
    <row r="9431" spans="1:9" ht="15" hidden="1" customHeight="1">
      <c r="A9431" s="205">
        <v>45637</v>
      </c>
      <c r="B9431" s="208" t="s">
        <v>7412</v>
      </c>
      <c r="C9431" s="206" t="s">
        <v>146</v>
      </c>
      <c r="D9431" s="211">
        <v>-2000</v>
      </c>
      <c r="E9431" s="212">
        <v>45627</v>
      </c>
      <c r="F9431" s="206" t="s">
        <v>130</v>
      </c>
      <c r="G9431" s="206" t="s">
        <v>257</v>
      </c>
      <c r="H9431" s="374" t="s">
        <v>2032</v>
      </c>
      <c r="I9431" s="206" t="s">
        <v>7057</v>
      </c>
    </row>
    <row r="9432" spans="1:9" ht="15" hidden="1" customHeight="1">
      <c r="A9432" s="205">
        <v>45637</v>
      </c>
      <c r="B9432" s="208" t="s">
        <v>7413</v>
      </c>
      <c r="C9432" s="206" t="s">
        <v>146</v>
      </c>
      <c r="D9432" s="211">
        <v>-90000</v>
      </c>
      <c r="E9432" s="212">
        <v>45627</v>
      </c>
      <c r="F9432" s="206" t="s">
        <v>130</v>
      </c>
      <c r="G9432" s="206" t="s">
        <v>257</v>
      </c>
      <c r="H9432" s="374" t="s">
        <v>2032</v>
      </c>
      <c r="I9432" s="206" t="s">
        <v>7057</v>
      </c>
    </row>
    <row r="9433" spans="1:9" ht="15" hidden="1" customHeight="1">
      <c r="A9433" s="205">
        <v>45637</v>
      </c>
      <c r="B9433" s="208" t="s">
        <v>7412</v>
      </c>
      <c r="C9433" s="206" t="s">
        <v>146</v>
      </c>
      <c r="D9433" s="211">
        <v>-4000</v>
      </c>
      <c r="E9433" s="212">
        <v>45627</v>
      </c>
      <c r="F9433" s="206" t="s">
        <v>130</v>
      </c>
      <c r="G9433" s="206" t="s">
        <v>257</v>
      </c>
      <c r="H9433" s="374" t="s">
        <v>2032</v>
      </c>
      <c r="I9433" s="206" t="s">
        <v>7057</v>
      </c>
    </row>
    <row r="9434" spans="1:9" ht="15" hidden="1" customHeight="1">
      <c r="A9434" s="205">
        <v>45637</v>
      </c>
      <c r="B9434" s="208" t="s">
        <v>7412</v>
      </c>
      <c r="C9434" s="206" t="s">
        <v>146</v>
      </c>
      <c r="D9434" s="211">
        <v>-4000</v>
      </c>
      <c r="E9434" s="212">
        <v>45627</v>
      </c>
      <c r="F9434" s="206" t="s">
        <v>130</v>
      </c>
      <c r="G9434" s="206" t="s">
        <v>257</v>
      </c>
      <c r="H9434" s="374" t="s">
        <v>2032</v>
      </c>
      <c r="I9434" s="206" t="s">
        <v>7057</v>
      </c>
    </row>
    <row r="9435" spans="1:9" ht="15" hidden="1" customHeight="1">
      <c r="A9435" s="205">
        <v>45639</v>
      </c>
      <c r="B9435" s="208" t="s">
        <v>7414</v>
      </c>
      <c r="C9435" s="206" t="s">
        <v>146</v>
      </c>
      <c r="D9435" s="211">
        <v>-7000</v>
      </c>
      <c r="E9435" s="212">
        <v>45627</v>
      </c>
      <c r="F9435" s="206" t="s">
        <v>109</v>
      </c>
      <c r="G9435" s="206" t="s">
        <v>6994</v>
      </c>
      <c r="H9435" s="81" t="s">
        <v>6266</v>
      </c>
      <c r="I9435" s="206" t="s">
        <v>6793</v>
      </c>
    </row>
    <row r="9436" spans="1:9" ht="15" hidden="1" customHeight="1">
      <c r="A9436" s="205">
        <v>45639</v>
      </c>
      <c r="B9436" s="208" t="s">
        <v>7415</v>
      </c>
      <c r="C9436" s="206" t="s">
        <v>146</v>
      </c>
      <c r="D9436" s="211">
        <v>-20000</v>
      </c>
      <c r="E9436" s="212">
        <v>45627</v>
      </c>
      <c r="F9436" s="206" t="s">
        <v>109</v>
      </c>
      <c r="G9436" s="206" t="s">
        <v>6994</v>
      </c>
      <c r="H9436" s="81" t="s">
        <v>6266</v>
      </c>
      <c r="I9436" s="206" t="s">
        <v>6793</v>
      </c>
    </row>
    <row r="9437" spans="1:9" ht="15" hidden="1" customHeight="1">
      <c r="A9437" s="205">
        <v>45639</v>
      </c>
      <c r="B9437" s="208" t="s">
        <v>7416</v>
      </c>
      <c r="C9437" s="206" t="s">
        <v>146</v>
      </c>
      <c r="D9437" s="211">
        <v>-10000</v>
      </c>
      <c r="E9437" s="212">
        <v>45627</v>
      </c>
      <c r="F9437" s="206" t="s">
        <v>109</v>
      </c>
      <c r="G9437" s="206" t="s">
        <v>6994</v>
      </c>
      <c r="H9437" s="84" t="s">
        <v>6529</v>
      </c>
      <c r="I9437" s="206" t="s">
        <v>6793</v>
      </c>
    </row>
    <row r="9438" spans="1:9" ht="15" hidden="1" customHeight="1">
      <c r="A9438" s="205">
        <v>45639</v>
      </c>
      <c r="B9438" s="208" t="s">
        <v>7417</v>
      </c>
      <c r="C9438" s="206" t="s">
        <v>146</v>
      </c>
      <c r="D9438" s="211">
        <v>-12000</v>
      </c>
      <c r="E9438" s="212">
        <v>45627</v>
      </c>
      <c r="F9438" s="206" t="s">
        <v>109</v>
      </c>
      <c r="G9438" s="206" t="s">
        <v>5990</v>
      </c>
      <c r="H9438" s="81" t="s">
        <v>6266</v>
      </c>
      <c r="I9438" s="206" t="s">
        <v>6793</v>
      </c>
    </row>
    <row r="9439" spans="1:9" ht="15" hidden="1" customHeight="1">
      <c r="A9439" s="205">
        <v>45639</v>
      </c>
      <c r="B9439" s="208" t="s">
        <v>7418</v>
      </c>
      <c r="C9439" s="206" t="s">
        <v>146</v>
      </c>
      <c r="D9439" s="211">
        <v>-20000</v>
      </c>
      <c r="E9439" s="212">
        <v>45627</v>
      </c>
      <c r="F9439" s="206" t="s">
        <v>109</v>
      </c>
      <c r="G9439" s="206" t="s">
        <v>5990</v>
      </c>
      <c r="H9439" s="81" t="s">
        <v>6266</v>
      </c>
      <c r="I9439" s="206" t="s">
        <v>6793</v>
      </c>
    </row>
    <row r="9440" spans="1:9" ht="15" hidden="1" customHeight="1">
      <c r="A9440" s="205">
        <v>45638</v>
      </c>
      <c r="B9440" s="208" t="s">
        <v>7419</v>
      </c>
      <c r="C9440" s="206" t="s">
        <v>146</v>
      </c>
      <c r="D9440" s="211">
        <v>-7000</v>
      </c>
      <c r="E9440" s="212">
        <v>45627</v>
      </c>
      <c r="F9440" s="206" t="s">
        <v>130</v>
      </c>
      <c r="G9440" s="206" t="s">
        <v>130</v>
      </c>
      <c r="H9440" s="722" t="s">
        <v>6929</v>
      </c>
      <c r="I9440" s="206" t="s">
        <v>6793</v>
      </c>
    </row>
    <row r="9441" spans="1:9" ht="15" hidden="1" customHeight="1">
      <c r="A9441" s="205">
        <v>45638</v>
      </c>
      <c r="B9441" s="208" t="s">
        <v>7420</v>
      </c>
      <c r="C9441" s="206" t="s">
        <v>146</v>
      </c>
      <c r="D9441" s="211">
        <v>-7400</v>
      </c>
      <c r="E9441" s="212">
        <v>45627</v>
      </c>
      <c r="F9441" s="206" t="s">
        <v>130</v>
      </c>
      <c r="G9441" s="206" t="s">
        <v>130</v>
      </c>
      <c r="H9441" s="722" t="s">
        <v>6929</v>
      </c>
      <c r="I9441" s="206" t="s">
        <v>6793</v>
      </c>
    </row>
    <row r="9442" spans="1:9" ht="15" hidden="1" customHeight="1">
      <c r="A9442" s="205">
        <v>45635</v>
      </c>
      <c r="B9442" s="208" t="s">
        <v>7421</v>
      </c>
      <c r="C9442" s="206" t="s">
        <v>146</v>
      </c>
      <c r="D9442" s="211">
        <v>-43800</v>
      </c>
      <c r="E9442" s="212">
        <v>45627</v>
      </c>
      <c r="F9442" s="206" t="s">
        <v>130</v>
      </c>
      <c r="G9442" s="206" t="s">
        <v>130</v>
      </c>
      <c r="H9442" s="94" t="s">
        <v>275</v>
      </c>
      <c r="I9442" s="206" t="s">
        <v>7422</v>
      </c>
    </row>
    <row r="9443" spans="1:9" ht="15" hidden="1" customHeight="1">
      <c r="A9443" s="205">
        <v>45635</v>
      </c>
      <c r="B9443" s="208" t="s">
        <v>7423</v>
      </c>
      <c r="C9443" s="206" t="s">
        <v>146</v>
      </c>
      <c r="D9443" s="211">
        <v>-63100</v>
      </c>
      <c r="E9443" s="212">
        <v>45627</v>
      </c>
      <c r="F9443" s="206" t="s">
        <v>130</v>
      </c>
      <c r="G9443" s="206" t="s">
        <v>130</v>
      </c>
      <c r="H9443" s="94" t="s">
        <v>275</v>
      </c>
      <c r="I9443" s="206" t="s">
        <v>7422</v>
      </c>
    </row>
    <row r="9444" spans="1:9" ht="15" hidden="1" customHeight="1">
      <c r="A9444" s="205">
        <v>45637</v>
      </c>
      <c r="B9444" s="208" t="s">
        <v>7424</v>
      </c>
      <c r="C9444" s="206" t="s">
        <v>146</v>
      </c>
      <c r="D9444" s="211">
        <v>-42500</v>
      </c>
      <c r="E9444" s="212">
        <v>45627</v>
      </c>
      <c r="F9444" s="206" t="s">
        <v>130</v>
      </c>
      <c r="G9444" s="206" t="s">
        <v>130</v>
      </c>
      <c r="H9444" s="94" t="s">
        <v>275</v>
      </c>
      <c r="I9444" s="206" t="s">
        <v>7422</v>
      </c>
    </row>
    <row r="9445" spans="1:9" ht="15" hidden="1" customHeight="1">
      <c r="A9445" s="205">
        <v>45640</v>
      </c>
      <c r="B9445" s="208" t="s">
        <v>1913</v>
      </c>
      <c r="C9445" s="206" t="s">
        <v>146</v>
      </c>
      <c r="D9445" s="211">
        <v>-206000</v>
      </c>
      <c r="E9445" s="212">
        <v>45627</v>
      </c>
      <c r="F9445" s="206" t="s">
        <v>130</v>
      </c>
      <c r="G9445" s="206" t="s">
        <v>130</v>
      </c>
      <c r="H9445" s="722" t="s">
        <v>6929</v>
      </c>
      <c r="I9445" s="206" t="s">
        <v>7422</v>
      </c>
    </row>
    <row r="9446" spans="1:9" ht="15" hidden="1" customHeight="1">
      <c r="A9446" s="205">
        <v>45640</v>
      </c>
      <c r="B9446" s="208" t="s">
        <v>1913</v>
      </c>
      <c r="C9446" s="206" t="s">
        <v>146</v>
      </c>
      <c r="D9446" s="211">
        <v>-65000</v>
      </c>
      <c r="E9446" s="212">
        <v>45627</v>
      </c>
      <c r="F9446" s="206" t="s">
        <v>130</v>
      </c>
      <c r="G9446" s="206" t="s">
        <v>130</v>
      </c>
      <c r="H9446" s="722" t="s">
        <v>6929</v>
      </c>
      <c r="I9446" s="206" t="s">
        <v>7422</v>
      </c>
    </row>
    <row r="9447" spans="1:9" ht="15" hidden="1" customHeight="1">
      <c r="A9447" s="205">
        <v>45640</v>
      </c>
      <c r="B9447" s="208" t="s">
        <v>1913</v>
      </c>
      <c r="C9447" s="206" t="s">
        <v>146</v>
      </c>
      <c r="D9447" s="211">
        <v>-50500</v>
      </c>
      <c r="E9447" s="212">
        <v>45627</v>
      </c>
      <c r="F9447" s="206" t="s">
        <v>130</v>
      </c>
      <c r="G9447" s="206" t="s">
        <v>130</v>
      </c>
      <c r="H9447" s="722" t="s">
        <v>6929</v>
      </c>
      <c r="I9447" s="206" t="s">
        <v>7422</v>
      </c>
    </row>
    <row r="9448" spans="1:9" ht="15" hidden="1" customHeight="1">
      <c r="A9448" s="205">
        <v>45639</v>
      </c>
      <c r="B9448" s="208" t="s">
        <v>7425</v>
      </c>
      <c r="C9448" s="206" t="s">
        <v>146</v>
      </c>
      <c r="D9448" s="211">
        <v>-167500</v>
      </c>
      <c r="E9448" s="212">
        <v>45627</v>
      </c>
      <c r="F9448" s="206" t="s">
        <v>130</v>
      </c>
      <c r="G9448" s="206" t="s">
        <v>257</v>
      </c>
      <c r="H9448" s="206" t="s">
        <v>2724</v>
      </c>
      <c r="I9448" s="206" t="s">
        <v>7426</v>
      </c>
    </row>
    <row r="9449" spans="1:9" ht="15" hidden="1" customHeight="1">
      <c r="A9449" s="205">
        <v>45639</v>
      </c>
      <c r="B9449" s="208" t="s">
        <v>7427</v>
      </c>
      <c r="C9449" s="206" t="s">
        <v>146</v>
      </c>
      <c r="D9449" s="211">
        <v>-1250</v>
      </c>
      <c r="E9449" s="212">
        <v>45627</v>
      </c>
      <c r="F9449" s="206" t="s">
        <v>130</v>
      </c>
      <c r="G9449" s="206" t="s">
        <v>257</v>
      </c>
      <c r="H9449" s="206" t="s">
        <v>2724</v>
      </c>
      <c r="I9449" s="206" t="s">
        <v>7426</v>
      </c>
    </row>
    <row r="9450" spans="1:9" ht="15" hidden="1" customHeight="1">
      <c r="A9450" s="205">
        <v>45646</v>
      </c>
      <c r="B9450" s="208" t="s">
        <v>7377</v>
      </c>
      <c r="C9450" s="206" t="s">
        <v>146</v>
      </c>
      <c r="D9450" s="211">
        <v>-10300</v>
      </c>
      <c r="E9450" s="212">
        <v>45627</v>
      </c>
      <c r="F9450" s="206" t="s">
        <v>110</v>
      </c>
      <c r="G9450" s="206" t="s">
        <v>5469</v>
      </c>
      <c r="H9450" s="722" t="s">
        <v>6929</v>
      </c>
      <c r="I9450" s="206"/>
    </row>
    <row r="9451" spans="1:9" ht="15" hidden="1" customHeight="1">
      <c r="A9451" s="205">
        <v>45646</v>
      </c>
      <c r="B9451" s="208" t="s">
        <v>7377</v>
      </c>
      <c r="C9451" s="206" t="s">
        <v>146</v>
      </c>
      <c r="D9451" s="211">
        <v>-10300</v>
      </c>
      <c r="E9451" s="212">
        <v>45627</v>
      </c>
      <c r="F9451" s="206" t="s">
        <v>109</v>
      </c>
      <c r="G9451" s="206" t="s">
        <v>4986</v>
      </c>
      <c r="H9451" s="722" t="s">
        <v>6929</v>
      </c>
      <c r="I9451" s="206"/>
    </row>
    <row r="9452" spans="1:9" ht="15" hidden="1" customHeight="1">
      <c r="A9452" s="205">
        <v>45628</v>
      </c>
      <c r="B9452" s="208" t="s">
        <v>7428</v>
      </c>
      <c r="C9452" s="206" t="s">
        <v>146</v>
      </c>
      <c r="D9452" s="211">
        <v>-396000</v>
      </c>
      <c r="E9452" s="212">
        <v>45627</v>
      </c>
      <c r="F9452" s="206" t="s">
        <v>109</v>
      </c>
      <c r="G9452" s="206" t="s">
        <v>5990</v>
      </c>
      <c r="H9452" s="206" t="s">
        <v>6687</v>
      </c>
      <c r="I9452" s="206" t="s">
        <v>7047</v>
      </c>
    </row>
    <row r="9453" spans="1:9" ht="15" hidden="1" customHeight="1">
      <c r="A9453" s="205">
        <v>45629</v>
      </c>
      <c r="B9453" s="208" t="s">
        <v>7429</v>
      </c>
      <c r="C9453" s="206" t="s">
        <v>146</v>
      </c>
      <c r="D9453" s="211">
        <v>-30000</v>
      </c>
      <c r="E9453" s="212">
        <v>45627</v>
      </c>
      <c r="F9453" s="206" t="s">
        <v>109</v>
      </c>
      <c r="G9453" s="206" t="s">
        <v>5990</v>
      </c>
      <c r="H9453" s="206" t="s">
        <v>6266</v>
      </c>
      <c r="I9453" s="206" t="s">
        <v>7047</v>
      </c>
    </row>
    <row r="9454" spans="1:9" ht="15" hidden="1" customHeight="1">
      <c r="A9454" s="205">
        <v>45629</v>
      </c>
      <c r="B9454" s="208" t="s">
        <v>7430</v>
      </c>
      <c r="C9454" s="206" t="s">
        <v>146</v>
      </c>
      <c r="D9454" s="211">
        <v>-100000</v>
      </c>
      <c r="E9454" s="212">
        <v>45627</v>
      </c>
      <c r="F9454" s="206" t="s">
        <v>109</v>
      </c>
      <c r="G9454" s="206" t="s">
        <v>5990</v>
      </c>
      <c r="H9454" s="206" t="s">
        <v>6266</v>
      </c>
      <c r="I9454" s="206" t="s">
        <v>7047</v>
      </c>
    </row>
    <row r="9455" spans="1:9" ht="15" hidden="1" customHeight="1">
      <c r="A9455" s="205">
        <v>45630</v>
      </c>
      <c r="B9455" s="208" t="s">
        <v>7431</v>
      </c>
      <c r="C9455" s="206" t="s">
        <v>146</v>
      </c>
      <c r="D9455" s="211">
        <v>-677000</v>
      </c>
      <c r="E9455" s="212">
        <v>45627</v>
      </c>
      <c r="F9455" s="206" t="s">
        <v>109</v>
      </c>
      <c r="G9455" s="206" t="s">
        <v>5990</v>
      </c>
      <c r="H9455" s="206" t="s">
        <v>6687</v>
      </c>
      <c r="I9455" s="206" t="s">
        <v>7047</v>
      </c>
    </row>
    <row r="9456" spans="1:9" ht="15" hidden="1" customHeight="1">
      <c r="A9456" s="205">
        <v>45630</v>
      </c>
      <c r="B9456" s="208" t="s">
        <v>7432</v>
      </c>
      <c r="C9456" s="206" t="s">
        <v>146</v>
      </c>
      <c r="D9456" s="211">
        <v>-246000</v>
      </c>
      <c r="E9456" s="212">
        <v>45627</v>
      </c>
      <c r="F9456" s="206" t="s">
        <v>109</v>
      </c>
      <c r="G9456" s="206" t="s">
        <v>5990</v>
      </c>
      <c r="H9456" s="206" t="s">
        <v>6482</v>
      </c>
      <c r="I9456" s="206" t="s">
        <v>7047</v>
      </c>
    </row>
    <row r="9457" spans="1:9" ht="15" hidden="1" customHeight="1">
      <c r="A9457" s="205">
        <v>45630</v>
      </c>
      <c r="B9457" s="208" t="s">
        <v>7433</v>
      </c>
      <c r="C9457" s="206" t="s">
        <v>146</v>
      </c>
      <c r="D9457" s="211">
        <v>-30000</v>
      </c>
      <c r="E9457" s="212">
        <v>45627</v>
      </c>
      <c r="F9457" s="206" t="s">
        <v>109</v>
      </c>
      <c r="G9457" s="206" t="s">
        <v>5990</v>
      </c>
      <c r="H9457" s="206" t="s">
        <v>6667</v>
      </c>
      <c r="I9457" s="206" t="s">
        <v>7047</v>
      </c>
    </row>
    <row r="9458" spans="1:9" ht="15" hidden="1" customHeight="1">
      <c r="A9458" s="205">
        <v>45630</v>
      </c>
      <c r="B9458" s="208" t="s">
        <v>7434</v>
      </c>
      <c r="C9458" s="206" t="s">
        <v>146</v>
      </c>
      <c r="D9458" s="211">
        <v>-588000</v>
      </c>
      <c r="E9458" s="212">
        <v>45627</v>
      </c>
      <c r="F9458" s="206" t="s">
        <v>109</v>
      </c>
      <c r="G9458" s="206" t="s">
        <v>5990</v>
      </c>
      <c r="H9458" s="206" t="s">
        <v>6667</v>
      </c>
      <c r="I9458" s="206" t="s">
        <v>7047</v>
      </c>
    </row>
    <row r="9459" spans="1:9" ht="15" hidden="1" customHeight="1">
      <c r="A9459" s="205">
        <v>45631</v>
      </c>
      <c r="B9459" s="208" t="s">
        <v>7435</v>
      </c>
      <c r="C9459" s="206" t="s">
        <v>146</v>
      </c>
      <c r="D9459" s="211">
        <v>-35500</v>
      </c>
      <c r="E9459" s="212">
        <v>45627</v>
      </c>
      <c r="F9459" s="206" t="s">
        <v>109</v>
      </c>
      <c r="G9459" s="206" t="s">
        <v>5990</v>
      </c>
      <c r="H9459" s="206" t="s">
        <v>6669</v>
      </c>
      <c r="I9459" s="206" t="s">
        <v>7047</v>
      </c>
    </row>
    <row r="9460" spans="1:9" ht="15" hidden="1" customHeight="1">
      <c r="A9460" s="205">
        <v>45635</v>
      </c>
      <c r="B9460" s="208" t="s">
        <v>7436</v>
      </c>
      <c r="C9460" s="206" t="s">
        <v>146</v>
      </c>
      <c r="D9460" s="211">
        <v>-216200</v>
      </c>
      <c r="E9460" s="212">
        <v>45627</v>
      </c>
      <c r="F9460" s="206" t="s">
        <v>109</v>
      </c>
      <c r="G9460" s="206" t="s">
        <v>5990</v>
      </c>
      <c r="H9460" s="206" t="s">
        <v>6687</v>
      </c>
      <c r="I9460" s="206" t="s">
        <v>7047</v>
      </c>
    </row>
    <row r="9461" spans="1:9" s="451" customFormat="1" ht="15" hidden="1" customHeight="1">
      <c r="A9461" s="795">
        <v>45639</v>
      </c>
      <c r="B9461" s="720" t="s">
        <v>7437</v>
      </c>
      <c r="C9461" s="720" t="s">
        <v>27</v>
      </c>
      <c r="D9461" s="737">
        <v>-1228700</v>
      </c>
      <c r="E9461" s="727">
        <v>45627</v>
      </c>
      <c r="F9461" s="720" t="s">
        <v>109</v>
      </c>
      <c r="G9461" s="720" t="s">
        <v>6994</v>
      </c>
      <c r="H9461" s="720" t="s">
        <v>147</v>
      </c>
      <c r="I9461" s="720"/>
    </row>
    <row r="9462" spans="1:9" ht="15" hidden="1" customHeight="1">
      <c r="A9462" s="205">
        <v>45639</v>
      </c>
      <c r="B9462" s="208" t="s">
        <v>7438</v>
      </c>
      <c r="C9462" s="818" t="s">
        <v>27</v>
      </c>
      <c r="D9462" s="737">
        <v>-1038260</v>
      </c>
      <c r="E9462" s="819">
        <v>45627</v>
      </c>
      <c r="F9462" s="208" t="s">
        <v>110</v>
      </c>
      <c r="G9462" s="601" t="s">
        <v>5469</v>
      </c>
      <c r="H9462" s="206" t="s">
        <v>147</v>
      </c>
      <c r="I9462" s="206"/>
    </row>
    <row r="9463" spans="1:9" ht="15" hidden="1" customHeight="1">
      <c r="A9463" s="205">
        <v>45639</v>
      </c>
      <c r="B9463" s="208" t="s">
        <v>7439</v>
      </c>
      <c r="C9463" s="818" t="s">
        <v>27</v>
      </c>
      <c r="D9463" s="737">
        <v>-693840</v>
      </c>
      <c r="E9463" s="819">
        <v>45627</v>
      </c>
      <c r="F9463" s="208" t="s">
        <v>130</v>
      </c>
      <c r="G9463" s="208" t="s">
        <v>130</v>
      </c>
      <c r="H9463" s="206" t="s">
        <v>182</v>
      </c>
      <c r="I9463" s="206"/>
    </row>
    <row r="9464" spans="1:9" ht="15" hidden="1" customHeight="1">
      <c r="A9464" s="205">
        <v>45639</v>
      </c>
      <c r="B9464" s="208" t="s">
        <v>7440</v>
      </c>
      <c r="C9464" s="818" t="s">
        <v>27</v>
      </c>
      <c r="D9464" s="737">
        <v>-668200</v>
      </c>
      <c r="E9464" s="819">
        <v>45627</v>
      </c>
      <c r="F9464" s="208" t="s">
        <v>110</v>
      </c>
      <c r="G9464" s="601" t="s">
        <v>5469</v>
      </c>
      <c r="H9464" s="206" t="s">
        <v>147</v>
      </c>
      <c r="I9464" s="206"/>
    </row>
    <row r="9465" spans="1:9" ht="15" hidden="1" customHeight="1">
      <c r="A9465" s="205">
        <v>45639</v>
      </c>
      <c r="B9465" s="208" t="s">
        <v>7441</v>
      </c>
      <c r="C9465" s="818" t="s">
        <v>27</v>
      </c>
      <c r="D9465" s="737">
        <v>-995600</v>
      </c>
      <c r="E9465" s="819">
        <v>45627</v>
      </c>
      <c r="F9465" s="208" t="s">
        <v>109</v>
      </c>
      <c r="G9465" s="208" t="s">
        <v>4986</v>
      </c>
      <c r="H9465" s="206" t="s">
        <v>147</v>
      </c>
      <c r="I9465" s="206"/>
    </row>
    <row r="9466" spans="1:9" ht="15" hidden="1" customHeight="1">
      <c r="A9466" s="205">
        <v>45639</v>
      </c>
      <c r="B9466" s="208" t="s">
        <v>7442</v>
      </c>
      <c r="C9466" s="818" t="s">
        <v>27</v>
      </c>
      <c r="D9466" s="737">
        <v>-673600</v>
      </c>
      <c r="E9466" s="819">
        <v>45627</v>
      </c>
      <c r="F9466" s="208" t="s">
        <v>109</v>
      </c>
      <c r="G9466" s="208" t="s">
        <v>4986</v>
      </c>
      <c r="H9466" s="206" t="s">
        <v>147</v>
      </c>
      <c r="I9466" s="206"/>
    </row>
    <row r="9467" spans="1:9" ht="15" hidden="1" customHeight="1">
      <c r="A9467" s="205">
        <v>45639</v>
      </c>
      <c r="B9467" s="208" t="s">
        <v>7443</v>
      </c>
      <c r="C9467" s="818" t="s">
        <v>27</v>
      </c>
      <c r="D9467" s="737">
        <v>-2024000</v>
      </c>
      <c r="E9467" s="819">
        <v>45627</v>
      </c>
      <c r="F9467" s="206" t="s">
        <v>130</v>
      </c>
      <c r="G9467" s="206" t="s">
        <v>130</v>
      </c>
      <c r="H9467" s="206" t="s">
        <v>182</v>
      </c>
      <c r="I9467" s="206"/>
    </row>
    <row r="9468" spans="1:9" ht="15" hidden="1" customHeight="1">
      <c r="A9468" s="205">
        <v>45639</v>
      </c>
      <c r="B9468" s="208" t="s">
        <v>7444</v>
      </c>
      <c r="C9468" s="818" t="s">
        <v>27</v>
      </c>
      <c r="D9468" s="737">
        <v>-817000</v>
      </c>
      <c r="E9468" s="819">
        <v>45627</v>
      </c>
      <c r="F9468" s="206" t="s">
        <v>130</v>
      </c>
      <c r="G9468" s="206" t="s">
        <v>130</v>
      </c>
      <c r="H9468" s="206" t="s">
        <v>182</v>
      </c>
      <c r="I9468" s="206"/>
    </row>
    <row r="9469" spans="1:9" ht="15" hidden="1" customHeight="1">
      <c r="A9469" s="468">
        <v>45639</v>
      </c>
      <c r="B9469" s="208" t="s">
        <v>7445</v>
      </c>
      <c r="C9469" s="818" t="s">
        <v>27</v>
      </c>
      <c r="D9469" s="737">
        <v>-650000</v>
      </c>
      <c r="E9469" s="819">
        <v>45627</v>
      </c>
      <c r="F9469" s="206" t="s">
        <v>130</v>
      </c>
      <c r="G9469" s="206" t="s">
        <v>130</v>
      </c>
      <c r="H9469" s="206" t="s">
        <v>182</v>
      </c>
      <c r="I9469" s="206"/>
    </row>
    <row r="9470" spans="1:9" ht="15" hidden="1" customHeight="1">
      <c r="A9470" s="205">
        <v>45639</v>
      </c>
      <c r="B9470" s="208" t="s">
        <v>7446</v>
      </c>
      <c r="C9470" s="818" t="s">
        <v>27</v>
      </c>
      <c r="D9470" s="737">
        <v>-771000</v>
      </c>
      <c r="E9470" s="819">
        <v>45627</v>
      </c>
      <c r="F9470" s="206" t="s">
        <v>109</v>
      </c>
      <c r="G9470" s="206" t="s">
        <v>6994</v>
      </c>
      <c r="H9470" s="206" t="s">
        <v>147</v>
      </c>
      <c r="I9470" s="206"/>
    </row>
    <row r="9471" spans="1:9" ht="15" hidden="1" customHeight="1">
      <c r="A9471" s="205">
        <v>45639</v>
      </c>
      <c r="B9471" s="208" t="s">
        <v>7447</v>
      </c>
      <c r="C9471" s="818" t="s">
        <v>27</v>
      </c>
      <c r="D9471" s="737">
        <v>-679000</v>
      </c>
      <c r="E9471" s="819">
        <v>45627</v>
      </c>
      <c r="F9471" s="206" t="s">
        <v>109</v>
      </c>
      <c r="G9471" s="206" t="s">
        <v>6994</v>
      </c>
      <c r="H9471" s="206" t="s">
        <v>147</v>
      </c>
      <c r="I9471" s="206"/>
    </row>
    <row r="9472" spans="1:9" ht="15" hidden="1" customHeight="1">
      <c r="A9472" s="205">
        <v>45639</v>
      </c>
      <c r="B9472" s="208" t="s">
        <v>7448</v>
      </c>
      <c r="C9472" s="818" t="s">
        <v>27</v>
      </c>
      <c r="D9472" s="737">
        <v>-339500</v>
      </c>
      <c r="E9472" s="819">
        <v>45627</v>
      </c>
      <c r="F9472" s="827" t="s">
        <v>109</v>
      </c>
      <c r="G9472" s="206" t="s">
        <v>6875</v>
      </c>
      <c r="H9472" s="206" t="s">
        <v>147</v>
      </c>
      <c r="I9472" s="206"/>
    </row>
    <row r="9473" spans="1:9" ht="15" hidden="1" customHeight="1">
      <c r="A9473" s="205">
        <v>45639</v>
      </c>
      <c r="B9473" s="208" t="s">
        <v>7448</v>
      </c>
      <c r="C9473" s="818" t="s">
        <v>27</v>
      </c>
      <c r="D9473" s="737">
        <v>-339500</v>
      </c>
      <c r="E9473" s="819">
        <v>45627</v>
      </c>
      <c r="F9473" s="827" t="s">
        <v>109</v>
      </c>
      <c r="G9473" s="206" t="s">
        <v>5906</v>
      </c>
      <c r="H9473" s="206" t="s">
        <v>147</v>
      </c>
      <c r="I9473" s="206"/>
    </row>
    <row r="9474" spans="1:9" ht="15" hidden="1" customHeight="1">
      <c r="A9474" s="205">
        <v>45639</v>
      </c>
      <c r="B9474" s="208" t="s">
        <v>7449</v>
      </c>
      <c r="C9474" s="818" t="s">
        <v>27</v>
      </c>
      <c r="D9474" s="737">
        <v>-679000</v>
      </c>
      <c r="E9474" s="819">
        <v>45627</v>
      </c>
      <c r="F9474" s="208" t="s">
        <v>110</v>
      </c>
      <c r="G9474" s="601" t="s">
        <v>5469</v>
      </c>
      <c r="H9474" s="206" t="s">
        <v>147</v>
      </c>
      <c r="I9474" s="206"/>
    </row>
    <row r="9475" spans="1:9" ht="15" hidden="1" customHeight="1">
      <c r="A9475" s="205">
        <v>45639</v>
      </c>
      <c r="B9475" s="208" t="s">
        <v>7450</v>
      </c>
      <c r="C9475" s="818" t="s">
        <v>27</v>
      </c>
      <c r="D9475" s="737">
        <v>-679000</v>
      </c>
      <c r="E9475" s="819">
        <v>45627</v>
      </c>
      <c r="F9475" s="206" t="s">
        <v>109</v>
      </c>
      <c r="G9475" s="206" t="s">
        <v>6994</v>
      </c>
      <c r="H9475" s="206" t="s">
        <v>147</v>
      </c>
      <c r="I9475" s="206"/>
    </row>
    <row r="9476" spans="1:9" ht="15" hidden="1" customHeight="1">
      <c r="A9476" s="205">
        <v>45639</v>
      </c>
      <c r="B9476" s="208" t="s">
        <v>7451</v>
      </c>
      <c r="C9476" s="818" t="s">
        <v>27</v>
      </c>
      <c r="D9476" s="737">
        <v>-1038260</v>
      </c>
      <c r="E9476" s="819">
        <v>45627</v>
      </c>
      <c r="F9476" s="206" t="s">
        <v>109</v>
      </c>
      <c r="G9476" s="206" t="s">
        <v>6994</v>
      </c>
      <c r="H9476" s="206" t="s">
        <v>147</v>
      </c>
      <c r="I9476" s="206"/>
    </row>
    <row r="9477" spans="1:9" ht="15" hidden="1" customHeight="1">
      <c r="A9477" s="205">
        <v>45639</v>
      </c>
      <c r="B9477" s="208" t="s">
        <v>7452</v>
      </c>
      <c r="C9477" s="818" t="s">
        <v>27</v>
      </c>
      <c r="D9477" s="737">
        <v>-679000</v>
      </c>
      <c r="E9477" s="819">
        <v>45627</v>
      </c>
      <c r="F9477" s="206" t="s">
        <v>109</v>
      </c>
      <c r="G9477" s="206" t="s">
        <v>6994</v>
      </c>
      <c r="H9477" s="206" t="s">
        <v>147</v>
      </c>
      <c r="I9477" s="206"/>
    </row>
    <row r="9478" spans="1:9" ht="15" hidden="1" customHeight="1">
      <c r="A9478" s="205">
        <v>45639</v>
      </c>
      <c r="B9478" s="208" t="s">
        <v>7453</v>
      </c>
      <c r="C9478" s="818" t="s">
        <v>27</v>
      </c>
      <c r="D9478" s="737">
        <v>-679000</v>
      </c>
      <c r="E9478" s="819">
        <v>45627</v>
      </c>
      <c r="F9478" s="206" t="s">
        <v>109</v>
      </c>
      <c r="G9478" s="206" t="s">
        <v>6994</v>
      </c>
      <c r="H9478" s="206" t="s">
        <v>147</v>
      </c>
      <c r="I9478" s="206"/>
    </row>
    <row r="9479" spans="1:9" ht="15" hidden="1" customHeight="1">
      <c r="A9479" s="205">
        <v>45639</v>
      </c>
      <c r="B9479" s="208" t="s">
        <v>7454</v>
      </c>
      <c r="C9479" s="818" t="s">
        <v>27</v>
      </c>
      <c r="D9479" s="737">
        <v>-679000</v>
      </c>
      <c r="E9479" s="819">
        <v>45627</v>
      </c>
      <c r="F9479" s="206" t="s">
        <v>109</v>
      </c>
      <c r="G9479" s="206" t="s">
        <v>6994</v>
      </c>
      <c r="H9479" s="206" t="s">
        <v>147</v>
      </c>
      <c r="I9479" s="206"/>
    </row>
    <row r="9480" spans="1:9" ht="15" hidden="1" customHeight="1">
      <c r="A9480" s="205">
        <v>45639</v>
      </c>
      <c r="B9480" s="208" t="s">
        <v>7455</v>
      </c>
      <c r="C9480" s="818" t="s">
        <v>27</v>
      </c>
      <c r="D9480" s="737">
        <v>-679000</v>
      </c>
      <c r="E9480" s="819">
        <v>45627</v>
      </c>
      <c r="F9480" s="206" t="s">
        <v>109</v>
      </c>
      <c r="G9480" s="206" t="s">
        <v>6994</v>
      </c>
      <c r="H9480" s="206" t="s">
        <v>147</v>
      </c>
      <c r="I9480" s="206"/>
    </row>
    <row r="9481" spans="1:9" ht="15" hidden="1" customHeight="1">
      <c r="A9481" s="205">
        <v>45639</v>
      </c>
      <c r="B9481" s="208" t="s">
        <v>7456</v>
      </c>
      <c r="C9481" s="818" t="s">
        <v>27</v>
      </c>
      <c r="D9481" s="737">
        <v>-679000</v>
      </c>
      <c r="E9481" s="819">
        <v>45627</v>
      </c>
      <c r="F9481" s="206" t="s">
        <v>109</v>
      </c>
      <c r="G9481" s="206" t="s">
        <v>6994</v>
      </c>
      <c r="H9481" s="206" t="s">
        <v>147</v>
      </c>
      <c r="I9481" s="206"/>
    </row>
    <row r="9482" spans="1:9" ht="15" hidden="1" customHeight="1">
      <c r="A9482" s="205">
        <v>45639</v>
      </c>
      <c r="B9482" s="208" t="s">
        <v>7457</v>
      </c>
      <c r="C9482" s="818" t="s">
        <v>27</v>
      </c>
      <c r="D9482" s="737">
        <v>-679000</v>
      </c>
      <c r="E9482" s="819">
        <v>45627</v>
      </c>
      <c r="F9482" s="206" t="s">
        <v>109</v>
      </c>
      <c r="G9482" s="206" t="s">
        <v>6994</v>
      </c>
      <c r="H9482" s="206" t="s">
        <v>147</v>
      </c>
      <c r="I9482" s="206"/>
    </row>
    <row r="9483" spans="1:9" ht="15" hidden="1" customHeight="1">
      <c r="A9483" s="205">
        <v>45639</v>
      </c>
      <c r="B9483" s="208" t="s">
        <v>7458</v>
      </c>
      <c r="C9483" s="818" t="s">
        <v>27</v>
      </c>
      <c r="D9483" s="737">
        <v>-679000</v>
      </c>
      <c r="E9483" s="819">
        <v>45627</v>
      </c>
      <c r="F9483" s="206" t="s">
        <v>130</v>
      </c>
      <c r="G9483" s="206" t="s">
        <v>130</v>
      </c>
      <c r="H9483" s="206" t="s">
        <v>182</v>
      </c>
      <c r="I9483" s="206"/>
    </row>
    <row r="9484" spans="1:9" ht="15" hidden="1" customHeight="1">
      <c r="A9484" s="205">
        <v>45639</v>
      </c>
      <c r="B9484" s="208" t="s">
        <v>7459</v>
      </c>
      <c r="C9484" s="818" t="s">
        <v>27</v>
      </c>
      <c r="D9484" s="737">
        <v>-679000</v>
      </c>
      <c r="E9484" s="819">
        <v>45627</v>
      </c>
      <c r="F9484" s="206" t="s">
        <v>109</v>
      </c>
      <c r="G9484" s="206" t="s">
        <v>4986</v>
      </c>
      <c r="H9484" s="206" t="s">
        <v>147</v>
      </c>
      <c r="I9484" s="206"/>
    </row>
    <row r="9485" spans="1:9" ht="15" hidden="1" customHeight="1">
      <c r="A9485" s="205">
        <v>45639</v>
      </c>
      <c r="B9485" s="208" t="s">
        <v>7460</v>
      </c>
      <c r="C9485" s="818" t="s">
        <v>27</v>
      </c>
      <c r="D9485" s="737">
        <v>-339500</v>
      </c>
      <c r="E9485" s="819">
        <v>45627</v>
      </c>
      <c r="F9485" s="827" t="s">
        <v>109</v>
      </c>
      <c r="G9485" s="206" t="s">
        <v>6875</v>
      </c>
      <c r="H9485" s="206" t="s">
        <v>147</v>
      </c>
      <c r="I9485" s="206"/>
    </row>
    <row r="9486" spans="1:9" ht="15" hidden="1" customHeight="1">
      <c r="A9486" s="205">
        <v>45639</v>
      </c>
      <c r="B9486" s="208" t="s">
        <v>7460</v>
      </c>
      <c r="C9486" s="818" t="s">
        <v>27</v>
      </c>
      <c r="D9486" s="737">
        <v>-339500</v>
      </c>
      <c r="E9486" s="819">
        <v>45627</v>
      </c>
      <c r="F9486" s="827" t="s">
        <v>109</v>
      </c>
      <c r="G9486" s="206" t="s">
        <v>5906</v>
      </c>
      <c r="H9486" s="206" t="s">
        <v>147</v>
      </c>
      <c r="I9486" s="206"/>
    </row>
    <row r="9487" spans="1:9" ht="15" hidden="1" customHeight="1">
      <c r="A9487" s="205">
        <v>45639</v>
      </c>
      <c r="B9487" s="208" t="s">
        <v>7461</v>
      </c>
      <c r="C9487" s="818" t="s">
        <v>27</v>
      </c>
      <c r="D9487" s="737">
        <v>-679000</v>
      </c>
      <c r="E9487" s="819">
        <v>45627</v>
      </c>
      <c r="F9487" s="206" t="s">
        <v>110</v>
      </c>
      <c r="G9487" s="206" t="s">
        <v>5469</v>
      </c>
      <c r="H9487" s="206" t="s">
        <v>147</v>
      </c>
      <c r="I9487" s="206"/>
    </row>
    <row r="9488" spans="1:9" ht="15" hidden="1" customHeight="1">
      <c r="A9488" s="205">
        <v>45639</v>
      </c>
      <c r="B9488" s="208" t="s">
        <v>7462</v>
      </c>
      <c r="C9488" s="818" t="s">
        <v>27</v>
      </c>
      <c r="D9488" s="737">
        <v>-339500</v>
      </c>
      <c r="E9488" s="819">
        <v>45627</v>
      </c>
      <c r="F9488" s="827" t="s">
        <v>109</v>
      </c>
      <c r="G9488" s="206" t="s">
        <v>6875</v>
      </c>
      <c r="H9488" s="206" t="s">
        <v>147</v>
      </c>
      <c r="I9488" s="206"/>
    </row>
    <row r="9489" spans="1:9" ht="15" hidden="1" customHeight="1">
      <c r="A9489" s="205">
        <v>45639</v>
      </c>
      <c r="B9489" s="208" t="s">
        <v>7462</v>
      </c>
      <c r="C9489" s="818" t="s">
        <v>27</v>
      </c>
      <c r="D9489" s="737">
        <v>-339500</v>
      </c>
      <c r="E9489" s="819">
        <v>45627</v>
      </c>
      <c r="F9489" s="827" t="s">
        <v>109</v>
      </c>
      <c r="G9489" s="206" t="s">
        <v>5906</v>
      </c>
      <c r="H9489" s="206" t="s">
        <v>147</v>
      </c>
      <c r="I9489" s="206"/>
    </row>
    <row r="9490" spans="1:9" ht="15" hidden="1" customHeight="1">
      <c r="A9490" s="205">
        <v>45639</v>
      </c>
      <c r="B9490" s="208" t="s">
        <v>7463</v>
      </c>
      <c r="C9490" s="818" t="s">
        <v>27</v>
      </c>
      <c r="D9490" s="737">
        <v>-679000</v>
      </c>
      <c r="E9490" s="819">
        <v>45627</v>
      </c>
      <c r="F9490" s="206" t="s">
        <v>109</v>
      </c>
      <c r="G9490" s="206" t="s">
        <v>6994</v>
      </c>
      <c r="H9490" s="206" t="s">
        <v>147</v>
      </c>
      <c r="I9490" s="206"/>
    </row>
    <row r="9491" spans="1:9" ht="15" hidden="1" customHeight="1">
      <c r="A9491" s="205">
        <v>45639</v>
      </c>
      <c r="B9491" s="208" t="s">
        <v>7464</v>
      </c>
      <c r="C9491" s="818" t="s">
        <v>27</v>
      </c>
      <c r="D9491" s="737">
        <v>-679000</v>
      </c>
      <c r="E9491" s="819">
        <v>45627</v>
      </c>
      <c r="F9491" s="206" t="s">
        <v>109</v>
      </c>
      <c r="G9491" s="206" t="s">
        <v>6994</v>
      </c>
      <c r="H9491" s="206" t="s">
        <v>147</v>
      </c>
      <c r="I9491" s="206"/>
    </row>
    <row r="9492" spans="1:9" ht="15" hidden="1" customHeight="1">
      <c r="A9492" s="205">
        <v>45639</v>
      </c>
      <c r="B9492" s="208" t="s">
        <v>7465</v>
      </c>
      <c r="C9492" s="818" t="s">
        <v>27</v>
      </c>
      <c r="D9492" s="737">
        <v>-679000</v>
      </c>
      <c r="E9492" s="819">
        <v>45627</v>
      </c>
      <c r="F9492" s="206" t="s">
        <v>109</v>
      </c>
      <c r="G9492" s="206" t="s">
        <v>6994</v>
      </c>
      <c r="H9492" s="206" t="s">
        <v>147</v>
      </c>
      <c r="I9492" s="206"/>
    </row>
    <row r="9493" spans="1:9" ht="15" hidden="1" customHeight="1">
      <c r="A9493" s="205">
        <v>45639</v>
      </c>
      <c r="B9493" s="208" t="s">
        <v>7466</v>
      </c>
      <c r="C9493" s="818" t="s">
        <v>27</v>
      </c>
      <c r="D9493" s="737">
        <v>-679000</v>
      </c>
      <c r="E9493" s="819">
        <v>45627</v>
      </c>
      <c r="F9493" s="206" t="s">
        <v>109</v>
      </c>
      <c r="G9493" s="206" t="s">
        <v>6994</v>
      </c>
      <c r="H9493" s="206" t="s">
        <v>147</v>
      </c>
      <c r="I9493" s="206"/>
    </row>
    <row r="9494" spans="1:9" ht="15" hidden="1" customHeight="1">
      <c r="A9494" s="205">
        <v>45639</v>
      </c>
      <c r="B9494" s="208" t="s">
        <v>7467</v>
      </c>
      <c r="C9494" s="818" t="s">
        <v>27</v>
      </c>
      <c r="D9494" s="737">
        <v>-679000</v>
      </c>
      <c r="E9494" s="819">
        <v>45627</v>
      </c>
      <c r="F9494" s="206" t="s">
        <v>109</v>
      </c>
      <c r="G9494" s="206" t="s">
        <v>6994</v>
      </c>
      <c r="H9494" s="206" t="s">
        <v>147</v>
      </c>
      <c r="I9494" s="206"/>
    </row>
    <row r="9495" spans="1:9" ht="15" hidden="1" customHeight="1">
      <c r="A9495" s="205">
        <v>45639</v>
      </c>
      <c r="B9495" s="208" t="s">
        <v>7468</v>
      </c>
      <c r="C9495" s="818" t="s">
        <v>27</v>
      </c>
      <c r="D9495" s="737">
        <v>-679000</v>
      </c>
      <c r="E9495" s="819">
        <v>45627</v>
      </c>
      <c r="F9495" s="206" t="s">
        <v>109</v>
      </c>
      <c r="G9495" s="206" t="s">
        <v>6994</v>
      </c>
      <c r="H9495" s="206" t="s">
        <v>147</v>
      </c>
      <c r="I9495" s="206"/>
    </row>
    <row r="9496" spans="1:9" ht="15" hidden="1" customHeight="1">
      <c r="A9496" s="205">
        <v>45639</v>
      </c>
      <c r="B9496" s="208" t="s">
        <v>7469</v>
      </c>
      <c r="C9496" s="818" t="s">
        <v>27</v>
      </c>
      <c r="D9496" s="737">
        <v>-679000</v>
      </c>
      <c r="E9496" s="819">
        <v>45627</v>
      </c>
      <c r="F9496" s="206" t="s">
        <v>109</v>
      </c>
      <c r="G9496" s="206" t="s">
        <v>6994</v>
      </c>
      <c r="H9496" s="206" t="s">
        <v>147</v>
      </c>
      <c r="I9496" s="206"/>
    </row>
    <row r="9497" spans="1:9" ht="15" hidden="1" customHeight="1">
      <c r="A9497" s="205">
        <v>45639</v>
      </c>
      <c r="B9497" s="208" t="s">
        <v>7470</v>
      </c>
      <c r="C9497" s="818" t="s">
        <v>27</v>
      </c>
      <c r="D9497" s="737">
        <v>-679000</v>
      </c>
      <c r="E9497" s="819">
        <v>45627</v>
      </c>
      <c r="F9497" s="206" t="s">
        <v>109</v>
      </c>
      <c r="G9497" s="206" t="s">
        <v>6994</v>
      </c>
      <c r="H9497" s="206" t="s">
        <v>147</v>
      </c>
      <c r="I9497" s="206"/>
    </row>
    <row r="9498" spans="1:9" ht="15" hidden="1" customHeight="1">
      <c r="A9498" s="205">
        <v>45639</v>
      </c>
      <c r="B9498" s="208" t="s">
        <v>7471</v>
      </c>
      <c r="C9498" s="818" t="s">
        <v>27</v>
      </c>
      <c r="D9498" s="737">
        <v>-679000</v>
      </c>
      <c r="E9498" s="819">
        <v>45627</v>
      </c>
      <c r="F9498" s="206" t="s">
        <v>109</v>
      </c>
      <c r="G9498" s="206" t="s">
        <v>6994</v>
      </c>
      <c r="H9498" s="206" t="s">
        <v>147</v>
      </c>
      <c r="I9498" s="206"/>
    </row>
    <row r="9499" spans="1:9" ht="15" hidden="1" customHeight="1">
      <c r="A9499" s="205">
        <v>45639</v>
      </c>
      <c r="B9499" s="208" t="s">
        <v>7472</v>
      </c>
      <c r="C9499" s="818" t="s">
        <v>27</v>
      </c>
      <c r="D9499" s="737">
        <v>-673600</v>
      </c>
      <c r="E9499" s="819">
        <v>45627</v>
      </c>
      <c r="F9499" s="206" t="s">
        <v>130</v>
      </c>
      <c r="G9499" s="206" t="s">
        <v>130</v>
      </c>
      <c r="H9499" s="206" t="s">
        <v>182</v>
      </c>
      <c r="I9499" s="206"/>
    </row>
    <row r="9500" spans="1:9" ht="15" hidden="1" customHeight="1">
      <c r="A9500" s="205">
        <v>45639</v>
      </c>
      <c r="B9500" s="208" t="s">
        <v>7473</v>
      </c>
      <c r="C9500" s="818" t="s">
        <v>27</v>
      </c>
      <c r="D9500" s="737">
        <v>-679000</v>
      </c>
      <c r="E9500" s="819">
        <v>45627</v>
      </c>
      <c r="F9500" s="206" t="s">
        <v>109</v>
      </c>
      <c r="G9500" s="206" t="s">
        <v>6994</v>
      </c>
      <c r="H9500" s="206" t="s">
        <v>147</v>
      </c>
      <c r="I9500" s="206"/>
    </row>
    <row r="9501" spans="1:9" ht="15" hidden="1" customHeight="1">
      <c r="A9501" s="205">
        <v>45639</v>
      </c>
      <c r="B9501" s="208" t="s">
        <v>7474</v>
      </c>
      <c r="C9501" s="818" t="s">
        <v>27</v>
      </c>
      <c r="D9501" s="737">
        <v>-679000</v>
      </c>
      <c r="E9501" s="819">
        <v>45627</v>
      </c>
      <c r="F9501" s="206" t="s">
        <v>109</v>
      </c>
      <c r="G9501" s="206" t="s">
        <v>6994</v>
      </c>
      <c r="H9501" s="206" t="s">
        <v>147</v>
      </c>
      <c r="I9501" s="206"/>
    </row>
    <row r="9502" spans="1:9" ht="15" hidden="1" customHeight="1">
      <c r="A9502" s="205">
        <v>45639</v>
      </c>
      <c r="B9502" s="208" t="s">
        <v>7475</v>
      </c>
      <c r="C9502" s="818" t="s">
        <v>27</v>
      </c>
      <c r="D9502" s="737">
        <v>-679000</v>
      </c>
      <c r="E9502" s="819">
        <v>45627</v>
      </c>
      <c r="F9502" s="206" t="s">
        <v>109</v>
      </c>
      <c r="G9502" s="206" t="s">
        <v>6994</v>
      </c>
      <c r="H9502" s="206" t="s">
        <v>147</v>
      </c>
      <c r="I9502" s="206"/>
    </row>
    <row r="9503" spans="1:9" ht="15" hidden="1" customHeight="1">
      <c r="A9503" s="205">
        <v>45639</v>
      </c>
      <c r="B9503" s="208" t="s">
        <v>7476</v>
      </c>
      <c r="C9503" s="818" t="s">
        <v>27</v>
      </c>
      <c r="D9503" s="737">
        <v>-679000</v>
      </c>
      <c r="E9503" s="819">
        <v>45627</v>
      </c>
      <c r="F9503" s="206" t="s">
        <v>109</v>
      </c>
      <c r="G9503" s="206" t="s">
        <v>6994</v>
      </c>
      <c r="H9503" s="206" t="s">
        <v>147</v>
      </c>
      <c r="I9503" s="206"/>
    </row>
    <row r="9504" spans="1:9" ht="15" hidden="1" customHeight="1">
      <c r="A9504" s="205">
        <v>45639</v>
      </c>
      <c r="B9504" s="208" t="s">
        <v>7477</v>
      </c>
      <c r="C9504" s="818" t="s">
        <v>27</v>
      </c>
      <c r="D9504" s="737">
        <v>-679000</v>
      </c>
      <c r="E9504" s="819">
        <v>45627</v>
      </c>
      <c r="F9504" s="206" t="s">
        <v>109</v>
      </c>
      <c r="G9504" s="206" t="s">
        <v>4986</v>
      </c>
      <c r="H9504" s="206" t="s">
        <v>147</v>
      </c>
      <c r="I9504" s="206"/>
    </row>
    <row r="9505" spans="1:9" ht="15" hidden="1" customHeight="1">
      <c r="A9505" s="205">
        <v>45639</v>
      </c>
      <c r="B9505" s="208" t="s">
        <v>7478</v>
      </c>
      <c r="C9505" s="818" t="s">
        <v>27</v>
      </c>
      <c r="D9505" s="737">
        <v>-679000</v>
      </c>
      <c r="E9505" s="819">
        <v>45627</v>
      </c>
      <c r="F9505" s="206" t="s">
        <v>110</v>
      </c>
      <c r="G9505" s="206" t="s">
        <v>5469</v>
      </c>
      <c r="H9505" s="206" t="s">
        <v>147</v>
      </c>
      <c r="I9505" s="206"/>
    </row>
    <row r="9506" spans="1:9" ht="15" hidden="1" customHeight="1">
      <c r="A9506" s="205">
        <v>45639</v>
      </c>
      <c r="B9506" s="208" t="s">
        <v>7479</v>
      </c>
      <c r="C9506" s="818" t="s">
        <v>27</v>
      </c>
      <c r="D9506" s="737">
        <v>-679000</v>
      </c>
      <c r="E9506" s="819">
        <v>45627</v>
      </c>
      <c r="F9506" s="206" t="s">
        <v>109</v>
      </c>
      <c r="G9506" s="206" t="s">
        <v>4986</v>
      </c>
      <c r="H9506" s="206" t="s">
        <v>147</v>
      </c>
      <c r="I9506" s="206"/>
    </row>
    <row r="9507" spans="1:9" ht="15" hidden="1" customHeight="1">
      <c r="A9507" s="205">
        <v>45639</v>
      </c>
      <c r="B9507" s="208" t="s">
        <v>7480</v>
      </c>
      <c r="C9507" s="818" t="s">
        <v>27</v>
      </c>
      <c r="D9507" s="737">
        <v>-679000</v>
      </c>
      <c r="E9507" s="819">
        <v>45627</v>
      </c>
      <c r="F9507" s="206" t="s">
        <v>110</v>
      </c>
      <c r="G9507" s="206" t="s">
        <v>5469</v>
      </c>
      <c r="H9507" s="206" t="s">
        <v>147</v>
      </c>
      <c r="I9507" s="206"/>
    </row>
    <row r="9508" spans="1:9" ht="15" hidden="1" customHeight="1">
      <c r="A9508" s="205">
        <v>45639</v>
      </c>
      <c r="B9508" s="208" t="s">
        <v>7481</v>
      </c>
      <c r="C9508" s="818" t="s">
        <v>27</v>
      </c>
      <c r="D9508" s="737">
        <v>-679000</v>
      </c>
      <c r="E9508" s="819">
        <v>45627</v>
      </c>
      <c r="F9508" s="206" t="s">
        <v>109</v>
      </c>
      <c r="G9508" s="206" t="s">
        <v>4986</v>
      </c>
      <c r="H9508" s="206" t="s">
        <v>147</v>
      </c>
      <c r="I9508" s="206"/>
    </row>
    <row r="9509" spans="1:9" ht="15" hidden="1" customHeight="1">
      <c r="A9509" s="205">
        <v>45639</v>
      </c>
      <c r="B9509" s="208" t="s">
        <v>7482</v>
      </c>
      <c r="C9509" s="818" t="s">
        <v>27</v>
      </c>
      <c r="D9509" s="737">
        <v>-679000</v>
      </c>
      <c r="E9509" s="819">
        <v>45627</v>
      </c>
      <c r="F9509" s="206" t="s">
        <v>109</v>
      </c>
      <c r="G9509" s="206" t="s">
        <v>4986</v>
      </c>
      <c r="H9509" s="206" t="s">
        <v>147</v>
      </c>
      <c r="I9509" s="206"/>
    </row>
    <row r="9510" spans="1:9" ht="15" hidden="1" customHeight="1">
      <c r="A9510" s="205">
        <v>45639</v>
      </c>
      <c r="B9510" s="208" t="s">
        <v>7483</v>
      </c>
      <c r="C9510" s="818" t="s">
        <v>27</v>
      </c>
      <c r="D9510" s="737">
        <v>-951000</v>
      </c>
      <c r="E9510" s="819">
        <v>45627</v>
      </c>
      <c r="F9510" s="206" t="s">
        <v>110</v>
      </c>
      <c r="G9510" s="206" t="s">
        <v>4399</v>
      </c>
      <c r="H9510" s="206" t="s">
        <v>147</v>
      </c>
      <c r="I9510" s="206"/>
    </row>
    <row r="9511" spans="1:9" ht="15" hidden="1" customHeight="1">
      <c r="A9511" s="205">
        <v>45639</v>
      </c>
      <c r="B9511" s="208" t="s">
        <v>7484</v>
      </c>
      <c r="C9511" s="818" t="s">
        <v>27</v>
      </c>
      <c r="D9511" s="737">
        <v>-951000</v>
      </c>
      <c r="E9511" s="819">
        <v>45627</v>
      </c>
      <c r="F9511" s="206" t="s">
        <v>110</v>
      </c>
      <c r="G9511" s="206" t="s">
        <v>4399</v>
      </c>
      <c r="H9511" s="206" t="s">
        <v>147</v>
      </c>
      <c r="I9511" s="206"/>
    </row>
    <row r="9512" spans="1:9" ht="15" hidden="1" customHeight="1">
      <c r="A9512" s="205">
        <v>45639</v>
      </c>
      <c r="B9512" s="208" t="s">
        <v>7485</v>
      </c>
      <c r="C9512" s="818" t="s">
        <v>27</v>
      </c>
      <c r="D9512" s="737">
        <v>-679000</v>
      </c>
      <c r="E9512" s="819">
        <v>45627</v>
      </c>
      <c r="F9512" s="206" t="s">
        <v>109</v>
      </c>
      <c r="G9512" s="206" t="s">
        <v>5990</v>
      </c>
      <c r="H9512" s="206" t="s">
        <v>147</v>
      </c>
      <c r="I9512" s="206"/>
    </row>
    <row r="9513" spans="1:9" ht="15" hidden="1" customHeight="1">
      <c r="A9513" s="205">
        <v>45639</v>
      </c>
      <c r="B9513" s="208" t="s">
        <v>7486</v>
      </c>
      <c r="C9513" s="818" t="s">
        <v>27</v>
      </c>
      <c r="D9513" s="737">
        <v>-679000</v>
      </c>
      <c r="E9513" s="819">
        <v>45627</v>
      </c>
      <c r="F9513" s="206" t="s">
        <v>109</v>
      </c>
      <c r="G9513" s="206" t="s">
        <v>6994</v>
      </c>
      <c r="H9513" s="206" t="s">
        <v>147</v>
      </c>
      <c r="I9513" s="206"/>
    </row>
    <row r="9514" spans="1:9" ht="15" hidden="1" customHeight="1">
      <c r="A9514" s="205">
        <v>45639</v>
      </c>
      <c r="B9514" s="208" t="s">
        <v>7487</v>
      </c>
      <c r="C9514" s="818" t="s">
        <v>27</v>
      </c>
      <c r="D9514" s="737">
        <v>-679000</v>
      </c>
      <c r="E9514" s="819">
        <v>45627</v>
      </c>
      <c r="F9514" s="206" t="s">
        <v>109</v>
      </c>
      <c r="G9514" s="206" t="s">
        <v>5990</v>
      </c>
      <c r="H9514" s="206" t="s">
        <v>147</v>
      </c>
      <c r="I9514" s="206"/>
    </row>
    <row r="9515" spans="1:9" ht="15" hidden="1" customHeight="1">
      <c r="A9515" s="205">
        <v>45639</v>
      </c>
      <c r="B9515" s="208" t="s">
        <v>7488</v>
      </c>
      <c r="C9515" s="818" t="s">
        <v>27</v>
      </c>
      <c r="D9515" s="737">
        <v>-679000</v>
      </c>
      <c r="E9515" s="819">
        <v>45627</v>
      </c>
      <c r="F9515" s="206" t="s">
        <v>109</v>
      </c>
      <c r="G9515" s="206" t="s">
        <v>6994</v>
      </c>
      <c r="H9515" s="206" t="s">
        <v>147</v>
      </c>
      <c r="I9515" s="206"/>
    </row>
    <row r="9516" spans="1:9" ht="15" hidden="1" customHeight="1">
      <c r="A9516" s="205">
        <v>45639</v>
      </c>
      <c r="B9516" s="208" t="s">
        <v>7489</v>
      </c>
      <c r="C9516" s="818" t="s">
        <v>27</v>
      </c>
      <c r="D9516" s="737">
        <v>-679000</v>
      </c>
      <c r="E9516" s="819">
        <v>45627</v>
      </c>
      <c r="F9516" s="206" t="s">
        <v>109</v>
      </c>
      <c r="G9516" s="206" t="s">
        <v>6994</v>
      </c>
      <c r="H9516" s="206" t="s">
        <v>147</v>
      </c>
      <c r="I9516" s="206"/>
    </row>
    <row r="9517" spans="1:9" ht="15" hidden="1" customHeight="1">
      <c r="A9517" s="205">
        <v>45639</v>
      </c>
      <c r="B9517" s="208" t="s">
        <v>7490</v>
      </c>
      <c r="C9517" s="818" t="s">
        <v>27</v>
      </c>
      <c r="D9517" s="737">
        <v>-1528100.0000000002</v>
      </c>
      <c r="E9517" s="819">
        <v>45627</v>
      </c>
      <c r="F9517" s="206" t="s">
        <v>110</v>
      </c>
      <c r="G9517" s="206" t="s">
        <v>4399</v>
      </c>
      <c r="H9517" s="206" t="s">
        <v>147</v>
      </c>
      <c r="I9517" s="206"/>
    </row>
    <row r="9518" spans="1:9" ht="15" hidden="1" customHeight="1">
      <c r="A9518" s="205">
        <v>45639</v>
      </c>
      <c r="B9518" s="208" t="s">
        <v>7491</v>
      </c>
      <c r="C9518" s="818" t="s">
        <v>27</v>
      </c>
      <c r="D9518" s="737">
        <v>-325000</v>
      </c>
      <c r="E9518" s="819">
        <v>45627</v>
      </c>
      <c r="F9518" s="206" t="s">
        <v>109</v>
      </c>
      <c r="G9518" s="206" t="s">
        <v>6994</v>
      </c>
      <c r="H9518" s="206" t="s">
        <v>147</v>
      </c>
      <c r="I9518" s="206"/>
    </row>
    <row r="9519" spans="1:9" ht="15" hidden="1" customHeight="1">
      <c r="A9519" s="205">
        <v>45639</v>
      </c>
      <c r="B9519" s="208" t="s">
        <v>7492</v>
      </c>
      <c r="C9519" s="818" t="s">
        <v>27</v>
      </c>
      <c r="D9519" s="737">
        <v>-679000</v>
      </c>
      <c r="E9519" s="819">
        <v>45627</v>
      </c>
      <c r="F9519" s="206" t="s">
        <v>130</v>
      </c>
      <c r="G9519" s="206" t="s">
        <v>130</v>
      </c>
      <c r="H9519" s="206" t="s">
        <v>182</v>
      </c>
      <c r="I9519" s="206"/>
    </row>
    <row r="9520" spans="1:9" ht="15" hidden="1" customHeight="1">
      <c r="A9520" s="205">
        <v>45639</v>
      </c>
      <c r="B9520" s="208" t="s">
        <v>7493</v>
      </c>
      <c r="C9520" s="818" t="s">
        <v>27</v>
      </c>
      <c r="D9520" s="737">
        <v>-668200</v>
      </c>
      <c r="E9520" s="819">
        <v>45627</v>
      </c>
      <c r="F9520" s="206" t="s">
        <v>130</v>
      </c>
      <c r="G9520" s="206" t="s">
        <v>130</v>
      </c>
      <c r="H9520" s="206" t="s">
        <v>182</v>
      </c>
      <c r="I9520" s="206"/>
    </row>
    <row r="9521" spans="1:9" ht="15" hidden="1" customHeight="1">
      <c r="A9521" s="205">
        <v>45639</v>
      </c>
      <c r="B9521" s="208" t="s">
        <v>7494</v>
      </c>
      <c r="C9521" s="818" t="s">
        <v>27</v>
      </c>
      <c r="D9521" s="737">
        <v>-679000</v>
      </c>
      <c r="E9521" s="819">
        <v>45627</v>
      </c>
      <c r="F9521" s="206" t="s">
        <v>130</v>
      </c>
      <c r="G9521" s="206" t="s">
        <v>130</v>
      </c>
      <c r="H9521" s="206" t="s">
        <v>182</v>
      </c>
      <c r="I9521" s="206"/>
    </row>
    <row r="9522" spans="1:9" ht="15" hidden="1" customHeight="1">
      <c r="A9522" s="205">
        <v>45639</v>
      </c>
      <c r="B9522" s="208" t="s">
        <v>7495</v>
      </c>
      <c r="C9522" s="818" t="s">
        <v>27</v>
      </c>
      <c r="D9522" s="737">
        <v>-725000</v>
      </c>
      <c r="E9522" s="819">
        <v>45627</v>
      </c>
      <c r="F9522" s="206" t="s">
        <v>130</v>
      </c>
      <c r="G9522" s="206" t="s">
        <v>130</v>
      </c>
      <c r="H9522" s="206" t="s">
        <v>182</v>
      </c>
      <c r="I9522" s="206"/>
    </row>
    <row r="9523" spans="1:9" ht="15" hidden="1" customHeight="1">
      <c r="A9523" s="205">
        <v>45639</v>
      </c>
      <c r="B9523" s="208" t="s">
        <v>7496</v>
      </c>
      <c r="C9523" s="206" t="s">
        <v>27</v>
      </c>
      <c r="D9523" s="737">
        <v>-408500</v>
      </c>
      <c r="E9523" s="819">
        <v>45627</v>
      </c>
      <c r="F9523" s="827" t="s">
        <v>109</v>
      </c>
      <c r="G9523" s="206" t="s">
        <v>6875</v>
      </c>
      <c r="H9523" s="206" t="s">
        <v>147</v>
      </c>
      <c r="I9523" s="206"/>
    </row>
    <row r="9524" spans="1:9" ht="15" hidden="1" customHeight="1">
      <c r="A9524" s="205">
        <v>45639</v>
      </c>
      <c r="B9524" s="208" t="s">
        <v>7496</v>
      </c>
      <c r="C9524" s="206" t="s">
        <v>27</v>
      </c>
      <c r="D9524" s="737">
        <v>-408500</v>
      </c>
      <c r="E9524" s="819">
        <v>45627</v>
      </c>
      <c r="F9524" s="827" t="s">
        <v>109</v>
      </c>
      <c r="G9524" s="206" t="s">
        <v>5906</v>
      </c>
      <c r="H9524" s="206" t="s">
        <v>147</v>
      </c>
      <c r="I9524" s="206"/>
    </row>
    <row r="9525" spans="1:9" ht="15" hidden="1" customHeight="1">
      <c r="A9525" s="205">
        <v>45639</v>
      </c>
      <c r="B9525" s="208" t="s">
        <v>7497</v>
      </c>
      <c r="C9525" s="206" t="s">
        <v>27</v>
      </c>
      <c r="D9525" s="737">
        <v>-679000</v>
      </c>
      <c r="E9525" s="819">
        <v>45627</v>
      </c>
      <c r="F9525" s="827" t="s">
        <v>109</v>
      </c>
      <c r="G9525" s="206" t="s">
        <v>4986</v>
      </c>
      <c r="H9525" s="206" t="s">
        <v>147</v>
      </c>
      <c r="I9525" s="206"/>
    </row>
    <row r="9526" spans="1:9" ht="15" hidden="1" customHeight="1">
      <c r="A9526" s="205">
        <v>45639</v>
      </c>
      <c r="B9526" s="208" t="s">
        <v>7498</v>
      </c>
      <c r="C9526" s="206" t="s">
        <v>27</v>
      </c>
      <c r="D9526" s="737">
        <v>-771000</v>
      </c>
      <c r="E9526" s="819">
        <v>45627</v>
      </c>
      <c r="F9526" s="206" t="s">
        <v>109</v>
      </c>
      <c r="G9526" s="206" t="s">
        <v>6994</v>
      </c>
      <c r="H9526" s="206" t="s">
        <v>147</v>
      </c>
      <c r="I9526" s="206"/>
    </row>
    <row r="9527" spans="1:9" ht="15" hidden="1" customHeight="1">
      <c r="A9527" s="205">
        <v>45639</v>
      </c>
      <c r="B9527" s="208" t="s">
        <v>7499</v>
      </c>
      <c r="C9527" s="818" t="s">
        <v>27</v>
      </c>
      <c r="D9527" s="737">
        <v>-440700</v>
      </c>
      <c r="E9527" s="819">
        <v>45627</v>
      </c>
      <c r="F9527" s="206" t="s">
        <v>109</v>
      </c>
      <c r="G9527" s="206" t="s">
        <v>4986</v>
      </c>
      <c r="H9527" s="201" t="s">
        <v>508</v>
      </c>
      <c r="I9527" s="206"/>
    </row>
    <row r="9528" spans="1:9" ht="15" hidden="1" customHeight="1">
      <c r="A9528" s="205">
        <v>45639</v>
      </c>
      <c r="B9528" s="208" t="s">
        <v>7499</v>
      </c>
      <c r="C9528" s="818" t="s">
        <v>27</v>
      </c>
      <c r="D9528" s="737">
        <v>-440700</v>
      </c>
      <c r="E9528" s="819">
        <v>45627</v>
      </c>
      <c r="F9528" s="206" t="s">
        <v>110</v>
      </c>
      <c r="G9528" s="206" t="s">
        <v>5469</v>
      </c>
      <c r="H9528" s="201" t="s">
        <v>508</v>
      </c>
      <c r="I9528" s="206"/>
    </row>
    <row r="9529" spans="1:9" ht="15" hidden="1" customHeight="1">
      <c r="A9529" s="205">
        <v>45639</v>
      </c>
      <c r="B9529" s="208" t="s">
        <v>7500</v>
      </c>
      <c r="C9529" s="818" t="s">
        <v>27</v>
      </c>
      <c r="D9529" s="737">
        <v>-402000</v>
      </c>
      <c r="E9529" s="819">
        <v>45627</v>
      </c>
      <c r="F9529" s="206" t="s">
        <v>109</v>
      </c>
      <c r="G9529" s="206" t="s">
        <v>4986</v>
      </c>
      <c r="H9529" s="201" t="s">
        <v>508</v>
      </c>
      <c r="I9529" s="206"/>
    </row>
    <row r="9530" spans="1:9" ht="15" hidden="1" customHeight="1">
      <c r="A9530" s="205">
        <v>45639</v>
      </c>
      <c r="B9530" s="208" t="s">
        <v>7500</v>
      </c>
      <c r="C9530" s="818" t="s">
        <v>27</v>
      </c>
      <c r="D9530" s="737">
        <v>-402000</v>
      </c>
      <c r="E9530" s="819">
        <v>45627</v>
      </c>
      <c r="F9530" s="206" t="s">
        <v>110</v>
      </c>
      <c r="G9530" s="206" t="s">
        <v>5469</v>
      </c>
      <c r="H9530" s="201" t="s">
        <v>508</v>
      </c>
      <c r="I9530" s="206"/>
    </row>
    <row r="9531" spans="1:9" ht="15" hidden="1" customHeight="1">
      <c r="A9531" s="205">
        <v>45639</v>
      </c>
      <c r="B9531" s="208" t="s">
        <v>7501</v>
      </c>
      <c r="C9531" s="818" t="s">
        <v>27</v>
      </c>
      <c r="D9531" s="737">
        <v>-2000000</v>
      </c>
      <c r="E9531" s="819">
        <v>45627</v>
      </c>
      <c r="F9531" s="206" t="s">
        <v>130</v>
      </c>
      <c r="G9531" s="206" t="s">
        <v>130</v>
      </c>
      <c r="H9531" s="206" t="s">
        <v>182</v>
      </c>
      <c r="I9531" s="206"/>
    </row>
    <row r="9532" spans="1:9" ht="15" hidden="1" customHeight="1">
      <c r="A9532" s="205">
        <v>45639</v>
      </c>
      <c r="B9532" s="208" t="s">
        <v>7502</v>
      </c>
      <c r="C9532" s="818" t="s">
        <v>27</v>
      </c>
      <c r="D9532" s="737">
        <v>-3210000</v>
      </c>
      <c r="E9532" s="819">
        <v>45627</v>
      </c>
      <c r="F9532" s="206" t="s">
        <v>130</v>
      </c>
      <c r="G9532" s="206" t="s">
        <v>130</v>
      </c>
      <c r="H9532" s="206" t="s">
        <v>182</v>
      </c>
      <c r="I9532" s="206"/>
    </row>
    <row r="9533" spans="1:9" ht="15" hidden="1" customHeight="1">
      <c r="A9533" s="205">
        <v>45639</v>
      </c>
      <c r="B9533" s="208" t="s">
        <v>7503</v>
      </c>
      <c r="C9533" s="818" t="s">
        <v>27</v>
      </c>
      <c r="D9533" s="737">
        <v>-1870373.3333333333</v>
      </c>
      <c r="E9533" s="819">
        <v>45627</v>
      </c>
      <c r="F9533" s="206" t="s">
        <v>130</v>
      </c>
      <c r="G9533" s="206" t="s">
        <v>130</v>
      </c>
      <c r="H9533" s="206" t="s">
        <v>182</v>
      </c>
      <c r="I9533" s="206"/>
    </row>
    <row r="9534" spans="1:9" ht="15" hidden="1" customHeight="1">
      <c r="A9534" s="205">
        <v>45639</v>
      </c>
      <c r="B9534" s="208" t="s">
        <v>7504</v>
      </c>
      <c r="C9534" s="818" t="s">
        <v>27</v>
      </c>
      <c r="D9534" s="737">
        <v>-5250000</v>
      </c>
      <c r="E9534" s="819">
        <v>45627</v>
      </c>
      <c r="F9534" s="206" t="s">
        <v>130</v>
      </c>
      <c r="G9534" s="206" t="s">
        <v>130</v>
      </c>
      <c r="H9534" s="206" t="s">
        <v>182</v>
      </c>
      <c r="I9534" s="206"/>
    </row>
    <row r="9535" spans="1:9" ht="15" hidden="1" customHeight="1">
      <c r="A9535" s="205">
        <v>45639</v>
      </c>
      <c r="B9535" s="208" t="s">
        <v>7505</v>
      </c>
      <c r="C9535" s="818" t="s">
        <v>27</v>
      </c>
      <c r="D9535" s="737">
        <v>-5250000</v>
      </c>
      <c r="E9535" s="819">
        <v>45627</v>
      </c>
      <c r="F9535" s="206" t="s">
        <v>130</v>
      </c>
      <c r="G9535" s="206" t="s">
        <v>130</v>
      </c>
      <c r="H9535" s="206" t="s">
        <v>182</v>
      </c>
      <c r="I9535" s="206"/>
    </row>
    <row r="9536" spans="1:9" ht="15" hidden="1" customHeight="1">
      <c r="A9536" s="205">
        <v>45639</v>
      </c>
      <c r="B9536" s="208" t="s">
        <v>7506</v>
      </c>
      <c r="C9536" s="818" t="s">
        <v>27</v>
      </c>
      <c r="D9536" s="737">
        <v>-1333019.9166666667</v>
      </c>
      <c r="E9536" s="819">
        <v>45627</v>
      </c>
      <c r="F9536" s="206" t="s">
        <v>130</v>
      </c>
      <c r="G9536" s="206" t="s">
        <v>130</v>
      </c>
      <c r="H9536" s="206" t="s">
        <v>182</v>
      </c>
      <c r="I9536" s="206"/>
    </row>
    <row r="9537" spans="1:9" ht="15" hidden="1" customHeight="1">
      <c r="A9537" s="205">
        <v>45639</v>
      </c>
      <c r="B9537" s="208" t="s">
        <v>7507</v>
      </c>
      <c r="C9537" s="818" t="s">
        <v>27</v>
      </c>
      <c r="D9537" s="737">
        <v>-1134223.5</v>
      </c>
      <c r="E9537" s="819">
        <v>45627</v>
      </c>
      <c r="F9537" s="206" t="s">
        <v>130</v>
      </c>
      <c r="G9537" s="206" t="s">
        <v>130</v>
      </c>
      <c r="H9537" s="206" t="s">
        <v>182</v>
      </c>
      <c r="I9537" s="206"/>
    </row>
    <row r="9538" spans="1:9" ht="15" hidden="1" customHeight="1">
      <c r="A9538" s="205">
        <v>45639</v>
      </c>
      <c r="B9538" s="208" t="s">
        <v>7508</v>
      </c>
      <c r="C9538" s="818" t="s">
        <v>27</v>
      </c>
      <c r="D9538" s="737">
        <v>-756043.5</v>
      </c>
      <c r="E9538" s="819">
        <v>45627</v>
      </c>
      <c r="F9538" s="206" t="s">
        <v>130</v>
      </c>
      <c r="G9538" s="206" t="s">
        <v>130</v>
      </c>
      <c r="H9538" s="206" t="s">
        <v>182</v>
      </c>
      <c r="I9538" s="206"/>
    </row>
    <row r="9539" spans="1:9" ht="15" hidden="1" customHeight="1">
      <c r="A9539" s="205">
        <v>45639</v>
      </c>
      <c r="B9539" s="208" t="s">
        <v>7509</v>
      </c>
      <c r="C9539" s="818" t="s">
        <v>27</v>
      </c>
      <c r="D9539" s="737">
        <v>-732766.25</v>
      </c>
      <c r="E9539" s="819">
        <v>45627</v>
      </c>
      <c r="F9539" s="206" t="s">
        <v>130</v>
      </c>
      <c r="G9539" s="206" t="s">
        <v>130</v>
      </c>
      <c r="H9539" s="206" t="s">
        <v>182</v>
      </c>
      <c r="I9539" s="206"/>
    </row>
    <row r="9540" spans="1:9" ht="15" hidden="1" customHeight="1">
      <c r="A9540" s="205">
        <v>45639</v>
      </c>
      <c r="B9540" s="208" t="s">
        <v>7510</v>
      </c>
      <c r="C9540" s="818" t="s">
        <v>27</v>
      </c>
      <c r="D9540" s="737">
        <v>-951000</v>
      </c>
      <c r="E9540" s="819">
        <v>45627</v>
      </c>
      <c r="F9540" s="206" t="s">
        <v>130</v>
      </c>
      <c r="G9540" s="206" t="s">
        <v>130</v>
      </c>
      <c r="H9540" s="206" t="s">
        <v>182</v>
      </c>
      <c r="I9540" s="206"/>
    </row>
    <row r="9541" spans="1:9" ht="15" hidden="1" customHeight="1">
      <c r="A9541" s="205">
        <v>45639</v>
      </c>
      <c r="B9541" s="208" t="s">
        <v>7511</v>
      </c>
      <c r="C9541" s="818" t="s">
        <v>27</v>
      </c>
      <c r="D9541" s="737">
        <v>-1040938.4166666666</v>
      </c>
      <c r="E9541" s="819">
        <v>45627</v>
      </c>
      <c r="F9541" s="206" t="s">
        <v>130</v>
      </c>
      <c r="G9541" s="206" t="s">
        <v>130</v>
      </c>
      <c r="H9541" s="206" t="s">
        <v>182</v>
      </c>
      <c r="I9541" s="206"/>
    </row>
    <row r="9542" spans="1:9" ht="15" hidden="1" customHeight="1">
      <c r="A9542" s="205">
        <v>45639</v>
      </c>
      <c r="B9542" s="208" t="s">
        <v>7512</v>
      </c>
      <c r="C9542" s="818" t="s">
        <v>27</v>
      </c>
      <c r="D9542" s="737">
        <v>-734303.41666666663</v>
      </c>
      <c r="E9542" s="819">
        <v>45627</v>
      </c>
      <c r="F9542" s="206" t="s">
        <v>130</v>
      </c>
      <c r="G9542" s="206" t="s">
        <v>130</v>
      </c>
      <c r="H9542" s="206" t="s">
        <v>182</v>
      </c>
      <c r="I9542" s="206"/>
    </row>
    <row r="9543" spans="1:9" ht="15" hidden="1" customHeight="1">
      <c r="A9543" s="205">
        <v>45639</v>
      </c>
      <c r="B9543" s="208" t="s">
        <v>7513</v>
      </c>
      <c r="C9543" s="818" t="s">
        <v>27</v>
      </c>
      <c r="D9543" s="737">
        <v>-1530000</v>
      </c>
      <c r="E9543" s="819">
        <v>45627</v>
      </c>
      <c r="F9543" s="206" t="s">
        <v>130</v>
      </c>
      <c r="G9543" s="206" t="s">
        <v>130</v>
      </c>
      <c r="H9543" s="206" t="s">
        <v>182</v>
      </c>
      <c r="I9543" s="206"/>
    </row>
    <row r="9544" spans="1:9" ht="15" customHeight="1">
      <c r="A9544" s="205">
        <v>45639</v>
      </c>
      <c r="B9544" s="208" t="s">
        <v>7514</v>
      </c>
      <c r="C9544" s="818" t="s">
        <v>27</v>
      </c>
      <c r="D9544" s="737">
        <v>-1667500</v>
      </c>
      <c r="E9544" s="819">
        <v>45627</v>
      </c>
      <c r="F9544" s="206" t="s">
        <v>109</v>
      </c>
      <c r="G9544" s="206" t="s">
        <v>2809</v>
      </c>
      <c r="H9544" s="206" t="s">
        <v>182</v>
      </c>
      <c r="I9544" s="206"/>
    </row>
    <row r="9545" spans="1:9" ht="15" hidden="1" customHeight="1">
      <c r="A9545" s="205">
        <v>45639</v>
      </c>
      <c r="B9545" s="208" t="s">
        <v>7515</v>
      </c>
      <c r="C9545" s="818" t="s">
        <v>27</v>
      </c>
      <c r="D9545" s="737">
        <v>-2200000</v>
      </c>
      <c r="E9545" s="819">
        <v>45627</v>
      </c>
      <c r="F9545" s="206" t="s">
        <v>130</v>
      </c>
      <c r="G9545" s="206" t="s">
        <v>130</v>
      </c>
      <c r="H9545" s="206" t="s">
        <v>182</v>
      </c>
      <c r="I9545" s="206"/>
    </row>
    <row r="9546" spans="1:9" ht="15" hidden="1" customHeight="1">
      <c r="A9546" s="205">
        <v>45639</v>
      </c>
      <c r="B9546" s="208" t="s">
        <v>7516</v>
      </c>
      <c r="C9546" s="818" t="s">
        <v>27</v>
      </c>
      <c r="D9546" s="737">
        <v>-1331000</v>
      </c>
      <c r="E9546" s="819">
        <v>45627</v>
      </c>
      <c r="F9546" s="206" t="s">
        <v>130</v>
      </c>
      <c r="G9546" s="206" t="s">
        <v>130</v>
      </c>
      <c r="H9546" s="206" t="s">
        <v>182</v>
      </c>
      <c r="I9546" s="206"/>
    </row>
    <row r="9547" spans="1:9" ht="15" hidden="1" customHeight="1">
      <c r="A9547" s="205">
        <v>45639</v>
      </c>
      <c r="B9547" s="208" t="s">
        <v>7517</v>
      </c>
      <c r="C9547" s="818" t="s">
        <v>27</v>
      </c>
      <c r="D9547" s="737">
        <v>-4813216.416666667</v>
      </c>
      <c r="E9547" s="819">
        <v>45627</v>
      </c>
      <c r="F9547" s="206" t="s">
        <v>130</v>
      </c>
      <c r="G9547" s="206" t="s">
        <v>130</v>
      </c>
      <c r="H9547" s="206" t="s">
        <v>182</v>
      </c>
      <c r="I9547" s="206"/>
    </row>
    <row r="9548" spans="1:9" ht="15" hidden="1" customHeight="1">
      <c r="A9548" s="205">
        <v>45639</v>
      </c>
      <c r="B9548" s="208" t="s">
        <v>7518</v>
      </c>
      <c r="C9548" s="818" t="s">
        <v>27</v>
      </c>
      <c r="D9548" s="737">
        <v>-856000</v>
      </c>
      <c r="E9548" s="819">
        <v>45627</v>
      </c>
      <c r="F9548" s="206" t="s">
        <v>130</v>
      </c>
      <c r="G9548" s="206" t="s">
        <v>130</v>
      </c>
      <c r="H9548" s="206" t="s">
        <v>182</v>
      </c>
      <c r="I9548" s="206"/>
    </row>
    <row r="9549" spans="1:9" ht="15" hidden="1" customHeight="1">
      <c r="A9549" s="205">
        <v>45639</v>
      </c>
      <c r="B9549" s="208" t="s">
        <v>7519</v>
      </c>
      <c r="C9549" s="818" t="s">
        <v>27</v>
      </c>
      <c r="D9549" s="737">
        <v>-1021172.0833333334</v>
      </c>
      <c r="E9549" s="819">
        <v>45627</v>
      </c>
      <c r="F9549" s="206" t="s">
        <v>130</v>
      </c>
      <c r="G9549" s="206" t="s">
        <v>130</v>
      </c>
      <c r="H9549" s="206" t="s">
        <v>182</v>
      </c>
      <c r="I9549" s="206"/>
    </row>
    <row r="9550" spans="1:9" ht="15" hidden="1" customHeight="1">
      <c r="A9550" s="205">
        <v>45639</v>
      </c>
      <c r="B9550" s="208" t="s">
        <v>7520</v>
      </c>
      <c r="C9550" s="818" t="s">
        <v>27</v>
      </c>
      <c r="D9550" s="737">
        <v>-735276.66666666663</v>
      </c>
      <c r="E9550" s="819">
        <v>45627</v>
      </c>
      <c r="F9550" s="206" t="s">
        <v>130</v>
      </c>
      <c r="G9550" s="206" t="s">
        <v>130</v>
      </c>
      <c r="H9550" s="206" t="s">
        <v>182</v>
      </c>
      <c r="I9550" s="206"/>
    </row>
    <row r="9551" spans="1:9" ht="15" hidden="1" customHeight="1">
      <c r="A9551" s="205">
        <v>45639</v>
      </c>
      <c r="B9551" s="208" t="s">
        <v>7521</v>
      </c>
      <c r="C9551" s="818" t="s">
        <v>27</v>
      </c>
      <c r="D9551" s="737">
        <v>-731588.75</v>
      </c>
      <c r="E9551" s="819">
        <v>45627</v>
      </c>
      <c r="F9551" s="206" t="s">
        <v>130</v>
      </c>
      <c r="G9551" s="206" t="s">
        <v>130</v>
      </c>
      <c r="H9551" s="206" t="s">
        <v>182</v>
      </c>
      <c r="I9551" s="206"/>
    </row>
    <row r="9552" spans="1:9" ht="15" hidden="1" customHeight="1">
      <c r="A9552" s="205">
        <v>45639</v>
      </c>
      <c r="B9552" s="208" t="s">
        <v>7522</v>
      </c>
      <c r="C9552" s="818" t="s">
        <v>27</v>
      </c>
      <c r="D9552" s="737">
        <v>-823844.16666666663</v>
      </c>
      <c r="E9552" s="819">
        <v>45627</v>
      </c>
      <c r="F9552" s="206" t="s">
        <v>130</v>
      </c>
      <c r="G9552" s="206" t="s">
        <v>130</v>
      </c>
      <c r="H9552" s="206" t="s">
        <v>182</v>
      </c>
      <c r="I9552" s="206"/>
    </row>
    <row r="9553" spans="1:9" ht="15" hidden="1" customHeight="1">
      <c r="A9553" s="205">
        <v>45639</v>
      </c>
      <c r="B9553" s="208" t="s">
        <v>7523</v>
      </c>
      <c r="C9553" s="818" t="s">
        <v>27</v>
      </c>
      <c r="D9553" s="737">
        <v>-754057.08333333337</v>
      </c>
      <c r="E9553" s="819">
        <v>45627</v>
      </c>
      <c r="F9553" s="206" t="s">
        <v>130</v>
      </c>
      <c r="G9553" s="206" t="s">
        <v>130</v>
      </c>
      <c r="H9553" s="206" t="s">
        <v>182</v>
      </c>
      <c r="I9553" s="206"/>
    </row>
    <row r="9554" spans="1:9" ht="15" hidden="1" customHeight="1">
      <c r="A9554" s="205">
        <v>45639</v>
      </c>
      <c r="B9554" s="208" t="s">
        <v>7524</v>
      </c>
      <c r="C9554" s="818" t="s">
        <v>27</v>
      </c>
      <c r="D9554" s="737">
        <v>-1369444.4444444445</v>
      </c>
      <c r="E9554" s="819">
        <v>45627</v>
      </c>
      <c r="F9554" s="206" t="s">
        <v>130</v>
      </c>
      <c r="G9554" s="206" t="s">
        <v>130</v>
      </c>
      <c r="H9554" s="206" t="s">
        <v>182</v>
      </c>
      <c r="I9554" s="206"/>
    </row>
    <row r="9555" spans="1:9" ht="15" hidden="1" customHeight="1">
      <c r="A9555" s="205">
        <v>45639</v>
      </c>
      <c r="B9555" s="208" t="s">
        <v>7525</v>
      </c>
      <c r="C9555" s="818" t="s">
        <v>27</v>
      </c>
      <c r="D9555" s="737">
        <v>-1081000</v>
      </c>
      <c r="E9555" s="819">
        <v>45627</v>
      </c>
      <c r="F9555" s="206" t="s">
        <v>130</v>
      </c>
      <c r="G9555" s="206" t="s">
        <v>130</v>
      </c>
      <c r="H9555" s="206" t="s">
        <v>182</v>
      </c>
      <c r="I9555" s="206"/>
    </row>
    <row r="9556" spans="1:9" ht="15" hidden="1" customHeight="1">
      <c r="A9556" s="205">
        <v>45639</v>
      </c>
      <c r="B9556" s="208" t="s">
        <v>7526</v>
      </c>
      <c r="C9556" s="818" t="s">
        <v>27</v>
      </c>
      <c r="D9556" s="737">
        <v>-1121500</v>
      </c>
      <c r="E9556" s="819">
        <v>45627</v>
      </c>
      <c r="F9556" s="206" t="s">
        <v>130</v>
      </c>
      <c r="G9556" s="206" t="s">
        <v>130</v>
      </c>
      <c r="H9556" s="206" t="s">
        <v>182</v>
      </c>
      <c r="I9556" s="206"/>
    </row>
    <row r="9557" spans="1:9" ht="15" hidden="1" customHeight="1">
      <c r="A9557" s="205">
        <v>45639</v>
      </c>
      <c r="B9557" s="208" t="s">
        <v>7527</v>
      </c>
      <c r="C9557" s="818" t="s">
        <v>27</v>
      </c>
      <c r="D9557" s="737">
        <v>-731000</v>
      </c>
      <c r="E9557" s="819">
        <v>45627</v>
      </c>
      <c r="F9557" s="206" t="s">
        <v>130</v>
      </c>
      <c r="G9557" s="206" t="s">
        <v>130</v>
      </c>
      <c r="H9557" s="206" t="s">
        <v>182</v>
      </c>
      <c r="I9557" s="206"/>
    </row>
    <row r="9558" spans="1:9" ht="15" hidden="1" customHeight="1">
      <c r="A9558" s="205">
        <v>45639</v>
      </c>
      <c r="B9558" s="208" t="s">
        <v>7528</v>
      </c>
      <c r="C9558" s="818" t="s">
        <v>27</v>
      </c>
      <c r="D9558" s="737">
        <v>-732177.5</v>
      </c>
      <c r="E9558" s="819">
        <v>45627</v>
      </c>
      <c r="F9558" s="206" t="s">
        <v>130</v>
      </c>
      <c r="G9558" s="206" t="s">
        <v>130</v>
      </c>
      <c r="H9558" s="206" t="s">
        <v>182</v>
      </c>
      <c r="I9558" s="206"/>
    </row>
    <row r="9559" spans="1:9" ht="15" hidden="1" customHeight="1">
      <c r="A9559" s="205">
        <v>45639</v>
      </c>
      <c r="B9559" s="208" t="s">
        <v>7529</v>
      </c>
      <c r="C9559" s="818" t="s">
        <v>27</v>
      </c>
      <c r="D9559" s="737">
        <v>-731588.75</v>
      </c>
      <c r="E9559" s="819">
        <v>45627</v>
      </c>
      <c r="F9559" s="206" t="s">
        <v>130</v>
      </c>
      <c r="G9559" s="206" t="s">
        <v>130</v>
      </c>
      <c r="H9559" s="206" t="s">
        <v>182</v>
      </c>
      <c r="I9559" s="206"/>
    </row>
    <row r="9560" spans="1:9" ht="15" hidden="1" customHeight="1">
      <c r="A9560" s="205">
        <v>45639</v>
      </c>
      <c r="B9560" s="208" t="s">
        <v>7530</v>
      </c>
      <c r="C9560" s="818" t="s">
        <v>27</v>
      </c>
      <c r="D9560" s="737">
        <v>-731588.75</v>
      </c>
      <c r="E9560" s="819">
        <v>45627</v>
      </c>
      <c r="F9560" s="206" t="s">
        <v>130</v>
      </c>
      <c r="G9560" s="206" t="s">
        <v>130</v>
      </c>
      <c r="H9560" s="206" t="s">
        <v>182</v>
      </c>
      <c r="I9560" s="206"/>
    </row>
    <row r="9561" spans="1:9" ht="15" hidden="1" customHeight="1">
      <c r="A9561" s="205">
        <v>45639</v>
      </c>
      <c r="B9561" s="208" t="s">
        <v>7531</v>
      </c>
      <c r="C9561" s="818" t="s">
        <v>27</v>
      </c>
      <c r="D9561" s="737">
        <v>-731000</v>
      </c>
      <c r="E9561" s="819">
        <v>45627</v>
      </c>
      <c r="F9561" s="206" t="s">
        <v>130</v>
      </c>
      <c r="G9561" s="206" t="s">
        <v>130</v>
      </c>
      <c r="H9561" s="206" t="s">
        <v>182</v>
      </c>
      <c r="I9561" s="206"/>
    </row>
    <row r="9562" spans="1:9" ht="15" hidden="1" customHeight="1">
      <c r="A9562" s="205">
        <v>45639</v>
      </c>
      <c r="B9562" s="208" t="s">
        <v>7532</v>
      </c>
      <c r="C9562" s="818" t="s">
        <v>27</v>
      </c>
      <c r="D9562" s="737">
        <v>-731000</v>
      </c>
      <c r="E9562" s="819">
        <v>45627</v>
      </c>
      <c r="F9562" s="206" t="s">
        <v>130</v>
      </c>
      <c r="G9562" s="206" t="s">
        <v>130</v>
      </c>
      <c r="H9562" s="206" t="s">
        <v>182</v>
      </c>
      <c r="I9562" s="206"/>
    </row>
    <row r="9563" spans="1:9" ht="15" hidden="1" customHeight="1">
      <c r="A9563" s="205">
        <v>45639</v>
      </c>
      <c r="B9563" s="208" t="s">
        <v>7533</v>
      </c>
      <c r="C9563" s="818" t="s">
        <v>27</v>
      </c>
      <c r="D9563" s="737">
        <v>-731000</v>
      </c>
      <c r="E9563" s="819">
        <v>45627</v>
      </c>
      <c r="F9563" s="206" t="s">
        <v>130</v>
      </c>
      <c r="G9563" s="206" t="s">
        <v>130</v>
      </c>
      <c r="H9563" s="206" t="s">
        <v>182</v>
      </c>
      <c r="I9563" s="206"/>
    </row>
    <row r="9564" spans="1:9" ht="15" hidden="1" customHeight="1">
      <c r="A9564" s="205">
        <v>45639</v>
      </c>
      <c r="B9564" s="208" t="s">
        <v>7534</v>
      </c>
      <c r="C9564" s="818" t="s">
        <v>27</v>
      </c>
      <c r="D9564" s="737">
        <v>-731000</v>
      </c>
      <c r="E9564" s="819">
        <v>45627</v>
      </c>
      <c r="F9564" s="206" t="s">
        <v>130</v>
      </c>
      <c r="G9564" s="206" t="s">
        <v>130</v>
      </c>
      <c r="H9564" s="206" t="s">
        <v>182</v>
      </c>
      <c r="I9564" s="206"/>
    </row>
    <row r="9565" spans="1:9" ht="15" hidden="1" customHeight="1">
      <c r="A9565" s="205">
        <v>45639</v>
      </c>
      <c r="B9565" s="208" t="s">
        <v>7535</v>
      </c>
      <c r="C9565" s="818" t="s">
        <v>27</v>
      </c>
      <c r="D9565" s="737">
        <v>-731883.16666666663</v>
      </c>
      <c r="E9565" s="819">
        <v>45627</v>
      </c>
      <c r="F9565" s="206" t="s">
        <v>130</v>
      </c>
      <c r="G9565" s="206" t="s">
        <v>130</v>
      </c>
      <c r="H9565" s="206" t="s">
        <v>182</v>
      </c>
      <c r="I9565" s="206"/>
    </row>
    <row r="9566" spans="1:9" ht="15" hidden="1" customHeight="1">
      <c r="A9566" s="205">
        <v>45639</v>
      </c>
      <c r="B9566" s="208" t="s">
        <v>7536</v>
      </c>
      <c r="C9566" s="818" t="s">
        <v>27</v>
      </c>
      <c r="D9566" s="737">
        <v>-734532.58333333337</v>
      </c>
      <c r="E9566" s="819">
        <v>45627</v>
      </c>
      <c r="F9566" s="206" t="s">
        <v>130</v>
      </c>
      <c r="G9566" s="206" t="s">
        <v>130</v>
      </c>
      <c r="H9566" s="206" t="s">
        <v>182</v>
      </c>
      <c r="I9566" s="206"/>
    </row>
    <row r="9567" spans="1:9" ht="15" hidden="1" customHeight="1">
      <c r="A9567" s="205">
        <v>45639</v>
      </c>
      <c r="B9567" s="208" t="s">
        <v>7537</v>
      </c>
      <c r="C9567" s="818" t="s">
        <v>27</v>
      </c>
      <c r="D9567" s="737">
        <v>-731000</v>
      </c>
      <c r="E9567" s="819">
        <v>45627</v>
      </c>
      <c r="F9567" s="206" t="s">
        <v>130</v>
      </c>
      <c r="G9567" s="206" t="s">
        <v>130</v>
      </c>
      <c r="H9567" s="206" t="s">
        <v>182</v>
      </c>
      <c r="I9567" s="206"/>
    </row>
    <row r="9568" spans="1:9" ht="15" hidden="1" customHeight="1">
      <c r="A9568" s="205">
        <v>45639</v>
      </c>
      <c r="B9568" s="208" t="s">
        <v>7538</v>
      </c>
      <c r="C9568" s="818" t="s">
        <v>27</v>
      </c>
      <c r="D9568" s="737">
        <v>-737985</v>
      </c>
      <c r="E9568" s="819">
        <v>45627</v>
      </c>
      <c r="F9568" s="206" t="s">
        <v>130</v>
      </c>
      <c r="G9568" s="206" t="s">
        <v>130</v>
      </c>
      <c r="H9568" s="206" t="s">
        <v>182</v>
      </c>
      <c r="I9568" s="206"/>
    </row>
    <row r="9569" spans="1:9" ht="15" hidden="1" customHeight="1">
      <c r="A9569" s="205">
        <v>45639</v>
      </c>
      <c r="B9569" s="208" t="s">
        <v>7539</v>
      </c>
      <c r="C9569" s="818" t="s">
        <v>27</v>
      </c>
      <c r="D9569" s="737">
        <v>-733943.83333333337</v>
      </c>
      <c r="E9569" s="819">
        <v>45627</v>
      </c>
      <c r="F9569" s="206" t="s">
        <v>130</v>
      </c>
      <c r="G9569" s="206" t="s">
        <v>130</v>
      </c>
      <c r="H9569" s="206" t="s">
        <v>182</v>
      </c>
      <c r="I9569" s="206"/>
    </row>
    <row r="9570" spans="1:9" ht="15" hidden="1" customHeight="1">
      <c r="A9570" s="205">
        <v>45639</v>
      </c>
      <c r="B9570" s="208" t="s">
        <v>7540</v>
      </c>
      <c r="C9570" s="818" t="s">
        <v>27</v>
      </c>
      <c r="D9570" s="737">
        <v>-731000</v>
      </c>
      <c r="E9570" s="819">
        <v>45627</v>
      </c>
      <c r="F9570" s="206" t="s">
        <v>130</v>
      </c>
      <c r="G9570" s="206" t="s">
        <v>130</v>
      </c>
      <c r="H9570" s="206" t="s">
        <v>182</v>
      </c>
      <c r="I9570" s="206"/>
    </row>
    <row r="9571" spans="1:9" ht="15" hidden="1" customHeight="1">
      <c r="A9571" s="205">
        <v>45639</v>
      </c>
      <c r="B9571" s="208" t="s">
        <v>7541</v>
      </c>
      <c r="C9571" s="818" t="s">
        <v>27</v>
      </c>
      <c r="D9571" s="737">
        <v>-1227477.7777777778</v>
      </c>
      <c r="E9571" s="819">
        <v>45627</v>
      </c>
      <c r="F9571" s="206" t="s">
        <v>130</v>
      </c>
      <c r="G9571" s="206" t="s">
        <v>130</v>
      </c>
      <c r="H9571" s="206" t="s">
        <v>182</v>
      </c>
      <c r="I9571" s="206"/>
    </row>
    <row r="9572" spans="1:9" ht="15" hidden="1" customHeight="1">
      <c r="A9572" s="205">
        <v>45639</v>
      </c>
      <c r="B9572" s="208" t="s">
        <v>7542</v>
      </c>
      <c r="C9572" s="818" t="s">
        <v>27</v>
      </c>
      <c r="D9572" s="737">
        <v>-1227477.7777777778</v>
      </c>
      <c r="E9572" s="819">
        <v>45627</v>
      </c>
      <c r="F9572" s="206" t="s">
        <v>130</v>
      </c>
      <c r="G9572" s="206" t="s">
        <v>130</v>
      </c>
      <c r="H9572" s="206" t="s">
        <v>182</v>
      </c>
      <c r="I9572" s="206"/>
    </row>
    <row r="9573" spans="1:9" ht="15" hidden="1" customHeight="1">
      <c r="A9573" s="205">
        <v>45639</v>
      </c>
      <c r="B9573" s="208" t="s">
        <v>7543</v>
      </c>
      <c r="C9573" s="818" t="s">
        <v>27</v>
      </c>
      <c r="D9573" s="737">
        <v>-1494166.6666666667</v>
      </c>
      <c r="E9573" s="819">
        <v>45627</v>
      </c>
      <c r="F9573" s="206" t="s">
        <v>130</v>
      </c>
      <c r="G9573" s="206" t="s">
        <v>130</v>
      </c>
      <c r="H9573" s="206" t="s">
        <v>182</v>
      </c>
      <c r="I9573" s="206"/>
    </row>
    <row r="9574" spans="1:9" ht="15" hidden="1" customHeight="1">
      <c r="A9574" s="205">
        <v>45639</v>
      </c>
      <c r="B9574" s="208" t="s">
        <v>7544</v>
      </c>
      <c r="C9574" s="818" t="s">
        <v>27</v>
      </c>
      <c r="D9574" s="737">
        <v>-1175716.6666666667</v>
      </c>
      <c r="E9574" s="819">
        <v>45627</v>
      </c>
      <c r="F9574" s="206" t="s">
        <v>130</v>
      </c>
      <c r="G9574" s="206" t="s">
        <v>130</v>
      </c>
      <c r="H9574" s="206" t="s">
        <v>182</v>
      </c>
      <c r="I9574" s="206"/>
    </row>
    <row r="9575" spans="1:9" ht="15" hidden="1" customHeight="1">
      <c r="A9575" s="205">
        <v>45639</v>
      </c>
      <c r="B9575" s="208" t="s">
        <v>7545</v>
      </c>
      <c r="C9575" s="818" t="s">
        <v>27</v>
      </c>
      <c r="D9575" s="737">
        <v>-638771.91666666663</v>
      </c>
      <c r="E9575" s="819">
        <v>45627</v>
      </c>
      <c r="F9575" s="206" t="s">
        <v>130</v>
      </c>
      <c r="G9575" s="206" t="s">
        <v>130</v>
      </c>
      <c r="H9575" s="206" t="s">
        <v>182</v>
      </c>
      <c r="I9575" s="206"/>
    </row>
    <row r="9576" spans="1:9" ht="15" hidden="1" customHeight="1">
      <c r="A9576" s="205">
        <v>45639</v>
      </c>
      <c r="B9576" s="208" t="s">
        <v>7546</v>
      </c>
      <c r="C9576" s="818" t="s">
        <v>27</v>
      </c>
      <c r="D9576" s="737">
        <v>-638771.91666666663</v>
      </c>
      <c r="E9576" s="819">
        <v>45627</v>
      </c>
      <c r="F9576" s="206" t="s">
        <v>130</v>
      </c>
      <c r="G9576" s="206" t="s">
        <v>130</v>
      </c>
      <c r="H9576" s="206" t="s">
        <v>182</v>
      </c>
      <c r="I9576" s="206"/>
    </row>
    <row r="9577" spans="1:9" ht="15" hidden="1" customHeight="1">
      <c r="A9577" s="205">
        <v>45639</v>
      </c>
      <c r="B9577" s="208" t="s">
        <v>7547</v>
      </c>
      <c r="C9577" s="818" t="s">
        <v>27</v>
      </c>
      <c r="D9577" s="737">
        <v>-654849.83333333337</v>
      </c>
      <c r="E9577" s="819">
        <v>45627</v>
      </c>
      <c r="F9577" s="206" t="s">
        <v>130</v>
      </c>
      <c r="G9577" s="206" t="s">
        <v>130</v>
      </c>
      <c r="H9577" s="206" t="s">
        <v>182</v>
      </c>
      <c r="I9577" s="206"/>
    </row>
    <row r="9578" spans="1:9" ht="15" hidden="1" customHeight="1">
      <c r="A9578" s="205">
        <v>45639</v>
      </c>
      <c r="B9578" s="208" t="s">
        <v>7548</v>
      </c>
      <c r="C9578" s="818" t="s">
        <v>27</v>
      </c>
      <c r="D9578" s="737">
        <v>-647105.25</v>
      </c>
      <c r="E9578" s="819">
        <v>45627</v>
      </c>
      <c r="F9578" s="206" t="s">
        <v>130</v>
      </c>
      <c r="G9578" s="206" t="s">
        <v>130</v>
      </c>
      <c r="H9578" s="206" t="s">
        <v>182</v>
      </c>
      <c r="I9578" s="206"/>
    </row>
    <row r="9579" spans="1:9" ht="15" hidden="1" customHeight="1">
      <c r="A9579" s="205">
        <v>45639</v>
      </c>
      <c r="B9579" s="208" t="s">
        <v>7549</v>
      </c>
      <c r="C9579" s="818" t="s">
        <v>27</v>
      </c>
      <c r="D9579" s="737">
        <v>-1087500</v>
      </c>
      <c r="E9579" s="819">
        <v>45627</v>
      </c>
      <c r="F9579" s="206" t="s">
        <v>130</v>
      </c>
      <c r="G9579" s="206" t="s">
        <v>130</v>
      </c>
      <c r="H9579" s="206" t="s">
        <v>182</v>
      </c>
      <c r="I9579" s="206"/>
    </row>
    <row r="9580" spans="1:9" ht="15" hidden="1" customHeight="1">
      <c r="A9580" s="205">
        <v>45639</v>
      </c>
      <c r="B9580" s="208" t="s">
        <v>7550</v>
      </c>
      <c r="C9580" s="818" t="s">
        <v>27</v>
      </c>
      <c r="D9580" s="737">
        <v>-1784165.9444444445</v>
      </c>
      <c r="E9580" s="819">
        <v>45627</v>
      </c>
      <c r="F9580" s="206" t="s">
        <v>130</v>
      </c>
      <c r="G9580" s="206" t="s">
        <v>130</v>
      </c>
      <c r="H9580" s="206" t="s">
        <v>182</v>
      </c>
      <c r="I9580" s="206"/>
    </row>
    <row r="9581" spans="1:9" ht="15" hidden="1" customHeight="1">
      <c r="A9581" s="205">
        <v>45639</v>
      </c>
      <c r="B9581" s="208" t="s">
        <v>7551</v>
      </c>
      <c r="C9581" s="818" t="s">
        <v>27</v>
      </c>
      <c r="D9581" s="737">
        <v>-1116074.722222222</v>
      </c>
      <c r="E9581" s="819">
        <v>45627</v>
      </c>
      <c r="F9581" s="206" t="s">
        <v>130</v>
      </c>
      <c r="G9581" s="206" t="s">
        <v>130</v>
      </c>
      <c r="H9581" s="206" t="s">
        <v>182</v>
      </c>
      <c r="I9581" s="206"/>
    </row>
    <row r="9582" spans="1:9" ht="15" hidden="1" customHeight="1">
      <c r="A9582" s="205">
        <v>45639</v>
      </c>
      <c r="B9582" s="208" t="s">
        <v>7552</v>
      </c>
      <c r="C9582" s="818" t="s">
        <v>27</v>
      </c>
      <c r="D9582" s="737">
        <v>-504166.52777777775</v>
      </c>
      <c r="E9582" s="819">
        <v>45627</v>
      </c>
      <c r="F9582" s="206" t="s">
        <v>130</v>
      </c>
      <c r="G9582" s="206" t="s">
        <v>130</v>
      </c>
      <c r="H9582" s="206" t="s">
        <v>182</v>
      </c>
      <c r="I9582" s="206"/>
    </row>
    <row r="9583" spans="1:9" ht="15" hidden="1" customHeight="1">
      <c r="A9583" s="205">
        <v>45639</v>
      </c>
      <c r="B9583" s="208" t="s">
        <v>7553</v>
      </c>
      <c r="C9583" s="818" t="s">
        <v>27</v>
      </c>
      <c r="D9583" s="737">
        <v>-503577.77777777775</v>
      </c>
      <c r="E9583" s="819">
        <v>45627</v>
      </c>
      <c r="F9583" s="206" t="s">
        <v>130</v>
      </c>
      <c r="G9583" s="206" t="s">
        <v>130</v>
      </c>
      <c r="H9583" s="206" t="s">
        <v>182</v>
      </c>
      <c r="I9583" s="206"/>
    </row>
    <row r="9584" spans="1:9" ht="15" hidden="1" customHeight="1">
      <c r="A9584" s="205">
        <v>45639</v>
      </c>
      <c r="B9584" s="208" t="s">
        <v>7554</v>
      </c>
      <c r="C9584" s="818" t="s">
        <v>27</v>
      </c>
      <c r="D9584" s="737">
        <v>-503577.77777777775</v>
      </c>
      <c r="E9584" s="819">
        <v>45627</v>
      </c>
      <c r="F9584" s="206" t="s">
        <v>130</v>
      </c>
      <c r="G9584" s="206" t="s">
        <v>130</v>
      </c>
      <c r="H9584" s="206" t="s">
        <v>182</v>
      </c>
      <c r="I9584" s="206"/>
    </row>
    <row r="9585" spans="1:9" ht="15" hidden="1" customHeight="1">
      <c r="A9585" s="205">
        <v>45639</v>
      </c>
      <c r="B9585" s="208" t="s">
        <v>7555</v>
      </c>
      <c r="C9585" s="818" t="s">
        <v>27</v>
      </c>
      <c r="D9585" s="737">
        <v>-504166.52777777775</v>
      </c>
      <c r="E9585" s="819">
        <v>45627</v>
      </c>
      <c r="F9585" s="206" t="s">
        <v>130</v>
      </c>
      <c r="G9585" s="206" t="s">
        <v>130</v>
      </c>
      <c r="H9585" s="206" t="s">
        <v>182</v>
      </c>
      <c r="I9585" s="206"/>
    </row>
    <row r="9586" spans="1:9" ht="15" hidden="1" customHeight="1">
      <c r="A9586" s="205">
        <v>45639</v>
      </c>
      <c r="B9586" s="208" t="s">
        <v>7556</v>
      </c>
      <c r="C9586" s="818" t="s">
        <v>27</v>
      </c>
      <c r="D9586" s="737">
        <v>-503577.77777777775</v>
      </c>
      <c r="E9586" s="819">
        <v>45627</v>
      </c>
      <c r="F9586" s="206" t="s">
        <v>130</v>
      </c>
      <c r="G9586" s="206" t="s">
        <v>130</v>
      </c>
      <c r="H9586" s="206" t="s">
        <v>182</v>
      </c>
      <c r="I9586" s="206"/>
    </row>
    <row r="9587" spans="1:9" ht="15" hidden="1" customHeight="1">
      <c r="A9587" s="205">
        <v>45639</v>
      </c>
      <c r="B9587" s="208" t="s">
        <v>7557</v>
      </c>
      <c r="C9587" s="818" t="s">
        <v>27</v>
      </c>
      <c r="D9587" s="737">
        <v>-503577.77777777775</v>
      </c>
      <c r="E9587" s="819">
        <v>45627</v>
      </c>
      <c r="F9587" s="206" t="s">
        <v>130</v>
      </c>
      <c r="G9587" s="206" t="s">
        <v>130</v>
      </c>
      <c r="H9587" s="206" t="s">
        <v>182</v>
      </c>
      <c r="I9587" s="206"/>
    </row>
    <row r="9588" spans="1:9" ht="15" hidden="1" customHeight="1">
      <c r="A9588" s="205">
        <v>45639</v>
      </c>
      <c r="B9588" s="208" t="s">
        <v>7558</v>
      </c>
      <c r="C9588" s="818" t="s">
        <v>27</v>
      </c>
      <c r="D9588" s="737">
        <v>-483272.22222222225</v>
      </c>
      <c r="E9588" s="819">
        <v>45627</v>
      </c>
      <c r="F9588" s="206" t="s">
        <v>130</v>
      </c>
      <c r="G9588" s="206" t="s">
        <v>130</v>
      </c>
      <c r="H9588" s="206" t="s">
        <v>182</v>
      </c>
      <c r="I9588" s="206"/>
    </row>
    <row r="9589" spans="1:9" ht="15" hidden="1" customHeight="1">
      <c r="A9589" s="205">
        <v>45639</v>
      </c>
      <c r="B9589" s="208" t="s">
        <v>7559</v>
      </c>
      <c r="C9589" s="818" t="s">
        <v>27</v>
      </c>
      <c r="D9589" s="737">
        <v>-455433.19444444444</v>
      </c>
      <c r="E9589" s="819">
        <v>45627</v>
      </c>
      <c r="F9589" s="206" t="s">
        <v>130</v>
      </c>
      <c r="G9589" s="206" t="s">
        <v>130</v>
      </c>
      <c r="H9589" s="206" t="s">
        <v>182</v>
      </c>
      <c r="I9589" s="206"/>
    </row>
    <row r="9590" spans="1:9" ht="15" hidden="1" customHeight="1">
      <c r="A9590" s="205">
        <v>45639</v>
      </c>
      <c r="B9590" s="208" t="s">
        <v>7560</v>
      </c>
      <c r="C9590" s="818" t="s">
        <v>27</v>
      </c>
      <c r="D9590" s="737">
        <v>-455433.19444444444</v>
      </c>
      <c r="E9590" s="819">
        <v>45627</v>
      </c>
      <c r="F9590" s="206" t="s">
        <v>130</v>
      </c>
      <c r="G9590" s="206" t="s">
        <v>130</v>
      </c>
      <c r="H9590" s="206" t="s">
        <v>182</v>
      </c>
      <c r="I9590" s="206"/>
    </row>
    <row r="9591" spans="1:9" ht="15" hidden="1" customHeight="1">
      <c r="A9591" s="205">
        <v>45639</v>
      </c>
      <c r="B9591" s="208" t="s">
        <v>7561</v>
      </c>
      <c r="C9591" s="818" t="s">
        <v>27</v>
      </c>
      <c r="D9591" s="737">
        <v>-455433.19444444444</v>
      </c>
      <c r="E9591" s="819">
        <v>45627</v>
      </c>
      <c r="F9591" s="206" t="s">
        <v>130</v>
      </c>
      <c r="G9591" s="206" t="s">
        <v>130</v>
      </c>
      <c r="H9591" s="206" t="s">
        <v>182</v>
      </c>
      <c r="I9591" s="206"/>
    </row>
    <row r="9592" spans="1:9" ht="15" hidden="1" customHeight="1">
      <c r="A9592" s="205">
        <v>45639</v>
      </c>
      <c r="B9592" s="208" t="s">
        <v>7562</v>
      </c>
      <c r="C9592" s="818" t="s">
        <v>27</v>
      </c>
      <c r="D9592" s="737">
        <v>-456610.69444444444</v>
      </c>
      <c r="E9592" s="819">
        <v>45627</v>
      </c>
      <c r="F9592" s="206" t="s">
        <v>130</v>
      </c>
      <c r="G9592" s="206" t="s">
        <v>130</v>
      </c>
      <c r="H9592" s="206" t="s">
        <v>182</v>
      </c>
      <c r="I9592" s="206"/>
    </row>
    <row r="9593" spans="1:9" ht="15" hidden="1" customHeight="1">
      <c r="A9593" s="205">
        <v>45639</v>
      </c>
      <c r="B9593" s="208" t="s">
        <v>7563</v>
      </c>
      <c r="C9593" s="818" t="s">
        <v>27</v>
      </c>
      <c r="D9593" s="737">
        <v>-776416.66666666663</v>
      </c>
      <c r="E9593" s="819">
        <v>45627</v>
      </c>
      <c r="F9593" s="206" t="s">
        <v>130</v>
      </c>
      <c r="G9593" s="206" t="s">
        <v>130</v>
      </c>
      <c r="H9593" s="206" t="s">
        <v>182</v>
      </c>
      <c r="I9593" s="206"/>
    </row>
    <row r="9594" spans="1:9" ht="15" hidden="1" customHeight="1">
      <c r="A9594" s="205">
        <v>45639</v>
      </c>
      <c r="B9594" s="208" t="s">
        <v>7564</v>
      </c>
      <c r="C9594" s="818" t="s">
        <v>27</v>
      </c>
      <c r="D9594" s="737">
        <v>-365500</v>
      </c>
      <c r="E9594" s="819">
        <v>45627</v>
      </c>
      <c r="F9594" s="206" t="s">
        <v>130</v>
      </c>
      <c r="G9594" s="206" t="s">
        <v>130</v>
      </c>
      <c r="H9594" s="206" t="s">
        <v>182</v>
      </c>
      <c r="I9594" s="206"/>
    </row>
    <row r="9595" spans="1:9" ht="15" hidden="1" customHeight="1">
      <c r="A9595" s="205">
        <v>45639</v>
      </c>
      <c r="B9595" s="208" t="s">
        <v>7565</v>
      </c>
      <c r="C9595" s="818" t="s">
        <v>27</v>
      </c>
      <c r="D9595" s="737">
        <v>-365500</v>
      </c>
      <c r="E9595" s="819">
        <v>45627</v>
      </c>
      <c r="F9595" s="206" t="s">
        <v>130</v>
      </c>
      <c r="G9595" s="206" t="s">
        <v>130</v>
      </c>
      <c r="H9595" s="206" t="s">
        <v>182</v>
      </c>
      <c r="I9595" s="206"/>
    </row>
    <row r="9596" spans="1:9" ht="15" hidden="1" customHeight="1">
      <c r="A9596" s="205">
        <v>45639</v>
      </c>
      <c r="B9596" s="208" t="s">
        <v>7566</v>
      </c>
      <c r="C9596" s="818" t="s">
        <v>27</v>
      </c>
      <c r="D9596" s="737">
        <v>-365500</v>
      </c>
      <c r="E9596" s="819">
        <v>45627</v>
      </c>
      <c r="F9596" s="206" t="s">
        <v>130</v>
      </c>
      <c r="G9596" s="206" t="s">
        <v>130</v>
      </c>
      <c r="H9596" s="206" t="s">
        <v>182</v>
      </c>
      <c r="I9596" s="206"/>
    </row>
    <row r="9597" spans="1:9" ht="15" hidden="1" customHeight="1">
      <c r="A9597" s="205">
        <v>45639</v>
      </c>
      <c r="B9597" s="208" t="s">
        <v>7567</v>
      </c>
      <c r="C9597" s="818" t="s">
        <v>27</v>
      </c>
      <c r="D9597" s="737">
        <v>-365500</v>
      </c>
      <c r="E9597" s="819">
        <v>45627</v>
      </c>
      <c r="F9597" s="206" t="s">
        <v>130</v>
      </c>
      <c r="G9597" s="206" t="s">
        <v>130</v>
      </c>
      <c r="H9597" s="206" t="s">
        <v>182</v>
      </c>
      <c r="I9597" s="206"/>
    </row>
    <row r="9598" spans="1:9" ht="15" hidden="1" customHeight="1">
      <c r="A9598" s="205">
        <v>45639</v>
      </c>
      <c r="B9598" s="208" t="s">
        <v>7568</v>
      </c>
      <c r="C9598" s="818" t="s">
        <v>27</v>
      </c>
      <c r="D9598" s="737">
        <v>-365500</v>
      </c>
      <c r="E9598" s="819">
        <v>45627</v>
      </c>
      <c r="F9598" s="206" t="s">
        <v>130</v>
      </c>
      <c r="G9598" s="206" t="s">
        <v>130</v>
      </c>
      <c r="H9598" s="206" t="s">
        <v>182</v>
      </c>
      <c r="I9598" s="206"/>
    </row>
    <row r="9599" spans="1:9" ht="15" hidden="1" customHeight="1">
      <c r="A9599" s="205">
        <v>45639</v>
      </c>
      <c r="B9599" s="208" t="s">
        <v>7569</v>
      </c>
      <c r="C9599" s="818" t="s">
        <v>27</v>
      </c>
      <c r="D9599" s="737">
        <v>-365500</v>
      </c>
      <c r="E9599" s="819">
        <v>45627</v>
      </c>
      <c r="F9599" s="206" t="s">
        <v>130</v>
      </c>
      <c r="G9599" s="206" t="s">
        <v>130</v>
      </c>
      <c r="H9599" s="206" t="s">
        <v>182</v>
      </c>
      <c r="I9599" s="206"/>
    </row>
    <row r="9600" spans="1:9" ht="15" hidden="1" customHeight="1">
      <c r="A9600" s="205">
        <v>45639</v>
      </c>
      <c r="B9600" s="208" t="s">
        <v>7570</v>
      </c>
      <c r="C9600" s="818" t="s">
        <v>27</v>
      </c>
      <c r="D9600" s="737">
        <v>-431804.33333333331</v>
      </c>
      <c r="E9600" s="819">
        <v>45627</v>
      </c>
      <c r="F9600" s="206" t="s">
        <v>130</v>
      </c>
      <c r="G9600" s="206" t="s">
        <v>130</v>
      </c>
      <c r="H9600" s="206" t="s">
        <v>182</v>
      </c>
      <c r="I9600" s="206"/>
    </row>
    <row r="9601" spans="1:9" ht="15" hidden="1" customHeight="1">
      <c r="A9601" s="205">
        <v>45639</v>
      </c>
      <c r="B9601" s="208" t="s">
        <v>7571</v>
      </c>
      <c r="C9601" s="818" t="s">
        <v>27</v>
      </c>
      <c r="D9601" s="737">
        <v>-431804.33333333331</v>
      </c>
      <c r="E9601" s="819">
        <v>45627</v>
      </c>
      <c r="F9601" s="206" t="s">
        <v>130</v>
      </c>
      <c r="G9601" s="206" t="s">
        <v>130</v>
      </c>
      <c r="H9601" s="206" t="s">
        <v>182</v>
      </c>
      <c r="I9601" s="206"/>
    </row>
    <row r="9602" spans="1:9" ht="15" hidden="1" customHeight="1">
      <c r="A9602" s="205">
        <v>45639</v>
      </c>
      <c r="B9602" s="208" t="s">
        <v>7572</v>
      </c>
      <c r="C9602" s="818" t="s">
        <v>27</v>
      </c>
      <c r="D9602" s="737">
        <v>-640500</v>
      </c>
      <c r="E9602" s="819">
        <v>45627</v>
      </c>
      <c r="F9602" s="206" t="s">
        <v>130</v>
      </c>
      <c r="G9602" s="206" t="s">
        <v>130</v>
      </c>
      <c r="H9602" s="206" t="s">
        <v>182</v>
      </c>
      <c r="I9602" s="206"/>
    </row>
    <row r="9603" spans="1:9" ht="15" hidden="1" customHeight="1">
      <c r="A9603" s="205">
        <v>45639</v>
      </c>
      <c r="B9603" s="208" t="s">
        <v>7573</v>
      </c>
      <c r="C9603" s="818" t="s">
        <v>27</v>
      </c>
      <c r="D9603" s="737">
        <v>-691369.58333333337</v>
      </c>
      <c r="E9603" s="819">
        <v>45627</v>
      </c>
      <c r="F9603" s="206" t="s">
        <v>130</v>
      </c>
      <c r="G9603" s="206" t="s">
        <v>130</v>
      </c>
      <c r="H9603" s="206" t="s">
        <v>182</v>
      </c>
      <c r="I9603" s="206"/>
    </row>
    <row r="9604" spans="1:9" ht="15" hidden="1" customHeight="1">
      <c r="A9604" s="205">
        <v>45639</v>
      </c>
      <c r="B9604" s="208" t="s">
        <v>7574</v>
      </c>
      <c r="C9604" s="818" t="s">
        <v>27</v>
      </c>
      <c r="D9604" s="737">
        <v>-357377.77777777775</v>
      </c>
      <c r="E9604" s="819">
        <v>45627</v>
      </c>
      <c r="F9604" s="206" t="s">
        <v>130</v>
      </c>
      <c r="G9604" s="206" t="s">
        <v>130</v>
      </c>
      <c r="H9604" s="206" t="s">
        <v>182</v>
      </c>
      <c r="I9604" s="206"/>
    </row>
    <row r="9605" spans="1:9" ht="15" hidden="1" customHeight="1">
      <c r="A9605" s="205">
        <v>45639</v>
      </c>
      <c r="B9605" s="208" t="s">
        <v>7575</v>
      </c>
      <c r="C9605" s="818" t="s">
        <v>27</v>
      </c>
      <c r="D9605" s="737">
        <v>-357377.77777777775</v>
      </c>
      <c r="E9605" s="819">
        <v>45627</v>
      </c>
      <c r="F9605" s="206" t="s">
        <v>130</v>
      </c>
      <c r="G9605" s="206" t="s">
        <v>130</v>
      </c>
      <c r="H9605" s="206" t="s">
        <v>182</v>
      </c>
      <c r="I9605" s="206"/>
    </row>
    <row r="9606" spans="1:9" ht="15" hidden="1" customHeight="1">
      <c r="A9606" s="205">
        <v>45639</v>
      </c>
      <c r="B9606" s="208" t="s">
        <v>7576</v>
      </c>
      <c r="C9606" s="818" t="s">
        <v>27</v>
      </c>
      <c r="D9606" s="737">
        <v>-357377.77777777775</v>
      </c>
      <c r="E9606" s="819">
        <v>45627</v>
      </c>
      <c r="F9606" s="206" t="s">
        <v>130</v>
      </c>
      <c r="G9606" s="206" t="s">
        <v>130</v>
      </c>
      <c r="H9606" s="206" t="s">
        <v>182</v>
      </c>
      <c r="I9606" s="206"/>
    </row>
    <row r="9607" spans="1:9" ht="15" hidden="1" customHeight="1">
      <c r="A9607" s="205">
        <v>45639</v>
      </c>
      <c r="B9607" s="208" t="s">
        <v>7577</v>
      </c>
      <c r="C9607" s="818" t="s">
        <v>27</v>
      </c>
      <c r="D9607" s="737">
        <v>-357377.77777777775</v>
      </c>
      <c r="E9607" s="819">
        <v>45627</v>
      </c>
      <c r="F9607" s="206" t="s">
        <v>130</v>
      </c>
      <c r="G9607" s="206" t="s">
        <v>130</v>
      </c>
      <c r="H9607" s="206" t="s">
        <v>182</v>
      </c>
      <c r="I9607" s="206"/>
    </row>
    <row r="9608" spans="1:9" ht="15" hidden="1" customHeight="1">
      <c r="A9608" s="205">
        <v>45639</v>
      </c>
      <c r="B9608" s="208" t="s">
        <v>7578</v>
      </c>
      <c r="C9608" s="818" t="s">
        <v>27</v>
      </c>
      <c r="D9608" s="737">
        <v>-357377.77777777775</v>
      </c>
      <c r="E9608" s="819">
        <v>45627</v>
      </c>
      <c r="F9608" s="206" t="s">
        <v>130</v>
      </c>
      <c r="G9608" s="206" t="s">
        <v>130</v>
      </c>
      <c r="H9608" s="206" t="s">
        <v>182</v>
      </c>
      <c r="I9608" s="206"/>
    </row>
    <row r="9609" spans="1:9" ht="15" hidden="1" customHeight="1">
      <c r="A9609" s="205">
        <v>45639</v>
      </c>
      <c r="B9609" s="208" t="s">
        <v>7579</v>
      </c>
      <c r="C9609" s="818" t="s">
        <v>27</v>
      </c>
      <c r="D9609" s="737">
        <v>-770000</v>
      </c>
      <c r="E9609" s="819">
        <v>45627</v>
      </c>
      <c r="F9609" s="206" t="s">
        <v>130</v>
      </c>
      <c r="G9609" s="206" t="s">
        <v>130</v>
      </c>
      <c r="H9609" s="206" t="s">
        <v>182</v>
      </c>
      <c r="I9609" s="206"/>
    </row>
    <row r="9610" spans="1:9" ht="15" hidden="1" customHeight="1">
      <c r="A9610" s="205">
        <v>45639</v>
      </c>
      <c r="B9610" s="208" t="s">
        <v>7580</v>
      </c>
      <c r="C9610" s="818" t="s">
        <v>27</v>
      </c>
      <c r="D9610" s="737">
        <v>-324970.34222222224</v>
      </c>
      <c r="E9610" s="819">
        <v>45627</v>
      </c>
      <c r="F9610" s="206" t="s">
        <v>130</v>
      </c>
      <c r="G9610" s="206" t="s">
        <v>130</v>
      </c>
      <c r="H9610" s="206" t="s">
        <v>182</v>
      </c>
      <c r="I9610" s="206"/>
    </row>
    <row r="9611" spans="1:9" ht="15" hidden="1" customHeight="1">
      <c r="A9611" s="205">
        <v>45639</v>
      </c>
      <c r="B9611" s="208" t="s">
        <v>7581</v>
      </c>
      <c r="C9611" s="818" t="s">
        <v>27</v>
      </c>
      <c r="D9611" s="737">
        <v>-381500</v>
      </c>
      <c r="E9611" s="819">
        <v>45627</v>
      </c>
      <c r="F9611" s="206" t="s">
        <v>130</v>
      </c>
      <c r="G9611" s="206" t="s">
        <v>130</v>
      </c>
      <c r="H9611" s="206" t="s">
        <v>182</v>
      </c>
      <c r="I9611" s="206"/>
    </row>
    <row r="9612" spans="1:9" ht="15" hidden="1" customHeight="1">
      <c r="A9612" s="205">
        <v>45639</v>
      </c>
      <c r="B9612" s="208" t="s">
        <v>7582</v>
      </c>
      <c r="C9612" s="818" t="s">
        <v>27</v>
      </c>
      <c r="D9612" s="737">
        <v>-227422.22222222222</v>
      </c>
      <c r="E9612" s="819">
        <v>45627</v>
      </c>
      <c r="F9612" s="206" t="s">
        <v>130</v>
      </c>
      <c r="G9612" s="206" t="s">
        <v>130</v>
      </c>
      <c r="H9612" s="206" t="s">
        <v>182</v>
      </c>
      <c r="I9612" s="206"/>
    </row>
    <row r="9613" spans="1:9" ht="15" hidden="1" customHeight="1">
      <c r="A9613" s="205">
        <v>45639</v>
      </c>
      <c r="B9613" s="208" t="s">
        <v>7583</v>
      </c>
      <c r="C9613" s="818" t="s">
        <v>27</v>
      </c>
      <c r="D9613" s="737">
        <v>-227422.22222222222</v>
      </c>
      <c r="E9613" s="819">
        <v>45627</v>
      </c>
      <c r="F9613" s="206" t="s">
        <v>130</v>
      </c>
      <c r="G9613" s="206" t="s">
        <v>130</v>
      </c>
      <c r="H9613" s="206" t="s">
        <v>182</v>
      </c>
      <c r="I9613" s="206"/>
    </row>
    <row r="9614" spans="1:9" ht="15" hidden="1" customHeight="1">
      <c r="A9614" s="205">
        <v>45639</v>
      </c>
      <c r="B9614" s="208" t="s">
        <v>7584</v>
      </c>
      <c r="C9614" s="818" t="s">
        <v>27</v>
      </c>
      <c r="D9614" s="737">
        <v>-198994.44444444444</v>
      </c>
      <c r="E9614" s="819">
        <v>45627</v>
      </c>
      <c r="F9614" s="206" t="s">
        <v>130</v>
      </c>
      <c r="G9614" s="206" t="s">
        <v>130</v>
      </c>
      <c r="H9614" s="206" t="s">
        <v>182</v>
      </c>
      <c r="I9614" s="206"/>
    </row>
    <row r="9615" spans="1:9" ht="15" hidden="1" customHeight="1">
      <c r="A9615" s="205">
        <v>45639</v>
      </c>
      <c r="B9615" s="208" t="s">
        <v>7585</v>
      </c>
      <c r="C9615" s="818" t="s">
        <v>27</v>
      </c>
      <c r="D9615" s="737">
        <v>-290000</v>
      </c>
      <c r="E9615" s="819">
        <v>45627</v>
      </c>
      <c r="F9615" s="206" t="s">
        <v>130</v>
      </c>
      <c r="G9615" s="206" t="s">
        <v>130</v>
      </c>
      <c r="H9615" s="206" t="s">
        <v>182</v>
      </c>
      <c r="I9615" s="206"/>
    </row>
    <row r="9616" spans="1:9" ht="15" hidden="1" customHeight="1">
      <c r="A9616" s="205">
        <v>45639</v>
      </c>
      <c r="B9616" s="208" t="s">
        <v>7586</v>
      </c>
      <c r="C9616" s="818" t="s">
        <v>27</v>
      </c>
      <c r="D9616" s="737">
        <v>-311111.11111111112</v>
      </c>
      <c r="E9616" s="819">
        <v>45627</v>
      </c>
      <c r="F9616" s="206" t="s">
        <v>130</v>
      </c>
      <c r="G9616" s="206" t="s">
        <v>130</v>
      </c>
      <c r="H9616" s="206" t="s">
        <v>182</v>
      </c>
      <c r="I9616" s="206"/>
    </row>
    <row r="9617" spans="1:9" ht="15" hidden="1" customHeight="1">
      <c r="A9617" s="205">
        <v>45639</v>
      </c>
      <c r="B9617" s="208" t="s">
        <v>7587</v>
      </c>
      <c r="C9617" s="818" t="s">
        <v>27</v>
      </c>
      <c r="D9617" s="737">
        <v>-257777.77777777778</v>
      </c>
      <c r="E9617" s="819">
        <v>45627</v>
      </c>
      <c r="F9617" s="206" t="s">
        <v>130</v>
      </c>
      <c r="G9617" s="206" t="s">
        <v>130</v>
      </c>
      <c r="H9617" s="206" t="s">
        <v>182</v>
      </c>
      <c r="I9617" s="206"/>
    </row>
    <row r="9618" spans="1:9" ht="15" hidden="1" customHeight="1">
      <c r="A9618" s="205">
        <v>45639</v>
      </c>
      <c r="B9618" s="208" t="s">
        <v>7588</v>
      </c>
      <c r="C9618" s="206" t="s">
        <v>27</v>
      </c>
      <c r="D9618" s="737">
        <v>-448500</v>
      </c>
      <c r="E9618" s="819">
        <v>45627</v>
      </c>
      <c r="F9618" s="206" t="s">
        <v>130</v>
      </c>
      <c r="G9618" s="206" t="s">
        <v>130</v>
      </c>
      <c r="H9618" s="206" t="s">
        <v>163</v>
      </c>
      <c r="I9618" s="206"/>
    </row>
    <row r="9619" spans="1:9" ht="15" hidden="1" customHeight="1">
      <c r="A9619" s="205">
        <v>45639</v>
      </c>
      <c r="B9619" s="208" t="s">
        <v>7589</v>
      </c>
      <c r="C9619" s="206" t="s">
        <v>27</v>
      </c>
      <c r="D9619" s="737">
        <v>-174245</v>
      </c>
      <c r="E9619" s="819">
        <v>45627</v>
      </c>
      <c r="F9619" s="206" t="s">
        <v>109</v>
      </c>
      <c r="G9619" s="206" t="s">
        <v>6903</v>
      </c>
      <c r="H9619" s="206" t="s">
        <v>138</v>
      </c>
      <c r="I9619" s="206"/>
    </row>
    <row r="9620" spans="1:9" ht="15" hidden="1" customHeight="1">
      <c r="A9620" s="205">
        <v>45639</v>
      </c>
      <c r="B9620" s="208" t="s">
        <v>7589</v>
      </c>
      <c r="C9620" s="206" t="s">
        <v>27</v>
      </c>
      <c r="D9620" s="737">
        <v>-87122.5</v>
      </c>
      <c r="E9620" s="819">
        <v>45627</v>
      </c>
      <c r="F9620" s="206" t="s">
        <v>110</v>
      </c>
      <c r="G9620" s="206" t="s">
        <v>5503</v>
      </c>
      <c r="H9620" s="206" t="s">
        <v>138</v>
      </c>
      <c r="I9620" s="206"/>
    </row>
    <row r="9621" spans="1:9" ht="15" hidden="1" customHeight="1">
      <c r="A9621" s="205">
        <v>45639</v>
      </c>
      <c r="B9621" s="208" t="s">
        <v>7589</v>
      </c>
      <c r="C9621" s="206" t="s">
        <v>27</v>
      </c>
      <c r="D9621" s="737">
        <v>-87122.5</v>
      </c>
      <c r="E9621" s="819">
        <v>45627</v>
      </c>
      <c r="F9621" s="206" t="s">
        <v>110</v>
      </c>
      <c r="G9621" s="206" t="s">
        <v>4399</v>
      </c>
      <c r="H9621" s="206" t="s">
        <v>138</v>
      </c>
      <c r="I9621" s="206"/>
    </row>
    <row r="9622" spans="1:9" ht="15" hidden="1" customHeight="1">
      <c r="A9622" s="205">
        <v>45639</v>
      </c>
      <c r="B9622" s="208" t="s">
        <v>7590</v>
      </c>
      <c r="C9622" s="206" t="s">
        <v>27</v>
      </c>
      <c r="D9622" s="737">
        <v>-184330</v>
      </c>
      <c r="E9622" s="819">
        <v>45627</v>
      </c>
      <c r="F9622" s="206" t="s">
        <v>109</v>
      </c>
      <c r="G9622" s="206" t="s">
        <v>6903</v>
      </c>
      <c r="H9622" s="206" t="s">
        <v>138</v>
      </c>
      <c r="I9622" s="206"/>
    </row>
    <row r="9623" spans="1:9" ht="15" hidden="1" customHeight="1">
      <c r="A9623" s="205">
        <v>45639</v>
      </c>
      <c r="B9623" s="208" t="s">
        <v>7590</v>
      </c>
      <c r="C9623" s="206" t="s">
        <v>27</v>
      </c>
      <c r="D9623" s="737">
        <v>-92165</v>
      </c>
      <c r="E9623" s="819">
        <v>45627</v>
      </c>
      <c r="F9623" s="206" t="s">
        <v>110</v>
      </c>
      <c r="G9623" s="206" t="s">
        <v>5503</v>
      </c>
      <c r="H9623" s="206" t="s">
        <v>138</v>
      </c>
      <c r="I9623" s="206"/>
    </row>
    <row r="9624" spans="1:9" ht="15" hidden="1" customHeight="1">
      <c r="A9624" s="205">
        <v>45639</v>
      </c>
      <c r="B9624" s="208" t="s">
        <v>7590</v>
      </c>
      <c r="C9624" s="206" t="s">
        <v>27</v>
      </c>
      <c r="D9624" s="737">
        <v>-92165</v>
      </c>
      <c r="E9624" s="819">
        <v>45627</v>
      </c>
      <c r="F9624" s="206" t="s">
        <v>110</v>
      </c>
      <c r="G9624" s="206" t="s">
        <v>4399</v>
      </c>
      <c r="H9624" s="206" t="s">
        <v>138</v>
      </c>
      <c r="I9624" s="206"/>
    </row>
    <row r="9625" spans="1:9" ht="15" hidden="1" customHeight="1">
      <c r="A9625" s="205">
        <v>45639</v>
      </c>
      <c r="B9625" s="208" t="s">
        <v>7591</v>
      </c>
      <c r="C9625" s="206" t="s">
        <v>27</v>
      </c>
      <c r="D9625" s="737">
        <v>-308765</v>
      </c>
      <c r="E9625" s="819">
        <v>45627</v>
      </c>
      <c r="F9625" s="206" t="s">
        <v>109</v>
      </c>
      <c r="G9625" s="206" t="s">
        <v>6903</v>
      </c>
      <c r="H9625" s="206" t="s">
        <v>138</v>
      </c>
      <c r="I9625" s="206"/>
    </row>
    <row r="9626" spans="1:9" ht="15" hidden="1" customHeight="1">
      <c r="A9626" s="205">
        <v>45639</v>
      </c>
      <c r="B9626" s="208" t="s">
        <v>7591</v>
      </c>
      <c r="C9626" s="206" t="s">
        <v>27</v>
      </c>
      <c r="D9626" s="737">
        <v>-154382.5</v>
      </c>
      <c r="E9626" s="819">
        <v>45627</v>
      </c>
      <c r="F9626" s="206" t="s">
        <v>110</v>
      </c>
      <c r="G9626" s="206" t="s">
        <v>5503</v>
      </c>
      <c r="H9626" s="206" t="s">
        <v>138</v>
      </c>
      <c r="I9626" s="206"/>
    </row>
    <row r="9627" spans="1:9" ht="15" hidden="1" customHeight="1">
      <c r="A9627" s="205">
        <v>45639</v>
      </c>
      <c r="B9627" s="208" t="s">
        <v>7591</v>
      </c>
      <c r="C9627" s="206" t="s">
        <v>27</v>
      </c>
      <c r="D9627" s="737">
        <v>-154382.5</v>
      </c>
      <c r="E9627" s="819">
        <v>45627</v>
      </c>
      <c r="F9627" s="206" t="s">
        <v>110</v>
      </c>
      <c r="G9627" s="206" t="s">
        <v>4399</v>
      </c>
      <c r="H9627" s="206" t="s">
        <v>138</v>
      </c>
      <c r="I9627" s="206"/>
    </row>
    <row r="9628" spans="1:9" ht="15" hidden="1" customHeight="1">
      <c r="A9628" s="205">
        <v>45639</v>
      </c>
      <c r="B9628" s="208" t="s">
        <v>7592</v>
      </c>
      <c r="C9628" s="206" t="s">
        <v>27</v>
      </c>
      <c r="D9628" s="737">
        <v>-308865</v>
      </c>
      <c r="E9628" s="819">
        <v>45627</v>
      </c>
      <c r="F9628" s="206" t="s">
        <v>109</v>
      </c>
      <c r="G9628" s="206" t="s">
        <v>6903</v>
      </c>
      <c r="H9628" s="206" t="s">
        <v>138</v>
      </c>
      <c r="I9628" s="206"/>
    </row>
    <row r="9629" spans="1:9" ht="15" hidden="1" customHeight="1">
      <c r="A9629" s="205">
        <v>45639</v>
      </c>
      <c r="B9629" s="208" t="s">
        <v>7592</v>
      </c>
      <c r="C9629" s="206" t="s">
        <v>27</v>
      </c>
      <c r="D9629" s="737">
        <v>-154432.5</v>
      </c>
      <c r="E9629" s="819">
        <v>45627</v>
      </c>
      <c r="F9629" s="206" t="s">
        <v>110</v>
      </c>
      <c r="G9629" s="206" t="s">
        <v>5503</v>
      </c>
      <c r="H9629" s="206" t="s">
        <v>138</v>
      </c>
      <c r="I9629" s="206"/>
    </row>
    <row r="9630" spans="1:9" ht="15" hidden="1" customHeight="1">
      <c r="A9630" s="205">
        <v>45639</v>
      </c>
      <c r="B9630" s="208" t="s">
        <v>7592</v>
      </c>
      <c r="C9630" s="206" t="s">
        <v>27</v>
      </c>
      <c r="D9630" s="737">
        <v>-154432.5</v>
      </c>
      <c r="E9630" s="819">
        <v>45627</v>
      </c>
      <c r="F9630" s="206" t="s">
        <v>110</v>
      </c>
      <c r="G9630" s="206" t="s">
        <v>4399</v>
      </c>
      <c r="H9630" s="206" t="s">
        <v>138</v>
      </c>
      <c r="I9630" s="206"/>
    </row>
    <row r="9631" spans="1:9" ht="15" hidden="1" customHeight="1">
      <c r="A9631" s="205">
        <v>45640</v>
      </c>
      <c r="B9631" s="208" t="s">
        <v>7593</v>
      </c>
      <c r="C9631" s="206" t="s">
        <v>27</v>
      </c>
      <c r="D9631" s="737">
        <v>-30000</v>
      </c>
      <c r="E9631" s="819">
        <v>45627</v>
      </c>
      <c r="F9631" s="206" t="s">
        <v>130</v>
      </c>
      <c r="G9631" s="206" t="s">
        <v>130</v>
      </c>
      <c r="H9631" s="206" t="s">
        <v>1156</v>
      </c>
      <c r="I9631" s="206"/>
    </row>
    <row r="9632" spans="1:9" ht="15" hidden="1" customHeight="1">
      <c r="A9632" s="205">
        <v>45643</v>
      </c>
      <c r="B9632" s="208" t="s">
        <v>7594</v>
      </c>
      <c r="C9632" s="206" t="s">
        <v>27</v>
      </c>
      <c r="D9632" s="737">
        <v>-765500</v>
      </c>
      <c r="E9632" s="819">
        <v>45627</v>
      </c>
      <c r="F9632" s="206" t="s">
        <v>109</v>
      </c>
      <c r="G9632" s="206" t="s">
        <v>5990</v>
      </c>
      <c r="H9632" s="206" t="s">
        <v>6482</v>
      </c>
      <c r="I9632" s="206"/>
    </row>
    <row r="9633" spans="1:9" ht="15" hidden="1" customHeight="1">
      <c r="A9633" s="205">
        <v>45643</v>
      </c>
      <c r="B9633" s="208" t="s">
        <v>7595</v>
      </c>
      <c r="C9633" s="206" t="s">
        <v>27</v>
      </c>
      <c r="D9633" s="737">
        <v>-630671</v>
      </c>
      <c r="E9633" s="819">
        <v>45627</v>
      </c>
      <c r="F9633" s="206" t="s">
        <v>109</v>
      </c>
      <c r="G9633" s="654" t="s">
        <v>5805</v>
      </c>
      <c r="H9633" s="206" t="s">
        <v>585</v>
      </c>
      <c r="I9633" s="206"/>
    </row>
    <row r="9634" spans="1:9" ht="15" hidden="1" customHeight="1">
      <c r="A9634" s="205">
        <v>45643</v>
      </c>
      <c r="B9634" s="208" t="s">
        <v>7596</v>
      </c>
      <c r="C9634" s="206" t="s">
        <v>27</v>
      </c>
      <c r="D9634" s="737">
        <v>-599910</v>
      </c>
      <c r="E9634" s="819">
        <v>45627</v>
      </c>
      <c r="F9634" s="206" t="s">
        <v>130</v>
      </c>
      <c r="G9634" s="206" t="s">
        <v>130</v>
      </c>
      <c r="H9634" s="206" t="s">
        <v>138</v>
      </c>
      <c r="I9634" s="206"/>
    </row>
    <row r="9635" spans="1:9" ht="15" hidden="1" customHeight="1">
      <c r="A9635" s="205">
        <v>45643</v>
      </c>
      <c r="B9635" s="208" t="s">
        <v>7596</v>
      </c>
      <c r="C9635" s="206" t="s">
        <v>27</v>
      </c>
      <c r="D9635" s="737">
        <v>-599910</v>
      </c>
      <c r="E9635" s="819">
        <v>45627</v>
      </c>
      <c r="F9635" s="206" t="s">
        <v>130</v>
      </c>
      <c r="G9635" s="206" t="s">
        <v>130</v>
      </c>
      <c r="H9635" s="206" t="s">
        <v>138</v>
      </c>
      <c r="I9635" s="206"/>
    </row>
    <row r="9636" spans="1:9" ht="15" hidden="1" customHeight="1">
      <c r="A9636" s="205">
        <v>45643</v>
      </c>
      <c r="B9636" s="208" t="s">
        <v>7597</v>
      </c>
      <c r="C9636" s="206" t="s">
        <v>27</v>
      </c>
      <c r="D9636" s="737">
        <v>-273950</v>
      </c>
      <c r="E9636" s="819">
        <v>45627</v>
      </c>
      <c r="F9636" s="206" t="s">
        <v>130</v>
      </c>
      <c r="G9636" s="206" t="s">
        <v>130</v>
      </c>
      <c r="H9636" s="206" t="s">
        <v>138</v>
      </c>
      <c r="I9636" s="206"/>
    </row>
    <row r="9637" spans="1:9" ht="15" hidden="1" customHeight="1">
      <c r="A9637" s="205">
        <v>45643</v>
      </c>
      <c r="B9637" s="208" t="s">
        <v>7598</v>
      </c>
      <c r="C9637" s="206" t="s">
        <v>27</v>
      </c>
      <c r="D9637" s="737">
        <v>-445986</v>
      </c>
      <c r="E9637" s="819">
        <v>45627</v>
      </c>
      <c r="F9637" s="206" t="s">
        <v>110</v>
      </c>
      <c r="G9637" s="206" t="s">
        <v>4399</v>
      </c>
      <c r="H9637" s="206" t="s">
        <v>1463</v>
      </c>
      <c r="I9637" s="206"/>
    </row>
    <row r="9638" spans="1:9" ht="15" hidden="1" customHeight="1">
      <c r="A9638" s="205">
        <v>45643</v>
      </c>
      <c r="B9638" s="208" t="s">
        <v>7599</v>
      </c>
      <c r="C9638" s="206" t="s">
        <v>27</v>
      </c>
      <c r="D9638" s="737">
        <v>-29096030</v>
      </c>
      <c r="E9638" s="819">
        <v>45627</v>
      </c>
      <c r="F9638" s="206" t="s">
        <v>109</v>
      </c>
      <c r="G9638" s="206" t="s">
        <v>5990</v>
      </c>
      <c r="H9638" s="206" t="s">
        <v>6843</v>
      </c>
      <c r="I9638" s="206"/>
    </row>
    <row r="9639" spans="1:9" ht="15" hidden="1" customHeight="1">
      <c r="A9639" s="205">
        <v>45643</v>
      </c>
      <c r="B9639" s="208" t="s">
        <v>7600</v>
      </c>
      <c r="C9639" s="206" t="s">
        <v>27</v>
      </c>
      <c r="D9639" s="737">
        <v>-981750</v>
      </c>
      <c r="E9639" s="819">
        <v>45627</v>
      </c>
      <c r="F9639" s="206" t="s">
        <v>109</v>
      </c>
      <c r="G9639" s="654" t="s">
        <v>5805</v>
      </c>
      <c r="H9639" s="206" t="s">
        <v>212</v>
      </c>
      <c r="I9639" s="206"/>
    </row>
    <row r="9640" spans="1:9" ht="15" hidden="1" customHeight="1">
      <c r="A9640" s="205">
        <v>45643</v>
      </c>
      <c r="B9640" s="208" t="s">
        <v>7600</v>
      </c>
      <c r="C9640" s="206" t="s">
        <v>27</v>
      </c>
      <c r="D9640" s="737">
        <v>-1435663.6</v>
      </c>
      <c r="E9640" s="819">
        <v>45627</v>
      </c>
      <c r="F9640" s="206" t="s">
        <v>109</v>
      </c>
      <c r="G9640" s="654" t="s">
        <v>5805</v>
      </c>
      <c r="H9640" s="206" t="s">
        <v>212</v>
      </c>
      <c r="I9640" s="206"/>
    </row>
    <row r="9641" spans="1:9" ht="15" hidden="1" customHeight="1">
      <c r="A9641" s="205">
        <v>45643</v>
      </c>
      <c r="B9641" s="208" t="s">
        <v>7601</v>
      </c>
      <c r="C9641" s="206" t="s">
        <v>27</v>
      </c>
      <c r="D9641" s="737">
        <v>-300000</v>
      </c>
      <c r="E9641" s="819">
        <v>45627</v>
      </c>
      <c r="F9641" s="206" t="s">
        <v>109</v>
      </c>
      <c r="G9641" s="206" t="s">
        <v>4986</v>
      </c>
      <c r="H9641" s="206" t="s">
        <v>663</v>
      </c>
      <c r="I9641" s="206"/>
    </row>
    <row r="9642" spans="1:9" ht="15" hidden="1" customHeight="1">
      <c r="A9642" s="205">
        <v>45643</v>
      </c>
      <c r="B9642" s="208" t="s">
        <v>7602</v>
      </c>
      <c r="C9642" s="206" t="s">
        <v>27</v>
      </c>
      <c r="D9642" s="737">
        <v>-648304.80000000005</v>
      </c>
      <c r="E9642" s="819">
        <v>45627</v>
      </c>
      <c r="F9642" s="206" t="s">
        <v>109</v>
      </c>
      <c r="G9642" s="206" t="s">
        <v>7603</v>
      </c>
      <c r="H9642" s="206" t="s">
        <v>7604</v>
      </c>
      <c r="I9642" s="206"/>
    </row>
    <row r="9643" spans="1:9" ht="15" hidden="1" customHeight="1">
      <c r="A9643" s="205">
        <v>45643</v>
      </c>
      <c r="B9643" s="208" t="s">
        <v>7605</v>
      </c>
      <c r="C9643" s="206" t="s">
        <v>27</v>
      </c>
      <c r="D9643" s="737">
        <v>-648304.80000000005</v>
      </c>
      <c r="E9643" s="819">
        <v>45627</v>
      </c>
      <c r="F9643" s="206" t="s">
        <v>109</v>
      </c>
      <c r="G9643" s="206" t="s">
        <v>5990</v>
      </c>
      <c r="H9643" s="206" t="s">
        <v>7604</v>
      </c>
      <c r="I9643" s="206"/>
    </row>
    <row r="9644" spans="1:9" ht="15" hidden="1" customHeight="1">
      <c r="A9644" s="205">
        <v>45643</v>
      </c>
      <c r="B9644" s="208" t="s">
        <v>7606</v>
      </c>
      <c r="C9644" s="206" t="s">
        <v>4314</v>
      </c>
      <c r="D9644" s="211">
        <v>-22688</v>
      </c>
      <c r="E9644" s="819">
        <v>45627</v>
      </c>
      <c r="F9644" s="206" t="s">
        <v>109</v>
      </c>
      <c r="G9644" s="206" t="s">
        <v>5990</v>
      </c>
      <c r="H9644" s="206" t="s">
        <v>7604</v>
      </c>
      <c r="I9644" s="206"/>
    </row>
    <row r="9645" spans="1:9" ht="15" hidden="1" customHeight="1">
      <c r="A9645" s="205">
        <v>45643</v>
      </c>
      <c r="B9645" s="208" t="s">
        <v>7607</v>
      </c>
      <c r="C9645" s="206" t="s">
        <v>4314</v>
      </c>
      <c r="D9645" s="211">
        <v>-3400.2</v>
      </c>
      <c r="E9645" s="819">
        <v>45627</v>
      </c>
      <c r="F9645" s="206" t="s">
        <v>109</v>
      </c>
      <c r="G9645" s="206" t="s">
        <v>5990</v>
      </c>
      <c r="H9645" s="206" t="s">
        <v>7604</v>
      </c>
      <c r="I9645" s="206"/>
    </row>
    <row r="9646" spans="1:9" ht="15" hidden="1" customHeight="1">
      <c r="A9646" s="205">
        <v>45643</v>
      </c>
      <c r="B9646" s="208" t="s">
        <v>7608</v>
      </c>
      <c r="C9646" s="206" t="s">
        <v>4314</v>
      </c>
      <c r="D9646" s="211">
        <v>-22688</v>
      </c>
      <c r="E9646" s="819">
        <v>45627</v>
      </c>
      <c r="F9646" s="206" t="s">
        <v>109</v>
      </c>
      <c r="G9646" s="206" t="s">
        <v>6994</v>
      </c>
      <c r="H9646" s="206" t="s">
        <v>7604</v>
      </c>
      <c r="I9646" s="206"/>
    </row>
    <row r="9647" spans="1:9" ht="15" hidden="1" customHeight="1">
      <c r="A9647" s="205">
        <v>45643</v>
      </c>
      <c r="B9647" s="208" t="s">
        <v>7609</v>
      </c>
      <c r="C9647" s="206" t="s">
        <v>4314</v>
      </c>
      <c r="D9647" s="211">
        <v>-3400.2</v>
      </c>
      <c r="E9647" s="819">
        <v>45627</v>
      </c>
      <c r="F9647" s="206" t="s">
        <v>109</v>
      </c>
      <c r="G9647" s="206" t="s">
        <v>7603</v>
      </c>
      <c r="H9647" s="206" t="s">
        <v>7604</v>
      </c>
      <c r="I9647" s="206"/>
    </row>
    <row r="9648" spans="1:9" ht="15" hidden="1" customHeight="1">
      <c r="A9648" s="205">
        <v>45643</v>
      </c>
      <c r="B9648" s="208" t="s">
        <v>7610</v>
      </c>
      <c r="C9648" s="206" t="s">
        <v>27</v>
      </c>
      <c r="D9648" s="737">
        <v>-3673500</v>
      </c>
      <c r="E9648" s="819">
        <v>45627</v>
      </c>
      <c r="F9648" s="206" t="s">
        <v>109</v>
      </c>
      <c r="G9648" s="206" t="s">
        <v>4986</v>
      </c>
      <c r="H9648" s="206" t="s">
        <v>212</v>
      </c>
      <c r="I9648" s="206"/>
    </row>
    <row r="9649" spans="1:9" ht="15" hidden="1" customHeight="1">
      <c r="A9649" s="205">
        <v>45643</v>
      </c>
      <c r="B9649" s="208" t="s">
        <v>7610</v>
      </c>
      <c r="C9649" s="206" t="s">
        <v>27</v>
      </c>
      <c r="D9649" s="737">
        <v>-4261260</v>
      </c>
      <c r="E9649" s="819">
        <v>45627</v>
      </c>
      <c r="F9649" s="206" t="s">
        <v>109</v>
      </c>
      <c r="G9649" s="206" t="s">
        <v>6994</v>
      </c>
      <c r="H9649" s="206" t="s">
        <v>6687</v>
      </c>
      <c r="I9649" s="206"/>
    </row>
    <row r="9650" spans="1:9" ht="15" hidden="1" customHeight="1">
      <c r="A9650" s="205">
        <v>45643</v>
      </c>
      <c r="B9650" s="208" t="s">
        <v>7610</v>
      </c>
      <c r="C9650" s="206" t="s">
        <v>27</v>
      </c>
      <c r="D9650" s="737">
        <v>-7140810</v>
      </c>
      <c r="E9650" s="819">
        <v>45627</v>
      </c>
      <c r="F9650" s="206" t="s">
        <v>109</v>
      </c>
      <c r="G9650" s="206" t="s">
        <v>6954</v>
      </c>
      <c r="H9650" s="206" t="s">
        <v>6687</v>
      </c>
      <c r="I9650" s="206"/>
    </row>
    <row r="9651" spans="1:9" ht="15" hidden="1" customHeight="1">
      <c r="A9651" s="205">
        <v>45643</v>
      </c>
      <c r="B9651" s="208" t="s">
        <v>7610</v>
      </c>
      <c r="C9651" s="206" t="s">
        <v>27</v>
      </c>
      <c r="D9651" s="737">
        <v>-525960</v>
      </c>
      <c r="E9651" s="819">
        <v>45627</v>
      </c>
      <c r="F9651" s="206" t="s">
        <v>109</v>
      </c>
      <c r="G9651" s="206" t="s">
        <v>5990</v>
      </c>
      <c r="H9651" s="206" t="s">
        <v>6687</v>
      </c>
      <c r="I9651" s="206"/>
    </row>
    <row r="9652" spans="1:9" ht="15" hidden="1" customHeight="1">
      <c r="A9652" s="205">
        <v>45643</v>
      </c>
      <c r="B9652" s="208" t="s">
        <v>7611</v>
      </c>
      <c r="C9652" s="206" t="s">
        <v>4314</v>
      </c>
      <c r="D9652" s="211">
        <v>-155000</v>
      </c>
      <c r="E9652" s="819">
        <v>45627</v>
      </c>
      <c r="F9652" s="206" t="s">
        <v>109</v>
      </c>
      <c r="G9652" s="206" t="s">
        <v>4986</v>
      </c>
      <c r="H9652" s="206" t="s">
        <v>212</v>
      </c>
      <c r="I9652" s="206"/>
    </row>
    <row r="9653" spans="1:9" ht="15" hidden="1" customHeight="1">
      <c r="A9653" s="205">
        <v>45643</v>
      </c>
      <c r="B9653" s="208" t="s">
        <v>7612</v>
      </c>
      <c r="C9653" s="206" t="s">
        <v>4314</v>
      </c>
      <c r="D9653" s="211">
        <v>-46500</v>
      </c>
      <c r="E9653" s="819">
        <v>45627</v>
      </c>
      <c r="F9653" s="206" t="s">
        <v>109</v>
      </c>
      <c r="G9653" s="206" t="s">
        <v>6994</v>
      </c>
      <c r="H9653" s="206" t="s">
        <v>6687</v>
      </c>
      <c r="I9653" s="206"/>
    </row>
    <row r="9654" spans="1:9" ht="15" hidden="1" customHeight="1">
      <c r="A9654" s="205">
        <v>45643</v>
      </c>
      <c r="B9654" s="208" t="s">
        <v>7611</v>
      </c>
      <c r="C9654" s="206" t="s">
        <v>4314</v>
      </c>
      <c r="D9654" s="211">
        <v>-179800</v>
      </c>
      <c r="E9654" s="819">
        <v>45627</v>
      </c>
      <c r="F9654" s="206" t="s">
        <v>109</v>
      </c>
      <c r="G9654" s="206" t="s">
        <v>6954</v>
      </c>
      <c r="H9654" s="206" t="s">
        <v>6687</v>
      </c>
      <c r="I9654" s="206"/>
    </row>
    <row r="9655" spans="1:9" ht="15" hidden="1" customHeight="1">
      <c r="A9655" s="205">
        <v>45643</v>
      </c>
      <c r="B9655" s="208" t="s">
        <v>7612</v>
      </c>
      <c r="C9655" s="206" t="s">
        <v>4314</v>
      </c>
      <c r="D9655" s="211">
        <v>-56940</v>
      </c>
      <c r="E9655" s="819">
        <v>45627</v>
      </c>
      <c r="F9655" s="206" t="s">
        <v>109</v>
      </c>
      <c r="G9655" s="206" t="s">
        <v>5990</v>
      </c>
      <c r="H9655" s="206" t="s">
        <v>6687</v>
      </c>
      <c r="I9655" s="206"/>
    </row>
    <row r="9656" spans="1:9" ht="15" hidden="1" customHeight="1">
      <c r="A9656" s="205">
        <v>45643</v>
      </c>
      <c r="B9656" s="208" t="s">
        <v>7611</v>
      </c>
      <c r="C9656" s="206" t="s">
        <v>4314</v>
      </c>
      <c r="D9656" s="211">
        <v>-301300</v>
      </c>
      <c r="E9656" s="819">
        <v>45627</v>
      </c>
      <c r="F9656" s="206" t="s">
        <v>109</v>
      </c>
      <c r="G9656" s="206" t="s">
        <v>4986</v>
      </c>
      <c r="H9656" s="206" t="s">
        <v>212</v>
      </c>
      <c r="I9656" s="206"/>
    </row>
    <row r="9657" spans="1:9" ht="15" hidden="1" customHeight="1">
      <c r="A9657" s="205">
        <v>45643</v>
      </c>
      <c r="B9657" s="208" t="s">
        <v>7612</v>
      </c>
      <c r="C9657" s="206" t="s">
        <v>4314</v>
      </c>
      <c r="D9657" s="211">
        <v>-90390</v>
      </c>
      <c r="E9657" s="819">
        <v>45627</v>
      </c>
      <c r="F9657" s="206" t="s">
        <v>109</v>
      </c>
      <c r="G9657" s="206" t="s">
        <v>6994</v>
      </c>
      <c r="H9657" s="206" t="s">
        <v>6687</v>
      </c>
      <c r="I9657" s="206"/>
    </row>
    <row r="9658" spans="1:9" ht="15" hidden="1" customHeight="1">
      <c r="A9658" s="205">
        <v>45643</v>
      </c>
      <c r="B9658" s="208" t="s">
        <v>7611</v>
      </c>
      <c r="C9658" s="206" t="s">
        <v>4314</v>
      </c>
      <c r="D9658" s="211">
        <v>-10800</v>
      </c>
      <c r="E9658" s="819">
        <v>45627</v>
      </c>
      <c r="F9658" s="206" t="s">
        <v>109</v>
      </c>
      <c r="G9658" s="206" t="s">
        <v>6954</v>
      </c>
      <c r="H9658" s="206" t="s">
        <v>6687</v>
      </c>
      <c r="I9658" s="206"/>
    </row>
    <row r="9659" spans="1:9" ht="15" hidden="1" customHeight="1">
      <c r="A9659" s="205">
        <v>45643</v>
      </c>
      <c r="B9659" s="208" t="s">
        <v>7612</v>
      </c>
      <c r="C9659" s="206" t="s">
        <v>4314</v>
      </c>
      <c r="D9659" s="211">
        <v>-3240</v>
      </c>
      <c r="E9659" s="819">
        <v>45627</v>
      </c>
      <c r="F9659" s="206" t="s">
        <v>109</v>
      </c>
      <c r="G9659" s="206" t="s">
        <v>5990</v>
      </c>
      <c r="H9659" s="206" t="s">
        <v>6687</v>
      </c>
      <c r="I9659" s="206"/>
    </row>
    <row r="9660" spans="1:9" ht="15" hidden="1" customHeight="1">
      <c r="A9660" s="205">
        <v>45644</v>
      </c>
      <c r="B9660" s="208" t="s">
        <v>7613</v>
      </c>
      <c r="C9660" s="206" t="s">
        <v>27</v>
      </c>
      <c r="D9660" s="737">
        <v>-269861</v>
      </c>
      <c r="E9660" s="819">
        <v>45627</v>
      </c>
      <c r="F9660" s="206" t="s">
        <v>110</v>
      </c>
      <c r="G9660" s="206" t="s">
        <v>5469</v>
      </c>
      <c r="H9660" s="206" t="s">
        <v>2941</v>
      </c>
      <c r="I9660" s="206"/>
    </row>
    <row r="9661" spans="1:9" ht="15" hidden="1" customHeight="1">
      <c r="A9661" s="205">
        <v>45644</v>
      </c>
      <c r="B9661" s="208" t="s">
        <v>7614</v>
      </c>
      <c r="C9661" s="206" t="s">
        <v>27</v>
      </c>
      <c r="D9661" s="737">
        <v>-256835</v>
      </c>
      <c r="E9661" s="819">
        <v>45627</v>
      </c>
      <c r="F9661" s="206" t="s">
        <v>109</v>
      </c>
      <c r="G9661" s="206" t="s">
        <v>4986</v>
      </c>
      <c r="H9661" s="206" t="s">
        <v>2941</v>
      </c>
      <c r="I9661" s="206"/>
    </row>
    <row r="9662" spans="1:9" ht="15" hidden="1" customHeight="1">
      <c r="A9662" s="205">
        <v>45644</v>
      </c>
      <c r="B9662" s="208" t="s">
        <v>7614</v>
      </c>
      <c r="C9662" s="206" t="s">
        <v>27</v>
      </c>
      <c r="D9662" s="737">
        <v>-401627</v>
      </c>
      <c r="E9662" s="819">
        <v>45627</v>
      </c>
      <c r="F9662" s="206" t="s">
        <v>109</v>
      </c>
      <c r="G9662" s="206" t="s">
        <v>6875</v>
      </c>
      <c r="H9662" s="206" t="s">
        <v>2941</v>
      </c>
      <c r="I9662" s="206"/>
    </row>
    <row r="9663" spans="1:9" ht="15" hidden="1" customHeight="1">
      <c r="A9663" s="205">
        <v>45644</v>
      </c>
      <c r="B9663" s="208" t="s">
        <v>7615</v>
      </c>
      <c r="C9663" s="206" t="s">
        <v>4314</v>
      </c>
      <c r="D9663" s="211">
        <v>-1138.6600000000001</v>
      </c>
      <c r="E9663" s="819">
        <v>45627</v>
      </c>
      <c r="F9663" s="206" t="s">
        <v>110</v>
      </c>
      <c r="G9663" s="206" t="s">
        <v>5469</v>
      </c>
      <c r="H9663" s="206" t="s">
        <v>2941</v>
      </c>
      <c r="I9663" s="206"/>
    </row>
    <row r="9664" spans="1:9" ht="15" hidden="1" customHeight="1">
      <c r="A9664" s="205">
        <v>45644</v>
      </c>
      <c r="B9664" s="208" t="s">
        <v>7616</v>
      </c>
      <c r="C9664" s="206" t="s">
        <v>4314</v>
      </c>
      <c r="D9664" s="211">
        <v>-1798.49</v>
      </c>
      <c r="E9664" s="819">
        <v>45627</v>
      </c>
      <c r="F9664" s="206" t="s">
        <v>109</v>
      </c>
      <c r="G9664" s="206" t="s">
        <v>4986</v>
      </c>
      <c r="H9664" s="206" t="s">
        <v>2941</v>
      </c>
      <c r="I9664" s="206"/>
    </row>
    <row r="9665" spans="1:9" ht="15" hidden="1" customHeight="1">
      <c r="A9665" s="205">
        <v>45644</v>
      </c>
      <c r="B9665" s="208" t="s">
        <v>7616</v>
      </c>
      <c r="C9665" s="206" t="s">
        <v>4314</v>
      </c>
      <c r="D9665" s="211">
        <v>-979.83</v>
      </c>
      <c r="E9665" s="819">
        <v>45627</v>
      </c>
      <c r="F9665" s="206" t="s">
        <v>109</v>
      </c>
      <c r="G9665" s="206" t="s">
        <v>6875</v>
      </c>
      <c r="H9665" s="206" t="s">
        <v>2941</v>
      </c>
      <c r="I9665" s="206"/>
    </row>
    <row r="9666" spans="1:9" ht="15" hidden="1" customHeight="1">
      <c r="A9666" s="205">
        <v>45644</v>
      </c>
      <c r="B9666" s="208" t="s">
        <v>7617</v>
      </c>
      <c r="C9666" s="206" t="s">
        <v>27</v>
      </c>
      <c r="D9666" s="737">
        <v>-305800.25</v>
      </c>
      <c r="E9666" s="819">
        <v>45627</v>
      </c>
      <c r="F9666" s="206" t="s">
        <v>110</v>
      </c>
      <c r="G9666" s="206" t="s">
        <v>5469</v>
      </c>
      <c r="H9666" s="206" t="s">
        <v>2941</v>
      </c>
      <c r="I9666" s="206"/>
    </row>
    <row r="9667" spans="1:9" ht="15" hidden="1" customHeight="1">
      <c r="A9667" s="205">
        <v>45644</v>
      </c>
      <c r="B9667" s="208" t="s">
        <v>7617</v>
      </c>
      <c r="C9667" s="206" t="s">
        <v>27</v>
      </c>
      <c r="D9667" s="737">
        <v>-239071</v>
      </c>
      <c r="E9667" s="819">
        <v>45627</v>
      </c>
      <c r="F9667" s="206" t="s">
        <v>109</v>
      </c>
      <c r="G9667" s="206" t="s">
        <v>5990</v>
      </c>
      <c r="H9667" s="206" t="s">
        <v>6482</v>
      </c>
      <c r="I9667" s="206"/>
    </row>
    <row r="9668" spans="1:9" ht="15" hidden="1" customHeight="1">
      <c r="A9668" s="205">
        <v>45644</v>
      </c>
      <c r="B9668" s="208" t="s">
        <v>7618</v>
      </c>
      <c r="C9668" s="206" t="s">
        <v>27</v>
      </c>
      <c r="D9668" s="737">
        <v>-4213350.2699999996</v>
      </c>
      <c r="E9668" s="819">
        <v>45627</v>
      </c>
      <c r="F9668" s="206" t="s">
        <v>109</v>
      </c>
      <c r="G9668" s="206" t="s">
        <v>6994</v>
      </c>
      <c r="H9668" s="206" t="s">
        <v>6973</v>
      </c>
      <c r="I9668" s="206"/>
    </row>
    <row r="9669" spans="1:9" ht="15" hidden="1" customHeight="1">
      <c r="A9669" s="205">
        <v>45644</v>
      </c>
      <c r="B9669" s="208" t="s">
        <v>7619</v>
      </c>
      <c r="C9669" s="206" t="s">
        <v>4314</v>
      </c>
      <c r="D9669" s="211">
        <v>-10648.74</v>
      </c>
      <c r="E9669" s="819">
        <v>45627</v>
      </c>
      <c r="F9669" s="206" t="s">
        <v>109</v>
      </c>
      <c r="G9669" s="206" t="s">
        <v>6994</v>
      </c>
      <c r="H9669" s="206" t="s">
        <v>6973</v>
      </c>
      <c r="I9669" s="206"/>
    </row>
    <row r="9670" spans="1:9" ht="15" hidden="1" customHeight="1">
      <c r="A9670" s="205">
        <v>45644</v>
      </c>
      <c r="B9670" s="208" t="s">
        <v>7620</v>
      </c>
      <c r="C9670" s="206" t="s">
        <v>27</v>
      </c>
      <c r="D9670" s="737">
        <v>-8100000</v>
      </c>
      <c r="E9670" s="819">
        <v>45627</v>
      </c>
      <c r="F9670" s="206" t="s">
        <v>130</v>
      </c>
      <c r="G9670" s="206" t="s">
        <v>130</v>
      </c>
      <c r="H9670" s="206" t="s">
        <v>360</v>
      </c>
      <c r="I9670" s="206"/>
    </row>
    <row r="9671" spans="1:9" ht="15" hidden="1" customHeight="1">
      <c r="A9671" s="205">
        <v>45644</v>
      </c>
      <c r="B9671" s="208" t="s">
        <v>7621</v>
      </c>
      <c r="C9671" s="206" t="s">
        <v>4314</v>
      </c>
      <c r="D9671" s="211">
        <v>-825000</v>
      </c>
      <c r="E9671" s="819">
        <v>45627</v>
      </c>
      <c r="F9671" s="206" t="s">
        <v>130</v>
      </c>
      <c r="G9671" s="206" t="s">
        <v>130</v>
      </c>
      <c r="H9671" s="206" t="s">
        <v>360</v>
      </c>
      <c r="I9671" s="206"/>
    </row>
    <row r="9672" spans="1:9" ht="15" hidden="1" customHeight="1">
      <c r="A9672" s="205">
        <v>45644</v>
      </c>
      <c r="B9672" s="208" t="s">
        <v>7622</v>
      </c>
      <c r="C9672" s="206" t="s">
        <v>27</v>
      </c>
      <c r="D9672" s="737">
        <v>-1695673.5425</v>
      </c>
      <c r="E9672" s="819">
        <v>45627</v>
      </c>
      <c r="F9672" s="206" t="s">
        <v>109</v>
      </c>
      <c r="G9672" s="206" t="s">
        <v>6994</v>
      </c>
      <c r="H9672" s="206" t="s">
        <v>6973</v>
      </c>
      <c r="I9672" s="206"/>
    </row>
    <row r="9673" spans="1:9" ht="15" hidden="1" customHeight="1">
      <c r="A9673" s="205">
        <v>45644</v>
      </c>
      <c r="B9673" s="208" t="s">
        <v>7622</v>
      </c>
      <c r="C9673" s="206" t="s">
        <v>27</v>
      </c>
      <c r="D9673" s="737">
        <v>-1695673.5425</v>
      </c>
      <c r="E9673" s="819">
        <v>45627</v>
      </c>
      <c r="F9673" s="206" t="s">
        <v>109</v>
      </c>
      <c r="G9673" s="206" t="s">
        <v>6954</v>
      </c>
      <c r="H9673" s="206" t="s">
        <v>6973</v>
      </c>
      <c r="I9673" s="206"/>
    </row>
    <row r="9674" spans="1:9" ht="15" hidden="1" customHeight="1">
      <c r="A9674" s="205">
        <v>45644</v>
      </c>
      <c r="B9674" s="208" t="s">
        <v>7622</v>
      </c>
      <c r="C9674" s="206" t="s">
        <v>27</v>
      </c>
      <c r="D9674" s="737">
        <v>-1695673.5425</v>
      </c>
      <c r="E9674" s="819">
        <v>45627</v>
      </c>
      <c r="F9674" s="206" t="s">
        <v>109</v>
      </c>
      <c r="G9674" s="206" t="s">
        <v>5990</v>
      </c>
      <c r="H9674" s="206" t="s">
        <v>6973</v>
      </c>
      <c r="I9674" s="206"/>
    </row>
    <row r="9675" spans="1:9" ht="15" hidden="1" customHeight="1">
      <c r="A9675" s="205">
        <v>45644</v>
      </c>
      <c r="B9675" s="208" t="s">
        <v>7622</v>
      </c>
      <c r="C9675" s="206" t="s">
        <v>27</v>
      </c>
      <c r="D9675" s="737">
        <v>-1695673.5425</v>
      </c>
      <c r="E9675" s="819">
        <v>45627</v>
      </c>
      <c r="F9675" s="206" t="s">
        <v>109</v>
      </c>
      <c r="G9675" s="206" t="s">
        <v>6974</v>
      </c>
      <c r="H9675" s="206" t="s">
        <v>6973</v>
      </c>
      <c r="I9675" s="206"/>
    </row>
    <row r="9676" spans="1:9" ht="15" hidden="1" customHeight="1">
      <c r="A9676" s="205">
        <v>45597</v>
      </c>
      <c r="B9676" s="208" t="s">
        <v>4942</v>
      </c>
      <c r="C9676" s="206" t="s">
        <v>27</v>
      </c>
      <c r="D9676" s="737">
        <v>-36871</v>
      </c>
      <c r="E9676" s="819">
        <v>45627</v>
      </c>
      <c r="F9676" s="206" t="s">
        <v>130</v>
      </c>
      <c r="G9676" s="208" t="s">
        <v>257</v>
      </c>
      <c r="H9676" s="262" t="s">
        <v>1138</v>
      </c>
      <c r="I9676" s="206" t="s">
        <v>7623</v>
      </c>
    </row>
    <row r="9677" spans="1:9" ht="15" hidden="1" customHeight="1">
      <c r="A9677" s="205">
        <v>45621</v>
      </c>
      <c r="B9677" s="208" t="s">
        <v>4942</v>
      </c>
      <c r="C9677" s="206" t="s">
        <v>27</v>
      </c>
      <c r="D9677" s="737">
        <v>-29541</v>
      </c>
      <c r="E9677" s="819">
        <v>45627</v>
      </c>
      <c r="F9677" s="206" t="s">
        <v>130</v>
      </c>
      <c r="G9677" s="208" t="s">
        <v>257</v>
      </c>
      <c r="H9677" s="262" t="s">
        <v>1138</v>
      </c>
      <c r="I9677" s="206" t="s">
        <v>7623</v>
      </c>
    </row>
    <row r="9678" spans="1:9" ht="15" hidden="1" customHeight="1">
      <c r="A9678" s="205">
        <v>45622</v>
      </c>
      <c r="B9678" s="208" t="s">
        <v>7324</v>
      </c>
      <c r="C9678" s="206" t="s">
        <v>27</v>
      </c>
      <c r="D9678" s="737">
        <v>-11600</v>
      </c>
      <c r="E9678" s="819">
        <v>45627</v>
      </c>
      <c r="F9678" s="206" t="s">
        <v>130</v>
      </c>
      <c r="G9678" s="208" t="s">
        <v>257</v>
      </c>
      <c r="H9678" s="262" t="s">
        <v>1138</v>
      </c>
      <c r="I9678" s="206" t="s">
        <v>7623</v>
      </c>
    </row>
    <row r="9679" spans="1:9" ht="15" hidden="1" customHeight="1">
      <c r="A9679" s="205">
        <v>45622</v>
      </c>
      <c r="B9679" s="208" t="s">
        <v>7624</v>
      </c>
      <c r="C9679" s="206" t="s">
        <v>27</v>
      </c>
      <c r="D9679" s="737">
        <v>-11500</v>
      </c>
      <c r="E9679" s="819">
        <v>45627</v>
      </c>
      <c r="F9679" s="206" t="s">
        <v>130</v>
      </c>
      <c r="G9679" s="208" t="s">
        <v>257</v>
      </c>
      <c r="H9679" s="262" t="s">
        <v>1138</v>
      </c>
      <c r="I9679" s="206" t="s">
        <v>7623</v>
      </c>
    </row>
    <row r="9680" spans="1:9" ht="15" hidden="1" customHeight="1">
      <c r="A9680" s="205">
        <v>45622</v>
      </c>
      <c r="B9680" s="208" t="s">
        <v>4942</v>
      </c>
      <c r="C9680" s="206" t="s">
        <v>27</v>
      </c>
      <c r="D9680" s="737">
        <v>-40000</v>
      </c>
      <c r="E9680" s="819">
        <v>45627</v>
      </c>
      <c r="F9680" s="206" t="s">
        <v>130</v>
      </c>
      <c r="G9680" s="208" t="s">
        <v>257</v>
      </c>
      <c r="H9680" s="262" t="s">
        <v>1138</v>
      </c>
      <c r="I9680" s="206" t="s">
        <v>7623</v>
      </c>
    </row>
    <row r="9681" spans="1:9" ht="15" hidden="1" customHeight="1">
      <c r="A9681" s="205">
        <v>45644</v>
      </c>
      <c r="B9681" s="208" t="s">
        <v>7625</v>
      </c>
      <c r="C9681" s="206" t="s">
        <v>27</v>
      </c>
      <c r="D9681" s="737">
        <v>-219500</v>
      </c>
      <c r="E9681" s="819">
        <v>45627</v>
      </c>
      <c r="F9681" s="206" t="s">
        <v>109</v>
      </c>
      <c r="G9681" s="206" t="s">
        <v>6994</v>
      </c>
      <c r="H9681" s="206" t="s">
        <v>2941</v>
      </c>
      <c r="I9681" s="206"/>
    </row>
    <row r="9682" spans="1:9" ht="15" hidden="1" customHeight="1">
      <c r="A9682" s="205">
        <v>45644</v>
      </c>
      <c r="B9682" s="208" t="s">
        <v>7626</v>
      </c>
      <c r="C9682" s="206" t="s">
        <v>27</v>
      </c>
      <c r="D9682" s="737">
        <v>-219500</v>
      </c>
      <c r="E9682" s="819">
        <v>45627</v>
      </c>
      <c r="F9682" s="206" t="s">
        <v>109</v>
      </c>
      <c r="G9682" s="206" t="s">
        <v>6954</v>
      </c>
      <c r="H9682" s="206" t="s">
        <v>2941</v>
      </c>
      <c r="I9682" s="206"/>
    </row>
    <row r="9683" spans="1:9" ht="15" hidden="1" customHeight="1">
      <c r="A9683" s="205">
        <v>45644</v>
      </c>
      <c r="B9683" s="208" t="s">
        <v>7627</v>
      </c>
      <c r="C9683" s="206" t="s">
        <v>27</v>
      </c>
      <c r="D9683" s="737">
        <v>-285752.08665999997</v>
      </c>
      <c r="E9683" s="819">
        <v>45627</v>
      </c>
      <c r="F9683" s="206" t="s">
        <v>130</v>
      </c>
      <c r="G9683" s="206" t="s">
        <v>130</v>
      </c>
      <c r="H9683" s="206" t="s">
        <v>1156</v>
      </c>
      <c r="I9683" s="206"/>
    </row>
    <row r="9684" spans="1:9" ht="15" hidden="1" customHeight="1">
      <c r="A9684" s="205">
        <v>45644</v>
      </c>
      <c r="B9684" s="208" t="s">
        <v>7627</v>
      </c>
      <c r="C9684" s="206" t="s">
        <v>27</v>
      </c>
      <c r="D9684" s="737">
        <v>-285752.08665999997</v>
      </c>
      <c r="E9684" s="819">
        <v>45627</v>
      </c>
      <c r="F9684" s="206" t="s">
        <v>130</v>
      </c>
      <c r="G9684" s="206" t="s">
        <v>130</v>
      </c>
      <c r="H9684" s="206" t="s">
        <v>1156</v>
      </c>
      <c r="I9684" s="206"/>
    </row>
    <row r="9685" spans="1:9" ht="15" hidden="1" customHeight="1">
      <c r="A9685" s="205">
        <v>45644</v>
      </c>
      <c r="B9685" s="208" t="s">
        <v>7627</v>
      </c>
      <c r="C9685" s="206" t="s">
        <v>27</v>
      </c>
      <c r="D9685" s="737">
        <v>-285752.08665999997</v>
      </c>
      <c r="E9685" s="819">
        <v>45627</v>
      </c>
      <c r="F9685" s="206" t="s">
        <v>130</v>
      </c>
      <c r="G9685" s="206" t="s">
        <v>130</v>
      </c>
      <c r="H9685" s="206" t="s">
        <v>1156</v>
      </c>
      <c r="I9685" s="206"/>
    </row>
    <row r="9686" spans="1:9" ht="15" hidden="1" customHeight="1">
      <c r="A9686" s="205">
        <v>45644</v>
      </c>
      <c r="B9686" s="208" t="s">
        <v>7628</v>
      </c>
      <c r="C9686" s="206" t="s">
        <v>4314</v>
      </c>
      <c r="D9686" s="211">
        <v>-4344.2</v>
      </c>
      <c r="E9686" s="819">
        <v>45627</v>
      </c>
      <c r="F9686" s="206" t="s">
        <v>130</v>
      </c>
      <c r="G9686" s="206" t="s">
        <v>130</v>
      </c>
      <c r="H9686" s="206" t="s">
        <v>1156</v>
      </c>
      <c r="I9686" s="206"/>
    </row>
    <row r="9687" spans="1:9" ht="15" hidden="1" customHeight="1">
      <c r="A9687" s="205">
        <v>45644</v>
      </c>
      <c r="B9687" s="208" t="s">
        <v>7629</v>
      </c>
      <c r="C9687" s="206" t="s">
        <v>27</v>
      </c>
      <c r="D9687" s="737">
        <v>-239000</v>
      </c>
      <c r="E9687" s="819">
        <v>45627</v>
      </c>
      <c r="F9687" s="206" t="s">
        <v>110</v>
      </c>
      <c r="G9687" s="206" t="s">
        <v>5469</v>
      </c>
      <c r="H9687" s="206" t="s">
        <v>549</v>
      </c>
      <c r="I9687" s="206"/>
    </row>
    <row r="9688" spans="1:9" ht="15" hidden="1" customHeight="1">
      <c r="A9688" s="205">
        <v>45644</v>
      </c>
      <c r="B9688" s="208" t="s">
        <v>7630</v>
      </c>
      <c r="C9688" s="206" t="s">
        <v>27</v>
      </c>
      <c r="D9688" s="737">
        <v>-154700</v>
      </c>
      <c r="E9688" s="819">
        <v>45627</v>
      </c>
      <c r="F9688" s="206" t="s">
        <v>110</v>
      </c>
      <c r="G9688" s="206" t="s">
        <v>5469</v>
      </c>
      <c r="H9688" s="206" t="s">
        <v>2941</v>
      </c>
      <c r="I9688" s="206"/>
    </row>
    <row r="9689" spans="1:9" ht="15" hidden="1" customHeight="1">
      <c r="A9689" s="205">
        <v>45644</v>
      </c>
      <c r="B9689" s="208" t="s">
        <v>7631</v>
      </c>
      <c r="C9689" s="206" t="s">
        <v>27</v>
      </c>
      <c r="D9689" s="737">
        <v>-575140</v>
      </c>
      <c r="E9689" s="819">
        <v>45627</v>
      </c>
      <c r="F9689" s="206" t="s">
        <v>109</v>
      </c>
      <c r="G9689" s="206" t="s">
        <v>6994</v>
      </c>
      <c r="H9689" s="206" t="s">
        <v>6529</v>
      </c>
      <c r="I9689" s="206"/>
    </row>
    <row r="9690" spans="1:9" ht="15" hidden="1" customHeight="1">
      <c r="A9690" s="205">
        <v>45644</v>
      </c>
      <c r="B9690" s="208" t="s">
        <v>7632</v>
      </c>
      <c r="C9690" s="206" t="s">
        <v>27</v>
      </c>
      <c r="D9690" s="737">
        <v>-575140</v>
      </c>
      <c r="E9690" s="819">
        <v>45627</v>
      </c>
      <c r="F9690" s="206" t="s">
        <v>109</v>
      </c>
      <c r="G9690" s="206" t="s">
        <v>6954</v>
      </c>
      <c r="H9690" s="206" t="s">
        <v>6529</v>
      </c>
      <c r="I9690" s="206"/>
    </row>
    <row r="9691" spans="1:9" ht="15" hidden="1" customHeight="1">
      <c r="A9691" s="205">
        <v>45644</v>
      </c>
      <c r="B9691" s="208" t="s">
        <v>7633</v>
      </c>
      <c r="C9691" s="206" t="s">
        <v>4314</v>
      </c>
      <c r="D9691" s="211">
        <v>-41720</v>
      </c>
      <c r="E9691" s="819">
        <v>45627</v>
      </c>
      <c r="F9691" s="206" t="s">
        <v>109</v>
      </c>
      <c r="G9691" s="206" t="s">
        <v>6954</v>
      </c>
      <c r="H9691" s="206" t="s">
        <v>6529</v>
      </c>
      <c r="I9691" s="206"/>
    </row>
    <row r="9692" spans="1:9" ht="15" hidden="1" customHeight="1">
      <c r="A9692" s="205">
        <v>45644</v>
      </c>
      <c r="B9692" s="208" t="s">
        <v>7634</v>
      </c>
      <c r="C9692" s="206" t="s">
        <v>27</v>
      </c>
      <c r="D9692" s="737">
        <v>-548500</v>
      </c>
      <c r="E9692" s="819">
        <v>45627</v>
      </c>
      <c r="F9692" s="206" t="s">
        <v>109</v>
      </c>
      <c r="G9692" s="206" t="s">
        <v>6994</v>
      </c>
      <c r="H9692" s="206" t="s">
        <v>6266</v>
      </c>
      <c r="I9692" s="206"/>
    </row>
    <row r="9693" spans="1:9" ht="15" hidden="1" customHeight="1">
      <c r="A9693" s="205">
        <v>45644</v>
      </c>
      <c r="B9693" s="208" t="s">
        <v>7635</v>
      </c>
      <c r="C9693" s="206" t="s">
        <v>27</v>
      </c>
      <c r="D9693" s="737">
        <v>-548500</v>
      </c>
      <c r="E9693" s="819">
        <v>45627</v>
      </c>
      <c r="F9693" s="206" t="s">
        <v>109</v>
      </c>
      <c r="G9693" s="206" t="s">
        <v>6954</v>
      </c>
      <c r="H9693" s="206" t="s">
        <v>6266</v>
      </c>
      <c r="I9693" s="206"/>
    </row>
    <row r="9694" spans="1:9" ht="15" hidden="1" customHeight="1">
      <c r="A9694" s="205">
        <v>45644</v>
      </c>
      <c r="B9694" s="208" t="s">
        <v>7636</v>
      </c>
      <c r="C9694" s="206" t="s">
        <v>4314</v>
      </c>
      <c r="D9694" s="211">
        <v>-46000</v>
      </c>
      <c r="E9694" s="819">
        <v>45627</v>
      </c>
      <c r="F9694" s="206" t="s">
        <v>109</v>
      </c>
      <c r="G9694" s="206" t="s">
        <v>6994</v>
      </c>
      <c r="H9694" s="206" t="s">
        <v>6266</v>
      </c>
      <c r="I9694" s="206"/>
    </row>
    <row r="9695" spans="1:9" s="476" customFormat="1" ht="15" hidden="1" customHeight="1">
      <c r="A9695" s="873">
        <v>45644</v>
      </c>
      <c r="B9695" s="874" t="s">
        <v>7637</v>
      </c>
      <c r="C9695" s="874" t="s">
        <v>4314</v>
      </c>
      <c r="D9695" s="875">
        <v>-6900</v>
      </c>
      <c r="E9695" s="876">
        <v>45627</v>
      </c>
      <c r="F9695" s="874" t="s">
        <v>109</v>
      </c>
      <c r="G9695" s="874" t="s">
        <v>6954</v>
      </c>
      <c r="H9695" s="874" t="s">
        <v>6266</v>
      </c>
      <c r="I9695" s="874"/>
    </row>
    <row r="9696" spans="1:9" ht="15" hidden="1" customHeight="1">
      <c r="A9696" s="205">
        <v>45644</v>
      </c>
      <c r="B9696" s="208" t="s">
        <v>7638</v>
      </c>
      <c r="C9696" s="206" t="s">
        <v>27</v>
      </c>
      <c r="D9696" s="737">
        <v>-1210000</v>
      </c>
      <c r="E9696" s="819">
        <v>45627</v>
      </c>
      <c r="F9696" s="206" t="s">
        <v>109</v>
      </c>
      <c r="G9696" s="206" t="s">
        <v>5990</v>
      </c>
      <c r="H9696" s="206" t="s">
        <v>360</v>
      </c>
      <c r="I9696" s="206"/>
    </row>
    <row r="9697" spans="1:9" ht="15" hidden="1" customHeight="1">
      <c r="A9697" s="205">
        <v>45644</v>
      </c>
      <c r="B9697" s="208" t="s">
        <v>7639</v>
      </c>
      <c r="C9697" s="206" t="s">
        <v>27</v>
      </c>
      <c r="D9697" s="737">
        <v>-7500000</v>
      </c>
      <c r="E9697" s="819">
        <v>45627</v>
      </c>
      <c r="F9697" s="206" t="s">
        <v>109</v>
      </c>
      <c r="G9697" s="206" t="s">
        <v>5990</v>
      </c>
      <c r="H9697" s="206" t="s">
        <v>6667</v>
      </c>
      <c r="I9697" s="206"/>
    </row>
    <row r="9698" spans="1:9" ht="15" hidden="1" customHeight="1">
      <c r="A9698" s="205">
        <v>45644</v>
      </c>
      <c r="B9698" s="208" t="s">
        <v>7640</v>
      </c>
      <c r="C9698" s="206" t="s">
        <v>27</v>
      </c>
      <c r="D9698" s="737">
        <v>-2563959</v>
      </c>
      <c r="E9698" s="819">
        <v>45627</v>
      </c>
      <c r="F9698" s="206" t="s">
        <v>109</v>
      </c>
      <c r="G9698" s="206" t="s">
        <v>6994</v>
      </c>
      <c r="H9698" s="206" t="s">
        <v>6482</v>
      </c>
      <c r="I9698" s="206"/>
    </row>
    <row r="9699" spans="1:9" ht="15" hidden="1" customHeight="1">
      <c r="A9699" s="205">
        <v>45644</v>
      </c>
      <c r="B9699" s="208" t="s">
        <v>7640</v>
      </c>
      <c r="C9699" s="206" t="s">
        <v>27</v>
      </c>
      <c r="D9699" s="737">
        <v>-2563959</v>
      </c>
      <c r="E9699" s="819">
        <v>45627</v>
      </c>
      <c r="F9699" s="206" t="s">
        <v>109</v>
      </c>
      <c r="G9699" s="206" t="s">
        <v>6954</v>
      </c>
      <c r="H9699" s="206" t="s">
        <v>6482</v>
      </c>
      <c r="I9699" s="206"/>
    </row>
    <row r="9700" spans="1:9" ht="15" hidden="1" customHeight="1">
      <c r="A9700" s="205">
        <v>45644</v>
      </c>
      <c r="B9700" s="208" t="s">
        <v>7640</v>
      </c>
      <c r="C9700" s="206" t="s">
        <v>4314</v>
      </c>
      <c r="D9700" s="211">
        <v>-132300</v>
      </c>
      <c r="E9700" s="819">
        <v>45627</v>
      </c>
      <c r="F9700" s="206" t="s">
        <v>109</v>
      </c>
      <c r="G9700" s="206" t="s">
        <v>6994</v>
      </c>
      <c r="H9700" s="206" t="s">
        <v>6482</v>
      </c>
      <c r="I9700" s="206"/>
    </row>
    <row r="9701" spans="1:9" ht="15" hidden="1" customHeight="1">
      <c r="A9701" s="205">
        <v>45644</v>
      </c>
      <c r="B9701" s="208" t="s">
        <v>7640</v>
      </c>
      <c r="C9701" s="206" t="s">
        <v>4314</v>
      </c>
      <c r="D9701" s="211">
        <v>-31752</v>
      </c>
      <c r="E9701" s="819">
        <v>45627</v>
      </c>
      <c r="F9701" s="206" t="s">
        <v>109</v>
      </c>
      <c r="G9701" s="206" t="s">
        <v>6954</v>
      </c>
      <c r="H9701" s="206" t="s">
        <v>6482</v>
      </c>
      <c r="I9701" s="206"/>
    </row>
    <row r="9702" spans="1:9" ht="15" hidden="1" customHeight="1">
      <c r="A9702" s="205">
        <v>45644</v>
      </c>
      <c r="B9702" s="208" t="s">
        <v>7641</v>
      </c>
      <c r="C9702" s="206" t="s">
        <v>27</v>
      </c>
      <c r="D9702" s="737">
        <v>-37055846</v>
      </c>
      <c r="E9702" s="819">
        <v>45627</v>
      </c>
      <c r="F9702" s="206" t="s">
        <v>110</v>
      </c>
      <c r="G9702" s="206" t="s">
        <v>4399</v>
      </c>
      <c r="H9702" s="206" t="s">
        <v>123</v>
      </c>
      <c r="I9702" s="720" t="s">
        <v>5410</v>
      </c>
    </row>
    <row r="9703" spans="1:9" ht="15" hidden="1" customHeight="1">
      <c r="A9703" s="205">
        <v>45644</v>
      </c>
      <c r="B9703" s="208" t="s">
        <v>7642</v>
      </c>
      <c r="C9703" s="206" t="s">
        <v>27</v>
      </c>
      <c r="D9703" s="737">
        <v>-358340</v>
      </c>
      <c r="E9703" s="819">
        <v>45627</v>
      </c>
      <c r="F9703" s="206" t="s">
        <v>130</v>
      </c>
      <c r="G9703" s="206" t="s">
        <v>130</v>
      </c>
      <c r="H9703" s="206" t="s">
        <v>138</v>
      </c>
      <c r="I9703" s="206"/>
    </row>
    <row r="9704" spans="1:9" ht="15" hidden="1" customHeight="1">
      <c r="A9704" s="205">
        <v>45644</v>
      </c>
      <c r="B9704" s="208" t="s">
        <v>7643</v>
      </c>
      <c r="C9704" s="206" t="s">
        <v>27</v>
      </c>
      <c r="D9704" s="737">
        <v>-318980</v>
      </c>
      <c r="E9704" s="819">
        <v>45627</v>
      </c>
      <c r="F9704" s="206" t="s">
        <v>130</v>
      </c>
      <c r="G9704" s="206" t="s">
        <v>130</v>
      </c>
      <c r="H9704" s="206" t="s">
        <v>138</v>
      </c>
      <c r="I9704" s="206"/>
    </row>
    <row r="9705" spans="1:9" ht="15" hidden="1" customHeight="1">
      <c r="A9705" s="205">
        <v>45644</v>
      </c>
      <c r="B9705" s="208" t="s">
        <v>7644</v>
      </c>
      <c r="C9705" s="206" t="s">
        <v>27</v>
      </c>
      <c r="D9705" s="737">
        <v>-581892.5</v>
      </c>
      <c r="E9705" s="819">
        <v>45627</v>
      </c>
      <c r="F9705" s="206" t="s">
        <v>109</v>
      </c>
      <c r="G9705" s="206" t="s">
        <v>4986</v>
      </c>
      <c r="H9705" s="206" t="s">
        <v>2941</v>
      </c>
      <c r="I9705" s="206"/>
    </row>
    <row r="9706" spans="1:9" ht="15" hidden="1" customHeight="1">
      <c r="A9706" s="205">
        <v>45644</v>
      </c>
      <c r="B9706" s="208" t="s">
        <v>7644</v>
      </c>
      <c r="C9706" s="206" t="s">
        <v>27</v>
      </c>
      <c r="D9706" s="737">
        <v>-581892.5</v>
      </c>
      <c r="E9706" s="819">
        <v>45627</v>
      </c>
      <c r="F9706" s="206" t="s">
        <v>109</v>
      </c>
      <c r="G9706" s="206" t="s">
        <v>6875</v>
      </c>
      <c r="H9706" s="206" t="s">
        <v>2941</v>
      </c>
      <c r="I9706" s="206"/>
    </row>
    <row r="9707" spans="1:9" ht="15" hidden="1" customHeight="1">
      <c r="A9707" s="205">
        <v>45644</v>
      </c>
      <c r="B9707" s="208" t="s">
        <v>7645</v>
      </c>
      <c r="C9707" s="206" t="s">
        <v>27</v>
      </c>
      <c r="D9707" s="737">
        <v>-2747933</v>
      </c>
      <c r="E9707" s="819">
        <v>45627</v>
      </c>
      <c r="F9707" s="206" t="s">
        <v>109</v>
      </c>
      <c r="G9707" s="206" t="s">
        <v>6301</v>
      </c>
      <c r="H9707" s="206" t="s">
        <v>310</v>
      </c>
      <c r="I9707" s="206"/>
    </row>
    <row r="9708" spans="1:9" ht="15" hidden="1" customHeight="1">
      <c r="A9708" s="205">
        <v>37608</v>
      </c>
      <c r="B9708" s="208" t="s">
        <v>7646</v>
      </c>
      <c r="C9708" s="206" t="s">
        <v>27</v>
      </c>
      <c r="D9708" s="737">
        <v>-343315</v>
      </c>
      <c r="E9708" s="819">
        <v>45627</v>
      </c>
      <c r="F9708" s="206" t="s">
        <v>109</v>
      </c>
      <c r="G9708" s="206" t="s">
        <v>6301</v>
      </c>
      <c r="H9708" s="206" t="s">
        <v>549</v>
      </c>
      <c r="I9708" s="206"/>
    </row>
    <row r="9709" spans="1:9" ht="15" hidden="1" customHeight="1">
      <c r="A9709" s="205">
        <v>45644</v>
      </c>
      <c r="B9709" s="208" t="s">
        <v>7647</v>
      </c>
      <c r="C9709" s="206" t="s">
        <v>27</v>
      </c>
      <c r="D9709" s="737">
        <v>-8856000</v>
      </c>
      <c r="E9709" s="819">
        <v>45627</v>
      </c>
      <c r="F9709" s="206" t="s">
        <v>109</v>
      </c>
      <c r="G9709" s="206" t="s">
        <v>5990</v>
      </c>
      <c r="H9709" s="206" t="s">
        <v>7648</v>
      </c>
      <c r="I9709" s="206"/>
    </row>
    <row r="9710" spans="1:9" ht="15" hidden="1" customHeight="1">
      <c r="A9710" s="205">
        <v>45644</v>
      </c>
      <c r="B9710" s="208" t="s">
        <v>7649</v>
      </c>
      <c r="C9710" s="206" t="s">
        <v>4314</v>
      </c>
      <c r="D9710" s="211">
        <v>-90000</v>
      </c>
      <c r="E9710" s="819">
        <v>45627</v>
      </c>
      <c r="F9710" s="206" t="s">
        <v>109</v>
      </c>
      <c r="G9710" s="206" t="s">
        <v>5990</v>
      </c>
      <c r="H9710" s="206" t="s">
        <v>7648</v>
      </c>
      <c r="I9710" s="206"/>
    </row>
    <row r="9711" spans="1:9" ht="15" hidden="1" customHeight="1">
      <c r="A9711" s="205">
        <v>45644</v>
      </c>
      <c r="B9711" s="208" t="s">
        <v>7650</v>
      </c>
      <c r="C9711" s="206" t="s">
        <v>4314</v>
      </c>
      <c r="D9711" s="211">
        <v>-54000</v>
      </c>
      <c r="E9711" s="819">
        <v>45627</v>
      </c>
      <c r="F9711" s="206" t="s">
        <v>109</v>
      </c>
      <c r="G9711" s="206" t="s">
        <v>5990</v>
      </c>
      <c r="H9711" s="206" t="s">
        <v>7648</v>
      </c>
      <c r="I9711" s="206"/>
    </row>
    <row r="9712" spans="1:9" ht="15" hidden="1" customHeight="1">
      <c r="A9712" s="205">
        <v>45646</v>
      </c>
      <c r="B9712" s="208" t="s">
        <v>7651</v>
      </c>
      <c r="C9712" s="206" t="s">
        <v>27</v>
      </c>
      <c r="D9712" s="737">
        <v>-721705</v>
      </c>
      <c r="E9712" s="819">
        <v>45627</v>
      </c>
      <c r="F9712" s="206" t="s">
        <v>110</v>
      </c>
      <c r="G9712" s="206" t="s">
        <v>5469</v>
      </c>
      <c r="H9712" s="206" t="s">
        <v>2941</v>
      </c>
      <c r="I9712" s="206"/>
    </row>
    <row r="9713" spans="1:9" ht="15" hidden="1" customHeight="1">
      <c r="A9713" s="205">
        <v>45646</v>
      </c>
      <c r="B9713" s="208" t="s">
        <v>7652</v>
      </c>
      <c r="C9713" s="206" t="s">
        <v>27</v>
      </c>
      <c r="D9713" s="737">
        <v>-330806</v>
      </c>
      <c r="E9713" s="819">
        <v>45627</v>
      </c>
      <c r="F9713" s="206" t="s">
        <v>109</v>
      </c>
      <c r="G9713" s="206" t="s">
        <v>3529</v>
      </c>
      <c r="H9713" s="206" t="s">
        <v>2941</v>
      </c>
      <c r="I9713" s="206"/>
    </row>
    <row r="9714" spans="1:9" ht="15" hidden="1" customHeight="1">
      <c r="A9714" s="205">
        <v>45646</v>
      </c>
      <c r="B9714" s="208" t="s">
        <v>7652</v>
      </c>
      <c r="C9714" s="206" t="s">
        <v>27</v>
      </c>
      <c r="D9714" s="737">
        <v>-207645</v>
      </c>
      <c r="E9714" s="819">
        <v>45627</v>
      </c>
      <c r="F9714" s="206" t="s">
        <v>109</v>
      </c>
      <c r="G9714" s="206" t="s">
        <v>3529</v>
      </c>
      <c r="H9714" s="206" t="s">
        <v>2941</v>
      </c>
      <c r="I9714" s="206"/>
    </row>
    <row r="9715" spans="1:9" ht="15" hidden="1" customHeight="1">
      <c r="A9715" s="205">
        <v>45646</v>
      </c>
      <c r="B9715" s="208" t="s">
        <v>7653</v>
      </c>
      <c r="C9715" s="206" t="s">
        <v>27</v>
      </c>
      <c r="D9715" s="737">
        <v>-162899.5</v>
      </c>
      <c r="E9715" s="819">
        <v>45627</v>
      </c>
      <c r="F9715" s="206" t="s">
        <v>109</v>
      </c>
      <c r="G9715" s="206" t="s">
        <v>3529</v>
      </c>
      <c r="H9715" s="206" t="s">
        <v>310</v>
      </c>
      <c r="I9715" s="206"/>
    </row>
    <row r="9716" spans="1:9" ht="15" hidden="1" customHeight="1">
      <c r="A9716" s="205">
        <v>45646</v>
      </c>
      <c r="B9716" s="208" t="s">
        <v>7651</v>
      </c>
      <c r="C9716" s="206" t="s">
        <v>27</v>
      </c>
      <c r="D9716" s="737">
        <v>-162899.5</v>
      </c>
      <c r="E9716" s="819">
        <v>45627</v>
      </c>
      <c r="F9716" s="206" t="s">
        <v>110</v>
      </c>
      <c r="G9716" s="206" t="s">
        <v>5469</v>
      </c>
      <c r="H9716" s="206" t="s">
        <v>310</v>
      </c>
      <c r="I9716" s="206"/>
    </row>
    <row r="9717" spans="1:9" ht="15" hidden="1" customHeight="1">
      <c r="A9717" s="205">
        <v>45646</v>
      </c>
      <c r="B9717" s="208" t="s">
        <v>7654</v>
      </c>
      <c r="C9717" s="206" t="s">
        <v>4314</v>
      </c>
      <c r="D9717" s="211">
        <v>-3045</v>
      </c>
      <c r="E9717" s="819">
        <v>45627</v>
      </c>
      <c r="F9717" s="206" t="s">
        <v>110</v>
      </c>
      <c r="G9717" s="206" t="s">
        <v>5469</v>
      </c>
      <c r="H9717" s="206" t="s">
        <v>310</v>
      </c>
      <c r="I9717" s="206"/>
    </row>
    <row r="9718" spans="1:9" ht="15" hidden="1" customHeight="1">
      <c r="A9718" s="205">
        <v>45646</v>
      </c>
      <c r="B9718" s="208" t="s">
        <v>7655</v>
      </c>
      <c r="C9718" s="206" t="s">
        <v>27</v>
      </c>
      <c r="D9718" s="737">
        <v>-635000</v>
      </c>
      <c r="E9718" s="819">
        <v>45627</v>
      </c>
      <c r="F9718" s="206" t="s">
        <v>109</v>
      </c>
      <c r="G9718" s="206" t="s">
        <v>6994</v>
      </c>
      <c r="H9718" s="206" t="s">
        <v>6529</v>
      </c>
      <c r="I9718" s="206"/>
    </row>
    <row r="9719" spans="1:9" ht="15" hidden="1" customHeight="1">
      <c r="A9719" s="205">
        <v>45646</v>
      </c>
      <c r="B9719" s="208" t="s">
        <v>7655</v>
      </c>
      <c r="C9719" s="206" t="s">
        <v>27</v>
      </c>
      <c r="D9719" s="737">
        <v>-635000</v>
      </c>
      <c r="E9719" s="819">
        <v>45627</v>
      </c>
      <c r="F9719" s="206" t="s">
        <v>109</v>
      </c>
      <c r="G9719" s="206" t="s">
        <v>6954</v>
      </c>
      <c r="H9719" s="206" t="s">
        <v>6529</v>
      </c>
      <c r="I9719" s="206"/>
    </row>
    <row r="9720" spans="1:9" ht="14.15" hidden="1" customHeight="1">
      <c r="A9720" s="205">
        <v>45646</v>
      </c>
      <c r="B9720" s="208" t="s">
        <v>7656</v>
      </c>
      <c r="C9720" s="206" t="s">
        <v>27</v>
      </c>
      <c r="D9720" s="737">
        <v>-329140</v>
      </c>
      <c r="E9720" s="819">
        <v>45627</v>
      </c>
      <c r="F9720" s="206" t="s">
        <v>110</v>
      </c>
      <c r="G9720" s="206" t="s">
        <v>5469</v>
      </c>
      <c r="H9720" s="206" t="s">
        <v>2941</v>
      </c>
      <c r="I9720" s="206"/>
    </row>
    <row r="9721" spans="1:9" ht="15" hidden="1" customHeight="1">
      <c r="A9721" s="205">
        <v>45646</v>
      </c>
      <c r="B9721" s="208" t="s">
        <v>7657</v>
      </c>
      <c r="C9721" s="206" t="s">
        <v>27</v>
      </c>
      <c r="D9721" s="737">
        <v>-1109304</v>
      </c>
      <c r="E9721" s="819">
        <v>45627</v>
      </c>
      <c r="F9721" s="206" t="s">
        <v>109</v>
      </c>
      <c r="G9721" s="206" t="s">
        <v>6994</v>
      </c>
      <c r="H9721" s="206" t="s">
        <v>6973</v>
      </c>
      <c r="I9721" s="206"/>
    </row>
    <row r="9722" spans="1:9" ht="15" hidden="1" customHeight="1">
      <c r="A9722" s="205">
        <v>45646</v>
      </c>
      <c r="B9722" s="208" t="s">
        <v>7658</v>
      </c>
      <c r="C9722" s="206" t="s">
        <v>4314</v>
      </c>
      <c r="D9722" s="211">
        <v>-6696</v>
      </c>
      <c r="E9722" s="819">
        <v>45627</v>
      </c>
      <c r="F9722" s="206" t="s">
        <v>109</v>
      </c>
      <c r="G9722" s="206" t="s">
        <v>6994</v>
      </c>
      <c r="H9722" s="206" t="s">
        <v>6973</v>
      </c>
      <c r="I9722" s="206"/>
    </row>
    <row r="9723" spans="1:9" ht="15" hidden="1" customHeight="1">
      <c r="A9723" s="205">
        <v>45644</v>
      </c>
      <c r="B9723" s="208" t="s">
        <v>7659</v>
      </c>
      <c r="C9723" s="206" t="s">
        <v>27</v>
      </c>
      <c r="D9723" s="737">
        <v>-547320</v>
      </c>
      <c r="E9723" s="819">
        <v>45627</v>
      </c>
      <c r="F9723" s="206" t="s">
        <v>130</v>
      </c>
      <c r="G9723" s="206" t="s">
        <v>130</v>
      </c>
      <c r="H9723" s="206" t="s">
        <v>138</v>
      </c>
      <c r="I9723" s="206"/>
    </row>
    <row r="9724" spans="1:9" ht="15" hidden="1" customHeight="1">
      <c r="A9724" s="205">
        <v>45639</v>
      </c>
      <c r="B9724" s="208" t="s">
        <v>7660</v>
      </c>
      <c r="C9724" s="206" t="s">
        <v>27</v>
      </c>
      <c r="D9724" s="737">
        <v>-336274</v>
      </c>
      <c r="E9724" s="819">
        <v>45627</v>
      </c>
      <c r="F9724" s="206" t="s">
        <v>130</v>
      </c>
      <c r="G9724" s="206" t="s">
        <v>130</v>
      </c>
      <c r="H9724" s="206" t="s">
        <v>163</v>
      </c>
      <c r="I9724" s="206"/>
    </row>
    <row r="9725" spans="1:9" s="831" customFormat="1" ht="15" hidden="1" customHeight="1">
      <c r="A9725" s="829">
        <v>45644</v>
      </c>
      <c r="B9725" s="830" t="s">
        <v>7661</v>
      </c>
      <c r="C9725" s="830" t="s">
        <v>4783</v>
      </c>
      <c r="D9725" s="737">
        <v>-418311</v>
      </c>
      <c r="E9725" s="832">
        <v>45627</v>
      </c>
      <c r="F9725" s="830" t="s">
        <v>130</v>
      </c>
      <c r="G9725" s="830" t="s">
        <v>130</v>
      </c>
      <c r="H9725" s="830" t="s">
        <v>360</v>
      </c>
      <c r="I9725" s="830"/>
    </row>
    <row r="9726" spans="1:9" ht="15" hidden="1" customHeight="1">
      <c r="A9726" s="828">
        <v>45644</v>
      </c>
      <c r="B9726" s="638" t="s">
        <v>7662</v>
      </c>
      <c r="C9726" s="458" t="s">
        <v>4783</v>
      </c>
      <c r="D9726" s="833">
        <v>-2340000</v>
      </c>
      <c r="E9726" s="207">
        <v>45627</v>
      </c>
      <c r="F9726" s="458" t="s">
        <v>130</v>
      </c>
      <c r="G9726" s="458" t="s">
        <v>130</v>
      </c>
      <c r="H9726" s="458" t="s">
        <v>360</v>
      </c>
      <c r="I9726" s="458"/>
    </row>
    <row r="9727" spans="1:9" ht="15" hidden="1" customHeight="1">
      <c r="A9727" s="205">
        <v>45645</v>
      </c>
      <c r="B9727" s="208" t="s">
        <v>7663</v>
      </c>
      <c r="C9727" s="206" t="s">
        <v>4783</v>
      </c>
      <c r="D9727" s="737">
        <v>-32000</v>
      </c>
      <c r="E9727" s="207">
        <v>45627</v>
      </c>
      <c r="F9727" s="206" t="s">
        <v>130</v>
      </c>
      <c r="G9727" s="206" t="s">
        <v>257</v>
      </c>
      <c r="H9727" s="206" t="s">
        <v>406</v>
      </c>
      <c r="I9727" s="206"/>
    </row>
    <row r="9728" spans="1:9" ht="15" customHeight="1">
      <c r="A9728" s="205">
        <v>45645</v>
      </c>
      <c r="B9728" s="208" t="s">
        <v>7664</v>
      </c>
      <c r="C9728" s="206" t="s">
        <v>4783</v>
      </c>
      <c r="D9728" s="737">
        <v>-5794200</v>
      </c>
      <c r="E9728" s="207">
        <v>45627</v>
      </c>
      <c r="F9728" s="206" t="s">
        <v>109</v>
      </c>
      <c r="G9728" s="206" t="s">
        <v>2809</v>
      </c>
      <c r="H9728" s="206" t="s">
        <v>5775</v>
      </c>
      <c r="I9728" s="206"/>
    </row>
    <row r="9729" spans="1:9" ht="15" customHeight="1">
      <c r="A9729" s="205">
        <v>45645</v>
      </c>
      <c r="B9729" s="208" t="s">
        <v>7664</v>
      </c>
      <c r="C9729" s="206" t="s">
        <v>4783</v>
      </c>
      <c r="D9729" s="737">
        <v>-2424240</v>
      </c>
      <c r="E9729" s="207">
        <v>45627</v>
      </c>
      <c r="F9729" s="206" t="s">
        <v>109</v>
      </c>
      <c r="G9729" s="206" t="s">
        <v>2809</v>
      </c>
      <c r="H9729" s="206" t="s">
        <v>3652</v>
      </c>
      <c r="I9729" s="206"/>
    </row>
    <row r="9730" spans="1:9" ht="15" customHeight="1">
      <c r="A9730" s="205">
        <v>45645</v>
      </c>
      <c r="B9730" s="208" t="s">
        <v>7664</v>
      </c>
      <c r="C9730" s="206" t="s">
        <v>4783</v>
      </c>
      <c r="D9730" s="737">
        <v>-7192800</v>
      </c>
      <c r="E9730" s="207">
        <v>45627</v>
      </c>
      <c r="F9730" s="206" t="s">
        <v>109</v>
      </c>
      <c r="G9730" s="206" t="s">
        <v>2809</v>
      </c>
      <c r="H9730" s="206" t="s">
        <v>5775</v>
      </c>
      <c r="I9730" s="206"/>
    </row>
    <row r="9731" spans="1:9" ht="15" customHeight="1">
      <c r="A9731" s="205">
        <v>45645</v>
      </c>
      <c r="B9731" s="208" t="s">
        <v>7664</v>
      </c>
      <c r="C9731" s="206" t="s">
        <v>4783</v>
      </c>
      <c r="D9731" s="737">
        <v>-3485400</v>
      </c>
      <c r="E9731" s="207">
        <v>45627</v>
      </c>
      <c r="F9731" s="206" t="s">
        <v>109</v>
      </c>
      <c r="G9731" s="206" t="s">
        <v>2809</v>
      </c>
      <c r="H9731" s="206" t="s">
        <v>3652</v>
      </c>
      <c r="I9731" s="206"/>
    </row>
    <row r="9732" spans="1:9" ht="15" customHeight="1">
      <c r="A9732" s="205">
        <v>45645</v>
      </c>
      <c r="B9732" s="208" t="s">
        <v>7664</v>
      </c>
      <c r="C9732" s="206" t="s">
        <v>4783</v>
      </c>
      <c r="D9732" s="737">
        <v>-5461200</v>
      </c>
      <c r="E9732" s="207">
        <v>45627</v>
      </c>
      <c r="F9732" s="206" t="s">
        <v>109</v>
      </c>
      <c r="G9732" s="206" t="s">
        <v>2809</v>
      </c>
      <c r="H9732" s="206" t="s">
        <v>5775</v>
      </c>
      <c r="I9732" s="206"/>
    </row>
    <row r="9733" spans="1:9" ht="15" customHeight="1">
      <c r="A9733" s="205">
        <v>45645</v>
      </c>
      <c r="B9733" s="208" t="s">
        <v>7664</v>
      </c>
      <c r="C9733" s="206" t="s">
        <v>4783</v>
      </c>
      <c r="D9733" s="737">
        <v>-2397600</v>
      </c>
      <c r="E9733" s="207">
        <v>45627</v>
      </c>
      <c r="F9733" s="206" t="s">
        <v>109</v>
      </c>
      <c r="G9733" s="206" t="s">
        <v>2809</v>
      </c>
      <c r="H9733" s="206" t="s">
        <v>3652</v>
      </c>
      <c r="I9733" s="206"/>
    </row>
    <row r="9734" spans="1:9" ht="15" customHeight="1">
      <c r="A9734" s="205">
        <v>45645</v>
      </c>
      <c r="B9734" s="208" t="s">
        <v>7664</v>
      </c>
      <c r="C9734" s="206" t="s">
        <v>4783</v>
      </c>
      <c r="D9734" s="737">
        <v>-1998000</v>
      </c>
      <c r="E9734" s="207">
        <v>45627</v>
      </c>
      <c r="F9734" s="206" t="s">
        <v>109</v>
      </c>
      <c r="G9734" s="206" t="s">
        <v>2809</v>
      </c>
      <c r="H9734" s="206" t="s">
        <v>3652</v>
      </c>
      <c r="I9734" s="206"/>
    </row>
    <row r="9735" spans="1:9" ht="15" customHeight="1">
      <c r="A9735" s="205">
        <v>45645</v>
      </c>
      <c r="B9735" s="208" t="s">
        <v>7664</v>
      </c>
      <c r="C9735" s="206" t="s">
        <v>4783</v>
      </c>
      <c r="D9735" s="737">
        <v>-13086900</v>
      </c>
      <c r="E9735" s="207">
        <v>45627</v>
      </c>
      <c r="F9735" s="206" t="s">
        <v>109</v>
      </c>
      <c r="G9735" s="206" t="s">
        <v>2809</v>
      </c>
      <c r="H9735" s="206" t="s">
        <v>3652</v>
      </c>
      <c r="I9735" s="206"/>
    </row>
    <row r="9736" spans="1:9" ht="15" customHeight="1">
      <c r="A9736" s="205">
        <v>45645</v>
      </c>
      <c r="B9736" s="208" t="s">
        <v>7665</v>
      </c>
      <c r="C9736" s="206" t="s">
        <v>4314</v>
      </c>
      <c r="D9736" s="211">
        <v>-1232100</v>
      </c>
      <c r="E9736" s="207">
        <v>45627</v>
      </c>
      <c r="F9736" s="206" t="s">
        <v>109</v>
      </c>
      <c r="G9736" s="206" t="s">
        <v>2809</v>
      </c>
      <c r="H9736" s="206" t="s">
        <v>5775</v>
      </c>
      <c r="I9736" s="206"/>
    </row>
    <row r="9737" spans="1:9" ht="15" customHeight="1">
      <c r="A9737" s="205">
        <v>45645</v>
      </c>
      <c r="B9737" s="208" t="s">
        <v>7665</v>
      </c>
      <c r="C9737" s="206" t="s">
        <v>4314</v>
      </c>
      <c r="D9737" s="211">
        <v>-606060</v>
      </c>
      <c r="E9737" s="207">
        <v>45627</v>
      </c>
      <c r="F9737" s="206" t="s">
        <v>109</v>
      </c>
      <c r="G9737" s="206" t="s">
        <v>2809</v>
      </c>
      <c r="H9737" s="206" t="s">
        <v>3652</v>
      </c>
      <c r="I9737" s="206"/>
    </row>
    <row r="9738" spans="1:9" ht="15" customHeight="1">
      <c r="A9738" s="205">
        <v>45645</v>
      </c>
      <c r="B9738" s="208" t="s">
        <v>7665</v>
      </c>
      <c r="C9738" s="206" t="s">
        <v>4314</v>
      </c>
      <c r="D9738" s="211">
        <v>-1798200</v>
      </c>
      <c r="E9738" s="207">
        <v>45627</v>
      </c>
      <c r="F9738" s="206" t="s">
        <v>109</v>
      </c>
      <c r="G9738" s="206" t="s">
        <v>2809</v>
      </c>
      <c r="H9738" s="206" t="s">
        <v>5775</v>
      </c>
      <c r="I9738" s="206"/>
    </row>
    <row r="9739" spans="1:9" ht="15" customHeight="1">
      <c r="A9739" s="205">
        <v>45645</v>
      </c>
      <c r="B9739" s="208" t="s">
        <v>7665</v>
      </c>
      <c r="C9739" s="206" t="s">
        <v>4314</v>
      </c>
      <c r="D9739" s="211">
        <v>-871350</v>
      </c>
      <c r="E9739" s="207">
        <v>45627</v>
      </c>
      <c r="F9739" s="206" t="s">
        <v>109</v>
      </c>
      <c r="G9739" s="206" t="s">
        <v>2809</v>
      </c>
      <c r="H9739" s="206" t="s">
        <v>3652</v>
      </c>
      <c r="I9739" s="206"/>
    </row>
    <row r="9740" spans="1:9" ht="15" customHeight="1">
      <c r="A9740" s="205">
        <v>45645</v>
      </c>
      <c r="B9740" s="208" t="s">
        <v>7665</v>
      </c>
      <c r="C9740" s="206" t="s">
        <v>4314</v>
      </c>
      <c r="D9740" s="211">
        <v>-1365300</v>
      </c>
      <c r="E9740" s="207">
        <v>45627</v>
      </c>
      <c r="F9740" s="206" t="s">
        <v>109</v>
      </c>
      <c r="G9740" s="206" t="s">
        <v>2809</v>
      </c>
      <c r="H9740" s="206" t="s">
        <v>5775</v>
      </c>
      <c r="I9740" s="206"/>
    </row>
    <row r="9741" spans="1:9" ht="15" customHeight="1">
      <c r="A9741" s="205">
        <v>45645</v>
      </c>
      <c r="B9741" s="208" t="s">
        <v>7665</v>
      </c>
      <c r="C9741" s="206" t="s">
        <v>4314</v>
      </c>
      <c r="D9741" s="211">
        <v>-599400</v>
      </c>
      <c r="E9741" s="207">
        <v>45627</v>
      </c>
      <c r="F9741" s="206" t="s">
        <v>109</v>
      </c>
      <c r="G9741" s="206" t="s">
        <v>2809</v>
      </c>
      <c r="H9741" s="206" t="s">
        <v>3652</v>
      </c>
      <c r="I9741" s="206"/>
    </row>
    <row r="9742" spans="1:9" ht="15" customHeight="1">
      <c r="A9742" s="205">
        <v>45645</v>
      </c>
      <c r="B9742" s="208" t="s">
        <v>7665</v>
      </c>
      <c r="C9742" s="206" t="s">
        <v>4314</v>
      </c>
      <c r="D9742" s="211">
        <v>-222000</v>
      </c>
      <c r="E9742" s="207">
        <v>45627</v>
      </c>
      <c r="F9742" s="206" t="s">
        <v>109</v>
      </c>
      <c r="G9742" s="206" t="s">
        <v>2809</v>
      </c>
      <c r="H9742" s="206" t="s">
        <v>3652</v>
      </c>
      <c r="I9742" s="206"/>
    </row>
    <row r="9743" spans="1:9" ht="15" customHeight="1">
      <c r="A9743" s="205">
        <v>45645</v>
      </c>
      <c r="B9743" s="208" t="s">
        <v>7665</v>
      </c>
      <c r="C9743" s="206" t="s">
        <v>4314</v>
      </c>
      <c r="D9743" s="211">
        <v>-1454100</v>
      </c>
      <c r="E9743" s="207">
        <v>45627</v>
      </c>
      <c r="F9743" s="206" t="s">
        <v>109</v>
      </c>
      <c r="G9743" s="206" t="s">
        <v>2809</v>
      </c>
      <c r="H9743" s="206" t="s">
        <v>3652</v>
      </c>
      <c r="I9743" s="206"/>
    </row>
    <row r="9744" spans="1:9" ht="15" hidden="1" customHeight="1">
      <c r="A9744" s="205">
        <v>45645</v>
      </c>
      <c r="B9744" s="208" t="s">
        <v>7666</v>
      </c>
      <c r="C9744" s="206" t="s">
        <v>4783</v>
      </c>
      <c r="D9744" s="737">
        <v>-4353780</v>
      </c>
      <c r="E9744" s="207">
        <v>45627</v>
      </c>
      <c r="F9744" s="206" t="s">
        <v>109</v>
      </c>
      <c r="G9744" s="206" t="s">
        <v>6994</v>
      </c>
      <c r="H9744" s="206" t="s">
        <v>6667</v>
      </c>
      <c r="I9744" s="206"/>
    </row>
    <row r="9745" spans="1:9" ht="15" hidden="1" customHeight="1">
      <c r="A9745" s="205">
        <v>45645</v>
      </c>
      <c r="B9745" s="208" t="s">
        <v>7667</v>
      </c>
      <c r="C9745" s="206" t="s">
        <v>4783</v>
      </c>
      <c r="D9745" s="737">
        <v>-1840860</v>
      </c>
      <c r="E9745" s="207">
        <v>45627</v>
      </c>
      <c r="F9745" s="206" t="s">
        <v>109</v>
      </c>
      <c r="G9745" s="206" t="s">
        <v>6903</v>
      </c>
      <c r="H9745" s="206" t="s">
        <v>363</v>
      </c>
      <c r="I9745" s="206"/>
    </row>
    <row r="9746" spans="1:9" ht="15" hidden="1" customHeight="1">
      <c r="A9746" s="205">
        <v>45645</v>
      </c>
      <c r="B9746" s="208" t="s">
        <v>7668</v>
      </c>
      <c r="C9746" s="206" t="s">
        <v>4314</v>
      </c>
      <c r="D9746" s="211">
        <v>-89400</v>
      </c>
      <c r="E9746" s="207">
        <v>45627</v>
      </c>
      <c r="F9746" s="206" t="s">
        <v>109</v>
      </c>
      <c r="G9746" s="206" t="s">
        <v>6994</v>
      </c>
      <c r="H9746" s="206" t="s">
        <v>6667</v>
      </c>
      <c r="I9746" s="206"/>
    </row>
    <row r="9747" spans="1:9" ht="15" hidden="1" customHeight="1">
      <c r="A9747" s="205">
        <v>45645</v>
      </c>
      <c r="B9747" s="208" t="s">
        <v>7669</v>
      </c>
      <c r="C9747" s="206" t="s">
        <v>4314</v>
      </c>
      <c r="D9747" s="211">
        <v>-26820</v>
      </c>
      <c r="E9747" s="207">
        <v>45627</v>
      </c>
      <c r="F9747" s="206" t="s">
        <v>109</v>
      </c>
      <c r="G9747" s="206" t="s">
        <v>6903</v>
      </c>
      <c r="H9747" s="206" t="s">
        <v>363</v>
      </c>
      <c r="I9747" s="206"/>
    </row>
    <row r="9748" spans="1:9" ht="15" hidden="1" customHeight="1">
      <c r="A9748" s="205">
        <v>45645</v>
      </c>
      <c r="B9748" s="208" t="s">
        <v>7670</v>
      </c>
      <c r="C9748" s="206" t="s">
        <v>4314</v>
      </c>
      <c r="D9748" s="211">
        <v>-37800</v>
      </c>
      <c r="E9748" s="207">
        <v>45627</v>
      </c>
      <c r="F9748" s="206" t="s">
        <v>109</v>
      </c>
      <c r="G9748" s="206" t="s">
        <v>6903</v>
      </c>
      <c r="H9748" s="206" t="s">
        <v>147</v>
      </c>
      <c r="I9748" s="206"/>
    </row>
    <row r="9749" spans="1:9" ht="15" hidden="1" customHeight="1">
      <c r="A9749" s="205">
        <v>45645</v>
      </c>
      <c r="B9749" s="208" t="s">
        <v>7671</v>
      </c>
      <c r="C9749" s="206" t="s">
        <v>4314</v>
      </c>
      <c r="D9749" s="211">
        <v>-1524</v>
      </c>
      <c r="E9749" s="207">
        <v>45627</v>
      </c>
      <c r="F9749" s="206" t="s">
        <v>109</v>
      </c>
      <c r="G9749" s="206" t="s">
        <v>6903</v>
      </c>
      <c r="H9749" s="206" t="s">
        <v>363</v>
      </c>
      <c r="I9749" s="206"/>
    </row>
    <row r="9750" spans="1:9" ht="15" hidden="1" customHeight="1">
      <c r="A9750" s="205">
        <v>45645</v>
      </c>
      <c r="B9750" s="208" t="s">
        <v>7672</v>
      </c>
      <c r="C9750" s="206" t="s">
        <v>4783</v>
      </c>
      <c r="D9750" s="737">
        <v>-220500</v>
      </c>
      <c r="E9750" s="207">
        <v>45627</v>
      </c>
      <c r="F9750" s="206" t="s">
        <v>109</v>
      </c>
      <c r="G9750" s="206" t="s">
        <v>6994</v>
      </c>
      <c r="H9750" s="206" t="s">
        <v>6482</v>
      </c>
      <c r="I9750" s="206"/>
    </row>
    <row r="9751" spans="1:9" ht="15" hidden="1" customHeight="1">
      <c r="A9751" s="205">
        <v>45645</v>
      </c>
      <c r="B9751" s="208" t="s">
        <v>7673</v>
      </c>
      <c r="C9751" s="206" t="s">
        <v>4783</v>
      </c>
      <c r="D9751" s="737">
        <v>-220500</v>
      </c>
      <c r="E9751" s="207">
        <v>45627</v>
      </c>
      <c r="F9751" s="206" t="s">
        <v>109</v>
      </c>
      <c r="G9751" s="206" t="s">
        <v>6954</v>
      </c>
      <c r="H9751" s="206" t="s">
        <v>6482</v>
      </c>
      <c r="I9751" s="206"/>
    </row>
    <row r="9752" spans="1:9" ht="15" hidden="1" customHeight="1">
      <c r="A9752" s="205">
        <v>45645</v>
      </c>
      <c r="B9752" s="208" t="s">
        <v>7674</v>
      </c>
      <c r="C9752" s="206" t="s">
        <v>4783</v>
      </c>
      <c r="D9752" s="737">
        <v>-1761000</v>
      </c>
      <c r="E9752" s="207">
        <v>45627</v>
      </c>
      <c r="F9752" s="206" t="s">
        <v>109</v>
      </c>
      <c r="G9752" s="206" t="s">
        <v>6994</v>
      </c>
      <c r="H9752" s="206" t="s">
        <v>7648</v>
      </c>
      <c r="I9752" s="206"/>
    </row>
    <row r="9753" spans="1:9" ht="15" hidden="1" customHeight="1">
      <c r="A9753" s="205">
        <v>45645</v>
      </c>
      <c r="B9753" s="208" t="s">
        <v>7675</v>
      </c>
      <c r="C9753" s="206" t="s">
        <v>4783</v>
      </c>
      <c r="D9753" s="737">
        <v>-1761000</v>
      </c>
      <c r="E9753" s="207">
        <v>45627</v>
      </c>
      <c r="F9753" s="206" t="s">
        <v>109</v>
      </c>
      <c r="G9753" s="206" t="s">
        <v>6954</v>
      </c>
      <c r="H9753" s="206" t="s">
        <v>7648</v>
      </c>
      <c r="I9753" s="206"/>
    </row>
    <row r="9754" spans="1:9" ht="15" hidden="1" customHeight="1">
      <c r="A9754" s="205">
        <v>45645</v>
      </c>
      <c r="B9754" s="208" t="s">
        <v>7676</v>
      </c>
      <c r="C9754" s="206" t="s">
        <v>4314</v>
      </c>
      <c r="D9754" s="211">
        <v>-30000</v>
      </c>
      <c r="E9754" s="207">
        <v>45627</v>
      </c>
      <c r="F9754" s="206" t="s">
        <v>109</v>
      </c>
      <c r="G9754" s="206" t="s">
        <v>6994</v>
      </c>
      <c r="H9754" s="206" t="s">
        <v>7648</v>
      </c>
      <c r="I9754" s="206"/>
    </row>
    <row r="9755" spans="1:9" ht="15" hidden="1" customHeight="1">
      <c r="A9755" s="205">
        <v>45645</v>
      </c>
      <c r="B9755" s="208" t="s">
        <v>7677</v>
      </c>
      <c r="C9755" s="206" t="s">
        <v>4314</v>
      </c>
      <c r="D9755" s="211">
        <v>-18000</v>
      </c>
      <c r="E9755" s="207">
        <v>45627</v>
      </c>
      <c r="F9755" s="206" t="s">
        <v>109</v>
      </c>
      <c r="G9755" s="206" t="s">
        <v>6954</v>
      </c>
      <c r="H9755" s="206" t="s">
        <v>7648</v>
      </c>
      <c r="I9755" s="206"/>
    </row>
    <row r="9756" spans="1:9" ht="15" hidden="1" customHeight="1">
      <c r="A9756" s="205">
        <v>45645</v>
      </c>
      <c r="B9756" s="208" t="s">
        <v>7678</v>
      </c>
      <c r="C9756" s="206" t="s">
        <v>4783</v>
      </c>
      <c r="D9756" s="737">
        <v>-3625200</v>
      </c>
      <c r="E9756" s="207">
        <v>45627</v>
      </c>
      <c r="F9756" s="206" t="s">
        <v>109</v>
      </c>
      <c r="G9756" s="206" t="s">
        <v>6994</v>
      </c>
      <c r="H9756" s="206" t="s">
        <v>7679</v>
      </c>
      <c r="I9756" s="206"/>
    </row>
    <row r="9757" spans="1:9" ht="15" hidden="1" customHeight="1">
      <c r="A9757" s="205">
        <v>45645</v>
      </c>
      <c r="B9757" s="208" t="s">
        <v>7678</v>
      </c>
      <c r="C9757" s="206" t="s">
        <v>4783</v>
      </c>
      <c r="D9757" s="737">
        <v>-900000</v>
      </c>
      <c r="E9757" s="207">
        <v>45627</v>
      </c>
      <c r="F9757" s="206" t="s">
        <v>109</v>
      </c>
      <c r="G9757" s="206" t="s">
        <v>6974</v>
      </c>
      <c r="H9757" s="206" t="s">
        <v>7679</v>
      </c>
      <c r="I9757" s="206"/>
    </row>
    <row r="9758" spans="1:9" ht="15" hidden="1" customHeight="1">
      <c r="A9758" s="205">
        <v>45645</v>
      </c>
      <c r="B9758" s="208" t="s">
        <v>7678</v>
      </c>
      <c r="C9758" s="206" t="s">
        <v>4783</v>
      </c>
      <c r="D9758" s="737">
        <v>-3625200</v>
      </c>
      <c r="E9758" s="207">
        <v>45627</v>
      </c>
      <c r="F9758" s="206" t="s">
        <v>109</v>
      </c>
      <c r="G9758" s="206" t="s">
        <v>6954</v>
      </c>
      <c r="H9758" s="206" t="s">
        <v>7679</v>
      </c>
      <c r="I9758" s="206"/>
    </row>
    <row r="9759" spans="1:9" ht="15" hidden="1" customHeight="1">
      <c r="A9759" s="205">
        <v>45645</v>
      </c>
      <c r="B9759" s="208" t="s">
        <v>7680</v>
      </c>
      <c r="C9759" s="206" t="s">
        <v>4314</v>
      </c>
      <c r="D9759" s="211">
        <v>-152000</v>
      </c>
      <c r="E9759" s="207">
        <v>45627</v>
      </c>
      <c r="F9759" s="206" t="s">
        <v>109</v>
      </c>
      <c r="G9759" s="206" t="s">
        <v>6974</v>
      </c>
      <c r="H9759" s="206" t="s">
        <v>7679</v>
      </c>
      <c r="I9759" s="206"/>
    </row>
    <row r="9760" spans="1:9" ht="15" hidden="1" customHeight="1">
      <c r="A9760" s="205">
        <v>45645</v>
      </c>
      <c r="B9760" s="208" t="s">
        <v>7681</v>
      </c>
      <c r="C9760" s="206" t="s">
        <v>4314</v>
      </c>
      <c r="D9760" s="211">
        <v>-22800</v>
      </c>
      <c r="E9760" s="207">
        <v>45627</v>
      </c>
      <c r="F9760" s="206" t="s">
        <v>109</v>
      </c>
      <c r="G9760" s="206" t="s">
        <v>6954</v>
      </c>
      <c r="H9760" s="206" t="s">
        <v>7679</v>
      </c>
      <c r="I9760" s="206"/>
    </row>
    <row r="9761" spans="1:9" ht="15" hidden="1" customHeight="1">
      <c r="A9761" s="205">
        <v>45645</v>
      </c>
      <c r="B9761" s="208" t="s">
        <v>7680</v>
      </c>
      <c r="C9761" s="206" t="s">
        <v>4314</v>
      </c>
      <c r="D9761" s="211">
        <v>-152000</v>
      </c>
      <c r="E9761" s="207">
        <v>45627</v>
      </c>
      <c r="F9761" s="206" t="s">
        <v>109</v>
      </c>
      <c r="G9761" s="206" t="s">
        <v>6974</v>
      </c>
      <c r="H9761" s="206" t="s">
        <v>7679</v>
      </c>
      <c r="I9761" s="206"/>
    </row>
    <row r="9762" spans="1:9" ht="15" hidden="1" customHeight="1">
      <c r="A9762" s="205">
        <v>45645</v>
      </c>
      <c r="B9762" s="208" t="s">
        <v>7681</v>
      </c>
      <c r="C9762" s="206" t="s">
        <v>4314</v>
      </c>
      <c r="D9762" s="211">
        <v>-22800</v>
      </c>
      <c r="E9762" s="207">
        <v>45627</v>
      </c>
      <c r="F9762" s="206" t="s">
        <v>109</v>
      </c>
      <c r="G9762" s="206" t="s">
        <v>6954</v>
      </c>
      <c r="H9762" s="206" t="s">
        <v>7679</v>
      </c>
      <c r="I9762" s="206"/>
    </row>
    <row r="9763" spans="1:9" ht="15" hidden="1" customHeight="1">
      <c r="A9763" s="205">
        <v>45645</v>
      </c>
      <c r="B9763" s="208" t="s">
        <v>7682</v>
      </c>
      <c r="C9763" s="206" t="s">
        <v>4783</v>
      </c>
      <c r="D9763" s="737">
        <v>-1001000</v>
      </c>
      <c r="E9763" s="207">
        <v>45627</v>
      </c>
      <c r="F9763" s="206" t="s">
        <v>110</v>
      </c>
      <c r="G9763" s="206" t="s">
        <v>5469</v>
      </c>
      <c r="H9763" s="206" t="s">
        <v>1166</v>
      </c>
      <c r="I9763" s="206"/>
    </row>
    <row r="9764" spans="1:9" ht="15" hidden="1" customHeight="1">
      <c r="A9764" s="205">
        <v>45645</v>
      </c>
      <c r="B9764" s="208" t="s">
        <v>7683</v>
      </c>
      <c r="C9764" s="206" t="s">
        <v>4314</v>
      </c>
      <c r="D9764" s="211">
        <v>-35000</v>
      </c>
      <c r="E9764" s="207">
        <v>45627</v>
      </c>
      <c r="F9764" s="206" t="s">
        <v>110</v>
      </c>
      <c r="G9764" s="206" t="s">
        <v>5469</v>
      </c>
      <c r="H9764" s="206" t="s">
        <v>1166</v>
      </c>
      <c r="I9764" s="206"/>
    </row>
    <row r="9765" spans="1:9" ht="15" hidden="1" customHeight="1">
      <c r="A9765" s="205">
        <v>45645</v>
      </c>
      <c r="B9765" s="208" t="s">
        <v>7684</v>
      </c>
      <c r="C9765" s="206" t="s">
        <v>4314</v>
      </c>
      <c r="D9765" s="211">
        <v>-5250</v>
      </c>
      <c r="E9765" s="207">
        <v>45627</v>
      </c>
      <c r="F9765" s="206" t="s">
        <v>110</v>
      </c>
      <c r="G9765" s="206" t="s">
        <v>5469</v>
      </c>
      <c r="H9765" s="206" t="s">
        <v>1166</v>
      </c>
      <c r="I9765" s="206"/>
    </row>
    <row r="9766" spans="1:9" ht="15" hidden="1" customHeight="1">
      <c r="A9766" s="205">
        <v>45645</v>
      </c>
      <c r="B9766" s="208" t="s">
        <v>7685</v>
      </c>
      <c r="C9766" s="206" t="s">
        <v>4783</v>
      </c>
      <c r="D9766" s="737">
        <v>-123000</v>
      </c>
      <c r="E9766" s="207">
        <v>45627</v>
      </c>
      <c r="F9766" s="206" t="s">
        <v>130</v>
      </c>
      <c r="G9766" s="206" t="s">
        <v>130</v>
      </c>
      <c r="H9766" s="206" t="s">
        <v>1156</v>
      </c>
      <c r="I9766" s="206"/>
    </row>
    <row r="9767" spans="1:9" ht="15" hidden="1" customHeight="1">
      <c r="A9767" s="205">
        <v>45645</v>
      </c>
      <c r="B9767" s="208" t="s">
        <v>7686</v>
      </c>
      <c r="C9767" s="206" t="s">
        <v>4783</v>
      </c>
      <c r="D9767" s="211">
        <v>-39900</v>
      </c>
      <c r="E9767" s="207">
        <v>45627</v>
      </c>
      <c r="F9767" s="206" t="s">
        <v>130</v>
      </c>
      <c r="G9767" s="206" t="s">
        <v>130</v>
      </c>
      <c r="H9767" s="206" t="s">
        <v>406</v>
      </c>
      <c r="I9767" s="206"/>
    </row>
    <row r="9768" spans="1:9" ht="15" hidden="1" customHeight="1">
      <c r="A9768" s="205">
        <v>45645</v>
      </c>
      <c r="B9768" s="208" t="s">
        <v>7687</v>
      </c>
      <c r="C9768" s="206" t="s">
        <v>4783</v>
      </c>
      <c r="D9768" s="737">
        <v>-160021</v>
      </c>
      <c r="E9768" s="207">
        <v>45627</v>
      </c>
      <c r="F9768" s="206" t="s">
        <v>109</v>
      </c>
      <c r="G9768" s="206" t="s">
        <v>6301</v>
      </c>
      <c r="H9768" s="206" t="s">
        <v>585</v>
      </c>
      <c r="I9768" s="206"/>
    </row>
    <row r="9769" spans="1:9" ht="14.15">
      <c r="A9769" s="205">
        <v>45646</v>
      </c>
      <c r="B9769" s="208" t="s">
        <v>7688</v>
      </c>
      <c r="C9769" s="206" t="s">
        <v>4783</v>
      </c>
      <c r="D9769" s="834">
        <v>-21810365</v>
      </c>
      <c r="E9769" s="207">
        <v>45627</v>
      </c>
      <c r="F9769" s="206" t="s">
        <v>109</v>
      </c>
      <c r="G9769" s="206" t="s">
        <v>7689</v>
      </c>
      <c r="H9769" s="206" t="s">
        <v>7690</v>
      </c>
      <c r="I9769" s="206"/>
    </row>
    <row r="9770" spans="1:9" ht="15" hidden="1" customHeight="1">
      <c r="A9770" s="205">
        <v>45628</v>
      </c>
      <c r="B9770" s="208" t="s">
        <v>7691</v>
      </c>
      <c r="C9770" s="206" t="s">
        <v>146</v>
      </c>
      <c r="D9770" s="211">
        <v>-20000</v>
      </c>
      <c r="E9770" s="212">
        <v>45627</v>
      </c>
      <c r="F9770" s="206" t="s">
        <v>109</v>
      </c>
      <c r="G9770" s="206" t="s">
        <v>6994</v>
      </c>
      <c r="H9770" s="206" t="s">
        <v>6266</v>
      </c>
      <c r="I9770" s="206" t="s">
        <v>7692</v>
      </c>
    </row>
    <row r="9771" spans="1:9" ht="15" hidden="1" customHeight="1">
      <c r="A9771" s="205">
        <v>45628</v>
      </c>
      <c r="B9771" s="208" t="s">
        <v>7691</v>
      </c>
      <c r="C9771" s="206" t="s">
        <v>146</v>
      </c>
      <c r="D9771" s="211">
        <v>-20000</v>
      </c>
      <c r="E9771" s="212">
        <v>45627</v>
      </c>
      <c r="F9771" s="206" t="s">
        <v>109</v>
      </c>
      <c r="G9771" s="206" t="s">
        <v>6994</v>
      </c>
      <c r="H9771" s="206" t="s">
        <v>6266</v>
      </c>
      <c r="I9771" s="206" t="s">
        <v>7692</v>
      </c>
    </row>
    <row r="9772" spans="1:9" ht="15" hidden="1" customHeight="1">
      <c r="A9772" s="205">
        <v>45628</v>
      </c>
      <c r="B9772" s="208" t="s">
        <v>7416</v>
      </c>
      <c r="C9772" s="206" t="s">
        <v>146</v>
      </c>
      <c r="D9772" s="211">
        <v>-10000</v>
      </c>
      <c r="E9772" s="212">
        <v>45627</v>
      </c>
      <c r="F9772" s="206" t="s">
        <v>109</v>
      </c>
      <c r="G9772" s="206" t="s">
        <v>6994</v>
      </c>
      <c r="H9772" s="206" t="s">
        <v>6266</v>
      </c>
      <c r="I9772" s="206" t="s">
        <v>7692</v>
      </c>
    </row>
    <row r="9773" spans="1:9" ht="15" hidden="1" customHeight="1">
      <c r="A9773" s="205">
        <v>45645</v>
      </c>
      <c r="B9773" s="208" t="s">
        <v>7693</v>
      </c>
      <c r="C9773" s="206" t="s">
        <v>146</v>
      </c>
      <c r="D9773" s="211">
        <v>-6000</v>
      </c>
      <c r="E9773" s="212">
        <v>45627</v>
      </c>
      <c r="F9773" s="206" t="s">
        <v>109</v>
      </c>
      <c r="G9773" s="206" t="s">
        <v>6994</v>
      </c>
      <c r="H9773" s="206" t="s">
        <v>6266</v>
      </c>
      <c r="I9773" s="206" t="s">
        <v>6793</v>
      </c>
    </row>
    <row r="9774" spans="1:9" ht="15" hidden="1" customHeight="1">
      <c r="A9774" s="205">
        <v>45645</v>
      </c>
      <c r="B9774" s="208" t="s">
        <v>7694</v>
      </c>
      <c r="C9774" s="206" t="s">
        <v>146</v>
      </c>
      <c r="D9774" s="211">
        <v>-20000</v>
      </c>
      <c r="E9774" s="212">
        <v>45627</v>
      </c>
      <c r="F9774" s="206" t="s">
        <v>109</v>
      </c>
      <c r="G9774" s="206" t="s">
        <v>5990</v>
      </c>
      <c r="H9774" s="206" t="s">
        <v>6266</v>
      </c>
      <c r="I9774" s="206" t="s">
        <v>6793</v>
      </c>
    </row>
    <row r="9775" spans="1:9" ht="15" hidden="1" customHeight="1">
      <c r="A9775" s="205">
        <v>45645</v>
      </c>
      <c r="B9775" s="165" t="s">
        <v>7416</v>
      </c>
      <c r="C9775" s="206" t="s">
        <v>146</v>
      </c>
      <c r="D9775" s="211">
        <v>-10000</v>
      </c>
      <c r="E9775" s="212">
        <v>45627</v>
      </c>
      <c r="F9775" s="206" t="s">
        <v>109</v>
      </c>
      <c r="G9775" s="206" t="s">
        <v>6994</v>
      </c>
      <c r="H9775" s="206" t="s">
        <v>6266</v>
      </c>
      <c r="I9775" s="206" t="s">
        <v>6793</v>
      </c>
    </row>
    <row r="9776" spans="1:9" ht="15" hidden="1" customHeight="1">
      <c r="A9776" s="205">
        <v>45645</v>
      </c>
      <c r="B9776" s="208" t="s">
        <v>7691</v>
      </c>
      <c r="C9776" s="206" t="s">
        <v>146</v>
      </c>
      <c r="D9776" s="211">
        <v>-20000</v>
      </c>
      <c r="E9776" s="212">
        <v>45627</v>
      </c>
      <c r="F9776" s="206" t="s">
        <v>109</v>
      </c>
      <c r="G9776" s="206" t="s">
        <v>5990</v>
      </c>
      <c r="H9776" s="206" t="s">
        <v>6266</v>
      </c>
      <c r="I9776" s="206" t="s">
        <v>6793</v>
      </c>
    </row>
    <row r="9777" spans="1:9" ht="15" hidden="1" customHeight="1">
      <c r="A9777" s="205">
        <v>45645</v>
      </c>
      <c r="B9777" s="208" t="s">
        <v>7695</v>
      </c>
      <c r="C9777" s="206" t="s">
        <v>146</v>
      </c>
      <c r="D9777" s="211">
        <v>-8500</v>
      </c>
      <c r="E9777" s="212">
        <v>45627</v>
      </c>
      <c r="F9777" s="206" t="s">
        <v>109</v>
      </c>
      <c r="G9777" s="206" t="s">
        <v>6994</v>
      </c>
      <c r="H9777" s="206" t="s">
        <v>6266</v>
      </c>
      <c r="I9777" s="206" t="s">
        <v>6793</v>
      </c>
    </row>
    <row r="9778" spans="1:9" ht="15" hidden="1" customHeight="1">
      <c r="A9778" s="205">
        <v>45636</v>
      </c>
      <c r="B9778" s="208" t="s">
        <v>6484</v>
      </c>
      <c r="C9778" s="206" t="s">
        <v>146</v>
      </c>
      <c r="D9778" s="211">
        <v>-70000</v>
      </c>
      <c r="E9778" s="212">
        <v>45627</v>
      </c>
      <c r="F9778" s="206" t="s">
        <v>109</v>
      </c>
      <c r="G9778" s="206" t="s">
        <v>5990</v>
      </c>
      <c r="H9778" s="206" t="s">
        <v>6266</v>
      </c>
      <c r="I9778" s="206" t="s">
        <v>6479</v>
      </c>
    </row>
    <row r="9779" spans="1:9" ht="15" hidden="1" customHeight="1">
      <c r="A9779" s="205">
        <v>45637</v>
      </c>
      <c r="B9779" s="208" t="s">
        <v>7696</v>
      </c>
      <c r="C9779" s="206" t="s">
        <v>146</v>
      </c>
      <c r="D9779" s="211">
        <v>-185000</v>
      </c>
      <c r="E9779" s="212">
        <v>45627</v>
      </c>
      <c r="F9779" s="206" t="s">
        <v>109</v>
      </c>
      <c r="G9779" s="206" t="s">
        <v>5990</v>
      </c>
      <c r="H9779" s="206" t="s">
        <v>6687</v>
      </c>
      <c r="I9779" s="206" t="s">
        <v>6479</v>
      </c>
    </row>
    <row r="9780" spans="1:9" ht="15" hidden="1" customHeight="1">
      <c r="A9780" s="205">
        <v>45639</v>
      </c>
      <c r="B9780" s="208" t="s">
        <v>6484</v>
      </c>
      <c r="C9780" s="206" t="s">
        <v>146</v>
      </c>
      <c r="D9780" s="211">
        <v>-100000</v>
      </c>
      <c r="E9780" s="212">
        <v>45627</v>
      </c>
      <c r="F9780" s="206" t="s">
        <v>109</v>
      </c>
      <c r="G9780" s="206" t="s">
        <v>5990</v>
      </c>
      <c r="H9780" s="206" t="s">
        <v>6266</v>
      </c>
      <c r="I9780" s="206" t="s">
        <v>6479</v>
      </c>
    </row>
    <row r="9781" spans="1:9" ht="15" hidden="1" customHeight="1">
      <c r="A9781" s="205">
        <v>45640</v>
      </c>
      <c r="B9781" s="208" t="s">
        <v>7697</v>
      </c>
      <c r="C9781" s="206" t="s">
        <v>146</v>
      </c>
      <c r="D9781" s="211">
        <v>-84000</v>
      </c>
      <c r="E9781" s="212">
        <v>45627</v>
      </c>
      <c r="F9781" s="206" t="s">
        <v>109</v>
      </c>
      <c r="G9781" s="206" t="s">
        <v>5990</v>
      </c>
      <c r="H9781" s="206" t="s">
        <v>6482</v>
      </c>
      <c r="I9781" s="206" t="s">
        <v>6479</v>
      </c>
    </row>
    <row r="9782" spans="1:9" ht="15" hidden="1" customHeight="1">
      <c r="A9782" s="205">
        <v>45640</v>
      </c>
      <c r="B9782" s="208" t="s">
        <v>7698</v>
      </c>
      <c r="C9782" s="206" t="s">
        <v>146</v>
      </c>
      <c r="D9782" s="211">
        <v>-30000</v>
      </c>
      <c r="E9782" s="212">
        <v>45627</v>
      </c>
      <c r="F9782" s="206" t="s">
        <v>109</v>
      </c>
      <c r="G9782" s="206" t="s">
        <v>5990</v>
      </c>
      <c r="H9782" s="206" t="s">
        <v>6667</v>
      </c>
      <c r="I9782" s="206" t="s">
        <v>6479</v>
      </c>
    </row>
    <row r="9783" spans="1:9" ht="15" hidden="1" customHeight="1">
      <c r="A9783" s="205">
        <v>45640</v>
      </c>
      <c r="B9783" s="208" t="s">
        <v>7699</v>
      </c>
      <c r="C9783" s="206" t="s">
        <v>146</v>
      </c>
      <c r="D9783" s="211">
        <v>-20000</v>
      </c>
      <c r="E9783" s="212">
        <v>45627</v>
      </c>
      <c r="F9783" s="206" t="s">
        <v>109</v>
      </c>
      <c r="G9783" s="206" t="s">
        <v>5990</v>
      </c>
      <c r="H9783" s="206" t="s">
        <v>6667</v>
      </c>
      <c r="I9783" s="206" t="s">
        <v>6479</v>
      </c>
    </row>
    <row r="9784" spans="1:9" ht="15" hidden="1" customHeight="1">
      <c r="A9784" s="205">
        <v>45642</v>
      </c>
      <c r="B9784" s="208" t="s">
        <v>7700</v>
      </c>
      <c r="C9784" s="206" t="s">
        <v>146</v>
      </c>
      <c r="D9784" s="211">
        <v>-40000</v>
      </c>
      <c r="E9784" s="212">
        <v>45627</v>
      </c>
      <c r="F9784" s="206" t="s">
        <v>109</v>
      </c>
      <c r="G9784" s="206" t="s">
        <v>5990</v>
      </c>
      <c r="H9784" s="206" t="s">
        <v>6266</v>
      </c>
      <c r="I9784" s="206" t="s">
        <v>6479</v>
      </c>
    </row>
    <row r="9785" spans="1:9" ht="15" hidden="1" customHeight="1">
      <c r="A9785" s="205">
        <v>45642</v>
      </c>
      <c r="B9785" s="208" t="s">
        <v>7701</v>
      </c>
      <c r="C9785" s="206" t="s">
        <v>146</v>
      </c>
      <c r="D9785" s="211">
        <v>-12000</v>
      </c>
      <c r="E9785" s="212">
        <v>45627</v>
      </c>
      <c r="F9785" s="206" t="s">
        <v>109</v>
      </c>
      <c r="G9785" s="206" t="s">
        <v>5990</v>
      </c>
      <c r="H9785" s="206" t="s">
        <v>7702</v>
      </c>
      <c r="I9785" s="206" t="s">
        <v>6479</v>
      </c>
    </row>
    <row r="9786" spans="1:9" ht="15" hidden="1" customHeight="1">
      <c r="A9786" s="205">
        <v>45643</v>
      </c>
      <c r="B9786" s="208" t="s">
        <v>7703</v>
      </c>
      <c r="C9786" s="206" t="s">
        <v>146</v>
      </c>
      <c r="D9786" s="211">
        <v>-327000</v>
      </c>
      <c r="E9786" s="212">
        <v>45627</v>
      </c>
      <c r="F9786" s="206" t="s">
        <v>109</v>
      </c>
      <c r="G9786" s="206" t="s">
        <v>5990</v>
      </c>
      <c r="H9786" s="206" t="s">
        <v>6687</v>
      </c>
      <c r="I9786" s="206" t="s">
        <v>6479</v>
      </c>
    </row>
    <row r="9787" spans="1:9" ht="15" hidden="1" customHeight="1">
      <c r="A9787" s="205">
        <v>45643</v>
      </c>
      <c r="B9787" s="208" t="s">
        <v>7704</v>
      </c>
      <c r="C9787" s="206" t="s">
        <v>146</v>
      </c>
      <c r="D9787" s="211">
        <v>-70000</v>
      </c>
      <c r="E9787" s="212">
        <v>45627</v>
      </c>
      <c r="F9787" s="206" t="s">
        <v>109</v>
      </c>
      <c r="G9787" s="206" t="s">
        <v>5990</v>
      </c>
      <c r="H9787" s="206" t="s">
        <v>6482</v>
      </c>
      <c r="I9787" s="206" t="s">
        <v>6479</v>
      </c>
    </row>
    <row r="9788" spans="1:9" ht="15" hidden="1" customHeight="1">
      <c r="A9788" s="205">
        <v>45643</v>
      </c>
      <c r="B9788" s="208" t="s">
        <v>7705</v>
      </c>
      <c r="C9788" s="206" t="s">
        <v>146</v>
      </c>
      <c r="D9788" s="211">
        <v>-130000</v>
      </c>
      <c r="E9788" s="212">
        <v>45627</v>
      </c>
      <c r="F9788" s="206" t="s">
        <v>109</v>
      </c>
      <c r="G9788" s="206" t="s">
        <v>5990</v>
      </c>
      <c r="H9788" s="206" t="s">
        <v>6266</v>
      </c>
      <c r="I9788" s="206" t="s">
        <v>6479</v>
      </c>
    </row>
    <row r="9789" spans="1:9" ht="15" hidden="1" customHeight="1">
      <c r="A9789" s="205">
        <v>45643</v>
      </c>
      <c r="B9789" s="208" t="s">
        <v>7706</v>
      </c>
      <c r="C9789" s="206" t="s">
        <v>146</v>
      </c>
      <c r="D9789" s="211">
        <v>-420000</v>
      </c>
      <c r="E9789" s="212">
        <v>45627</v>
      </c>
      <c r="F9789" s="206" t="s">
        <v>109</v>
      </c>
      <c r="G9789" s="206" t="s">
        <v>5990</v>
      </c>
      <c r="H9789" s="206" t="s">
        <v>6667</v>
      </c>
      <c r="I9789" s="206" t="s">
        <v>6479</v>
      </c>
    </row>
    <row r="9790" spans="1:9" ht="15" hidden="1" customHeight="1">
      <c r="A9790" s="205">
        <v>45644</v>
      </c>
      <c r="B9790" s="208" t="s">
        <v>6484</v>
      </c>
      <c r="C9790" s="206" t="s">
        <v>146</v>
      </c>
      <c r="D9790" s="211">
        <v>-50000</v>
      </c>
      <c r="E9790" s="212">
        <v>45627</v>
      </c>
      <c r="F9790" s="206" t="s">
        <v>109</v>
      </c>
      <c r="G9790" s="206" t="s">
        <v>5990</v>
      </c>
      <c r="H9790" s="206" t="s">
        <v>6266</v>
      </c>
      <c r="I9790" s="206" t="s">
        <v>6479</v>
      </c>
    </row>
    <row r="9791" spans="1:9" ht="15" hidden="1" customHeight="1">
      <c r="A9791" s="205">
        <v>45644</v>
      </c>
      <c r="B9791" s="208" t="s">
        <v>7700</v>
      </c>
      <c r="C9791" s="206" t="s">
        <v>146</v>
      </c>
      <c r="D9791" s="211">
        <v>-20000</v>
      </c>
      <c r="E9791" s="212">
        <v>45627</v>
      </c>
      <c r="F9791" s="206" t="s">
        <v>109</v>
      </c>
      <c r="G9791" s="206" t="s">
        <v>5990</v>
      </c>
      <c r="H9791" s="206" t="s">
        <v>6266</v>
      </c>
      <c r="I9791" s="206" t="s">
        <v>6479</v>
      </c>
    </row>
    <row r="9792" spans="1:9" ht="15" hidden="1" customHeight="1">
      <c r="A9792" s="205">
        <v>45644</v>
      </c>
      <c r="B9792" s="208" t="s">
        <v>7707</v>
      </c>
      <c r="C9792" s="206" t="s">
        <v>146</v>
      </c>
      <c r="D9792" s="211">
        <v>-380500</v>
      </c>
      <c r="E9792" s="212">
        <v>45627</v>
      </c>
      <c r="F9792" s="206" t="s">
        <v>109</v>
      </c>
      <c r="G9792" s="206" t="s">
        <v>5990</v>
      </c>
      <c r="H9792" s="206" t="s">
        <v>6667</v>
      </c>
      <c r="I9792" s="206" t="s">
        <v>6479</v>
      </c>
    </row>
    <row r="9793" spans="1:9" ht="15" hidden="1" customHeight="1">
      <c r="A9793" s="205">
        <v>45644</v>
      </c>
      <c r="B9793" s="208" t="s">
        <v>6484</v>
      </c>
      <c r="C9793" s="206" t="s">
        <v>146</v>
      </c>
      <c r="D9793" s="211">
        <v>-146000</v>
      </c>
      <c r="E9793" s="212">
        <v>45627</v>
      </c>
      <c r="F9793" s="206" t="s">
        <v>109</v>
      </c>
      <c r="G9793" s="206" t="s">
        <v>5990</v>
      </c>
      <c r="H9793" s="206" t="s">
        <v>6266</v>
      </c>
      <c r="I9793" s="206" t="s">
        <v>6479</v>
      </c>
    </row>
    <row r="9794" spans="1:9" ht="15" hidden="1" customHeight="1">
      <c r="A9794" s="205">
        <v>45640</v>
      </c>
      <c r="B9794" s="208" t="s">
        <v>7699</v>
      </c>
      <c r="C9794" s="206" t="s">
        <v>146</v>
      </c>
      <c r="D9794" s="211">
        <v>-20000</v>
      </c>
      <c r="E9794" s="212">
        <v>45627</v>
      </c>
      <c r="F9794" s="206" t="s">
        <v>109</v>
      </c>
      <c r="G9794" s="206" t="s">
        <v>5990</v>
      </c>
      <c r="H9794" s="206" t="s">
        <v>6667</v>
      </c>
      <c r="I9794" s="206" t="s">
        <v>6479</v>
      </c>
    </row>
    <row r="9795" spans="1:9" ht="15" hidden="1" customHeight="1">
      <c r="A9795" s="205">
        <v>45619</v>
      </c>
      <c r="B9795" s="208" t="s">
        <v>7708</v>
      </c>
      <c r="C9795" s="206" t="s">
        <v>146</v>
      </c>
      <c r="D9795" s="211">
        <v>-13500</v>
      </c>
      <c r="E9795" s="212">
        <v>45627</v>
      </c>
      <c r="F9795" s="206" t="s">
        <v>109</v>
      </c>
      <c r="G9795" s="206" t="s">
        <v>6994</v>
      </c>
      <c r="H9795" s="206" t="s">
        <v>6266</v>
      </c>
      <c r="I9795" s="206" t="s">
        <v>6479</v>
      </c>
    </row>
    <row r="9796" spans="1:9" ht="15" hidden="1" customHeight="1">
      <c r="A9796" s="205">
        <v>45625</v>
      </c>
      <c r="B9796" s="208" t="s">
        <v>7709</v>
      </c>
      <c r="C9796" s="206" t="s">
        <v>146</v>
      </c>
      <c r="D9796" s="211">
        <v>-40000</v>
      </c>
      <c r="E9796" s="212">
        <v>45627</v>
      </c>
      <c r="F9796" s="206" t="s">
        <v>109</v>
      </c>
      <c r="G9796" s="206" t="s">
        <v>6994</v>
      </c>
      <c r="H9796" s="206" t="s">
        <v>6266</v>
      </c>
      <c r="I9796" s="206" t="s">
        <v>6479</v>
      </c>
    </row>
    <row r="9797" spans="1:9" ht="15" hidden="1" customHeight="1">
      <c r="A9797" s="205">
        <v>45625</v>
      </c>
      <c r="B9797" s="208" t="s">
        <v>7709</v>
      </c>
      <c r="C9797" s="206" t="s">
        <v>146</v>
      </c>
      <c r="D9797" s="211">
        <v>-40000</v>
      </c>
      <c r="E9797" s="212">
        <v>45627</v>
      </c>
      <c r="F9797" s="206" t="s">
        <v>109</v>
      </c>
      <c r="G9797" s="206" t="s">
        <v>6994</v>
      </c>
      <c r="H9797" s="206" t="s">
        <v>6266</v>
      </c>
      <c r="I9797" s="206" t="s">
        <v>6479</v>
      </c>
    </row>
    <row r="9798" spans="1:9" ht="15" hidden="1" customHeight="1">
      <c r="A9798" s="205">
        <v>45626</v>
      </c>
      <c r="B9798" s="208" t="s">
        <v>7708</v>
      </c>
      <c r="C9798" s="206" t="s">
        <v>146</v>
      </c>
      <c r="D9798" s="211">
        <v>-13500</v>
      </c>
      <c r="E9798" s="212">
        <v>45627</v>
      </c>
      <c r="F9798" s="206" t="s">
        <v>109</v>
      </c>
      <c r="G9798" s="206" t="s">
        <v>6994</v>
      </c>
      <c r="H9798" s="206" t="s">
        <v>6266</v>
      </c>
      <c r="I9798" s="206" t="s">
        <v>6479</v>
      </c>
    </row>
    <row r="9799" spans="1:9" ht="15" hidden="1" customHeight="1">
      <c r="A9799" s="205">
        <v>45626</v>
      </c>
      <c r="B9799" s="208" t="s">
        <v>7710</v>
      </c>
      <c r="C9799" s="206" t="s">
        <v>146</v>
      </c>
      <c r="D9799" s="211">
        <v>-80000</v>
      </c>
      <c r="E9799" s="212">
        <v>45627</v>
      </c>
      <c r="F9799" s="206" t="s">
        <v>109</v>
      </c>
      <c r="G9799" s="206" t="s">
        <v>6994</v>
      </c>
      <c r="H9799" s="206" t="s">
        <v>6266</v>
      </c>
      <c r="I9799" s="206" t="s">
        <v>6479</v>
      </c>
    </row>
    <row r="9800" spans="1:9" ht="15" hidden="1" customHeight="1">
      <c r="A9800" s="205">
        <v>45627</v>
      </c>
      <c r="B9800" s="208" t="s">
        <v>7711</v>
      </c>
      <c r="C9800" s="206" t="s">
        <v>146</v>
      </c>
      <c r="D9800" s="211">
        <v>-70000</v>
      </c>
      <c r="E9800" s="212">
        <v>45627</v>
      </c>
      <c r="F9800" s="206" t="s">
        <v>109</v>
      </c>
      <c r="G9800" s="206" t="s">
        <v>6994</v>
      </c>
      <c r="H9800" s="206" t="s">
        <v>6266</v>
      </c>
      <c r="I9800" s="206" t="s">
        <v>6479</v>
      </c>
    </row>
    <row r="9801" spans="1:9" ht="15" hidden="1" customHeight="1">
      <c r="A9801" s="205">
        <v>45628</v>
      </c>
      <c r="B9801" s="208" t="s">
        <v>7708</v>
      </c>
      <c r="C9801" s="206" t="s">
        <v>146</v>
      </c>
      <c r="D9801" s="211">
        <v>-13500</v>
      </c>
      <c r="E9801" s="212">
        <v>45627</v>
      </c>
      <c r="F9801" s="206" t="s">
        <v>109</v>
      </c>
      <c r="G9801" s="206" t="s">
        <v>6994</v>
      </c>
      <c r="H9801" s="206" t="s">
        <v>6266</v>
      </c>
      <c r="I9801" s="206" t="s">
        <v>6479</v>
      </c>
    </row>
    <row r="9802" spans="1:9" ht="15" hidden="1" customHeight="1">
      <c r="A9802" s="205">
        <v>45628</v>
      </c>
      <c r="B9802" s="208" t="s">
        <v>7712</v>
      </c>
      <c r="C9802" s="206" t="s">
        <v>146</v>
      </c>
      <c r="D9802" s="211">
        <v>-18000</v>
      </c>
      <c r="E9802" s="212">
        <v>45627</v>
      </c>
      <c r="F9802" s="206" t="s">
        <v>109</v>
      </c>
      <c r="G9802" s="206" t="s">
        <v>6994</v>
      </c>
      <c r="H9802" s="206" t="s">
        <v>6669</v>
      </c>
      <c r="I9802" s="206" t="s">
        <v>6479</v>
      </c>
    </row>
    <row r="9803" spans="1:9" ht="15" hidden="1" customHeight="1">
      <c r="A9803" s="205">
        <v>45629</v>
      </c>
      <c r="B9803" s="208" t="s">
        <v>7713</v>
      </c>
      <c r="C9803" s="206" t="s">
        <v>146</v>
      </c>
      <c r="D9803" s="211">
        <v>-25000</v>
      </c>
      <c r="E9803" s="212">
        <v>45627</v>
      </c>
      <c r="F9803" s="206" t="s">
        <v>109</v>
      </c>
      <c r="G9803" s="206" t="s">
        <v>6994</v>
      </c>
      <c r="H9803" s="206" t="s">
        <v>6973</v>
      </c>
      <c r="I9803" s="206" t="s">
        <v>6479</v>
      </c>
    </row>
    <row r="9804" spans="1:9" ht="15" hidden="1" customHeight="1">
      <c r="A9804" s="205">
        <v>45629</v>
      </c>
      <c r="B9804" s="208" t="s">
        <v>7714</v>
      </c>
      <c r="C9804" s="206" t="s">
        <v>146</v>
      </c>
      <c r="D9804" s="211">
        <v>-50000</v>
      </c>
      <c r="E9804" s="212">
        <v>45627</v>
      </c>
      <c r="F9804" s="206" t="s">
        <v>109</v>
      </c>
      <c r="G9804" s="206" t="s">
        <v>6994</v>
      </c>
      <c r="H9804" s="206" t="s">
        <v>6266</v>
      </c>
      <c r="I9804" s="206" t="s">
        <v>6479</v>
      </c>
    </row>
    <row r="9805" spans="1:9" ht="15" hidden="1" customHeight="1">
      <c r="A9805" s="205">
        <v>45629</v>
      </c>
      <c r="B9805" s="208" t="s">
        <v>7711</v>
      </c>
      <c r="C9805" s="206" t="s">
        <v>146</v>
      </c>
      <c r="D9805" s="211">
        <v>-178000</v>
      </c>
      <c r="E9805" s="212">
        <v>45627</v>
      </c>
      <c r="F9805" s="206" t="s">
        <v>109</v>
      </c>
      <c r="G9805" s="206" t="s">
        <v>6994</v>
      </c>
      <c r="H9805" s="206" t="s">
        <v>6266</v>
      </c>
      <c r="I9805" s="206" t="s">
        <v>6479</v>
      </c>
    </row>
    <row r="9806" spans="1:9" ht="15" hidden="1" customHeight="1">
      <c r="A9806" s="205">
        <v>45630</v>
      </c>
      <c r="B9806" s="208" t="s">
        <v>7715</v>
      </c>
      <c r="C9806" s="206" t="s">
        <v>146</v>
      </c>
      <c r="D9806" s="211">
        <v>-14000</v>
      </c>
      <c r="E9806" s="212">
        <v>45627</v>
      </c>
      <c r="F9806" s="206" t="s">
        <v>109</v>
      </c>
      <c r="G9806" s="206" t="s">
        <v>6954</v>
      </c>
      <c r="H9806" s="206" t="s">
        <v>6973</v>
      </c>
      <c r="I9806" s="206" t="s">
        <v>6479</v>
      </c>
    </row>
    <row r="9807" spans="1:9" ht="15" hidden="1" customHeight="1">
      <c r="A9807" s="205">
        <v>45630</v>
      </c>
      <c r="B9807" s="208" t="s">
        <v>7716</v>
      </c>
      <c r="C9807" s="206" t="s">
        <v>146</v>
      </c>
      <c r="D9807" s="211">
        <v>-50000</v>
      </c>
      <c r="E9807" s="212">
        <v>45627</v>
      </c>
      <c r="F9807" s="206" t="s">
        <v>109</v>
      </c>
      <c r="G9807" s="206" t="s">
        <v>6994</v>
      </c>
      <c r="H9807" s="206" t="s">
        <v>6266</v>
      </c>
      <c r="I9807" s="206" t="s">
        <v>6479</v>
      </c>
    </row>
    <row r="9808" spans="1:9" ht="15" hidden="1" customHeight="1">
      <c r="A9808" s="205">
        <v>45631</v>
      </c>
      <c r="B9808" s="208" t="s">
        <v>7708</v>
      </c>
      <c r="C9808" s="206" t="s">
        <v>146</v>
      </c>
      <c r="D9808" s="211">
        <v>-13500</v>
      </c>
      <c r="E9808" s="212">
        <v>45627</v>
      </c>
      <c r="F9808" s="206" t="s">
        <v>109</v>
      </c>
      <c r="G9808" s="206" t="s">
        <v>6994</v>
      </c>
      <c r="H9808" s="206" t="s">
        <v>6266</v>
      </c>
      <c r="I9808" s="206" t="s">
        <v>6479</v>
      </c>
    </row>
    <row r="9809" spans="1:9" ht="15" hidden="1" customHeight="1">
      <c r="A9809" s="205">
        <v>45632</v>
      </c>
      <c r="B9809" s="208" t="s">
        <v>7708</v>
      </c>
      <c r="C9809" s="206" t="s">
        <v>146</v>
      </c>
      <c r="D9809" s="211">
        <v>-13500</v>
      </c>
      <c r="E9809" s="212">
        <v>45627</v>
      </c>
      <c r="F9809" s="206" t="s">
        <v>109</v>
      </c>
      <c r="G9809" s="206" t="s">
        <v>6994</v>
      </c>
      <c r="H9809" s="206" t="s">
        <v>6266</v>
      </c>
      <c r="I9809" s="206" t="s">
        <v>6479</v>
      </c>
    </row>
    <row r="9810" spans="1:9" ht="15" hidden="1" customHeight="1">
      <c r="A9810" s="205">
        <v>45632</v>
      </c>
      <c r="B9810" s="208" t="s">
        <v>7708</v>
      </c>
      <c r="C9810" s="206" t="s">
        <v>146</v>
      </c>
      <c r="D9810" s="211">
        <v>-13500</v>
      </c>
      <c r="E9810" s="212">
        <v>45627</v>
      </c>
      <c r="F9810" s="206" t="s">
        <v>109</v>
      </c>
      <c r="G9810" s="206" t="s">
        <v>6994</v>
      </c>
      <c r="H9810" s="206" t="s">
        <v>6266</v>
      </c>
      <c r="I9810" s="206" t="s">
        <v>6479</v>
      </c>
    </row>
    <row r="9811" spans="1:9" ht="15" hidden="1" customHeight="1">
      <c r="A9811" s="205">
        <v>45632</v>
      </c>
      <c r="B9811" s="208" t="s">
        <v>7709</v>
      </c>
      <c r="C9811" s="206" t="s">
        <v>146</v>
      </c>
      <c r="D9811" s="211">
        <v>-40000</v>
      </c>
      <c r="E9811" s="212">
        <v>45627</v>
      </c>
      <c r="F9811" s="206" t="s">
        <v>109</v>
      </c>
      <c r="G9811" s="206" t="s">
        <v>6994</v>
      </c>
      <c r="H9811" s="206" t="s">
        <v>6266</v>
      </c>
      <c r="I9811" s="206" t="s">
        <v>6479</v>
      </c>
    </row>
    <row r="9812" spans="1:9" ht="15" hidden="1" customHeight="1">
      <c r="A9812" s="205">
        <v>45633</v>
      </c>
      <c r="B9812" s="208" t="s">
        <v>7717</v>
      </c>
      <c r="C9812" s="206" t="s">
        <v>146</v>
      </c>
      <c r="D9812" s="211">
        <v>-80000</v>
      </c>
      <c r="E9812" s="212">
        <v>45627</v>
      </c>
      <c r="F9812" s="206" t="s">
        <v>109</v>
      </c>
      <c r="G9812" s="206" t="s">
        <v>6994</v>
      </c>
      <c r="H9812" s="206" t="s">
        <v>6266</v>
      </c>
      <c r="I9812" s="206" t="s">
        <v>6479</v>
      </c>
    </row>
    <row r="9813" spans="1:9" ht="15" hidden="1" customHeight="1">
      <c r="A9813" s="205">
        <v>45635</v>
      </c>
      <c r="B9813" s="208" t="s">
        <v>7708</v>
      </c>
      <c r="C9813" s="206" t="s">
        <v>146</v>
      </c>
      <c r="D9813" s="211">
        <v>-13500</v>
      </c>
      <c r="E9813" s="212">
        <v>45627</v>
      </c>
      <c r="F9813" s="206" t="s">
        <v>109</v>
      </c>
      <c r="G9813" s="206" t="s">
        <v>6994</v>
      </c>
      <c r="H9813" s="206" t="s">
        <v>6266</v>
      </c>
      <c r="I9813" s="206" t="s">
        <v>6479</v>
      </c>
    </row>
    <row r="9814" spans="1:9" ht="15" hidden="1" customHeight="1">
      <c r="A9814" s="205">
        <v>45635</v>
      </c>
      <c r="B9814" s="208" t="s">
        <v>7711</v>
      </c>
      <c r="C9814" s="206" t="s">
        <v>146</v>
      </c>
      <c r="D9814" s="211">
        <v>-170000</v>
      </c>
      <c r="E9814" s="212">
        <v>45627</v>
      </c>
      <c r="F9814" s="206" t="s">
        <v>109</v>
      </c>
      <c r="G9814" s="206" t="s">
        <v>6994</v>
      </c>
      <c r="H9814" s="206" t="s">
        <v>6266</v>
      </c>
      <c r="I9814" s="206" t="s">
        <v>6479</v>
      </c>
    </row>
    <row r="9815" spans="1:9" ht="15" hidden="1" customHeight="1">
      <c r="A9815" s="205">
        <v>45606</v>
      </c>
      <c r="B9815" s="208" t="s">
        <v>7718</v>
      </c>
      <c r="C9815" s="206" t="s">
        <v>146</v>
      </c>
      <c r="D9815" s="211">
        <v>-80000</v>
      </c>
      <c r="E9815" s="212">
        <v>45627</v>
      </c>
      <c r="F9815" s="206" t="s">
        <v>109</v>
      </c>
      <c r="G9815" s="206" t="s">
        <v>6994</v>
      </c>
      <c r="H9815" s="206" t="s">
        <v>6679</v>
      </c>
      <c r="I9815" s="206" t="s">
        <v>6479</v>
      </c>
    </row>
    <row r="9816" spans="1:9" ht="15" hidden="1" customHeight="1">
      <c r="A9816" s="205">
        <v>45607</v>
      </c>
      <c r="B9816" s="208" t="s">
        <v>7719</v>
      </c>
      <c r="C9816" s="206" t="s">
        <v>146</v>
      </c>
      <c r="D9816" s="211">
        <v>-84000</v>
      </c>
      <c r="E9816" s="212">
        <v>45627</v>
      </c>
      <c r="F9816" s="206" t="s">
        <v>109</v>
      </c>
      <c r="G9816" s="206" t="s">
        <v>6994</v>
      </c>
      <c r="H9816" s="206" t="s">
        <v>6679</v>
      </c>
      <c r="I9816" s="206" t="s">
        <v>6479</v>
      </c>
    </row>
    <row r="9817" spans="1:9" ht="15" hidden="1" customHeight="1">
      <c r="A9817" s="205">
        <v>45638</v>
      </c>
      <c r="B9817" s="208" t="s">
        <v>7720</v>
      </c>
      <c r="C9817" s="206" t="s">
        <v>146</v>
      </c>
      <c r="D9817" s="211">
        <v>-150000</v>
      </c>
      <c r="E9817" s="212">
        <v>45627</v>
      </c>
      <c r="F9817" s="206" t="s">
        <v>109</v>
      </c>
      <c r="G9817" s="206" t="s">
        <v>6954</v>
      </c>
      <c r="H9817" s="206" t="s">
        <v>6667</v>
      </c>
      <c r="I9817" s="206" t="s">
        <v>6479</v>
      </c>
    </row>
    <row r="9818" spans="1:9" ht="15" hidden="1" customHeight="1">
      <c r="A9818" s="205">
        <v>45638</v>
      </c>
      <c r="B9818" s="208" t="s">
        <v>7716</v>
      </c>
      <c r="C9818" s="206" t="s">
        <v>146</v>
      </c>
      <c r="D9818" s="211">
        <v>-50000</v>
      </c>
      <c r="E9818" s="212">
        <v>45627</v>
      </c>
      <c r="F9818" s="206" t="s">
        <v>109</v>
      </c>
      <c r="G9818" s="206" t="s">
        <v>6994</v>
      </c>
      <c r="H9818" s="206" t="s">
        <v>6266</v>
      </c>
      <c r="I9818" s="206" t="s">
        <v>6479</v>
      </c>
    </row>
    <row r="9819" spans="1:9" ht="15" hidden="1" customHeight="1">
      <c r="A9819" s="205">
        <v>45638</v>
      </c>
      <c r="B9819" s="208" t="s">
        <v>7721</v>
      </c>
      <c r="C9819" s="206" t="s">
        <v>146</v>
      </c>
      <c r="D9819" s="211">
        <v>-146000</v>
      </c>
      <c r="E9819" s="212">
        <v>45627</v>
      </c>
      <c r="F9819" s="206" t="s">
        <v>109</v>
      </c>
      <c r="G9819" s="206" t="s">
        <v>6954</v>
      </c>
      <c r="H9819" s="206" t="s">
        <v>6667</v>
      </c>
      <c r="I9819" s="206" t="s">
        <v>6479</v>
      </c>
    </row>
    <row r="9820" spans="1:9" ht="15" hidden="1" customHeight="1">
      <c r="A9820" s="205">
        <v>45640</v>
      </c>
      <c r="B9820" s="208" t="s">
        <v>7708</v>
      </c>
      <c r="C9820" s="206" t="s">
        <v>146</v>
      </c>
      <c r="D9820" s="211">
        <v>-13500</v>
      </c>
      <c r="E9820" s="212">
        <v>45627</v>
      </c>
      <c r="F9820" s="206" t="s">
        <v>109</v>
      </c>
      <c r="G9820" s="206" t="s">
        <v>6994</v>
      </c>
      <c r="H9820" s="206" t="s">
        <v>6266</v>
      </c>
      <c r="I9820" s="206" t="s">
        <v>6479</v>
      </c>
    </row>
    <row r="9821" spans="1:9" ht="15" hidden="1" customHeight="1">
      <c r="A9821" s="205">
        <v>45640</v>
      </c>
      <c r="B9821" s="208" t="s">
        <v>7722</v>
      </c>
      <c r="C9821" s="206" t="s">
        <v>146</v>
      </c>
      <c r="D9821" s="211">
        <v>-80000</v>
      </c>
      <c r="E9821" s="212">
        <v>45627</v>
      </c>
      <c r="F9821" s="206" t="s">
        <v>109</v>
      </c>
      <c r="G9821" s="206" t="s">
        <v>6994</v>
      </c>
      <c r="H9821" s="206" t="s">
        <v>6266</v>
      </c>
      <c r="I9821" s="206" t="s">
        <v>6479</v>
      </c>
    </row>
    <row r="9822" spans="1:9" ht="15" hidden="1" customHeight="1">
      <c r="A9822" s="205">
        <v>45640</v>
      </c>
      <c r="B9822" s="208" t="s">
        <v>7709</v>
      </c>
      <c r="C9822" s="206" t="s">
        <v>146</v>
      </c>
      <c r="D9822" s="211">
        <v>-40000</v>
      </c>
      <c r="E9822" s="212">
        <v>45627</v>
      </c>
      <c r="F9822" s="206" t="s">
        <v>109</v>
      </c>
      <c r="G9822" s="206" t="s">
        <v>6994</v>
      </c>
      <c r="H9822" s="206" t="s">
        <v>6266</v>
      </c>
      <c r="I9822" s="206" t="s">
        <v>6479</v>
      </c>
    </row>
    <row r="9823" spans="1:9" ht="15" hidden="1" customHeight="1">
      <c r="A9823" s="205">
        <v>45640</v>
      </c>
      <c r="B9823" s="208" t="s">
        <v>7709</v>
      </c>
      <c r="C9823" s="206" t="s">
        <v>146</v>
      </c>
      <c r="D9823" s="211">
        <v>-40000</v>
      </c>
      <c r="E9823" s="212">
        <v>45627</v>
      </c>
      <c r="F9823" s="206" t="s">
        <v>109</v>
      </c>
      <c r="G9823" s="206" t="s">
        <v>6994</v>
      </c>
      <c r="H9823" s="206" t="s">
        <v>6266</v>
      </c>
      <c r="I9823" s="206" t="s">
        <v>6479</v>
      </c>
    </row>
    <row r="9824" spans="1:9" ht="15" hidden="1" customHeight="1">
      <c r="A9824" s="205">
        <v>45640</v>
      </c>
      <c r="B9824" s="208" t="s">
        <v>7714</v>
      </c>
      <c r="C9824" s="206" t="s">
        <v>146</v>
      </c>
      <c r="D9824" s="211">
        <v>-50000</v>
      </c>
      <c r="E9824" s="212">
        <v>45627</v>
      </c>
      <c r="F9824" s="206" t="s">
        <v>109</v>
      </c>
      <c r="G9824" s="206" t="s">
        <v>6994</v>
      </c>
      <c r="H9824" s="206" t="s">
        <v>6266</v>
      </c>
      <c r="I9824" s="206" t="s">
        <v>6479</v>
      </c>
    </row>
    <row r="9825" spans="1:9" ht="15" hidden="1" customHeight="1">
      <c r="A9825" s="205">
        <v>45643</v>
      </c>
      <c r="B9825" s="208" t="s">
        <v>7713</v>
      </c>
      <c r="C9825" s="206" t="s">
        <v>146</v>
      </c>
      <c r="D9825" s="211">
        <v>-50000</v>
      </c>
      <c r="E9825" s="212">
        <v>45627</v>
      </c>
      <c r="F9825" s="206" t="s">
        <v>109</v>
      </c>
      <c r="G9825" s="206" t="s">
        <v>6994</v>
      </c>
      <c r="H9825" s="206" t="s">
        <v>6679</v>
      </c>
      <c r="I9825" s="206" t="s">
        <v>6479</v>
      </c>
    </row>
    <row r="9826" spans="1:9" ht="15" hidden="1" customHeight="1">
      <c r="A9826" s="205">
        <v>45644</v>
      </c>
      <c r="B9826" s="208" t="s">
        <v>7723</v>
      </c>
      <c r="C9826" s="206" t="s">
        <v>146</v>
      </c>
      <c r="D9826" s="211">
        <v>-14000</v>
      </c>
      <c r="E9826" s="212">
        <v>45627</v>
      </c>
      <c r="F9826" s="206" t="s">
        <v>109</v>
      </c>
      <c r="G9826" s="206" t="s">
        <v>6994</v>
      </c>
      <c r="H9826" s="206" t="s">
        <v>6667</v>
      </c>
      <c r="I9826" s="206" t="s">
        <v>6479</v>
      </c>
    </row>
    <row r="9827" spans="1:9" ht="15" hidden="1" customHeight="1">
      <c r="A9827" s="205">
        <v>45645</v>
      </c>
      <c r="B9827" s="208" t="s">
        <v>7724</v>
      </c>
      <c r="C9827" s="206" t="s">
        <v>146</v>
      </c>
      <c r="D9827" s="211">
        <v>-12000</v>
      </c>
      <c r="E9827" s="212">
        <v>45627</v>
      </c>
      <c r="F9827" s="206" t="s">
        <v>109</v>
      </c>
      <c r="G9827" s="206" t="s">
        <v>6994</v>
      </c>
      <c r="H9827" s="206" t="s">
        <v>6667</v>
      </c>
      <c r="I9827" s="206" t="s">
        <v>6479</v>
      </c>
    </row>
    <row r="9828" spans="1:9" ht="15" hidden="1" customHeight="1">
      <c r="A9828" s="205">
        <v>45645</v>
      </c>
      <c r="B9828" s="208" t="s">
        <v>7711</v>
      </c>
      <c r="C9828" s="206" t="s">
        <v>146</v>
      </c>
      <c r="D9828" s="211">
        <v>-180000</v>
      </c>
      <c r="E9828" s="212">
        <v>45627</v>
      </c>
      <c r="F9828" s="206" t="s">
        <v>109</v>
      </c>
      <c r="G9828" s="206" t="s">
        <v>6994</v>
      </c>
      <c r="H9828" s="206" t="s">
        <v>6266</v>
      </c>
      <c r="I9828" s="206" t="s">
        <v>6479</v>
      </c>
    </row>
    <row r="9829" spans="1:9" ht="15" hidden="1" customHeight="1">
      <c r="A9829" s="205">
        <v>45645</v>
      </c>
      <c r="B9829" s="208" t="s">
        <v>7709</v>
      </c>
      <c r="C9829" s="206" t="s">
        <v>146</v>
      </c>
      <c r="D9829" s="211">
        <v>-40000</v>
      </c>
      <c r="E9829" s="212">
        <v>45627</v>
      </c>
      <c r="F9829" s="206" t="s">
        <v>109</v>
      </c>
      <c r="G9829" s="206" t="s">
        <v>6994</v>
      </c>
      <c r="H9829" s="206" t="s">
        <v>6266</v>
      </c>
      <c r="I9829" s="206" t="s">
        <v>6479</v>
      </c>
    </row>
    <row r="9830" spans="1:9" ht="15" hidden="1" customHeight="1">
      <c r="A9830" s="205">
        <v>45646</v>
      </c>
      <c r="B9830" s="208" t="s">
        <v>7725</v>
      </c>
      <c r="C9830" s="206" t="s">
        <v>146</v>
      </c>
      <c r="D9830" s="211">
        <v>-80000</v>
      </c>
      <c r="E9830" s="212">
        <v>45627</v>
      </c>
      <c r="F9830" s="206" t="s">
        <v>109</v>
      </c>
      <c r="G9830" s="206" t="s">
        <v>6994</v>
      </c>
      <c r="H9830" s="206" t="s">
        <v>6266</v>
      </c>
      <c r="I9830" s="206" t="s">
        <v>6479</v>
      </c>
    </row>
    <row r="9831" spans="1:9" ht="15" hidden="1" customHeight="1">
      <c r="A9831" s="205">
        <v>45642</v>
      </c>
      <c r="B9831" s="208" t="s">
        <v>7318</v>
      </c>
      <c r="C9831" s="206" t="s">
        <v>146</v>
      </c>
      <c r="D9831" s="211">
        <v>-280000</v>
      </c>
      <c r="E9831" s="212">
        <v>45627</v>
      </c>
      <c r="F9831" s="206" t="s">
        <v>109</v>
      </c>
      <c r="G9831" s="206" t="s">
        <v>6903</v>
      </c>
      <c r="H9831" s="206" t="s">
        <v>138</v>
      </c>
      <c r="I9831" s="206" t="s">
        <v>7311</v>
      </c>
    </row>
    <row r="9832" spans="1:9" ht="15" hidden="1" customHeight="1">
      <c r="A9832" s="205">
        <v>45642</v>
      </c>
      <c r="B9832" s="208" t="s">
        <v>7726</v>
      </c>
      <c r="C9832" s="206" t="s">
        <v>146</v>
      </c>
      <c r="D9832" s="211">
        <v>-20000</v>
      </c>
      <c r="E9832" s="212">
        <v>45627</v>
      </c>
      <c r="F9832" s="206" t="s">
        <v>109</v>
      </c>
      <c r="G9832" s="206" t="s">
        <v>6903</v>
      </c>
      <c r="H9832" s="206" t="s">
        <v>416</v>
      </c>
      <c r="I9832" s="206" t="s">
        <v>7311</v>
      </c>
    </row>
    <row r="9833" spans="1:9" ht="15" hidden="1" customHeight="1">
      <c r="A9833" s="205">
        <v>45639</v>
      </c>
      <c r="B9833" s="208" t="s">
        <v>7727</v>
      </c>
      <c r="C9833" s="206" t="s">
        <v>27</v>
      </c>
      <c r="D9833" s="737">
        <v>-1196378.3999999999</v>
      </c>
      <c r="E9833" s="819">
        <v>45627</v>
      </c>
      <c r="F9833" s="206" t="s">
        <v>109</v>
      </c>
      <c r="G9833" s="206" t="s">
        <v>6903</v>
      </c>
      <c r="H9833" s="206" t="s">
        <v>147</v>
      </c>
      <c r="I9833" s="206" t="s">
        <v>7311</v>
      </c>
    </row>
    <row r="9834" spans="1:9" ht="15" hidden="1" customHeight="1">
      <c r="A9834" s="205">
        <v>45640</v>
      </c>
      <c r="B9834" s="208" t="s">
        <v>7728</v>
      </c>
      <c r="C9834" s="206" t="s">
        <v>27</v>
      </c>
      <c r="D9834" s="737">
        <v>-15708</v>
      </c>
      <c r="E9834" s="819">
        <v>45627</v>
      </c>
      <c r="F9834" s="206" t="s">
        <v>109</v>
      </c>
      <c r="G9834" s="206" t="s">
        <v>6903</v>
      </c>
      <c r="H9834" s="206" t="s">
        <v>2941</v>
      </c>
      <c r="I9834" s="206" t="s">
        <v>7311</v>
      </c>
    </row>
    <row r="9835" spans="1:9" ht="15" hidden="1" customHeight="1">
      <c r="A9835" s="205">
        <v>45640</v>
      </c>
      <c r="B9835" s="208" t="s">
        <v>7729</v>
      </c>
      <c r="C9835" s="206" t="s">
        <v>27</v>
      </c>
      <c r="D9835" s="737">
        <v>-151422</v>
      </c>
      <c r="E9835" s="819">
        <v>45627</v>
      </c>
      <c r="F9835" s="206" t="s">
        <v>109</v>
      </c>
      <c r="G9835" s="206" t="s">
        <v>6903</v>
      </c>
      <c r="H9835" s="206" t="s">
        <v>1166</v>
      </c>
      <c r="I9835" s="206" t="s">
        <v>7311</v>
      </c>
    </row>
    <row r="9836" spans="1:9" ht="15" hidden="1" customHeight="1">
      <c r="A9836" s="205">
        <v>45641</v>
      </c>
      <c r="B9836" s="208" t="s">
        <v>7730</v>
      </c>
      <c r="C9836" s="206" t="s">
        <v>27</v>
      </c>
      <c r="D9836" s="737">
        <v>-74300</v>
      </c>
      <c r="E9836" s="819">
        <v>45627</v>
      </c>
      <c r="F9836" s="206" t="s">
        <v>109</v>
      </c>
      <c r="G9836" s="206" t="s">
        <v>6903</v>
      </c>
      <c r="H9836" s="206" t="s">
        <v>2941</v>
      </c>
      <c r="I9836" s="206" t="s">
        <v>7311</v>
      </c>
    </row>
    <row r="9837" spans="1:9" ht="15" hidden="1" customHeight="1">
      <c r="A9837" s="205">
        <v>45642</v>
      </c>
      <c r="B9837" s="208" t="s">
        <v>7731</v>
      </c>
      <c r="C9837" s="206" t="s">
        <v>27</v>
      </c>
      <c r="D9837" s="737">
        <v>-36800</v>
      </c>
      <c r="E9837" s="819">
        <v>45627</v>
      </c>
      <c r="F9837" s="206" t="s">
        <v>109</v>
      </c>
      <c r="G9837" s="206" t="s">
        <v>6903</v>
      </c>
      <c r="H9837" s="206" t="s">
        <v>416</v>
      </c>
      <c r="I9837" s="206" t="s">
        <v>7311</v>
      </c>
    </row>
    <row r="9838" spans="1:9" ht="15" hidden="1" customHeight="1">
      <c r="A9838" s="205">
        <v>45642</v>
      </c>
      <c r="B9838" s="208" t="s">
        <v>7732</v>
      </c>
      <c r="C9838" s="206" t="s">
        <v>27</v>
      </c>
      <c r="D9838" s="737">
        <v>-38550</v>
      </c>
      <c r="E9838" s="819">
        <v>45627</v>
      </c>
      <c r="F9838" s="206" t="s">
        <v>109</v>
      </c>
      <c r="G9838" s="206" t="s">
        <v>6903</v>
      </c>
      <c r="H9838" s="206" t="s">
        <v>2941</v>
      </c>
      <c r="I9838" s="206" t="s">
        <v>7311</v>
      </c>
    </row>
    <row r="9839" spans="1:9" ht="15" hidden="1" customHeight="1">
      <c r="A9839" s="205">
        <v>45642</v>
      </c>
      <c r="B9839" s="208" t="s">
        <v>7733</v>
      </c>
      <c r="C9839" s="206" t="s">
        <v>27</v>
      </c>
      <c r="D9839" s="737">
        <v>-14000</v>
      </c>
      <c r="E9839" s="819">
        <v>45627</v>
      </c>
      <c r="F9839" s="206" t="s">
        <v>109</v>
      </c>
      <c r="G9839" s="206" t="s">
        <v>6903</v>
      </c>
      <c r="H9839" s="206" t="s">
        <v>2941</v>
      </c>
      <c r="I9839" s="206" t="s">
        <v>7311</v>
      </c>
    </row>
    <row r="9840" spans="1:9" ht="15" hidden="1" customHeight="1">
      <c r="A9840" s="205">
        <v>45644</v>
      </c>
      <c r="B9840" s="208" t="s">
        <v>7734</v>
      </c>
      <c r="C9840" s="206" t="s">
        <v>27</v>
      </c>
      <c r="D9840" s="737">
        <v>-541800</v>
      </c>
      <c r="E9840" s="819">
        <v>45627</v>
      </c>
      <c r="F9840" s="206" t="s">
        <v>109</v>
      </c>
      <c r="G9840" s="206" t="s">
        <v>6994</v>
      </c>
      <c r="H9840" s="206" t="s">
        <v>147</v>
      </c>
      <c r="I9840" s="206"/>
    </row>
    <row r="9841" spans="1:9" ht="15" hidden="1" customHeight="1">
      <c r="A9841" s="205">
        <v>45644</v>
      </c>
      <c r="B9841" s="208" t="s">
        <v>7735</v>
      </c>
      <c r="C9841" s="206" t="s">
        <v>27</v>
      </c>
      <c r="D9841" s="737">
        <v>-402500</v>
      </c>
      <c r="E9841" s="819">
        <v>45627</v>
      </c>
      <c r="F9841" s="206" t="s">
        <v>109</v>
      </c>
      <c r="G9841" s="206" t="s">
        <v>6994</v>
      </c>
      <c r="H9841" s="206" t="s">
        <v>147</v>
      </c>
      <c r="I9841" s="206"/>
    </row>
    <row r="9842" spans="1:9" ht="15" hidden="1" customHeight="1">
      <c r="A9842" s="205">
        <v>45644</v>
      </c>
      <c r="B9842" s="208" t="s">
        <v>7736</v>
      </c>
      <c r="C9842" s="206" t="s">
        <v>27</v>
      </c>
      <c r="D9842" s="737">
        <v>-433500</v>
      </c>
      <c r="E9842" s="819">
        <v>45627</v>
      </c>
      <c r="F9842" s="206" t="s">
        <v>109</v>
      </c>
      <c r="G9842" s="206" t="s">
        <v>6994</v>
      </c>
      <c r="H9842" s="206" t="s">
        <v>147</v>
      </c>
      <c r="I9842" s="206"/>
    </row>
    <row r="9843" spans="1:9" ht="15" hidden="1" customHeight="1">
      <c r="A9843" s="205">
        <v>45644</v>
      </c>
      <c r="B9843" s="208" t="s">
        <v>7737</v>
      </c>
      <c r="C9843" s="206" t="s">
        <v>27</v>
      </c>
      <c r="D9843" s="737">
        <v>-449000</v>
      </c>
      <c r="E9843" s="819">
        <v>45627</v>
      </c>
      <c r="F9843" s="206" t="s">
        <v>109</v>
      </c>
      <c r="G9843" s="206" t="s">
        <v>6994</v>
      </c>
      <c r="H9843" s="206" t="s">
        <v>147</v>
      </c>
      <c r="I9843" s="206"/>
    </row>
    <row r="9844" spans="1:9" ht="15" hidden="1" customHeight="1">
      <c r="A9844" s="205">
        <v>45644</v>
      </c>
      <c r="B9844" s="208" t="s">
        <v>7738</v>
      </c>
      <c r="C9844" s="206" t="s">
        <v>27</v>
      </c>
      <c r="D9844" s="737">
        <v>-402500</v>
      </c>
      <c r="E9844" s="819">
        <v>45627</v>
      </c>
      <c r="F9844" s="206" t="s">
        <v>109</v>
      </c>
      <c r="G9844" s="206" t="s">
        <v>6994</v>
      </c>
      <c r="H9844" s="206" t="s">
        <v>147</v>
      </c>
      <c r="I9844" s="206"/>
    </row>
    <row r="9845" spans="1:9" ht="15" hidden="1" customHeight="1">
      <c r="A9845" s="205">
        <v>45644</v>
      </c>
      <c r="B9845" s="208" t="s">
        <v>7739</v>
      </c>
      <c r="C9845" s="206" t="s">
        <v>27</v>
      </c>
      <c r="D9845" s="737">
        <v>-402500</v>
      </c>
      <c r="E9845" s="819">
        <v>45627</v>
      </c>
      <c r="F9845" s="206" t="s">
        <v>109</v>
      </c>
      <c r="G9845" s="206" t="s">
        <v>6994</v>
      </c>
      <c r="H9845" s="206" t="s">
        <v>147</v>
      </c>
      <c r="I9845" s="206"/>
    </row>
    <row r="9846" spans="1:9" ht="15" hidden="1" customHeight="1">
      <c r="A9846" s="205">
        <v>45644</v>
      </c>
      <c r="B9846" s="208" t="s">
        <v>7740</v>
      </c>
      <c r="C9846" s="206" t="s">
        <v>27</v>
      </c>
      <c r="D9846" s="737">
        <v>-402500</v>
      </c>
      <c r="E9846" s="819">
        <v>45627</v>
      </c>
      <c r="F9846" s="206" t="s">
        <v>109</v>
      </c>
      <c r="G9846" s="206" t="s">
        <v>6994</v>
      </c>
      <c r="H9846" s="206" t="s">
        <v>147</v>
      </c>
      <c r="I9846" s="206"/>
    </row>
    <row r="9847" spans="1:9" ht="15" hidden="1" customHeight="1">
      <c r="A9847" s="205">
        <v>45644</v>
      </c>
      <c r="B9847" s="208" t="s">
        <v>7741</v>
      </c>
      <c r="C9847" s="206" t="s">
        <v>27</v>
      </c>
      <c r="D9847" s="737">
        <v>-201300</v>
      </c>
      <c r="E9847" s="819">
        <v>45627</v>
      </c>
      <c r="F9847" s="206" t="s">
        <v>109</v>
      </c>
      <c r="G9847" s="206" t="s">
        <v>6994</v>
      </c>
      <c r="H9847" s="206" t="s">
        <v>147</v>
      </c>
      <c r="I9847" s="206"/>
    </row>
    <row r="9848" spans="1:9" ht="15" hidden="1" customHeight="1">
      <c r="A9848" s="205">
        <v>45644</v>
      </c>
      <c r="B9848" s="208" t="s">
        <v>7742</v>
      </c>
      <c r="C9848" s="206" t="s">
        <v>27</v>
      </c>
      <c r="D9848" s="737">
        <v>-402500</v>
      </c>
      <c r="E9848" s="819">
        <v>45627</v>
      </c>
      <c r="F9848" s="206" t="s">
        <v>109</v>
      </c>
      <c r="G9848" s="206" t="s">
        <v>6994</v>
      </c>
      <c r="H9848" s="206" t="s">
        <v>147</v>
      </c>
      <c r="I9848" s="206"/>
    </row>
    <row r="9849" spans="1:9" ht="15" hidden="1" customHeight="1">
      <c r="A9849" s="205">
        <v>45644</v>
      </c>
      <c r="B9849" s="208" t="s">
        <v>7743</v>
      </c>
      <c r="C9849" s="206" t="s">
        <v>27</v>
      </c>
      <c r="D9849" s="737">
        <v>-402500</v>
      </c>
      <c r="E9849" s="819">
        <v>45627</v>
      </c>
      <c r="F9849" s="206" t="s">
        <v>109</v>
      </c>
      <c r="G9849" s="206" t="s">
        <v>6994</v>
      </c>
      <c r="H9849" s="206" t="s">
        <v>147</v>
      </c>
      <c r="I9849" s="206"/>
    </row>
    <row r="9850" spans="1:9" ht="15" hidden="1" customHeight="1">
      <c r="A9850" s="205">
        <v>45644</v>
      </c>
      <c r="B9850" s="208" t="s">
        <v>7744</v>
      </c>
      <c r="C9850" s="206" t="s">
        <v>27</v>
      </c>
      <c r="D9850" s="737">
        <v>-402500</v>
      </c>
      <c r="E9850" s="819">
        <v>45627</v>
      </c>
      <c r="F9850" s="206" t="s">
        <v>109</v>
      </c>
      <c r="G9850" s="206" t="s">
        <v>6994</v>
      </c>
      <c r="H9850" s="206" t="s">
        <v>147</v>
      </c>
      <c r="I9850" s="206"/>
    </row>
    <row r="9851" spans="1:9" ht="15" hidden="1" customHeight="1">
      <c r="A9851" s="205">
        <v>45644</v>
      </c>
      <c r="B9851" s="208" t="s">
        <v>7745</v>
      </c>
      <c r="C9851" s="206" t="s">
        <v>27</v>
      </c>
      <c r="D9851" s="737">
        <v>-1229500</v>
      </c>
      <c r="E9851" s="819">
        <v>45627</v>
      </c>
      <c r="F9851" s="206" t="s">
        <v>109</v>
      </c>
      <c r="G9851" s="206" t="s">
        <v>6994</v>
      </c>
      <c r="H9851" s="206" t="s">
        <v>147</v>
      </c>
      <c r="I9851" s="206"/>
    </row>
    <row r="9852" spans="1:9" ht="15" hidden="1" customHeight="1">
      <c r="A9852" s="205">
        <v>45644</v>
      </c>
      <c r="B9852" s="208" t="s">
        <v>7746</v>
      </c>
      <c r="C9852" s="206" t="s">
        <v>27</v>
      </c>
      <c r="D9852" s="737">
        <v>-402500</v>
      </c>
      <c r="E9852" s="819">
        <v>45627</v>
      </c>
      <c r="F9852" s="206" t="s">
        <v>109</v>
      </c>
      <c r="G9852" s="206" t="s">
        <v>6994</v>
      </c>
      <c r="H9852" s="206" t="s">
        <v>147</v>
      </c>
      <c r="I9852" s="206"/>
    </row>
    <row r="9853" spans="1:9" ht="15" hidden="1" customHeight="1">
      <c r="A9853" s="205">
        <v>45644</v>
      </c>
      <c r="B9853" s="208" t="s">
        <v>7747</v>
      </c>
      <c r="C9853" s="206" t="s">
        <v>27</v>
      </c>
      <c r="D9853" s="737">
        <v>-402500</v>
      </c>
      <c r="E9853" s="819">
        <v>45627</v>
      </c>
      <c r="F9853" s="206" t="s">
        <v>109</v>
      </c>
      <c r="G9853" s="206" t="s">
        <v>6994</v>
      </c>
      <c r="H9853" s="206" t="s">
        <v>147</v>
      </c>
      <c r="I9853" s="206"/>
    </row>
    <row r="9854" spans="1:9" ht="15" hidden="1" customHeight="1">
      <c r="A9854" s="205">
        <v>45644</v>
      </c>
      <c r="B9854" s="208" t="s">
        <v>7748</v>
      </c>
      <c r="C9854" s="206" t="s">
        <v>27</v>
      </c>
      <c r="D9854" s="737">
        <v>-644500</v>
      </c>
      <c r="E9854" s="819">
        <v>45627</v>
      </c>
      <c r="F9854" s="206" t="s">
        <v>109</v>
      </c>
      <c r="G9854" s="206" t="s">
        <v>6994</v>
      </c>
      <c r="H9854" s="206" t="s">
        <v>147</v>
      </c>
      <c r="I9854" s="206"/>
    </row>
    <row r="9855" spans="1:9" ht="15" hidden="1" customHeight="1">
      <c r="A9855" s="205">
        <v>45644</v>
      </c>
      <c r="B9855" s="208" t="s">
        <v>7749</v>
      </c>
      <c r="C9855" s="206" t="s">
        <v>27</v>
      </c>
      <c r="D9855" s="737">
        <v>-402500</v>
      </c>
      <c r="E9855" s="819">
        <v>45627</v>
      </c>
      <c r="F9855" s="206" t="s">
        <v>109</v>
      </c>
      <c r="G9855" s="206" t="s">
        <v>6994</v>
      </c>
      <c r="H9855" s="206" t="s">
        <v>147</v>
      </c>
      <c r="I9855" s="206"/>
    </row>
    <row r="9856" spans="1:9" ht="15" hidden="1" customHeight="1">
      <c r="A9856" s="205">
        <v>45644</v>
      </c>
      <c r="B9856" s="208" t="s">
        <v>7750</v>
      </c>
      <c r="C9856" s="206" t="s">
        <v>27</v>
      </c>
      <c r="D9856" s="737">
        <v>-402500</v>
      </c>
      <c r="E9856" s="819">
        <v>45627</v>
      </c>
      <c r="F9856" s="206" t="s">
        <v>109</v>
      </c>
      <c r="G9856" s="206" t="s">
        <v>6994</v>
      </c>
      <c r="H9856" s="206" t="s">
        <v>147</v>
      </c>
      <c r="I9856" s="206"/>
    </row>
    <row r="9857" spans="1:9" ht="15" hidden="1" customHeight="1">
      <c r="A9857" s="205">
        <v>45644</v>
      </c>
      <c r="B9857" s="208" t="s">
        <v>7751</v>
      </c>
      <c r="C9857" s="206" t="s">
        <v>27</v>
      </c>
      <c r="D9857" s="737">
        <v>-402500</v>
      </c>
      <c r="E9857" s="819">
        <v>45627</v>
      </c>
      <c r="F9857" s="206" t="s">
        <v>109</v>
      </c>
      <c r="G9857" s="206" t="s">
        <v>6994</v>
      </c>
      <c r="H9857" s="206" t="s">
        <v>147</v>
      </c>
      <c r="I9857" s="206"/>
    </row>
    <row r="9858" spans="1:9" ht="15" hidden="1" customHeight="1">
      <c r="A9858" s="205">
        <v>45644</v>
      </c>
      <c r="B9858" s="208" t="s">
        <v>7752</v>
      </c>
      <c r="C9858" s="206" t="s">
        <v>27</v>
      </c>
      <c r="D9858" s="737">
        <v>-402500</v>
      </c>
      <c r="E9858" s="819">
        <v>45627</v>
      </c>
      <c r="F9858" s="206" t="s">
        <v>109</v>
      </c>
      <c r="G9858" s="206" t="s">
        <v>6994</v>
      </c>
      <c r="H9858" s="206" t="s">
        <v>147</v>
      </c>
      <c r="I9858" s="206"/>
    </row>
    <row r="9859" spans="1:9" ht="15" hidden="1" customHeight="1">
      <c r="A9859" s="205">
        <v>45644</v>
      </c>
      <c r="B9859" s="208" t="s">
        <v>7753</v>
      </c>
      <c r="C9859" s="206" t="s">
        <v>27</v>
      </c>
      <c r="D9859" s="737">
        <v>-402500</v>
      </c>
      <c r="E9859" s="819">
        <v>45627</v>
      </c>
      <c r="F9859" s="206" t="s">
        <v>109</v>
      </c>
      <c r="G9859" s="206" t="s">
        <v>6994</v>
      </c>
      <c r="H9859" s="206" t="s">
        <v>147</v>
      </c>
      <c r="I9859" s="206"/>
    </row>
    <row r="9860" spans="1:9" ht="15" hidden="1" customHeight="1">
      <c r="A9860" s="205">
        <v>45644</v>
      </c>
      <c r="B9860" s="208" t="s">
        <v>7754</v>
      </c>
      <c r="C9860" s="206" t="s">
        <v>27</v>
      </c>
      <c r="D9860" s="737">
        <v>-402500</v>
      </c>
      <c r="E9860" s="819">
        <v>45627</v>
      </c>
      <c r="F9860" s="206" t="s">
        <v>109</v>
      </c>
      <c r="G9860" s="206" t="s">
        <v>6994</v>
      </c>
      <c r="H9860" s="206" t="s">
        <v>147</v>
      </c>
      <c r="I9860" s="206"/>
    </row>
    <row r="9861" spans="1:9" ht="15" hidden="1" customHeight="1">
      <c r="A9861" s="205">
        <v>45644</v>
      </c>
      <c r="B9861" s="208" t="s">
        <v>7755</v>
      </c>
      <c r="C9861" s="206" t="s">
        <v>27</v>
      </c>
      <c r="D9861" s="737">
        <v>-402500</v>
      </c>
      <c r="E9861" s="819">
        <v>45627</v>
      </c>
      <c r="F9861" s="206" t="s">
        <v>109</v>
      </c>
      <c r="G9861" s="206" t="s">
        <v>6994</v>
      </c>
      <c r="H9861" s="206" t="s">
        <v>147</v>
      </c>
      <c r="I9861" s="206"/>
    </row>
    <row r="9862" spans="1:9" ht="15" hidden="1" customHeight="1">
      <c r="A9862" s="205">
        <v>45644</v>
      </c>
      <c r="B9862" s="208" t="s">
        <v>7756</v>
      </c>
      <c r="C9862" s="206" t="s">
        <v>27</v>
      </c>
      <c r="D9862" s="737">
        <v>-379100</v>
      </c>
      <c r="E9862" s="819">
        <v>45627</v>
      </c>
      <c r="F9862" s="206" t="s">
        <v>109</v>
      </c>
      <c r="G9862" s="206" t="s">
        <v>6994</v>
      </c>
      <c r="H9862" s="206" t="s">
        <v>147</v>
      </c>
      <c r="I9862" s="206"/>
    </row>
    <row r="9863" spans="1:9" ht="15" hidden="1" customHeight="1">
      <c r="A9863" s="205">
        <v>45644</v>
      </c>
      <c r="B9863" s="208" t="s">
        <v>7757</v>
      </c>
      <c r="C9863" s="206" t="s">
        <v>27</v>
      </c>
      <c r="D9863" s="737">
        <v>-402500</v>
      </c>
      <c r="E9863" s="819">
        <v>45627</v>
      </c>
      <c r="F9863" s="206" t="s">
        <v>109</v>
      </c>
      <c r="G9863" s="206" t="s">
        <v>6994</v>
      </c>
      <c r="H9863" s="206" t="s">
        <v>147</v>
      </c>
      <c r="I9863" s="206"/>
    </row>
    <row r="9864" spans="1:9" ht="15" hidden="1" customHeight="1">
      <c r="A9864" s="205">
        <v>45644</v>
      </c>
      <c r="B9864" s="208" t="s">
        <v>7758</v>
      </c>
      <c r="C9864" s="206" t="s">
        <v>27</v>
      </c>
      <c r="D9864" s="737">
        <v>-402500</v>
      </c>
      <c r="E9864" s="819">
        <v>45627</v>
      </c>
      <c r="F9864" s="206" t="s">
        <v>109</v>
      </c>
      <c r="G9864" s="206" t="s">
        <v>6994</v>
      </c>
      <c r="H9864" s="206" t="s">
        <v>147</v>
      </c>
      <c r="I9864" s="206"/>
    </row>
    <row r="9865" spans="1:9" ht="15" hidden="1" customHeight="1">
      <c r="A9865" s="205">
        <v>45644</v>
      </c>
      <c r="B9865" s="208" t="s">
        <v>7759</v>
      </c>
      <c r="C9865" s="206" t="s">
        <v>27</v>
      </c>
      <c r="D9865" s="737">
        <v>-402500</v>
      </c>
      <c r="E9865" s="819">
        <v>45627</v>
      </c>
      <c r="F9865" s="206" t="s">
        <v>109</v>
      </c>
      <c r="G9865" s="206" t="s">
        <v>6994</v>
      </c>
      <c r="H9865" s="206" t="s">
        <v>147</v>
      </c>
      <c r="I9865" s="206"/>
    </row>
    <row r="9866" spans="1:9" ht="15" hidden="1" customHeight="1">
      <c r="A9866" s="205">
        <v>45644</v>
      </c>
      <c r="B9866" s="208" t="s">
        <v>7760</v>
      </c>
      <c r="C9866" s="206" t="s">
        <v>27</v>
      </c>
      <c r="D9866" s="737">
        <v>-402500</v>
      </c>
      <c r="E9866" s="819">
        <v>45627</v>
      </c>
      <c r="F9866" s="206" t="s">
        <v>109</v>
      </c>
      <c r="G9866" s="206" t="s">
        <v>6994</v>
      </c>
      <c r="H9866" s="206" t="s">
        <v>147</v>
      </c>
      <c r="I9866" s="206"/>
    </row>
    <row r="9867" spans="1:9" ht="15" hidden="1" customHeight="1">
      <c r="A9867" s="205">
        <v>45644</v>
      </c>
      <c r="B9867" s="208" t="s">
        <v>7761</v>
      </c>
      <c r="C9867" s="206" t="s">
        <v>27</v>
      </c>
      <c r="D9867" s="737">
        <v>-772500</v>
      </c>
      <c r="E9867" s="819">
        <v>45627</v>
      </c>
      <c r="F9867" s="206" t="s">
        <v>109</v>
      </c>
      <c r="G9867" s="206" t="s">
        <v>6994</v>
      </c>
      <c r="H9867" s="206" t="s">
        <v>147</v>
      </c>
      <c r="I9867" s="206"/>
    </row>
    <row r="9868" spans="1:9" ht="15" hidden="1" customHeight="1">
      <c r="A9868" s="205">
        <v>45644</v>
      </c>
      <c r="B9868" s="208" t="s">
        <v>7762</v>
      </c>
      <c r="C9868" s="206" t="s">
        <v>27</v>
      </c>
      <c r="D9868" s="737">
        <v>-398000</v>
      </c>
      <c r="E9868" s="819">
        <v>45627</v>
      </c>
      <c r="F9868" s="206" t="s">
        <v>109</v>
      </c>
      <c r="G9868" s="206" t="s">
        <v>6994</v>
      </c>
      <c r="H9868" s="206" t="s">
        <v>147</v>
      </c>
      <c r="I9868" s="206"/>
    </row>
    <row r="9869" spans="1:9" ht="15" hidden="1" customHeight="1">
      <c r="A9869" s="205">
        <v>45644</v>
      </c>
      <c r="B9869" s="208" t="s">
        <v>7763</v>
      </c>
      <c r="C9869" s="206" t="s">
        <v>27</v>
      </c>
      <c r="D9869" s="737">
        <v>-402500</v>
      </c>
      <c r="E9869" s="819">
        <v>45627</v>
      </c>
      <c r="F9869" s="206" t="s">
        <v>109</v>
      </c>
      <c r="G9869" s="206" t="s">
        <v>6994</v>
      </c>
      <c r="H9869" s="206" t="s">
        <v>147</v>
      </c>
      <c r="I9869" s="206"/>
    </row>
    <row r="9870" spans="1:9" ht="15" hidden="1" customHeight="1">
      <c r="A9870" s="205">
        <v>45644</v>
      </c>
      <c r="B9870" s="208" t="s">
        <v>7764</v>
      </c>
      <c r="C9870" s="206" t="s">
        <v>27</v>
      </c>
      <c r="D9870" s="737">
        <v>-402500</v>
      </c>
      <c r="E9870" s="819">
        <v>45627</v>
      </c>
      <c r="F9870" s="206" t="s">
        <v>109</v>
      </c>
      <c r="G9870" s="206" t="s">
        <v>6994</v>
      </c>
      <c r="H9870" s="206" t="s">
        <v>147</v>
      </c>
      <c r="I9870" s="206"/>
    </row>
    <row r="9871" spans="1:9" ht="15" hidden="1" customHeight="1">
      <c r="A9871" s="205">
        <v>45644</v>
      </c>
      <c r="B9871" s="208" t="s">
        <v>7765</v>
      </c>
      <c r="C9871" s="206" t="s">
        <v>27</v>
      </c>
      <c r="D9871" s="737">
        <v>-402500</v>
      </c>
      <c r="E9871" s="819">
        <v>45627</v>
      </c>
      <c r="F9871" s="206" t="s">
        <v>109</v>
      </c>
      <c r="G9871" s="206" t="s">
        <v>6994</v>
      </c>
      <c r="H9871" s="206" t="s">
        <v>147</v>
      </c>
      <c r="I9871" s="206"/>
    </row>
    <row r="9872" spans="1:9" ht="15" hidden="1" customHeight="1">
      <c r="A9872" s="205">
        <v>45644</v>
      </c>
      <c r="B9872" s="208" t="s">
        <v>7766</v>
      </c>
      <c r="C9872" s="206" t="s">
        <v>27</v>
      </c>
      <c r="D9872" s="737">
        <v>-774000</v>
      </c>
      <c r="E9872" s="819">
        <v>45627</v>
      </c>
      <c r="F9872" s="206" t="s">
        <v>109</v>
      </c>
      <c r="G9872" s="206" t="s">
        <v>6994</v>
      </c>
      <c r="H9872" s="206" t="s">
        <v>147</v>
      </c>
      <c r="I9872" s="206"/>
    </row>
    <row r="9873" spans="1:9" ht="15" hidden="1" customHeight="1">
      <c r="A9873" s="205">
        <v>45644</v>
      </c>
      <c r="B9873" s="208" t="s">
        <v>7767</v>
      </c>
      <c r="C9873" s="206" t="s">
        <v>4783</v>
      </c>
      <c r="D9873" s="737">
        <v>-803700</v>
      </c>
      <c r="E9873" s="819">
        <v>45627</v>
      </c>
      <c r="F9873" s="206" t="s">
        <v>130</v>
      </c>
      <c r="G9873" s="206" t="s">
        <v>257</v>
      </c>
      <c r="H9873" s="206" t="s">
        <v>182</v>
      </c>
      <c r="I9873" s="206"/>
    </row>
    <row r="9874" spans="1:9" ht="15" hidden="1" customHeight="1">
      <c r="A9874" s="205">
        <v>45644</v>
      </c>
      <c r="B9874" s="208" t="s">
        <v>7768</v>
      </c>
      <c r="C9874" s="206" t="s">
        <v>4783</v>
      </c>
      <c r="D9874" s="737">
        <v>-662100</v>
      </c>
      <c r="E9874" s="819">
        <v>45627</v>
      </c>
      <c r="F9874" s="206" t="s">
        <v>130</v>
      </c>
      <c r="G9874" s="206" t="s">
        <v>130</v>
      </c>
      <c r="H9874" s="206" t="s">
        <v>182</v>
      </c>
      <c r="I9874" s="206"/>
    </row>
    <row r="9875" spans="1:9" ht="15" hidden="1" customHeight="1">
      <c r="A9875" s="205">
        <v>45644</v>
      </c>
      <c r="B9875" s="208" t="s">
        <v>7769</v>
      </c>
      <c r="C9875" s="206" t="s">
        <v>4783</v>
      </c>
      <c r="D9875" s="737">
        <v>-2679900</v>
      </c>
      <c r="E9875" s="819">
        <v>45627</v>
      </c>
      <c r="F9875" s="206" t="s">
        <v>130</v>
      </c>
      <c r="G9875" s="206" t="s">
        <v>130</v>
      </c>
      <c r="H9875" s="206" t="s">
        <v>182</v>
      </c>
      <c r="I9875" s="206"/>
    </row>
    <row r="9876" spans="1:9" ht="15" hidden="1" customHeight="1">
      <c r="A9876" s="205">
        <v>45644</v>
      </c>
      <c r="B9876" s="208" t="s">
        <v>7770</v>
      </c>
      <c r="C9876" s="206" t="s">
        <v>4783</v>
      </c>
      <c r="D9876" s="737">
        <v>-897900</v>
      </c>
      <c r="E9876" s="819">
        <v>45627</v>
      </c>
      <c r="F9876" s="206" t="s">
        <v>130</v>
      </c>
      <c r="G9876" s="206" t="s">
        <v>130</v>
      </c>
      <c r="H9876" s="206" t="s">
        <v>182</v>
      </c>
      <c r="I9876" s="206"/>
    </row>
    <row r="9877" spans="1:9" ht="15" hidden="1" customHeight="1">
      <c r="A9877" s="205">
        <v>45644</v>
      </c>
      <c r="B9877" s="208" t="s">
        <v>7771</v>
      </c>
      <c r="C9877" s="206" t="s">
        <v>4783</v>
      </c>
      <c r="D9877" s="737">
        <v>-1226100</v>
      </c>
      <c r="E9877" s="819">
        <v>45627</v>
      </c>
      <c r="F9877" s="206" t="s">
        <v>130</v>
      </c>
      <c r="G9877" s="206" t="s">
        <v>130</v>
      </c>
      <c r="H9877" s="206" t="s">
        <v>182</v>
      </c>
      <c r="I9877" s="206"/>
    </row>
    <row r="9878" spans="1:9" ht="15" hidden="1" customHeight="1">
      <c r="A9878" s="205">
        <v>45644</v>
      </c>
      <c r="B9878" s="208" t="s">
        <v>7772</v>
      </c>
      <c r="C9878" s="206" t="s">
        <v>4783</v>
      </c>
      <c r="D9878" s="737">
        <v>-331100</v>
      </c>
      <c r="E9878" s="819">
        <v>45627</v>
      </c>
      <c r="F9878" s="206" t="s">
        <v>130</v>
      </c>
      <c r="G9878" s="206" t="s">
        <v>130</v>
      </c>
      <c r="H9878" s="206" t="s">
        <v>182</v>
      </c>
      <c r="I9878" s="206"/>
    </row>
    <row r="9879" spans="1:9" ht="15" hidden="1" customHeight="1">
      <c r="A9879" s="205">
        <v>45644</v>
      </c>
      <c r="B9879" s="208" t="s">
        <v>7773</v>
      </c>
      <c r="C9879" s="206" t="s">
        <v>4783</v>
      </c>
      <c r="D9879" s="737">
        <v>-202100</v>
      </c>
      <c r="E9879" s="819">
        <v>45627</v>
      </c>
      <c r="F9879" s="206" t="s">
        <v>130</v>
      </c>
      <c r="G9879" s="206" t="s">
        <v>130</v>
      </c>
      <c r="H9879" s="206" t="s">
        <v>182</v>
      </c>
      <c r="I9879" s="206"/>
    </row>
    <row r="9880" spans="1:9" ht="15" hidden="1" customHeight="1">
      <c r="A9880" s="205">
        <v>45644</v>
      </c>
      <c r="B9880" s="208" t="s">
        <v>7774</v>
      </c>
      <c r="C9880" s="206" t="s">
        <v>4783</v>
      </c>
      <c r="D9880" s="737">
        <v>-2679900</v>
      </c>
      <c r="E9880" s="819">
        <v>45627</v>
      </c>
      <c r="F9880" s="206" t="s">
        <v>130</v>
      </c>
      <c r="G9880" s="206" t="s">
        <v>130</v>
      </c>
      <c r="H9880" s="206" t="s">
        <v>182</v>
      </c>
      <c r="I9880" s="206"/>
    </row>
    <row r="9881" spans="1:9" ht="15" hidden="1" customHeight="1">
      <c r="A9881" s="205">
        <v>45644</v>
      </c>
      <c r="B9881" s="208" t="s">
        <v>7775</v>
      </c>
      <c r="C9881" s="206" t="s">
        <v>4783</v>
      </c>
      <c r="D9881" s="737">
        <v>-980900</v>
      </c>
      <c r="E9881" s="819">
        <v>45627</v>
      </c>
      <c r="F9881" s="206" t="s">
        <v>130</v>
      </c>
      <c r="G9881" s="206" t="s">
        <v>130</v>
      </c>
      <c r="H9881" s="206" t="s">
        <v>182</v>
      </c>
      <c r="I9881" s="206"/>
    </row>
    <row r="9882" spans="1:9" ht="15" hidden="1" customHeight="1">
      <c r="A9882" s="205">
        <v>45644</v>
      </c>
      <c r="B9882" s="208" t="s">
        <v>7776</v>
      </c>
      <c r="C9882" s="206" t="s">
        <v>4783</v>
      </c>
      <c r="D9882" s="737">
        <v>-392400</v>
      </c>
      <c r="E9882" s="819">
        <v>45627</v>
      </c>
      <c r="F9882" s="206" t="s">
        <v>130</v>
      </c>
      <c r="G9882" s="206" t="s">
        <v>130</v>
      </c>
      <c r="H9882" s="206" t="s">
        <v>182</v>
      </c>
      <c r="I9882" s="206"/>
    </row>
    <row r="9883" spans="1:9" ht="15" hidden="1" customHeight="1">
      <c r="A9883" s="205">
        <v>45644</v>
      </c>
      <c r="B9883" s="208" t="s">
        <v>7777</v>
      </c>
      <c r="C9883" s="206" t="s">
        <v>4783</v>
      </c>
      <c r="D9883" s="737">
        <v>-318900</v>
      </c>
      <c r="E9883" s="819">
        <v>45627</v>
      </c>
      <c r="F9883" s="206" t="s">
        <v>130</v>
      </c>
      <c r="G9883" s="206" t="s">
        <v>130</v>
      </c>
      <c r="H9883" s="206" t="s">
        <v>182</v>
      </c>
      <c r="I9883" s="206"/>
    </row>
    <row r="9884" spans="1:9" ht="15" hidden="1" customHeight="1">
      <c r="A9884" s="205">
        <v>45644</v>
      </c>
      <c r="B9884" s="208" t="s">
        <v>7778</v>
      </c>
      <c r="C9884" s="206" t="s">
        <v>4783</v>
      </c>
      <c r="D9884" s="737">
        <v>-557300</v>
      </c>
      <c r="E9884" s="819">
        <v>45627</v>
      </c>
      <c r="F9884" s="206" t="s">
        <v>130</v>
      </c>
      <c r="G9884" s="206" t="s">
        <v>130</v>
      </c>
      <c r="H9884" s="206" t="s">
        <v>182</v>
      </c>
      <c r="I9884" s="206"/>
    </row>
    <row r="9885" spans="1:9" ht="15" hidden="1" customHeight="1">
      <c r="A9885" s="205">
        <v>45644</v>
      </c>
      <c r="B9885" s="208" t="s">
        <v>7779</v>
      </c>
      <c r="C9885" s="206" t="s">
        <v>4783</v>
      </c>
      <c r="D9885" s="737">
        <v>-3478100</v>
      </c>
      <c r="E9885" s="819">
        <v>45627</v>
      </c>
      <c r="F9885" s="206" t="s">
        <v>130</v>
      </c>
      <c r="G9885" s="206" t="s">
        <v>257</v>
      </c>
      <c r="H9885" s="206" t="s">
        <v>182</v>
      </c>
      <c r="I9885" s="206"/>
    </row>
    <row r="9886" spans="1:9" ht="15" hidden="1" customHeight="1">
      <c r="A9886" s="205">
        <v>45644</v>
      </c>
      <c r="B9886" s="208" t="s">
        <v>7780</v>
      </c>
      <c r="C9886" s="206" t="s">
        <v>4783</v>
      </c>
      <c r="D9886" s="737">
        <v>-1070900</v>
      </c>
      <c r="E9886" s="819">
        <v>45627</v>
      </c>
      <c r="F9886" s="206" t="s">
        <v>130</v>
      </c>
      <c r="G9886" s="206" t="s">
        <v>130</v>
      </c>
      <c r="H9886" s="206" t="s">
        <v>182</v>
      </c>
      <c r="I9886" s="206"/>
    </row>
    <row r="9887" spans="1:9" ht="15" hidden="1" customHeight="1">
      <c r="A9887" s="205">
        <v>45644</v>
      </c>
      <c r="B9887" s="208" t="s">
        <v>7781</v>
      </c>
      <c r="C9887" s="206" t="s">
        <v>4783</v>
      </c>
      <c r="D9887" s="737">
        <v>-276400</v>
      </c>
      <c r="E9887" s="819">
        <v>45627</v>
      </c>
      <c r="F9887" s="206" t="s">
        <v>130</v>
      </c>
      <c r="G9887" s="206" t="s">
        <v>130</v>
      </c>
      <c r="H9887" s="206" t="s">
        <v>182</v>
      </c>
      <c r="I9887" s="206"/>
    </row>
    <row r="9888" spans="1:9" ht="15" customHeight="1">
      <c r="A9888" s="205">
        <v>45644</v>
      </c>
      <c r="B9888" s="208" t="s">
        <v>7782</v>
      </c>
      <c r="C9888" s="206" t="s">
        <v>27</v>
      </c>
      <c r="D9888" s="737">
        <v>-613100</v>
      </c>
      <c r="E9888" s="819">
        <v>45627</v>
      </c>
      <c r="F9888" s="206" t="s">
        <v>109</v>
      </c>
      <c r="G9888" s="206" t="s">
        <v>2809</v>
      </c>
      <c r="H9888" s="206" t="s">
        <v>182</v>
      </c>
      <c r="I9888" s="206"/>
    </row>
    <row r="9889" spans="1:9" ht="15" customHeight="1">
      <c r="A9889" s="205">
        <v>45644</v>
      </c>
      <c r="B9889" s="208" t="s">
        <v>7783</v>
      </c>
      <c r="C9889" s="206" t="s">
        <v>27</v>
      </c>
      <c r="D9889" s="737">
        <v>-7529000</v>
      </c>
      <c r="E9889" s="819">
        <v>45627</v>
      </c>
      <c r="F9889" s="206" t="s">
        <v>109</v>
      </c>
      <c r="G9889" s="206" t="s">
        <v>2809</v>
      </c>
      <c r="H9889" s="206" t="s">
        <v>182</v>
      </c>
      <c r="I9889" s="206"/>
    </row>
    <row r="9890" spans="1:9" ht="15" customHeight="1">
      <c r="A9890" s="205">
        <v>45644</v>
      </c>
      <c r="B9890" s="208" t="s">
        <v>7784</v>
      </c>
      <c r="C9890" s="206" t="s">
        <v>27</v>
      </c>
      <c r="D9890" s="737">
        <v>-809300</v>
      </c>
      <c r="E9890" s="819">
        <v>45627</v>
      </c>
      <c r="F9890" s="206" t="s">
        <v>109</v>
      </c>
      <c r="G9890" s="206" t="s">
        <v>2809</v>
      </c>
      <c r="H9890" s="206" t="s">
        <v>182</v>
      </c>
      <c r="I9890" s="206"/>
    </row>
    <row r="9891" spans="1:9" ht="15" customHeight="1">
      <c r="A9891" s="205">
        <v>45644</v>
      </c>
      <c r="B9891" s="208" t="s">
        <v>7785</v>
      </c>
      <c r="C9891" s="206" t="s">
        <v>27</v>
      </c>
      <c r="D9891" s="737">
        <v>-896200</v>
      </c>
      <c r="E9891" s="819">
        <v>45627</v>
      </c>
      <c r="F9891" s="206" t="s">
        <v>109</v>
      </c>
      <c r="G9891" s="206" t="s">
        <v>2809</v>
      </c>
      <c r="H9891" s="206" t="s">
        <v>182</v>
      </c>
      <c r="I9891" s="206"/>
    </row>
    <row r="9892" spans="1:9" ht="15" hidden="1" customHeight="1">
      <c r="A9892" s="205">
        <v>45644</v>
      </c>
      <c r="B9892" s="208" t="s">
        <v>7786</v>
      </c>
      <c r="C9892" s="206" t="s">
        <v>27</v>
      </c>
      <c r="D9892" s="737">
        <v>-6800</v>
      </c>
      <c r="E9892" s="819">
        <v>45627</v>
      </c>
      <c r="F9892" s="206" t="s">
        <v>130</v>
      </c>
      <c r="G9892" s="206" t="s">
        <v>130</v>
      </c>
      <c r="H9892" s="206" t="s">
        <v>182</v>
      </c>
      <c r="I9892" s="206"/>
    </row>
    <row r="9893" spans="1:9" ht="15" hidden="1" customHeight="1">
      <c r="A9893" s="205">
        <v>45644</v>
      </c>
      <c r="B9893" s="208" t="s">
        <v>7787</v>
      </c>
      <c r="C9893" s="206" t="s">
        <v>27</v>
      </c>
      <c r="D9893" s="737">
        <v>-464400</v>
      </c>
      <c r="E9893" s="819">
        <v>45627</v>
      </c>
      <c r="F9893" s="206" t="s">
        <v>110</v>
      </c>
      <c r="G9893" s="206" t="s">
        <v>5503</v>
      </c>
      <c r="H9893" s="206" t="s">
        <v>147</v>
      </c>
      <c r="I9893" s="206"/>
    </row>
    <row r="9894" spans="1:9" ht="15" hidden="1" customHeight="1">
      <c r="A9894" s="205">
        <v>45644</v>
      </c>
      <c r="B9894" s="208" t="s">
        <v>7788</v>
      </c>
      <c r="C9894" s="206" t="s">
        <v>27</v>
      </c>
      <c r="D9894" s="737">
        <v>-464400</v>
      </c>
      <c r="E9894" s="819">
        <v>45627</v>
      </c>
      <c r="F9894" s="206" t="s">
        <v>110</v>
      </c>
      <c r="G9894" s="206" t="s">
        <v>5503</v>
      </c>
      <c r="H9894" s="206" t="s">
        <v>147</v>
      </c>
      <c r="I9894" s="206"/>
    </row>
    <row r="9895" spans="1:9" ht="15" hidden="1" customHeight="1">
      <c r="A9895" s="205">
        <v>45644</v>
      </c>
      <c r="B9895" s="208" t="s">
        <v>7789</v>
      </c>
      <c r="C9895" s="206" t="s">
        <v>27</v>
      </c>
      <c r="D9895" s="737">
        <v>-772500</v>
      </c>
      <c r="E9895" s="819">
        <v>45627</v>
      </c>
      <c r="F9895" s="206" t="s">
        <v>110</v>
      </c>
      <c r="G9895" s="206" t="s">
        <v>5503</v>
      </c>
      <c r="H9895" s="206" t="s">
        <v>147</v>
      </c>
      <c r="I9895" s="206"/>
    </row>
    <row r="9896" spans="1:9" ht="15" hidden="1" customHeight="1">
      <c r="A9896" s="205">
        <v>45644</v>
      </c>
      <c r="B9896" s="208" t="s">
        <v>7790</v>
      </c>
      <c r="C9896" s="206" t="s">
        <v>27</v>
      </c>
      <c r="D9896" s="737">
        <v>-134166.66665999999</v>
      </c>
      <c r="E9896" s="819">
        <v>45627</v>
      </c>
      <c r="F9896" s="206" t="s">
        <v>110</v>
      </c>
      <c r="G9896" s="206" t="s">
        <v>1489</v>
      </c>
      <c r="H9896" s="206" t="s">
        <v>508</v>
      </c>
      <c r="I9896" s="206"/>
    </row>
    <row r="9897" spans="1:9" ht="15" hidden="1" customHeight="1">
      <c r="A9897" s="205">
        <v>45644</v>
      </c>
      <c r="B9897" s="208" t="s">
        <v>7790</v>
      </c>
      <c r="C9897" s="206" t="s">
        <v>27</v>
      </c>
      <c r="D9897" s="737">
        <v>-134166.66665999999</v>
      </c>
      <c r="E9897" s="819">
        <v>45627</v>
      </c>
      <c r="F9897" s="206" t="s">
        <v>110</v>
      </c>
      <c r="G9897" s="206" t="s">
        <v>4990</v>
      </c>
      <c r="H9897" s="206" t="s">
        <v>508</v>
      </c>
      <c r="I9897" s="206"/>
    </row>
    <row r="9898" spans="1:9" ht="15" hidden="1" customHeight="1">
      <c r="A9898" s="205">
        <v>45644</v>
      </c>
      <c r="B9898" s="208" t="s">
        <v>7790</v>
      </c>
      <c r="C9898" s="206" t="s">
        <v>27</v>
      </c>
      <c r="D9898" s="737">
        <v>-134166.66665999999</v>
      </c>
      <c r="E9898" s="819">
        <v>45627</v>
      </c>
      <c r="F9898" s="206" t="s">
        <v>109</v>
      </c>
      <c r="G9898" s="206" t="s">
        <v>4986</v>
      </c>
      <c r="H9898" s="206" t="s">
        <v>508</v>
      </c>
      <c r="I9898" s="206"/>
    </row>
    <row r="9899" spans="1:9" ht="15" hidden="1" customHeight="1">
      <c r="A9899" s="205">
        <v>45644</v>
      </c>
      <c r="B9899" s="208" t="s">
        <v>7791</v>
      </c>
      <c r="C9899" s="206" t="s">
        <v>27</v>
      </c>
      <c r="D9899" s="737">
        <v>-247700</v>
      </c>
      <c r="E9899" s="819">
        <v>45627</v>
      </c>
      <c r="F9899" s="206" t="s">
        <v>110</v>
      </c>
      <c r="G9899" s="206" t="s">
        <v>1489</v>
      </c>
      <c r="H9899" s="206" t="s">
        <v>508</v>
      </c>
      <c r="I9899" s="206"/>
    </row>
    <row r="9900" spans="1:9" ht="15" hidden="1" customHeight="1">
      <c r="A9900" s="205">
        <v>45644</v>
      </c>
      <c r="B9900" s="208" t="s">
        <v>7791</v>
      </c>
      <c r="C9900" s="206" t="s">
        <v>27</v>
      </c>
      <c r="D9900" s="737">
        <v>-247700</v>
      </c>
      <c r="E9900" s="819">
        <v>45627</v>
      </c>
      <c r="F9900" s="206" t="s">
        <v>110</v>
      </c>
      <c r="G9900" s="206" t="s">
        <v>4990</v>
      </c>
      <c r="H9900" s="206" t="s">
        <v>508</v>
      </c>
      <c r="I9900" s="206"/>
    </row>
    <row r="9901" spans="1:9" ht="15" hidden="1" customHeight="1">
      <c r="A9901" s="205">
        <v>45644</v>
      </c>
      <c r="B9901" s="208" t="s">
        <v>7791</v>
      </c>
      <c r="C9901" s="206" t="s">
        <v>27</v>
      </c>
      <c r="D9901" s="737">
        <v>-247700</v>
      </c>
      <c r="E9901" s="819">
        <v>45627</v>
      </c>
      <c r="F9901" s="206" t="s">
        <v>109</v>
      </c>
      <c r="G9901" s="206" t="s">
        <v>4986</v>
      </c>
      <c r="H9901" s="206" t="s">
        <v>508</v>
      </c>
      <c r="I9901" s="206"/>
    </row>
    <row r="9902" spans="1:9" ht="15" hidden="1" customHeight="1">
      <c r="A9902" s="205">
        <v>45644</v>
      </c>
      <c r="B9902" s="208" t="s">
        <v>7792</v>
      </c>
      <c r="C9902" s="206" t="s">
        <v>27</v>
      </c>
      <c r="D9902" s="737">
        <v>-248466.666</v>
      </c>
      <c r="E9902" s="819">
        <v>45627</v>
      </c>
      <c r="F9902" s="206" t="s">
        <v>110</v>
      </c>
      <c r="G9902" s="206" t="s">
        <v>1489</v>
      </c>
      <c r="H9902" s="206" t="s">
        <v>508</v>
      </c>
      <c r="I9902" s="206"/>
    </row>
    <row r="9903" spans="1:9" ht="15" hidden="1" customHeight="1">
      <c r="A9903" s="205">
        <v>45644</v>
      </c>
      <c r="B9903" s="208" t="s">
        <v>7792</v>
      </c>
      <c r="C9903" s="206" t="s">
        <v>27</v>
      </c>
      <c r="D9903" s="737">
        <v>-248466.666</v>
      </c>
      <c r="E9903" s="819">
        <v>45627</v>
      </c>
      <c r="F9903" s="206" t="s">
        <v>110</v>
      </c>
      <c r="G9903" s="206" t="s">
        <v>4990</v>
      </c>
      <c r="H9903" s="206" t="s">
        <v>508</v>
      </c>
      <c r="I9903" s="206"/>
    </row>
    <row r="9904" spans="1:9" ht="15" hidden="1" customHeight="1">
      <c r="A9904" s="205">
        <v>45644</v>
      </c>
      <c r="B9904" s="208" t="s">
        <v>7792</v>
      </c>
      <c r="C9904" s="206" t="s">
        <v>27</v>
      </c>
      <c r="D9904" s="737">
        <v>-248466.666</v>
      </c>
      <c r="E9904" s="819">
        <v>45627</v>
      </c>
      <c r="F9904" s="206" t="s">
        <v>109</v>
      </c>
      <c r="G9904" s="206" t="s">
        <v>4986</v>
      </c>
      <c r="H9904" s="206" t="s">
        <v>508</v>
      </c>
      <c r="I9904" s="206"/>
    </row>
    <row r="9905" spans="1:9" ht="15" hidden="1" customHeight="1">
      <c r="A9905" s="205">
        <v>45644</v>
      </c>
      <c r="B9905" s="208" t="s">
        <v>7793</v>
      </c>
      <c r="C9905" s="206" t="s">
        <v>27</v>
      </c>
      <c r="D9905" s="737">
        <v>-340566.6666</v>
      </c>
      <c r="E9905" s="819">
        <v>45627</v>
      </c>
      <c r="F9905" s="206" t="s">
        <v>110</v>
      </c>
      <c r="G9905" s="206" t="s">
        <v>1489</v>
      </c>
      <c r="H9905" s="206" t="s">
        <v>508</v>
      </c>
      <c r="I9905" s="206"/>
    </row>
    <row r="9906" spans="1:9" ht="15" hidden="1" customHeight="1">
      <c r="A9906" s="205">
        <v>45644</v>
      </c>
      <c r="B9906" s="208" t="s">
        <v>7793</v>
      </c>
      <c r="C9906" s="206" t="s">
        <v>27</v>
      </c>
      <c r="D9906" s="737">
        <v>-340566.6666</v>
      </c>
      <c r="E9906" s="819">
        <v>45627</v>
      </c>
      <c r="F9906" s="206" t="s">
        <v>110</v>
      </c>
      <c r="G9906" s="206" t="s">
        <v>4990</v>
      </c>
      <c r="H9906" s="206" t="s">
        <v>508</v>
      </c>
      <c r="I9906" s="206"/>
    </row>
    <row r="9907" spans="1:9" ht="15" hidden="1" customHeight="1">
      <c r="A9907" s="205">
        <v>45644</v>
      </c>
      <c r="B9907" s="208" t="s">
        <v>7793</v>
      </c>
      <c r="C9907" s="206" t="s">
        <v>27</v>
      </c>
      <c r="D9907" s="737">
        <v>-340566.6666</v>
      </c>
      <c r="E9907" s="819">
        <v>45627</v>
      </c>
      <c r="F9907" s="206" t="s">
        <v>109</v>
      </c>
      <c r="G9907" s="206" t="s">
        <v>4986</v>
      </c>
      <c r="H9907" s="206" t="s">
        <v>508</v>
      </c>
      <c r="I9907" s="206"/>
    </row>
    <row r="9908" spans="1:9" ht="15" hidden="1" customHeight="1">
      <c r="A9908" s="205">
        <v>45644</v>
      </c>
      <c r="B9908" s="208" t="s">
        <v>7794</v>
      </c>
      <c r="C9908" s="206" t="s">
        <v>27</v>
      </c>
      <c r="D9908" s="737">
        <v>-258000</v>
      </c>
      <c r="E9908" s="819">
        <v>45627</v>
      </c>
      <c r="F9908" s="206" t="s">
        <v>110</v>
      </c>
      <c r="G9908" s="206" t="s">
        <v>1489</v>
      </c>
      <c r="H9908" s="206" t="s">
        <v>508</v>
      </c>
      <c r="I9908" s="206"/>
    </row>
    <row r="9909" spans="1:9" ht="15" hidden="1" customHeight="1">
      <c r="A9909" s="205">
        <v>45644</v>
      </c>
      <c r="B9909" s="208" t="s">
        <v>7794</v>
      </c>
      <c r="C9909" s="206" t="s">
        <v>27</v>
      </c>
      <c r="D9909" s="737">
        <v>-258000</v>
      </c>
      <c r="E9909" s="819">
        <v>45627</v>
      </c>
      <c r="F9909" s="206" t="s">
        <v>110</v>
      </c>
      <c r="G9909" s="206" t="s">
        <v>4990</v>
      </c>
      <c r="H9909" s="206" t="s">
        <v>508</v>
      </c>
      <c r="I9909" s="206"/>
    </row>
    <row r="9910" spans="1:9" ht="15" hidden="1" customHeight="1">
      <c r="A9910" s="205">
        <v>45644</v>
      </c>
      <c r="B9910" s="208" t="s">
        <v>7794</v>
      </c>
      <c r="C9910" s="206" t="s">
        <v>27</v>
      </c>
      <c r="D9910" s="737">
        <v>-258000</v>
      </c>
      <c r="E9910" s="819">
        <v>45627</v>
      </c>
      <c r="F9910" s="206" t="s">
        <v>109</v>
      </c>
      <c r="G9910" s="206" t="s">
        <v>4986</v>
      </c>
      <c r="H9910" s="206" t="s">
        <v>508</v>
      </c>
      <c r="I9910" s="206"/>
    </row>
    <row r="9911" spans="1:9" ht="15" hidden="1" customHeight="1">
      <c r="A9911" s="205">
        <v>45644</v>
      </c>
      <c r="B9911" s="208" t="s">
        <v>7795</v>
      </c>
      <c r="C9911" s="206" t="s">
        <v>27</v>
      </c>
      <c r="D9911" s="737">
        <v>-206400</v>
      </c>
      <c r="E9911" s="819">
        <v>45627</v>
      </c>
      <c r="F9911" s="206" t="s">
        <v>110</v>
      </c>
      <c r="G9911" s="206" t="s">
        <v>1489</v>
      </c>
      <c r="H9911" s="206" t="s">
        <v>508</v>
      </c>
      <c r="I9911" s="206"/>
    </row>
    <row r="9912" spans="1:9" ht="15" hidden="1" customHeight="1">
      <c r="A9912" s="205">
        <v>45644</v>
      </c>
      <c r="B9912" s="208" t="s">
        <v>7795</v>
      </c>
      <c r="C9912" s="206" t="s">
        <v>27</v>
      </c>
      <c r="D9912" s="737">
        <v>-206400</v>
      </c>
      <c r="E9912" s="819">
        <v>45627</v>
      </c>
      <c r="F9912" s="206" t="s">
        <v>110</v>
      </c>
      <c r="G9912" s="206" t="s">
        <v>4990</v>
      </c>
      <c r="H9912" s="206" t="s">
        <v>508</v>
      </c>
      <c r="I9912" s="206"/>
    </row>
    <row r="9913" spans="1:9" ht="15" hidden="1" customHeight="1">
      <c r="A9913" s="205">
        <v>45644</v>
      </c>
      <c r="B9913" s="208" t="s">
        <v>7795</v>
      </c>
      <c r="C9913" s="206" t="s">
        <v>27</v>
      </c>
      <c r="D9913" s="737">
        <v>-206400</v>
      </c>
      <c r="E9913" s="819">
        <v>45627</v>
      </c>
      <c r="F9913" s="206" t="s">
        <v>109</v>
      </c>
      <c r="G9913" s="206" t="s">
        <v>4986</v>
      </c>
      <c r="H9913" s="206" t="s">
        <v>508</v>
      </c>
      <c r="I9913" s="206"/>
    </row>
    <row r="9914" spans="1:9" ht="15" hidden="1" customHeight="1">
      <c r="A9914" s="205">
        <v>45644</v>
      </c>
      <c r="B9914" s="208" t="s">
        <v>7796</v>
      </c>
      <c r="C9914" s="206" t="s">
        <v>27</v>
      </c>
      <c r="D9914" s="737">
        <v>-258000</v>
      </c>
      <c r="E9914" s="819">
        <v>45627</v>
      </c>
      <c r="F9914" s="206" t="s">
        <v>110</v>
      </c>
      <c r="G9914" s="206" t="s">
        <v>1489</v>
      </c>
      <c r="H9914" s="206" t="s">
        <v>508</v>
      </c>
      <c r="I9914" s="206"/>
    </row>
    <row r="9915" spans="1:9" ht="15" hidden="1" customHeight="1">
      <c r="A9915" s="205">
        <v>45644</v>
      </c>
      <c r="B9915" s="208" t="s">
        <v>7796</v>
      </c>
      <c r="C9915" s="206" t="s">
        <v>27</v>
      </c>
      <c r="D9915" s="737">
        <v>-258000</v>
      </c>
      <c r="E9915" s="819">
        <v>45627</v>
      </c>
      <c r="F9915" s="206" t="s">
        <v>110</v>
      </c>
      <c r="G9915" s="206" t="s">
        <v>4990</v>
      </c>
      <c r="H9915" s="206" t="s">
        <v>508</v>
      </c>
      <c r="I9915" s="206"/>
    </row>
    <row r="9916" spans="1:9" ht="15" hidden="1" customHeight="1">
      <c r="A9916" s="205">
        <v>45644</v>
      </c>
      <c r="B9916" s="208" t="s">
        <v>7796</v>
      </c>
      <c r="C9916" s="206" t="s">
        <v>27</v>
      </c>
      <c r="D9916" s="737">
        <v>-258000</v>
      </c>
      <c r="E9916" s="819">
        <v>45627</v>
      </c>
      <c r="F9916" s="206" t="s">
        <v>109</v>
      </c>
      <c r="G9916" s="206" t="s">
        <v>4986</v>
      </c>
      <c r="H9916" s="206" t="s">
        <v>508</v>
      </c>
      <c r="I9916" s="206"/>
    </row>
    <row r="9917" spans="1:9" ht="15" hidden="1" customHeight="1">
      <c r="A9917" s="205">
        <v>45644</v>
      </c>
      <c r="B9917" s="208" t="s">
        <v>7797</v>
      </c>
      <c r="C9917" s="206" t="s">
        <v>27</v>
      </c>
      <c r="D9917" s="737">
        <v>-272466.66600000003</v>
      </c>
      <c r="E9917" s="819">
        <v>45627</v>
      </c>
      <c r="F9917" s="206" t="s">
        <v>110</v>
      </c>
      <c r="G9917" s="206" t="s">
        <v>1489</v>
      </c>
      <c r="H9917" s="206" t="s">
        <v>508</v>
      </c>
      <c r="I9917" s="206"/>
    </row>
    <row r="9918" spans="1:9" ht="15" hidden="1" customHeight="1">
      <c r="A9918" s="205">
        <v>45644</v>
      </c>
      <c r="B9918" s="208" t="s">
        <v>7797</v>
      </c>
      <c r="C9918" s="206" t="s">
        <v>27</v>
      </c>
      <c r="D9918" s="737">
        <v>-272466.66600000003</v>
      </c>
      <c r="E9918" s="819">
        <v>45627</v>
      </c>
      <c r="F9918" s="206" t="s">
        <v>110</v>
      </c>
      <c r="G9918" s="206" t="s">
        <v>4990</v>
      </c>
      <c r="H9918" s="206" t="s">
        <v>508</v>
      </c>
      <c r="I9918" s="206"/>
    </row>
    <row r="9919" spans="1:9" ht="15" hidden="1" customHeight="1">
      <c r="A9919" s="205">
        <v>45644</v>
      </c>
      <c r="B9919" s="208" t="s">
        <v>7797</v>
      </c>
      <c r="C9919" s="206" t="s">
        <v>27</v>
      </c>
      <c r="D9919" s="737">
        <v>-272466.66600000003</v>
      </c>
      <c r="E9919" s="819">
        <v>45627</v>
      </c>
      <c r="F9919" s="206" t="s">
        <v>109</v>
      </c>
      <c r="G9919" s="206" t="s">
        <v>4986</v>
      </c>
      <c r="H9919" s="206" t="s">
        <v>508</v>
      </c>
      <c r="I9919" s="206"/>
    </row>
    <row r="9920" spans="1:9" ht="15" hidden="1" customHeight="1">
      <c r="A9920" s="205">
        <v>45644</v>
      </c>
      <c r="B9920" s="208" t="s">
        <v>7798</v>
      </c>
      <c r="C9920" s="206" t="s">
        <v>27</v>
      </c>
      <c r="D9920" s="737">
        <v>-683966.66599999997</v>
      </c>
      <c r="E9920" s="819">
        <v>45627</v>
      </c>
      <c r="F9920" s="206" t="s">
        <v>110</v>
      </c>
      <c r="G9920" s="206" t="s">
        <v>1489</v>
      </c>
      <c r="H9920" s="206" t="s">
        <v>508</v>
      </c>
      <c r="I9920" s="206"/>
    </row>
    <row r="9921" spans="1:9" ht="15" hidden="1" customHeight="1">
      <c r="A9921" s="205">
        <v>45644</v>
      </c>
      <c r="B9921" s="208" t="s">
        <v>7798</v>
      </c>
      <c r="C9921" s="206" t="s">
        <v>27</v>
      </c>
      <c r="D9921" s="737">
        <v>-683966.66599999997</v>
      </c>
      <c r="E9921" s="819">
        <v>45627</v>
      </c>
      <c r="F9921" s="206" t="s">
        <v>110</v>
      </c>
      <c r="G9921" s="206" t="s">
        <v>4990</v>
      </c>
      <c r="H9921" s="206" t="s">
        <v>508</v>
      </c>
      <c r="I9921" s="206"/>
    </row>
    <row r="9922" spans="1:9" ht="15" hidden="1" customHeight="1">
      <c r="A9922" s="205">
        <v>45644</v>
      </c>
      <c r="B9922" s="208" t="s">
        <v>7798</v>
      </c>
      <c r="C9922" s="206" t="s">
        <v>27</v>
      </c>
      <c r="D9922" s="737">
        <v>-683966.66599999997</v>
      </c>
      <c r="E9922" s="819">
        <v>45627</v>
      </c>
      <c r="F9922" s="206" t="s">
        <v>109</v>
      </c>
      <c r="G9922" s="206" t="s">
        <v>4986</v>
      </c>
      <c r="H9922" s="206" t="s">
        <v>508</v>
      </c>
      <c r="I9922" s="206"/>
    </row>
    <row r="9923" spans="1:9" ht="15" hidden="1" customHeight="1">
      <c r="A9923" s="205">
        <v>45644</v>
      </c>
      <c r="B9923" s="208" t="s">
        <v>7799</v>
      </c>
      <c r="C9923" s="206" t="s">
        <v>27</v>
      </c>
      <c r="D9923" s="737">
        <v>-179600</v>
      </c>
      <c r="E9923" s="819">
        <v>45627</v>
      </c>
      <c r="F9923" s="206" t="s">
        <v>110</v>
      </c>
      <c r="G9923" s="206" t="s">
        <v>1489</v>
      </c>
      <c r="H9923" s="206" t="s">
        <v>508</v>
      </c>
      <c r="I9923" s="206"/>
    </row>
    <row r="9924" spans="1:9" ht="15" hidden="1" customHeight="1">
      <c r="A9924" s="205">
        <v>45644</v>
      </c>
      <c r="B9924" s="208" t="s">
        <v>7799</v>
      </c>
      <c r="C9924" s="206" t="s">
        <v>27</v>
      </c>
      <c r="D9924" s="737">
        <v>-179600</v>
      </c>
      <c r="E9924" s="819">
        <v>45627</v>
      </c>
      <c r="F9924" s="206" t="s">
        <v>110</v>
      </c>
      <c r="G9924" s="206" t="s">
        <v>4990</v>
      </c>
      <c r="H9924" s="206" t="s">
        <v>508</v>
      </c>
      <c r="I9924" s="206"/>
    </row>
    <row r="9925" spans="1:9" ht="15" hidden="1" customHeight="1">
      <c r="A9925" s="205">
        <v>45644</v>
      </c>
      <c r="B9925" s="208" t="s">
        <v>7799</v>
      </c>
      <c r="C9925" s="206" t="s">
        <v>27</v>
      </c>
      <c r="D9925" s="737">
        <v>-179600</v>
      </c>
      <c r="E9925" s="819">
        <v>45627</v>
      </c>
      <c r="F9925" s="206" t="s">
        <v>109</v>
      </c>
      <c r="G9925" s="206" t="s">
        <v>4986</v>
      </c>
      <c r="H9925" s="206" t="s">
        <v>508</v>
      </c>
      <c r="I9925" s="206"/>
    </row>
    <row r="9926" spans="1:9" ht="15" hidden="1" customHeight="1">
      <c r="A9926" s="205">
        <v>45644</v>
      </c>
      <c r="B9926" s="208" t="s">
        <v>7800</v>
      </c>
      <c r="C9926" s="206" t="s">
        <v>27</v>
      </c>
      <c r="D9926" s="737">
        <v>-315800</v>
      </c>
      <c r="E9926" s="819">
        <v>45627</v>
      </c>
      <c r="F9926" s="206" t="s">
        <v>110</v>
      </c>
      <c r="G9926" s="206" t="s">
        <v>1489</v>
      </c>
      <c r="H9926" s="206" t="s">
        <v>508</v>
      </c>
      <c r="I9926" s="206"/>
    </row>
    <row r="9927" spans="1:9" ht="15" hidden="1" customHeight="1">
      <c r="A9927" s="205">
        <v>45644</v>
      </c>
      <c r="B9927" s="208" t="s">
        <v>7800</v>
      </c>
      <c r="C9927" s="206" t="s">
        <v>27</v>
      </c>
      <c r="D9927" s="737">
        <v>-315800</v>
      </c>
      <c r="E9927" s="819">
        <v>45627</v>
      </c>
      <c r="F9927" s="206" t="s">
        <v>110</v>
      </c>
      <c r="G9927" s="206" t="s">
        <v>4990</v>
      </c>
      <c r="H9927" s="206" t="s">
        <v>508</v>
      </c>
      <c r="I9927" s="206"/>
    </row>
    <row r="9928" spans="1:9" ht="15" hidden="1" customHeight="1">
      <c r="A9928" s="205">
        <v>45644</v>
      </c>
      <c r="B9928" s="208" t="s">
        <v>7800</v>
      </c>
      <c r="C9928" s="206" t="s">
        <v>27</v>
      </c>
      <c r="D9928" s="737">
        <v>-315800</v>
      </c>
      <c r="E9928" s="819">
        <v>45627</v>
      </c>
      <c r="F9928" s="206" t="s">
        <v>109</v>
      </c>
      <c r="G9928" s="206" t="s">
        <v>4986</v>
      </c>
      <c r="H9928" s="206" t="s">
        <v>508</v>
      </c>
      <c r="I9928" s="206"/>
    </row>
    <row r="9929" spans="1:9" ht="15" hidden="1" customHeight="1">
      <c r="A9929" s="205">
        <v>45644</v>
      </c>
      <c r="B9929" s="208" t="s">
        <v>7801</v>
      </c>
      <c r="C9929" s="206" t="s">
        <v>27</v>
      </c>
      <c r="D9929" s="737">
        <v>-59866.665999999997</v>
      </c>
      <c r="E9929" s="819">
        <v>45627</v>
      </c>
      <c r="F9929" s="206" t="s">
        <v>110</v>
      </c>
      <c r="G9929" s="206" t="s">
        <v>1489</v>
      </c>
      <c r="H9929" s="206" t="s">
        <v>508</v>
      </c>
      <c r="I9929" s="206"/>
    </row>
    <row r="9930" spans="1:9" ht="15" hidden="1" customHeight="1">
      <c r="A9930" s="205">
        <v>45644</v>
      </c>
      <c r="B9930" s="208" t="s">
        <v>7801</v>
      </c>
      <c r="C9930" s="206" t="s">
        <v>27</v>
      </c>
      <c r="D9930" s="737">
        <v>-59866.665999999997</v>
      </c>
      <c r="E9930" s="819">
        <v>45627</v>
      </c>
      <c r="F9930" s="206" t="s">
        <v>110</v>
      </c>
      <c r="G9930" s="206" t="s">
        <v>4990</v>
      </c>
      <c r="H9930" s="206" t="s">
        <v>508</v>
      </c>
      <c r="I9930" s="206"/>
    </row>
    <row r="9931" spans="1:9" ht="15" hidden="1" customHeight="1">
      <c r="A9931" s="205">
        <v>45644</v>
      </c>
      <c r="B9931" s="208" t="s">
        <v>7801</v>
      </c>
      <c r="C9931" s="206" t="s">
        <v>27</v>
      </c>
      <c r="D9931" s="737">
        <v>-59866.665999999997</v>
      </c>
      <c r="E9931" s="819">
        <v>45627</v>
      </c>
      <c r="F9931" s="206" t="s">
        <v>109</v>
      </c>
      <c r="G9931" s="206" t="s">
        <v>4986</v>
      </c>
      <c r="H9931" s="206" t="s">
        <v>508</v>
      </c>
      <c r="I9931" s="206"/>
    </row>
    <row r="9932" spans="1:9" ht="15" hidden="1" customHeight="1">
      <c r="A9932" s="205">
        <v>45644</v>
      </c>
      <c r="B9932" s="208" t="s">
        <v>7802</v>
      </c>
      <c r="C9932" s="206" t="s">
        <v>27</v>
      </c>
      <c r="D9932" s="737">
        <v>-55133.332999999999</v>
      </c>
      <c r="E9932" s="819">
        <v>45627</v>
      </c>
      <c r="F9932" s="206" t="s">
        <v>110</v>
      </c>
      <c r="G9932" s="206" t="s">
        <v>1489</v>
      </c>
      <c r="H9932" s="206" t="s">
        <v>508</v>
      </c>
      <c r="I9932" s="206"/>
    </row>
    <row r="9933" spans="1:9" ht="15" hidden="1" customHeight="1">
      <c r="A9933" s="205">
        <v>45644</v>
      </c>
      <c r="B9933" s="208" t="s">
        <v>7802</v>
      </c>
      <c r="C9933" s="206" t="s">
        <v>27</v>
      </c>
      <c r="D9933" s="737">
        <v>-55133.332999999999</v>
      </c>
      <c r="E9933" s="819">
        <v>45627</v>
      </c>
      <c r="F9933" s="206" t="s">
        <v>110</v>
      </c>
      <c r="G9933" s="206" t="s">
        <v>4990</v>
      </c>
      <c r="H9933" s="206" t="s">
        <v>508</v>
      </c>
      <c r="I9933" s="206"/>
    </row>
    <row r="9934" spans="1:9" ht="15" hidden="1" customHeight="1">
      <c r="A9934" s="205">
        <v>45644</v>
      </c>
      <c r="B9934" s="208" t="s">
        <v>7802</v>
      </c>
      <c r="C9934" s="206" t="s">
        <v>27</v>
      </c>
      <c r="D9934" s="737">
        <v>-55133.332999999999</v>
      </c>
      <c r="E9934" s="819">
        <v>45627</v>
      </c>
      <c r="F9934" s="206" t="s">
        <v>109</v>
      </c>
      <c r="G9934" s="206" t="s">
        <v>4986</v>
      </c>
      <c r="H9934" s="206" t="s">
        <v>508</v>
      </c>
      <c r="I9934" s="206"/>
    </row>
    <row r="9935" spans="1:9" ht="15" hidden="1" customHeight="1">
      <c r="A9935" s="205">
        <v>45644</v>
      </c>
      <c r="B9935" s="208" t="s">
        <v>7803</v>
      </c>
      <c r="C9935" s="206" t="s">
        <v>27</v>
      </c>
      <c r="D9935" s="737">
        <v>-402500</v>
      </c>
      <c r="E9935" s="819">
        <v>45627</v>
      </c>
      <c r="F9935" s="206" t="s">
        <v>109</v>
      </c>
      <c r="G9935" s="206" t="s">
        <v>4986</v>
      </c>
      <c r="H9935" s="206" t="s">
        <v>147</v>
      </c>
      <c r="I9935" s="206"/>
    </row>
    <row r="9936" spans="1:9" ht="15" hidden="1" customHeight="1">
      <c r="A9936" s="205">
        <v>45644</v>
      </c>
      <c r="B9936" s="208" t="s">
        <v>7804</v>
      </c>
      <c r="C9936" s="206" t="s">
        <v>27</v>
      </c>
      <c r="D9936" s="737">
        <v>-201250</v>
      </c>
      <c r="E9936" s="819">
        <v>45627</v>
      </c>
      <c r="F9936" s="206" t="s">
        <v>110</v>
      </c>
      <c r="G9936" s="206" t="s">
        <v>4990</v>
      </c>
      <c r="H9936" s="206" t="s">
        <v>147</v>
      </c>
      <c r="I9936" s="206"/>
    </row>
    <row r="9937" spans="1:9" ht="15" hidden="1" customHeight="1">
      <c r="A9937" s="205">
        <v>45644</v>
      </c>
      <c r="B9937" s="208" t="s">
        <v>7804</v>
      </c>
      <c r="C9937" s="206" t="s">
        <v>27</v>
      </c>
      <c r="D9937" s="737">
        <v>-201250</v>
      </c>
      <c r="E9937" s="819">
        <v>45627</v>
      </c>
      <c r="F9937" s="206" t="s">
        <v>109</v>
      </c>
      <c r="G9937" s="206" t="s">
        <v>4225</v>
      </c>
      <c r="H9937" s="206" t="s">
        <v>147</v>
      </c>
      <c r="I9937" s="206"/>
    </row>
    <row r="9938" spans="1:9" ht="15" hidden="1" customHeight="1">
      <c r="A9938" s="205">
        <v>45644</v>
      </c>
      <c r="B9938" s="208" t="s">
        <v>7805</v>
      </c>
      <c r="C9938" s="206" t="s">
        <v>27</v>
      </c>
      <c r="D9938" s="737">
        <v>-402500</v>
      </c>
      <c r="E9938" s="819">
        <v>45627</v>
      </c>
      <c r="F9938" s="206" t="s">
        <v>110</v>
      </c>
      <c r="G9938" s="206" t="s">
        <v>5469</v>
      </c>
      <c r="H9938" s="206" t="s">
        <v>147</v>
      </c>
      <c r="I9938" s="206"/>
    </row>
    <row r="9939" spans="1:9" ht="15" hidden="1" customHeight="1">
      <c r="A9939" s="205">
        <v>45644</v>
      </c>
      <c r="B9939" s="208" t="s">
        <v>7806</v>
      </c>
      <c r="C9939" s="206" t="s">
        <v>27</v>
      </c>
      <c r="D9939" s="737">
        <v>-402500</v>
      </c>
      <c r="E9939" s="819">
        <v>45627</v>
      </c>
      <c r="F9939" s="206" t="s">
        <v>109</v>
      </c>
      <c r="G9939" s="206" t="s">
        <v>4225</v>
      </c>
      <c r="H9939" s="206" t="s">
        <v>147</v>
      </c>
      <c r="I9939" s="206"/>
    </row>
    <row r="9940" spans="1:9" ht="15" hidden="1" customHeight="1">
      <c r="A9940" s="205">
        <v>45644</v>
      </c>
      <c r="B9940" s="208" t="s">
        <v>7807</v>
      </c>
      <c r="C9940" s="206" t="s">
        <v>27</v>
      </c>
      <c r="D9940" s="737">
        <v>-349900</v>
      </c>
      <c r="E9940" s="819">
        <v>45627</v>
      </c>
      <c r="F9940" s="206" t="s">
        <v>130</v>
      </c>
      <c r="G9940" s="206" t="s">
        <v>130</v>
      </c>
      <c r="H9940" s="206" t="s">
        <v>182</v>
      </c>
      <c r="I9940" s="206"/>
    </row>
    <row r="9941" spans="1:9" ht="15" hidden="1" customHeight="1">
      <c r="A9941" s="205">
        <v>45644</v>
      </c>
      <c r="B9941" s="208" t="s">
        <v>7808</v>
      </c>
      <c r="C9941" s="206" t="s">
        <v>27</v>
      </c>
      <c r="D9941" s="737">
        <v>-372500</v>
      </c>
      <c r="E9941" s="819">
        <v>45627</v>
      </c>
      <c r="F9941" s="206" t="s">
        <v>110</v>
      </c>
      <c r="G9941" s="206" t="s">
        <v>5469</v>
      </c>
      <c r="H9941" s="206" t="s">
        <v>147</v>
      </c>
      <c r="I9941" s="206"/>
    </row>
    <row r="9942" spans="1:9" ht="15" hidden="1" customHeight="1">
      <c r="A9942" s="205">
        <v>45644</v>
      </c>
      <c r="B9942" s="208" t="s">
        <v>7809</v>
      </c>
      <c r="C9942" s="206" t="s">
        <v>27</v>
      </c>
      <c r="D9942" s="737">
        <v>-619200</v>
      </c>
      <c r="E9942" s="819">
        <v>45627</v>
      </c>
      <c r="F9942" s="206" t="s">
        <v>109</v>
      </c>
      <c r="G9942" s="206" t="s">
        <v>4986</v>
      </c>
      <c r="H9942" s="206" t="s">
        <v>147</v>
      </c>
      <c r="I9942" s="206"/>
    </row>
    <row r="9943" spans="1:9" ht="15" hidden="1" customHeight="1">
      <c r="A9943" s="205">
        <v>45644</v>
      </c>
      <c r="B9943" s="208" t="s">
        <v>7810</v>
      </c>
      <c r="C9943" s="206" t="s">
        <v>27</v>
      </c>
      <c r="D9943" s="737">
        <v>-201250</v>
      </c>
      <c r="E9943" s="819">
        <v>45627</v>
      </c>
      <c r="F9943" s="206" t="s">
        <v>110</v>
      </c>
      <c r="G9943" s="206" t="s">
        <v>4990</v>
      </c>
      <c r="H9943" s="206" t="s">
        <v>147</v>
      </c>
      <c r="I9943" s="206"/>
    </row>
    <row r="9944" spans="1:9" ht="15" hidden="1" customHeight="1">
      <c r="A9944" s="205">
        <v>45644</v>
      </c>
      <c r="B9944" s="208" t="s">
        <v>7810</v>
      </c>
      <c r="C9944" s="206" t="s">
        <v>27</v>
      </c>
      <c r="D9944" s="737">
        <v>-201250</v>
      </c>
      <c r="E9944" s="819">
        <v>45627</v>
      </c>
      <c r="F9944" s="206" t="s">
        <v>109</v>
      </c>
      <c r="G9944" s="206" t="s">
        <v>4225</v>
      </c>
      <c r="H9944" s="206" t="s">
        <v>147</v>
      </c>
      <c r="I9944" s="206"/>
    </row>
    <row r="9945" spans="1:9" ht="15" hidden="1" customHeight="1">
      <c r="A9945" s="205">
        <v>45644</v>
      </c>
      <c r="B9945" s="208" t="s">
        <v>7811</v>
      </c>
      <c r="C9945" s="206" t="s">
        <v>27</v>
      </c>
      <c r="D9945" s="737">
        <v>-193350</v>
      </c>
      <c r="E9945" s="819">
        <v>45627</v>
      </c>
      <c r="F9945" s="206" t="s">
        <v>109</v>
      </c>
      <c r="G9945" s="206" t="s">
        <v>4986</v>
      </c>
      <c r="H9945" s="206" t="s">
        <v>147</v>
      </c>
      <c r="I9945" s="206"/>
    </row>
    <row r="9946" spans="1:9" ht="15" hidden="1" customHeight="1">
      <c r="A9946" s="205">
        <v>45644</v>
      </c>
      <c r="B9946" s="208" t="s">
        <v>7811</v>
      </c>
      <c r="C9946" s="206" t="s">
        <v>27</v>
      </c>
      <c r="D9946" s="737">
        <v>-193350</v>
      </c>
      <c r="E9946" s="819">
        <v>45627</v>
      </c>
      <c r="F9946" s="206" t="s">
        <v>110</v>
      </c>
      <c r="G9946" s="206" t="s">
        <v>5469</v>
      </c>
      <c r="H9946" s="206" t="s">
        <v>147</v>
      </c>
      <c r="I9946" s="206"/>
    </row>
    <row r="9947" spans="1:9" ht="15" hidden="1" customHeight="1">
      <c r="A9947" s="205">
        <v>45644</v>
      </c>
      <c r="B9947" s="208" t="s">
        <v>7812</v>
      </c>
      <c r="C9947" s="206" t="s">
        <v>27</v>
      </c>
      <c r="D9947" s="737">
        <v>-402500</v>
      </c>
      <c r="E9947" s="819">
        <v>45627</v>
      </c>
      <c r="F9947" s="206" t="s">
        <v>110</v>
      </c>
      <c r="G9947" s="206" t="s">
        <v>5469</v>
      </c>
      <c r="H9947" s="206" t="s">
        <v>147</v>
      </c>
      <c r="I9947" s="206"/>
    </row>
    <row r="9948" spans="1:9" ht="15" hidden="1" customHeight="1">
      <c r="A9948" s="205">
        <v>45644</v>
      </c>
      <c r="B9948" s="208" t="s">
        <v>7813</v>
      </c>
      <c r="C9948" s="206" t="s">
        <v>27</v>
      </c>
      <c r="D9948" s="737">
        <v>-402500</v>
      </c>
      <c r="E9948" s="819">
        <v>45627</v>
      </c>
      <c r="F9948" s="206" t="s">
        <v>110</v>
      </c>
      <c r="G9948" s="206" t="s">
        <v>5469</v>
      </c>
      <c r="H9948" s="206" t="s">
        <v>147</v>
      </c>
      <c r="I9948" s="206"/>
    </row>
    <row r="9949" spans="1:9" ht="15" hidden="1" customHeight="1">
      <c r="A9949" s="205">
        <v>45644</v>
      </c>
      <c r="B9949" s="208" t="s">
        <v>7814</v>
      </c>
      <c r="C9949" s="206" t="s">
        <v>27</v>
      </c>
      <c r="D9949" s="737">
        <v>-201250</v>
      </c>
      <c r="E9949" s="819">
        <v>45627</v>
      </c>
      <c r="F9949" s="206" t="s">
        <v>110</v>
      </c>
      <c r="G9949" s="206" t="s">
        <v>4990</v>
      </c>
      <c r="H9949" s="206" t="s">
        <v>147</v>
      </c>
      <c r="I9949" s="206"/>
    </row>
    <row r="9950" spans="1:9" ht="15" hidden="1" customHeight="1">
      <c r="A9950" s="205">
        <v>45644</v>
      </c>
      <c r="B9950" s="208" t="s">
        <v>7814</v>
      </c>
      <c r="C9950" s="206" t="s">
        <v>27</v>
      </c>
      <c r="D9950" s="737">
        <v>-201250</v>
      </c>
      <c r="E9950" s="819">
        <v>45627</v>
      </c>
      <c r="F9950" s="206" t="s">
        <v>109</v>
      </c>
      <c r="G9950" s="206" t="s">
        <v>4225</v>
      </c>
      <c r="H9950" s="206" t="s">
        <v>147</v>
      </c>
      <c r="I9950" s="206"/>
    </row>
    <row r="9951" spans="1:9" ht="15" hidden="1" customHeight="1">
      <c r="A9951" s="205">
        <v>45644</v>
      </c>
      <c r="B9951" s="208" t="s">
        <v>7815</v>
      </c>
      <c r="C9951" s="206" t="s">
        <v>27</v>
      </c>
      <c r="D9951" s="737">
        <v>-644500</v>
      </c>
      <c r="E9951" s="819">
        <v>45627</v>
      </c>
      <c r="F9951" s="206" t="s">
        <v>110</v>
      </c>
      <c r="G9951" s="206" t="s">
        <v>5469</v>
      </c>
      <c r="H9951" s="206" t="s">
        <v>147</v>
      </c>
      <c r="I9951" s="206"/>
    </row>
    <row r="9952" spans="1:9" ht="15" hidden="1" customHeight="1">
      <c r="A9952" s="205">
        <v>45644</v>
      </c>
      <c r="B9952" s="208" t="s">
        <v>7816</v>
      </c>
      <c r="C9952" s="206" t="s">
        <v>27</v>
      </c>
      <c r="D9952" s="737">
        <v>-402500</v>
      </c>
      <c r="E9952" s="819">
        <v>45627</v>
      </c>
      <c r="F9952" s="206" t="s">
        <v>109</v>
      </c>
      <c r="G9952" s="206" t="s">
        <v>581</v>
      </c>
      <c r="H9952" s="206" t="s">
        <v>147</v>
      </c>
      <c r="I9952" s="206"/>
    </row>
    <row r="9953" spans="1:9" ht="15" hidden="1" customHeight="1">
      <c r="A9953" s="205">
        <v>45644</v>
      </c>
      <c r="B9953" s="208" t="s">
        <v>7817</v>
      </c>
      <c r="C9953" s="206" t="s">
        <v>27</v>
      </c>
      <c r="D9953" s="737">
        <v>-441200</v>
      </c>
      <c r="E9953" s="819">
        <v>45627</v>
      </c>
      <c r="F9953" s="206" t="s">
        <v>110</v>
      </c>
      <c r="G9953" s="206" t="s">
        <v>5469</v>
      </c>
      <c r="H9953" s="206" t="s">
        <v>147</v>
      </c>
      <c r="I9953" s="206"/>
    </row>
    <row r="9954" spans="1:9" ht="15" hidden="1" customHeight="1">
      <c r="A9954" s="205">
        <v>45644</v>
      </c>
      <c r="B9954" s="208" t="s">
        <v>7818</v>
      </c>
      <c r="C9954" s="206" t="s">
        <v>27</v>
      </c>
      <c r="D9954" s="737">
        <v>-402500</v>
      </c>
      <c r="E9954" s="819">
        <v>45627</v>
      </c>
      <c r="F9954" s="206" t="s">
        <v>109</v>
      </c>
      <c r="G9954" s="206" t="s">
        <v>4986</v>
      </c>
      <c r="H9954" s="206" t="s">
        <v>147</v>
      </c>
      <c r="I9954" s="206"/>
    </row>
    <row r="9955" spans="1:9" ht="15" hidden="1" customHeight="1">
      <c r="A9955" s="205">
        <v>45644</v>
      </c>
      <c r="B9955" s="208" t="s">
        <v>7819</v>
      </c>
      <c r="C9955" s="206" t="s">
        <v>27</v>
      </c>
      <c r="D9955" s="737">
        <v>-247700</v>
      </c>
      <c r="E9955" s="819">
        <v>45627</v>
      </c>
      <c r="F9955" s="206" t="s">
        <v>110</v>
      </c>
      <c r="G9955" s="206" t="s">
        <v>4990</v>
      </c>
      <c r="H9955" s="206" t="s">
        <v>147</v>
      </c>
      <c r="I9955" s="206"/>
    </row>
    <row r="9956" spans="1:9" ht="15" hidden="1" customHeight="1">
      <c r="A9956" s="205">
        <v>45644</v>
      </c>
      <c r="B9956" s="208" t="s">
        <v>7819</v>
      </c>
      <c r="C9956" s="206" t="s">
        <v>27</v>
      </c>
      <c r="D9956" s="737">
        <v>-247700</v>
      </c>
      <c r="E9956" s="819">
        <v>45627</v>
      </c>
      <c r="F9956" s="206" t="s">
        <v>109</v>
      </c>
      <c r="G9956" s="206" t="s">
        <v>4225</v>
      </c>
      <c r="H9956" s="206" t="s">
        <v>147</v>
      </c>
      <c r="I9956" s="720" t="s">
        <v>5410</v>
      </c>
    </row>
    <row r="9957" spans="1:9" ht="15" hidden="1" customHeight="1">
      <c r="A9957" s="205">
        <v>45644</v>
      </c>
      <c r="B9957" s="208" t="s">
        <v>7820</v>
      </c>
      <c r="C9957" s="206" t="s">
        <v>27</v>
      </c>
      <c r="D9957" s="737">
        <v>-201250</v>
      </c>
      <c r="E9957" s="819">
        <v>45627</v>
      </c>
      <c r="F9957" s="206" t="s">
        <v>109</v>
      </c>
      <c r="G9957" s="206" t="s">
        <v>4986</v>
      </c>
      <c r="H9957" s="206" t="s">
        <v>147</v>
      </c>
      <c r="I9957" s="206"/>
    </row>
    <row r="9958" spans="1:9" ht="15" hidden="1" customHeight="1">
      <c r="A9958" s="205">
        <v>45644</v>
      </c>
      <c r="B9958" s="208" t="s">
        <v>7820</v>
      </c>
      <c r="C9958" s="206" t="s">
        <v>27</v>
      </c>
      <c r="D9958" s="737">
        <v>-201250</v>
      </c>
      <c r="E9958" s="819">
        <v>45627</v>
      </c>
      <c r="F9958" s="206" t="s">
        <v>110</v>
      </c>
      <c r="G9958" s="206" t="s">
        <v>5469</v>
      </c>
      <c r="H9958" s="206" t="s">
        <v>147</v>
      </c>
      <c r="I9958" s="206"/>
    </row>
    <row r="9959" spans="1:9" ht="15" hidden="1" customHeight="1">
      <c r="A9959" s="205">
        <v>45644</v>
      </c>
      <c r="B9959" s="208" t="s">
        <v>7821</v>
      </c>
      <c r="C9959" s="206" t="s">
        <v>27</v>
      </c>
      <c r="D9959" s="737">
        <v>-329800</v>
      </c>
      <c r="E9959" s="819">
        <v>45627</v>
      </c>
      <c r="F9959" s="206" t="s">
        <v>130</v>
      </c>
      <c r="G9959" s="206" t="s">
        <v>130</v>
      </c>
      <c r="H9959" s="206" t="s">
        <v>182</v>
      </c>
      <c r="I9959" s="206"/>
    </row>
    <row r="9960" spans="1:9" ht="15" hidden="1" customHeight="1">
      <c r="A9960" s="205">
        <v>45644</v>
      </c>
      <c r="B9960" s="208" t="s">
        <v>7822</v>
      </c>
      <c r="C9960" s="206" t="s">
        <v>27</v>
      </c>
      <c r="D9960" s="737">
        <v>-402500</v>
      </c>
      <c r="E9960" s="819">
        <v>45627</v>
      </c>
      <c r="F9960" s="206" t="s">
        <v>109</v>
      </c>
      <c r="G9960" s="206" t="s">
        <v>4986</v>
      </c>
      <c r="H9960" s="206" t="s">
        <v>147</v>
      </c>
      <c r="I9960" s="206"/>
    </row>
    <row r="9961" spans="1:9" ht="15" hidden="1" customHeight="1">
      <c r="A9961" s="205">
        <v>45644</v>
      </c>
      <c r="B9961" s="208" t="s">
        <v>7823</v>
      </c>
      <c r="C9961" s="206" t="s">
        <v>27</v>
      </c>
      <c r="D9961" s="737">
        <v>-327400</v>
      </c>
      <c r="E9961" s="819">
        <v>45627</v>
      </c>
      <c r="F9961" s="206" t="s">
        <v>130</v>
      </c>
      <c r="G9961" s="206" t="s">
        <v>130</v>
      </c>
      <c r="H9961" s="206" t="s">
        <v>1175</v>
      </c>
      <c r="I9961" s="206"/>
    </row>
    <row r="9962" spans="1:9" ht="15" hidden="1" customHeight="1">
      <c r="A9962" s="205">
        <v>45646</v>
      </c>
      <c r="B9962" s="208" t="s">
        <v>7824</v>
      </c>
      <c r="C9962" s="206" t="s">
        <v>27</v>
      </c>
      <c r="D9962" s="737">
        <v>-1290000</v>
      </c>
      <c r="E9962" s="819">
        <v>45627</v>
      </c>
      <c r="F9962" s="206" t="s">
        <v>130</v>
      </c>
      <c r="G9962" s="206" t="s">
        <v>130</v>
      </c>
      <c r="H9962" s="206" t="s">
        <v>360</v>
      </c>
      <c r="I9962" s="206"/>
    </row>
    <row r="9963" spans="1:9" ht="15" hidden="1" customHeight="1">
      <c r="A9963" s="205">
        <v>45639</v>
      </c>
      <c r="B9963" s="208" t="s">
        <v>7825</v>
      </c>
      <c r="C9963" s="206" t="s">
        <v>27</v>
      </c>
      <c r="D9963" s="211">
        <v>857136.71</v>
      </c>
      <c r="E9963" s="819">
        <v>45627</v>
      </c>
      <c r="F9963" s="206" t="s">
        <v>108</v>
      </c>
      <c r="I9963" s="206"/>
    </row>
    <row r="9964" spans="1:9" ht="15" hidden="1" customHeight="1">
      <c r="A9964" s="205">
        <v>45639</v>
      </c>
      <c r="B9964" s="208" t="s">
        <v>7826</v>
      </c>
      <c r="C9964" s="206" t="s">
        <v>27</v>
      </c>
      <c r="D9964" s="211">
        <v>1944000</v>
      </c>
      <c r="E9964" s="819">
        <v>45627</v>
      </c>
      <c r="F9964" s="206" t="s">
        <v>108</v>
      </c>
      <c r="I9964" s="206"/>
    </row>
    <row r="9965" spans="1:9" ht="15" hidden="1" customHeight="1">
      <c r="A9965" s="205">
        <v>45642</v>
      </c>
      <c r="B9965" s="208" t="s">
        <v>7827</v>
      </c>
      <c r="C9965" s="206" t="s">
        <v>27</v>
      </c>
      <c r="D9965" s="718">
        <v>1497341</v>
      </c>
      <c r="E9965" s="819">
        <v>45627</v>
      </c>
      <c r="F9965" s="206" t="s">
        <v>108</v>
      </c>
      <c r="I9965" s="206"/>
    </row>
    <row r="9966" spans="1:9" ht="15" hidden="1" customHeight="1">
      <c r="A9966" s="205">
        <v>45643</v>
      </c>
      <c r="B9966" s="208" t="s">
        <v>7828</v>
      </c>
      <c r="C9966" s="206" t="s">
        <v>27</v>
      </c>
      <c r="D9966" s="211">
        <v>106124</v>
      </c>
      <c r="E9966" s="819">
        <v>45627</v>
      </c>
      <c r="F9966" s="206" t="s">
        <v>109</v>
      </c>
      <c r="G9966" s="206" t="s">
        <v>207</v>
      </c>
      <c r="I9966" s="206"/>
    </row>
    <row r="9967" spans="1:9" ht="15" hidden="1" customHeight="1">
      <c r="A9967" s="205">
        <v>45644</v>
      </c>
      <c r="B9967" s="208" t="s">
        <v>7829</v>
      </c>
      <c r="C9967" s="206" t="s">
        <v>27</v>
      </c>
      <c r="D9967" s="718">
        <v>583304</v>
      </c>
      <c r="E9967" s="819">
        <v>45627</v>
      </c>
      <c r="F9967" s="206" t="s">
        <v>108</v>
      </c>
      <c r="I9967" s="206"/>
    </row>
    <row r="9968" spans="1:9" ht="15" hidden="1" customHeight="1">
      <c r="A9968" s="205">
        <v>45645</v>
      </c>
      <c r="B9968" s="208" t="s">
        <v>7829</v>
      </c>
      <c r="C9968" s="206" t="s">
        <v>27</v>
      </c>
      <c r="D9968" s="718">
        <v>1600815</v>
      </c>
      <c r="E9968" s="819">
        <v>45627</v>
      </c>
      <c r="F9968" s="206" t="s">
        <v>108</v>
      </c>
      <c r="I9968" s="206"/>
    </row>
    <row r="9969" spans="1:9" ht="15" hidden="1" customHeight="1">
      <c r="A9969" s="205">
        <v>45645</v>
      </c>
      <c r="B9969" s="208" t="s">
        <v>7829</v>
      </c>
      <c r="C9969" s="206" t="s">
        <v>27</v>
      </c>
      <c r="D9969" s="718">
        <v>2034538</v>
      </c>
      <c r="E9969" s="819">
        <v>45627</v>
      </c>
      <c r="F9969" s="206" t="s">
        <v>108</v>
      </c>
      <c r="I9969" s="206"/>
    </row>
    <row r="9970" spans="1:9" ht="15" hidden="1" customHeight="1">
      <c r="A9970" s="205">
        <v>45646</v>
      </c>
      <c r="B9970" s="208" t="s">
        <v>7830</v>
      </c>
      <c r="C9970" s="206" t="s">
        <v>27</v>
      </c>
      <c r="D9970" s="718">
        <v>5212541</v>
      </c>
      <c r="E9970" s="819">
        <v>45627</v>
      </c>
      <c r="F9970" s="206" t="s">
        <v>108</v>
      </c>
      <c r="I9970" s="206"/>
    </row>
    <row r="9971" spans="1:9" ht="15" hidden="1" customHeight="1">
      <c r="A9971" s="205">
        <v>45645</v>
      </c>
      <c r="B9971" s="208" t="s">
        <v>7831</v>
      </c>
      <c r="C9971" s="206" t="s">
        <v>27</v>
      </c>
      <c r="D9971" s="737">
        <v>111613929</v>
      </c>
      <c r="E9971" s="819">
        <v>45627</v>
      </c>
      <c r="F9971" s="206" t="s">
        <v>109</v>
      </c>
      <c r="G9971" s="206" t="s">
        <v>7832</v>
      </c>
      <c r="H9971" s="206" t="s">
        <v>461</v>
      </c>
      <c r="I9971" s="206"/>
    </row>
    <row r="9972" spans="1:9" ht="15" hidden="1" customHeight="1">
      <c r="A9972" s="205">
        <v>45644</v>
      </c>
      <c r="B9972" s="208" t="s">
        <v>7831</v>
      </c>
      <c r="C9972" s="206" t="s">
        <v>27</v>
      </c>
      <c r="D9972" s="737">
        <v>93151123</v>
      </c>
      <c r="E9972" s="819">
        <v>45627</v>
      </c>
      <c r="F9972" s="206" t="s">
        <v>434</v>
      </c>
      <c r="G9972" s="206" t="s">
        <v>7832</v>
      </c>
      <c r="I9972" s="206"/>
    </row>
    <row r="9973" spans="1:9" ht="15" hidden="1" customHeight="1">
      <c r="A9973" s="205">
        <v>45643</v>
      </c>
      <c r="B9973" s="208" t="s">
        <v>7833</v>
      </c>
      <c r="C9973" s="206" t="s">
        <v>27</v>
      </c>
      <c r="D9973" s="737">
        <v>150000000</v>
      </c>
      <c r="E9973" s="819">
        <v>45627</v>
      </c>
      <c r="F9973" s="206" t="s">
        <v>7834</v>
      </c>
      <c r="G9973" s="206" t="s">
        <v>5990</v>
      </c>
      <c r="I9973" s="206"/>
    </row>
    <row r="9974" spans="1:9" ht="15" hidden="1" customHeight="1">
      <c r="A9974" s="205">
        <v>45646</v>
      </c>
      <c r="B9974" s="208" t="s">
        <v>7835</v>
      </c>
      <c r="C9974" s="206" t="s">
        <v>4783</v>
      </c>
      <c r="D9974" s="834">
        <v>-5598000</v>
      </c>
      <c r="E9974" s="819">
        <v>45627</v>
      </c>
      <c r="F9974" s="206" t="s">
        <v>109</v>
      </c>
      <c r="G9974" s="206" t="s">
        <v>6954</v>
      </c>
      <c r="H9974" s="206" t="s">
        <v>6134</v>
      </c>
      <c r="I9974" s="206"/>
    </row>
    <row r="9975" spans="1:9" ht="15" hidden="1" customHeight="1">
      <c r="A9975" s="205">
        <v>45646</v>
      </c>
      <c r="B9975" s="208" t="s">
        <v>7835</v>
      </c>
      <c r="C9975" s="206" t="s">
        <v>4783</v>
      </c>
      <c r="D9975" s="834">
        <v>-5598000</v>
      </c>
      <c r="E9975" s="819">
        <v>45627</v>
      </c>
      <c r="F9975" s="206" t="s">
        <v>109</v>
      </c>
      <c r="G9975" s="206" t="s">
        <v>6974</v>
      </c>
      <c r="H9975" s="206" t="s">
        <v>6134</v>
      </c>
      <c r="I9975" s="206"/>
    </row>
    <row r="9976" spans="1:9" ht="15" hidden="1" customHeight="1">
      <c r="A9976" s="205">
        <v>45646</v>
      </c>
      <c r="B9976" s="208" t="s">
        <v>7835</v>
      </c>
      <c r="C9976" s="206" t="s">
        <v>4783</v>
      </c>
      <c r="D9976" s="834">
        <v>-5598000</v>
      </c>
      <c r="E9976" s="819">
        <v>45627</v>
      </c>
      <c r="F9976" s="206" t="s">
        <v>109</v>
      </c>
      <c r="G9976" s="206" t="s">
        <v>7836</v>
      </c>
      <c r="H9976" s="206" t="s">
        <v>6134</v>
      </c>
      <c r="I9976" s="206"/>
    </row>
    <row r="9977" spans="1:9" ht="15" hidden="1" customHeight="1">
      <c r="A9977" s="205">
        <v>45646</v>
      </c>
      <c r="B9977" s="208" t="s">
        <v>7835</v>
      </c>
      <c r="C9977" s="206" t="s">
        <v>4783</v>
      </c>
      <c r="D9977" s="834">
        <v>-5598000</v>
      </c>
      <c r="E9977" s="819">
        <v>45627</v>
      </c>
      <c r="F9977" s="206" t="s">
        <v>109</v>
      </c>
      <c r="G9977" s="206" t="s">
        <v>5990</v>
      </c>
      <c r="H9977" s="206" t="s">
        <v>6134</v>
      </c>
      <c r="I9977" s="206"/>
    </row>
    <row r="9978" spans="1:9" ht="15" hidden="1" customHeight="1">
      <c r="A9978" s="205">
        <v>45646</v>
      </c>
      <c r="B9978" s="208" t="s">
        <v>7835</v>
      </c>
      <c r="C9978" s="206" t="s">
        <v>4783</v>
      </c>
      <c r="D9978" s="834">
        <v>-5598000</v>
      </c>
      <c r="E9978" s="819">
        <v>45627</v>
      </c>
      <c r="F9978" s="206" t="s">
        <v>109</v>
      </c>
      <c r="G9978" s="206" t="s">
        <v>7837</v>
      </c>
      <c r="H9978" s="206" t="s">
        <v>6134</v>
      </c>
      <c r="I9978" s="206"/>
    </row>
    <row r="9979" spans="1:9" ht="15" hidden="1" customHeight="1">
      <c r="A9979" s="205">
        <v>45646</v>
      </c>
      <c r="B9979" s="208" t="s">
        <v>7838</v>
      </c>
      <c r="C9979" s="206" t="s">
        <v>4783</v>
      </c>
      <c r="D9979" s="834">
        <v>-6426420</v>
      </c>
      <c r="E9979" s="819">
        <v>45627</v>
      </c>
      <c r="F9979" s="206" t="s">
        <v>130</v>
      </c>
      <c r="G9979" s="206" t="s">
        <v>130</v>
      </c>
      <c r="H9979" s="206" t="s">
        <v>163</v>
      </c>
      <c r="I9979" s="206"/>
    </row>
    <row r="9980" spans="1:9" ht="15" hidden="1" customHeight="1">
      <c r="A9980" s="205">
        <v>45646</v>
      </c>
      <c r="B9980" s="208" t="s">
        <v>7839</v>
      </c>
      <c r="C9980" s="206" t="s">
        <v>4783</v>
      </c>
      <c r="D9980" s="737">
        <v>-4576000</v>
      </c>
      <c r="E9980" s="819">
        <v>45627</v>
      </c>
      <c r="F9980" s="206" t="s">
        <v>130</v>
      </c>
      <c r="G9980" s="206" t="s">
        <v>257</v>
      </c>
      <c r="H9980" s="206" t="s">
        <v>663</v>
      </c>
      <c r="I9980" s="206"/>
    </row>
    <row r="9981" spans="1:9" ht="15" hidden="1" customHeight="1">
      <c r="A9981" s="205">
        <v>45646</v>
      </c>
      <c r="B9981" s="208" t="s">
        <v>7840</v>
      </c>
      <c r="C9981" s="206" t="s">
        <v>4783</v>
      </c>
      <c r="D9981" s="834">
        <v>-2717320</v>
      </c>
      <c r="E9981" s="819">
        <v>45627</v>
      </c>
      <c r="F9981" s="206" t="s">
        <v>130</v>
      </c>
      <c r="G9981" s="206" t="s">
        <v>130</v>
      </c>
      <c r="H9981" s="206" t="s">
        <v>1156</v>
      </c>
      <c r="I9981" s="206"/>
    </row>
    <row r="9982" spans="1:9" ht="15" hidden="1" customHeight="1">
      <c r="A9982" s="205">
        <v>45646</v>
      </c>
      <c r="B9982" s="208" t="s">
        <v>7841</v>
      </c>
      <c r="C9982" s="206" t="s">
        <v>4314</v>
      </c>
      <c r="D9982" s="737">
        <v>-58613</v>
      </c>
      <c r="E9982" s="819">
        <v>45627</v>
      </c>
      <c r="F9982" s="206" t="s">
        <v>130</v>
      </c>
      <c r="G9982" s="206" t="s">
        <v>130</v>
      </c>
      <c r="H9982" s="206" t="s">
        <v>1156</v>
      </c>
      <c r="I9982" s="206"/>
    </row>
    <row r="9983" spans="1:9" ht="15" hidden="1" customHeight="1">
      <c r="A9983" s="205">
        <v>45646</v>
      </c>
      <c r="B9983" s="208" t="s">
        <v>7842</v>
      </c>
      <c r="C9983" s="206" t="s">
        <v>4314</v>
      </c>
      <c r="D9983" s="737">
        <v>-14067</v>
      </c>
      <c r="E9983" s="819">
        <v>45627</v>
      </c>
      <c r="F9983" s="206" t="s">
        <v>130</v>
      </c>
      <c r="G9983" s="206" t="s">
        <v>130</v>
      </c>
      <c r="H9983" s="206" t="s">
        <v>1156</v>
      </c>
      <c r="I9983" s="206"/>
    </row>
    <row r="9984" spans="1:9" ht="15" hidden="1" customHeight="1">
      <c r="A9984" s="205">
        <v>45646</v>
      </c>
      <c r="B9984" s="208" t="s">
        <v>7843</v>
      </c>
      <c r="C9984" s="206" t="s">
        <v>4783</v>
      </c>
      <c r="D9984" s="834">
        <v>-1500000</v>
      </c>
      <c r="E9984" s="819">
        <v>45627</v>
      </c>
      <c r="F9984" s="206" t="s">
        <v>109</v>
      </c>
      <c r="G9984" s="206" t="s">
        <v>6974</v>
      </c>
      <c r="H9984" s="206" t="s">
        <v>6961</v>
      </c>
      <c r="I9984" s="206"/>
    </row>
    <row r="9985" spans="1:9" ht="15" hidden="1" customHeight="1">
      <c r="A9985" s="205">
        <v>45646</v>
      </c>
      <c r="B9985" s="208" t="s">
        <v>7844</v>
      </c>
      <c r="C9985" s="206" t="s">
        <v>4783</v>
      </c>
      <c r="D9985" s="834">
        <v>-6475573</v>
      </c>
      <c r="E9985" s="819">
        <v>45627</v>
      </c>
      <c r="F9985" s="206" t="s">
        <v>130</v>
      </c>
      <c r="G9985" s="206" t="s">
        <v>130</v>
      </c>
      <c r="H9985" s="206" t="s">
        <v>1148</v>
      </c>
      <c r="I9985" s="206"/>
    </row>
    <row r="9986" spans="1:9" ht="15" hidden="1" customHeight="1">
      <c r="A9986" s="205">
        <v>45646</v>
      </c>
      <c r="B9986" s="208" t="s">
        <v>7845</v>
      </c>
      <c r="C9986" s="206" t="s">
        <v>4783</v>
      </c>
      <c r="D9986" s="834">
        <v>-650000</v>
      </c>
      <c r="E9986" s="819">
        <v>45627</v>
      </c>
      <c r="F9986" s="206" t="s">
        <v>130</v>
      </c>
      <c r="G9986" s="206" t="s">
        <v>130</v>
      </c>
      <c r="H9986" s="206" t="s">
        <v>360</v>
      </c>
      <c r="I9986" s="206"/>
    </row>
    <row r="9987" spans="1:9" ht="15" hidden="1" customHeight="1">
      <c r="A9987" s="205">
        <v>45646</v>
      </c>
      <c r="B9987" s="208" t="s">
        <v>7846</v>
      </c>
      <c r="C9987" s="206" t="s">
        <v>4783</v>
      </c>
      <c r="D9987" s="834">
        <v>-204789</v>
      </c>
      <c r="E9987" s="819">
        <v>45627</v>
      </c>
      <c r="F9987" s="206" t="s">
        <v>109</v>
      </c>
      <c r="G9987" s="206" t="s">
        <v>4986</v>
      </c>
      <c r="H9987" s="206" t="s">
        <v>2941</v>
      </c>
      <c r="I9987" s="206"/>
    </row>
    <row r="9988" spans="1:9" ht="15" hidden="1" customHeight="1">
      <c r="A9988" s="205">
        <v>45646</v>
      </c>
      <c r="B9988" s="208" t="s">
        <v>7846</v>
      </c>
      <c r="C9988" s="206" t="s">
        <v>4783</v>
      </c>
      <c r="D9988" s="834">
        <v>-2007639</v>
      </c>
      <c r="E9988" s="819">
        <v>45627</v>
      </c>
      <c r="F9988" s="206" t="s">
        <v>110</v>
      </c>
      <c r="G9988" s="206" t="s">
        <v>5469</v>
      </c>
      <c r="H9988" s="206" t="s">
        <v>2941</v>
      </c>
      <c r="I9988" s="206"/>
    </row>
    <row r="9989" spans="1:9" ht="15" hidden="1" customHeight="1">
      <c r="A9989" s="205">
        <v>45646</v>
      </c>
      <c r="B9989" s="208" t="s">
        <v>7846</v>
      </c>
      <c r="C9989" s="206" t="s">
        <v>4783</v>
      </c>
      <c r="D9989" s="834">
        <v>-643362</v>
      </c>
      <c r="E9989" s="819">
        <v>45627</v>
      </c>
      <c r="F9989" s="206" t="s">
        <v>109</v>
      </c>
      <c r="G9989" s="206" t="s">
        <v>3529</v>
      </c>
      <c r="H9989" s="206" t="s">
        <v>1166</v>
      </c>
      <c r="I9989" s="720" t="s">
        <v>5410</v>
      </c>
    </row>
    <row r="9990" spans="1:9" ht="15" hidden="1" customHeight="1">
      <c r="A9990" s="205">
        <v>45646</v>
      </c>
      <c r="B9990" s="208" t="s">
        <v>7846</v>
      </c>
      <c r="C9990" s="206" t="s">
        <v>4783</v>
      </c>
      <c r="D9990" s="834">
        <v>-673015</v>
      </c>
      <c r="E9990" s="819">
        <v>45627</v>
      </c>
      <c r="F9990" s="206" t="s">
        <v>109</v>
      </c>
      <c r="G9990" s="206" t="s">
        <v>4986</v>
      </c>
      <c r="H9990" s="206" t="s">
        <v>2941</v>
      </c>
      <c r="I9990" s="206"/>
    </row>
    <row r="9991" spans="1:9" ht="15" hidden="1" customHeight="1">
      <c r="A9991" s="205">
        <v>45646</v>
      </c>
      <c r="B9991" s="208" t="s">
        <v>7847</v>
      </c>
      <c r="C9991" s="206" t="s">
        <v>4783</v>
      </c>
      <c r="D9991" s="834">
        <v>-560902</v>
      </c>
      <c r="E9991" s="819">
        <v>45627</v>
      </c>
      <c r="F9991" s="206" t="s">
        <v>109</v>
      </c>
      <c r="G9991" s="206" t="s">
        <v>6903</v>
      </c>
      <c r="H9991" s="206" t="s">
        <v>147</v>
      </c>
      <c r="I9991" s="206"/>
    </row>
    <row r="9992" spans="1:9" ht="15" hidden="1" customHeight="1">
      <c r="A9992" s="205">
        <v>45646</v>
      </c>
      <c r="B9992" s="208" t="s">
        <v>7848</v>
      </c>
      <c r="C9992" s="206" t="s">
        <v>4783</v>
      </c>
      <c r="D9992" s="834">
        <v>-1144800</v>
      </c>
      <c r="E9992" s="819">
        <v>45627</v>
      </c>
      <c r="F9992" s="206" t="s">
        <v>130</v>
      </c>
      <c r="G9992" s="206" t="s">
        <v>257</v>
      </c>
      <c r="H9992" s="206" t="s">
        <v>663</v>
      </c>
      <c r="I9992" s="206"/>
    </row>
    <row r="9993" spans="1:9" ht="15" hidden="1" customHeight="1">
      <c r="A9993" s="205">
        <v>45646</v>
      </c>
      <c r="B9993" s="208" t="s">
        <v>7849</v>
      </c>
      <c r="C9993" s="206" t="s">
        <v>4783</v>
      </c>
      <c r="D9993" s="834">
        <v>-247396</v>
      </c>
      <c r="E9993" s="819">
        <v>45627</v>
      </c>
      <c r="F9993" s="206" t="s">
        <v>130</v>
      </c>
      <c r="G9993" s="206" t="s">
        <v>130</v>
      </c>
      <c r="H9993" s="206" t="s">
        <v>1156</v>
      </c>
      <c r="I9993" s="206"/>
    </row>
    <row r="9994" spans="1:9" ht="15" hidden="1" customHeight="1">
      <c r="A9994" s="205">
        <v>45646</v>
      </c>
      <c r="B9994" s="208" t="s">
        <v>7850</v>
      </c>
      <c r="C9994" s="206" t="s">
        <v>4783</v>
      </c>
      <c r="D9994" s="834">
        <v>-658319</v>
      </c>
      <c r="E9994" s="819">
        <v>45627</v>
      </c>
      <c r="F9994" s="206" t="s">
        <v>130</v>
      </c>
      <c r="G9994" s="206" t="s">
        <v>130</v>
      </c>
      <c r="H9994" s="206" t="s">
        <v>163</v>
      </c>
      <c r="I9994" s="206"/>
    </row>
    <row r="9995" spans="1:9" ht="15" hidden="1" customHeight="1">
      <c r="A9995" s="205">
        <v>45646</v>
      </c>
      <c r="B9995" s="208" t="s">
        <v>7851</v>
      </c>
      <c r="C9995" s="206" t="s">
        <v>4783</v>
      </c>
      <c r="D9995" s="834">
        <v>-47600</v>
      </c>
      <c r="E9995" s="819">
        <v>45627</v>
      </c>
      <c r="F9995" s="206" t="s">
        <v>130</v>
      </c>
      <c r="G9995" s="206" t="s">
        <v>130</v>
      </c>
      <c r="H9995" s="206" t="s">
        <v>138</v>
      </c>
      <c r="I9995" s="206"/>
    </row>
    <row r="9996" spans="1:9" ht="15" hidden="1" customHeight="1">
      <c r="A9996" s="205">
        <v>45646</v>
      </c>
      <c r="B9996" s="208" t="s">
        <v>7852</v>
      </c>
      <c r="C9996" s="206" t="s">
        <v>4783</v>
      </c>
      <c r="D9996" s="834">
        <v>-324400</v>
      </c>
      <c r="E9996" s="819">
        <v>45627</v>
      </c>
      <c r="F9996" s="206" t="s">
        <v>130</v>
      </c>
      <c r="G9996" s="206" t="s">
        <v>130</v>
      </c>
      <c r="H9996" s="206" t="s">
        <v>138</v>
      </c>
      <c r="I9996" s="206"/>
    </row>
    <row r="9997" spans="1:9" ht="15" hidden="1" customHeight="1">
      <c r="A9997" s="205">
        <v>45646</v>
      </c>
      <c r="B9997" s="208" t="s">
        <v>7853</v>
      </c>
      <c r="C9997" s="206" t="s">
        <v>4783</v>
      </c>
      <c r="D9997" s="834">
        <v>-648590</v>
      </c>
      <c r="E9997" s="819">
        <v>45627</v>
      </c>
      <c r="F9997" s="206" t="s">
        <v>110</v>
      </c>
      <c r="G9997" s="206" t="s">
        <v>5469</v>
      </c>
      <c r="H9997" s="206" t="s">
        <v>2941</v>
      </c>
      <c r="I9997" s="206"/>
    </row>
    <row r="9998" spans="1:9" ht="15" hidden="1" customHeight="1">
      <c r="A9998" s="205">
        <v>45646</v>
      </c>
      <c r="B9998" s="208" t="s">
        <v>7854</v>
      </c>
      <c r="C9998" s="206" t="s">
        <v>4783</v>
      </c>
      <c r="D9998" s="834">
        <v>-3001040</v>
      </c>
      <c r="E9998" s="819">
        <v>45627</v>
      </c>
      <c r="F9998" s="206" t="s">
        <v>109</v>
      </c>
      <c r="G9998" s="206" t="s">
        <v>6994</v>
      </c>
      <c r="H9998" s="206" t="s">
        <v>6973</v>
      </c>
      <c r="I9998" s="206"/>
    </row>
    <row r="9999" spans="1:9" ht="15" hidden="1" customHeight="1">
      <c r="A9999" s="205">
        <v>45643</v>
      </c>
      <c r="B9999" s="208" t="s">
        <v>7855</v>
      </c>
      <c r="C9999" s="206" t="s">
        <v>4783</v>
      </c>
      <c r="D9999" s="737">
        <v>-108500000</v>
      </c>
      <c r="E9999" s="819">
        <v>45627</v>
      </c>
      <c r="F9999" s="206" t="s">
        <v>4625</v>
      </c>
      <c r="G9999" s="208" t="s">
        <v>7178</v>
      </c>
      <c r="H9999" s="206" t="s">
        <v>2986</v>
      </c>
      <c r="I9999" s="206"/>
    </row>
    <row r="10000" spans="1:9" ht="15" hidden="1" customHeight="1">
      <c r="A10000" s="205">
        <v>45643</v>
      </c>
      <c r="B10000" s="208" t="s">
        <v>7856</v>
      </c>
      <c r="C10000" s="206" t="s">
        <v>4783</v>
      </c>
      <c r="D10000" s="211">
        <v>1080000000</v>
      </c>
      <c r="E10000" s="819">
        <v>45627</v>
      </c>
      <c r="F10000" s="208" t="s">
        <v>707</v>
      </c>
      <c r="G10000" s="206" t="s">
        <v>6954</v>
      </c>
      <c r="I10000" s="206"/>
    </row>
    <row r="10001" spans="1:9" ht="15" hidden="1" customHeight="1">
      <c r="A10001" s="205">
        <v>45643</v>
      </c>
      <c r="B10001" s="208" t="s">
        <v>7857</v>
      </c>
      <c r="C10001" s="206" t="s">
        <v>4783</v>
      </c>
      <c r="D10001" s="211">
        <v>200000000</v>
      </c>
      <c r="E10001" s="819">
        <v>45627</v>
      </c>
      <c r="F10001" s="292" t="s">
        <v>707</v>
      </c>
      <c r="G10001" s="206" t="s">
        <v>6974</v>
      </c>
      <c r="I10001" s="206"/>
    </row>
    <row r="10002" spans="1:9" ht="15" hidden="1" customHeight="1">
      <c r="A10002" s="205">
        <v>45645</v>
      </c>
      <c r="B10002" s="208" t="s">
        <v>7857</v>
      </c>
      <c r="C10002" s="206" t="s">
        <v>4783</v>
      </c>
      <c r="D10002" s="211">
        <v>300000000</v>
      </c>
      <c r="E10002" s="819">
        <v>45627</v>
      </c>
      <c r="F10002" s="292" t="s">
        <v>707</v>
      </c>
      <c r="G10002" s="206" t="s">
        <v>6974</v>
      </c>
      <c r="I10002" s="206"/>
    </row>
    <row r="10003" spans="1:9" ht="15" hidden="1" customHeight="1">
      <c r="A10003" s="205">
        <v>45643</v>
      </c>
      <c r="B10003" s="208" t="s">
        <v>7186</v>
      </c>
      <c r="C10003" s="206" t="s">
        <v>27</v>
      </c>
      <c r="D10003" s="211">
        <v>30671202</v>
      </c>
      <c r="E10003" s="819">
        <v>45627</v>
      </c>
      <c r="F10003" s="206" t="s">
        <v>434</v>
      </c>
      <c r="G10003" s="206" t="s">
        <v>6903</v>
      </c>
      <c r="I10003" s="206"/>
    </row>
    <row r="10004" spans="1:9" ht="15" hidden="1" customHeight="1">
      <c r="A10004" s="205">
        <v>45646</v>
      </c>
      <c r="B10004" s="208" t="s">
        <v>7858</v>
      </c>
      <c r="C10004" s="206" t="s">
        <v>643</v>
      </c>
      <c r="D10004" s="211">
        <v>5604582.4800000004</v>
      </c>
      <c r="E10004" s="819">
        <v>45627</v>
      </c>
      <c r="F10004" s="206" t="s">
        <v>108</v>
      </c>
      <c r="I10004" s="206"/>
    </row>
    <row r="10005" spans="1:9" ht="15" hidden="1" customHeight="1">
      <c r="A10005" s="205">
        <v>45646</v>
      </c>
      <c r="B10005" s="722" t="s">
        <v>7859</v>
      </c>
      <c r="C10005" s="206" t="s">
        <v>27</v>
      </c>
      <c r="D10005" s="211">
        <v>2512161</v>
      </c>
      <c r="E10005" s="819">
        <v>45627</v>
      </c>
      <c r="F10005" s="206" t="s">
        <v>108</v>
      </c>
      <c r="I10005" s="206"/>
    </row>
    <row r="10006" spans="1:9" ht="15" hidden="1" customHeight="1">
      <c r="A10006" s="205">
        <v>45645</v>
      </c>
      <c r="B10006" s="722" t="s">
        <v>7860</v>
      </c>
      <c r="C10006" s="206" t="s">
        <v>27</v>
      </c>
      <c r="D10006" s="211">
        <v>161000</v>
      </c>
      <c r="E10006" s="819">
        <v>45627</v>
      </c>
      <c r="F10006" s="206" t="s">
        <v>108</v>
      </c>
      <c r="I10006" s="206"/>
    </row>
    <row r="10007" spans="1:9" ht="15" hidden="1" customHeight="1">
      <c r="A10007" s="205">
        <v>45646</v>
      </c>
      <c r="B10007" s="740" t="s">
        <v>7861</v>
      </c>
      <c r="C10007" s="206" t="s">
        <v>27</v>
      </c>
      <c r="D10007" s="211">
        <v>247017</v>
      </c>
      <c r="E10007" s="819">
        <v>45627</v>
      </c>
      <c r="F10007" s="206" t="s">
        <v>108</v>
      </c>
      <c r="I10007" s="206"/>
    </row>
    <row r="10008" spans="1:9" ht="15" hidden="1" customHeight="1">
      <c r="A10008" s="205">
        <v>45645</v>
      </c>
      <c r="B10008" s="740" t="s">
        <v>7862</v>
      </c>
      <c r="C10008" s="206" t="s">
        <v>27</v>
      </c>
      <c r="D10008" s="211">
        <v>207000</v>
      </c>
      <c r="E10008" s="819">
        <v>45627</v>
      </c>
      <c r="F10008" s="206" t="s">
        <v>108</v>
      </c>
      <c r="I10008" s="206"/>
    </row>
    <row r="10009" spans="1:9" ht="15" hidden="1" customHeight="1">
      <c r="A10009" s="205">
        <v>45646</v>
      </c>
      <c r="B10009" s="208" t="s">
        <v>7863</v>
      </c>
      <c r="C10009" s="206" t="s">
        <v>643</v>
      </c>
      <c r="D10009" s="211">
        <v>-44164.72</v>
      </c>
      <c r="E10009" s="819">
        <v>45627</v>
      </c>
      <c r="F10009" s="206" t="s">
        <v>130</v>
      </c>
      <c r="G10009" s="206" t="s">
        <v>130</v>
      </c>
      <c r="H10009" s="206" t="s">
        <v>143</v>
      </c>
      <c r="I10009" s="206"/>
    </row>
    <row r="10010" spans="1:9" ht="15" hidden="1" customHeight="1">
      <c r="A10010" s="205">
        <v>45646</v>
      </c>
      <c r="B10010" s="208" t="s">
        <v>7863</v>
      </c>
      <c r="C10010" s="206" t="s">
        <v>643</v>
      </c>
      <c r="D10010" s="211">
        <v>-2646763.4</v>
      </c>
      <c r="E10010" s="819">
        <v>45627</v>
      </c>
      <c r="F10010" s="206" t="s">
        <v>130</v>
      </c>
      <c r="G10010" s="206" t="s">
        <v>130</v>
      </c>
      <c r="H10010" s="206" t="s">
        <v>143</v>
      </c>
      <c r="I10010" s="206"/>
    </row>
    <row r="10011" spans="1:9" ht="15" hidden="1" customHeight="1">
      <c r="A10011" s="205">
        <v>45646</v>
      </c>
      <c r="B10011" s="208" t="s">
        <v>7864</v>
      </c>
      <c r="C10011" s="206" t="s">
        <v>643</v>
      </c>
      <c r="D10011" s="211">
        <v>-192672.66</v>
      </c>
      <c r="E10011" s="819">
        <v>45627</v>
      </c>
      <c r="F10011" s="206" t="s">
        <v>130</v>
      </c>
      <c r="G10011" s="206" t="s">
        <v>130</v>
      </c>
      <c r="H10011" s="206" t="s">
        <v>143</v>
      </c>
      <c r="I10011" s="206"/>
    </row>
    <row r="10012" spans="1:9" ht="15" hidden="1" customHeight="1">
      <c r="A10012" s="205">
        <v>45645</v>
      </c>
      <c r="B10012" s="208" t="s">
        <v>6730</v>
      </c>
      <c r="C10012" s="206" t="s">
        <v>643</v>
      </c>
      <c r="D10012" s="211">
        <v>-40746</v>
      </c>
      <c r="E10012" s="819">
        <v>45627</v>
      </c>
      <c r="F10012" s="206" t="s">
        <v>130</v>
      </c>
      <c r="G10012" s="206" t="s">
        <v>257</v>
      </c>
      <c r="H10012" s="262" t="s">
        <v>1138</v>
      </c>
      <c r="I10012" s="206"/>
    </row>
    <row r="10013" spans="1:9" ht="15" hidden="1" customHeight="1">
      <c r="A10013" s="205">
        <v>45644</v>
      </c>
      <c r="B10013" s="208" t="s">
        <v>7865</v>
      </c>
      <c r="C10013" s="206" t="s">
        <v>643</v>
      </c>
      <c r="D10013" s="211">
        <v>-304640</v>
      </c>
      <c r="E10013" s="819">
        <v>45627</v>
      </c>
      <c r="F10013" s="206" t="s">
        <v>130</v>
      </c>
      <c r="G10013" s="206" t="s">
        <v>130</v>
      </c>
      <c r="H10013" s="206" t="s">
        <v>143</v>
      </c>
      <c r="I10013" s="206"/>
    </row>
    <row r="10014" spans="1:9" ht="15" hidden="1" customHeight="1">
      <c r="A10014" s="205">
        <v>45643</v>
      </c>
      <c r="B10014" s="208" t="s">
        <v>7866</v>
      </c>
      <c r="C10014" s="206" t="s">
        <v>643</v>
      </c>
      <c r="D10014" s="211">
        <v>-135001.21</v>
      </c>
      <c r="E10014" s="819">
        <v>45627</v>
      </c>
      <c r="F10014" s="206" t="s">
        <v>130</v>
      </c>
      <c r="G10014" s="206" t="s">
        <v>130</v>
      </c>
      <c r="H10014" s="206" t="s">
        <v>143</v>
      </c>
      <c r="I10014" s="206"/>
    </row>
    <row r="10015" spans="1:9" ht="15" hidden="1" customHeight="1">
      <c r="A10015" s="205">
        <v>45643</v>
      </c>
      <c r="B10015" s="208" t="s">
        <v>7867</v>
      </c>
      <c r="C10015" s="206" t="s">
        <v>643</v>
      </c>
      <c r="D10015" s="211">
        <v>-231300</v>
      </c>
      <c r="E10015" s="819">
        <v>45627</v>
      </c>
      <c r="F10015" s="206" t="s">
        <v>130</v>
      </c>
      <c r="G10015" s="206" t="s">
        <v>130</v>
      </c>
      <c r="H10015" s="206" t="s">
        <v>2724</v>
      </c>
      <c r="I10015" s="206"/>
    </row>
    <row r="10016" spans="1:9" ht="15" hidden="1" customHeight="1">
      <c r="A10016" s="205">
        <v>45643</v>
      </c>
      <c r="B10016" s="208" t="s">
        <v>7868</v>
      </c>
      <c r="C10016" s="206" t="s">
        <v>643</v>
      </c>
      <c r="D10016" s="211">
        <v>-9600</v>
      </c>
      <c r="E10016" s="819">
        <v>45627</v>
      </c>
      <c r="F10016" s="206" t="s">
        <v>130</v>
      </c>
      <c r="G10016" s="206" t="s">
        <v>257</v>
      </c>
      <c r="H10016" s="262" t="s">
        <v>1138</v>
      </c>
      <c r="I10016" s="206"/>
    </row>
    <row r="10017" spans="1:9" ht="15" hidden="1" customHeight="1">
      <c r="A10017" s="205">
        <v>45641</v>
      </c>
      <c r="B10017" s="208" t="s">
        <v>7869</v>
      </c>
      <c r="C10017" s="206" t="s">
        <v>643</v>
      </c>
      <c r="D10017" s="211">
        <v>-123500</v>
      </c>
      <c r="E10017" s="819">
        <v>45627</v>
      </c>
      <c r="F10017" s="206" t="s">
        <v>130</v>
      </c>
      <c r="G10017" s="206" t="s">
        <v>130</v>
      </c>
      <c r="H10017" s="206" t="s">
        <v>143</v>
      </c>
      <c r="I10017" s="206"/>
    </row>
    <row r="10018" spans="1:9" ht="15" hidden="1" customHeight="1">
      <c r="A10018" s="205">
        <v>45642</v>
      </c>
      <c r="B10018" s="208" t="s">
        <v>7870</v>
      </c>
      <c r="C10018" s="206" t="s">
        <v>3331</v>
      </c>
      <c r="D10018" s="718">
        <v>1982723</v>
      </c>
      <c r="E10018" s="207">
        <v>45627</v>
      </c>
      <c r="F10018" s="206" t="s">
        <v>108</v>
      </c>
      <c r="I10018" s="206"/>
    </row>
    <row r="10019" spans="1:9" ht="15" hidden="1" customHeight="1">
      <c r="A10019" s="205">
        <v>45644</v>
      </c>
      <c r="B10019" s="208" t="s">
        <v>7871</v>
      </c>
      <c r="C10019" s="206" t="s">
        <v>3331</v>
      </c>
      <c r="D10019" s="718">
        <v>531071</v>
      </c>
      <c r="E10019" s="207">
        <v>45627</v>
      </c>
      <c r="F10019" s="206" t="s">
        <v>108</v>
      </c>
      <c r="I10019" s="206"/>
    </row>
    <row r="10020" spans="1:9" ht="15" hidden="1" customHeight="1">
      <c r="A10020" s="205">
        <v>45645</v>
      </c>
      <c r="B10020" s="208" t="s">
        <v>7872</v>
      </c>
      <c r="C10020" s="206" t="s">
        <v>3331</v>
      </c>
      <c r="D10020" s="718">
        <v>1497310</v>
      </c>
      <c r="E10020" s="207">
        <v>45627</v>
      </c>
      <c r="F10020" s="206" t="s">
        <v>108</v>
      </c>
      <c r="I10020" s="206"/>
    </row>
    <row r="10021" spans="1:9" ht="15" hidden="1" customHeight="1">
      <c r="A10021" s="205">
        <v>45640</v>
      </c>
      <c r="B10021" s="208" t="s">
        <v>7873</v>
      </c>
      <c r="C10021" s="206" t="s">
        <v>3331</v>
      </c>
      <c r="D10021" s="211">
        <v>-8577596</v>
      </c>
      <c r="E10021" s="207">
        <v>45627</v>
      </c>
      <c r="F10021" s="206" t="s">
        <v>109</v>
      </c>
      <c r="G10021" s="206" t="s">
        <v>6974</v>
      </c>
      <c r="H10021" s="206" t="s">
        <v>585</v>
      </c>
      <c r="I10021" s="206"/>
    </row>
    <row r="10022" spans="1:9" ht="15" customHeight="1">
      <c r="A10022" s="205">
        <v>45644</v>
      </c>
      <c r="B10022" s="208" t="s">
        <v>7874</v>
      </c>
      <c r="C10022" s="206" t="s">
        <v>3331</v>
      </c>
      <c r="D10022" s="211">
        <v>-20900</v>
      </c>
      <c r="E10022" s="207">
        <v>45627</v>
      </c>
      <c r="F10022" s="206" t="s">
        <v>109</v>
      </c>
      <c r="G10022" s="206" t="s">
        <v>2809</v>
      </c>
      <c r="H10022" s="206" t="s">
        <v>5059</v>
      </c>
      <c r="I10022" s="206"/>
    </row>
    <row r="10023" spans="1:9" ht="15" hidden="1" customHeight="1">
      <c r="A10023" s="205">
        <v>45643</v>
      </c>
      <c r="B10023" s="208" t="s">
        <v>7875</v>
      </c>
      <c r="C10023" s="206" t="s">
        <v>3331</v>
      </c>
      <c r="D10023" s="211">
        <v>-446440</v>
      </c>
      <c r="E10023" s="207">
        <v>45627</v>
      </c>
      <c r="F10023" s="206" t="s">
        <v>130</v>
      </c>
      <c r="G10023" s="206" t="s">
        <v>130</v>
      </c>
      <c r="H10023" s="206" t="s">
        <v>138</v>
      </c>
      <c r="I10023" s="206"/>
    </row>
    <row r="10024" spans="1:9" ht="15" hidden="1" customHeight="1">
      <c r="A10024" s="205">
        <v>45643</v>
      </c>
      <c r="B10024" s="208" t="s">
        <v>7876</v>
      </c>
      <c r="C10024" s="206" t="s">
        <v>3331</v>
      </c>
      <c r="D10024" s="211">
        <v>-446440</v>
      </c>
      <c r="E10024" s="207">
        <v>45627</v>
      </c>
      <c r="F10024" s="206" t="s">
        <v>130</v>
      </c>
      <c r="G10024" s="206" t="s">
        <v>130</v>
      </c>
      <c r="H10024" s="206" t="s">
        <v>138</v>
      </c>
      <c r="I10024" s="206"/>
    </row>
    <row r="10025" spans="1:9" ht="15" hidden="1" customHeight="1">
      <c r="A10025" s="205">
        <v>45643</v>
      </c>
      <c r="B10025" s="208" t="s">
        <v>7877</v>
      </c>
      <c r="C10025" s="206" t="s">
        <v>3331</v>
      </c>
      <c r="D10025" s="211">
        <v>-446440</v>
      </c>
      <c r="E10025" s="207">
        <v>45627</v>
      </c>
      <c r="F10025" s="206" t="s">
        <v>130</v>
      </c>
      <c r="G10025" s="206" t="s">
        <v>130</v>
      </c>
      <c r="H10025" s="206" t="s">
        <v>138</v>
      </c>
      <c r="I10025" s="206"/>
    </row>
    <row r="10026" spans="1:9" ht="15" customHeight="1">
      <c r="A10026" s="205">
        <v>45643</v>
      </c>
      <c r="B10026" s="208" t="s">
        <v>7878</v>
      </c>
      <c r="C10026" s="206" t="s">
        <v>3331</v>
      </c>
      <c r="D10026" s="211">
        <v>-187430</v>
      </c>
      <c r="E10026" s="207">
        <v>45627</v>
      </c>
      <c r="F10026" s="206" t="s">
        <v>109</v>
      </c>
      <c r="G10026" s="206" t="s">
        <v>2809</v>
      </c>
      <c r="H10026" s="206" t="s">
        <v>4814</v>
      </c>
      <c r="I10026" s="206"/>
    </row>
    <row r="10027" spans="1:9" ht="15" hidden="1" customHeight="1">
      <c r="A10027" s="205">
        <v>45642</v>
      </c>
      <c r="B10027" s="208" t="s">
        <v>7879</v>
      </c>
      <c r="C10027" s="206" t="s">
        <v>146</v>
      </c>
      <c r="D10027" s="211">
        <v>-50000</v>
      </c>
      <c r="E10027" s="212">
        <v>45627</v>
      </c>
      <c r="F10027" s="206" t="s">
        <v>109</v>
      </c>
      <c r="G10027" s="206" t="s">
        <v>6903</v>
      </c>
      <c r="H10027" s="206" t="s">
        <v>147</v>
      </c>
      <c r="I10027" s="206" t="s">
        <v>7880</v>
      </c>
    </row>
    <row r="10028" spans="1:9" ht="15" hidden="1" customHeight="1">
      <c r="A10028" s="205">
        <v>45642</v>
      </c>
      <c r="B10028" s="208" t="s">
        <v>7881</v>
      </c>
      <c r="C10028" s="206" t="s">
        <v>146</v>
      </c>
      <c r="D10028" s="211">
        <v>-30000</v>
      </c>
      <c r="E10028" s="212">
        <v>45627</v>
      </c>
      <c r="F10028" s="206" t="s">
        <v>109</v>
      </c>
      <c r="G10028" s="206" t="s">
        <v>6903</v>
      </c>
      <c r="H10028" s="206" t="s">
        <v>138</v>
      </c>
      <c r="I10028" s="206" t="s">
        <v>7880</v>
      </c>
    </row>
    <row r="10029" spans="1:9" ht="15" hidden="1" customHeight="1">
      <c r="A10029" s="205">
        <v>45642</v>
      </c>
      <c r="B10029" s="208" t="s">
        <v>7882</v>
      </c>
      <c r="C10029" s="206" t="s">
        <v>146</v>
      </c>
      <c r="D10029" s="211">
        <v>-79274</v>
      </c>
      <c r="E10029" s="212">
        <v>45627</v>
      </c>
      <c r="F10029" s="206" t="s">
        <v>109</v>
      </c>
      <c r="G10029" s="206" t="s">
        <v>6903</v>
      </c>
      <c r="H10029" s="206" t="s">
        <v>147</v>
      </c>
      <c r="I10029" s="206" t="s">
        <v>7880</v>
      </c>
    </row>
    <row r="10030" spans="1:9" ht="15" hidden="1" customHeight="1">
      <c r="A10030" s="205">
        <v>45642</v>
      </c>
      <c r="B10030" s="208" t="s">
        <v>7883</v>
      </c>
      <c r="C10030" s="206" t="s">
        <v>146</v>
      </c>
      <c r="D10030" s="211">
        <v>-97000</v>
      </c>
      <c r="E10030" s="212">
        <v>45627</v>
      </c>
      <c r="F10030" s="206" t="s">
        <v>109</v>
      </c>
      <c r="G10030" s="206" t="s">
        <v>6903</v>
      </c>
      <c r="H10030" s="206" t="s">
        <v>147</v>
      </c>
      <c r="I10030" s="206" t="s">
        <v>7880</v>
      </c>
    </row>
    <row r="10031" spans="1:9" ht="15" hidden="1" customHeight="1">
      <c r="A10031" s="205">
        <v>45643</v>
      </c>
      <c r="B10031" s="208" t="s">
        <v>7884</v>
      </c>
      <c r="C10031" s="206" t="s">
        <v>146</v>
      </c>
      <c r="D10031" s="211">
        <v>-46000</v>
      </c>
      <c r="E10031" s="212">
        <v>45627</v>
      </c>
      <c r="F10031" s="206" t="s">
        <v>109</v>
      </c>
      <c r="G10031" s="206" t="s">
        <v>6903</v>
      </c>
      <c r="H10031" s="206" t="s">
        <v>147</v>
      </c>
      <c r="I10031" s="206" t="s">
        <v>7880</v>
      </c>
    </row>
    <row r="10032" spans="1:9" ht="15" hidden="1" customHeight="1">
      <c r="A10032" s="205">
        <v>45643</v>
      </c>
      <c r="B10032" s="208" t="s">
        <v>7885</v>
      </c>
      <c r="C10032" s="206" t="s">
        <v>146</v>
      </c>
      <c r="D10032" s="211">
        <v>-20021</v>
      </c>
      <c r="E10032" s="212">
        <v>45627</v>
      </c>
      <c r="F10032" s="206" t="s">
        <v>109</v>
      </c>
      <c r="G10032" s="206" t="s">
        <v>6903</v>
      </c>
      <c r="H10032" s="206" t="s">
        <v>138</v>
      </c>
      <c r="I10032" s="206" t="s">
        <v>7880</v>
      </c>
    </row>
    <row r="10033" spans="1:9" ht="15" hidden="1" customHeight="1">
      <c r="A10033" s="205">
        <v>45643</v>
      </c>
      <c r="B10033" s="208" t="s">
        <v>7886</v>
      </c>
      <c r="C10033" s="206" t="s">
        <v>146</v>
      </c>
      <c r="D10033" s="211">
        <v>-28030</v>
      </c>
      <c r="E10033" s="212">
        <v>45627</v>
      </c>
      <c r="F10033" s="206" t="s">
        <v>109</v>
      </c>
      <c r="G10033" s="206" t="s">
        <v>6903</v>
      </c>
      <c r="H10033" s="206" t="s">
        <v>138</v>
      </c>
      <c r="I10033" s="206" t="s">
        <v>7880</v>
      </c>
    </row>
    <row r="10034" spans="1:9" ht="15" hidden="1" customHeight="1">
      <c r="A10034" s="205">
        <v>45643</v>
      </c>
      <c r="B10034" s="208" t="s">
        <v>7887</v>
      </c>
      <c r="C10034" s="206" t="s">
        <v>146</v>
      </c>
      <c r="D10034" s="211">
        <v>-14500</v>
      </c>
      <c r="E10034" s="212">
        <v>45627</v>
      </c>
      <c r="F10034" s="206" t="s">
        <v>109</v>
      </c>
      <c r="G10034" s="206" t="s">
        <v>6903</v>
      </c>
      <c r="H10034" s="206" t="s">
        <v>2941</v>
      </c>
      <c r="I10034" s="206" t="s">
        <v>7880</v>
      </c>
    </row>
    <row r="10035" spans="1:9" ht="15" hidden="1" customHeight="1">
      <c r="A10035" s="205">
        <v>45643</v>
      </c>
      <c r="B10035" s="208" t="s">
        <v>7888</v>
      </c>
      <c r="C10035" s="206" t="s">
        <v>146</v>
      </c>
      <c r="D10035" s="211">
        <v>-34000</v>
      </c>
      <c r="E10035" s="212">
        <v>45627</v>
      </c>
      <c r="F10035" s="206" t="s">
        <v>109</v>
      </c>
      <c r="G10035" s="206" t="s">
        <v>6903</v>
      </c>
      <c r="H10035" s="206" t="s">
        <v>2941</v>
      </c>
      <c r="I10035" s="206" t="s">
        <v>7880</v>
      </c>
    </row>
    <row r="10036" spans="1:9" ht="15" hidden="1" customHeight="1">
      <c r="A10036" s="205">
        <v>45643</v>
      </c>
      <c r="B10036" s="208" t="s">
        <v>7889</v>
      </c>
      <c r="C10036" s="206" t="s">
        <v>146</v>
      </c>
      <c r="D10036" s="211">
        <v>-117077</v>
      </c>
      <c r="E10036" s="212">
        <v>45627</v>
      </c>
      <c r="F10036" s="206" t="s">
        <v>109</v>
      </c>
      <c r="G10036" s="206" t="s">
        <v>6903</v>
      </c>
      <c r="H10036" s="206" t="s">
        <v>147</v>
      </c>
      <c r="I10036" s="206" t="s">
        <v>7880</v>
      </c>
    </row>
    <row r="10037" spans="1:9" ht="15" hidden="1" customHeight="1">
      <c r="A10037" s="205">
        <v>45644</v>
      </c>
      <c r="B10037" s="208" t="s">
        <v>7884</v>
      </c>
      <c r="C10037" s="206" t="s">
        <v>146</v>
      </c>
      <c r="D10037" s="211">
        <v>-45000</v>
      </c>
      <c r="E10037" s="212">
        <v>45627</v>
      </c>
      <c r="F10037" s="206" t="s">
        <v>109</v>
      </c>
      <c r="G10037" s="206" t="s">
        <v>6903</v>
      </c>
      <c r="H10037" s="206" t="s">
        <v>147</v>
      </c>
      <c r="I10037" s="206" t="s">
        <v>7880</v>
      </c>
    </row>
    <row r="10038" spans="1:9" ht="15" hidden="1" customHeight="1">
      <c r="A10038" s="205">
        <v>45640</v>
      </c>
      <c r="B10038" s="208" t="s">
        <v>7890</v>
      </c>
      <c r="C10038" s="206" t="s">
        <v>146</v>
      </c>
      <c r="D10038" s="211">
        <v>-48500</v>
      </c>
      <c r="E10038" s="212">
        <v>45627</v>
      </c>
      <c r="F10038" s="206" t="s">
        <v>110</v>
      </c>
      <c r="G10038" s="206" t="s">
        <v>5469</v>
      </c>
      <c r="H10038" s="206" t="s">
        <v>2941</v>
      </c>
      <c r="I10038" s="206" t="s">
        <v>5430</v>
      </c>
    </row>
    <row r="10039" spans="1:9" ht="15" hidden="1" customHeight="1">
      <c r="A10039" s="205">
        <v>45642</v>
      </c>
      <c r="B10039" s="208" t="s">
        <v>6269</v>
      </c>
      <c r="C10039" s="206" t="s">
        <v>146</v>
      </c>
      <c r="D10039" s="211">
        <v>-12800</v>
      </c>
      <c r="E10039" s="212">
        <v>45627</v>
      </c>
      <c r="F10039" s="206" t="s">
        <v>109</v>
      </c>
      <c r="G10039" s="206" t="s">
        <v>6301</v>
      </c>
      <c r="H10039" s="206" t="s">
        <v>2941</v>
      </c>
      <c r="I10039" s="206" t="s">
        <v>5430</v>
      </c>
    </row>
    <row r="10040" spans="1:9" ht="15" hidden="1" customHeight="1">
      <c r="A10040" s="205">
        <v>45643</v>
      </c>
      <c r="B10040" s="208" t="s">
        <v>7891</v>
      </c>
      <c r="C10040" s="206" t="s">
        <v>146</v>
      </c>
      <c r="D10040" s="211">
        <v>-10000</v>
      </c>
      <c r="E10040" s="212">
        <v>45627</v>
      </c>
      <c r="F10040" s="206" t="s">
        <v>110</v>
      </c>
      <c r="G10040" s="206" t="s">
        <v>5469</v>
      </c>
      <c r="H10040" s="206" t="s">
        <v>2941</v>
      </c>
      <c r="I10040" s="206" t="s">
        <v>5430</v>
      </c>
    </row>
    <row r="10041" spans="1:9" ht="15" hidden="1" customHeight="1">
      <c r="A10041" s="205">
        <v>45643</v>
      </c>
      <c r="B10041" s="208" t="s">
        <v>7892</v>
      </c>
      <c r="C10041" s="206" t="s">
        <v>146</v>
      </c>
      <c r="D10041" s="211">
        <v>-160726</v>
      </c>
      <c r="E10041" s="212">
        <v>45627</v>
      </c>
      <c r="F10041" s="206" t="s">
        <v>110</v>
      </c>
      <c r="G10041" s="206" t="s">
        <v>5469</v>
      </c>
      <c r="H10041" s="206" t="s">
        <v>2941</v>
      </c>
      <c r="I10041" s="206" t="s">
        <v>5430</v>
      </c>
    </row>
    <row r="10042" spans="1:9" ht="15" hidden="1" customHeight="1">
      <c r="A10042" s="205">
        <v>45644</v>
      </c>
      <c r="B10042" s="208" t="s">
        <v>7893</v>
      </c>
      <c r="C10042" s="206" t="s">
        <v>146</v>
      </c>
      <c r="D10042" s="211">
        <v>-30000</v>
      </c>
      <c r="E10042" s="212">
        <v>45627</v>
      </c>
      <c r="F10042" s="206" t="s">
        <v>109</v>
      </c>
      <c r="G10042" s="206" t="s">
        <v>4986</v>
      </c>
      <c r="H10042" s="206" t="s">
        <v>2941</v>
      </c>
      <c r="I10042" s="206" t="s">
        <v>5430</v>
      </c>
    </row>
    <row r="10043" spans="1:9" ht="15" hidden="1" customHeight="1">
      <c r="A10043" s="205">
        <v>45644</v>
      </c>
      <c r="B10043" s="208" t="s">
        <v>7894</v>
      </c>
      <c r="C10043" s="206" t="s">
        <v>146</v>
      </c>
      <c r="D10043" s="211">
        <v>-197000</v>
      </c>
      <c r="E10043" s="212">
        <v>45627</v>
      </c>
      <c r="F10043" s="206" t="s">
        <v>109</v>
      </c>
      <c r="G10043" s="206" t="s">
        <v>4986</v>
      </c>
      <c r="H10043" s="206" t="s">
        <v>2941</v>
      </c>
      <c r="I10043" s="206" t="s">
        <v>5430</v>
      </c>
    </row>
    <row r="10044" spans="1:9" ht="15" hidden="1" customHeight="1">
      <c r="A10044" s="205">
        <v>45645</v>
      </c>
      <c r="B10044" s="208" t="s">
        <v>7895</v>
      </c>
      <c r="C10044" s="206" t="s">
        <v>146</v>
      </c>
      <c r="D10044" s="211">
        <v>-16300</v>
      </c>
      <c r="E10044" s="212">
        <v>45627</v>
      </c>
      <c r="F10044" s="206" t="s">
        <v>109</v>
      </c>
      <c r="G10044" s="206" t="s">
        <v>4986</v>
      </c>
      <c r="H10044" s="206" t="s">
        <v>2941</v>
      </c>
      <c r="I10044" s="206" t="s">
        <v>5430</v>
      </c>
    </row>
    <row r="10045" spans="1:9" ht="15" hidden="1" customHeight="1">
      <c r="A10045" s="205">
        <v>45645</v>
      </c>
      <c r="B10045" s="208" t="s">
        <v>6275</v>
      </c>
      <c r="C10045" s="206" t="s">
        <v>146</v>
      </c>
      <c r="D10045" s="211">
        <v>-15200</v>
      </c>
      <c r="E10045" s="212">
        <v>45627</v>
      </c>
      <c r="F10045" s="206" t="s">
        <v>130</v>
      </c>
      <c r="G10045" s="206" t="s">
        <v>130</v>
      </c>
      <c r="H10045" s="206" t="s">
        <v>184</v>
      </c>
      <c r="I10045" s="206" t="s">
        <v>5430</v>
      </c>
    </row>
    <row r="10046" spans="1:9" ht="15" hidden="1" customHeight="1">
      <c r="A10046" s="205">
        <v>45645</v>
      </c>
      <c r="B10046" s="208" t="s">
        <v>7896</v>
      </c>
      <c r="C10046" s="206" t="s">
        <v>146</v>
      </c>
      <c r="D10046" s="211">
        <v>-108000</v>
      </c>
      <c r="E10046" s="212">
        <v>45627</v>
      </c>
      <c r="F10046" s="206" t="s">
        <v>109</v>
      </c>
      <c r="G10046" s="206" t="s">
        <v>4986</v>
      </c>
      <c r="H10046" s="206" t="s">
        <v>2941</v>
      </c>
      <c r="I10046" s="206" t="s">
        <v>5430</v>
      </c>
    </row>
    <row r="10047" spans="1:9" ht="15" hidden="1" customHeight="1">
      <c r="A10047" s="205">
        <v>45645</v>
      </c>
      <c r="B10047" s="208" t="s">
        <v>7897</v>
      </c>
      <c r="C10047" s="206" t="s">
        <v>146</v>
      </c>
      <c r="D10047" s="211">
        <v>-47500</v>
      </c>
      <c r="E10047" s="212">
        <v>45627</v>
      </c>
      <c r="F10047" s="206" t="s">
        <v>109</v>
      </c>
      <c r="G10047" s="654" t="s">
        <v>5805</v>
      </c>
      <c r="H10047" s="206" t="s">
        <v>2941</v>
      </c>
      <c r="I10047" s="206" t="s">
        <v>5430</v>
      </c>
    </row>
    <row r="10048" spans="1:9" ht="15" hidden="1" customHeight="1">
      <c r="A10048" s="205">
        <v>45645</v>
      </c>
      <c r="B10048" s="208" t="s">
        <v>7898</v>
      </c>
      <c r="C10048" s="206" t="s">
        <v>146</v>
      </c>
      <c r="D10048" s="211">
        <v>-74971</v>
      </c>
      <c r="E10048" s="212">
        <v>45627</v>
      </c>
      <c r="F10048" s="206" t="s">
        <v>109</v>
      </c>
      <c r="G10048" s="206" t="s">
        <v>4986</v>
      </c>
      <c r="H10048" s="206" t="s">
        <v>2941</v>
      </c>
      <c r="I10048" s="206" t="s">
        <v>5430</v>
      </c>
    </row>
    <row r="10049" spans="1:9" ht="15" hidden="1" customHeight="1">
      <c r="A10049" s="205">
        <v>45645</v>
      </c>
      <c r="B10049" s="208" t="s">
        <v>7899</v>
      </c>
      <c r="C10049" s="206" t="s">
        <v>146</v>
      </c>
      <c r="D10049" s="211">
        <v>-89185</v>
      </c>
      <c r="E10049" s="212">
        <v>45627</v>
      </c>
      <c r="F10049" s="206" t="s">
        <v>109</v>
      </c>
      <c r="G10049" s="206" t="s">
        <v>4986</v>
      </c>
      <c r="H10049" s="206" t="s">
        <v>2941</v>
      </c>
      <c r="I10049" s="206" t="s">
        <v>5430</v>
      </c>
    </row>
    <row r="10050" spans="1:9" ht="15" hidden="1" customHeight="1">
      <c r="A10050" s="205">
        <v>45645</v>
      </c>
      <c r="B10050" s="208" t="s">
        <v>7900</v>
      </c>
      <c r="C10050" s="206" t="s">
        <v>146</v>
      </c>
      <c r="D10050" s="211">
        <v>-16948</v>
      </c>
      <c r="E10050" s="212">
        <v>45627</v>
      </c>
      <c r="F10050" s="206" t="s">
        <v>109</v>
      </c>
      <c r="G10050" s="206" t="s">
        <v>4986</v>
      </c>
      <c r="H10050" s="206" t="s">
        <v>2941</v>
      </c>
      <c r="I10050" s="206" t="s">
        <v>5430</v>
      </c>
    </row>
    <row r="10051" spans="1:9" ht="15" hidden="1" customHeight="1">
      <c r="A10051" s="205">
        <v>45645</v>
      </c>
      <c r="B10051" s="208" t="s">
        <v>7901</v>
      </c>
      <c r="C10051" s="206" t="s">
        <v>146</v>
      </c>
      <c r="D10051" s="211">
        <v>-45900</v>
      </c>
      <c r="E10051" s="212">
        <v>45627</v>
      </c>
      <c r="F10051" s="206" t="s">
        <v>110</v>
      </c>
      <c r="G10051" s="206" t="s">
        <v>7902</v>
      </c>
      <c r="H10051" s="206" t="s">
        <v>2941</v>
      </c>
      <c r="I10051" s="206" t="s">
        <v>5430</v>
      </c>
    </row>
    <row r="10052" spans="1:9" ht="15" hidden="1" customHeight="1">
      <c r="A10052" s="205">
        <v>45644</v>
      </c>
      <c r="B10052" s="208" t="s">
        <v>7903</v>
      </c>
      <c r="C10052" s="206" t="s">
        <v>146</v>
      </c>
      <c r="D10052" s="211">
        <v>-50000</v>
      </c>
      <c r="E10052" s="212">
        <v>45627</v>
      </c>
      <c r="F10052" s="206" t="s">
        <v>109</v>
      </c>
      <c r="G10052" s="206" t="s">
        <v>6994</v>
      </c>
      <c r="H10052" s="206" t="s">
        <v>6266</v>
      </c>
      <c r="I10052" s="206" t="s">
        <v>5430</v>
      </c>
    </row>
    <row r="10053" spans="1:9" ht="15" hidden="1" customHeight="1">
      <c r="A10053" s="205">
        <v>45644</v>
      </c>
      <c r="B10053" s="208" t="s">
        <v>6151</v>
      </c>
      <c r="C10053" s="206" t="s">
        <v>146</v>
      </c>
      <c r="D10053" s="211">
        <v>-30000</v>
      </c>
      <c r="E10053" s="212">
        <v>45627</v>
      </c>
      <c r="F10053" s="206" t="s">
        <v>109</v>
      </c>
      <c r="G10053" s="206" t="s">
        <v>5990</v>
      </c>
      <c r="H10053" s="206" t="s">
        <v>6763</v>
      </c>
      <c r="I10053" s="206" t="s">
        <v>5430</v>
      </c>
    </row>
    <row r="10054" spans="1:9" ht="15" hidden="1" customHeight="1">
      <c r="A10054" s="205">
        <v>45645</v>
      </c>
      <c r="B10054" s="208" t="s">
        <v>7904</v>
      </c>
      <c r="C10054" s="206" t="s">
        <v>146</v>
      </c>
      <c r="D10054" s="211">
        <v>-10000</v>
      </c>
      <c r="E10054" s="212">
        <v>45627</v>
      </c>
      <c r="F10054" s="206" t="s">
        <v>109</v>
      </c>
      <c r="G10054" s="206" t="s">
        <v>5990</v>
      </c>
      <c r="H10054" s="206" t="s">
        <v>6763</v>
      </c>
      <c r="I10054" s="206" t="s">
        <v>5430</v>
      </c>
    </row>
    <row r="10055" spans="1:9" ht="15" hidden="1" customHeight="1">
      <c r="A10055" s="205">
        <v>45645</v>
      </c>
      <c r="B10055" s="208" t="s">
        <v>7905</v>
      </c>
      <c r="C10055" s="206" t="s">
        <v>146</v>
      </c>
      <c r="D10055" s="211">
        <v>-39480</v>
      </c>
      <c r="E10055" s="212">
        <v>45627</v>
      </c>
      <c r="F10055" s="206" t="s">
        <v>109</v>
      </c>
      <c r="G10055" s="206" t="s">
        <v>6994</v>
      </c>
      <c r="H10055" s="206" t="s">
        <v>6973</v>
      </c>
      <c r="I10055" s="206" t="s">
        <v>5430</v>
      </c>
    </row>
    <row r="10056" spans="1:9" ht="15" hidden="1" customHeight="1">
      <c r="A10056" s="205">
        <v>45646</v>
      </c>
      <c r="B10056" s="208" t="s">
        <v>6151</v>
      </c>
      <c r="C10056" s="206" t="s">
        <v>146</v>
      </c>
      <c r="D10056" s="211">
        <v>-50000</v>
      </c>
      <c r="E10056" s="212">
        <v>45627</v>
      </c>
      <c r="F10056" s="206" t="s">
        <v>109</v>
      </c>
      <c r="G10056" s="206" t="s">
        <v>6994</v>
      </c>
      <c r="H10056" s="206" t="s">
        <v>6266</v>
      </c>
      <c r="I10056" s="206" t="s">
        <v>5430</v>
      </c>
    </row>
    <row r="10057" spans="1:9" ht="15" hidden="1" customHeight="1">
      <c r="A10057" s="205">
        <v>45646</v>
      </c>
      <c r="B10057" s="208" t="s">
        <v>7904</v>
      </c>
      <c r="C10057" s="206" t="s">
        <v>146</v>
      </c>
      <c r="D10057" s="211">
        <v>-10000</v>
      </c>
      <c r="E10057" s="212">
        <v>45627</v>
      </c>
      <c r="F10057" s="206" t="s">
        <v>109</v>
      </c>
      <c r="G10057" s="206" t="s">
        <v>5990</v>
      </c>
      <c r="H10057" s="206" t="s">
        <v>6763</v>
      </c>
      <c r="I10057" s="206" t="s">
        <v>5430</v>
      </c>
    </row>
    <row r="10058" spans="1:9" ht="15" hidden="1" customHeight="1">
      <c r="A10058" s="205">
        <v>45646</v>
      </c>
      <c r="B10058" s="208" t="s">
        <v>7906</v>
      </c>
      <c r="C10058" s="206" t="s">
        <v>146</v>
      </c>
      <c r="D10058" s="211">
        <v>-20000</v>
      </c>
      <c r="E10058" s="212">
        <v>45627</v>
      </c>
      <c r="F10058" s="206" t="s">
        <v>109</v>
      </c>
      <c r="G10058" s="206" t="s">
        <v>6994</v>
      </c>
      <c r="H10058" s="206" t="s">
        <v>6266</v>
      </c>
      <c r="I10058" s="206" t="s">
        <v>5430</v>
      </c>
    </row>
    <row r="10059" spans="1:9" ht="15" hidden="1" customHeight="1">
      <c r="A10059" s="205">
        <v>45645</v>
      </c>
      <c r="B10059" s="208" t="s">
        <v>7907</v>
      </c>
      <c r="C10059" s="206" t="s">
        <v>643</v>
      </c>
      <c r="D10059" s="211">
        <v>-493600</v>
      </c>
      <c r="E10059" s="819">
        <v>45627</v>
      </c>
      <c r="F10059" s="206" t="s">
        <v>130</v>
      </c>
      <c r="G10059" s="206" t="s">
        <v>130</v>
      </c>
      <c r="H10059" s="206" t="s">
        <v>2724</v>
      </c>
      <c r="I10059" s="206"/>
    </row>
    <row r="10060" spans="1:9" ht="15" hidden="1" customHeight="1">
      <c r="A10060" s="836">
        <v>45653</v>
      </c>
      <c r="B10060" s="837" t="s">
        <v>7908</v>
      </c>
      <c r="C10060" s="837" t="s">
        <v>27</v>
      </c>
      <c r="D10060" s="838">
        <v>-714000</v>
      </c>
      <c r="E10060" s="839">
        <v>45627</v>
      </c>
      <c r="F10060" s="837" t="s">
        <v>130</v>
      </c>
      <c r="G10060" s="837" t="s">
        <v>130</v>
      </c>
      <c r="H10060" s="94" t="s">
        <v>275</v>
      </c>
      <c r="I10060" s="837" t="s">
        <v>7909</v>
      </c>
    </row>
    <row r="10061" spans="1:9" ht="15" hidden="1" customHeight="1">
      <c r="A10061" s="841">
        <v>45649</v>
      </c>
      <c r="B10061" s="842" t="s">
        <v>7910</v>
      </c>
      <c r="C10061" s="843" t="s">
        <v>27</v>
      </c>
      <c r="D10061" s="844">
        <v>-125800</v>
      </c>
      <c r="E10061" s="845">
        <v>45627</v>
      </c>
      <c r="F10061" s="843" t="s">
        <v>130</v>
      </c>
      <c r="G10061" s="843" t="s">
        <v>130</v>
      </c>
      <c r="H10061" s="843" t="s">
        <v>184</v>
      </c>
      <c r="I10061" s="843" t="s">
        <v>7909</v>
      </c>
    </row>
    <row r="10062" spans="1:9" ht="15" hidden="1" customHeight="1">
      <c r="A10062" s="841">
        <v>45649</v>
      </c>
      <c r="B10062" s="842" t="s">
        <v>7911</v>
      </c>
      <c r="C10062" s="843" t="s">
        <v>27</v>
      </c>
      <c r="D10062" s="844">
        <v>-8654338.2400000002</v>
      </c>
      <c r="E10062" s="845">
        <v>45627</v>
      </c>
      <c r="F10062" s="843" t="s">
        <v>109</v>
      </c>
      <c r="G10062" s="843" t="s">
        <v>120</v>
      </c>
      <c r="H10062" s="843" t="s">
        <v>7280</v>
      </c>
      <c r="I10062" s="843" t="s">
        <v>7909</v>
      </c>
    </row>
    <row r="10063" spans="1:9" ht="15" hidden="1" customHeight="1">
      <c r="A10063" s="841">
        <v>45649</v>
      </c>
      <c r="B10063" s="842" t="s">
        <v>7912</v>
      </c>
      <c r="C10063" s="843" t="s">
        <v>27</v>
      </c>
      <c r="D10063" s="844">
        <v>-8654338.2400000002</v>
      </c>
      <c r="E10063" s="845">
        <v>45627</v>
      </c>
      <c r="F10063" s="843" t="s">
        <v>109</v>
      </c>
      <c r="G10063" s="843" t="s">
        <v>120</v>
      </c>
      <c r="H10063" s="843" t="s">
        <v>7280</v>
      </c>
      <c r="I10063" s="843" t="s">
        <v>7909</v>
      </c>
    </row>
    <row r="10064" spans="1:9" ht="15" hidden="1" customHeight="1">
      <c r="A10064" s="841">
        <v>45649</v>
      </c>
      <c r="B10064" s="842" t="s">
        <v>7913</v>
      </c>
      <c r="C10064" s="843" t="s">
        <v>27</v>
      </c>
      <c r="D10064" s="844">
        <v>-10024407.42</v>
      </c>
      <c r="E10064" s="845">
        <v>45627</v>
      </c>
      <c r="F10064" s="843" t="s">
        <v>109</v>
      </c>
      <c r="G10064" s="206" t="s">
        <v>5990</v>
      </c>
      <c r="H10064" s="843" t="s">
        <v>7280</v>
      </c>
      <c r="I10064" s="843" t="s">
        <v>7909</v>
      </c>
    </row>
    <row r="10065" spans="1:9" ht="15" hidden="1" customHeight="1">
      <c r="A10065" s="841">
        <v>45649</v>
      </c>
      <c r="B10065" s="842" t="s">
        <v>7914</v>
      </c>
      <c r="C10065" s="843" t="s">
        <v>27</v>
      </c>
      <c r="D10065" s="844">
        <v>-10024407.42</v>
      </c>
      <c r="E10065" s="845">
        <v>45627</v>
      </c>
      <c r="F10065" s="843" t="s">
        <v>109</v>
      </c>
      <c r="G10065" s="206" t="s">
        <v>5990</v>
      </c>
      <c r="H10065" s="843" t="s">
        <v>7280</v>
      </c>
      <c r="I10065" s="843" t="s">
        <v>7909</v>
      </c>
    </row>
    <row r="10066" spans="1:9" ht="15" hidden="1" customHeight="1">
      <c r="A10066" s="841">
        <v>45649</v>
      </c>
      <c r="B10066" s="842" t="s">
        <v>7915</v>
      </c>
      <c r="C10066" s="843" t="s">
        <v>27</v>
      </c>
      <c r="D10066" s="844">
        <v>-10024407.42</v>
      </c>
      <c r="E10066" s="845">
        <v>45627</v>
      </c>
      <c r="F10066" s="843" t="s">
        <v>109</v>
      </c>
      <c r="G10066" s="206" t="s">
        <v>5990</v>
      </c>
      <c r="H10066" s="843" t="s">
        <v>7280</v>
      </c>
      <c r="I10066" s="843" t="s">
        <v>7909</v>
      </c>
    </row>
    <row r="10067" spans="1:9" ht="15" hidden="1" customHeight="1">
      <c r="A10067" s="841">
        <v>45649</v>
      </c>
      <c r="B10067" s="842" t="s">
        <v>7916</v>
      </c>
      <c r="C10067" s="843" t="s">
        <v>27</v>
      </c>
      <c r="D10067" s="844">
        <v>-21994860</v>
      </c>
      <c r="E10067" s="845">
        <v>45627</v>
      </c>
      <c r="F10067" s="843" t="s">
        <v>109</v>
      </c>
      <c r="G10067" s="843" t="s">
        <v>6994</v>
      </c>
      <c r="H10067" s="843" t="s">
        <v>6973</v>
      </c>
      <c r="I10067" s="843" t="s">
        <v>7909</v>
      </c>
    </row>
    <row r="10068" spans="1:9" ht="15" hidden="1" customHeight="1">
      <c r="A10068" s="841">
        <v>45646</v>
      </c>
      <c r="B10068" s="842" t="s">
        <v>7917</v>
      </c>
      <c r="C10068" s="843" t="s">
        <v>27</v>
      </c>
      <c r="D10068" s="844">
        <v>-5466276</v>
      </c>
      <c r="E10068" s="845">
        <v>45627</v>
      </c>
      <c r="F10068" s="843" t="s">
        <v>130</v>
      </c>
      <c r="G10068" s="843" t="s">
        <v>257</v>
      </c>
      <c r="H10068" s="843" t="s">
        <v>1175</v>
      </c>
      <c r="I10068" s="843" t="s">
        <v>7909</v>
      </c>
    </row>
    <row r="10069" spans="1:9" ht="15" hidden="1" customHeight="1">
      <c r="A10069" s="841">
        <v>45646</v>
      </c>
      <c r="B10069" s="842" t="s">
        <v>7918</v>
      </c>
      <c r="C10069" s="843" t="s">
        <v>27</v>
      </c>
      <c r="D10069" s="844">
        <v>-576520</v>
      </c>
      <c r="E10069" s="845">
        <v>45627</v>
      </c>
      <c r="F10069" s="843" t="s">
        <v>130</v>
      </c>
      <c r="G10069" s="843" t="s">
        <v>130</v>
      </c>
      <c r="H10069" s="843" t="s">
        <v>2724</v>
      </c>
      <c r="I10069" s="843" t="s">
        <v>7909</v>
      </c>
    </row>
    <row r="10070" spans="1:9" ht="15" hidden="1" customHeight="1">
      <c r="A10070" s="841">
        <v>45646</v>
      </c>
      <c r="B10070" s="846" t="s">
        <v>7919</v>
      </c>
      <c r="C10070" s="843" t="s">
        <v>27</v>
      </c>
      <c r="D10070" s="844">
        <v>-3018000</v>
      </c>
      <c r="E10070" s="845">
        <v>45627</v>
      </c>
      <c r="F10070" s="843" t="s">
        <v>130</v>
      </c>
      <c r="G10070" s="843" t="s">
        <v>130</v>
      </c>
      <c r="H10070" s="843" t="s">
        <v>1156</v>
      </c>
      <c r="I10070" s="843" t="s">
        <v>7909</v>
      </c>
    </row>
    <row r="10071" spans="1:9" ht="15" hidden="1" customHeight="1">
      <c r="A10071" s="841">
        <v>45642</v>
      </c>
      <c r="B10071" s="842" t="s">
        <v>7879</v>
      </c>
      <c r="C10071" s="843" t="s">
        <v>27</v>
      </c>
      <c r="D10071" s="844">
        <v>-50000</v>
      </c>
      <c r="E10071" s="845">
        <v>45627</v>
      </c>
      <c r="F10071" s="843" t="s">
        <v>109</v>
      </c>
      <c r="G10071" s="206" t="s">
        <v>6903</v>
      </c>
      <c r="H10071" s="843" t="s">
        <v>147</v>
      </c>
      <c r="I10071" s="843" t="s">
        <v>7909</v>
      </c>
    </row>
    <row r="10072" spans="1:9" ht="15" hidden="1" customHeight="1">
      <c r="A10072" s="841">
        <v>45642</v>
      </c>
      <c r="B10072" s="842" t="s">
        <v>7881</v>
      </c>
      <c r="C10072" s="843" t="s">
        <v>27</v>
      </c>
      <c r="D10072" s="844">
        <v>-30000</v>
      </c>
      <c r="E10072" s="845">
        <v>45627</v>
      </c>
      <c r="F10072" s="843" t="s">
        <v>109</v>
      </c>
      <c r="G10072" s="206" t="s">
        <v>6903</v>
      </c>
      <c r="H10072" s="843" t="s">
        <v>138</v>
      </c>
      <c r="I10072" s="843" t="s">
        <v>7909</v>
      </c>
    </row>
    <row r="10073" spans="1:9" ht="15" hidden="1" customHeight="1">
      <c r="A10073" s="841">
        <v>45642</v>
      </c>
      <c r="B10073" s="842" t="s">
        <v>7882</v>
      </c>
      <c r="C10073" s="843" t="s">
        <v>27</v>
      </c>
      <c r="D10073" s="844">
        <v>-79274</v>
      </c>
      <c r="E10073" s="845">
        <v>45627</v>
      </c>
      <c r="F10073" s="843" t="s">
        <v>109</v>
      </c>
      <c r="G10073" s="206" t="s">
        <v>6903</v>
      </c>
      <c r="H10073" s="843" t="s">
        <v>147</v>
      </c>
      <c r="I10073" s="843" t="s">
        <v>7909</v>
      </c>
    </row>
    <row r="10074" spans="1:9" ht="15" hidden="1" customHeight="1">
      <c r="A10074" s="841">
        <v>45642</v>
      </c>
      <c r="B10074" s="842" t="s">
        <v>7883</v>
      </c>
      <c r="C10074" s="843" t="s">
        <v>27</v>
      </c>
      <c r="D10074" s="844">
        <v>-97000</v>
      </c>
      <c r="E10074" s="845">
        <v>45627</v>
      </c>
      <c r="F10074" s="843" t="s">
        <v>109</v>
      </c>
      <c r="G10074" s="206" t="s">
        <v>6903</v>
      </c>
      <c r="H10074" s="843" t="s">
        <v>147</v>
      </c>
      <c r="I10074" s="843" t="s">
        <v>7909</v>
      </c>
    </row>
    <row r="10075" spans="1:9" ht="15" hidden="1" customHeight="1">
      <c r="A10075" s="841">
        <v>45643</v>
      </c>
      <c r="B10075" s="842" t="s">
        <v>7884</v>
      </c>
      <c r="C10075" s="843" t="s">
        <v>27</v>
      </c>
      <c r="D10075" s="844">
        <v>-46000</v>
      </c>
      <c r="E10075" s="845">
        <v>45627</v>
      </c>
      <c r="F10075" s="843" t="s">
        <v>109</v>
      </c>
      <c r="G10075" s="206" t="s">
        <v>6903</v>
      </c>
      <c r="H10075" s="843" t="s">
        <v>147</v>
      </c>
      <c r="I10075" s="843" t="s">
        <v>7909</v>
      </c>
    </row>
    <row r="10076" spans="1:9" ht="15" hidden="1" customHeight="1">
      <c r="A10076" s="841">
        <v>45643</v>
      </c>
      <c r="B10076" s="842" t="s">
        <v>7885</v>
      </c>
      <c r="C10076" s="843" t="s">
        <v>27</v>
      </c>
      <c r="D10076" s="844">
        <v>-20021</v>
      </c>
      <c r="E10076" s="845">
        <v>45627</v>
      </c>
      <c r="F10076" s="843" t="s">
        <v>109</v>
      </c>
      <c r="G10076" s="206" t="s">
        <v>6903</v>
      </c>
      <c r="H10076" s="843" t="s">
        <v>138</v>
      </c>
      <c r="I10076" s="843" t="s">
        <v>7909</v>
      </c>
    </row>
    <row r="10077" spans="1:9" ht="15" hidden="1" customHeight="1">
      <c r="A10077" s="841">
        <v>45643</v>
      </c>
      <c r="B10077" s="842" t="s">
        <v>7886</v>
      </c>
      <c r="C10077" s="843" t="s">
        <v>27</v>
      </c>
      <c r="D10077" s="844">
        <v>-28030</v>
      </c>
      <c r="E10077" s="845">
        <v>45627</v>
      </c>
      <c r="F10077" s="843" t="s">
        <v>109</v>
      </c>
      <c r="G10077" s="206" t="s">
        <v>6903</v>
      </c>
      <c r="H10077" s="843" t="s">
        <v>138</v>
      </c>
      <c r="I10077" s="843" t="s">
        <v>7909</v>
      </c>
    </row>
    <row r="10078" spans="1:9" ht="15" hidden="1" customHeight="1">
      <c r="A10078" s="841">
        <v>45643</v>
      </c>
      <c r="B10078" s="842" t="s">
        <v>7887</v>
      </c>
      <c r="C10078" s="843" t="s">
        <v>27</v>
      </c>
      <c r="D10078" s="844">
        <v>-14500</v>
      </c>
      <c r="E10078" s="845">
        <v>45627</v>
      </c>
      <c r="F10078" s="843" t="s">
        <v>109</v>
      </c>
      <c r="G10078" s="206" t="s">
        <v>6903</v>
      </c>
      <c r="H10078" s="843" t="s">
        <v>2941</v>
      </c>
      <c r="I10078" s="843" t="s">
        <v>7909</v>
      </c>
    </row>
    <row r="10079" spans="1:9" ht="15" hidden="1" customHeight="1">
      <c r="A10079" s="841">
        <v>45643</v>
      </c>
      <c r="B10079" s="842" t="s">
        <v>7888</v>
      </c>
      <c r="C10079" s="843" t="s">
        <v>27</v>
      </c>
      <c r="D10079" s="844">
        <v>-34000</v>
      </c>
      <c r="E10079" s="845">
        <v>45627</v>
      </c>
      <c r="F10079" s="843" t="s">
        <v>109</v>
      </c>
      <c r="G10079" s="206" t="s">
        <v>6903</v>
      </c>
      <c r="H10079" s="843" t="s">
        <v>2941</v>
      </c>
      <c r="I10079" s="843" t="s">
        <v>7909</v>
      </c>
    </row>
    <row r="10080" spans="1:9" ht="15" hidden="1" customHeight="1">
      <c r="A10080" s="841">
        <v>45643</v>
      </c>
      <c r="B10080" s="842" t="s">
        <v>7889</v>
      </c>
      <c r="C10080" s="843" t="s">
        <v>27</v>
      </c>
      <c r="D10080" s="844">
        <v>-117077</v>
      </c>
      <c r="E10080" s="845">
        <v>45627</v>
      </c>
      <c r="F10080" s="843" t="s">
        <v>109</v>
      </c>
      <c r="G10080" s="206" t="s">
        <v>6903</v>
      </c>
      <c r="H10080" s="843" t="s">
        <v>147</v>
      </c>
      <c r="I10080" s="843" t="s">
        <v>7909</v>
      </c>
    </row>
    <row r="10081" spans="1:9" ht="15" hidden="1" customHeight="1">
      <c r="A10081" s="841">
        <v>45644</v>
      </c>
      <c r="B10081" s="842" t="s">
        <v>7884</v>
      </c>
      <c r="C10081" s="843" t="s">
        <v>27</v>
      </c>
      <c r="D10081" s="844">
        <v>-45000</v>
      </c>
      <c r="E10081" s="845">
        <v>45627</v>
      </c>
      <c r="F10081" s="843" t="s">
        <v>109</v>
      </c>
      <c r="G10081" s="206" t="s">
        <v>6903</v>
      </c>
      <c r="H10081" s="843" t="s">
        <v>147</v>
      </c>
      <c r="I10081" s="843" t="s">
        <v>7909</v>
      </c>
    </row>
    <row r="10082" spans="1:9" ht="15" customHeight="1">
      <c r="A10082" s="841">
        <v>45649</v>
      </c>
      <c r="B10082" s="842" t="s">
        <v>7920</v>
      </c>
      <c r="C10082" s="843" t="s">
        <v>27</v>
      </c>
      <c r="D10082" s="844">
        <v>-1012033</v>
      </c>
      <c r="E10082" s="845">
        <v>45627</v>
      </c>
      <c r="F10082" s="843" t="s">
        <v>109</v>
      </c>
      <c r="G10082" s="843" t="s">
        <v>2809</v>
      </c>
      <c r="H10082" s="262" t="s">
        <v>5066</v>
      </c>
      <c r="I10082" s="843" t="s">
        <v>7909</v>
      </c>
    </row>
    <row r="10083" spans="1:9" ht="15" hidden="1" customHeight="1">
      <c r="A10083" s="841">
        <v>45649</v>
      </c>
      <c r="B10083" s="842" t="s">
        <v>7921</v>
      </c>
      <c r="C10083" s="843" t="s">
        <v>27</v>
      </c>
      <c r="D10083" s="844">
        <v>-1383934</v>
      </c>
      <c r="E10083" s="845">
        <v>45627</v>
      </c>
      <c r="F10083" s="843" t="s">
        <v>109</v>
      </c>
      <c r="G10083" s="654" t="s">
        <v>5805</v>
      </c>
      <c r="H10083" s="843" t="s">
        <v>549</v>
      </c>
      <c r="I10083" s="871" t="s">
        <v>3475</v>
      </c>
    </row>
    <row r="10084" spans="1:9" ht="15" hidden="1" customHeight="1">
      <c r="A10084" s="841">
        <v>45649</v>
      </c>
      <c r="B10084" s="842" t="s">
        <v>7921</v>
      </c>
      <c r="C10084" s="843" t="s">
        <v>27</v>
      </c>
      <c r="D10084" s="844">
        <v>-616048</v>
      </c>
      <c r="E10084" s="845">
        <v>45627</v>
      </c>
      <c r="F10084" s="843" t="s">
        <v>109</v>
      </c>
      <c r="G10084" s="843" t="s">
        <v>5911</v>
      </c>
      <c r="H10084" s="843" t="s">
        <v>549</v>
      </c>
      <c r="I10084" s="843" t="s">
        <v>7909</v>
      </c>
    </row>
    <row r="10085" spans="1:9" ht="15" hidden="1" customHeight="1">
      <c r="A10085" s="841">
        <v>45649</v>
      </c>
      <c r="B10085" s="842" t="s">
        <v>7638</v>
      </c>
      <c r="C10085" s="843" t="s">
        <v>27</v>
      </c>
      <c r="D10085" s="844">
        <v>-1200000</v>
      </c>
      <c r="E10085" s="845">
        <v>45627</v>
      </c>
      <c r="F10085" s="843" t="s">
        <v>130</v>
      </c>
      <c r="G10085" s="843" t="s">
        <v>130</v>
      </c>
      <c r="H10085" s="843" t="s">
        <v>360</v>
      </c>
      <c r="I10085" s="843" t="s">
        <v>7909</v>
      </c>
    </row>
    <row r="10086" spans="1:9" ht="15" customHeight="1">
      <c r="A10086" s="841">
        <v>45645</v>
      </c>
      <c r="B10086" s="842" t="s">
        <v>6834</v>
      </c>
      <c r="C10086" s="843" t="s">
        <v>27</v>
      </c>
      <c r="D10086" s="844">
        <v>-13000</v>
      </c>
      <c r="E10086" s="845">
        <v>45627</v>
      </c>
      <c r="F10086" s="843" t="s">
        <v>109</v>
      </c>
      <c r="G10086" s="843" t="s">
        <v>2809</v>
      </c>
      <c r="H10086" s="843" t="s">
        <v>4814</v>
      </c>
      <c r="I10086" s="843" t="s">
        <v>7922</v>
      </c>
    </row>
    <row r="10087" spans="1:9" ht="15" customHeight="1">
      <c r="A10087" s="841">
        <v>45645</v>
      </c>
      <c r="B10087" s="842" t="s">
        <v>7923</v>
      </c>
      <c r="C10087" s="843" t="s">
        <v>27</v>
      </c>
      <c r="D10087" s="844">
        <v>-7500</v>
      </c>
      <c r="E10087" s="845">
        <v>45627</v>
      </c>
      <c r="F10087" s="843" t="s">
        <v>109</v>
      </c>
      <c r="G10087" s="843" t="s">
        <v>2809</v>
      </c>
      <c r="H10087" s="843" t="s">
        <v>4814</v>
      </c>
      <c r="I10087" s="843" t="s">
        <v>7922</v>
      </c>
    </row>
    <row r="10088" spans="1:9" ht="15" customHeight="1">
      <c r="A10088" s="841">
        <v>45645</v>
      </c>
      <c r="B10088" s="842" t="s">
        <v>7924</v>
      </c>
      <c r="C10088" s="843" t="s">
        <v>27</v>
      </c>
      <c r="D10088" s="844">
        <v>-7000</v>
      </c>
      <c r="E10088" s="845">
        <v>45627</v>
      </c>
      <c r="F10088" s="843" t="s">
        <v>109</v>
      </c>
      <c r="G10088" s="843" t="s">
        <v>2809</v>
      </c>
      <c r="H10088" s="843" t="s">
        <v>4814</v>
      </c>
      <c r="I10088" s="843" t="s">
        <v>7922</v>
      </c>
    </row>
    <row r="10089" spans="1:9" ht="15" customHeight="1">
      <c r="A10089" s="841">
        <v>45645</v>
      </c>
      <c r="B10089" s="842" t="s">
        <v>7925</v>
      </c>
      <c r="C10089" s="843" t="s">
        <v>27</v>
      </c>
      <c r="D10089" s="844">
        <v>-32000</v>
      </c>
      <c r="E10089" s="845">
        <v>45627</v>
      </c>
      <c r="F10089" s="843" t="s">
        <v>109</v>
      </c>
      <c r="G10089" s="843" t="s">
        <v>2809</v>
      </c>
      <c r="H10089" s="843" t="s">
        <v>4814</v>
      </c>
      <c r="I10089" s="843" t="s">
        <v>7922</v>
      </c>
    </row>
    <row r="10090" spans="1:9" ht="15" customHeight="1">
      <c r="A10090" s="841">
        <v>45645</v>
      </c>
      <c r="B10090" s="846" t="s">
        <v>7926</v>
      </c>
      <c r="C10090" s="843" t="s">
        <v>27</v>
      </c>
      <c r="D10090" s="844">
        <v>-62800</v>
      </c>
      <c r="E10090" s="845">
        <v>45627</v>
      </c>
      <c r="F10090" s="843" t="s">
        <v>109</v>
      </c>
      <c r="G10090" s="843" t="s">
        <v>2809</v>
      </c>
      <c r="H10090" s="843" t="s">
        <v>4814</v>
      </c>
      <c r="I10090" s="843" t="s">
        <v>7922</v>
      </c>
    </row>
    <row r="10091" spans="1:9" ht="15" hidden="1" customHeight="1">
      <c r="A10091" s="841">
        <v>45649</v>
      </c>
      <c r="B10091" s="842" t="s">
        <v>7927</v>
      </c>
      <c r="C10091" s="843" t="s">
        <v>27</v>
      </c>
      <c r="D10091" s="847">
        <v>2276100</v>
      </c>
      <c r="E10091" s="845">
        <v>45627</v>
      </c>
      <c r="F10091" s="843" t="s">
        <v>108</v>
      </c>
      <c r="G10091" s="843"/>
      <c r="H10091" s="843" t="s">
        <v>7909</v>
      </c>
      <c r="I10091" s="843" t="s">
        <v>7909</v>
      </c>
    </row>
    <row r="10092" spans="1:9" ht="15" hidden="1" customHeight="1">
      <c r="A10092" s="841">
        <v>45649</v>
      </c>
      <c r="B10092" s="848" t="s">
        <v>7928</v>
      </c>
      <c r="C10092" s="840" t="s">
        <v>27</v>
      </c>
      <c r="D10092" s="847">
        <v>61535578</v>
      </c>
      <c r="E10092" s="845">
        <v>45627</v>
      </c>
      <c r="F10092" s="843" t="s">
        <v>434</v>
      </c>
      <c r="G10092" s="843" t="s">
        <v>7929</v>
      </c>
      <c r="H10092" s="843" t="s">
        <v>7909</v>
      </c>
      <c r="I10092" s="843" t="s">
        <v>7909</v>
      </c>
    </row>
    <row r="10093" spans="1:9" ht="15" hidden="1" customHeight="1">
      <c r="A10093" s="841">
        <v>45652</v>
      </c>
      <c r="B10093" s="849" t="s">
        <v>7930</v>
      </c>
      <c r="C10093" s="843" t="s">
        <v>27</v>
      </c>
      <c r="D10093" s="847">
        <v>4445579</v>
      </c>
      <c r="E10093" s="845">
        <v>45627</v>
      </c>
      <c r="F10093" s="843" t="s">
        <v>108</v>
      </c>
      <c r="G10093" s="843"/>
      <c r="H10093" s="843" t="s">
        <v>7909</v>
      </c>
      <c r="I10093" s="843" t="s">
        <v>7909</v>
      </c>
    </row>
    <row r="10094" spans="1:9" ht="15" hidden="1" customHeight="1">
      <c r="A10094" s="841">
        <v>45652</v>
      </c>
      <c r="B10094" s="842" t="s">
        <v>7931</v>
      </c>
      <c r="C10094" s="843" t="s">
        <v>27</v>
      </c>
      <c r="D10094" s="847">
        <v>38868240</v>
      </c>
      <c r="E10094" s="845">
        <v>45627</v>
      </c>
      <c r="F10094" s="843" t="s">
        <v>434</v>
      </c>
      <c r="G10094" s="843" t="s">
        <v>7932</v>
      </c>
      <c r="H10094" s="843" t="s">
        <v>7909</v>
      </c>
      <c r="I10094" s="843" t="s">
        <v>7909</v>
      </c>
    </row>
    <row r="10095" spans="1:9" ht="15" hidden="1" customHeight="1">
      <c r="A10095" s="841">
        <v>45652</v>
      </c>
      <c r="B10095" s="848" t="s">
        <v>7933</v>
      </c>
      <c r="C10095" s="840" t="s">
        <v>27</v>
      </c>
      <c r="D10095" s="847">
        <v>4547868</v>
      </c>
      <c r="E10095" s="845">
        <v>45627</v>
      </c>
      <c r="F10095" s="843" t="s">
        <v>7934</v>
      </c>
      <c r="G10095" s="843"/>
      <c r="H10095" s="843" t="s">
        <v>7909</v>
      </c>
      <c r="I10095" s="843" t="s">
        <v>7909</v>
      </c>
    </row>
    <row r="10096" spans="1:9" ht="15" hidden="1" customHeight="1">
      <c r="A10096" s="841">
        <v>45652</v>
      </c>
      <c r="B10096" s="849" t="s">
        <v>7935</v>
      </c>
      <c r="C10096" s="843" t="s">
        <v>27</v>
      </c>
      <c r="D10096" s="847">
        <v>1787759</v>
      </c>
      <c r="E10096" s="845">
        <v>45627</v>
      </c>
      <c r="F10096" s="843" t="s">
        <v>108</v>
      </c>
      <c r="G10096" s="843"/>
      <c r="H10096" s="843" t="s">
        <v>7909</v>
      </c>
      <c r="I10096" s="843" t="s">
        <v>7909</v>
      </c>
    </row>
    <row r="10097" spans="1:9" ht="15" hidden="1" customHeight="1">
      <c r="A10097" s="841">
        <v>45652</v>
      </c>
      <c r="B10097" s="842" t="s">
        <v>7936</v>
      </c>
      <c r="C10097" s="843" t="s">
        <v>27</v>
      </c>
      <c r="D10097" s="847">
        <v>23510563</v>
      </c>
      <c r="E10097" s="845">
        <v>45627</v>
      </c>
      <c r="F10097" s="843" t="s">
        <v>434</v>
      </c>
      <c r="G10097" s="843" t="s">
        <v>7937</v>
      </c>
      <c r="H10097" s="843" t="s">
        <v>7909</v>
      </c>
      <c r="I10097" s="843" t="s">
        <v>7909</v>
      </c>
    </row>
    <row r="10098" spans="1:9" ht="15" hidden="1" customHeight="1">
      <c r="A10098" s="841">
        <v>45644</v>
      </c>
      <c r="B10098" s="842" t="s">
        <v>7938</v>
      </c>
      <c r="C10098" s="843" t="s">
        <v>27</v>
      </c>
      <c r="D10098" s="850">
        <v>-33737</v>
      </c>
      <c r="E10098" s="845">
        <v>45627</v>
      </c>
      <c r="F10098" s="843" t="s">
        <v>110</v>
      </c>
      <c r="G10098" s="843" t="s">
        <v>5503</v>
      </c>
      <c r="H10098" s="843" t="s">
        <v>2941</v>
      </c>
      <c r="I10098" s="843" t="s">
        <v>7311</v>
      </c>
    </row>
    <row r="10099" spans="1:9" ht="15" hidden="1" customHeight="1">
      <c r="A10099" s="841">
        <v>45645</v>
      </c>
      <c r="B10099" s="842" t="s">
        <v>7939</v>
      </c>
      <c r="C10099" s="843" t="s">
        <v>27</v>
      </c>
      <c r="D10099" s="850">
        <v>-39800</v>
      </c>
      <c r="E10099" s="845">
        <v>45627</v>
      </c>
      <c r="F10099" s="843" t="s">
        <v>110</v>
      </c>
      <c r="G10099" s="843" t="s">
        <v>5503</v>
      </c>
      <c r="H10099" s="843" t="s">
        <v>138</v>
      </c>
      <c r="I10099" s="843" t="s">
        <v>7311</v>
      </c>
    </row>
    <row r="10100" spans="1:9" ht="15" hidden="1" customHeight="1">
      <c r="A10100" s="841">
        <v>45645</v>
      </c>
      <c r="B10100" s="842" t="s">
        <v>7940</v>
      </c>
      <c r="C10100" s="843" t="s">
        <v>27</v>
      </c>
      <c r="D10100" s="850">
        <v>-3900</v>
      </c>
      <c r="E10100" s="845">
        <v>45627</v>
      </c>
      <c r="F10100" s="843" t="s">
        <v>110</v>
      </c>
      <c r="G10100" s="843" t="s">
        <v>5503</v>
      </c>
      <c r="H10100" s="843" t="s">
        <v>138</v>
      </c>
      <c r="I10100" s="843" t="s">
        <v>7311</v>
      </c>
    </row>
    <row r="10101" spans="1:9" ht="15" hidden="1" customHeight="1">
      <c r="A10101" s="841">
        <v>45653</v>
      </c>
      <c r="B10101" s="842" t="s">
        <v>7941</v>
      </c>
      <c r="C10101" s="843" t="s">
        <v>27</v>
      </c>
      <c r="D10101" s="850">
        <v>-178500</v>
      </c>
      <c r="E10101" s="845">
        <v>45627</v>
      </c>
      <c r="F10101" s="843" t="s">
        <v>109</v>
      </c>
      <c r="G10101" s="843" t="s">
        <v>6994</v>
      </c>
      <c r="H10101" s="843" t="s">
        <v>2941</v>
      </c>
      <c r="I10101" s="843" t="s">
        <v>7909</v>
      </c>
    </row>
    <row r="10102" spans="1:9" ht="15" hidden="1" customHeight="1">
      <c r="A10102" s="841">
        <v>45653</v>
      </c>
      <c r="B10102" s="842" t="s">
        <v>7942</v>
      </c>
      <c r="C10102" s="843" t="s">
        <v>27</v>
      </c>
      <c r="D10102" s="850">
        <v>-178500</v>
      </c>
      <c r="E10102" s="845">
        <v>45627</v>
      </c>
      <c r="F10102" s="843" t="s">
        <v>109</v>
      </c>
      <c r="G10102" s="843" t="s">
        <v>6954</v>
      </c>
      <c r="H10102" s="843" t="s">
        <v>2941</v>
      </c>
      <c r="I10102" s="843" t="s">
        <v>7909</v>
      </c>
    </row>
    <row r="10103" spans="1:9" ht="15" hidden="1" customHeight="1">
      <c r="A10103" s="856">
        <v>45652</v>
      </c>
      <c r="B10103" s="849" t="s">
        <v>7943</v>
      </c>
      <c r="C10103" s="857" t="s">
        <v>146</v>
      </c>
      <c r="D10103" s="858">
        <v>-55200</v>
      </c>
      <c r="E10103" s="859">
        <v>45627</v>
      </c>
      <c r="F10103" s="857" t="s">
        <v>109</v>
      </c>
      <c r="G10103" s="857" t="s">
        <v>4986</v>
      </c>
      <c r="H10103" s="857" t="s">
        <v>416</v>
      </c>
      <c r="I10103" s="857" t="s">
        <v>7909</v>
      </c>
    </row>
    <row r="10104" spans="1:9" ht="15" hidden="1" customHeight="1">
      <c r="A10104" s="841">
        <v>45652</v>
      </c>
      <c r="B10104" s="842" t="s">
        <v>7944</v>
      </c>
      <c r="C10104" s="843" t="s">
        <v>146</v>
      </c>
      <c r="D10104" s="850">
        <v>-55200</v>
      </c>
      <c r="E10104" s="860">
        <v>45627</v>
      </c>
      <c r="F10104" s="843" t="s">
        <v>109</v>
      </c>
      <c r="G10104" s="843" t="s">
        <v>6875</v>
      </c>
      <c r="H10104" s="843" t="s">
        <v>416</v>
      </c>
      <c r="I10104" s="843" t="s">
        <v>7909</v>
      </c>
    </row>
    <row r="10105" spans="1:9" ht="15" hidden="1" customHeight="1">
      <c r="A10105" s="841">
        <v>45652</v>
      </c>
      <c r="B10105" s="842" t="s">
        <v>7945</v>
      </c>
      <c r="C10105" s="843" t="s">
        <v>146</v>
      </c>
      <c r="D10105" s="850">
        <v>-169900</v>
      </c>
      <c r="E10105" s="860">
        <v>45627</v>
      </c>
      <c r="F10105" s="843" t="s">
        <v>130</v>
      </c>
      <c r="G10105" s="843" t="s">
        <v>130</v>
      </c>
      <c r="H10105" s="843" t="s">
        <v>2724</v>
      </c>
      <c r="I10105" s="843" t="s">
        <v>7909</v>
      </c>
    </row>
    <row r="10106" spans="1:9" ht="15" hidden="1" customHeight="1">
      <c r="A10106" s="841">
        <v>45649</v>
      </c>
      <c r="B10106" s="842" t="s">
        <v>7946</v>
      </c>
      <c r="C10106" s="843" t="s">
        <v>146</v>
      </c>
      <c r="D10106" s="850">
        <v>-180300</v>
      </c>
      <c r="E10106" s="860">
        <v>45627</v>
      </c>
      <c r="F10106" s="843" t="s">
        <v>130</v>
      </c>
      <c r="G10106" s="843" t="s">
        <v>130</v>
      </c>
      <c r="H10106" s="843" t="s">
        <v>2724</v>
      </c>
      <c r="I10106" s="843" t="s">
        <v>7909</v>
      </c>
    </row>
    <row r="10107" spans="1:9" ht="15" hidden="1" customHeight="1">
      <c r="A10107" s="841">
        <v>45649</v>
      </c>
      <c r="B10107" s="842" t="s">
        <v>7946</v>
      </c>
      <c r="C10107" s="843" t="s">
        <v>146</v>
      </c>
      <c r="D10107" s="850">
        <v>-180300</v>
      </c>
      <c r="E10107" s="860">
        <v>45627</v>
      </c>
      <c r="F10107" s="843" t="s">
        <v>130</v>
      </c>
      <c r="G10107" s="843" t="s">
        <v>130</v>
      </c>
      <c r="H10107" s="843" t="s">
        <v>2724</v>
      </c>
      <c r="I10107" s="843" t="s">
        <v>7909</v>
      </c>
    </row>
    <row r="10108" spans="1:9" ht="15" hidden="1" customHeight="1">
      <c r="A10108" s="841">
        <v>45645</v>
      </c>
      <c r="B10108" s="842" t="s">
        <v>7947</v>
      </c>
      <c r="C10108" s="843" t="s">
        <v>146</v>
      </c>
      <c r="D10108" s="850">
        <v>-87026</v>
      </c>
      <c r="E10108" s="860">
        <v>45627</v>
      </c>
      <c r="F10108" s="843" t="s">
        <v>130</v>
      </c>
      <c r="G10108" s="843" t="s">
        <v>130</v>
      </c>
      <c r="H10108" s="843" t="s">
        <v>2724</v>
      </c>
      <c r="I10108" s="843" t="s">
        <v>4357</v>
      </c>
    </row>
    <row r="10109" spans="1:9" ht="15" hidden="1" customHeight="1">
      <c r="A10109" s="841">
        <v>45646</v>
      </c>
      <c r="B10109" s="842" t="s">
        <v>7948</v>
      </c>
      <c r="C10109" s="843" t="s">
        <v>146</v>
      </c>
      <c r="D10109" s="850">
        <v>-100000</v>
      </c>
      <c r="E10109" s="860">
        <v>45627</v>
      </c>
      <c r="F10109" s="843" t="s">
        <v>130</v>
      </c>
      <c r="G10109" s="843" t="s">
        <v>130</v>
      </c>
      <c r="H10109" s="843" t="s">
        <v>2724</v>
      </c>
      <c r="I10109" s="843" t="s">
        <v>4357</v>
      </c>
    </row>
    <row r="10110" spans="1:9" ht="15" hidden="1" customHeight="1">
      <c r="A10110" s="841">
        <v>45646</v>
      </c>
      <c r="B10110" s="842" t="s">
        <v>7949</v>
      </c>
      <c r="C10110" s="843" t="s">
        <v>146</v>
      </c>
      <c r="D10110" s="850">
        <v>-102400</v>
      </c>
      <c r="E10110" s="860">
        <v>45627</v>
      </c>
      <c r="F10110" s="843" t="s">
        <v>130</v>
      </c>
      <c r="G10110" s="843" t="s">
        <v>130</v>
      </c>
      <c r="H10110" s="843" t="s">
        <v>2724</v>
      </c>
      <c r="I10110" s="843" t="s">
        <v>4357</v>
      </c>
    </row>
    <row r="10111" spans="1:9" ht="15" hidden="1" customHeight="1">
      <c r="A10111" s="841">
        <v>45646</v>
      </c>
      <c r="B10111" s="842" t="s">
        <v>7950</v>
      </c>
      <c r="C10111" s="843" t="s">
        <v>146</v>
      </c>
      <c r="D10111" s="850">
        <v>-49650</v>
      </c>
      <c r="E10111" s="860">
        <v>45627</v>
      </c>
      <c r="F10111" s="843" t="s">
        <v>130</v>
      </c>
      <c r="G10111" s="843" t="s">
        <v>130</v>
      </c>
      <c r="H10111" s="843" t="s">
        <v>2724</v>
      </c>
      <c r="I10111" s="843" t="s">
        <v>4357</v>
      </c>
    </row>
    <row r="10112" spans="1:9" ht="15" hidden="1" customHeight="1">
      <c r="A10112" s="841">
        <v>45646</v>
      </c>
      <c r="B10112" s="842" t="s">
        <v>7951</v>
      </c>
      <c r="C10112" s="843" t="s">
        <v>146</v>
      </c>
      <c r="D10112" s="850">
        <v>-38500</v>
      </c>
      <c r="E10112" s="860">
        <v>45627</v>
      </c>
      <c r="F10112" s="843" t="s">
        <v>130</v>
      </c>
      <c r="G10112" s="843" t="s">
        <v>257</v>
      </c>
      <c r="H10112" s="843" t="s">
        <v>138</v>
      </c>
      <c r="I10112" s="843" t="s">
        <v>7909</v>
      </c>
    </row>
    <row r="10113" spans="1:9" ht="15" hidden="1" customHeight="1">
      <c r="A10113" s="841">
        <v>45652</v>
      </c>
      <c r="B10113" s="842" t="s">
        <v>7952</v>
      </c>
      <c r="C10113" s="843" t="s">
        <v>146</v>
      </c>
      <c r="D10113" s="850">
        <v>-600000</v>
      </c>
      <c r="E10113" s="860">
        <v>45627</v>
      </c>
      <c r="F10113" s="843" t="s">
        <v>130</v>
      </c>
      <c r="G10113" s="843" t="s">
        <v>130</v>
      </c>
      <c r="H10113" s="843" t="s">
        <v>2724</v>
      </c>
      <c r="I10113" s="843" t="s">
        <v>7953</v>
      </c>
    </row>
    <row r="10114" spans="1:9" ht="15" hidden="1" customHeight="1">
      <c r="A10114" s="841">
        <v>45642</v>
      </c>
      <c r="B10114" s="842" t="s">
        <v>7954</v>
      </c>
      <c r="C10114" s="843" t="s">
        <v>27</v>
      </c>
      <c r="D10114" s="850">
        <v>-61800</v>
      </c>
      <c r="E10114" s="860">
        <v>45627</v>
      </c>
      <c r="F10114" s="843" t="s">
        <v>109</v>
      </c>
      <c r="G10114" s="206" t="s">
        <v>6903</v>
      </c>
      <c r="H10114" s="843" t="s">
        <v>508</v>
      </c>
      <c r="I10114" s="843" t="s">
        <v>7955</v>
      </c>
    </row>
    <row r="10115" spans="1:9" ht="15" hidden="1" customHeight="1">
      <c r="A10115" s="841">
        <v>45642</v>
      </c>
      <c r="B10115" s="842" t="s">
        <v>7956</v>
      </c>
      <c r="C10115" s="843" t="s">
        <v>27</v>
      </c>
      <c r="D10115" s="850">
        <v>-26000</v>
      </c>
      <c r="E10115" s="860">
        <v>45627</v>
      </c>
      <c r="F10115" s="843" t="s">
        <v>109</v>
      </c>
      <c r="G10115" s="206" t="s">
        <v>6903</v>
      </c>
      <c r="H10115" s="842" t="s">
        <v>138</v>
      </c>
      <c r="I10115" s="843" t="s">
        <v>7955</v>
      </c>
    </row>
    <row r="10116" spans="1:9" ht="15" hidden="1" customHeight="1">
      <c r="A10116" s="841">
        <v>45642</v>
      </c>
      <c r="B10116" s="842" t="s">
        <v>7957</v>
      </c>
      <c r="C10116" s="843" t="s">
        <v>27</v>
      </c>
      <c r="D10116" s="850">
        <v>-20000</v>
      </c>
      <c r="E10116" s="860">
        <v>45627</v>
      </c>
      <c r="F10116" s="843" t="s">
        <v>109</v>
      </c>
      <c r="G10116" s="206" t="s">
        <v>6903</v>
      </c>
      <c r="H10116" s="842" t="s">
        <v>138</v>
      </c>
      <c r="I10116" s="843" t="s">
        <v>7955</v>
      </c>
    </row>
    <row r="10117" spans="1:9" ht="15" hidden="1" customHeight="1">
      <c r="A10117" s="841">
        <v>45642</v>
      </c>
      <c r="B10117" s="842" t="s">
        <v>7957</v>
      </c>
      <c r="C10117" s="843" t="s">
        <v>27</v>
      </c>
      <c r="D10117" s="850">
        <v>-20000</v>
      </c>
      <c r="E10117" s="860">
        <v>45627</v>
      </c>
      <c r="F10117" s="843" t="s">
        <v>109</v>
      </c>
      <c r="G10117" s="206" t="s">
        <v>6903</v>
      </c>
      <c r="H10117" s="842" t="s">
        <v>138</v>
      </c>
      <c r="I10117" s="843" t="s">
        <v>7955</v>
      </c>
    </row>
    <row r="10118" spans="1:9" ht="15" hidden="1" customHeight="1">
      <c r="A10118" s="841">
        <v>45642</v>
      </c>
      <c r="B10118" s="842" t="s">
        <v>7958</v>
      </c>
      <c r="C10118" s="843" t="s">
        <v>27</v>
      </c>
      <c r="D10118" s="850">
        <v>-10000</v>
      </c>
      <c r="E10118" s="860">
        <v>45627</v>
      </c>
      <c r="F10118" s="843" t="s">
        <v>109</v>
      </c>
      <c r="G10118" s="206" t="s">
        <v>6903</v>
      </c>
      <c r="H10118" s="842" t="s">
        <v>138</v>
      </c>
      <c r="I10118" s="843" t="s">
        <v>7955</v>
      </c>
    </row>
    <row r="10119" spans="1:9" ht="15" hidden="1" customHeight="1">
      <c r="A10119" s="841">
        <v>45643</v>
      </c>
      <c r="B10119" s="842" t="s">
        <v>7959</v>
      </c>
      <c r="C10119" s="843" t="s">
        <v>27</v>
      </c>
      <c r="D10119" s="850">
        <v>-17000</v>
      </c>
      <c r="E10119" s="860">
        <v>45627</v>
      </c>
      <c r="F10119" s="843" t="s">
        <v>109</v>
      </c>
      <c r="G10119" s="206" t="s">
        <v>6903</v>
      </c>
      <c r="H10119" s="843" t="s">
        <v>508</v>
      </c>
      <c r="I10119" s="843" t="s">
        <v>7955</v>
      </c>
    </row>
    <row r="10120" spans="1:9" ht="15" hidden="1" customHeight="1">
      <c r="A10120" s="841">
        <v>45643</v>
      </c>
      <c r="B10120" s="842" t="s">
        <v>7960</v>
      </c>
      <c r="C10120" s="843" t="s">
        <v>27</v>
      </c>
      <c r="D10120" s="850">
        <v>-18000</v>
      </c>
      <c r="E10120" s="860">
        <v>45627</v>
      </c>
      <c r="F10120" s="843" t="s">
        <v>109</v>
      </c>
      <c r="G10120" s="206" t="s">
        <v>6903</v>
      </c>
      <c r="H10120" s="842" t="s">
        <v>138</v>
      </c>
      <c r="I10120" s="843" t="s">
        <v>7955</v>
      </c>
    </row>
    <row r="10121" spans="1:9" ht="15" hidden="1" customHeight="1">
      <c r="A10121" s="841">
        <v>45643</v>
      </c>
      <c r="B10121" s="842" t="s">
        <v>7961</v>
      </c>
      <c r="C10121" s="843" t="s">
        <v>27</v>
      </c>
      <c r="D10121" s="850">
        <v>-96000</v>
      </c>
      <c r="E10121" s="860">
        <v>45627</v>
      </c>
      <c r="F10121" s="843" t="s">
        <v>109</v>
      </c>
      <c r="G10121" s="206" t="s">
        <v>6903</v>
      </c>
      <c r="H10121" s="843" t="s">
        <v>147</v>
      </c>
      <c r="I10121" s="843" t="s">
        <v>7955</v>
      </c>
    </row>
    <row r="10122" spans="1:9" ht="15" hidden="1" customHeight="1">
      <c r="A10122" s="841">
        <v>45643</v>
      </c>
      <c r="B10122" s="842" t="s">
        <v>7962</v>
      </c>
      <c r="C10122" s="843" t="s">
        <v>27</v>
      </c>
      <c r="D10122" s="850">
        <v>-30000</v>
      </c>
      <c r="E10122" s="860">
        <v>45627</v>
      </c>
      <c r="F10122" s="843" t="s">
        <v>109</v>
      </c>
      <c r="G10122" s="206" t="s">
        <v>6903</v>
      </c>
      <c r="H10122" s="842" t="s">
        <v>138</v>
      </c>
      <c r="I10122" s="843" t="s">
        <v>7955</v>
      </c>
    </row>
    <row r="10123" spans="1:9" ht="15" hidden="1" customHeight="1">
      <c r="A10123" s="841">
        <v>45643</v>
      </c>
      <c r="B10123" s="842" t="s">
        <v>7963</v>
      </c>
      <c r="C10123" s="843" t="s">
        <v>27</v>
      </c>
      <c r="D10123" s="850">
        <v>-449766</v>
      </c>
      <c r="E10123" s="860">
        <v>45627</v>
      </c>
      <c r="F10123" s="843" t="s">
        <v>109</v>
      </c>
      <c r="G10123" s="206" t="s">
        <v>6903</v>
      </c>
      <c r="H10123" s="843" t="s">
        <v>1166</v>
      </c>
      <c r="I10123" s="843" t="s">
        <v>7955</v>
      </c>
    </row>
    <row r="10124" spans="1:9" ht="15" hidden="1" customHeight="1">
      <c r="A10124" s="841">
        <v>45643</v>
      </c>
      <c r="B10124" s="842" t="s">
        <v>7963</v>
      </c>
      <c r="C10124" s="843" t="s">
        <v>27</v>
      </c>
      <c r="D10124" s="850">
        <v>-398000</v>
      </c>
      <c r="E10124" s="860">
        <v>45627</v>
      </c>
      <c r="F10124" s="843" t="s">
        <v>109</v>
      </c>
      <c r="G10124" s="206" t="s">
        <v>6903</v>
      </c>
      <c r="H10124" s="843" t="s">
        <v>1166</v>
      </c>
      <c r="I10124" s="843" t="s">
        <v>7955</v>
      </c>
    </row>
    <row r="10125" spans="1:9" ht="15" hidden="1" customHeight="1">
      <c r="A10125" s="841">
        <v>45643</v>
      </c>
      <c r="B10125" s="842" t="s">
        <v>7964</v>
      </c>
      <c r="C10125" s="843" t="s">
        <v>27</v>
      </c>
      <c r="D10125" s="850">
        <v>-6500</v>
      </c>
      <c r="E10125" s="860">
        <v>45627</v>
      </c>
      <c r="F10125" s="843" t="s">
        <v>109</v>
      </c>
      <c r="G10125" s="206" t="s">
        <v>6903</v>
      </c>
      <c r="H10125" s="842" t="s">
        <v>138</v>
      </c>
      <c r="I10125" s="843" t="s">
        <v>7955</v>
      </c>
    </row>
    <row r="10126" spans="1:9" ht="15" hidden="1" customHeight="1">
      <c r="A10126" s="841">
        <v>45643</v>
      </c>
      <c r="B10126" s="842" t="s">
        <v>7965</v>
      </c>
      <c r="C10126" s="843" t="s">
        <v>27</v>
      </c>
      <c r="D10126" s="850">
        <v>-8000</v>
      </c>
      <c r="E10126" s="860">
        <v>45627</v>
      </c>
      <c r="F10126" s="843" t="s">
        <v>109</v>
      </c>
      <c r="G10126" s="206" t="s">
        <v>6903</v>
      </c>
      <c r="H10126" s="842" t="s">
        <v>138</v>
      </c>
      <c r="I10126" s="843" t="s">
        <v>7955</v>
      </c>
    </row>
    <row r="10127" spans="1:9" ht="15" hidden="1" customHeight="1">
      <c r="A10127" s="841">
        <v>45643</v>
      </c>
      <c r="B10127" s="842" t="s">
        <v>7966</v>
      </c>
      <c r="C10127" s="843" t="s">
        <v>27</v>
      </c>
      <c r="D10127" s="850">
        <v>-73600</v>
      </c>
      <c r="E10127" s="860">
        <v>45627</v>
      </c>
      <c r="F10127" s="843" t="s">
        <v>109</v>
      </c>
      <c r="G10127" s="206" t="s">
        <v>6903</v>
      </c>
      <c r="H10127" s="843" t="s">
        <v>508</v>
      </c>
      <c r="I10127" s="843" t="s">
        <v>7955</v>
      </c>
    </row>
    <row r="10128" spans="1:9" ht="15" hidden="1" customHeight="1">
      <c r="A10128" s="841">
        <v>45643</v>
      </c>
      <c r="B10128" s="842" t="s">
        <v>7967</v>
      </c>
      <c r="C10128" s="843" t="s">
        <v>27</v>
      </c>
      <c r="D10128" s="850">
        <v>-7000</v>
      </c>
      <c r="E10128" s="860">
        <v>45627</v>
      </c>
      <c r="F10128" s="843" t="s">
        <v>109</v>
      </c>
      <c r="G10128" s="206" t="s">
        <v>6903</v>
      </c>
      <c r="H10128" s="842" t="s">
        <v>138</v>
      </c>
      <c r="I10128" s="843" t="s">
        <v>7955</v>
      </c>
    </row>
    <row r="10129" spans="1:9" ht="15" hidden="1" customHeight="1">
      <c r="A10129" s="841">
        <v>45644</v>
      </c>
      <c r="B10129" s="842" t="s">
        <v>7959</v>
      </c>
      <c r="C10129" s="843" t="s">
        <v>27</v>
      </c>
      <c r="D10129" s="850">
        <v>-30000</v>
      </c>
      <c r="E10129" s="860">
        <v>45627</v>
      </c>
      <c r="F10129" s="843" t="s">
        <v>109</v>
      </c>
      <c r="G10129" s="206" t="s">
        <v>6903</v>
      </c>
      <c r="H10129" s="843" t="s">
        <v>508</v>
      </c>
      <c r="I10129" s="843" t="s">
        <v>7955</v>
      </c>
    </row>
    <row r="10130" spans="1:9" ht="15" hidden="1" customHeight="1">
      <c r="A10130" s="841">
        <v>45644</v>
      </c>
      <c r="B10130" s="842" t="s">
        <v>7968</v>
      </c>
      <c r="C10130" s="843" t="s">
        <v>27</v>
      </c>
      <c r="D10130" s="850">
        <v>-420000</v>
      </c>
      <c r="E10130" s="860">
        <v>45627</v>
      </c>
      <c r="F10130" s="843" t="s">
        <v>109</v>
      </c>
      <c r="G10130" s="206" t="s">
        <v>6903</v>
      </c>
      <c r="H10130" s="843" t="s">
        <v>508</v>
      </c>
      <c r="I10130" s="843" t="s">
        <v>7955</v>
      </c>
    </row>
    <row r="10131" spans="1:9" ht="15" hidden="1" customHeight="1">
      <c r="A10131" s="841">
        <v>45644</v>
      </c>
      <c r="B10131" s="842" t="s">
        <v>7969</v>
      </c>
      <c r="C10131" s="843" t="s">
        <v>27</v>
      </c>
      <c r="D10131" s="850">
        <v>-67000</v>
      </c>
      <c r="E10131" s="860">
        <v>45627</v>
      </c>
      <c r="F10131" s="843" t="s">
        <v>109</v>
      </c>
      <c r="G10131" s="206" t="s">
        <v>6903</v>
      </c>
      <c r="H10131" s="843" t="s">
        <v>508</v>
      </c>
      <c r="I10131" s="843" t="s">
        <v>7955</v>
      </c>
    </row>
    <row r="10132" spans="1:9" ht="15" hidden="1" customHeight="1">
      <c r="A10132" s="841">
        <v>45644</v>
      </c>
      <c r="B10132" s="842" t="s">
        <v>7970</v>
      </c>
      <c r="C10132" s="843" t="s">
        <v>27</v>
      </c>
      <c r="D10132" s="850">
        <v>-12000</v>
      </c>
      <c r="E10132" s="860">
        <v>45627</v>
      </c>
      <c r="F10132" s="843" t="s">
        <v>109</v>
      </c>
      <c r="G10132" s="206" t="s">
        <v>6903</v>
      </c>
      <c r="H10132" s="842" t="s">
        <v>138</v>
      </c>
      <c r="I10132" s="843" t="s">
        <v>7955</v>
      </c>
    </row>
    <row r="10133" spans="1:9" ht="15" hidden="1" customHeight="1">
      <c r="A10133" s="841">
        <v>45644</v>
      </c>
      <c r="B10133" s="842" t="s">
        <v>7971</v>
      </c>
      <c r="C10133" s="843" t="s">
        <v>27</v>
      </c>
      <c r="D10133" s="850">
        <v>-12000</v>
      </c>
      <c r="E10133" s="860">
        <v>45627</v>
      </c>
      <c r="F10133" s="843" t="s">
        <v>109</v>
      </c>
      <c r="G10133" s="206" t="s">
        <v>6903</v>
      </c>
      <c r="H10133" s="842" t="s">
        <v>138</v>
      </c>
      <c r="I10133" s="843" t="s">
        <v>7955</v>
      </c>
    </row>
    <row r="10134" spans="1:9" ht="15" hidden="1" customHeight="1">
      <c r="A10134" s="841">
        <v>45645</v>
      </c>
      <c r="B10134" s="842" t="s">
        <v>7408</v>
      </c>
      <c r="C10134" s="843" t="s">
        <v>27</v>
      </c>
      <c r="D10134" s="850">
        <v>-7700</v>
      </c>
      <c r="E10134" s="860">
        <v>45627</v>
      </c>
      <c r="F10134" s="843" t="s">
        <v>109</v>
      </c>
      <c r="G10134" s="206" t="s">
        <v>6903</v>
      </c>
      <c r="H10134" s="843" t="s">
        <v>508</v>
      </c>
      <c r="I10134" s="843" t="s">
        <v>7955</v>
      </c>
    </row>
    <row r="10135" spans="1:9" ht="15" hidden="1" customHeight="1">
      <c r="A10135" s="841">
        <v>45645</v>
      </c>
      <c r="B10135" s="842" t="s">
        <v>7972</v>
      </c>
      <c r="C10135" s="843" t="s">
        <v>27</v>
      </c>
      <c r="D10135" s="850">
        <v>-22000</v>
      </c>
      <c r="E10135" s="860">
        <v>45627</v>
      </c>
      <c r="F10135" s="843" t="s">
        <v>109</v>
      </c>
      <c r="G10135" s="206" t="s">
        <v>6903</v>
      </c>
      <c r="H10135" s="842" t="s">
        <v>138</v>
      </c>
      <c r="I10135" s="843" t="s">
        <v>7955</v>
      </c>
    </row>
    <row r="10136" spans="1:9" ht="15" hidden="1" customHeight="1">
      <c r="A10136" s="841">
        <v>45645</v>
      </c>
      <c r="B10136" s="842" t="s">
        <v>7973</v>
      </c>
      <c r="C10136" s="843" t="s">
        <v>27</v>
      </c>
      <c r="D10136" s="850">
        <v>-43000</v>
      </c>
      <c r="E10136" s="860">
        <v>45627</v>
      </c>
      <c r="F10136" s="843" t="s">
        <v>109</v>
      </c>
      <c r="G10136" s="206" t="s">
        <v>6903</v>
      </c>
      <c r="H10136" s="843" t="s">
        <v>508</v>
      </c>
      <c r="I10136" s="843" t="s">
        <v>7955</v>
      </c>
    </row>
    <row r="10137" spans="1:9" ht="15" hidden="1" customHeight="1">
      <c r="A10137" s="841">
        <v>45645</v>
      </c>
      <c r="B10137" s="842" t="s">
        <v>7974</v>
      </c>
      <c r="C10137" s="843" t="s">
        <v>27</v>
      </c>
      <c r="D10137" s="850">
        <v>-24000</v>
      </c>
      <c r="E10137" s="860">
        <v>45627</v>
      </c>
      <c r="F10137" s="843" t="s">
        <v>109</v>
      </c>
      <c r="G10137" s="843" t="s">
        <v>7832</v>
      </c>
      <c r="H10137" s="842" t="s">
        <v>138</v>
      </c>
      <c r="I10137" s="843" t="s">
        <v>7955</v>
      </c>
    </row>
    <row r="10138" spans="1:9" ht="15" hidden="1" customHeight="1">
      <c r="A10138" s="841">
        <v>45645</v>
      </c>
      <c r="B10138" s="842" t="s">
        <v>7960</v>
      </c>
      <c r="C10138" s="843" t="s">
        <v>27</v>
      </c>
      <c r="D10138" s="850">
        <v>-12000</v>
      </c>
      <c r="E10138" s="860">
        <v>45627</v>
      </c>
      <c r="F10138" s="843" t="s">
        <v>109</v>
      </c>
      <c r="G10138" s="206" t="s">
        <v>6903</v>
      </c>
      <c r="H10138" s="842" t="s">
        <v>138</v>
      </c>
      <c r="I10138" s="843" t="s">
        <v>7955</v>
      </c>
    </row>
    <row r="10139" spans="1:9" ht="15" hidden="1" customHeight="1">
      <c r="A10139" s="841">
        <v>45645</v>
      </c>
      <c r="B10139" s="842" t="s">
        <v>7975</v>
      </c>
      <c r="C10139" s="843" t="s">
        <v>27</v>
      </c>
      <c r="D10139" s="850">
        <v>-30000</v>
      </c>
      <c r="E10139" s="860">
        <v>45627</v>
      </c>
      <c r="F10139" s="843" t="s">
        <v>109</v>
      </c>
      <c r="G10139" s="206" t="s">
        <v>6903</v>
      </c>
      <c r="H10139" s="842" t="s">
        <v>138</v>
      </c>
      <c r="I10139" s="843" t="s">
        <v>7955</v>
      </c>
    </row>
    <row r="10140" spans="1:9" ht="15" hidden="1" customHeight="1">
      <c r="A10140" s="841">
        <v>45645</v>
      </c>
      <c r="B10140" s="842" t="s">
        <v>7976</v>
      </c>
      <c r="C10140" s="843" t="s">
        <v>27</v>
      </c>
      <c r="D10140" s="850">
        <v>-60000</v>
      </c>
      <c r="E10140" s="860">
        <v>45627</v>
      </c>
      <c r="F10140" s="843" t="s">
        <v>109</v>
      </c>
      <c r="G10140" s="206" t="s">
        <v>6903</v>
      </c>
      <c r="H10140" s="843" t="s">
        <v>508</v>
      </c>
      <c r="I10140" s="843" t="s">
        <v>7955</v>
      </c>
    </row>
    <row r="10141" spans="1:9" ht="15" hidden="1" customHeight="1">
      <c r="A10141" s="841">
        <v>45646</v>
      </c>
      <c r="B10141" s="842" t="s">
        <v>7977</v>
      </c>
      <c r="C10141" s="843" t="s">
        <v>146</v>
      </c>
      <c r="D10141" s="850">
        <v>-51257</v>
      </c>
      <c r="E10141" s="860">
        <v>45627</v>
      </c>
      <c r="F10141" s="843" t="s">
        <v>109</v>
      </c>
      <c r="G10141" s="206" t="s">
        <v>6903</v>
      </c>
      <c r="H10141" s="843" t="s">
        <v>508</v>
      </c>
      <c r="I10141" s="843" t="s">
        <v>7955</v>
      </c>
    </row>
    <row r="10142" spans="1:9" ht="15" hidden="1" customHeight="1">
      <c r="A10142" s="841">
        <v>45646</v>
      </c>
      <c r="B10142" s="842" t="s">
        <v>7978</v>
      </c>
      <c r="C10142" s="843" t="s">
        <v>146</v>
      </c>
      <c r="D10142" s="850">
        <v>-15000</v>
      </c>
      <c r="E10142" s="860">
        <v>45627</v>
      </c>
      <c r="F10142" s="843" t="s">
        <v>109</v>
      </c>
      <c r="G10142" s="206" t="s">
        <v>6903</v>
      </c>
      <c r="H10142" s="842" t="s">
        <v>138</v>
      </c>
      <c r="I10142" s="843" t="s">
        <v>7955</v>
      </c>
    </row>
    <row r="10143" spans="1:9" ht="15" hidden="1" customHeight="1">
      <c r="A10143" s="841">
        <v>45646</v>
      </c>
      <c r="B10143" s="842" t="s">
        <v>7959</v>
      </c>
      <c r="C10143" s="843" t="s">
        <v>146</v>
      </c>
      <c r="D10143" s="850">
        <v>-19500</v>
      </c>
      <c r="E10143" s="860">
        <v>45627</v>
      </c>
      <c r="F10143" s="843" t="s">
        <v>109</v>
      </c>
      <c r="G10143" s="206" t="s">
        <v>6903</v>
      </c>
      <c r="H10143" s="843" t="s">
        <v>508</v>
      </c>
      <c r="I10143" s="843" t="s">
        <v>7955</v>
      </c>
    </row>
    <row r="10144" spans="1:9" ht="15" hidden="1" customHeight="1">
      <c r="A10144" s="841">
        <v>45646</v>
      </c>
      <c r="B10144" s="842" t="s">
        <v>7979</v>
      </c>
      <c r="C10144" s="843" t="s">
        <v>146</v>
      </c>
      <c r="D10144" s="850">
        <v>-36000</v>
      </c>
      <c r="E10144" s="860">
        <v>45627</v>
      </c>
      <c r="F10144" s="843" t="s">
        <v>109</v>
      </c>
      <c r="G10144" s="206" t="s">
        <v>6903</v>
      </c>
      <c r="H10144" s="842" t="s">
        <v>138</v>
      </c>
      <c r="I10144" s="843" t="s">
        <v>7955</v>
      </c>
    </row>
    <row r="10145" spans="1:9" ht="15" hidden="1" customHeight="1">
      <c r="A10145" s="841">
        <v>45646</v>
      </c>
      <c r="B10145" s="842" t="s">
        <v>7980</v>
      </c>
      <c r="C10145" s="843" t="s">
        <v>146</v>
      </c>
      <c r="D10145" s="850">
        <v>-20000</v>
      </c>
      <c r="E10145" s="860">
        <v>45627</v>
      </c>
      <c r="F10145" s="843" t="s">
        <v>109</v>
      </c>
      <c r="G10145" s="206" t="s">
        <v>6903</v>
      </c>
      <c r="H10145" s="842" t="s">
        <v>138</v>
      </c>
      <c r="I10145" s="843" t="s">
        <v>7955</v>
      </c>
    </row>
    <row r="10146" spans="1:9" ht="15" hidden="1" customHeight="1">
      <c r="A10146" s="205">
        <v>45646</v>
      </c>
      <c r="B10146" s="842" t="s">
        <v>7977</v>
      </c>
      <c r="C10146" s="206" t="s">
        <v>27</v>
      </c>
      <c r="D10146" s="211">
        <v>-18743</v>
      </c>
      <c r="E10146" s="860">
        <v>45627</v>
      </c>
      <c r="F10146" s="843" t="s">
        <v>109</v>
      </c>
      <c r="G10146" s="206" t="s">
        <v>6903</v>
      </c>
      <c r="H10146" s="843" t="s">
        <v>508</v>
      </c>
      <c r="I10146" s="843" t="s">
        <v>7955</v>
      </c>
    </row>
    <row r="10147" spans="1:9" ht="15" hidden="1" customHeight="1">
      <c r="A10147" s="856">
        <v>45649</v>
      </c>
      <c r="B10147" s="849" t="s">
        <v>7981</v>
      </c>
      <c r="C10147" s="857" t="s">
        <v>643</v>
      </c>
      <c r="D10147" s="868">
        <v>-30800</v>
      </c>
      <c r="E10147" s="867">
        <v>45627</v>
      </c>
      <c r="F10147" s="857" t="s">
        <v>130</v>
      </c>
      <c r="G10147" s="857" t="s">
        <v>257</v>
      </c>
      <c r="H10147" s="857" t="s">
        <v>7252</v>
      </c>
      <c r="I10147" s="206"/>
    </row>
    <row r="10148" spans="1:9" ht="15" hidden="1" customHeight="1">
      <c r="A10148" s="205">
        <v>45653</v>
      </c>
      <c r="B10148" s="205" t="s">
        <v>6320</v>
      </c>
      <c r="C10148" s="843" t="s">
        <v>27</v>
      </c>
      <c r="D10148" s="850">
        <v>-995060</v>
      </c>
      <c r="E10148" s="845">
        <v>45627</v>
      </c>
      <c r="F10148" s="206" t="s">
        <v>110</v>
      </c>
      <c r="G10148" s="206" t="s">
        <v>5469</v>
      </c>
      <c r="H10148" s="206" t="s">
        <v>147</v>
      </c>
      <c r="I10148" s="206"/>
    </row>
    <row r="10149" spans="1:9" ht="15" hidden="1" customHeight="1">
      <c r="A10149" s="205">
        <v>45653</v>
      </c>
      <c r="B10149" s="208" t="s">
        <v>6321</v>
      </c>
      <c r="C10149" s="843" t="s">
        <v>27</v>
      </c>
      <c r="D10149" s="211">
        <v>-656040</v>
      </c>
      <c r="E10149" s="845">
        <v>45627</v>
      </c>
      <c r="F10149" s="206" t="s">
        <v>130</v>
      </c>
      <c r="G10149" s="206" t="s">
        <v>130</v>
      </c>
      <c r="H10149" s="206" t="s">
        <v>1175</v>
      </c>
      <c r="I10149" s="206"/>
    </row>
    <row r="10150" spans="1:9" ht="15" hidden="1" customHeight="1">
      <c r="A10150" s="205">
        <v>45653</v>
      </c>
      <c r="B10150" s="208" t="s">
        <v>6322</v>
      </c>
      <c r="C10150" s="843" t="s">
        <v>27</v>
      </c>
      <c r="D10150" s="211">
        <v>-635800</v>
      </c>
      <c r="E10150" s="845">
        <v>45627</v>
      </c>
      <c r="F10150" s="206" t="s">
        <v>110</v>
      </c>
      <c r="G10150" s="206" t="s">
        <v>5469</v>
      </c>
      <c r="H10150" s="206" t="s">
        <v>147</v>
      </c>
      <c r="I10150" s="206"/>
    </row>
    <row r="10151" spans="1:9" ht="15" hidden="1" customHeight="1">
      <c r="A10151" s="205">
        <v>45653</v>
      </c>
      <c r="B10151" s="208" t="s">
        <v>6325</v>
      </c>
      <c r="C10151" s="843" t="s">
        <v>27</v>
      </c>
      <c r="D10151" s="211">
        <v>-797100.00000000012</v>
      </c>
      <c r="E10151" s="845">
        <v>45627</v>
      </c>
      <c r="F10151" s="206" t="s">
        <v>109</v>
      </c>
      <c r="G10151" s="206" t="s">
        <v>4986</v>
      </c>
      <c r="H10151" s="206" t="s">
        <v>147</v>
      </c>
      <c r="I10151" s="206"/>
    </row>
    <row r="10152" spans="1:9" ht="15" hidden="1" customHeight="1">
      <c r="A10152" s="205">
        <v>45653</v>
      </c>
      <c r="B10152" s="208" t="s">
        <v>6324</v>
      </c>
      <c r="C10152" s="843" t="s">
        <v>27</v>
      </c>
      <c r="D10152" s="211">
        <v>-1185600</v>
      </c>
      <c r="E10152" s="845">
        <v>45627</v>
      </c>
      <c r="F10152" s="206" t="s">
        <v>109</v>
      </c>
      <c r="G10152" s="206" t="s">
        <v>4986</v>
      </c>
      <c r="H10152" s="206" t="s">
        <v>147</v>
      </c>
      <c r="I10152" s="206"/>
    </row>
    <row r="10153" spans="1:9" ht="15" hidden="1" customHeight="1">
      <c r="A10153" s="205">
        <v>45653</v>
      </c>
      <c r="B10153" s="208" t="s">
        <v>6331</v>
      </c>
      <c r="C10153" s="843" t="s">
        <v>27</v>
      </c>
      <c r="D10153" s="211">
        <v>-713749.99999999988</v>
      </c>
      <c r="E10153" s="845">
        <v>45627</v>
      </c>
      <c r="F10153" s="206" t="s">
        <v>109</v>
      </c>
      <c r="G10153" s="206" t="s">
        <v>5906</v>
      </c>
      <c r="H10153" s="206" t="s">
        <v>147</v>
      </c>
      <c r="I10153" s="206"/>
    </row>
    <row r="10154" spans="1:9" ht="15" hidden="1" customHeight="1">
      <c r="A10154" s="205">
        <v>45653</v>
      </c>
      <c r="B10154" s="208" t="s">
        <v>6332</v>
      </c>
      <c r="C10154" s="843" t="s">
        <v>27</v>
      </c>
      <c r="D10154" s="211">
        <v>-846349.99999999988</v>
      </c>
      <c r="E10154" s="845">
        <v>45627</v>
      </c>
      <c r="F10154" s="206" t="s">
        <v>109</v>
      </c>
      <c r="G10154" s="206" t="s">
        <v>5906</v>
      </c>
      <c r="H10154" s="206" t="s">
        <v>147</v>
      </c>
      <c r="I10154" s="206"/>
    </row>
    <row r="10155" spans="1:9" ht="15" hidden="1" customHeight="1">
      <c r="A10155" s="205">
        <v>45653</v>
      </c>
      <c r="B10155" s="208" t="s">
        <v>6333</v>
      </c>
      <c r="C10155" s="843" t="s">
        <v>27</v>
      </c>
      <c r="D10155" s="211">
        <v>-635800</v>
      </c>
      <c r="E10155" s="845">
        <v>45627</v>
      </c>
      <c r="F10155" s="206" t="s">
        <v>110</v>
      </c>
      <c r="G10155" s="206" t="s">
        <v>5469</v>
      </c>
      <c r="H10155" s="206" t="s">
        <v>147</v>
      </c>
      <c r="I10155" s="206"/>
    </row>
    <row r="10156" spans="1:9" ht="15" hidden="1" customHeight="1">
      <c r="A10156" s="205">
        <v>45653</v>
      </c>
      <c r="B10156" s="208" t="s">
        <v>6344</v>
      </c>
      <c r="C10156" s="843" t="s">
        <v>27</v>
      </c>
      <c r="D10156" s="211">
        <v>-797100.00000000012</v>
      </c>
      <c r="E10156" s="845">
        <v>45627</v>
      </c>
      <c r="F10156" s="206" t="s">
        <v>109</v>
      </c>
      <c r="G10156" s="206" t="s">
        <v>4986</v>
      </c>
      <c r="H10156" s="206" t="s">
        <v>147</v>
      </c>
      <c r="I10156" s="206"/>
    </row>
    <row r="10157" spans="1:9" ht="15" hidden="1" customHeight="1">
      <c r="A10157" s="205">
        <v>45653</v>
      </c>
      <c r="B10157" s="208" t="s">
        <v>6345</v>
      </c>
      <c r="C10157" s="843" t="s">
        <v>27</v>
      </c>
      <c r="D10157" s="211">
        <v>-635800</v>
      </c>
      <c r="E10157" s="845">
        <v>45627</v>
      </c>
      <c r="F10157" s="206" t="s">
        <v>109</v>
      </c>
      <c r="G10157" s="206" t="s">
        <v>5906</v>
      </c>
      <c r="H10157" s="206" t="s">
        <v>147</v>
      </c>
      <c r="I10157" s="206"/>
    </row>
    <row r="10158" spans="1:9" ht="15" hidden="1" customHeight="1">
      <c r="A10158" s="205">
        <v>45653</v>
      </c>
      <c r="B10158" s="208" t="s">
        <v>6346</v>
      </c>
      <c r="C10158" s="843" t="s">
        <v>27</v>
      </c>
      <c r="D10158" s="211">
        <v>-797100.00000000012</v>
      </c>
      <c r="E10158" s="845">
        <v>45627</v>
      </c>
      <c r="F10158" s="206" t="s">
        <v>109</v>
      </c>
      <c r="G10158" s="206" t="s">
        <v>4986</v>
      </c>
      <c r="H10158" s="206" t="s">
        <v>147</v>
      </c>
      <c r="I10158" s="206"/>
    </row>
    <row r="10159" spans="1:9" ht="15" hidden="1" customHeight="1">
      <c r="A10159" s="205">
        <v>45653</v>
      </c>
      <c r="B10159" s="208" t="s">
        <v>6347</v>
      </c>
      <c r="C10159" s="843" t="s">
        <v>27</v>
      </c>
      <c r="D10159" s="211">
        <v>-635800</v>
      </c>
      <c r="E10159" s="845">
        <v>45627</v>
      </c>
      <c r="F10159" s="206" t="s">
        <v>110</v>
      </c>
      <c r="G10159" s="206" t="s">
        <v>5469</v>
      </c>
      <c r="H10159" s="206" t="s">
        <v>147</v>
      </c>
      <c r="I10159" s="206"/>
    </row>
    <row r="10160" spans="1:9" ht="15" hidden="1" customHeight="1">
      <c r="A10160" s="205">
        <v>45653</v>
      </c>
      <c r="B10160" s="208" t="s">
        <v>6348</v>
      </c>
      <c r="C10160" s="843" t="s">
        <v>27</v>
      </c>
      <c r="D10160" s="211">
        <v>-635800</v>
      </c>
      <c r="E10160" s="845">
        <v>45627</v>
      </c>
      <c r="F10160" s="206" t="s">
        <v>109</v>
      </c>
      <c r="G10160" s="206" t="s">
        <v>5906</v>
      </c>
      <c r="H10160" s="206" t="s">
        <v>147</v>
      </c>
      <c r="I10160" s="206"/>
    </row>
    <row r="10161" spans="1:9" ht="15" hidden="1" customHeight="1">
      <c r="A10161" s="205">
        <v>45653</v>
      </c>
      <c r="B10161" s="208" t="s">
        <v>6359</v>
      </c>
      <c r="C10161" s="843" t="s">
        <v>27</v>
      </c>
      <c r="D10161" s="211">
        <v>-635800</v>
      </c>
      <c r="E10161" s="845">
        <v>45627</v>
      </c>
      <c r="F10161" s="206" t="s">
        <v>110</v>
      </c>
      <c r="G10161" s="206" t="s">
        <v>5469</v>
      </c>
      <c r="H10161" s="206" t="s">
        <v>147</v>
      </c>
      <c r="I10161" s="206"/>
    </row>
    <row r="10162" spans="1:9" ht="15" hidden="1" customHeight="1">
      <c r="A10162" s="205">
        <v>45653</v>
      </c>
      <c r="B10162" s="208" t="s">
        <v>6369</v>
      </c>
      <c r="C10162" s="843" t="s">
        <v>27</v>
      </c>
      <c r="D10162" s="211">
        <v>-635800</v>
      </c>
      <c r="E10162" s="845">
        <v>45627</v>
      </c>
      <c r="F10162" s="206" t="s">
        <v>109</v>
      </c>
      <c r="G10162" s="206" t="s">
        <v>4986</v>
      </c>
      <c r="H10162" s="206" t="s">
        <v>147</v>
      </c>
      <c r="I10162" s="206"/>
    </row>
    <row r="10163" spans="1:9" ht="15" hidden="1" customHeight="1">
      <c r="A10163" s="205">
        <v>45653</v>
      </c>
      <c r="B10163" s="208" t="s">
        <v>6876</v>
      </c>
      <c r="C10163" s="843" t="s">
        <v>27</v>
      </c>
      <c r="D10163" s="211">
        <v>-635800</v>
      </c>
      <c r="E10163" s="845">
        <v>45627</v>
      </c>
      <c r="F10163" s="206" t="s">
        <v>110</v>
      </c>
      <c r="G10163" s="206" t="s">
        <v>5469</v>
      </c>
      <c r="H10163" s="206" t="s">
        <v>147</v>
      </c>
      <c r="I10163" s="206"/>
    </row>
    <row r="10164" spans="1:9" ht="15" hidden="1" customHeight="1">
      <c r="A10164" s="205">
        <v>45653</v>
      </c>
      <c r="B10164" s="208" t="s">
        <v>6366</v>
      </c>
      <c r="C10164" s="843" t="s">
        <v>27</v>
      </c>
      <c r="D10164" s="211">
        <v>-608800</v>
      </c>
      <c r="E10164" s="845">
        <v>45627</v>
      </c>
      <c r="F10164" s="206" t="s">
        <v>109</v>
      </c>
      <c r="G10164" s="206" t="s">
        <v>4986</v>
      </c>
      <c r="H10164" s="206" t="s">
        <v>147</v>
      </c>
      <c r="I10164" s="206"/>
    </row>
    <row r="10165" spans="1:9" ht="15" hidden="1" customHeight="1">
      <c r="A10165" s="205">
        <v>45653</v>
      </c>
      <c r="B10165" s="208" t="s">
        <v>6367</v>
      </c>
      <c r="C10165" s="843" t="s">
        <v>27</v>
      </c>
      <c r="D10165" s="211">
        <v>-635800</v>
      </c>
      <c r="E10165" s="845">
        <v>45627</v>
      </c>
      <c r="F10165" s="206" t="s">
        <v>110</v>
      </c>
      <c r="G10165" s="206" t="s">
        <v>5469</v>
      </c>
      <c r="H10165" s="206" t="s">
        <v>147</v>
      </c>
      <c r="I10165" s="206"/>
    </row>
    <row r="10166" spans="1:9" ht="15" hidden="1" customHeight="1">
      <c r="A10166" s="205">
        <v>45653</v>
      </c>
      <c r="B10166" s="208" t="s">
        <v>6368</v>
      </c>
      <c r="C10166" s="843" t="s">
        <v>27</v>
      </c>
      <c r="D10166" s="211">
        <v>-635800</v>
      </c>
      <c r="E10166" s="845">
        <v>45627</v>
      </c>
      <c r="F10166" s="206" t="s">
        <v>109</v>
      </c>
      <c r="G10166" s="206" t="s">
        <v>4986</v>
      </c>
      <c r="H10166" s="206" t="s">
        <v>147</v>
      </c>
      <c r="I10166" s="206"/>
    </row>
    <row r="10167" spans="1:9" ht="15" hidden="1" customHeight="1">
      <c r="A10167" s="205">
        <v>45653</v>
      </c>
      <c r="B10167" s="208" t="s">
        <v>6364</v>
      </c>
      <c r="C10167" s="843" t="s">
        <v>27</v>
      </c>
      <c r="D10167" s="211">
        <v>-635800</v>
      </c>
      <c r="E10167" s="845">
        <v>45627</v>
      </c>
      <c r="F10167" s="206" t="s">
        <v>109</v>
      </c>
      <c r="G10167" s="206" t="s">
        <v>4986</v>
      </c>
      <c r="H10167" s="206" t="s">
        <v>147</v>
      </c>
      <c r="I10167" s="206"/>
    </row>
    <row r="10168" spans="1:9" ht="15" hidden="1" customHeight="1">
      <c r="A10168" s="205">
        <v>45653</v>
      </c>
      <c r="B10168" s="208" t="s">
        <v>6370</v>
      </c>
      <c r="C10168" s="843" t="s">
        <v>27</v>
      </c>
      <c r="D10168" s="211">
        <v>-792750</v>
      </c>
      <c r="E10168" s="845">
        <v>45627</v>
      </c>
      <c r="F10168" s="206" t="s">
        <v>110</v>
      </c>
      <c r="G10168" s="206" t="s">
        <v>5503</v>
      </c>
      <c r="H10168" s="206" t="s">
        <v>147</v>
      </c>
      <c r="I10168" s="206"/>
    </row>
    <row r="10169" spans="1:9" ht="15" hidden="1" customHeight="1">
      <c r="A10169" s="205">
        <v>45653</v>
      </c>
      <c r="B10169" s="208" t="s">
        <v>6371</v>
      </c>
      <c r="C10169" s="843" t="s">
        <v>27</v>
      </c>
      <c r="D10169" s="211">
        <v>-792750</v>
      </c>
      <c r="E10169" s="845">
        <v>45627</v>
      </c>
      <c r="F10169" s="206" t="s">
        <v>110</v>
      </c>
      <c r="G10169" s="206" t="s">
        <v>5503</v>
      </c>
      <c r="H10169" s="206" t="s">
        <v>147</v>
      </c>
      <c r="I10169" s="206"/>
    </row>
    <row r="10170" spans="1:9" ht="15" hidden="1" customHeight="1">
      <c r="A10170" s="205">
        <v>45653</v>
      </c>
      <c r="B10170" s="208" t="s">
        <v>6377</v>
      </c>
      <c r="C10170" s="843" t="s">
        <v>27</v>
      </c>
      <c r="D10170" s="211">
        <v>-1228700</v>
      </c>
      <c r="E10170" s="845">
        <v>45627</v>
      </c>
      <c r="F10170" s="206" t="s">
        <v>110</v>
      </c>
      <c r="G10170" s="206" t="s">
        <v>5503</v>
      </c>
      <c r="H10170" s="206" t="s">
        <v>147</v>
      </c>
      <c r="I10170" s="206"/>
    </row>
    <row r="10171" spans="1:9" ht="15" hidden="1" customHeight="1">
      <c r="A10171" s="205">
        <v>45653</v>
      </c>
      <c r="B10171" s="208" t="s">
        <v>6382</v>
      </c>
      <c r="C10171" s="843" t="s">
        <v>27</v>
      </c>
      <c r="D10171" s="211">
        <v>-725000</v>
      </c>
      <c r="E10171" s="845">
        <v>45627</v>
      </c>
      <c r="F10171" s="206" t="s">
        <v>130</v>
      </c>
      <c r="G10171" s="206" t="s">
        <v>130</v>
      </c>
      <c r="H10171" s="206" t="s">
        <v>1175</v>
      </c>
      <c r="I10171" s="206"/>
    </row>
    <row r="10172" spans="1:9" ht="15" hidden="1" customHeight="1">
      <c r="A10172" s="205">
        <v>45653</v>
      </c>
      <c r="B10172" s="208" t="s">
        <v>6886</v>
      </c>
      <c r="C10172" s="843" t="s">
        <v>27</v>
      </c>
      <c r="D10172" s="211">
        <v>-1818000</v>
      </c>
      <c r="E10172" s="845">
        <v>45627</v>
      </c>
      <c r="F10172" s="206" t="s">
        <v>130</v>
      </c>
      <c r="G10172" s="206" t="s">
        <v>130</v>
      </c>
      <c r="H10172" s="206" t="s">
        <v>1175</v>
      </c>
      <c r="I10172" s="206"/>
    </row>
    <row r="10173" spans="1:9" ht="15" hidden="1" customHeight="1">
      <c r="A10173" s="205">
        <v>45653</v>
      </c>
      <c r="B10173" s="208" t="s">
        <v>6379</v>
      </c>
      <c r="C10173" s="843" t="s">
        <v>27</v>
      </c>
      <c r="D10173" s="211">
        <v>-635800</v>
      </c>
      <c r="E10173" s="845">
        <v>45627</v>
      </c>
      <c r="F10173" s="206" t="s">
        <v>130</v>
      </c>
      <c r="G10173" s="206" t="s">
        <v>130</v>
      </c>
      <c r="H10173" s="206" t="s">
        <v>1175</v>
      </c>
      <c r="I10173" s="206"/>
    </row>
    <row r="10174" spans="1:9" ht="15" hidden="1" customHeight="1">
      <c r="A10174" s="205">
        <v>45653</v>
      </c>
      <c r="B10174" s="208" t="s">
        <v>6380</v>
      </c>
      <c r="C10174" s="843" t="s">
        <v>27</v>
      </c>
      <c r="D10174" s="211">
        <v>-635800</v>
      </c>
      <c r="E10174" s="845">
        <v>45627</v>
      </c>
      <c r="F10174" s="206" t="s">
        <v>130</v>
      </c>
      <c r="G10174" s="206" t="s">
        <v>130</v>
      </c>
      <c r="H10174" s="206" t="s">
        <v>1175</v>
      </c>
      <c r="I10174" s="206"/>
    </row>
    <row r="10175" spans="1:9" ht="15" hidden="1" customHeight="1">
      <c r="A10175" s="205">
        <v>45653</v>
      </c>
      <c r="B10175" s="208" t="s">
        <v>6381</v>
      </c>
      <c r="C10175" s="843" t="s">
        <v>27</v>
      </c>
      <c r="D10175" s="211">
        <v>-679000</v>
      </c>
      <c r="E10175" s="845">
        <v>45627</v>
      </c>
      <c r="F10175" s="206" t="s">
        <v>130</v>
      </c>
      <c r="G10175" s="206" t="s">
        <v>130</v>
      </c>
      <c r="H10175" s="206" t="s">
        <v>1175</v>
      </c>
      <c r="I10175" s="206"/>
    </row>
    <row r="10176" spans="1:9" ht="15" hidden="1" customHeight="1">
      <c r="A10176" s="205">
        <v>45653</v>
      </c>
      <c r="B10176" s="208" t="s">
        <v>6884</v>
      </c>
      <c r="C10176" s="843" t="s">
        <v>27</v>
      </c>
      <c r="D10176" s="211">
        <v>-4600000</v>
      </c>
      <c r="E10176" s="845">
        <v>45627</v>
      </c>
      <c r="F10176" s="206" t="s">
        <v>130</v>
      </c>
      <c r="G10176" s="206" t="s">
        <v>130</v>
      </c>
      <c r="H10176" s="206" t="s">
        <v>1175</v>
      </c>
      <c r="I10176" s="206"/>
    </row>
    <row r="10177" spans="1:9" ht="15" hidden="1" customHeight="1">
      <c r="A10177" s="205">
        <v>45653</v>
      </c>
      <c r="B10177" s="208" t="s">
        <v>6326</v>
      </c>
      <c r="C10177" s="843" t="s">
        <v>27</v>
      </c>
      <c r="D10177" s="211">
        <v>-2024000</v>
      </c>
      <c r="E10177" s="845">
        <v>45627</v>
      </c>
      <c r="F10177" s="206" t="s">
        <v>130</v>
      </c>
      <c r="G10177" s="206" t="s">
        <v>130</v>
      </c>
      <c r="H10177" s="206" t="s">
        <v>1175</v>
      </c>
      <c r="I10177" s="206"/>
    </row>
    <row r="10178" spans="1:9" ht="15" hidden="1" customHeight="1">
      <c r="A10178" s="205">
        <v>45653</v>
      </c>
      <c r="B10178" s="208" t="s">
        <v>6327</v>
      </c>
      <c r="C10178" s="843" t="s">
        <v>27</v>
      </c>
      <c r="D10178" s="211">
        <v>-817000</v>
      </c>
      <c r="E10178" s="845">
        <v>45627</v>
      </c>
      <c r="F10178" s="206" t="s">
        <v>130</v>
      </c>
      <c r="G10178" s="206" t="s">
        <v>130</v>
      </c>
      <c r="H10178" s="206" t="s">
        <v>1175</v>
      </c>
      <c r="I10178" s="206"/>
    </row>
    <row r="10179" spans="1:9" ht="15" hidden="1" customHeight="1">
      <c r="A10179" s="205">
        <v>45653</v>
      </c>
      <c r="B10179" s="208" t="s">
        <v>6879</v>
      </c>
      <c r="C10179" s="843" t="s">
        <v>27</v>
      </c>
      <c r="D10179" s="211">
        <v>-679000</v>
      </c>
      <c r="E10179" s="845">
        <v>45627</v>
      </c>
      <c r="F10179" s="206" t="s">
        <v>130</v>
      </c>
      <c r="G10179" s="206" t="s">
        <v>130</v>
      </c>
      <c r="H10179" s="206" t="s">
        <v>1175</v>
      </c>
      <c r="I10179" s="206"/>
    </row>
    <row r="10180" spans="1:9" ht="15" hidden="1" customHeight="1">
      <c r="A10180" s="205">
        <v>45653</v>
      </c>
      <c r="B10180" s="208" t="s">
        <v>6878</v>
      </c>
      <c r="C10180" s="843" t="s">
        <v>27</v>
      </c>
      <c r="D10180" s="211">
        <v>-2484000</v>
      </c>
      <c r="E10180" s="845">
        <v>45627</v>
      </c>
      <c r="F10180" s="206" t="s">
        <v>130</v>
      </c>
      <c r="G10180" s="206" t="s">
        <v>130</v>
      </c>
      <c r="H10180" s="206" t="s">
        <v>1175</v>
      </c>
      <c r="I10180" s="206"/>
    </row>
    <row r="10181" spans="1:9" ht="15" hidden="1" customHeight="1">
      <c r="A10181" s="205">
        <v>45653</v>
      </c>
      <c r="B10181" s="208" t="s">
        <v>6882</v>
      </c>
      <c r="C10181" s="843" t="s">
        <v>27</v>
      </c>
      <c r="D10181" s="211">
        <v>-9054530</v>
      </c>
      <c r="E10181" s="845">
        <v>45627</v>
      </c>
      <c r="F10181" s="206" t="s">
        <v>130</v>
      </c>
      <c r="G10181" s="206" t="s">
        <v>130</v>
      </c>
      <c r="H10181" s="206" t="s">
        <v>1175</v>
      </c>
      <c r="I10181" s="206"/>
    </row>
    <row r="10182" spans="1:9" ht="15" hidden="1" customHeight="1">
      <c r="A10182" s="205">
        <v>45653</v>
      </c>
      <c r="B10182" s="208" t="s">
        <v>6881</v>
      </c>
      <c r="C10182" s="843" t="s">
        <v>27</v>
      </c>
      <c r="D10182" s="211">
        <v>-9054530</v>
      </c>
      <c r="E10182" s="845">
        <v>45627</v>
      </c>
      <c r="F10182" s="206" t="s">
        <v>130</v>
      </c>
      <c r="G10182" s="206" t="s">
        <v>130</v>
      </c>
      <c r="H10182" s="206" t="s">
        <v>1175</v>
      </c>
      <c r="I10182" s="206"/>
    </row>
    <row r="10183" spans="1:9" ht="15" customHeight="1">
      <c r="A10183" s="205">
        <v>45653</v>
      </c>
      <c r="B10183" s="208" t="s">
        <v>6887</v>
      </c>
      <c r="C10183" s="843" t="s">
        <v>27</v>
      </c>
      <c r="D10183" s="211">
        <v>-6454560</v>
      </c>
      <c r="E10183" s="845">
        <v>45627</v>
      </c>
      <c r="F10183" s="206" t="s">
        <v>109</v>
      </c>
      <c r="G10183" s="206" t="s">
        <v>2809</v>
      </c>
      <c r="H10183" s="206" t="s">
        <v>1175</v>
      </c>
      <c r="I10183" s="206"/>
    </row>
    <row r="10184" spans="1:9" ht="15" hidden="1" customHeight="1">
      <c r="A10184" s="205">
        <v>45653</v>
      </c>
      <c r="B10184" s="208" t="s">
        <v>6880</v>
      </c>
      <c r="C10184" s="843" t="s">
        <v>27</v>
      </c>
      <c r="D10184" s="211">
        <v>-6931507</v>
      </c>
      <c r="E10184" s="845">
        <v>45627</v>
      </c>
      <c r="F10184" s="206" t="s">
        <v>130</v>
      </c>
      <c r="G10184" s="206" t="s">
        <v>257</v>
      </c>
      <c r="H10184" s="206" t="s">
        <v>1175</v>
      </c>
      <c r="I10184" s="206"/>
    </row>
    <row r="10185" spans="1:9" ht="15" hidden="1" customHeight="1">
      <c r="A10185" s="205">
        <v>45653</v>
      </c>
      <c r="B10185" s="208" t="s">
        <v>6885</v>
      </c>
      <c r="C10185" s="843" t="s">
        <v>27</v>
      </c>
      <c r="D10185" s="211">
        <v>-4143606.133200001</v>
      </c>
      <c r="E10185" s="845">
        <v>45627</v>
      </c>
      <c r="F10185" s="206" t="s">
        <v>130</v>
      </c>
      <c r="G10185" s="206" t="s">
        <v>257</v>
      </c>
      <c r="H10185" s="206" t="s">
        <v>1175</v>
      </c>
      <c r="I10185" s="206"/>
    </row>
    <row r="10186" spans="1:9" ht="15" hidden="1" customHeight="1">
      <c r="A10186" s="205">
        <v>45653</v>
      </c>
      <c r="B10186" s="208" t="s">
        <v>6877</v>
      </c>
      <c r="C10186" s="843" t="s">
        <v>27</v>
      </c>
      <c r="D10186" s="211">
        <v>-2958698.5883999998</v>
      </c>
      <c r="E10186" s="845">
        <v>45627</v>
      </c>
      <c r="F10186" s="206" t="s">
        <v>130</v>
      </c>
      <c r="G10186" s="206" t="s">
        <v>257</v>
      </c>
      <c r="H10186" s="206" t="s">
        <v>1175</v>
      </c>
      <c r="I10186" s="206"/>
    </row>
    <row r="10187" spans="1:9" ht="15" customHeight="1">
      <c r="A10187" s="205">
        <v>45653</v>
      </c>
      <c r="B10187" s="208" t="s">
        <v>6888</v>
      </c>
      <c r="C10187" s="843" t="s">
        <v>27</v>
      </c>
      <c r="D10187" s="211">
        <v>-2451200</v>
      </c>
      <c r="E10187" s="845">
        <v>45627</v>
      </c>
      <c r="F10187" s="206" t="s">
        <v>109</v>
      </c>
      <c r="G10187" s="206" t="s">
        <v>2809</v>
      </c>
      <c r="H10187" s="206" t="s">
        <v>182</v>
      </c>
      <c r="I10187" s="206"/>
    </row>
    <row r="10188" spans="1:9" ht="15" customHeight="1">
      <c r="A10188" s="205">
        <v>45653</v>
      </c>
      <c r="B10188" s="208" t="s">
        <v>6889</v>
      </c>
      <c r="C10188" s="843" t="s">
        <v>27</v>
      </c>
      <c r="D10188" s="211">
        <v>-3036000</v>
      </c>
      <c r="E10188" s="845">
        <v>45627</v>
      </c>
      <c r="F10188" s="206" t="s">
        <v>109</v>
      </c>
      <c r="G10188" s="206" t="s">
        <v>2809</v>
      </c>
      <c r="H10188" s="206" t="s">
        <v>182</v>
      </c>
      <c r="I10188" s="206"/>
    </row>
    <row r="10189" spans="1:9" ht="15" hidden="1" customHeight="1">
      <c r="A10189" s="205">
        <v>45653</v>
      </c>
      <c r="B10189" s="208" t="s">
        <v>6350</v>
      </c>
      <c r="C10189" s="843" t="s">
        <v>27</v>
      </c>
      <c r="D10189" s="211">
        <v>-735800</v>
      </c>
      <c r="E10189" s="845">
        <v>45627</v>
      </c>
      <c r="F10189" s="206" t="s">
        <v>130</v>
      </c>
      <c r="G10189" s="206" t="s">
        <v>130</v>
      </c>
      <c r="H10189" s="206" t="s">
        <v>1175</v>
      </c>
      <c r="I10189" s="206"/>
    </row>
    <row r="10190" spans="1:9" ht="15" hidden="1" customHeight="1">
      <c r="A10190" s="205">
        <v>45653</v>
      </c>
      <c r="B10190" s="208" t="s">
        <v>7982</v>
      </c>
      <c r="C10190" s="843" t="s">
        <v>27</v>
      </c>
      <c r="D10190" s="211">
        <v>-2934800</v>
      </c>
      <c r="E10190" s="845">
        <v>45627</v>
      </c>
      <c r="F10190" s="206" t="s">
        <v>130</v>
      </c>
      <c r="G10190" s="206" t="s">
        <v>130</v>
      </c>
      <c r="H10190" s="206" t="s">
        <v>1175</v>
      </c>
      <c r="I10190" s="206"/>
    </row>
    <row r="10191" spans="1:9" ht="15" hidden="1" customHeight="1">
      <c r="A10191" s="205">
        <v>45653</v>
      </c>
      <c r="B10191" s="208" t="s">
        <v>6890</v>
      </c>
      <c r="C10191" s="843" t="s">
        <v>27</v>
      </c>
      <c r="D10191" s="211">
        <v>-6664000</v>
      </c>
      <c r="E10191" s="845">
        <v>45627</v>
      </c>
      <c r="F10191" s="206" t="s">
        <v>109</v>
      </c>
      <c r="G10191" s="206" t="s">
        <v>6994</v>
      </c>
      <c r="H10191" s="206" t="s">
        <v>147</v>
      </c>
      <c r="I10191" s="206"/>
    </row>
    <row r="10192" spans="1:9" ht="15" hidden="1" customHeight="1">
      <c r="A10192" s="205">
        <v>45653</v>
      </c>
      <c r="B10192" s="208" t="s">
        <v>4424</v>
      </c>
      <c r="C10192" s="843" t="s">
        <v>27</v>
      </c>
      <c r="D10192" s="211">
        <v>-1185500</v>
      </c>
      <c r="E10192" s="845">
        <v>45627</v>
      </c>
      <c r="F10192" s="206" t="s">
        <v>109</v>
      </c>
      <c r="G10192" s="206" t="s">
        <v>6994</v>
      </c>
      <c r="H10192" s="206" t="s">
        <v>147</v>
      </c>
      <c r="I10192" s="206"/>
    </row>
    <row r="10193" spans="1:9" ht="15" hidden="1" customHeight="1">
      <c r="A10193" s="205">
        <v>45653</v>
      </c>
      <c r="B10193" s="208" t="s">
        <v>6329</v>
      </c>
      <c r="C10193" s="843" t="s">
        <v>27</v>
      </c>
      <c r="D10193" s="211">
        <v>-635800</v>
      </c>
      <c r="E10193" s="845">
        <v>45627</v>
      </c>
      <c r="F10193" s="206" t="s">
        <v>109</v>
      </c>
      <c r="G10193" s="206" t="s">
        <v>6994</v>
      </c>
      <c r="H10193" s="206" t="s">
        <v>147</v>
      </c>
      <c r="I10193" s="206"/>
    </row>
    <row r="10194" spans="1:9" ht="15" hidden="1" customHeight="1">
      <c r="A10194" s="205">
        <v>45653</v>
      </c>
      <c r="B10194" s="208" t="s">
        <v>6330</v>
      </c>
      <c r="C10194" s="843" t="s">
        <v>27</v>
      </c>
      <c r="D10194" s="211">
        <v>-735800</v>
      </c>
      <c r="E10194" s="845">
        <v>45627</v>
      </c>
      <c r="F10194" s="206" t="s">
        <v>109</v>
      </c>
      <c r="G10194" s="206" t="s">
        <v>6994</v>
      </c>
      <c r="H10194" s="206" t="s">
        <v>147</v>
      </c>
      <c r="I10194" s="206"/>
    </row>
    <row r="10195" spans="1:9" ht="15" hidden="1" customHeight="1">
      <c r="A10195" s="205">
        <v>45653</v>
      </c>
      <c r="B10195" s="208" t="s">
        <v>6334</v>
      </c>
      <c r="C10195" s="843" t="s">
        <v>27</v>
      </c>
      <c r="D10195" s="211">
        <v>-635800</v>
      </c>
      <c r="E10195" s="845">
        <v>45627</v>
      </c>
      <c r="F10195" s="206" t="s">
        <v>109</v>
      </c>
      <c r="G10195" s="206" t="s">
        <v>6994</v>
      </c>
      <c r="H10195" s="206" t="s">
        <v>147</v>
      </c>
      <c r="I10195" s="206"/>
    </row>
    <row r="10196" spans="1:9" ht="15" hidden="1" customHeight="1">
      <c r="A10196" s="205">
        <v>45653</v>
      </c>
      <c r="B10196" s="208" t="s">
        <v>6335</v>
      </c>
      <c r="C10196" s="843" t="s">
        <v>27</v>
      </c>
      <c r="D10196" s="211">
        <v>-995060</v>
      </c>
      <c r="E10196" s="845">
        <v>45627</v>
      </c>
      <c r="F10196" s="206" t="s">
        <v>109</v>
      </c>
      <c r="G10196" s="206" t="s">
        <v>6994</v>
      </c>
      <c r="H10196" s="206" t="s">
        <v>147</v>
      </c>
      <c r="I10196" s="206"/>
    </row>
    <row r="10197" spans="1:9" ht="15" hidden="1" customHeight="1">
      <c r="A10197" s="205">
        <v>45653</v>
      </c>
      <c r="B10197" s="208" t="s">
        <v>6336</v>
      </c>
      <c r="C10197" s="843" t="s">
        <v>27</v>
      </c>
      <c r="D10197" s="211">
        <v>-735800</v>
      </c>
      <c r="E10197" s="845">
        <v>45627</v>
      </c>
      <c r="F10197" s="206" t="s">
        <v>109</v>
      </c>
      <c r="G10197" s="206" t="s">
        <v>6994</v>
      </c>
      <c r="H10197" s="206" t="s">
        <v>147</v>
      </c>
      <c r="I10197" s="206"/>
    </row>
    <row r="10198" spans="1:9" ht="15" hidden="1" customHeight="1">
      <c r="A10198" s="205">
        <v>45653</v>
      </c>
      <c r="B10198" s="208" t="s">
        <v>6337</v>
      </c>
      <c r="C10198" s="843" t="s">
        <v>27</v>
      </c>
      <c r="D10198" s="211">
        <v>-735800</v>
      </c>
      <c r="E10198" s="845">
        <v>45627</v>
      </c>
      <c r="F10198" s="206" t="s">
        <v>109</v>
      </c>
      <c r="G10198" s="206" t="s">
        <v>6994</v>
      </c>
      <c r="H10198" s="206" t="s">
        <v>147</v>
      </c>
      <c r="I10198" s="206"/>
    </row>
    <row r="10199" spans="1:9" ht="15" hidden="1" customHeight="1">
      <c r="A10199" s="205">
        <v>45653</v>
      </c>
      <c r="B10199" s="208" t="s">
        <v>6338</v>
      </c>
      <c r="C10199" s="843" t="s">
        <v>27</v>
      </c>
      <c r="D10199" s="211">
        <v>-735800</v>
      </c>
      <c r="E10199" s="845">
        <v>45627</v>
      </c>
      <c r="F10199" s="206" t="s">
        <v>109</v>
      </c>
      <c r="G10199" s="206" t="s">
        <v>6994</v>
      </c>
      <c r="H10199" s="206" t="s">
        <v>147</v>
      </c>
      <c r="I10199" s="206"/>
    </row>
    <row r="10200" spans="1:9" ht="15" hidden="1" customHeight="1">
      <c r="A10200" s="205">
        <v>45653</v>
      </c>
      <c r="B10200" s="208" t="s">
        <v>6339</v>
      </c>
      <c r="C10200" s="843" t="s">
        <v>27</v>
      </c>
      <c r="D10200" s="211">
        <v>-735800</v>
      </c>
      <c r="E10200" s="845">
        <v>45627</v>
      </c>
      <c r="F10200" s="206" t="s">
        <v>109</v>
      </c>
      <c r="G10200" s="206" t="s">
        <v>6994</v>
      </c>
      <c r="H10200" s="206" t="s">
        <v>147</v>
      </c>
      <c r="I10200" s="206"/>
    </row>
    <row r="10201" spans="1:9" ht="15" hidden="1" customHeight="1">
      <c r="A10201" s="205">
        <v>45653</v>
      </c>
      <c r="B10201" s="208" t="s">
        <v>6340</v>
      </c>
      <c r="C10201" s="843" t="s">
        <v>27</v>
      </c>
      <c r="D10201" s="211">
        <v>-735800</v>
      </c>
      <c r="E10201" s="845">
        <v>45627</v>
      </c>
      <c r="F10201" s="206" t="s">
        <v>109</v>
      </c>
      <c r="G10201" s="206" t="s">
        <v>6994</v>
      </c>
      <c r="H10201" s="206" t="s">
        <v>147</v>
      </c>
      <c r="I10201" s="206"/>
    </row>
    <row r="10202" spans="1:9" ht="15" hidden="1" customHeight="1">
      <c r="A10202" s="205">
        <v>45653</v>
      </c>
      <c r="B10202" s="208" t="s">
        <v>6341</v>
      </c>
      <c r="C10202" s="843" t="s">
        <v>27</v>
      </c>
      <c r="D10202" s="211">
        <v>-600000</v>
      </c>
      <c r="E10202" s="845">
        <v>45627</v>
      </c>
      <c r="F10202" s="206" t="s">
        <v>109</v>
      </c>
      <c r="G10202" s="206" t="s">
        <v>6994</v>
      </c>
      <c r="H10202" s="206" t="s">
        <v>147</v>
      </c>
      <c r="I10202" s="206"/>
    </row>
    <row r="10203" spans="1:9" ht="15" hidden="1" customHeight="1">
      <c r="A10203" s="205">
        <v>45653</v>
      </c>
      <c r="B10203" s="208" t="s">
        <v>6349</v>
      </c>
      <c r="C10203" s="843" t="s">
        <v>27</v>
      </c>
      <c r="D10203" s="211">
        <v>-735800</v>
      </c>
      <c r="E10203" s="845">
        <v>45627</v>
      </c>
      <c r="F10203" s="206" t="s">
        <v>109</v>
      </c>
      <c r="G10203" s="206" t="s">
        <v>6994</v>
      </c>
      <c r="H10203" s="206" t="s">
        <v>147</v>
      </c>
      <c r="I10203" s="206"/>
    </row>
    <row r="10204" spans="1:9" ht="15" hidden="1" customHeight="1">
      <c r="A10204" s="205">
        <v>45653</v>
      </c>
      <c r="B10204" s="208" t="s">
        <v>6351</v>
      </c>
      <c r="C10204" s="843" t="s">
        <v>27</v>
      </c>
      <c r="D10204" s="211">
        <v>-735800</v>
      </c>
      <c r="E10204" s="845">
        <v>45627</v>
      </c>
      <c r="F10204" s="206" t="s">
        <v>109</v>
      </c>
      <c r="G10204" s="206" t="s">
        <v>6994</v>
      </c>
      <c r="H10204" s="206" t="s">
        <v>147</v>
      </c>
      <c r="I10204" s="206"/>
    </row>
    <row r="10205" spans="1:9" ht="15" hidden="1" customHeight="1">
      <c r="A10205" s="205">
        <v>45653</v>
      </c>
      <c r="B10205" s="208" t="s">
        <v>6352</v>
      </c>
      <c r="C10205" s="843" t="s">
        <v>27</v>
      </c>
      <c r="D10205" s="211">
        <v>-735800</v>
      </c>
      <c r="E10205" s="845">
        <v>45627</v>
      </c>
      <c r="F10205" s="206" t="s">
        <v>109</v>
      </c>
      <c r="G10205" s="206" t="s">
        <v>6994</v>
      </c>
      <c r="H10205" s="206" t="s">
        <v>147</v>
      </c>
      <c r="I10205" s="206"/>
    </row>
    <row r="10206" spans="1:9" ht="15" hidden="1" customHeight="1">
      <c r="A10206" s="205">
        <v>45653</v>
      </c>
      <c r="B10206" s="208" t="s">
        <v>6353</v>
      </c>
      <c r="C10206" s="843" t="s">
        <v>27</v>
      </c>
      <c r="D10206" s="211">
        <v>-735800</v>
      </c>
      <c r="E10206" s="845">
        <v>45627</v>
      </c>
      <c r="F10206" s="206" t="s">
        <v>109</v>
      </c>
      <c r="G10206" s="206" t="s">
        <v>6994</v>
      </c>
      <c r="H10206" s="206" t="s">
        <v>147</v>
      </c>
      <c r="I10206" s="206"/>
    </row>
    <row r="10207" spans="1:9" ht="15" hidden="1" customHeight="1">
      <c r="A10207" s="205">
        <v>45653</v>
      </c>
      <c r="B10207" s="208" t="s">
        <v>6354</v>
      </c>
      <c r="C10207" s="843" t="s">
        <v>27</v>
      </c>
      <c r="D10207" s="211">
        <v>-735800</v>
      </c>
      <c r="E10207" s="845">
        <v>45627</v>
      </c>
      <c r="F10207" s="206" t="s">
        <v>109</v>
      </c>
      <c r="G10207" s="206" t="s">
        <v>6994</v>
      </c>
      <c r="H10207" s="206" t="s">
        <v>147</v>
      </c>
      <c r="I10207" s="206"/>
    </row>
    <row r="10208" spans="1:9" ht="15" hidden="1" customHeight="1">
      <c r="A10208" s="205">
        <v>45653</v>
      </c>
      <c r="B10208" s="208" t="s">
        <v>6355</v>
      </c>
      <c r="C10208" s="843" t="s">
        <v>27</v>
      </c>
      <c r="D10208" s="211">
        <v>-735800</v>
      </c>
      <c r="E10208" s="845">
        <v>45627</v>
      </c>
      <c r="F10208" s="206" t="s">
        <v>109</v>
      </c>
      <c r="G10208" s="206" t="s">
        <v>6994</v>
      </c>
      <c r="H10208" s="206" t="s">
        <v>147</v>
      </c>
      <c r="I10208" s="206"/>
    </row>
    <row r="10209" spans="1:9" ht="15" hidden="1" customHeight="1">
      <c r="A10209" s="205">
        <v>45653</v>
      </c>
      <c r="B10209" s="208" t="s">
        <v>6356</v>
      </c>
      <c r="C10209" s="843" t="s">
        <v>27</v>
      </c>
      <c r="D10209" s="211">
        <v>-735800</v>
      </c>
      <c r="E10209" s="845">
        <v>45627</v>
      </c>
      <c r="F10209" s="206" t="s">
        <v>109</v>
      </c>
      <c r="G10209" s="206" t="s">
        <v>6994</v>
      </c>
      <c r="H10209" s="206" t="s">
        <v>147</v>
      </c>
      <c r="I10209" s="206"/>
    </row>
    <row r="10210" spans="1:9" ht="15" hidden="1" customHeight="1">
      <c r="A10210" s="205">
        <v>45653</v>
      </c>
      <c r="B10210" s="208" t="s">
        <v>6357</v>
      </c>
      <c r="C10210" s="843" t="s">
        <v>27</v>
      </c>
      <c r="D10210" s="211">
        <v>-735800</v>
      </c>
      <c r="E10210" s="845">
        <v>45627</v>
      </c>
      <c r="F10210" s="206" t="s">
        <v>109</v>
      </c>
      <c r="G10210" s="206" t="s">
        <v>6994</v>
      </c>
      <c r="H10210" s="206" t="s">
        <v>147</v>
      </c>
      <c r="I10210" s="206"/>
    </row>
    <row r="10211" spans="1:9" ht="15" hidden="1" customHeight="1">
      <c r="A10211" s="205">
        <v>45653</v>
      </c>
      <c r="B10211" s="208" t="s">
        <v>6358</v>
      </c>
      <c r="C10211" s="843" t="s">
        <v>27</v>
      </c>
      <c r="D10211" s="211">
        <v>-735800</v>
      </c>
      <c r="E10211" s="845">
        <v>45627</v>
      </c>
      <c r="F10211" s="206" t="s">
        <v>109</v>
      </c>
      <c r="G10211" s="206" t="s">
        <v>6994</v>
      </c>
      <c r="H10211" s="206" t="s">
        <v>147</v>
      </c>
      <c r="I10211" s="206"/>
    </row>
    <row r="10212" spans="1:9" ht="15" hidden="1" customHeight="1">
      <c r="A10212" s="205">
        <v>45653</v>
      </c>
      <c r="B10212" s="208" t="s">
        <v>6360</v>
      </c>
      <c r="C10212" s="843" t="s">
        <v>27</v>
      </c>
      <c r="D10212" s="211">
        <v>-735800</v>
      </c>
      <c r="E10212" s="845">
        <v>45627</v>
      </c>
      <c r="F10212" s="206" t="s">
        <v>109</v>
      </c>
      <c r="G10212" s="206" t="s">
        <v>6994</v>
      </c>
      <c r="H10212" s="206" t="s">
        <v>147</v>
      </c>
      <c r="I10212" s="206"/>
    </row>
    <row r="10213" spans="1:9" ht="15" hidden="1" customHeight="1">
      <c r="A10213" s="205">
        <v>45653</v>
      </c>
      <c r="B10213" s="208" t="s">
        <v>6361</v>
      </c>
      <c r="C10213" s="843" t="s">
        <v>27</v>
      </c>
      <c r="D10213" s="211">
        <v>-735800</v>
      </c>
      <c r="E10213" s="845">
        <v>45627</v>
      </c>
      <c r="F10213" s="206" t="s">
        <v>109</v>
      </c>
      <c r="G10213" s="206" t="s">
        <v>6994</v>
      </c>
      <c r="H10213" s="206" t="s">
        <v>147</v>
      </c>
      <c r="I10213" s="206"/>
    </row>
    <row r="10214" spans="1:9" ht="15" hidden="1" customHeight="1">
      <c r="A10214" s="205">
        <v>45653</v>
      </c>
      <c r="B10214" s="208" t="s">
        <v>6362</v>
      </c>
      <c r="C10214" s="843" t="s">
        <v>27</v>
      </c>
      <c r="D10214" s="211">
        <v>-690533.33333333337</v>
      </c>
      <c r="E10214" s="845">
        <v>45627</v>
      </c>
      <c r="F10214" s="206" t="s">
        <v>109</v>
      </c>
      <c r="G10214" s="206" t="s">
        <v>6994</v>
      </c>
      <c r="H10214" s="206" t="s">
        <v>147</v>
      </c>
      <c r="I10214" s="206"/>
    </row>
    <row r="10215" spans="1:9" ht="15" hidden="1" customHeight="1">
      <c r="A10215" s="205">
        <v>45653</v>
      </c>
      <c r="B10215" s="208" t="s">
        <v>6363</v>
      </c>
      <c r="C10215" s="843" t="s">
        <v>27</v>
      </c>
      <c r="D10215" s="211">
        <v>-735800</v>
      </c>
      <c r="E10215" s="845">
        <v>45627</v>
      </c>
      <c r="F10215" s="206" t="s">
        <v>109</v>
      </c>
      <c r="G10215" s="206" t="s">
        <v>6994</v>
      </c>
      <c r="H10215" s="206" t="s">
        <v>147</v>
      </c>
      <c r="I10215" s="206"/>
    </row>
    <row r="10216" spans="1:9" ht="15" hidden="1" customHeight="1">
      <c r="A10216" s="205">
        <v>45653</v>
      </c>
      <c r="B10216" s="208" t="s">
        <v>6891</v>
      </c>
      <c r="C10216" s="843" t="s">
        <v>27</v>
      </c>
      <c r="D10216" s="211">
        <v>-3338800</v>
      </c>
      <c r="E10216" s="845">
        <v>45627</v>
      </c>
      <c r="F10216" s="206" t="s">
        <v>109</v>
      </c>
      <c r="G10216" s="206" t="s">
        <v>6994</v>
      </c>
      <c r="H10216" s="206" t="s">
        <v>147</v>
      </c>
      <c r="I10216" s="206"/>
    </row>
    <row r="10217" spans="1:9" ht="15" hidden="1" customHeight="1">
      <c r="A10217" s="205">
        <v>45653</v>
      </c>
      <c r="B10217" s="208" t="s">
        <v>6373</v>
      </c>
      <c r="C10217" s="843" t="s">
        <v>27</v>
      </c>
      <c r="D10217" s="211">
        <v>-735800</v>
      </c>
      <c r="E10217" s="845">
        <v>45627</v>
      </c>
      <c r="F10217" s="206" t="s">
        <v>109</v>
      </c>
      <c r="G10217" s="206" t="s">
        <v>6994</v>
      </c>
      <c r="H10217" s="206" t="s">
        <v>147</v>
      </c>
      <c r="I10217" s="206"/>
    </row>
    <row r="10218" spans="1:9" ht="15" hidden="1" customHeight="1">
      <c r="A10218" s="205">
        <v>45653</v>
      </c>
      <c r="B10218" s="208" t="s">
        <v>6375</v>
      </c>
      <c r="C10218" s="843" t="s">
        <v>27</v>
      </c>
      <c r="D10218" s="211">
        <v>-735800</v>
      </c>
      <c r="E10218" s="845">
        <v>45627</v>
      </c>
      <c r="F10218" s="206" t="s">
        <v>109</v>
      </c>
      <c r="G10218" s="206" t="s">
        <v>6994</v>
      </c>
      <c r="H10218" s="206" t="s">
        <v>147</v>
      </c>
      <c r="I10218" s="206"/>
    </row>
    <row r="10219" spans="1:9" ht="15" hidden="1" customHeight="1">
      <c r="A10219" s="205">
        <v>45653</v>
      </c>
      <c r="B10219" s="208" t="s">
        <v>6376</v>
      </c>
      <c r="C10219" s="843" t="s">
        <v>27</v>
      </c>
      <c r="D10219" s="211">
        <v>-735800</v>
      </c>
      <c r="E10219" s="845">
        <v>45627</v>
      </c>
      <c r="F10219" s="206" t="s">
        <v>109</v>
      </c>
      <c r="G10219" s="206" t="s">
        <v>6994</v>
      </c>
      <c r="H10219" s="206" t="s">
        <v>147</v>
      </c>
      <c r="I10219" s="206"/>
    </row>
    <row r="10220" spans="1:9" ht="15" hidden="1" customHeight="1">
      <c r="A10220" s="205">
        <v>45653</v>
      </c>
      <c r="B10220" s="208" t="s">
        <v>6378</v>
      </c>
      <c r="C10220" s="843" t="s">
        <v>27</v>
      </c>
      <c r="D10220" s="211">
        <v>-325000</v>
      </c>
      <c r="E10220" s="845">
        <v>45627</v>
      </c>
      <c r="F10220" s="206" t="s">
        <v>130</v>
      </c>
      <c r="G10220" s="206" t="s">
        <v>130</v>
      </c>
      <c r="H10220" s="206" t="s">
        <v>1175</v>
      </c>
      <c r="I10220" s="206"/>
    </row>
    <row r="10221" spans="1:9" ht="15" hidden="1" customHeight="1">
      <c r="A10221" s="205">
        <v>45653</v>
      </c>
      <c r="B10221" s="208" t="s">
        <v>7983</v>
      </c>
      <c r="C10221" s="843" t="s">
        <v>27</v>
      </c>
      <c r="D10221" s="211">
        <v>-771000</v>
      </c>
      <c r="E10221" s="845">
        <v>45627</v>
      </c>
      <c r="F10221" s="206" t="s">
        <v>109</v>
      </c>
      <c r="G10221" s="206" t="s">
        <v>6903</v>
      </c>
      <c r="H10221" s="206" t="s">
        <v>147</v>
      </c>
      <c r="I10221" s="206"/>
    </row>
    <row r="10222" spans="1:9" ht="15" hidden="1" customHeight="1">
      <c r="A10222" s="205">
        <v>45653</v>
      </c>
      <c r="B10222" s="208" t="s">
        <v>6372</v>
      </c>
      <c r="C10222" s="843" t="s">
        <v>27</v>
      </c>
      <c r="D10222" s="211">
        <v>-725000</v>
      </c>
      <c r="E10222" s="845">
        <v>45627</v>
      </c>
      <c r="F10222" s="206" t="s">
        <v>109</v>
      </c>
      <c r="G10222" s="206" t="s">
        <v>5990</v>
      </c>
      <c r="H10222" s="206" t="s">
        <v>147</v>
      </c>
      <c r="I10222" s="206"/>
    </row>
    <row r="10223" spans="1:9" ht="15" hidden="1" customHeight="1">
      <c r="A10223" s="205">
        <v>45653</v>
      </c>
      <c r="B10223" s="208" t="s">
        <v>6374</v>
      </c>
      <c r="C10223" s="843" t="s">
        <v>27</v>
      </c>
      <c r="D10223" s="211">
        <v>-735800</v>
      </c>
      <c r="E10223" s="845">
        <v>45627</v>
      </c>
      <c r="F10223" s="206" t="s">
        <v>109</v>
      </c>
      <c r="G10223" s="206" t="s">
        <v>5990</v>
      </c>
      <c r="H10223" s="206" t="s">
        <v>147</v>
      </c>
      <c r="I10223" s="206"/>
    </row>
    <row r="10224" spans="1:9" ht="15" hidden="1" customHeight="1">
      <c r="A10224" s="205">
        <v>45653</v>
      </c>
      <c r="B10224" s="208" t="s">
        <v>6895</v>
      </c>
      <c r="C10224" s="843" t="s">
        <v>27</v>
      </c>
      <c r="D10224" s="211">
        <v>-1947400</v>
      </c>
      <c r="E10224" s="845">
        <v>45627</v>
      </c>
      <c r="F10224" s="206" t="s">
        <v>109</v>
      </c>
      <c r="G10224" s="206" t="s">
        <v>5906</v>
      </c>
      <c r="H10224" s="206" t="s">
        <v>508</v>
      </c>
      <c r="I10224" s="206"/>
    </row>
    <row r="10225" spans="1:9" ht="15" hidden="1" customHeight="1">
      <c r="A10225" s="205">
        <v>45653</v>
      </c>
      <c r="B10225" s="208" t="s">
        <v>6895</v>
      </c>
      <c r="C10225" s="843" t="s">
        <v>27</v>
      </c>
      <c r="D10225" s="211">
        <v>-1947400</v>
      </c>
      <c r="E10225" s="845">
        <v>45627</v>
      </c>
      <c r="F10225" s="206" t="s">
        <v>109</v>
      </c>
      <c r="G10225" s="206" t="s">
        <v>4986</v>
      </c>
      <c r="H10225" s="206" t="s">
        <v>508</v>
      </c>
      <c r="I10225" s="206"/>
    </row>
    <row r="10226" spans="1:9" ht="15" hidden="1" customHeight="1">
      <c r="A10226" s="205">
        <v>45653</v>
      </c>
      <c r="B10226" s="208" t="s">
        <v>6895</v>
      </c>
      <c r="C10226" s="843" t="s">
        <v>27</v>
      </c>
      <c r="D10226" s="211">
        <v>-1947400</v>
      </c>
      <c r="E10226" s="845">
        <v>45627</v>
      </c>
      <c r="F10226" s="206" t="s">
        <v>110</v>
      </c>
      <c r="G10226" s="206" t="s">
        <v>5469</v>
      </c>
      <c r="H10226" s="206" t="s">
        <v>508</v>
      </c>
      <c r="I10226" s="206"/>
    </row>
    <row r="10227" spans="1:9" ht="15" hidden="1" customHeight="1">
      <c r="A10227" s="205">
        <v>45653</v>
      </c>
      <c r="B10227" s="208" t="s">
        <v>6323</v>
      </c>
      <c r="C10227" s="843" t="s">
        <v>27</v>
      </c>
      <c r="D10227" s="211">
        <v>-279400</v>
      </c>
      <c r="E10227" s="845">
        <v>45627</v>
      </c>
      <c r="F10227" s="206" t="s">
        <v>109</v>
      </c>
      <c r="G10227" s="206" t="s">
        <v>5906</v>
      </c>
      <c r="H10227" s="206" t="s">
        <v>508</v>
      </c>
      <c r="I10227" s="206"/>
    </row>
    <row r="10228" spans="1:9" ht="15" hidden="1" customHeight="1">
      <c r="A10228" s="205">
        <v>45653</v>
      </c>
      <c r="B10228" s="208" t="s">
        <v>6323</v>
      </c>
      <c r="C10228" s="843" t="s">
        <v>27</v>
      </c>
      <c r="D10228" s="211">
        <v>-279400</v>
      </c>
      <c r="E10228" s="845">
        <v>45627</v>
      </c>
      <c r="F10228" s="206" t="s">
        <v>109</v>
      </c>
      <c r="G10228" s="206" t="s">
        <v>4986</v>
      </c>
      <c r="H10228" s="206" t="s">
        <v>508</v>
      </c>
      <c r="I10228" s="206"/>
    </row>
    <row r="10229" spans="1:9" ht="15" hidden="1" customHeight="1">
      <c r="A10229" s="205">
        <v>45653</v>
      </c>
      <c r="B10229" s="208" t="s">
        <v>6323</v>
      </c>
      <c r="C10229" s="843" t="s">
        <v>27</v>
      </c>
      <c r="D10229" s="211">
        <v>-279400</v>
      </c>
      <c r="E10229" s="845">
        <v>45627</v>
      </c>
      <c r="F10229" s="206" t="s">
        <v>110</v>
      </c>
      <c r="G10229" s="206" t="s">
        <v>5469</v>
      </c>
      <c r="H10229" s="206" t="s">
        <v>508</v>
      </c>
      <c r="I10229" s="206"/>
    </row>
    <row r="10230" spans="1:9" ht="15" hidden="1" customHeight="1">
      <c r="A10230" s="205">
        <v>45653</v>
      </c>
      <c r="B10230" s="208" t="s">
        <v>6896</v>
      </c>
      <c r="C10230" s="843" t="s">
        <v>27</v>
      </c>
      <c r="D10230" s="211">
        <v>-938400</v>
      </c>
      <c r="E10230" s="845">
        <v>45627</v>
      </c>
      <c r="F10230" s="206" t="s">
        <v>109</v>
      </c>
      <c r="G10230" s="206" t="s">
        <v>5906</v>
      </c>
      <c r="H10230" s="206" t="s">
        <v>508</v>
      </c>
      <c r="I10230" s="206"/>
    </row>
    <row r="10231" spans="1:9" ht="15" hidden="1" customHeight="1">
      <c r="A10231" s="205">
        <v>45653</v>
      </c>
      <c r="B10231" s="208" t="s">
        <v>6896</v>
      </c>
      <c r="C10231" s="843" t="s">
        <v>27</v>
      </c>
      <c r="D10231" s="211">
        <v>-938400</v>
      </c>
      <c r="E10231" s="845">
        <v>45627</v>
      </c>
      <c r="F10231" s="206" t="s">
        <v>109</v>
      </c>
      <c r="G10231" s="206" t="s">
        <v>4986</v>
      </c>
      <c r="H10231" s="206" t="s">
        <v>508</v>
      </c>
      <c r="I10231" s="206"/>
    </row>
    <row r="10232" spans="1:9" ht="15" hidden="1" customHeight="1">
      <c r="A10232" s="205">
        <v>45653</v>
      </c>
      <c r="B10232" s="208" t="s">
        <v>6896</v>
      </c>
      <c r="C10232" s="843" t="s">
        <v>27</v>
      </c>
      <c r="D10232" s="211">
        <v>-938400</v>
      </c>
      <c r="E10232" s="845">
        <v>45627</v>
      </c>
      <c r="F10232" s="206" t="s">
        <v>110</v>
      </c>
      <c r="G10232" s="206" t="s">
        <v>5469</v>
      </c>
      <c r="H10232" s="206" t="s">
        <v>508</v>
      </c>
      <c r="I10232" s="206"/>
    </row>
    <row r="10233" spans="1:9" ht="15" hidden="1" customHeight="1">
      <c r="A10233" s="205">
        <v>45653</v>
      </c>
      <c r="B10233" s="208" t="s">
        <v>6897</v>
      </c>
      <c r="C10233" s="843" t="s">
        <v>27</v>
      </c>
      <c r="D10233" s="211">
        <v>-862333.33333333337</v>
      </c>
      <c r="E10233" s="845">
        <v>45627</v>
      </c>
      <c r="F10233" s="206" t="s">
        <v>109</v>
      </c>
      <c r="G10233" s="206" t="s">
        <v>5906</v>
      </c>
      <c r="H10233" s="206" t="s">
        <v>508</v>
      </c>
      <c r="I10233" s="206"/>
    </row>
    <row r="10234" spans="1:9" ht="15" hidden="1" customHeight="1">
      <c r="A10234" s="205">
        <v>45653</v>
      </c>
      <c r="B10234" s="208" t="s">
        <v>6897</v>
      </c>
      <c r="C10234" s="843" t="s">
        <v>27</v>
      </c>
      <c r="D10234" s="211">
        <v>-862333.33333333337</v>
      </c>
      <c r="E10234" s="845">
        <v>45627</v>
      </c>
      <c r="F10234" s="206" t="s">
        <v>109</v>
      </c>
      <c r="G10234" s="206" t="s">
        <v>4986</v>
      </c>
      <c r="H10234" s="206" t="s">
        <v>508</v>
      </c>
      <c r="I10234" s="206"/>
    </row>
    <row r="10235" spans="1:9" ht="15" hidden="1" customHeight="1">
      <c r="A10235" s="205">
        <v>45653</v>
      </c>
      <c r="B10235" s="208" t="s">
        <v>6897</v>
      </c>
      <c r="C10235" s="843" t="s">
        <v>27</v>
      </c>
      <c r="D10235" s="211">
        <v>-862333.33333333337</v>
      </c>
      <c r="E10235" s="845">
        <v>45627</v>
      </c>
      <c r="F10235" s="206" t="s">
        <v>110</v>
      </c>
      <c r="G10235" s="206" t="s">
        <v>5469</v>
      </c>
      <c r="H10235" s="206" t="s">
        <v>508</v>
      </c>
      <c r="I10235" s="206"/>
    </row>
    <row r="10236" spans="1:9" ht="15" hidden="1" customHeight="1">
      <c r="A10236" s="205">
        <v>45653</v>
      </c>
      <c r="B10236" s="208" t="s">
        <v>6898</v>
      </c>
      <c r="C10236" s="843" t="s">
        <v>27</v>
      </c>
      <c r="D10236" s="211">
        <v>-652933.33333333337</v>
      </c>
      <c r="E10236" s="845">
        <v>45627</v>
      </c>
      <c r="F10236" s="206" t="s">
        <v>109</v>
      </c>
      <c r="G10236" s="206" t="s">
        <v>5906</v>
      </c>
      <c r="H10236" s="206" t="s">
        <v>508</v>
      </c>
      <c r="I10236" s="206"/>
    </row>
    <row r="10237" spans="1:9" ht="15" hidden="1" customHeight="1">
      <c r="A10237" s="205">
        <v>45653</v>
      </c>
      <c r="B10237" s="208" t="s">
        <v>6898</v>
      </c>
      <c r="C10237" s="843" t="s">
        <v>27</v>
      </c>
      <c r="D10237" s="211">
        <v>-652933.33333333337</v>
      </c>
      <c r="E10237" s="845">
        <v>45627</v>
      </c>
      <c r="F10237" s="206" t="s">
        <v>109</v>
      </c>
      <c r="G10237" s="206" t="s">
        <v>4986</v>
      </c>
      <c r="H10237" s="206" t="s">
        <v>508</v>
      </c>
      <c r="I10237" s="206"/>
    </row>
    <row r="10238" spans="1:9" ht="15" hidden="1" customHeight="1">
      <c r="A10238" s="205">
        <v>45653</v>
      </c>
      <c r="B10238" s="208" t="s">
        <v>6898</v>
      </c>
      <c r="C10238" s="843" t="s">
        <v>27</v>
      </c>
      <c r="D10238" s="211">
        <v>-652933.33333333337</v>
      </c>
      <c r="E10238" s="845">
        <v>45627</v>
      </c>
      <c r="F10238" s="206" t="s">
        <v>110</v>
      </c>
      <c r="G10238" s="206" t="s">
        <v>5469</v>
      </c>
      <c r="H10238" s="206" t="s">
        <v>508</v>
      </c>
      <c r="I10238" s="206"/>
    </row>
    <row r="10239" spans="1:9" ht="15" hidden="1" customHeight="1">
      <c r="A10239" s="205">
        <v>45653</v>
      </c>
      <c r="B10239" s="208" t="s">
        <v>6343</v>
      </c>
      <c r="C10239" s="843" t="s">
        <v>27</v>
      </c>
      <c r="D10239" s="211">
        <v>-226333.33333333334</v>
      </c>
      <c r="E10239" s="845">
        <v>45627</v>
      </c>
      <c r="F10239" s="206" t="s">
        <v>109</v>
      </c>
      <c r="G10239" s="206" t="s">
        <v>5906</v>
      </c>
      <c r="H10239" s="206" t="s">
        <v>508</v>
      </c>
      <c r="I10239" s="206"/>
    </row>
    <row r="10240" spans="1:9" ht="15" hidden="1" customHeight="1">
      <c r="A10240" s="205">
        <v>45653</v>
      </c>
      <c r="B10240" s="208" t="s">
        <v>6343</v>
      </c>
      <c r="C10240" s="843" t="s">
        <v>27</v>
      </c>
      <c r="D10240" s="211">
        <v>-226333.33333333334</v>
      </c>
      <c r="E10240" s="845">
        <v>45627</v>
      </c>
      <c r="F10240" s="206" t="s">
        <v>109</v>
      </c>
      <c r="G10240" s="206" t="s">
        <v>4986</v>
      </c>
      <c r="H10240" s="206" t="s">
        <v>508</v>
      </c>
      <c r="I10240" s="206"/>
    </row>
    <row r="10241" spans="1:9" ht="15" hidden="1" customHeight="1">
      <c r="A10241" s="205">
        <v>45653</v>
      </c>
      <c r="B10241" s="208" t="s">
        <v>6343</v>
      </c>
      <c r="C10241" s="843" t="s">
        <v>27</v>
      </c>
      <c r="D10241" s="211">
        <v>-226333.33333333334</v>
      </c>
      <c r="E10241" s="845">
        <v>45627</v>
      </c>
      <c r="F10241" s="206" t="s">
        <v>110</v>
      </c>
      <c r="G10241" s="206" t="s">
        <v>5469</v>
      </c>
      <c r="H10241" s="206" t="s">
        <v>508</v>
      </c>
      <c r="I10241" s="206"/>
    </row>
    <row r="10242" spans="1:9" ht="15" hidden="1" customHeight="1">
      <c r="A10242" s="205">
        <v>45653</v>
      </c>
      <c r="B10242" s="208" t="s">
        <v>6899</v>
      </c>
      <c r="C10242" s="843" t="s">
        <v>27</v>
      </c>
      <c r="D10242" s="211">
        <v>-935155.5555555555</v>
      </c>
      <c r="E10242" s="845">
        <v>45627</v>
      </c>
      <c r="F10242" s="206" t="s">
        <v>109</v>
      </c>
      <c r="G10242" s="206" t="s">
        <v>5906</v>
      </c>
      <c r="H10242" s="206" t="s">
        <v>508</v>
      </c>
      <c r="I10242" s="206"/>
    </row>
    <row r="10243" spans="1:9" ht="15" hidden="1" customHeight="1">
      <c r="A10243" s="205">
        <v>45653</v>
      </c>
      <c r="B10243" s="208" t="s">
        <v>6899</v>
      </c>
      <c r="C10243" s="843" t="s">
        <v>27</v>
      </c>
      <c r="D10243" s="211">
        <v>-935155.5555555555</v>
      </c>
      <c r="E10243" s="845">
        <v>45627</v>
      </c>
      <c r="F10243" s="206" t="s">
        <v>109</v>
      </c>
      <c r="G10243" s="206" t="s">
        <v>4986</v>
      </c>
      <c r="H10243" s="206" t="s">
        <v>508</v>
      </c>
      <c r="I10243" s="206"/>
    </row>
    <row r="10244" spans="1:9" ht="15" hidden="1" customHeight="1">
      <c r="A10244" s="205">
        <v>45653</v>
      </c>
      <c r="B10244" s="208" t="s">
        <v>6899</v>
      </c>
      <c r="C10244" s="843" t="s">
        <v>27</v>
      </c>
      <c r="D10244" s="211">
        <v>-935155.5555555555</v>
      </c>
      <c r="E10244" s="845">
        <v>45627</v>
      </c>
      <c r="F10244" s="206" t="s">
        <v>110</v>
      </c>
      <c r="G10244" s="206" t="s">
        <v>5469</v>
      </c>
      <c r="H10244" s="206" t="s">
        <v>508</v>
      </c>
      <c r="I10244" s="206"/>
    </row>
    <row r="10245" spans="1:9" ht="15" hidden="1" customHeight="1">
      <c r="A10245" s="205">
        <v>45653</v>
      </c>
      <c r="B10245" s="208" t="s">
        <v>6900</v>
      </c>
      <c r="C10245" s="843" t="s">
        <v>27</v>
      </c>
      <c r="D10245" s="211">
        <v>-806266.66666666663</v>
      </c>
      <c r="E10245" s="845">
        <v>45627</v>
      </c>
      <c r="F10245" s="206" t="s">
        <v>109</v>
      </c>
      <c r="G10245" s="206" t="s">
        <v>5906</v>
      </c>
      <c r="H10245" s="206" t="s">
        <v>508</v>
      </c>
      <c r="I10245" s="206"/>
    </row>
    <row r="10246" spans="1:9" ht="15" hidden="1" customHeight="1">
      <c r="A10246" s="205">
        <v>45653</v>
      </c>
      <c r="B10246" s="208" t="s">
        <v>6900</v>
      </c>
      <c r="C10246" s="843" t="s">
        <v>27</v>
      </c>
      <c r="D10246" s="211">
        <v>-806266.66666666663</v>
      </c>
      <c r="E10246" s="845">
        <v>45627</v>
      </c>
      <c r="F10246" s="206" t="s">
        <v>109</v>
      </c>
      <c r="G10246" s="206" t="s">
        <v>4986</v>
      </c>
      <c r="H10246" s="206" t="s">
        <v>508</v>
      </c>
      <c r="I10246" s="206"/>
    </row>
    <row r="10247" spans="1:9" ht="15" hidden="1" customHeight="1">
      <c r="A10247" s="205">
        <v>45653</v>
      </c>
      <c r="B10247" s="208" t="s">
        <v>6900</v>
      </c>
      <c r="C10247" s="843" t="s">
        <v>27</v>
      </c>
      <c r="D10247" s="211">
        <v>-806266.66666666663</v>
      </c>
      <c r="E10247" s="845">
        <v>45627</v>
      </c>
      <c r="F10247" s="206" t="s">
        <v>110</v>
      </c>
      <c r="G10247" s="206" t="s">
        <v>5469</v>
      </c>
      <c r="H10247" s="206" t="s">
        <v>508</v>
      </c>
      <c r="I10247" s="206"/>
    </row>
    <row r="10248" spans="1:9" ht="15" hidden="1" customHeight="1">
      <c r="A10248" s="205">
        <v>45653</v>
      </c>
      <c r="B10248" s="208" t="s">
        <v>6901</v>
      </c>
      <c r="C10248" s="843" t="s">
        <v>27</v>
      </c>
      <c r="D10248" s="211">
        <v>-775600</v>
      </c>
      <c r="E10248" s="845">
        <v>45627</v>
      </c>
      <c r="F10248" s="206" t="s">
        <v>109</v>
      </c>
      <c r="G10248" s="206" t="s">
        <v>5906</v>
      </c>
      <c r="H10248" s="206" t="s">
        <v>508</v>
      </c>
      <c r="I10248" s="206"/>
    </row>
    <row r="10249" spans="1:9" ht="15" hidden="1" customHeight="1">
      <c r="A10249" s="205">
        <v>45653</v>
      </c>
      <c r="B10249" s="208" t="s">
        <v>6901</v>
      </c>
      <c r="C10249" s="843" t="s">
        <v>27</v>
      </c>
      <c r="D10249" s="211">
        <v>-775600</v>
      </c>
      <c r="E10249" s="845">
        <v>45627</v>
      </c>
      <c r="F10249" s="206" t="s">
        <v>109</v>
      </c>
      <c r="G10249" s="206" t="s">
        <v>4986</v>
      </c>
      <c r="H10249" s="206" t="s">
        <v>508</v>
      </c>
      <c r="I10249" s="206"/>
    </row>
    <row r="10250" spans="1:9" ht="15" hidden="1" customHeight="1">
      <c r="A10250" s="205">
        <v>45653</v>
      </c>
      <c r="B10250" s="208" t="s">
        <v>6901</v>
      </c>
      <c r="C10250" s="843" t="s">
        <v>27</v>
      </c>
      <c r="D10250" s="211">
        <v>-775600</v>
      </c>
      <c r="E10250" s="845">
        <v>45627</v>
      </c>
      <c r="F10250" s="206" t="s">
        <v>110</v>
      </c>
      <c r="G10250" s="206" t="s">
        <v>5469</v>
      </c>
      <c r="H10250" s="206" t="s">
        <v>508</v>
      </c>
      <c r="I10250" s="206"/>
    </row>
    <row r="10251" spans="1:9" ht="15" hidden="1" customHeight="1">
      <c r="A10251" s="205">
        <v>45653</v>
      </c>
      <c r="B10251" s="208" t="s">
        <v>6902</v>
      </c>
      <c r="C10251" s="843" t="s">
        <v>27</v>
      </c>
      <c r="D10251" s="211">
        <v>-1078666.6666666667</v>
      </c>
      <c r="E10251" s="845">
        <v>45627</v>
      </c>
      <c r="F10251" s="206" t="s">
        <v>109</v>
      </c>
      <c r="G10251" s="206" t="s">
        <v>5906</v>
      </c>
      <c r="H10251" s="206" t="s">
        <v>508</v>
      </c>
      <c r="I10251" s="206"/>
    </row>
    <row r="10252" spans="1:9" ht="15" hidden="1" customHeight="1">
      <c r="A10252" s="205">
        <v>45653</v>
      </c>
      <c r="B10252" s="208" t="s">
        <v>6902</v>
      </c>
      <c r="C10252" s="843" t="s">
        <v>27</v>
      </c>
      <c r="D10252" s="211">
        <v>-1078666.6666666667</v>
      </c>
      <c r="E10252" s="845">
        <v>45627</v>
      </c>
      <c r="F10252" s="206" t="s">
        <v>109</v>
      </c>
      <c r="G10252" s="206" t="s">
        <v>4986</v>
      </c>
      <c r="H10252" s="206" t="s">
        <v>508</v>
      </c>
      <c r="I10252" s="206"/>
    </row>
    <row r="10253" spans="1:9" ht="15" hidden="1" customHeight="1">
      <c r="A10253" s="205">
        <v>45653</v>
      </c>
      <c r="B10253" s="208" t="s">
        <v>6902</v>
      </c>
      <c r="C10253" s="843" t="s">
        <v>27</v>
      </c>
      <c r="D10253" s="211">
        <v>-1078666.6666666667</v>
      </c>
      <c r="E10253" s="845">
        <v>45627</v>
      </c>
      <c r="F10253" s="206" t="s">
        <v>110</v>
      </c>
      <c r="G10253" s="206" t="s">
        <v>5469</v>
      </c>
      <c r="H10253" s="206" t="s">
        <v>508</v>
      </c>
      <c r="I10253" s="206"/>
    </row>
    <row r="10254" spans="1:9" ht="15" hidden="1" customHeight="1">
      <c r="A10254" s="205">
        <v>45653</v>
      </c>
      <c r="B10254" s="208" t="s">
        <v>6892</v>
      </c>
      <c r="C10254" s="843" t="s">
        <v>27</v>
      </c>
      <c r="D10254" s="211">
        <v>-889333.33333333337</v>
      </c>
      <c r="E10254" s="845">
        <v>45627</v>
      </c>
      <c r="F10254" s="206" t="s">
        <v>109</v>
      </c>
      <c r="G10254" s="206" t="s">
        <v>5906</v>
      </c>
      <c r="H10254" s="206" t="s">
        <v>508</v>
      </c>
      <c r="I10254" s="206"/>
    </row>
    <row r="10255" spans="1:9" ht="15" hidden="1" customHeight="1">
      <c r="A10255" s="205">
        <v>45653</v>
      </c>
      <c r="B10255" s="208" t="s">
        <v>6892</v>
      </c>
      <c r="C10255" s="843" t="s">
        <v>27</v>
      </c>
      <c r="D10255" s="211">
        <v>-889333.33333333337</v>
      </c>
      <c r="E10255" s="845">
        <v>45627</v>
      </c>
      <c r="F10255" s="206" t="s">
        <v>109</v>
      </c>
      <c r="G10255" s="206" t="s">
        <v>4986</v>
      </c>
      <c r="H10255" s="206" t="s">
        <v>508</v>
      </c>
      <c r="I10255" s="206"/>
    </row>
    <row r="10256" spans="1:9" ht="15" hidden="1" customHeight="1">
      <c r="A10256" s="205">
        <v>45653</v>
      </c>
      <c r="B10256" s="208" t="s">
        <v>6892</v>
      </c>
      <c r="C10256" s="843" t="s">
        <v>27</v>
      </c>
      <c r="D10256" s="211">
        <v>-889333.33333333337</v>
      </c>
      <c r="E10256" s="845">
        <v>45627</v>
      </c>
      <c r="F10256" s="206" t="s">
        <v>110</v>
      </c>
      <c r="G10256" s="206" t="s">
        <v>5469</v>
      </c>
      <c r="H10256" s="206" t="s">
        <v>508</v>
      </c>
      <c r="I10256" s="206"/>
    </row>
    <row r="10257" spans="1:149" ht="15" hidden="1" customHeight="1">
      <c r="A10257" s="205">
        <v>45653</v>
      </c>
      <c r="B10257" s="208" t="s">
        <v>6894</v>
      </c>
      <c r="C10257" s="843" t="s">
        <v>27</v>
      </c>
      <c r="D10257" s="211">
        <v>-981333.33333333337</v>
      </c>
      <c r="E10257" s="845">
        <v>45627</v>
      </c>
      <c r="F10257" s="206" t="s">
        <v>109</v>
      </c>
      <c r="G10257" s="206" t="s">
        <v>5906</v>
      </c>
      <c r="H10257" s="206" t="s">
        <v>508</v>
      </c>
      <c r="I10257" s="206"/>
    </row>
    <row r="10258" spans="1:149" ht="15" hidden="1" customHeight="1">
      <c r="A10258" s="205">
        <v>45653</v>
      </c>
      <c r="B10258" s="208" t="s">
        <v>6894</v>
      </c>
      <c r="C10258" s="843" t="s">
        <v>27</v>
      </c>
      <c r="D10258" s="211">
        <v>-981333.33333333337</v>
      </c>
      <c r="E10258" s="845">
        <v>45627</v>
      </c>
      <c r="F10258" s="206" t="s">
        <v>109</v>
      </c>
      <c r="G10258" s="206" t="s">
        <v>4986</v>
      </c>
      <c r="H10258" s="206" t="s">
        <v>508</v>
      </c>
      <c r="I10258" s="206"/>
    </row>
    <row r="10259" spans="1:149" ht="15" hidden="1" customHeight="1">
      <c r="A10259" s="205">
        <v>45653</v>
      </c>
      <c r="B10259" s="208" t="s">
        <v>6894</v>
      </c>
      <c r="C10259" s="843" t="s">
        <v>27</v>
      </c>
      <c r="D10259" s="211">
        <v>-981333.33333333337</v>
      </c>
      <c r="E10259" s="845">
        <v>45627</v>
      </c>
      <c r="F10259" s="206" t="s">
        <v>110</v>
      </c>
      <c r="G10259" s="206" t="s">
        <v>5469</v>
      </c>
      <c r="H10259" s="206" t="s">
        <v>508</v>
      </c>
      <c r="I10259" s="720" t="s">
        <v>3626</v>
      </c>
    </row>
    <row r="10260" spans="1:149" ht="15" hidden="1" customHeight="1">
      <c r="A10260" s="205">
        <v>45649</v>
      </c>
      <c r="B10260" s="208" t="s">
        <v>7984</v>
      </c>
      <c r="C10260" s="206" t="s">
        <v>3331</v>
      </c>
      <c r="D10260" s="211">
        <v>3126012</v>
      </c>
      <c r="E10260" s="845">
        <v>45627</v>
      </c>
      <c r="F10260" s="206" t="s">
        <v>108</v>
      </c>
      <c r="I10260" s="206"/>
    </row>
    <row r="10261" spans="1:149" ht="15" hidden="1" customHeight="1">
      <c r="A10261" s="205">
        <v>45650</v>
      </c>
      <c r="B10261" s="208" t="s">
        <v>7985</v>
      </c>
      <c r="C10261" s="206" t="s">
        <v>3331</v>
      </c>
      <c r="D10261" s="211">
        <v>20000000</v>
      </c>
      <c r="E10261" s="845">
        <v>45627</v>
      </c>
      <c r="F10261" s="206" t="s">
        <v>434</v>
      </c>
      <c r="G10261" s="206" t="s">
        <v>5906</v>
      </c>
      <c r="I10261" s="206"/>
    </row>
    <row r="10262" spans="1:149" ht="15" hidden="1" customHeight="1">
      <c r="A10262" s="205">
        <v>45653</v>
      </c>
      <c r="B10262" s="208" t="s">
        <v>7986</v>
      </c>
      <c r="C10262" s="206" t="s">
        <v>3331</v>
      </c>
      <c r="D10262" s="211">
        <v>12526641</v>
      </c>
      <c r="E10262" s="845">
        <v>45627</v>
      </c>
      <c r="F10262" s="206" t="s">
        <v>434</v>
      </c>
      <c r="G10262" s="206" t="s">
        <v>7987</v>
      </c>
      <c r="I10262" s="206"/>
    </row>
    <row r="10263" spans="1:149" ht="15" hidden="1" customHeight="1">
      <c r="A10263" s="205">
        <v>45656</v>
      </c>
      <c r="B10263" s="208" t="s">
        <v>7988</v>
      </c>
      <c r="C10263" s="206" t="s">
        <v>3331</v>
      </c>
      <c r="D10263" s="211">
        <v>-140900</v>
      </c>
      <c r="E10263" s="845">
        <v>45627</v>
      </c>
      <c r="F10263" s="206" t="s">
        <v>130</v>
      </c>
      <c r="G10263" s="206" t="s">
        <v>130</v>
      </c>
      <c r="H10263" s="206" t="s">
        <v>1156</v>
      </c>
      <c r="I10263" s="206"/>
    </row>
    <row r="10264" spans="1:149" ht="15" hidden="1" customHeight="1">
      <c r="A10264" s="856">
        <v>45645</v>
      </c>
      <c r="B10264" s="849" t="s">
        <v>7901</v>
      </c>
      <c r="C10264" s="857" t="s">
        <v>146</v>
      </c>
      <c r="D10264" s="869">
        <v>-45900</v>
      </c>
      <c r="E10264" s="859">
        <v>45627</v>
      </c>
      <c r="F10264" s="857" t="s">
        <v>110</v>
      </c>
      <c r="G10264" s="857" t="s">
        <v>7902</v>
      </c>
      <c r="H10264" s="857" t="s">
        <v>2941</v>
      </c>
      <c r="I10264" s="872" t="s">
        <v>3626</v>
      </c>
    </row>
    <row r="10265" spans="1:149" ht="15" hidden="1" customHeight="1">
      <c r="A10265" s="856">
        <v>45649</v>
      </c>
      <c r="B10265" s="849" t="s">
        <v>7989</v>
      </c>
      <c r="C10265" s="857" t="s">
        <v>4783</v>
      </c>
      <c r="D10265" s="838">
        <v>-8491366</v>
      </c>
      <c r="E10265" s="867">
        <v>45627</v>
      </c>
      <c r="F10265" s="857" t="s">
        <v>109</v>
      </c>
      <c r="G10265" s="206" t="s">
        <v>6903</v>
      </c>
      <c r="H10265" s="857" t="s">
        <v>310</v>
      </c>
      <c r="I10265" s="857" t="s">
        <v>7909</v>
      </c>
      <c r="J10265" s="848" t="s">
        <v>7909</v>
      </c>
      <c r="K10265" s="848" t="s">
        <v>7909</v>
      </c>
      <c r="L10265" s="848" t="s">
        <v>7909</v>
      </c>
      <c r="M10265" s="848" t="s">
        <v>7909</v>
      </c>
      <c r="N10265" s="848" t="s">
        <v>7909</v>
      </c>
      <c r="O10265" s="848" t="s">
        <v>7909</v>
      </c>
      <c r="P10265" s="848" t="s">
        <v>7909</v>
      </c>
      <c r="Q10265" s="848" t="s">
        <v>7909</v>
      </c>
      <c r="R10265" s="848" t="s">
        <v>7909</v>
      </c>
      <c r="S10265" s="848" t="s">
        <v>7909</v>
      </c>
      <c r="T10265" s="848" t="s">
        <v>7909</v>
      </c>
      <c r="U10265" s="848" t="s">
        <v>7909</v>
      </c>
      <c r="V10265" s="848" t="s">
        <v>7909</v>
      </c>
      <c r="W10265" s="848" t="s">
        <v>7909</v>
      </c>
      <c r="X10265" s="848" t="s">
        <v>7909</v>
      </c>
      <c r="Y10265" s="848" t="s">
        <v>7909</v>
      </c>
      <c r="Z10265" s="848" t="s">
        <v>7909</v>
      </c>
      <c r="AA10265" s="848" t="s">
        <v>7909</v>
      </c>
      <c r="AB10265" s="848" t="s">
        <v>7909</v>
      </c>
      <c r="AC10265" s="848" t="s">
        <v>7909</v>
      </c>
      <c r="AD10265" s="848" t="s">
        <v>7909</v>
      </c>
      <c r="AE10265" s="848" t="s">
        <v>7909</v>
      </c>
      <c r="AF10265" s="848" t="s">
        <v>7909</v>
      </c>
      <c r="AG10265" s="848" t="s">
        <v>7909</v>
      </c>
      <c r="AH10265" s="848" t="s">
        <v>7909</v>
      </c>
      <c r="AI10265" s="848" t="s">
        <v>7909</v>
      </c>
      <c r="AJ10265" s="848" t="s">
        <v>7909</v>
      </c>
      <c r="AK10265" s="848" t="s">
        <v>7909</v>
      </c>
      <c r="AL10265" s="848" t="s">
        <v>7909</v>
      </c>
      <c r="AM10265" s="848" t="s">
        <v>7909</v>
      </c>
      <c r="AN10265" s="848" t="s">
        <v>7909</v>
      </c>
      <c r="AO10265" s="848" t="s">
        <v>7909</v>
      </c>
      <c r="AP10265" s="848" t="s">
        <v>7909</v>
      </c>
      <c r="AQ10265" s="848" t="s">
        <v>7909</v>
      </c>
      <c r="AR10265" s="848" t="s">
        <v>7909</v>
      </c>
      <c r="AS10265" s="848" t="s">
        <v>7909</v>
      </c>
      <c r="AT10265" s="848" t="s">
        <v>7909</v>
      </c>
      <c r="AU10265" s="848" t="s">
        <v>7909</v>
      </c>
      <c r="AV10265" s="848" t="s">
        <v>7909</v>
      </c>
      <c r="AW10265" s="848" t="s">
        <v>7909</v>
      </c>
      <c r="AX10265" s="848" t="s">
        <v>7909</v>
      </c>
      <c r="AY10265" s="848" t="s">
        <v>7909</v>
      </c>
      <c r="AZ10265" s="848" t="s">
        <v>7909</v>
      </c>
      <c r="BA10265" s="848" t="s">
        <v>7909</v>
      </c>
      <c r="BB10265" s="848" t="s">
        <v>7909</v>
      </c>
      <c r="BC10265" s="848" t="s">
        <v>7909</v>
      </c>
      <c r="BD10265" s="848" t="s">
        <v>7909</v>
      </c>
      <c r="BE10265" s="848" t="s">
        <v>7909</v>
      </c>
      <c r="BF10265" s="848" t="s">
        <v>7909</v>
      </c>
      <c r="BG10265" s="848" t="s">
        <v>7909</v>
      </c>
      <c r="BH10265" s="848" t="s">
        <v>7909</v>
      </c>
      <c r="BI10265" s="848" t="s">
        <v>7909</v>
      </c>
      <c r="BJ10265" s="848" t="s">
        <v>7909</v>
      </c>
      <c r="BK10265" s="848" t="s">
        <v>7909</v>
      </c>
      <c r="BL10265" s="848" t="s">
        <v>7909</v>
      </c>
      <c r="BM10265" s="848" t="s">
        <v>7909</v>
      </c>
      <c r="BN10265" s="848" t="s">
        <v>7909</v>
      </c>
      <c r="BO10265" s="848" t="s">
        <v>7909</v>
      </c>
      <c r="BP10265" s="848" t="s">
        <v>7909</v>
      </c>
      <c r="BQ10265" s="848" t="s">
        <v>7909</v>
      </c>
      <c r="BR10265" s="848" t="s">
        <v>7909</v>
      </c>
      <c r="BS10265" s="848" t="s">
        <v>7909</v>
      </c>
      <c r="BT10265" s="848" t="s">
        <v>7909</v>
      </c>
      <c r="BU10265" s="848" t="s">
        <v>7909</v>
      </c>
      <c r="BV10265" s="848" t="s">
        <v>7909</v>
      </c>
      <c r="BW10265" s="848" t="s">
        <v>7909</v>
      </c>
      <c r="BX10265" s="848" t="s">
        <v>7909</v>
      </c>
      <c r="BY10265" s="848" t="s">
        <v>7909</v>
      </c>
      <c r="BZ10265" s="848" t="s">
        <v>7909</v>
      </c>
      <c r="CA10265" s="848" t="s">
        <v>7909</v>
      </c>
      <c r="CB10265" s="848" t="s">
        <v>7909</v>
      </c>
      <c r="CC10265" s="848" t="s">
        <v>7909</v>
      </c>
      <c r="CD10265" s="848" t="s">
        <v>7909</v>
      </c>
      <c r="CE10265" s="848" t="s">
        <v>7909</v>
      </c>
      <c r="CF10265" s="848" t="s">
        <v>7909</v>
      </c>
      <c r="CG10265" s="848" t="s">
        <v>7909</v>
      </c>
      <c r="CH10265" s="848" t="s">
        <v>7909</v>
      </c>
      <c r="CI10265" s="848" t="s">
        <v>7909</v>
      </c>
      <c r="CJ10265" s="848" t="s">
        <v>7909</v>
      </c>
      <c r="CK10265" s="848" t="s">
        <v>7909</v>
      </c>
      <c r="CL10265" s="848" t="s">
        <v>7909</v>
      </c>
      <c r="CM10265" s="848" t="s">
        <v>7909</v>
      </c>
      <c r="CN10265" s="848" t="s">
        <v>7909</v>
      </c>
      <c r="CO10265" s="848" t="s">
        <v>7909</v>
      </c>
      <c r="CP10265" s="848" t="s">
        <v>7909</v>
      </c>
      <c r="CQ10265" s="848" t="s">
        <v>7909</v>
      </c>
      <c r="CR10265" s="848" t="s">
        <v>7909</v>
      </c>
      <c r="CS10265" s="848" t="s">
        <v>7909</v>
      </c>
      <c r="CT10265" s="848" t="s">
        <v>7909</v>
      </c>
      <c r="CU10265" s="848" t="s">
        <v>7909</v>
      </c>
      <c r="CV10265" s="848" t="s">
        <v>7909</v>
      </c>
      <c r="CW10265" s="848" t="s">
        <v>7909</v>
      </c>
      <c r="CX10265" s="848" t="s">
        <v>7909</v>
      </c>
      <c r="CY10265" s="848" t="s">
        <v>7909</v>
      </c>
      <c r="CZ10265" s="848" t="s">
        <v>7909</v>
      </c>
      <c r="DA10265" s="848" t="s">
        <v>7909</v>
      </c>
      <c r="DB10265" s="848" t="s">
        <v>7909</v>
      </c>
      <c r="DC10265" s="848" t="s">
        <v>7909</v>
      </c>
      <c r="DD10265" s="848" t="s">
        <v>7909</v>
      </c>
      <c r="DE10265" s="848" t="s">
        <v>7909</v>
      </c>
      <c r="DF10265" s="848" t="s">
        <v>7909</v>
      </c>
      <c r="DG10265" s="848" t="s">
        <v>7909</v>
      </c>
      <c r="DH10265" s="848" t="s">
        <v>7909</v>
      </c>
      <c r="DI10265" s="848" t="s">
        <v>7909</v>
      </c>
      <c r="DJ10265" s="848" t="s">
        <v>7909</v>
      </c>
      <c r="DK10265" s="848" t="s">
        <v>7909</v>
      </c>
      <c r="DL10265" s="848" t="s">
        <v>7909</v>
      </c>
      <c r="DM10265" s="848" t="s">
        <v>7909</v>
      </c>
      <c r="DN10265" s="848" t="s">
        <v>7909</v>
      </c>
      <c r="DO10265" s="848" t="s">
        <v>7909</v>
      </c>
      <c r="DP10265" s="848" t="s">
        <v>7909</v>
      </c>
      <c r="DQ10265" s="848" t="s">
        <v>7909</v>
      </c>
      <c r="DR10265" s="848" t="s">
        <v>7909</v>
      </c>
      <c r="DS10265" s="848" t="s">
        <v>7909</v>
      </c>
      <c r="DT10265" s="848" t="s">
        <v>7909</v>
      </c>
      <c r="DU10265" s="848" t="s">
        <v>7909</v>
      </c>
      <c r="DV10265" s="848" t="s">
        <v>7909</v>
      </c>
      <c r="DW10265" s="848" t="s">
        <v>7909</v>
      </c>
      <c r="DX10265" s="848" t="s">
        <v>7909</v>
      </c>
      <c r="DY10265" s="848" t="s">
        <v>7909</v>
      </c>
      <c r="DZ10265" s="848" t="s">
        <v>7909</v>
      </c>
      <c r="EA10265" s="848" t="s">
        <v>7909</v>
      </c>
      <c r="EB10265" s="848" t="s">
        <v>7909</v>
      </c>
      <c r="EC10265" s="848" t="s">
        <v>7909</v>
      </c>
      <c r="ED10265" s="848" t="s">
        <v>7909</v>
      </c>
      <c r="EE10265" s="848" t="s">
        <v>7909</v>
      </c>
      <c r="EF10265" s="848" t="s">
        <v>7909</v>
      </c>
      <c r="EG10265" s="848" t="s">
        <v>7909</v>
      </c>
      <c r="EH10265" s="848" t="s">
        <v>7909</v>
      </c>
      <c r="EI10265" s="848" t="s">
        <v>7909</v>
      </c>
      <c r="EJ10265" s="848" t="s">
        <v>7909</v>
      </c>
      <c r="EK10265" s="848" t="s">
        <v>7909</v>
      </c>
      <c r="EL10265" s="848" t="s">
        <v>7909</v>
      </c>
      <c r="EM10265" s="848" t="s">
        <v>7909</v>
      </c>
      <c r="EN10265" s="848" t="s">
        <v>7909</v>
      </c>
      <c r="EO10265" s="848" t="s">
        <v>7909</v>
      </c>
      <c r="EP10265" s="848" t="s">
        <v>7909</v>
      </c>
      <c r="EQ10265" s="848" t="s">
        <v>7909</v>
      </c>
      <c r="ER10265" s="848" t="s">
        <v>7909</v>
      </c>
      <c r="ES10265" s="848" t="s">
        <v>7909</v>
      </c>
    </row>
    <row r="10266" spans="1:149" ht="15" hidden="1" customHeight="1">
      <c r="A10266" s="841">
        <v>45645</v>
      </c>
      <c r="B10266" s="842" t="s">
        <v>7990</v>
      </c>
      <c r="C10266" s="843" t="s">
        <v>4783</v>
      </c>
      <c r="D10266" s="844">
        <v>-107000</v>
      </c>
      <c r="E10266" s="845">
        <v>45627</v>
      </c>
      <c r="F10266" s="843" t="s">
        <v>110</v>
      </c>
      <c r="G10266" s="843" t="s">
        <v>5503</v>
      </c>
      <c r="H10266" s="843" t="s">
        <v>147</v>
      </c>
      <c r="I10266" s="843" t="s">
        <v>7909</v>
      </c>
      <c r="J10266" s="848" t="s">
        <v>7909</v>
      </c>
      <c r="K10266" s="848" t="s">
        <v>7909</v>
      </c>
      <c r="L10266" s="848" t="s">
        <v>7909</v>
      </c>
      <c r="M10266" s="848" t="s">
        <v>7909</v>
      </c>
      <c r="N10266" s="848" t="s">
        <v>7909</v>
      </c>
      <c r="O10266" s="848" t="s">
        <v>7909</v>
      </c>
      <c r="P10266" s="848" t="s">
        <v>7909</v>
      </c>
      <c r="Q10266" s="848" t="s">
        <v>7909</v>
      </c>
      <c r="R10266" s="848" t="s">
        <v>7909</v>
      </c>
      <c r="S10266" s="848" t="s">
        <v>7909</v>
      </c>
      <c r="T10266" s="848" t="s">
        <v>7909</v>
      </c>
      <c r="U10266" s="848" t="s">
        <v>7909</v>
      </c>
      <c r="V10266" s="848" t="s">
        <v>7909</v>
      </c>
      <c r="W10266" s="848" t="s">
        <v>7909</v>
      </c>
      <c r="X10266" s="848" t="s">
        <v>7909</v>
      </c>
      <c r="Y10266" s="848" t="s">
        <v>7909</v>
      </c>
      <c r="Z10266" s="848" t="s">
        <v>7909</v>
      </c>
      <c r="AA10266" s="848" t="s">
        <v>7909</v>
      </c>
      <c r="AB10266" s="848" t="s">
        <v>7909</v>
      </c>
      <c r="AC10266" s="848" t="s">
        <v>7909</v>
      </c>
      <c r="AD10266" s="848" t="s">
        <v>7909</v>
      </c>
      <c r="AE10266" s="848" t="s">
        <v>7909</v>
      </c>
      <c r="AF10266" s="848" t="s">
        <v>7909</v>
      </c>
      <c r="AG10266" s="848" t="s">
        <v>7909</v>
      </c>
      <c r="AH10266" s="848" t="s">
        <v>7909</v>
      </c>
      <c r="AI10266" s="848" t="s">
        <v>7909</v>
      </c>
      <c r="AJ10266" s="848" t="s">
        <v>7909</v>
      </c>
      <c r="AK10266" s="848" t="s">
        <v>7909</v>
      </c>
      <c r="AL10266" s="848" t="s">
        <v>7909</v>
      </c>
      <c r="AM10266" s="848" t="s">
        <v>7909</v>
      </c>
      <c r="AN10266" s="848" t="s">
        <v>7909</v>
      </c>
      <c r="AO10266" s="848" t="s">
        <v>7909</v>
      </c>
      <c r="AP10266" s="848" t="s">
        <v>7909</v>
      </c>
      <c r="AQ10266" s="848" t="s">
        <v>7909</v>
      </c>
      <c r="AR10266" s="848" t="s">
        <v>7909</v>
      </c>
      <c r="AS10266" s="848" t="s">
        <v>7909</v>
      </c>
      <c r="AT10266" s="848" t="s">
        <v>7909</v>
      </c>
      <c r="AU10266" s="848" t="s">
        <v>7909</v>
      </c>
      <c r="AV10266" s="848" t="s">
        <v>7909</v>
      </c>
      <c r="AW10266" s="848" t="s">
        <v>7909</v>
      </c>
      <c r="AX10266" s="848" t="s">
        <v>7909</v>
      </c>
      <c r="AY10266" s="848" t="s">
        <v>7909</v>
      </c>
      <c r="AZ10266" s="848" t="s">
        <v>7909</v>
      </c>
      <c r="BA10266" s="848" t="s">
        <v>7909</v>
      </c>
      <c r="BB10266" s="848" t="s">
        <v>7909</v>
      </c>
      <c r="BC10266" s="848" t="s">
        <v>7909</v>
      </c>
      <c r="BD10266" s="848" t="s">
        <v>7909</v>
      </c>
      <c r="BE10266" s="848" t="s">
        <v>7909</v>
      </c>
      <c r="BF10266" s="848" t="s">
        <v>7909</v>
      </c>
      <c r="BG10266" s="848" t="s">
        <v>7909</v>
      </c>
      <c r="BH10266" s="848" t="s">
        <v>7909</v>
      </c>
      <c r="BI10266" s="848" t="s">
        <v>7909</v>
      </c>
      <c r="BJ10266" s="848" t="s">
        <v>7909</v>
      </c>
      <c r="BK10266" s="848" t="s">
        <v>7909</v>
      </c>
      <c r="BL10266" s="848" t="s">
        <v>7909</v>
      </c>
      <c r="BM10266" s="848" t="s">
        <v>7909</v>
      </c>
      <c r="BN10266" s="848" t="s">
        <v>7909</v>
      </c>
      <c r="BO10266" s="848" t="s">
        <v>7909</v>
      </c>
      <c r="BP10266" s="848" t="s">
        <v>7909</v>
      </c>
      <c r="BQ10266" s="848" t="s">
        <v>7909</v>
      </c>
      <c r="BR10266" s="848" t="s">
        <v>7909</v>
      </c>
      <c r="BS10266" s="848" t="s">
        <v>7909</v>
      </c>
      <c r="BT10266" s="848" t="s">
        <v>7909</v>
      </c>
      <c r="BU10266" s="848" t="s">
        <v>7909</v>
      </c>
      <c r="BV10266" s="848" t="s">
        <v>7909</v>
      </c>
      <c r="BW10266" s="848" t="s">
        <v>7909</v>
      </c>
      <c r="BX10266" s="848" t="s">
        <v>7909</v>
      </c>
      <c r="BY10266" s="848" t="s">
        <v>7909</v>
      </c>
      <c r="BZ10266" s="848" t="s">
        <v>7909</v>
      </c>
      <c r="CA10266" s="848" t="s">
        <v>7909</v>
      </c>
      <c r="CB10266" s="848" t="s">
        <v>7909</v>
      </c>
      <c r="CC10266" s="848" t="s">
        <v>7909</v>
      </c>
      <c r="CD10266" s="848" t="s">
        <v>7909</v>
      </c>
      <c r="CE10266" s="848" t="s">
        <v>7909</v>
      </c>
      <c r="CF10266" s="848" t="s">
        <v>7909</v>
      </c>
      <c r="CG10266" s="848" t="s">
        <v>7909</v>
      </c>
      <c r="CH10266" s="848" t="s">
        <v>7909</v>
      </c>
      <c r="CI10266" s="848" t="s">
        <v>7909</v>
      </c>
      <c r="CJ10266" s="848" t="s">
        <v>7909</v>
      </c>
      <c r="CK10266" s="848" t="s">
        <v>7909</v>
      </c>
      <c r="CL10266" s="848" t="s">
        <v>7909</v>
      </c>
      <c r="CM10266" s="848" t="s">
        <v>7909</v>
      </c>
      <c r="CN10266" s="848" t="s">
        <v>7909</v>
      </c>
      <c r="CO10266" s="848" t="s">
        <v>7909</v>
      </c>
      <c r="CP10266" s="848" t="s">
        <v>7909</v>
      </c>
      <c r="CQ10266" s="848" t="s">
        <v>7909</v>
      </c>
      <c r="CR10266" s="848" t="s">
        <v>7909</v>
      </c>
      <c r="CS10266" s="848" t="s">
        <v>7909</v>
      </c>
      <c r="CT10266" s="848" t="s">
        <v>7909</v>
      </c>
      <c r="CU10266" s="848" t="s">
        <v>7909</v>
      </c>
      <c r="CV10266" s="848" t="s">
        <v>7909</v>
      </c>
      <c r="CW10266" s="848" t="s">
        <v>7909</v>
      </c>
      <c r="CX10266" s="848" t="s">
        <v>7909</v>
      </c>
      <c r="CY10266" s="848" t="s">
        <v>7909</v>
      </c>
      <c r="CZ10266" s="848" t="s">
        <v>7909</v>
      </c>
      <c r="DA10266" s="848" t="s">
        <v>7909</v>
      </c>
      <c r="DB10266" s="848" t="s">
        <v>7909</v>
      </c>
      <c r="DC10266" s="848" t="s">
        <v>7909</v>
      </c>
      <c r="DD10266" s="848" t="s">
        <v>7909</v>
      </c>
      <c r="DE10266" s="848" t="s">
        <v>7909</v>
      </c>
      <c r="DF10266" s="848" t="s">
        <v>7909</v>
      </c>
      <c r="DG10266" s="848" t="s">
        <v>7909</v>
      </c>
      <c r="DH10266" s="848" t="s">
        <v>7909</v>
      </c>
      <c r="DI10266" s="848" t="s">
        <v>7909</v>
      </c>
      <c r="DJ10266" s="848" t="s">
        <v>7909</v>
      </c>
      <c r="DK10266" s="848" t="s">
        <v>7909</v>
      </c>
      <c r="DL10266" s="848" t="s">
        <v>7909</v>
      </c>
      <c r="DM10266" s="848" t="s">
        <v>7909</v>
      </c>
      <c r="DN10266" s="848" t="s">
        <v>7909</v>
      </c>
      <c r="DO10266" s="848" t="s">
        <v>7909</v>
      </c>
      <c r="DP10266" s="848" t="s">
        <v>7909</v>
      </c>
      <c r="DQ10266" s="848" t="s">
        <v>7909</v>
      </c>
      <c r="DR10266" s="848" t="s">
        <v>7909</v>
      </c>
      <c r="DS10266" s="848" t="s">
        <v>7909</v>
      </c>
      <c r="DT10266" s="848" t="s">
        <v>7909</v>
      </c>
      <c r="DU10266" s="848" t="s">
        <v>7909</v>
      </c>
      <c r="DV10266" s="848" t="s">
        <v>7909</v>
      </c>
      <c r="DW10266" s="848" t="s">
        <v>7909</v>
      </c>
      <c r="DX10266" s="848" t="s">
        <v>7909</v>
      </c>
      <c r="DY10266" s="848" t="s">
        <v>7909</v>
      </c>
      <c r="DZ10266" s="848" t="s">
        <v>7909</v>
      </c>
      <c r="EA10266" s="848" t="s">
        <v>7909</v>
      </c>
      <c r="EB10266" s="848" t="s">
        <v>7909</v>
      </c>
      <c r="EC10266" s="848" t="s">
        <v>7909</v>
      </c>
      <c r="ED10266" s="848" t="s">
        <v>7909</v>
      </c>
      <c r="EE10266" s="848" t="s">
        <v>7909</v>
      </c>
      <c r="EF10266" s="848" t="s">
        <v>7909</v>
      </c>
      <c r="EG10266" s="848" t="s">
        <v>7909</v>
      </c>
      <c r="EH10266" s="848" t="s">
        <v>7909</v>
      </c>
      <c r="EI10266" s="848" t="s">
        <v>7909</v>
      </c>
      <c r="EJ10266" s="848" t="s">
        <v>7909</v>
      </c>
      <c r="EK10266" s="848" t="s">
        <v>7909</v>
      </c>
      <c r="EL10266" s="848" t="s">
        <v>7909</v>
      </c>
      <c r="EM10266" s="848" t="s">
        <v>7909</v>
      </c>
      <c r="EN10266" s="848" t="s">
        <v>7909</v>
      </c>
      <c r="EO10266" s="848" t="s">
        <v>7909</v>
      </c>
      <c r="EP10266" s="848" t="s">
        <v>7909</v>
      </c>
      <c r="EQ10266" s="848" t="s">
        <v>7909</v>
      </c>
      <c r="ER10266" s="848" t="s">
        <v>7909</v>
      </c>
      <c r="ES10266" s="848" t="s">
        <v>7909</v>
      </c>
    </row>
    <row r="10267" spans="1:149" ht="15" hidden="1" customHeight="1">
      <c r="A10267" s="841">
        <v>45649</v>
      </c>
      <c r="B10267" s="842" t="s">
        <v>7991</v>
      </c>
      <c r="C10267" s="843" t="s">
        <v>4783</v>
      </c>
      <c r="D10267" s="844">
        <v>-200000</v>
      </c>
      <c r="E10267" s="845">
        <v>45627</v>
      </c>
      <c r="F10267" s="843" t="s">
        <v>109</v>
      </c>
      <c r="G10267" s="843" t="s">
        <v>6974</v>
      </c>
      <c r="H10267" s="843" t="s">
        <v>7909</v>
      </c>
      <c r="I10267" s="843" t="s">
        <v>7909</v>
      </c>
      <c r="J10267" s="848" t="s">
        <v>7909</v>
      </c>
      <c r="K10267" s="848" t="s">
        <v>7909</v>
      </c>
      <c r="L10267" s="848" t="s">
        <v>7909</v>
      </c>
      <c r="M10267" s="848" t="s">
        <v>7909</v>
      </c>
      <c r="N10267" s="848" t="s">
        <v>7909</v>
      </c>
      <c r="O10267" s="848" t="s">
        <v>7909</v>
      </c>
      <c r="P10267" s="848" t="s">
        <v>7909</v>
      </c>
      <c r="Q10267" s="848" t="s">
        <v>7909</v>
      </c>
      <c r="R10267" s="848" t="s">
        <v>7909</v>
      </c>
      <c r="S10267" s="848" t="s">
        <v>7909</v>
      </c>
      <c r="T10267" s="848" t="s">
        <v>7909</v>
      </c>
      <c r="U10267" s="848" t="s">
        <v>7909</v>
      </c>
      <c r="V10267" s="848" t="s">
        <v>7909</v>
      </c>
      <c r="W10267" s="848" t="s">
        <v>7909</v>
      </c>
      <c r="X10267" s="848" t="s">
        <v>7909</v>
      </c>
      <c r="Y10267" s="848" t="s">
        <v>7909</v>
      </c>
      <c r="Z10267" s="848" t="s">
        <v>7909</v>
      </c>
      <c r="AA10267" s="848" t="s">
        <v>7909</v>
      </c>
      <c r="AB10267" s="848" t="s">
        <v>7909</v>
      </c>
      <c r="AC10267" s="848" t="s">
        <v>7909</v>
      </c>
      <c r="AD10267" s="848" t="s">
        <v>7909</v>
      </c>
      <c r="AE10267" s="848" t="s">
        <v>7909</v>
      </c>
      <c r="AF10267" s="848" t="s">
        <v>7909</v>
      </c>
      <c r="AG10267" s="848" t="s">
        <v>7909</v>
      </c>
      <c r="AH10267" s="848" t="s">
        <v>7909</v>
      </c>
      <c r="AI10267" s="848" t="s">
        <v>7909</v>
      </c>
      <c r="AJ10267" s="848" t="s">
        <v>7909</v>
      </c>
      <c r="AK10267" s="848" t="s">
        <v>7909</v>
      </c>
      <c r="AL10267" s="848" t="s">
        <v>7909</v>
      </c>
      <c r="AM10267" s="848" t="s">
        <v>7909</v>
      </c>
      <c r="AN10267" s="848" t="s">
        <v>7909</v>
      </c>
      <c r="AO10267" s="848" t="s">
        <v>7909</v>
      </c>
      <c r="AP10267" s="848" t="s">
        <v>7909</v>
      </c>
      <c r="AQ10267" s="848" t="s">
        <v>7909</v>
      </c>
      <c r="AR10267" s="848" t="s">
        <v>7909</v>
      </c>
      <c r="AS10267" s="848" t="s">
        <v>7909</v>
      </c>
      <c r="AT10267" s="848" t="s">
        <v>7909</v>
      </c>
      <c r="AU10267" s="848" t="s">
        <v>7909</v>
      </c>
      <c r="AV10267" s="848" t="s">
        <v>7909</v>
      </c>
      <c r="AW10267" s="848" t="s">
        <v>7909</v>
      </c>
      <c r="AX10267" s="848" t="s">
        <v>7909</v>
      </c>
      <c r="AY10267" s="848" t="s">
        <v>7909</v>
      </c>
      <c r="AZ10267" s="848" t="s">
        <v>7909</v>
      </c>
      <c r="BA10267" s="848" t="s">
        <v>7909</v>
      </c>
      <c r="BB10267" s="848" t="s">
        <v>7909</v>
      </c>
      <c r="BC10267" s="848" t="s">
        <v>7909</v>
      </c>
      <c r="BD10267" s="848" t="s">
        <v>7909</v>
      </c>
      <c r="BE10267" s="848" t="s">
        <v>7909</v>
      </c>
      <c r="BF10267" s="848" t="s">
        <v>7909</v>
      </c>
      <c r="BG10267" s="848" t="s">
        <v>7909</v>
      </c>
      <c r="BH10267" s="848" t="s">
        <v>7909</v>
      </c>
      <c r="BI10267" s="848" t="s">
        <v>7909</v>
      </c>
      <c r="BJ10267" s="848" t="s">
        <v>7909</v>
      </c>
      <c r="BK10267" s="848" t="s">
        <v>7909</v>
      </c>
      <c r="BL10267" s="848" t="s">
        <v>7909</v>
      </c>
      <c r="BM10267" s="848" t="s">
        <v>7909</v>
      </c>
      <c r="BN10267" s="848" t="s">
        <v>7909</v>
      </c>
      <c r="BO10267" s="848" t="s">
        <v>7909</v>
      </c>
      <c r="BP10267" s="848" t="s">
        <v>7909</v>
      </c>
      <c r="BQ10267" s="848" t="s">
        <v>7909</v>
      </c>
      <c r="BR10267" s="848" t="s">
        <v>7909</v>
      </c>
      <c r="BS10267" s="848" t="s">
        <v>7909</v>
      </c>
      <c r="BT10267" s="848" t="s">
        <v>7909</v>
      </c>
      <c r="BU10267" s="848" t="s">
        <v>7909</v>
      </c>
      <c r="BV10267" s="848" t="s">
        <v>7909</v>
      </c>
      <c r="BW10267" s="848" t="s">
        <v>7909</v>
      </c>
      <c r="BX10267" s="848" t="s">
        <v>7909</v>
      </c>
      <c r="BY10267" s="848" t="s">
        <v>7909</v>
      </c>
      <c r="BZ10267" s="848" t="s">
        <v>7909</v>
      </c>
      <c r="CA10267" s="848" t="s">
        <v>7909</v>
      </c>
      <c r="CB10267" s="848" t="s">
        <v>7909</v>
      </c>
      <c r="CC10267" s="848" t="s">
        <v>7909</v>
      </c>
      <c r="CD10267" s="848" t="s">
        <v>7909</v>
      </c>
      <c r="CE10267" s="848" t="s">
        <v>7909</v>
      </c>
      <c r="CF10267" s="848" t="s">
        <v>7909</v>
      </c>
      <c r="CG10267" s="848" t="s">
        <v>7909</v>
      </c>
      <c r="CH10267" s="848" t="s">
        <v>7909</v>
      </c>
      <c r="CI10267" s="848" t="s">
        <v>7909</v>
      </c>
      <c r="CJ10267" s="848" t="s">
        <v>7909</v>
      </c>
      <c r="CK10267" s="848" t="s">
        <v>7909</v>
      </c>
      <c r="CL10267" s="848" t="s">
        <v>7909</v>
      </c>
      <c r="CM10267" s="848" t="s">
        <v>7909</v>
      </c>
      <c r="CN10267" s="848" t="s">
        <v>7909</v>
      </c>
      <c r="CO10267" s="848" t="s">
        <v>7909</v>
      </c>
      <c r="CP10267" s="848" t="s">
        <v>7909</v>
      </c>
      <c r="CQ10267" s="848" t="s">
        <v>7909</v>
      </c>
      <c r="CR10267" s="848" t="s">
        <v>7909</v>
      </c>
      <c r="CS10267" s="848" t="s">
        <v>7909</v>
      </c>
      <c r="CT10267" s="848" t="s">
        <v>7909</v>
      </c>
      <c r="CU10267" s="848" t="s">
        <v>7909</v>
      </c>
      <c r="CV10267" s="848" t="s">
        <v>7909</v>
      </c>
      <c r="CW10267" s="848" t="s">
        <v>7909</v>
      </c>
      <c r="CX10267" s="848" t="s">
        <v>7909</v>
      </c>
      <c r="CY10267" s="848" t="s">
        <v>7909</v>
      </c>
      <c r="CZ10267" s="848" t="s">
        <v>7909</v>
      </c>
      <c r="DA10267" s="848" t="s">
        <v>7909</v>
      </c>
      <c r="DB10267" s="848" t="s">
        <v>7909</v>
      </c>
      <c r="DC10267" s="848" t="s">
        <v>7909</v>
      </c>
      <c r="DD10267" s="848" t="s">
        <v>7909</v>
      </c>
      <c r="DE10267" s="848" t="s">
        <v>7909</v>
      </c>
      <c r="DF10267" s="848" t="s">
        <v>7909</v>
      </c>
      <c r="DG10267" s="848" t="s">
        <v>7909</v>
      </c>
      <c r="DH10267" s="848" t="s">
        <v>7909</v>
      </c>
      <c r="DI10267" s="848" t="s">
        <v>7909</v>
      </c>
      <c r="DJ10267" s="848" t="s">
        <v>7909</v>
      </c>
      <c r="DK10267" s="848" t="s">
        <v>7909</v>
      </c>
      <c r="DL10267" s="848" t="s">
        <v>7909</v>
      </c>
      <c r="DM10267" s="848" t="s">
        <v>7909</v>
      </c>
      <c r="DN10267" s="848" t="s">
        <v>7909</v>
      </c>
      <c r="DO10267" s="848" t="s">
        <v>7909</v>
      </c>
      <c r="DP10267" s="848" t="s">
        <v>7909</v>
      </c>
      <c r="DQ10267" s="848" t="s">
        <v>7909</v>
      </c>
      <c r="DR10267" s="848" t="s">
        <v>7909</v>
      </c>
      <c r="DS10267" s="848" t="s">
        <v>7909</v>
      </c>
      <c r="DT10267" s="848" t="s">
        <v>7909</v>
      </c>
      <c r="DU10267" s="848" t="s">
        <v>7909</v>
      </c>
      <c r="DV10267" s="848" t="s">
        <v>7909</v>
      </c>
      <c r="DW10267" s="848" t="s">
        <v>7909</v>
      </c>
      <c r="DX10267" s="848" t="s">
        <v>7909</v>
      </c>
      <c r="DY10267" s="848" t="s">
        <v>7909</v>
      </c>
      <c r="DZ10267" s="848" t="s">
        <v>7909</v>
      </c>
      <c r="EA10267" s="848" t="s">
        <v>7909</v>
      </c>
      <c r="EB10267" s="848" t="s">
        <v>7909</v>
      </c>
      <c r="EC10267" s="848" t="s">
        <v>7909</v>
      </c>
      <c r="ED10267" s="848" t="s">
        <v>7909</v>
      </c>
      <c r="EE10267" s="848" t="s">
        <v>7909</v>
      </c>
      <c r="EF10267" s="848" t="s">
        <v>7909</v>
      </c>
      <c r="EG10267" s="848" t="s">
        <v>7909</v>
      </c>
      <c r="EH10267" s="848" t="s">
        <v>7909</v>
      </c>
      <c r="EI10267" s="848" t="s">
        <v>7909</v>
      </c>
      <c r="EJ10267" s="848" t="s">
        <v>7909</v>
      </c>
      <c r="EK10267" s="848" t="s">
        <v>7909</v>
      </c>
      <c r="EL10267" s="848" t="s">
        <v>7909</v>
      </c>
      <c r="EM10267" s="848" t="s">
        <v>7909</v>
      </c>
      <c r="EN10267" s="848" t="s">
        <v>7909</v>
      </c>
      <c r="EO10267" s="848" t="s">
        <v>7909</v>
      </c>
      <c r="EP10267" s="848" t="s">
        <v>7909</v>
      </c>
      <c r="EQ10267" s="848" t="s">
        <v>7909</v>
      </c>
      <c r="ER10267" s="848" t="s">
        <v>7909</v>
      </c>
      <c r="ES10267" s="848" t="s">
        <v>7909</v>
      </c>
    </row>
    <row r="10268" spans="1:149" ht="15" hidden="1" customHeight="1">
      <c r="A10268" s="841">
        <v>45649</v>
      </c>
      <c r="B10268" s="842" t="s">
        <v>7992</v>
      </c>
      <c r="C10268" s="843" t="s">
        <v>4783</v>
      </c>
      <c r="D10268" s="844">
        <v>-34000</v>
      </c>
      <c r="E10268" s="845">
        <v>45627</v>
      </c>
      <c r="F10268" s="843" t="s">
        <v>130</v>
      </c>
      <c r="G10268" s="843" t="s">
        <v>130</v>
      </c>
      <c r="H10268" s="843" t="s">
        <v>1156</v>
      </c>
      <c r="I10268" s="843" t="s">
        <v>7909</v>
      </c>
      <c r="J10268" s="848" t="s">
        <v>7909</v>
      </c>
      <c r="K10268" s="848" t="s">
        <v>7909</v>
      </c>
      <c r="L10268" s="848" t="s">
        <v>7909</v>
      </c>
      <c r="M10268" s="848" t="s">
        <v>7909</v>
      </c>
      <c r="N10268" s="848" t="s">
        <v>7909</v>
      </c>
      <c r="O10268" s="848" t="s">
        <v>7909</v>
      </c>
      <c r="P10268" s="848" t="s">
        <v>7909</v>
      </c>
      <c r="Q10268" s="848" t="s">
        <v>7909</v>
      </c>
      <c r="R10268" s="848" t="s">
        <v>7909</v>
      </c>
      <c r="S10268" s="848" t="s">
        <v>7909</v>
      </c>
      <c r="T10268" s="848" t="s">
        <v>7909</v>
      </c>
      <c r="U10268" s="848" t="s">
        <v>7909</v>
      </c>
      <c r="V10268" s="848" t="s">
        <v>7909</v>
      </c>
      <c r="W10268" s="848" t="s">
        <v>7909</v>
      </c>
      <c r="X10268" s="848" t="s">
        <v>7909</v>
      </c>
      <c r="Y10268" s="848" t="s">
        <v>7909</v>
      </c>
      <c r="Z10268" s="848" t="s">
        <v>7909</v>
      </c>
      <c r="AA10268" s="848" t="s">
        <v>7909</v>
      </c>
      <c r="AB10268" s="848" t="s">
        <v>7909</v>
      </c>
      <c r="AC10268" s="848" t="s">
        <v>7909</v>
      </c>
      <c r="AD10268" s="848" t="s">
        <v>7909</v>
      </c>
      <c r="AE10268" s="848" t="s">
        <v>7909</v>
      </c>
      <c r="AF10268" s="848" t="s">
        <v>7909</v>
      </c>
      <c r="AG10268" s="848" t="s">
        <v>7909</v>
      </c>
      <c r="AH10268" s="848" t="s">
        <v>7909</v>
      </c>
      <c r="AI10268" s="848" t="s">
        <v>7909</v>
      </c>
      <c r="AJ10268" s="848" t="s">
        <v>7909</v>
      </c>
      <c r="AK10268" s="848" t="s">
        <v>7909</v>
      </c>
      <c r="AL10268" s="848" t="s">
        <v>7909</v>
      </c>
      <c r="AM10268" s="848" t="s">
        <v>7909</v>
      </c>
      <c r="AN10268" s="848" t="s">
        <v>7909</v>
      </c>
      <c r="AO10268" s="848" t="s">
        <v>7909</v>
      </c>
      <c r="AP10268" s="848" t="s">
        <v>7909</v>
      </c>
      <c r="AQ10268" s="848" t="s">
        <v>7909</v>
      </c>
      <c r="AR10268" s="848" t="s">
        <v>7909</v>
      </c>
      <c r="AS10268" s="848" t="s">
        <v>7909</v>
      </c>
      <c r="AT10268" s="848" t="s">
        <v>7909</v>
      </c>
      <c r="AU10268" s="848" t="s">
        <v>7909</v>
      </c>
      <c r="AV10268" s="848" t="s">
        <v>7909</v>
      </c>
      <c r="AW10268" s="848" t="s">
        <v>7909</v>
      </c>
      <c r="AX10268" s="848" t="s">
        <v>7909</v>
      </c>
      <c r="AY10268" s="848" t="s">
        <v>7909</v>
      </c>
      <c r="AZ10268" s="848" t="s">
        <v>7909</v>
      </c>
      <c r="BA10268" s="848" t="s">
        <v>7909</v>
      </c>
      <c r="BB10268" s="848" t="s">
        <v>7909</v>
      </c>
      <c r="BC10268" s="848" t="s">
        <v>7909</v>
      </c>
      <c r="BD10268" s="848" t="s">
        <v>7909</v>
      </c>
      <c r="BE10268" s="848" t="s">
        <v>7909</v>
      </c>
      <c r="BF10268" s="848" t="s">
        <v>7909</v>
      </c>
      <c r="BG10268" s="848" t="s">
        <v>7909</v>
      </c>
      <c r="BH10268" s="848" t="s">
        <v>7909</v>
      </c>
      <c r="BI10268" s="848" t="s">
        <v>7909</v>
      </c>
      <c r="BJ10268" s="848" t="s">
        <v>7909</v>
      </c>
      <c r="BK10268" s="848" t="s">
        <v>7909</v>
      </c>
      <c r="BL10268" s="848" t="s">
        <v>7909</v>
      </c>
      <c r="BM10268" s="848" t="s">
        <v>7909</v>
      </c>
      <c r="BN10268" s="848" t="s">
        <v>7909</v>
      </c>
      <c r="BO10268" s="848" t="s">
        <v>7909</v>
      </c>
      <c r="BP10268" s="848" t="s">
        <v>7909</v>
      </c>
      <c r="BQ10268" s="848" t="s">
        <v>7909</v>
      </c>
      <c r="BR10268" s="848" t="s">
        <v>7909</v>
      </c>
      <c r="BS10268" s="848" t="s">
        <v>7909</v>
      </c>
      <c r="BT10268" s="848" t="s">
        <v>7909</v>
      </c>
      <c r="BU10268" s="848" t="s">
        <v>7909</v>
      </c>
      <c r="BV10268" s="848" t="s">
        <v>7909</v>
      </c>
      <c r="BW10268" s="848" t="s">
        <v>7909</v>
      </c>
      <c r="BX10268" s="848" t="s">
        <v>7909</v>
      </c>
      <c r="BY10268" s="848" t="s">
        <v>7909</v>
      </c>
      <c r="BZ10268" s="848" t="s">
        <v>7909</v>
      </c>
      <c r="CA10268" s="848" t="s">
        <v>7909</v>
      </c>
      <c r="CB10268" s="848" t="s">
        <v>7909</v>
      </c>
      <c r="CC10268" s="848" t="s">
        <v>7909</v>
      </c>
      <c r="CD10268" s="848" t="s">
        <v>7909</v>
      </c>
      <c r="CE10268" s="848" t="s">
        <v>7909</v>
      </c>
      <c r="CF10268" s="848" t="s">
        <v>7909</v>
      </c>
      <c r="CG10268" s="848" t="s">
        <v>7909</v>
      </c>
      <c r="CH10268" s="848" t="s">
        <v>7909</v>
      </c>
      <c r="CI10268" s="848" t="s">
        <v>7909</v>
      </c>
      <c r="CJ10268" s="848" t="s">
        <v>7909</v>
      </c>
      <c r="CK10268" s="848" t="s">
        <v>7909</v>
      </c>
      <c r="CL10268" s="848" t="s">
        <v>7909</v>
      </c>
      <c r="CM10268" s="848" t="s">
        <v>7909</v>
      </c>
      <c r="CN10268" s="848" t="s">
        <v>7909</v>
      </c>
      <c r="CO10268" s="848" t="s">
        <v>7909</v>
      </c>
      <c r="CP10268" s="848" t="s">
        <v>7909</v>
      </c>
      <c r="CQ10268" s="848" t="s">
        <v>7909</v>
      </c>
      <c r="CR10268" s="848" t="s">
        <v>7909</v>
      </c>
      <c r="CS10268" s="848" t="s">
        <v>7909</v>
      </c>
      <c r="CT10268" s="848" t="s">
        <v>7909</v>
      </c>
      <c r="CU10268" s="848" t="s">
        <v>7909</v>
      </c>
      <c r="CV10268" s="848" t="s">
        <v>7909</v>
      </c>
      <c r="CW10268" s="848" t="s">
        <v>7909</v>
      </c>
      <c r="CX10268" s="848" t="s">
        <v>7909</v>
      </c>
      <c r="CY10268" s="848" t="s">
        <v>7909</v>
      </c>
      <c r="CZ10268" s="848" t="s">
        <v>7909</v>
      </c>
      <c r="DA10268" s="848" t="s">
        <v>7909</v>
      </c>
      <c r="DB10268" s="848" t="s">
        <v>7909</v>
      </c>
      <c r="DC10268" s="848" t="s">
        <v>7909</v>
      </c>
      <c r="DD10268" s="848" t="s">
        <v>7909</v>
      </c>
      <c r="DE10268" s="848" t="s">
        <v>7909</v>
      </c>
      <c r="DF10268" s="848" t="s">
        <v>7909</v>
      </c>
      <c r="DG10268" s="848" t="s">
        <v>7909</v>
      </c>
      <c r="DH10268" s="848" t="s">
        <v>7909</v>
      </c>
      <c r="DI10268" s="848" t="s">
        <v>7909</v>
      </c>
      <c r="DJ10268" s="848" t="s">
        <v>7909</v>
      </c>
      <c r="DK10268" s="848" t="s">
        <v>7909</v>
      </c>
      <c r="DL10268" s="848" t="s">
        <v>7909</v>
      </c>
      <c r="DM10268" s="848" t="s">
        <v>7909</v>
      </c>
      <c r="DN10268" s="848" t="s">
        <v>7909</v>
      </c>
      <c r="DO10268" s="848" t="s">
        <v>7909</v>
      </c>
      <c r="DP10268" s="848" t="s">
        <v>7909</v>
      </c>
      <c r="DQ10268" s="848" t="s">
        <v>7909</v>
      </c>
      <c r="DR10268" s="848" t="s">
        <v>7909</v>
      </c>
      <c r="DS10268" s="848" t="s">
        <v>7909</v>
      </c>
      <c r="DT10268" s="848" t="s">
        <v>7909</v>
      </c>
      <c r="DU10268" s="848" t="s">
        <v>7909</v>
      </c>
      <c r="DV10268" s="848" t="s">
        <v>7909</v>
      </c>
      <c r="DW10268" s="848" t="s">
        <v>7909</v>
      </c>
      <c r="DX10268" s="848" t="s">
        <v>7909</v>
      </c>
      <c r="DY10268" s="848" t="s">
        <v>7909</v>
      </c>
      <c r="DZ10268" s="848" t="s">
        <v>7909</v>
      </c>
      <c r="EA10268" s="848" t="s">
        <v>7909</v>
      </c>
      <c r="EB10268" s="848" t="s">
        <v>7909</v>
      </c>
      <c r="EC10268" s="848" t="s">
        <v>7909</v>
      </c>
      <c r="ED10268" s="848" t="s">
        <v>7909</v>
      </c>
      <c r="EE10268" s="848" t="s">
        <v>7909</v>
      </c>
      <c r="EF10268" s="848" t="s">
        <v>7909</v>
      </c>
      <c r="EG10268" s="848" t="s">
        <v>7909</v>
      </c>
      <c r="EH10268" s="848" t="s">
        <v>7909</v>
      </c>
      <c r="EI10268" s="848" t="s">
        <v>7909</v>
      </c>
      <c r="EJ10268" s="848" t="s">
        <v>7909</v>
      </c>
      <c r="EK10268" s="848" t="s">
        <v>7909</v>
      </c>
      <c r="EL10268" s="848" t="s">
        <v>7909</v>
      </c>
      <c r="EM10268" s="848" t="s">
        <v>7909</v>
      </c>
      <c r="EN10268" s="848" t="s">
        <v>7909</v>
      </c>
      <c r="EO10268" s="848" t="s">
        <v>7909</v>
      </c>
      <c r="EP10268" s="848" t="s">
        <v>7909</v>
      </c>
      <c r="EQ10268" s="848" t="s">
        <v>7909</v>
      </c>
      <c r="ER10268" s="848" t="s">
        <v>7909</v>
      </c>
      <c r="ES10268" s="848" t="s">
        <v>7909</v>
      </c>
    </row>
    <row r="10269" spans="1:149" ht="15" hidden="1" customHeight="1">
      <c r="A10269" s="841">
        <v>45649</v>
      </c>
      <c r="B10269" s="842" t="s">
        <v>7993</v>
      </c>
      <c r="C10269" s="843" t="s">
        <v>4783</v>
      </c>
      <c r="D10269" s="844">
        <v>-350000</v>
      </c>
      <c r="E10269" s="845">
        <v>45627</v>
      </c>
      <c r="F10269" s="843" t="s">
        <v>130</v>
      </c>
      <c r="G10269" s="843" t="s">
        <v>130</v>
      </c>
      <c r="H10269" s="843" t="s">
        <v>1156</v>
      </c>
      <c r="I10269" s="843" t="s">
        <v>7909</v>
      </c>
      <c r="J10269" s="848" t="s">
        <v>7909</v>
      </c>
      <c r="K10269" s="848" t="s">
        <v>7909</v>
      </c>
      <c r="L10269" s="848" t="s">
        <v>7909</v>
      </c>
      <c r="M10269" s="848" t="s">
        <v>7909</v>
      </c>
      <c r="N10269" s="848" t="s">
        <v>7909</v>
      </c>
      <c r="O10269" s="848" t="s">
        <v>7909</v>
      </c>
      <c r="P10269" s="848" t="s">
        <v>7909</v>
      </c>
      <c r="Q10269" s="848" t="s">
        <v>7909</v>
      </c>
      <c r="R10269" s="848" t="s">
        <v>7909</v>
      </c>
      <c r="S10269" s="848" t="s">
        <v>7909</v>
      </c>
      <c r="T10269" s="848" t="s">
        <v>7909</v>
      </c>
      <c r="U10269" s="848" t="s">
        <v>7909</v>
      </c>
      <c r="V10269" s="848" t="s">
        <v>7909</v>
      </c>
      <c r="W10269" s="848" t="s">
        <v>7909</v>
      </c>
      <c r="X10269" s="848" t="s">
        <v>7909</v>
      </c>
      <c r="Y10269" s="848" t="s">
        <v>7909</v>
      </c>
      <c r="Z10269" s="848" t="s">
        <v>7909</v>
      </c>
      <c r="AA10269" s="848" t="s">
        <v>7909</v>
      </c>
      <c r="AB10269" s="848" t="s">
        <v>7909</v>
      </c>
      <c r="AC10269" s="848" t="s">
        <v>7909</v>
      </c>
      <c r="AD10269" s="848" t="s">
        <v>7909</v>
      </c>
      <c r="AE10269" s="848" t="s">
        <v>7909</v>
      </c>
      <c r="AF10269" s="848" t="s">
        <v>7909</v>
      </c>
      <c r="AG10269" s="848" t="s">
        <v>7909</v>
      </c>
      <c r="AH10269" s="848" t="s">
        <v>7909</v>
      </c>
      <c r="AI10269" s="848" t="s">
        <v>7909</v>
      </c>
      <c r="AJ10269" s="848" t="s">
        <v>7909</v>
      </c>
      <c r="AK10269" s="848" t="s">
        <v>7909</v>
      </c>
      <c r="AL10269" s="848" t="s">
        <v>7909</v>
      </c>
      <c r="AM10269" s="848" t="s">
        <v>7909</v>
      </c>
      <c r="AN10269" s="848" t="s">
        <v>7909</v>
      </c>
      <c r="AO10269" s="848" t="s">
        <v>7909</v>
      </c>
      <c r="AP10269" s="848" t="s">
        <v>7909</v>
      </c>
      <c r="AQ10269" s="848" t="s">
        <v>7909</v>
      </c>
      <c r="AR10269" s="848" t="s">
        <v>7909</v>
      </c>
      <c r="AS10269" s="848" t="s">
        <v>7909</v>
      </c>
      <c r="AT10269" s="848" t="s">
        <v>7909</v>
      </c>
      <c r="AU10269" s="848" t="s">
        <v>7909</v>
      </c>
      <c r="AV10269" s="848" t="s">
        <v>7909</v>
      </c>
      <c r="AW10269" s="848" t="s">
        <v>7909</v>
      </c>
      <c r="AX10269" s="848" t="s">
        <v>7909</v>
      </c>
      <c r="AY10269" s="848" t="s">
        <v>7909</v>
      </c>
      <c r="AZ10269" s="848" t="s">
        <v>7909</v>
      </c>
      <c r="BA10269" s="848" t="s">
        <v>7909</v>
      </c>
      <c r="BB10269" s="848" t="s">
        <v>7909</v>
      </c>
      <c r="BC10269" s="848" t="s">
        <v>7909</v>
      </c>
      <c r="BD10269" s="848" t="s">
        <v>7909</v>
      </c>
      <c r="BE10269" s="848" t="s">
        <v>7909</v>
      </c>
      <c r="BF10269" s="848" t="s">
        <v>7909</v>
      </c>
      <c r="BG10269" s="848" t="s">
        <v>7909</v>
      </c>
      <c r="BH10269" s="848" t="s">
        <v>7909</v>
      </c>
      <c r="BI10269" s="848" t="s">
        <v>7909</v>
      </c>
      <c r="BJ10269" s="848" t="s">
        <v>7909</v>
      </c>
      <c r="BK10269" s="848" t="s">
        <v>7909</v>
      </c>
      <c r="BL10269" s="848" t="s">
        <v>7909</v>
      </c>
      <c r="BM10269" s="848" t="s">
        <v>7909</v>
      </c>
      <c r="BN10269" s="848" t="s">
        <v>7909</v>
      </c>
      <c r="BO10269" s="848" t="s">
        <v>7909</v>
      </c>
      <c r="BP10269" s="848" t="s">
        <v>7909</v>
      </c>
      <c r="BQ10269" s="848" t="s">
        <v>7909</v>
      </c>
      <c r="BR10269" s="848" t="s">
        <v>7909</v>
      </c>
      <c r="BS10269" s="848" t="s">
        <v>7909</v>
      </c>
      <c r="BT10269" s="848" t="s">
        <v>7909</v>
      </c>
      <c r="BU10269" s="848" t="s">
        <v>7909</v>
      </c>
      <c r="BV10269" s="848" t="s">
        <v>7909</v>
      </c>
      <c r="BW10269" s="848" t="s">
        <v>7909</v>
      </c>
      <c r="BX10269" s="848" t="s">
        <v>7909</v>
      </c>
      <c r="BY10269" s="848" t="s">
        <v>7909</v>
      </c>
      <c r="BZ10269" s="848" t="s">
        <v>7909</v>
      </c>
      <c r="CA10269" s="848" t="s">
        <v>7909</v>
      </c>
      <c r="CB10269" s="848" t="s">
        <v>7909</v>
      </c>
      <c r="CC10269" s="848" t="s">
        <v>7909</v>
      </c>
      <c r="CD10269" s="848" t="s">
        <v>7909</v>
      </c>
      <c r="CE10269" s="848" t="s">
        <v>7909</v>
      </c>
      <c r="CF10269" s="848" t="s">
        <v>7909</v>
      </c>
      <c r="CG10269" s="848" t="s">
        <v>7909</v>
      </c>
      <c r="CH10269" s="848" t="s">
        <v>7909</v>
      </c>
      <c r="CI10269" s="848" t="s">
        <v>7909</v>
      </c>
      <c r="CJ10269" s="848" t="s">
        <v>7909</v>
      </c>
      <c r="CK10269" s="848" t="s">
        <v>7909</v>
      </c>
      <c r="CL10269" s="848" t="s">
        <v>7909</v>
      </c>
      <c r="CM10269" s="848" t="s">
        <v>7909</v>
      </c>
      <c r="CN10269" s="848" t="s">
        <v>7909</v>
      </c>
      <c r="CO10269" s="848" t="s">
        <v>7909</v>
      </c>
      <c r="CP10269" s="848" t="s">
        <v>7909</v>
      </c>
      <c r="CQ10269" s="848" t="s">
        <v>7909</v>
      </c>
      <c r="CR10269" s="848" t="s">
        <v>7909</v>
      </c>
      <c r="CS10269" s="848" t="s">
        <v>7909</v>
      </c>
      <c r="CT10269" s="848" t="s">
        <v>7909</v>
      </c>
      <c r="CU10269" s="848" t="s">
        <v>7909</v>
      </c>
      <c r="CV10269" s="848" t="s">
        <v>7909</v>
      </c>
      <c r="CW10269" s="848" t="s">
        <v>7909</v>
      </c>
      <c r="CX10269" s="848" t="s">
        <v>7909</v>
      </c>
      <c r="CY10269" s="848" t="s">
        <v>7909</v>
      </c>
      <c r="CZ10269" s="848" t="s">
        <v>7909</v>
      </c>
      <c r="DA10269" s="848" t="s">
        <v>7909</v>
      </c>
      <c r="DB10269" s="848" t="s">
        <v>7909</v>
      </c>
      <c r="DC10269" s="848" t="s">
        <v>7909</v>
      </c>
      <c r="DD10269" s="848" t="s">
        <v>7909</v>
      </c>
      <c r="DE10269" s="848" t="s">
        <v>7909</v>
      </c>
      <c r="DF10269" s="848" t="s">
        <v>7909</v>
      </c>
      <c r="DG10269" s="848" t="s">
        <v>7909</v>
      </c>
      <c r="DH10269" s="848" t="s">
        <v>7909</v>
      </c>
      <c r="DI10269" s="848" t="s">
        <v>7909</v>
      </c>
      <c r="DJ10269" s="848" t="s">
        <v>7909</v>
      </c>
      <c r="DK10269" s="848" t="s">
        <v>7909</v>
      </c>
      <c r="DL10269" s="848" t="s">
        <v>7909</v>
      </c>
      <c r="DM10269" s="848" t="s">
        <v>7909</v>
      </c>
      <c r="DN10269" s="848" t="s">
        <v>7909</v>
      </c>
      <c r="DO10269" s="848" t="s">
        <v>7909</v>
      </c>
      <c r="DP10269" s="848" t="s">
        <v>7909</v>
      </c>
      <c r="DQ10269" s="848" t="s">
        <v>7909</v>
      </c>
      <c r="DR10269" s="848" t="s">
        <v>7909</v>
      </c>
      <c r="DS10269" s="848" t="s">
        <v>7909</v>
      </c>
      <c r="DT10269" s="848" t="s">
        <v>7909</v>
      </c>
      <c r="DU10269" s="848" t="s">
        <v>7909</v>
      </c>
      <c r="DV10269" s="848" t="s">
        <v>7909</v>
      </c>
      <c r="DW10269" s="848" t="s">
        <v>7909</v>
      </c>
      <c r="DX10269" s="848" t="s">
        <v>7909</v>
      </c>
      <c r="DY10269" s="848" t="s">
        <v>7909</v>
      </c>
      <c r="DZ10269" s="848" t="s">
        <v>7909</v>
      </c>
      <c r="EA10269" s="848" t="s">
        <v>7909</v>
      </c>
      <c r="EB10269" s="848" t="s">
        <v>7909</v>
      </c>
      <c r="EC10269" s="848" t="s">
        <v>7909</v>
      </c>
      <c r="ED10269" s="848" t="s">
        <v>7909</v>
      </c>
      <c r="EE10269" s="848" t="s">
        <v>7909</v>
      </c>
      <c r="EF10269" s="848" t="s">
        <v>7909</v>
      </c>
      <c r="EG10269" s="848" t="s">
        <v>7909</v>
      </c>
      <c r="EH10269" s="848" t="s">
        <v>7909</v>
      </c>
      <c r="EI10269" s="848" t="s">
        <v>7909</v>
      </c>
      <c r="EJ10269" s="848" t="s">
        <v>7909</v>
      </c>
      <c r="EK10269" s="848" t="s">
        <v>7909</v>
      </c>
      <c r="EL10269" s="848" t="s">
        <v>7909</v>
      </c>
      <c r="EM10269" s="848" t="s">
        <v>7909</v>
      </c>
      <c r="EN10269" s="848" t="s">
        <v>7909</v>
      </c>
      <c r="EO10269" s="848" t="s">
        <v>7909</v>
      </c>
      <c r="EP10269" s="848" t="s">
        <v>7909</v>
      </c>
      <c r="EQ10269" s="848" t="s">
        <v>7909</v>
      </c>
      <c r="ER10269" s="848" t="s">
        <v>7909</v>
      </c>
      <c r="ES10269" s="848" t="s">
        <v>7909</v>
      </c>
    </row>
    <row r="10270" spans="1:149" ht="15" customHeight="1">
      <c r="A10270" s="841">
        <v>45649</v>
      </c>
      <c r="B10270" s="846" t="s">
        <v>7994</v>
      </c>
      <c r="C10270" s="843" t="s">
        <v>4783</v>
      </c>
      <c r="D10270" s="844">
        <v>-1650000</v>
      </c>
      <c r="E10270" s="845">
        <v>45627</v>
      </c>
      <c r="F10270" s="843" t="s">
        <v>109</v>
      </c>
      <c r="G10270" s="843" t="s">
        <v>2809</v>
      </c>
      <c r="H10270" s="843" t="s">
        <v>5483</v>
      </c>
      <c r="I10270" s="843" t="s">
        <v>7909</v>
      </c>
      <c r="J10270" s="848" t="s">
        <v>7909</v>
      </c>
      <c r="K10270" s="848" t="s">
        <v>7909</v>
      </c>
      <c r="L10270" s="848" t="s">
        <v>7909</v>
      </c>
      <c r="M10270" s="848" t="s">
        <v>7909</v>
      </c>
      <c r="N10270" s="848" t="s">
        <v>7909</v>
      </c>
      <c r="O10270" s="848" t="s">
        <v>7909</v>
      </c>
      <c r="P10270" s="848" t="s">
        <v>7909</v>
      </c>
      <c r="Q10270" s="848" t="s">
        <v>7909</v>
      </c>
      <c r="R10270" s="848" t="s">
        <v>7909</v>
      </c>
      <c r="S10270" s="848" t="s">
        <v>7909</v>
      </c>
      <c r="T10270" s="848" t="s">
        <v>7909</v>
      </c>
      <c r="U10270" s="848" t="s">
        <v>7909</v>
      </c>
      <c r="V10270" s="848" t="s">
        <v>7909</v>
      </c>
      <c r="W10270" s="848" t="s">
        <v>7909</v>
      </c>
      <c r="X10270" s="848" t="s">
        <v>7909</v>
      </c>
      <c r="Y10270" s="848" t="s">
        <v>7909</v>
      </c>
      <c r="Z10270" s="848" t="s">
        <v>7909</v>
      </c>
      <c r="AA10270" s="848" t="s">
        <v>7909</v>
      </c>
      <c r="AB10270" s="848" t="s">
        <v>7909</v>
      </c>
      <c r="AC10270" s="848" t="s">
        <v>7909</v>
      </c>
      <c r="AD10270" s="848" t="s">
        <v>7909</v>
      </c>
      <c r="AE10270" s="848" t="s">
        <v>7909</v>
      </c>
      <c r="AF10270" s="848" t="s">
        <v>7909</v>
      </c>
      <c r="AG10270" s="848" t="s">
        <v>7909</v>
      </c>
      <c r="AH10270" s="848" t="s">
        <v>7909</v>
      </c>
      <c r="AI10270" s="848" t="s">
        <v>7909</v>
      </c>
      <c r="AJ10270" s="848" t="s">
        <v>7909</v>
      </c>
      <c r="AK10270" s="848" t="s">
        <v>7909</v>
      </c>
      <c r="AL10270" s="848" t="s">
        <v>7909</v>
      </c>
      <c r="AM10270" s="848" t="s">
        <v>7909</v>
      </c>
      <c r="AN10270" s="848" t="s">
        <v>7909</v>
      </c>
      <c r="AO10270" s="848" t="s">
        <v>7909</v>
      </c>
      <c r="AP10270" s="848" t="s">
        <v>7909</v>
      </c>
      <c r="AQ10270" s="848" t="s">
        <v>7909</v>
      </c>
      <c r="AR10270" s="848" t="s">
        <v>7909</v>
      </c>
      <c r="AS10270" s="848" t="s">
        <v>7909</v>
      </c>
      <c r="AT10270" s="848" t="s">
        <v>7909</v>
      </c>
      <c r="AU10270" s="848" t="s">
        <v>7909</v>
      </c>
      <c r="AV10270" s="848" t="s">
        <v>7909</v>
      </c>
      <c r="AW10270" s="848" t="s">
        <v>7909</v>
      </c>
      <c r="AX10270" s="848" t="s">
        <v>7909</v>
      </c>
      <c r="AY10270" s="848" t="s">
        <v>7909</v>
      </c>
      <c r="AZ10270" s="848" t="s">
        <v>7909</v>
      </c>
      <c r="BA10270" s="848" t="s">
        <v>7909</v>
      </c>
      <c r="BB10270" s="848" t="s">
        <v>7909</v>
      </c>
      <c r="BC10270" s="848" t="s">
        <v>7909</v>
      </c>
      <c r="BD10270" s="848" t="s">
        <v>7909</v>
      </c>
      <c r="BE10270" s="848" t="s">
        <v>7909</v>
      </c>
      <c r="BF10270" s="848" t="s">
        <v>7909</v>
      </c>
      <c r="BG10270" s="848" t="s">
        <v>7909</v>
      </c>
      <c r="BH10270" s="848" t="s">
        <v>7909</v>
      </c>
      <c r="BI10270" s="848" t="s">
        <v>7909</v>
      </c>
      <c r="BJ10270" s="848" t="s">
        <v>7909</v>
      </c>
      <c r="BK10270" s="848" t="s">
        <v>7909</v>
      </c>
      <c r="BL10270" s="848" t="s">
        <v>7909</v>
      </c>
      <c r="BM10270" s="848" t="s">
        <v>7909</v>
      </c>
      <c r="BN10270" s="848" t="s">
        <v>7909</v>
      </c>
      <c r="BO10270" s="848" t="s">
        <v>7909</v>
      </c>
      <c r="BP10270" s="848" t="s">
        <v>7909</v>
      </c>
      <c r="BQ10270" s="848" t="s">
        <v>7909</v>
      </c>
      <c r="BR10270" s="848" t="s">
        <v>7909</v>
      </c>
      <c r="BS10270" s="848" t="s">
        <v>7909</v>
      </c>
      <c r="BT10270" s="848" t="s">
        <v>7909</v>
      </c>
      <c r="BU10270" s="848" t="s">
        <v>7909</v>
      </c>
      <c r="BV10270" s="848" t="s">
        <v>7909</v>
      </c>
      <c r="BW10270" s="848" t="s">
        <v>7909</v>
      </c>
      <c r="BX10270" s="848" t="s">
        <v>7909</v>
      </c>
      <c r="BY10270" s="848" t="s">
        <v>7909</v>
      </c>
      <c r="BZ10270" s="848" t="s">
        <v>7909</v>
      </c>
      <c r="CA10270" s="848" t="s">
        <v>7909</v>
      </c>
      <c r="CB10270" s="848" t="s">
        <v>7909</v>
      </c>
      <c r="CC10270" s="848" t="s">
        <v>7909</v>
      </c>
      <c r="CD10270" s="848" t="s">
        <v>7909</v>
      </c>
      <c r="CE10270" s="848" t="s">
        <v>7909</v>
      </c>
      <c r="CF10270" s="848" t="s">
        <v>7909</v>
      </c>
      <c r="CG10270" s="848" t="s">
        <v>7909</v>
      </c>
      <c r="CH10270" s="848" t="s">
        <v>7909</v>
      </c>
      <c r="CI10270" s="848" t="s">
        <v>7909</v>
      </c>
      <c r="CJ10270" s="848" t="s">
        <v>7909</v>
      </c>
      <c r="CK10270" s="848" t="s">
        <v>7909</v>
      </c>
      <c r="CL10270" s="848" t="s">
        <v>7909</v>
      </c>
      <c r="CM10270" s="848" t="s">
        <v>7909</v>
      </c>
      <c r="CN10270" s="848" t="s">
        <v>7909</v>
      </c>
      <c r="CO10270" s="848" t="s">
        <v>7909</v>
      </c>
      <c r="CP10270" s="848" t="s">
        <v>7909</v>
      </c>
      <c r="CQ10270" s="848" t="s">
        <v>7909</v>
      </c>
      <c r="CR10270" s="848" t="s">
        <v>7909</v>
      </c>
      <c r="CS10270" s="848" t="s">
        <v>7909</v>
      </c>
      <c r="CT10270" s="848" t="s">
        <v>7909</v>
      </c>
      <c r="CU10270" s="848" t="s">
        <v>7909</v>
      </c>
      <c r="CV10270" s="848" t="s">
        <v>7909</v>
      </c>
      <c r="CW10270" s="848" t="s">
        <v>7909</v>
      </c>
      <c r="CX10270" s="848" t="s">
        <v>7909</v>
      </c>
      <c r="CY10270" s="848" t="s">
        <v>7909</v>
      </c>
      <c r="CZ10270" s="848" t="s">
        <v>7909</v>
      </c>
      <c r="DA10270" s="848" t="s">
        <v>7909</v>
      </c>
      <c r="DB10270" s="848" t="s">
        <v>7909</v>
      </c>
      <c r="DC10270" s="848" t="s">
        <v>7909</v>
      </c>
      <c r="DD10270" s="848" t="s">
        <v>7909</v>
      </c>
      <c r="DE10270" s="848" t="s">
        <v>7909</v>
      </c>
      <c r="DF10270" s="848" t="s">
        <v>7909</v>
      </c>
      <c r="DG10270" s="848" t="s">
        <v>7909</v>
      </c>
      <c r="DH10270" s="848" t="s">
        <v>7909</v>
      </c>
      <c r="DI10270" s="848" t="s">
        <v>7909</v>
      </c>
      <c r="DJ10270" s="848" t="s">
        <v>7909</v>
      </c>
      <c r="DK10270" s="848" t="s">
        <v>7909</v>
      </c>
      <c r="DL10270" s="848" t="s">
        <v>7909</v>
      </c>
      <c r="DM10270" s="848" t="s">
        <v>7909</v>
      </c>
      <c r="DN10270" s="848" t="s">
        <v>7909</v>
      </c>
      <c r="DO10270" s="848" t="s">
        <v>7909</v>
      </c>
      <c r="DP10270" s="848" t="s">
        <v>7909</v>
      </c>
      <c r="DQ10270" s="848" t="s">
        <v>7909</v>
      </c>
      <c r="DR10270" s="848" t="s">
        <v>7909</v>
      </c>
      <c r="DS10270" s="848" t="s">
        <v>7909</v>
      </c>
      <c r="DT10270" s="848" t="s">
        <v>7909</v>
      </c>
      <c r="DU10270" s="848" t="s">
        <v>7909</v>
      </c>
      <c r="DV10270" s="848" t="s">
        <v>7909</v>
      </c>
      <c r="DW10270" s="848" t="s">
        <v>7909</v>
      </c>
      <c r="DX10270" s="848" t="s">
        <v>7909</v>
      </c>
      <c r="DY10270" s="848" t="s">
        <v>7909</v>
      </c>
      <c r="DZ10270" s="848" t="s">
        <v>7909</v>
      </c>
      <c r="EA10270" s="848" t="s">
        <v>7909</v>
      </c>
      <c r="EB10270" s="848" t="s">
        <v>7909</v>
      </c>
      <c r="EC10270" s="848" t="s">
        <v>7909</v>
      </c>
      <c r="ED10270" s="848" t="s">
        <v>7909</v>
      </c>
      <c r="EE10270" s="848" t="s">
        <v>7909</v>
      </c>
      <c r="EF10270" s="848" t="s">
        <v>7909</v>
      </c>
      <c r="EG10270" s="848" t="s">
        <v>7909</v>
      </c>
      <c r="EH10270" s="848" t="s">
        <v>7909</v>
      </c>
      <c r="EI10270" s="848" t="s">
        <v>7909</v>
      </c>
      <c r="EJ10270" s="848" t="s">
        <v>7909</v>
      </c>
      <c r="EK10270" s="848" t="s">
        <v>7909</v>
      </c>
      <c r="EL10270" s="848" t="s">
        <v>7909</v>
      </c>
      <c r="EM10270" s="848" t="s">
        <v>7909</v>
      </c>
      <c r="EN10270" s="848" t="s">
        <v>7909</v>
      </c>
      <c r="EO10270" s="848" t="s">
        <v>7909</v>
      </c>
      <c r="EP10270" s="848" t="s">
        <v>7909</v>
      </c>
      <c r="EQ10270" s="848" t="s">
        <v>7909</v>
      </c>
      <c r="ER10270" s="848" t="s">
        <v>7909</v>
      </c>
      <c r="ES10270" s="848" t="s">
        <v>7909</v>
      </c>
    </row>
    <row r="10271" spans="1:149" ht="15" hidden="1" customHeight="1">
      <c r="A10271" s="841">
        <v>45649</v>
      </c>
      <c r="B10271" s="842" t="s">
        <v>7995</v>
      </c>
      <c r="C10271" s="843" t="s">
        <v>4783</v>
      </c>
      <c r="D10271" s="844">
        <v>-1097885</v>
      </c>
      <c r="E10271" s="845">
        <v>45627</v>
      </c>
      <c r="F10271" s="843" t="s">
        <v>7996</v>
      </c>
      <c r="G10271" s="843"/>
      <c r="H10271" s="843" t="s">
        <v>7909</v>
      </c>
      <c r="I10271" s="843" t="s">
        <v>7909</v>
      </c>
      <c r="J10271" s="848" t="s">
        <v>7909</v>
      </c>
      <c r="K10271" s="848" t="s">
        <v>7909</v>
      </c>
      <c r="L10271" s="848" t="s">
        <v>7909</v>
      </c>
      <c r="M10271" s="848" t="s">
        <v>7909</v>
      </c>
      <c r="N10271" s="848" t="s">
        <v>7909</v>
      </c>
      <c r="O10271" s="848" t="s">
        <v>7909</v>
      </c>
      <c r="P10271" s="848" t="s">
        <v>7909</v>
      </c>
      <c r="Q10271" s="848" t="s">
        <v>7909</v>
      </c>
      <c r="R10271" s="848" t="s">
        <v>7909</v>
      </c>
      <c r="S10271" s="848" t="s">
        <v>7909</v>
      </c>
      <c r="T10271" s="848" t="s">
        <v>7909</v>
      </c>
      <c r="U10271" s="848" t="s">
        <v>7909</v>
      </c>
      <c r="V10271" s="848" t="s">
        <v>7909</v>
      </c>
      <c r="W10271" s="848" t="s">
        <v>7909</v>
      </c>
      <c r="X10271" s="848" t="s">
        <v>7909</v>
      </c>
      <c r="Y10271" s="848" t="s">
        <v>7909</v>
      </c>
      <c r="Z10271" s="848" t="s">
        <v>7909</v>
      </c>
      <c r="AA10271" s="848" t="s">
        <v>7909</v>
      </c>
      <c r="AB10271" s="848" t="s">
        <v>7909</v>
      </c>
      <c r="AC10271" s="848" t="s">
        <v>7909</v>
      </c>
      <c r="AD10271" s="848" t="s">
        <v>7909</v>
      </c>
      <c r="AE10271" s="848" t="s">
        <v>7909</v>
      </c>
      <c r="AF10271" s="848" t="s">
        <v>7909</v>
      </c>
      <c r="AG10271" s="848" t="s">
        <v>7909</v>
      </c>
      <c r="AH10271" s="848" t="s">
        <v>7909</v>
      </c>
      <c r="AI10271" s="848" t="s">
        <v>7909</v>
      </c>
      <c r="AJ10271" s="848" t="s">
        <v>7909</v>
      </c>
      <c r="AK10271" s="848" t="s">
        <v>7909</v>
      </c>
      <c r="AL10271" s="848" t="s">
        <v>7909</v>
      </c>
      <c r="AM10271" s="848" t="s">
        <v>7909</v>
      </c>
      <c r="AN10271" s="848" t="s">
        <v>7909</v>
      </c>
      <c r="AO10271" s="848" t="s">
        <v>7909</v>
      </c>
      <c r="AP10271" s="848" t="s">
        <v>7909</v>
      </c>
      <c r="AQ10271" s="848" t="s">
        <v>7909</v>
      </c>
      <c r="AR10271" s="848" t="s">
        <v>7909</v>
      </c>
      <c r="AS10271" s="848" t="s">
        <v>7909</v>
      </c>
      <c r="AT10271" s="848" t="s">
        <v>7909</v>
      </c>
      <c r="AU10271" s="848" t="s">
        <v>7909</v>
      </c>
      <c r="AV10271" s="848" t="s">
        <v>7909</v>
      </c>
      <c r="AW10271" s="848" t="s">
        <v>7909</v>
      </c>
      <c r="AX10271" s="848" t="s">
        <v>7909</v>
      </c>
      <c r="AY10271" s="848" t="s">
        <v>7909</v>
      </c>
      <c r="AZ10271" s="848" t="s">
        <v>7909</v>
      </c>
      <c r="BA10271" s="848" t="s">
        <v>7909</v>
      </c>
      <c r="BB10271" s="848" t="s">
        <v>7909</v>
      </c>
      <c r="BC10271" s="848" t="s">
        <v>7909</v>
      </c>
      <c r="BD10271" s="848" t="s">
        <v>7909</v>
      </c>
      <c r="BE10271" s="848" t="s">
        <v>7909</v>
      </c>
      <c r="BF10271" s="848" t="s">
        <v>7909</v>
      </c>
      <c r="BG10271" s="848" t="s">
        <v>7909</v>
      </c>
      <c r="BH10271" s="848" t="s">
        <v>7909</v>
      </c>
      <c r="BI10271" s="848" t="s">
        <v>7909</v>
      </c>
      <c r="BJ10271" s="848" t="s">
        <v>7909</v>
      </c>
      <c r="BK10271" s="848" t="s">
        <v>7909</v>
      </c>
      <c r="BL10271" s="848" t="s">
        <v>7909</v>
      </c>
      <c r="BM10271" s="848" t="s">
        <v>7909</v>
      </c>
      <c r="BN10271" s="848" t="s">
        <v>7909</v>
      </c>
      <c r="BO10271" s="848" t="s">
        <v>7909</v>
      </c>
      <c r="BP10271" s="848" t="s">
        <v>7909</v>
      </c>
      <c r="BQ10271" s="848" t="s">
        <v>7909</v>
      </c>
      <c r="BR10271" s="848" t="s">
        <v>7909</v>
      </c>
      <c r="BS10271" s="848" t="s">
        <v>7909</v>
      </c>
      <c r="BT10271" s="848" t="s">
        <v>7909</v>
      </c>
      <c r="BU10271" s="848" t="s">
        <v>7909</v>
      </c>
      <c r="BV10271" s="848" t="s">
        <v>7909</v>
      </c>
      <c r="BW10271" s="848" t="s">
        <v>7909</v>
      </c>
      <c r="BX10271" s="848" t="s">
        <v>7909</v>
      </c>
      <c r="BY10271" s="848" t="s">
        <v>7909</v>
      </c>
      <c r="BZ10271" s="848" t="s">
        <v>7909</v>
      </c>
      <c r="CA10271" s="848" t="s">
        <v>7909</v>
      </c>
      <c r="CB10271" s="848" t="s">
        <v>7909</v>
      </c>
      <c r="CC10271" s="848" t="s">
        <v>7909</v>
      </c>
      <c r="CD10271" s="848" t="s">
        <v>7909</v>
      </c>
      <c r="CE10271" s="848" t="s">
        <v>7909</v>
      </c>
      <c r="CF10271" s="848" t="s">
        <v>7909</v>
      </c>
      <c r="CG10271" s="848" t="s">
        <v>7909</v>
      </c>
      <c r="CH10271" s="848" t="s">
        <v>7909</v>
      </c>
      <c r="CI10271" s="848" t="s">
        <v>7909</v>
      </c>
      <c r="CJ10271" s="848" t="s">
        <v>7909</v>
      </c>
      <c r="CK10271" s="848" t="s">
        <v>7909</v>
      </c>
      <c r="CL10271" s="848" t="s">
        <v>7909</v>
      </c>
      <c r="CM10271" s="848" t="s">
        <v>7909</v>
      </c>
      <c r="CN10271" s="848" t="s">
        <v>7909</v>
      </c>
      <c r="CO10271" s="848" t="s">
        <v>7909</v>
      </c>
      <c r="CP10271" s="848" t="s">
        <v>7909</v>
      </c>
      <c r="CQ10271" s="848" t="s">
        <v>7909</v>
      </c>
      <c r="CR10271" s="848" t="s">
        <v>7909</v>
      </c>
      <c r="CS10271" s="848" t="s">
        <v>7909</v>
      </c>
      <c r="CT10271" s="848" t="s">
        <v>7909</v>
      </c>
      <c r="CU10271" s="848" t="s">
        <v>7909</v>
      </c>
      <c r="CV10271" s="848" t="s">
        <v>7909</v>
      </c>
      <c r="CW10271" s="848" t="s">
        <v>7909</v>
      </c>
      <c r="CX10271" s="848" t="s">
        <v>7909</v>
      </c>
      <c r="CY10271" s="848" t="s">
        <v>7909</v>
      </c>
      <c r="CZ10271" s="848" t="s">
        <v>7909</v>
      </c>
      <c r="DA10271" s="848" t="s">
        <v>7909</v>
      </c>
      <c r="DB10271" s="848" t="s">
        <v>7909</v>
      </c>
      <c r="DC10271" s="848" t="s">
        <v>7909</v>
      </c>
      <c r="DD10271" s="848" t="s">
        <v>7909</v>
      </c>
      <c r="DE10271" s="848" t="s">
        <v>7909</v>
      </c>
      <c r="DF10271" s="848" t="s">
        <v>7909</v>
      </c>
      <c r="DG10271" s="848" t="s">
        <v>7909</v>
      </c>
      <c r="DH10271" s="848" t="s">
        <v>7909</v>
      </c>
      <c r="DI10271" s="848" t="s">
        <v>7909</v>
      </c>
      <c r="DJ10271" s="848" t="s">
        <v>7909</v>
      </c>
      <c r="DK10271" s="848" t="s">
        <v>7909</v>
      </c>
      <c r="DL10271" s="848" t="s">
        <v>7909</v>
      </c>
      <c r="DM10271" s="848" t="s">
        <v>7909</v>
      </c>
      <c r="DN10271" s="848" t="s">
        <v>7909</v>
      </c>
      <c r="DO10271" s="848" t="s">
        <v>7909</v>
      </c>
      <c r="DP10271" s="848" t="s">
        <v>7909</v>
      </c>
      <c r="DQ10271" s="848" t="s">
        <v>7909</v>
      </c>
      <c r="DR10271" s="848" t="s">
        <v>7909</v>
      </c>
      <c r="DS10271" s="848" t="s">
        <v>7909</v>
      </c>
      <c r="DT10271" s="848" t="s">
        <v>7909</v>
      </c>
      <c r="DU10271" s="848" t="s">
        <v>7909</v>
      </c>
      <c r="DV10271" s="848" t="s">
        <v>7909</v>
      </c>
      <c r="DW10271" s="848" t="s">
        <v>7909</v>
      </c>
      <c r="DX10271" s="848" t="s">
        <v>7909</v>
      </c>
      <c r="DY10271" s="848" t="s">
        <v>7909</v>
      </c>
      <c r="DZ10271" s="848" t="s">
        <v>7909</v>
      </c>
      <c r="EA10271" s="848" t="s">
        <v>7909</v>
      </c>
      <c r="EB10271" s="848" t="s">
        <v>7909</v>
      </c>
      <c r="EC10271" s="848" t="s">
        <v>7909</v>
      </c>
      <c r="ED10271" s="848" t="s">
        <v>7909</v>
      </c>
      <c r="EE10271" s="848" t="s">
        <v>7909</v>
      </c>
      <c r="EF10271" s="848" t="s">
        <v>7909</v>
      </c>
      <c r="EG10271" s="848" t="s">
        <v>7909</v>
      </c>
      <c r="EH10271" s="848" t="s">
        <v>7909</v>
      </c>
      <c r="EI10271" s="848" t="s">
        <v>7909</v>
      </c>
      <c r="EJ10271" s="848" t="s">
        <v>7909</v>
      </c>
      <c r="EK10271" s="848" t="s">
        <v>7909</v>
      </c>
      <c r="EL10271" s="848" t="s">
        <v>7909</v>
      </c>
      <c r="EM10271" s="848" t="s">
        <v>7909</v>
      </c>
      <c r="EN10271" s="848" t="s">
        <v>7909</v>
      </c>
      <c r="EO10271" s="848" t="s">
        <v>7909</v>
      </c>
      <c r="EP10271" s="848" t="s">
        <v>7909</v>
      </c>
      <c r="EQ10271" s="848" t="s">
        <v>7909</v>
      </c>
      <c r="ER10271" s="848" t="s">
        <v>7909</v>
      </c>
      <c r="ES10271" s="848" t="s">
        <v>7909</v>
      </c>
    </row>
    <row r="10272" spans="1:149" ht="15" hidden="1" customHeight="1">
      <c r="A10272" s="841">
        <v>45649</v>
      </c>
      <c r="B10272" s="842" t="s">
        <v>7995</v>
      </c>
      <c r="C10272" s="843" t="s">
        <v>4783</v>
      </c>
      <c r="D10272" s="844">
        <v>-527171</v>
      </c>
      <c r="E10272" s="845">
        <v>45627</v>
      </c>
      <c r="F10272" s="843" t="s">
        <v>7996</v>
      </c>
      <c r="G10272" s="843"/>
      <c r="H10272" s="843" t="s">
        <v>7909</v>
      </c>
      <c r="I10272" s="843" t="s">
        <v>7909</v>
      </c>
      <c r="J10272" s="848" t="s">
        <v>7909</v>
      </c>
      <c r="K10272" s="848" t="s">
        <v>7909</v>
      </c>
      <c r="L10272" s="848" t="s">
        <v>7909</v>
      </c>
      <c r="M10272" s="848" t="s">
        <v>7909</v>
      </c>
      <c r="N10272" s="848" t="s">
        <v>7909</v>
      </c>
      <c r="O10272" s="848" t="s">
        <v>7909</v>
      </c>
      <c r="P10272" s="848" t="s">
        <v>7909</v>
      </c>
      <c r="Q10272" s="848" t="s">
        <v>7909</v>
      </c>
      <c r="R10272" s="848" t="s">
        <v>7909</v>
      </c>
      <c r="S10272" s="848" t="s">
        <v>7909</v>
      </c>
      <c r="T10272" s="848" t="s">
        <v>7909</v>
      </c>
      <c r="U10272" s="848" t="s">
        <v>7909</v>
      </c>
      <c r="V10272" s="848" t="s">
        <v>7909</v>
      </c>
      <c r="W10272" s="848" t="s">
        <v>7909</v>
      </c>
      <c r="X10272" s="848" t="s">
        <v>7909</v>
      </c>
      <c r="Y10272" s="848" t="s">
        <v>7909</v>
      </c>
      <c r="Z10272" s="848" t="s">
        <v>7909</v>
      </c>
      <c r="AA10272" s="848" t="s">
        <v>7909</v>
      </c>
      <c r="AB10272" s="848" t="s">
        <v>7909</v>
      </c>
      <c r="AC10272" s="848" t="s">
        <v>7909</v>
      </c>
      <c r="AD10272" s="848" t="s">
        <v>7909</v>
      </c>
      <c r="AE10272" s="848" t="s">
        <v>7909</v>
      </c>
      <c r="AF10272" s="848" t="s">
        <v>7909</v>
      </c>
      <c r="AG10272" s="848" t="s">
        <v>7909</v>
      </c>
      <c r="AH10272" s="848" t="s">
        <v>7909</v>
      </c>
      <c r="AI10272" s="848" t="s">
        <v>7909</v>
      </c>
      <c r="AJ10272" s="848" t="s">
        <v>7909</v>
      </c>
      <c r="AK10272" s="848" t="s">
        <v>7909</v>
      </c>
      <c r="AL10272" s="848" t="s">
        <v>7909</v>
      </c>
      <c r="AM10272" s="848" t="s">
        <v>7909</v>
      </c>
      <c r="AN10272" s="848" t="s">
        <v>7909</v>
      </c>
      <c r="AO10272" s="848" t="s">
        <v>7909</v>
      </c>
      <c r="AP10272" s="848" t="s">
        <v>7909</v>
      </c>
      <c r="AQ10272" s="848" t="s">
        <v>7909</v>
      </c>
      <c r="AR10272" s="848" t="s">
        <v>7909</v>
      </c>
      <c r="AS10272" s="848" t="s">
        <v>7909</v>
      </c>
      <c r="AT10272" s="848" t="s">
        <v>7909</v>
      </c>
      <c r="AU10272" s="848" t="s">
        <v>7909</v>
      </c>
      <c r="AV10272" s="848" t="s">
        <v>7909</v>
      </c>
      <c r="AW10272" s="848" t="s">
        <v>7909</v>
      </c>
      <c r="AX10272" s="848" t="s">
        <v>7909</v>
      </c>
      <c r="AY10272" s="848" t="s">
        <v>7909</v>
      </c>
      <c r="AZ10272" s="848" t="s">
        <v>7909</v>
      </c>
      <c r="BA10272" s="848" t="s">
        <v>7909</v>
      </c>
      <c r="BB10272" s="848" t="s">
        <v>7909</v>
      </c>
      <c r="BC10272" s="848" t="s">
        <v>7909</v>
      </c>
      <c r="BD10272" s="848" t="s">
        <v>7909</v>
      </c>
      <c r="BE10272" s="848" t="s">
        <v>7909</v>
      </c>
      <c r="BF10272" s="848" t="s">
        <v>7909</v>
      </c>
      <c r="BG10272" s="848" t="s">
        <v>7909</v>
      </c>
      <c r="BH10272" s="848" t="s">
        <v>7909</v>
      </c>
      <c r="BI10272" s="848" t="s">
        <v>7909</v>
      </c>
      <c r="BJ10272" s="848" t="s">
        <v>7909</v>
      </c>
      <c r="BK10272" s="848" t="s">
        <v>7909</v>
      </c>
      <c r="BL10272" s="848" t="s">
        <v>7909</v>
      </c>
      <c r="BM10272" s="848" t="s">
        <v>7909</v>
      </c>
      <c r="BN10272" s="848" t="s">
        <v>7909</v>
      </c>
      <c r="BO10272" s="848" t="s">
        <v>7909</v>
      </c>
      <c r="BP10272" s="848" t="s">
        <v>7909</v>
      </c>
      <c r="BQ10272" s="848" t="s">
        <v>7909</v>
      </c>
      <c r="BR10272" s="848" t="s">
        <v>7909</v>
      </c>
      <c r="BS10272" s="848" t="s">
        <v>7909</v>
      </c>
      <c r="BT10272" s="848" t="s">
        <v>7909</v>
      </c>
      <c r="BU10272" s="848" t="s">
        <v>7909</v>
      </c>
      <c r="BV10272" s="848" t="s">
        <v>7909</v>
      </c>
      <c r="BW10272" s="848" t="s">
        <v>7909</v>
      </c>
      <c r="BX10272" s="848" t="s">
        <v>7909</v>
      </c>
      <c r="BY10272" s="848" t="s">
        <v>7909</v>
      </c>
      <c r="BZ10272" s="848" t="s">
        <v>7909</v>
      </c>
      <c r="CA10272" s="848" t="s">
        <v>7909</v>
      </c>
      <c r="CB10272" s="848" t="s">
        <v>7909</v>
      </c>
      <c r="CC10272" s="848" t="s">
        <v>7909</v>
      </c>
      <c r="CD10272" s="848" t="s">
        <v>7909</v>
      </c>
      <c r="CE10272" s="848" t="s">
        <v>7909</v>
      </c>
      <c r="CF10272" s="848" t="s">
        <v>7909</v>
      </c>
      <c r="CG10272" s="848" t="s">
        <v>7909</v>
      </c>
      <c r="CH10272" s="848" t="s">
        <v>7909</v>
      </c>
      <c r="CI10272" s="848" t="s">
        <v>7909</v>
      </c>
      <c r="CJ10272" s="848" t="s">
        <v>7909</v>
      </c>
      <c r="CK10272" s="848" t="s">
        <v>7909</v>
      </c>
      <c r="CL10272" s="848" t="s">
        <v>7909</v>
      </c>
      <c r="CM10272" s="848" t="s">
        <v>7909</v>
      </c>
      <c r="CN10272" s="848" t="s">
        <v>7909</v>
      </c>
      <c r="CO10272" s="848" t="s">
        <v>7909</v>
      </c>
      <c r="CP10272" s="848" t="s">
        <v>7909</v>
      </c>
      <c r="CQ10272" s="848" t="s">
        <v>7909</v>
      </c>
      <c r="CR10272" s="848" t="s">
        <v>7909</v>
      </c>
      <c r="CS10272" s="848" t="s">
        <v>7909</v>
      </c>
      <c r="CT10272" s="848" t="s">
        <v>7909</v>
      </c>
      <c r="CU10272" s="848" t="s">
        <v>7909</v>
      </c>
      <c r="CV10272" s="848" t="s">
        <v>7909</v>
      </c>
      <c r="CW10272" s="848" t="s">
        <v>7909</v>
      </c>
      <c r="CX10272" s="848" t="s">
        <v>7909</v>
      </c>
      <c r="CY10272" s="848" t="s">
        <v>7909</v>
      </c>
      <c r="CZ10272" s="848" t="s">
        <v>7909</v>
      </c>
      <c r="DA10272" s="848" t="s">
        <v>7909</v>
      </c>
      <c r="DB10272" s="848" t="s">
        <v>7909</v>
      </c>
      <c r="DC10272" s="848" t="s">
        <v>7909</v>
      </c>
      <c r="DD10272" s="848" t="s">
        <v>7909</v>
      </c>
      <c r="DE10272" s="848" t="s">
        <v>7909</v>
      </c>
      <c r="DF10272" s="848" t="s">
        <v>7909</v>
      </c>
      <c r="DG10272" s="848" t="s">
        <v>7909</v>
      </c>
      <c r="DH10272" s="848" t="s">
        <v>7909</v>
      </c>
      <c r="DI10272" s="848" t="s">
        <v>7909</v>
      </c>
      <c r="DJ10272" s="848" t="s">
        <v>7909</v>
      </c>
      <c r="DK10272" s="848" t="s">
        <v>7909</v>
      </c>
      <c r="DL10272" s="848" t="s">
        <v>7909</v>
      </c>
      <c r="DM10272" s="848" t="s">
        <v>7909</v>
      </c>
      <c r="DN10272" s="848" t="s">
        <v>7909</v>
      </c>
      <c r="DO10272" s="848" t="s">
        <v>7909</v>
      </c>
      <c r="DP10272" s="848" t="s">
        <v>7909</v>
      </c>
      <c r="DQ10272" s="848" t="s">
        <v>7909</v>
      </c>
      <c r="DR10272" s="848" t="s">
        <v>7909</v>
      </c>
      <c r="DS10272" s="848" t="s">
        <v>7909</v>
      </c>
      <c r="DT10272" s="848" t="s">
        <v>7909</v>
      </c>
      <c r="DU10272" s="848" t="s">
        <v>7909</v>
      </c>
      <c r="DV10272" s="848" t="s">
        <v>7909</v>
      </c>
      <c r="DW10272" s="848" t="s">
        <v>7909</v>
      </c>
      <c r="DX10272" s="848" t="s">
        <v>7909</v>
      </c>
      <c r="DY10272" s="848" t="s">
        <v>7909</v>
      </c>
      <c r="DZ10272" s="848" t="s">
        <v>7909</v>
      </c>
      <c r="EA10272" s="848" t="s">
        <v>7909</v>
      </c>
      <c r="EB10272" s="848" t="s">
        <v>7909</v>
      </c>
      <c r="EC10272" s="848" t="s">
        <v>7909</v>
      </c>
      <c r="ED10272" s="848" t="s">
        <v>7909</v>
      </c>
      <c r="EE10272" s="848" t="s">
        <v>7909</v>
      </c>
      <c r="EF10272" s="848" t="s">
        <v>7909</v>
      </c>
      <c r="EG10272" s="848" t="s">
        <v>7909</v>
      </c>
      <c r="EH10272" s="848" t="s">
        <v>7909</v>
      </c>
      <c r="EI10272" s="848" t="s">
        <v>7909</v>
      </c>
      <c r="EJ10272" s="848" t="s">
        <v>7909</v>
      </c>
      <c r="EK10272" s="848" t="s">
        <v>7909</v>
      </c>
      <c r="EL10272" s="848" t="s">
        <v>7909</v>
      </c>
      <c r="EM10272" s="848" t="s">
        <v>7909</v>
      </c>
      <c r="EN10272" s="848" t="s">
        <v>7909</v>
      </c>
      <c r="EO10272" s="848" t="s">
        <v>7909</v>
      </c>
      <c r="EP10272" s="848" t="s">
        <v>7909</v>
      </c>
      <c r="EQ10272" s="848" t="s">
        <v>7909</v>
      </c>
      <c r="ER10272" s="848" t="s">
        <v>7909</v>
      </c>
      <c r="ES10272" s="848" t="s">
        <v>7909</v>
      </c>
    </row>
    <row r="10273" spans="1:149" ht="15" hidden="1" customHeight="1">
      <c r="A10273" s="841">
        <v>45649</v>
      </c>
      <c r="B10273" s="842" t="s">
        <v>7997</v>
      </c>
      <c r="C10273" s="843" t="s">
        <v>4783</v>
      </c>
      <c r="D10273" s="844">
        <v>-1963889</v>
      </c>
      <c r="E10273" s="845">
        <v>45627</v>
      </c>
      <c r="F10273" s="843" t="s">
        <v>7996</v>
      </c>
      <c r="G10273" s="843"/>
      <c r="H10273" s="843" t="s">
        <v>7909</v>
      </c>
      <c r="I10273" s="843" t="s">
        <v>7909</v>
      </c>
      <c r="J10273" s="848" t="s">
        <v>7909</v>
      </c>
      <c r="K10273" s="848" t="s">
        <v>7909</v>
      </c>
      <c r="L10273" s="848" t="s">
        <v>7909</v>
      </c>
      <c r="M10273" s="848" t="s">
        <v>7909</v>
      </c>
      <c r="N10273" s="848" t="s">
        <v>7909</v>
      </c>
      <c r="O10273" s="848" t="s">
        <v>7909</v>
      </c>
      <c r="P10273" s="848" t="s">
        <v>7909</v>
      </c>
      <c r="Q10273" s="848" t="s">
        <v>7909</v>
      </c>
      <c r="R10273" s="848" t="s">
        <v>7909</v>
      </c>
      <c r="S10273" s="848" t="s">
        <v>7909</v>
      </c>
      <c r="T10273" s="848" t="s">
        <v>7909</v>
      </c>
      <c r="U10273" s="848" t="s">
        <v>7909</v>
      </c>
      <c r="V10273" s="848" t="s">
        <v>7909</v>
      </c>
      <c r="W10273" s="848" t="s">
        <v>7909</v>
      </c>
      <c r="X10273" s="848" t="s">
        <v>7909</v>
      </c>
      <c r="Y10273" s="848" t="s">
        <v>7909</v>
      </c>
      <c r="Z10273" s="848" t="s">
        <v>7909</v>
      </c>
      <c r="AA10273" s="848" t="s">
        <v>7909</v>
      </c>
      <c r="AB10273" s="848" t="s">
        <v>7909</v>
      </c>
      <c r="AC10273" s="848" t="s">
        <v>7909</v>
      </c>
      <c r="AD10273" s="848" t="s">
        <v>7909</v>
      </c>
      <c r="AE10273" s="848" t="s">
        <v>7909</v>
      </c>
      <c r="AF10273" s="848" t="s">
        <v>7909</v>
      </c>
      <c r="AG10273" s="848" t="s">
        <v>7909</v>
      </c>
      <c r="AH10273" s="848" t="s">
        <v>7909</v>
      </c>
      <c r="AI10273" s="848" t="s">
        <v>7909</v>
      </c>
      <c r="AJ10273" s="848" t="s">
        <v>7909</v>
      </c>
      <c r="AK10273" s="848" t="s">
        <v>7909</v>
      </c>
      <c r="AL10273" s="848" t="s">
        <v>7909</v>
      </c>
      <c r="AM10273" s="848" t="s">
        <v>7909</v>
      </c>
      <c r="AN10273" s="848" t="s">
        <v>7909</v>
      </c>
      <c r="AO10273" s="848" t="s">
        <v>7909</v>
      </c>
      <c r="AP10273" s="848" t="s">
        <v>7909</v>
      </c>
      <c r="AQ10273" s="848" t="s">
        <v>7909</v>
      </c>
      <c r="AR10273" s="848" t="s">
        <v>7909</v>
      </c>
      <c r="AS10273" s="848" t="s">
        <v>7909</v>
      </c>
      <c r="AT10273" s="848" t="s">
        <v>7909</v>
      </c>
      <c r="AU10273" s="848" t="s">
        <v>7909</v>
      </c>
      <c r="AV10273" s="848" t="s">
        <v>7909</v>
      </c>
      <c r="AW10273" s="848" t="s">
        <v>7909</v>
      </c>
      <c r="AX10273" s="848" t="s">
        <v>7909</v>
      </c>
      <c r="AY10273" s="848" t="s">
        <v>7909</v>
      </c>
      <c r="AZ10273" s="848" t="s">
        <v>7909</v>
      </c>
      <c r="BA10273" s="848" t="s">
        <v>7909</v>
      </c>
      <c r="BB10273" s="848" t="s">
        <v>7909</v>
      </c>
      <c r="BC10273" s="848" t="s">
        <v>7909</v>
      </c>
      <c r="BD10273" s="848" t="s">
        <v>7909</v>
      </c>
      <c r="BE10273" s="848" t="s">
        <v>7909</v>
      </c>
      <c r="BF10273" s="848" t="s">
        <v>7909</v>
      </c>
      <c r="BG10273" s="848" t="s">
        <v>7909</v>
      </c>
      <c r="BH10273" s="848" t="s">
        <v>7909</v>
      </c>
      <c r="BI10273" s="848" t="s">
        <v>7909</v>
      </c>
      <c r="BJ10273" s="848" t="s">
        <v>7909</v>
      </c>
      <c r="BK10273" s="848" t="s">
        <v>7909</v>
      </c>
      <c r="BL10273" s="848" t="s">
        <v>7909</v>
      </c>
      <c r="BM10273" s="848" t="s">
        <v>7909</v>
      </c>
      <c r="BN10273" s="848" t="s">
        <v>7909</v>
      </c>
      <c r="BO10273" s="848" t="s">
        <v>7909</v>
      </c>
      <c r="BP10273" s="848" t="s">
        <v>7909</v>
      </c>
      <c r="BQ10273" s="848" t="s">
        <v>7909</v>
      </c>
      <c r="BR10273" s="848" t="s">
        <v>7909</v>
      </c>
      <c r="BS10273" s="848" t="s">
        <v>7909</v>
      </c>
      <c r="BT10273" s="848" t="s">
        <v>7909</v>
      </c>
      <c r="BU10273" s="848" t="s">
        <v>7909</v>
      </c>
      <c r="BV10273" s="848" t="s">
        <v>7909</v>
      </c>
      <c r="BW10273" s="848" t="s">
        <v>7909</v>
      </c>
      <c r="BX10273" s="848" t="s">
        <v>7909</v>
      </c>
      <c r="BY10273" s="848" t="s">
        <v>7909</v>
      </c>
      <c r="BZ10273" s="848" t="s">
        <v>7909</v>
      </c>
      <c r="CA10273" s="848" t="s">
        <v>7909</v>
      </c>
      <c r="CB10273" s="848" t="s">
        <v>7909</v>
      </c>
      <c r="CC10273" s="848" t="s">
        <v>7909</v>
      </c>
      <c r="CD10273" s="848" t="s">
        <v>7909</v>
      </c>
      <c r="CE10273" s="848" t="s">
        <v>7909</v>
      </c>
      <c r="CF10273" s="848" t="s">
        <v>7909</v>
      </c>
      <c r="CG10273" s="848" t="s">
        <v>7909</v>
      </c>
      <c r="CH10273" s="848" t="s">
        <v>7909</v>
      </c>
      <c r="CI10273" s="848" t="s">
        <v>7909</v>
      </c>
      <c r="CJ10273" s="848" t="s">
        <v>7909</v>
      </c>
      <c r="CK10273" s="848" t="s">
        <v>7909</v>
      </c>
      <c r="CL10273" s="848" t="s">
        <v>7909</v>
      </c>
      <c r="CM10273" s="848" t="s">
        <v>7909</v>
      </c>
      <c r="CN10273" s="848" t="s">
        <v>7909</v>
      </c>
      <c r="CO10273" s="848" t="s">
        <v>7909</v>
      </c>
      <c r="CP10273" s="848" t="s">
        <v>7909</v>
      </c>
      <c r="CQ10273" s="848" t="s">
        <v>7909</v>
      </c>
      <c r="CR10273" s="848" t="s">
        <v>7909</v>
      </c>
      <c r="CS10273" s="848" t="s">
        <v>7909</v>
      </c>
      <c r="CT10273" s="848" t="s">
        <v>7909</v>
      </c>
      <c r="CU10273" s="848" t="s">
        <v>7909</v>
      </c>
      <c r="CV10273" s="848" t="s">
        <v>7909</v>
      </c>
      <c r="CW10273" s="848" t="s">
        <v>7909</v>
      </c>
      <c r="CX10273" s="848" t="s">
        <v>7909</v>
      </c>
      <c r="CY10273" s="848" t="s">
        <v>7909</v>
      </c>
      <c r="CZ10273" s="848" t="s">
        <v>7909</v>
      </c>
      <c r="DA10273" s="848" t="s">
        <v>7909</v>
      </c>
      <c r="DB10273" s="848" t="s">
        <v>7909</v>
      </c>
      <c r="DC10273" s="848" t="s">
        <v>7909</v>
      </c>
      <c r="DD10273" s="848" t="s">
        <v>7909</v>
      </c>
      <c r="DE10273" s="848" t="s">
        <v>7909</v>
      </c>
      <c r="DF10273" s="848" t="s">
        <v>7909</v>
      </c>
      <c r="DG10273" s="848" t="s">
        <v>7909</v>
      </c>
      <c r="DH10273" s="848" t="s">
        <v>7909</v>
      </c>
      <c r="DI10273" s="848" t="s">
        <v>7909</v>
      </c>
      <c r="DJ10273" s="848" t="s">
        <v>7909</v>
      </c>
      <c r="DK10273" s="848" t="s">
        <v>7909</v>
      </c>
      <c r="DL10273" s="848" t="s">
        <v>7909</v>
      </c>
      <c r="DM10273" s="848" t="s">
        <v>7909</v>
      </c>
      <c r="DN10273" s="848" t="s">
        <v>7909</v>
      </c>
      <c r="DO10273" s="848" t="s">
        <v>7909</v>
      </c>
      <c r="DP10273" s="848" t="s">
        <v>7909</v>
      </c>
      <c r="DQ10273" s="848" t="s">
        <v>7909</v>
      </c>
      <c r="DR10273" s="848" t="s">
        <v>7909</v>
      </c>
      <c r="DS10273" s="848" t="s">
        <v>7909</v>
      </c>
      <c r="DT10273" s="848" t="s">
        <v>7909</v>
      </c>
      <c r="DU10273" s="848" t="s">
        <v>7909</v>
      </c>
      <c r="DV10273" s="848" t="s">
        <v>7909</v>
      </c>
      <c r="DW10273" s="848" t="s">
        <v>7909</v>
      </c>
      <c r="DX10273" s="848" t="s">
        <v>7909</v>
      </c>
      <c r="DY10273" s="848" t="s">
        <v>7909</v>
      </c>
      <c r="DZ10273" s="848" t="s">
        <v>7909</v>
      </c>
      <c r="EA10273" s="848" t="s">
        <v>7909</v>
      </c>
      <c r="EB10273" s="848" t="s">
        <v>7909</v>
      </c>
      <c r="EC10273" s="848" t="s">
        <v>7909</v>
      </c>
      <c r="ED10273" s="848" t="s">
        <v>7909</v>
      </c>
      <c r="EE10273" s="848" t="s">
        <v>7909</v>
      </c>
      <c r="EF10273" s="848" t="s">
        <v>7909</v>
      </c>
      <c r="EG10273" s="848" t="s">
        <v>7909</v>
      </c>
      <c r="EH10273" s="848" t="s">
        <v>7909</v>
      </c>
      <c r="EI10273" s="848" t="s">
        <v>7909</v>
      </c>
      <c r="EJ10273" s="848" t="s">
        <v>7909</v>
      </c>
      <c r="EK10273" s="848" t="s">
        <v>7909</v>
      </c>
      <c r="EL10273" s="848" t="s">
        <v>7909</v>
      </c>
      <c r="EM10273" s="848" t="s">
        <v>7909</v>
      </c>
      <c r="EN10273" s="848" t="s">
        <v>7909</v>
      </c>
      <c r="EO10273" s="848" t="s">
        <v>7909</v>
      </c>
      <c r="EP10273" s="848" t="s">
        <v>7909</v>
      </c>
      <c r="EQ10273" s="848" t="s">
        <v>7909</v>
      </c>
      <c r="ER10273" s="848" t="s">
        <v>7909</v>
      </c>
      <c r="ES10273" s="848" t="s">
        <v>7909</v>
      </c>
    </row>
    <row r="10274" spans="1:149" ht="15" hidden="1" customHeight="1">
      <c r="A10274" s="841">
        <v>45652</v>
      </c>
      <c r="B10274" s="842" t="s">
        <v>7998</v>
      </c>
      <c r="C10274" s="843" t="s">
        <v>4783</v>
      </c>
      <c r="D10274" s="844">
        <v>-65000</v>
      </c>
      <c r="E10274" s="845">
        <v>45627</v>
      </c>
      <c r="F10274" s="843" t="s">
        <v>130</v>
      </c>
      <c r="G10274" s="843" t="s">
        <v>257</v>
      </c>
      <c r="H10274" s="843" t="s">
        <v>138</v>
      </c>
      <c r="I10274" s="843" t="s">
        <v>7999</v>
      </c>
      <c r="J10274" s="848" t="s">
        <v>7909</v>
      </c>
      <c r="K10274" s="848" t="s">
        <v>7909</v>
      </c>
      <c r="L10274" s="848" t="s">
        <v>7909</v>
      </c>
      <c r="M10274" s="848" t="s">
        <v>7909</v>
      </c>
      <c r="N10274" s="848" t="s">
        <v>7909</v>
      </c>
      <c r="O10274" s="848" t="s">
        <v>7909</v>
      </c>
      <c r="P10274" s="848" t="s">
        <v>7909</v>
      </c>
      <c r="Q10274" s="848" t="s">
        <v>7909</v>
      </c>
      <c r="R10274" s="848" t="s">
        <v>7909</v>
      </c>
      <c r="S10274" s="848" t="s">
        <v>7909</v>
      </c>
      <c r="T10274" s="848" t="s">
        <v>7909</v>
      </c>
      <c r="U10274" s="848" t="s">
        <v>7909</v>
      </c>
      <c r="V10274" s="848" t="s">
        <v>7909</v>
      </c>
      <c r="W10274" s="848" t="s">
        <v>7909</v>
      </c>
      <c r="X10274" s="848" t="s">
        <v>7909</v>
      </c>
      <c r="Y10274" s="848" t="s">
        <v>7909</v>
      </c>
      <c r="Z10274" s="848" t="s">
        <v>7909</v>
      </c>
      <c r="AA10274" s="848" t="s">
        <v>7909</v>
      </c>
      <c r="AB10274" s="848" t="s">
        <v>7909</v>
      </c>
      <c r="AC10274" s="848" t="s">
        <v>7909</v>
      </c>
      <c r="AD10274" s="848" t="s">
        <v>7909</v>
      </c>
      <c r="AE10274" s="848" t="s">
        <v>7909</v>
      </c>
      <c r="AF10274" s="848" t="s">
        <v>7909</v>
      </c>
      <c r="AG10274" s="848" t="s">
        <v>7909</v>
      </c>
      <c r="AH10274" s="848" t="s">
        <v>7909</v>
      </c>
      <c r="AI10274" s="848" t="s">
        <v>7909</v>
      </c>
      <c r="AJ10274" s="848" t="s">
        <v>7909</v>
      </c>
      <c r="AK10274" s="848" t="s">
        <v>7909</v>
      </c>
      <c r="AL10274" s="848" t="s">
        <v>7909</v>
      </c>
      <c r="AM10274" s="848" t="s">
        <v>7909</v>
      </c>
      <c r="AN10274" s="848" t="s">
        <v>7909</v>
      </c>
      <c r="AO10274" s="848" t="s">
        <v>7909</v>
      </c>
      <c r="AP10274" s="848" t="s">
        <v>7909</v>
      </c>
      <c r="AQ10274" s="848" t="s">
        <v>7909</v>
      </c>
      <c r="AR10274" s="848" t="s">
        <v>7909</v>
      </c>
      <c r="AS10274" s="848" t="s">
        <v>7909</v>
      </c>
      <c r="AT10274" s="848" t="s">
        <v>7909</v>
      </c>
      <c r="AU10274" s="848" t="s">
        <v>7909</v>
      </c>
      <c r="AV10274" s="848" t="s">
        <v>7909</v>
      </c>
      <c r="AW10274" s="848" t="s">
        <v>7909</v>
      </c>
      <c r="AX10274" s="848" t="s">
        <v>7909</v>
      </c>
      <c r="AY10274" s="848" t="s">
        <v>7909</v>
      </c>
      <c r="AZ10274" s="848" t="s">
        <v>7909</v>
      </c>
      <c r="BA10274" s="848" t="s">
        <v>7909</v>
      </c>
      <c r="BB10274" s="848" t="s">
        <v>7909</v>
      </c>
      <c r="BC10274" s="848" t="s">
        <v>7909</v>
      </c>
      <c r="BD10274" s="848" t="s">
        <v>7909</v>
      </c>
      <c r="BE10274" s="848" t="s">
        <v>7909</v>
      </c>
      <c r="BF10274" s="848" t="s">
        <v>7909</v>
      </c>
      <c r="BG10274" s="848" t="s">
        <v>7909</v>
      </c>
      <c r="BH10274" s="848" t="s">
        <v>7909</v>
      </c>
      <c r="BI10274" s="848" t="s">
        <v>7909</v>
      </c>
      <c r="BJ10274" s="848" t="s">
        <v>7909</v>
      </c>
      <c r="BK10274" s="848" t="s">
        <v>7909</v>
      </c>
      <c r="BL10274" s="848" t="s">
        <v>7909</v>
      </c>
      <c r="BM10274" s="848" t="s">
        <v>7909</v>
      </c>
      <c r="BN10274" s="848" t="s">
        <v>7909</v>
      </c>
      <c r="BO10274" s="848" t="s">
        <v>7909</v>
      </c>
      <c r="BP10274" s="848" t="s">
        <v>7909</v>
      </c>
      <c r="BQ10274" s="848" t="s">
        <v>7909</v>
      </c>
      <c r="BR10274" s="848" t="s">
        <v>7909</v>
      </c>
      <c r="BS10274" s="848" t="s">
        <v>7909</v>
      </c>
      <c r="BT10274" s="848" t="s">
        <v>7909</v>
      </c>
      <c r="BU10274" s="848" t="s">
        <v>7909</v>
      </c>
      <c r="BV10274" s="848" t="s">
        <v>7909</v>
      </c>
      <c r="BW10274" s="848" t="s">
        <v>7909</v>
      </c>
      <c r="BX10274" s="848" t="s">
        <v>7909</v>
      </c>
      <c r="BY10274" s="848" t="s">
        <v>7909</v>
      </c>
      <c r="BZ10274" s="848" t="s">
        <v>7909</v>
      </c>
      <c r="CA10274" s="848" t="s">
        <v>7909</v>
      </c>
      <c r="CB10274" s="848" t="s">
        <v>7909</v>
      </c>
      <c r="CC10274" s="848" t="s">
        <v>7909</v>
      </c>
      <c r="CD10274" s="848" t="s">
        <v>7909</v>
      </c>
      <c r="CE10274" s="848" t="s">
        <v>7909</v>
      </c>
      <c r="CF10274" s="848" t="s">
        <v>7909</v>
      </c>
      <c r="CG10274" s="848" t="s">
        <v>7909</v>
      </c>
      <c r="CH10274" s="848" t="s">
        <v>7909</v>
      </c>
      <c r="CI10274" s="848" t="s">
        <v>7909</v>
      </c>
      <c r="CJ10274" s="848" t="s">
        <v>7909</v>
      </c>
      <c r="CK10274" s="848" t="s">
        <v>7909</v>
      </c>
      <c r="CL10274" s="848" t="s">
        <v>7909</v>
      </c>
      <c r="CM10274" s="848" t="s">
        <v>7909</v>
      </c>
      <c r="CN10274" s="848" t="s">
        <v>7909</v>
      </c>
      <c r="CO10274" s="848" t="s">
        <v>7909</v>
      </c>
      <c r="CP10274" s="848" t="s">
        <v>7909</v>
      </c>
      <c r="CQ10274" s="848" t="s">
        <v>7909</v>
      </c>
      <c r="CR10274" s="848" t="s">
        <v>7909</v>
      </c>
      <c r="CS10274" s="848" t="s">
        <v>7909</v>
      </c>
      <c r="CT10274" s="848" t="s">
        <v>7909</v>
      </c>
      <c r="CU10274" s="848" t="s">
        <v>7909</v>
      </c>
      <c r="CV10274" s="848" t="s">
        <v>7909</v>
      </c>
      <c r="CW10274" s="848" t="s">
        <v>7909</v>
      </c>
      <c r="CX10274" s="848" t="s">
        <v>7909</v>
      </c>
      <c r="CY10274" s="848" t="s">
        <v>7909</v>
      </c>
      <c r="CZ10274" s="848" t="s">
        <v>7909</v>
      </c>
      <c r="DA10274" s="848" t="s">
        <v>7909</v>
      </c>
      <c r="DB10274" s="848" t="s">
        <v>7909</v>
      </c>
      <c r="DC10274" s="848" t="s">
        <v>7909</v>
      </c>
      <c r="DD10274" s="848" t="s">
        <v>7909</v>
      </c>
      <c r="DE10274" s="848" t="s">
        <v>7909</v>
      </c>
      <c r="DF10274" s="848" t="s">
        <v>7909</v>
      </c>
      <c r="DG10274" s="848" t="s">
        <v>7909</v>
      </c>
      <c r="DH10274" s="848" t="s">
        <v>7909</v>
      </c>
      <c r="DI10274" s="848" t="s">
        <v>7909</v>
      </c>
      <c r="DJ10274" s="848" t="s">
        <v>7909</v>
      </c>
      <c r="DK10274" s="848" t="s">
        <v>7909</v>
      </c>
      <c r="DL10274" s="848" t="s">
        <v>7909</v>
      </c>
      <c r="DM10274" s="848" t="s">
        <v>7909</v>
      </c>
      <c r="DN10274" s="848" t="s">
        <v>7909</v>
      </c>
      <c r="DO10274" s="848" t="s">
        <v>7909</v>
      </c>
      <c r="DP10274" s="848" t="s">
        <v>7909</v>
      </c>
      <c r="DQ10274" s="848" t="s">
        <v>7909</v>
      </c>
      <c r="DR10274" s="848" t="s">
        <v>7909</v>
      </c>
      <c r="DS10274" s="848" t="s">
        <v>7909</v>
      </c>
      <c r="DT10274" s="848" t="s">
        <v>7909</v>
      </c>
      <c r="DU10274" s="848" t="s">
        <v>7909</v>
      </c>
      <c r="DV10274" s="848" t="s">
        <v>7909</v>
      </c>
      <c r="DW10274" s="848" t="s">
        <v>7909</v>
      </c>
      <c r="DX10274" s="848" t="s">
        <v>7909</v>
      </c>
      <c r="DY10274" s="848" t="s">
        <v>7909</v>
      </c>
      <c r="DZ10274" s="848" t="s">
        <v>7909</v>
      </c>
      <c r="EA10274" s="848" t="s">
        <v>7909</v>
      </c>
      <c r="EB10274" s="848" t="s">
        <v>7909</v>
      </c>
      <c r="EC10274" s="848" t="s">
        <v>7909</v>
      </c>
      <c r="ED10274" s="848" t="s">
        <v>7909</v>
      </c>
      <c r="EE10274" s="848" t="s">
        <v>7909</v>
      </c>
      <c r="EF10274" s="848" t="s">
        <v>7909</v>
      </c>
      <c r="EG10274" s="848" t="s">
        <v>7909</v>
      </c>
      <c r="EH10274" s="848" t="s">
        <v>7909</v>
      </c>
      <c r="EI10274" s="848" t="s">
        <v>7909</v>
      </c>
      <c r="EJ10274" s="848" t="s">
        <v>7909</v>
      </c>
      <c r="EK10274" s="848" t="s">
        <v>7909</v>
      </c>
      <c r="EL10274" s="848" t="s">
        <v>7909</v>
      </c>
      <c r="EM10274" s="848" t="s">
        <v>7909</v>
      </c>
      <c r="EN10274" s="848" t="s">
        <v>7909</v>
      </c>
      <c r="EO10274" s="848" t="s">
        <v>7909</v>
      </c>
      <c r="EP10274" s="848" t="s">
        <v>7909</v>
      </c>
      <c r="EQ10274" s="848" t="s">
        <v>7909</v>
      </c>
      <c r="ER10274" s="848" t="s">
        <v>7909</v>
      </c>
      <c r="ES10274" s="848" t="s">
        <v>7909</v>
      </c>
    </row>
    <row r="10275" spans="1:149" ht="15" hidden="1" customHeight="1">
      <c r="A10275" s="841">
        <v>45652</v>
      </c>
      <c r="B10275" s="842" t="s">
        <v>8000</v>
      </c>
      <c r="C10275" s="843" t="s">
        <v>4783</v>
      </c>
      <c r="D10275" s="844">
        <v>-116271</v>
      </c>
      <c r="E10275" s="845">
        <v>45627</v>
      </c>
      <c r="F10275" s="843" t="s">
        <v>109</v>
      </c>
      <c r="G10275" s="206" t="s">
        <v>6903</v>
      </c>
      <c r="H10275" s="843" t="s">
        <v>138</v>
      </c>
      <c r="I10275" s="843" t="s">
        <v>7999</v>
      </c>
      <c r="J10275" s="848" t="s">
        <v>7909</v>
      </c>
      <c r="K10275" s="848" t="s">
        <v>7909</v>
      </c>
      <c r="L10275" s="848" t="s">
        <v>7909</v>
      </c>
      <c r="M10275" s="848" t="s">
        <v>7909</v>
      </c>
      <c r="N10275" s="848" t="s">
        <v>7909</v>
      </c>
      <c r="O10275" s="848" t="s">
        <v>7909</v>
      </c>
      <c r="P10275" s="848" t="s">
        <v>7909</v>
      </c>
      <c r="Q10275" s="848" t="s">
        <v>7909</v>
      </c>
      <c r="R10275" s="848" t="s">
        <v>7909</v>
      </c>
      <c r="S10275" s="848" t="s">
        <v>7909</v>
      </c>
      <c r="T10275" s="848" t="s">
        <v>7909</v>
      </c>
      <c r="U10275" s="848" t="s">
        <v>7909</v>
      </c>
      <c r="V10275" s="848" t="s">
        <v>7909</v>
      </c>
      <c r="W10275" s="848" t="s">
        <v>7909</v>
      </c>
      <c r="X10275" s="848" t="s">
        <v>7909</v>
      </c>
      <c r="Y10275" s="848" t="s">
        <v>7909</v>
      </c>
      <c r="Z10275" s="848" t="s">
        <v>7909</v>
      </c>
      <c r="AA10275" s="848" t="s">
        <v>7909</v>
      </c>
      <c r="AB10275" s="848" t="s">
        <v>7909</v>
      </c>
      <c r="AC10275" s="848" t="s">
        <v>7909</v>
      </c>
      <c r="AD10275" s="848" t="s">
        <v>7909</v>
      </c>
      <c r="AE10275" s="848" t="s">
        <v>7909</v>
      </c>
      <c r="AF10275" s="848" t="s">
        <v>7909</v>
      </c>
      <c r="AG10275" s="848" t="s">
        <v>7909</v>
      </c>
      <c r="AH10275" s="848" t="s">
        <v>7909</v>
      </c>
      <c r="AI10275" s="848" t="s">
        <v>7909</v>
      </c>
      <c r="AJ10275" s="848" t="s">
        <v>7909</v>
      </c>
      <c r="AK10275" s="848" t="s">
        <v>7909</v>
      </c>
      <c r="AL10275" s="848" t="s">
        <v>7909</v>
      </c>
      <c r="AM10275" s="848" t="s">
        <v>7909</v>
      </c>
      <c r="AN10275" s="848" t="s">
        <v>7909</v>
      </c>
      <c r="AO10275" s="848" t="s">
        <v>7909</v>
      </c>
      <c r="AP10275" s="848" t="s">
        <v>7909</v>
      </c>
      <c r="AQ10275" s="848" t="s">
        <v>7909</v>
      </c>
      <c r="AR10275" s="848" t="s">
        <v>7909</v>
      </c>
      <c r="AS10275" s="848" t="s">
        <v>7909</v>
      </c>
      <c r="AT10275" s="848" t="s">
        <v>7909</v>
      </c>
      <c r="AU10275" s="848" t="s">
        <v>7909</v>
      </c>
      <c r="AV10275" s="848" t="s">
        <v>7909</v>
      </c>
      <c r="AW10275" s="848" t="s">
        <v>7909</v>
      </c>
      <c r="AX10275" s="848" t="s">
        <v>7909</v>
      </c>
      <c r="AY10275" s="848" t="s">
        <v>7909</v>
      </c>
      <c r="AZ10275" s="848" t="s">
        <v>7909</v>
      </c>
      <c r="BA10275" s="848" t="s">
        <v>7909</v>
      </c>
      <c r="BB10275" s="848" t="s">
        <v>7909</v>
      </c>
      <c r="BC10275" s="848" t="s">
        <v>7909</v>
      </c>
      <c r="BD10275" s="848" t="s">
        <v>7909</v>
      </c>
      <c r="BE10275" s="848" t="s">
        <v>7909</v>
      </c>
      <c r="BF10275" s="848" t="s">
        <v>7909</v>
      </c>
      <c r="BG10275" s="848" t="s">
        <v>7909</v>
      </c>
      <c r="BH10275" s="848" t="s">
        <v>7909</v>
      </c>
      <c r="BI10275" s="848" t="s">
        <v>7909</v>
      </c>
      <c r="BJ10275" s="848" t="s">
        <v>7909</v>
      </c>
      <c r="BK10275" s="848" t="s">
        <v>7909</v>
      </c>
      <c r="BL10275" s="848" t="s">
        <v>7909</v>
      </c>
      <c r="BM10275" s="848" t="s">
        <v>7909</v>
      </c>
      <c r="BN10275" s="848" t="s">
        <v>7909</v>
      </c>
      <c r="BO10275" s="848" t="s">
        <v>7909</v>
      </c>
      <c r="BP10275" s="848" t="s">
        <v>7909</v>
      </c>
      <c r="BQ10275" s="848" t="s">
        <v>7909</v>
      </c>
      <c r="BR10275" s="848" t="s">
        <v>7909</v>
      </c>
      <c r="BS10275" s="848" t="s">
        <v>7909</v>
      </c>
      <c r="BT10275" s="848" t="s">
        <v>7909</v>
      </c>
      <c r="BU10275" s="848" t="s">
        <v>7909</v>
      </c>
      <c r="BV10275" s="848" t="s">
        <v>7909</v>
      </c>
      <c r="BW10275" s="848" t="s">
        <v>7909</v>
      </c>
      <c r="BX10275" s="848" t="s">
        <v>7909</v>
      </c>
      <c r="BY10275" s="848" t="s">
        <v>7909</v>
      </c>
      <c r="BZ10275" s="848" t="s">
        <v>7909</v>
      </c>
      <c r="CA10275" s="848" t="s">
        <v>7909</v>
      </c>
      <c r="CB10275" s="848" t="s">
        <v>7909</v>
      </c>
      <c r="CC10275" s="848" t="s">
        <v>7909</v>
      </c>
      <c r="CD10275" s="848" t="s">
        <v>7909</v>
      </c>
      <c r="CE10275" s="848" t="s">
        <v>7909</v>
      </c>
      <c r="CF10275" s="848" t="s">
        <v>7909</v>
      </c>
      <c r="CG10275" s="848" t="s">
        <v>7909</v>
      </c>
      <c r="CH10275" s="848" t="s">
        <v>7909</v>
      </c>
      <c r="CI10275" s="848" t="s">
        <v>7909</v>
      </c>
      <c r="CJ10275" s="848" t="s">
        <v>7909</v>
      </c>
      <c r="CK10275" s="848" t="s">
        <v>7909</v>
      </c>
      <c r="CL10275" s="848" t="s">
        <v>7909</v>
      </c>
      <c r="CM10275" s="848" t="s">
        <v>7909</v>
      </c>
      <c r="CN10275" s="848" t="s">
        <v>7909</v>
      </c>
      <c r="CO10275" s="848" t="s">
        <v>7909</v>
      </c>
      <c r="CP10275" s="848" t="s">
        <v>7909</v>
      </c>
      <c r="CQ10275" s="848" t="s">
        <v>7909</v>
      </c>
      <c r="CR10275" s="848" t="s">
        <v>7909</v>
      </c>
      <c r="CS10275" s="848" t="s">
        <v>7909</v>
      </c>
      <c r="CT10275" s="848" t="s">
        <v>7909</v>
      </c>
      <c r="CU10275" s="848" t="s">
        <v>7909</v>
      </c>
      <c r="CV10275" s="848" t="s">
        <v>7909</v>
      </c>
      <c r="CW10275" s="848" t="s">
        <v>7909</v>
      </c>
      <c r="CX10275" s="848" t="s">
        <v>7909</v>
      </c>
      <c r="CY10275" s="848" t="s">
        <v>7909</v>
      </c>
      <c r="CZ10275" s="848" t="s">
        <v>7909</v>
      </c>
      <c r="DA10275" s="848" t="s">
        <v>7909</v>
      </c>
      <c r="DB10275" s="848" t="s">
        <v>7909</v>
      </c>
      <c r="DC10275" s="848" t="s">
        <v>7909</v>
      </c>
      <c r="DD10275" s="848" t="s">
        <v>7909</v>
      </c>
      <c r="DE10275" s="848" t="s">
        <v>7909</v>
      </c>
      <c r="DF10275" s="848" t="s">
        <v>7909</v>
      </c>
      <c r="DG10275" s="848" t="s">
        <v>7909</v>
      </c>
      <c r="DH10275" s="848" t="s">
        <v>7909</v>
      </c>
      <c r="DI10275" s="848" t="s">
        <v>7909</v>
      </c>
      <c r="DJ10275" s="848" t="s">
        <v>7909</v>
      </c>
      <c r="DK10275" s="848" t="s">
        <v>7909</v>
      </c>
      <c r="DL10275" s="848" t="s">
        <v>7909</v>
      </c>
      <c r="DM10275" s="848" t="s">
        <v>7909</v>
      </c>
      <c r="DN10275" s="848" t="s">
        <v>7909</v>
      </c>
      <c r="DO10275" s="848" t="s">
        <v>7909</v>
      </c>
      <c r="DP10275" s="848" t="s">
        <v>7909</v>
      </c>
      <c r="DQ10275" s="848" t="s">
        <v>7909</v>
      </c>
      <c r="DR10275" s="848" t="s">
        <v>7909</v>
      </c>
      <c r="DS10275" s="848" t="s">
        <v>7909</v>
      </c>
      <c r="DT10275" s="848" t="s">
        <v>7909</v>
      </c>
      <c r="DU10275" s="848" t="s">
        <v>7909</v>
      </c>
      <c r="DV10275" s="848" t="s">
        <v>7909</v>
      </c>
      <c r="DW10275" s="848" t="s">
        <v>7909</v>
      </c>
      <c r="DX10275" s="848" t="s">
        <v>7909</v>
      </c>
      <c r="DY10275" s="848" t="s">
        <v>7909</v>
      </c>
      <c r="DZ10275" s="848" t="s">
        <v>7909</v>
      </c>
      <c r="EA10275" s="848" t="s">
        <v>7909</v>
      </c>
      <c r="EB10275" s="848" t="s">
        <v>7909</v>
      </c>
      <c r="EC10275" s="848" t="s">
        <v>7909</v>
      </c>
      <c r="ED10275" s="848" t="s">
        <v>7909</v>
      </c>
      <c r="EE10275" s="848" t="s">
        <v>7909</v>
      </c>
      <c r="EF10275" s="848" t="s">
        <v>7909</v>
      </c>
      <c r="EG10275" s="848" t="s">
        <v>7909</v>
      </c>
      <c r="EH10275" s="848" t="s">
        <v>7909</v>
      </c>
      <c r="EI10275" s="848" t="s">
        <v>7909</v>
      </c>
      <c r="EJ10275" s="848" t="s">
        <v>7909</v>
      </c>
      <c r="EK10275" s="848" t="s">
        <v>7909</v>
      </c>
      <c r="EL10275" s="848" t="s">
        <v>7909</v>
      </c>
      <c r="EM10275" s="848" t="s">
        <v>7909</v>
      </c>
      <c r="EN10275" s="848" t="s">
        <v>7909</v>
      </c>
      <c r="EO10275" s="848" t="s">
        <v>7909</v>
      </c>
      <c r="EP10275" s="848" t="s">
        <v>7909</v>
      </c>
      <c r="EQ10275" s="848" t="s">
        <v>7909</v>
      </c>
      <c r="ER10275" s="848" t="s">
        <v>7909</v>
      </c>
      <c r="ES10275" s="848" t="s">
        <v>7909</v>
      </c>
    </row>
    <row r="10276" spans="1:149" ht="15" hidden="1" customHeight="1">
      <c r="A10276" s="841">
        <v>45652</v>
      </c>
      <c r="B10276" s="842" t="s">
        <v>8001</v>
      </c>
      <c r="C10276" s="843" t="s">
        <v>4783</v>
      </c>
      <c r="D10276" s="844">
        <v>-128800</v>
      </c>
      <c r="E10276" s="845">
        <v>45627</v>
      </c>
      <c r="F10276" s="843" t="s">
        <v>109</v>
      </c>
      <c r="G10276" s="206" t="s">
        <v>6903</v>
      </c>
      <c r="H10276" s="843" t="s">
        <v>138</v>
      </c>
      <c r="I10276" s="843" t="s">
        <v>7999</v>
      </c>
      <c r="J10276" s="848" t="s">
        <v>7909</v>
      </c>
      <c r="K10276" s="848" t="s">
        <v>7909</v>
      </c>
      <c r="L10276" s="848" t="s">
        <v>7909</v>
      </c>
      <c r="M10276" s="848" t="s">
        <v>7909</v>
      </c>
      <c r="N10276" s="848" t="s">
        <v>7909</v>
      </c>
      <c r="O10276" s="848" t="s">
        <v>7909</v>
      </c>
      <c r="P10276" s="848" t="s">
        <v>7909</v>
      </c>
      <c r="Q10276" s="848" t="s">
        <v>7909</v>
      </c>
      <c r="R10276" s="848" t="s">
        <v>7909</v>
      </c>
      <c r="S10276" s="848" t="s">
        <v>7909</v>
      </c>
      <c r="T10276" s="848" t="s">
        <v>7909</v>
      </c>
      <c r="U10276" s="848" t="s">
        <v>7909</v>
      </c>
      <c r="V10276" s="848" t="s">
        <v>7909</v>
      </c>
      <c r="W10276" s="848" t="s">
        <v>7909</v>
      </c>
      <c r="X10276" s="848" t="s">
        <v>7909</v>
      </c>
      <c r="Y10276" s="848" t="s">
        <v>7909</v>
      </c>
      <c r="Z10276" s="848" t="s">
        <v>7909</v>
      </c>
      <c r="AA10276" s="848" t="s">
        <v>7909</v>
      </c>
      <c r="AB10276" s="848" t="s">
        <v>7909</v>
      </c>
      <c r="AC10276" s="848" t="s">
        <v>7909</v>
      </c>
      <c r="AD10276" s="848" t="s">
        <v>7909</v>
      </c>
      <c r="AE10276" s="848" t="s">
        <v>7909</v>
      </c>
      <c r="AF10276" s="848" t="s">
        <v>7909</v>
      </c>
      <c r="AG10276" s="848" t="s">
        <v>7909</v>
      </c>
      <c r="AH10276" s="848" t="s">
        <v>7909</v>
      </c>
      <c r="AI10276" s="848" t="s">
        <v>7909</v>
      </c>
      <c r="AJ10276" s="848" t="s">
        <v>7909</v>
      </c>
      <c r="AK10276" s="848" t="s">
        <v>7909</v>
      </c>
      <c r="AL10276" s="848" t="s">
        <v>7909</v>
      </c>
      <c r="AM10276" s="848" t="s">
        <v>7909</v>
      </c>
      <c r="AN10276" s="848" t="s">
        <v>7909</v>
      </c>
      <c r="AO10276" s="848" t="s">
        <v>7909</v>
      </c>
      <c r="AP10276" s="848" t="s">
        <v>7909</v>
      </c>
      <c r="AQ10276" s="848" t="s">
        <v>7909</v>
      </c>
      <c r="AR10276" s="848" t="s">
        <v>7909</v>
      </c>
      <c r="AS10276" s="848" t="s">
        <v>7909</v>
      </c>
      <c r="AT10276" s="848" t="s">
        <v>7909</v>
      </c>
      <c r="AU10276" s="848" t="s">
        <v>7909</v>
      </c>
      <c r="AV10276" s="848" t="s">
        <v>7909</v>
      </c>
      <c r="AW10276" s="848" t="s">
        <v>7909</v>
      </c>
      <c r="AX10276" s="848" t="s">
        <v>7909</v>
      </c>
      <c r="AY10276" s="848" t="s">
        <v>7909</v>
      </c>
      <c r="AZ10276" s="848" t="s">
        <v>7909</v>
      </c>
      <c r="BA10276" s="848" t="s">
        <v>7909</v>
      </c>
      <c r="BB10276" s="848" t="s">
        <v>7909</v>
      </c>
      <c r="BC10276" s="848" t="s">
        <v>7909</v>
      </c>
      <c r="BD10276" s="848" t="s">
        <v>7909</v>
      </c>
      <c r="BE10276" s="848" t="s">
        <v>7909</v>
      </c>
      <c r="BF10276" s="848" t="s">
        <v>7909</v>
      </c>
      <c r="BG10276" s="848" t="s">
        <v>7909</v>
      </c>
      <c r="BH10276" s="848" t="s">
        <v>7909</v>
      </c>
      <c r="BI10276" s="848" t="s">
        <v>7909</v>
      </c>
      <c r="BJ10276" s="848" t="s">
        <v>7909</v>
      </c>
      <c r="BK10276" s="848" t="s">
        <v>7909</v>
      </c>
      <c r="BL10276" s="848" t="s">
        <v>7909</v>
      </c>
      <c r="BM10276" s="848" t="s">
        <v>7909</v>
      </c>
      <c r="BN10276" s="848" t="s">
        <v>7909</v>
      </c>
      <c r="BO10276" s="848" t="s">
        <v>7909</v>
      </c>
      <c r="BP10276" s="848" t="s">
        <v>7909</v>
      </c>
      <c r="BQ10276" s="848" t="s">
        <v>7909</v>
      </c>
      <c r="BR10276" s="848" t="s">
        <v>7909</v>
      </c>
      <c r="BS10276" s="848" t="s">
        <v>7909</v>
      </c>
      <c r="BT10276" s="848" t="s">
        <v>7909</v>
      </c>
      <c r="BU10276" s="848" t="s">
        <v>7909</v>
      </c>
      <c r="BV10276" s="848" t="s">
        <v>7909</v>
      </c>
      <c r="BW10276" s="848" t="s">
        <v>7909</v>
      </c>
      <c r="BX10276" s="848" t="s">
        <v>7909</v>
      </c>
      <c r="BY10276" s="848" t="s">
        <v>7909</v>
      </c>
      <c r="BZ10276" s="848" t="s">
        <v>7909</v>
      </c>
      <c r="CA10276" s="848" t="s">
        <v>7909</v>
      </c>
      <c r="CB10276" s="848" t="s">
        <v>7909</v>
      </c>
      <c r="CC10276" s="848" t="s">
        <v>7909</v>
      </c>
      <c r="CD10276" s="848" t="s">
        <v>7909</v>
      </c>
      <c r="CE10276" s="848" t="s">
        <v>7909</v>
      </c>
      <c r="CF10276" s="848" t="s">
        <v>7909</v>
      </c>
      <c r="CG10276" s="848" t="s">
        <v>7909</v>
      </c>
      <c r="CH10276" s="848" t="s">
        <v>7909</v>
      </c>
      <c r="CI10276" s="848" t="s">
        <v>7909</v>
      </c>
      <c r="CJ10276" s="848" t="s">
        <v>7909</v>
      </c>
      <c r="CK10276" s="848" t="s">
        <v>7909</v>
      </c>
      <c r="CL10276" s="848" t="s">
        <v>7909</v>
      </c>
      <c r="CM10276" s="848" t="s">
        <v>7909</v>
      </c>
      <c r="CN10276" s="848" t="s">
        <v>7909</v>
      </c>
      <c r="CO10276" s="848" t="s">
        <v>7909</v>
      </c>
      <c r="CP10276" s="848" t="s">
        <v>7909</v>
      </c>
      <c r="CQ10276" s="848" t="s">
        <v>7909</v>
      </c>
      <c r="CR10276" s="848" t="s">
        <v>7909</v>
      </c>
      <c r="CS10276" s="848" t="s">
        <v>7909</v>
      </c>
      <c r="CT10276" s="848" t="s">
        <v>7909</v>
      </c>
      <c r="CU10276" s="848" t="s">
        <v>7909</v>
      </c>
      <c r="CV10276" s="848" t="s">
        <v>7909</v>
      </c>
      <c r="CW10276" s="848" t="s">
        <v>7909</v>
      </c>
      <c r="CX10276" s="848" t="s">
        <v>7909</v>
      </c>
      <c r="CY10276" s="848" t="s">
        <v>7909</v>
      </c>
      <c r="CZ10276" s="848" t="s">
        <v>7909</v>
      </c>
      <c r="DA10276" s="848" t="s">
        <v>7909</v>
      </c>
      <c r="DB10276" s="848" t="s">
        <v>7909</v>
      </c>
      <c r="DC10276" s="848" t="s">
        <v>7909</v>
      </c>
      <c r="DD10276" s="848" t="s">
        <v>7909</v>
      </c>
      <c r="DE10276" s="848" t="s">
        <v>7909</v>
      </c>
      <c r="DF10276" s="848" t="s">
        <v>7909</v>
      </c>
      <c r="DG10276" s="848" t="s">
        <v>7909</v>
      </c>
      <c r="DH10276" s="848" t="s">
        <v>7909</v>
      </c>
      <c r="DI10276" s="848" t="s">
        <v>7909</v>
      </c>
      <c r="DJ10276" s="848" t="s">
        <v>7909</v>
      </c>
      <c r="DK10276" s="848" t="s">
        <v>7909</v>
      </c>
      <c r="DL10276" s="848" t="s">
        <v>7909</v>
      </c>
      <c r="DM10276" s="848" t="s">
        <v>7909</v>
      </c>
      <c r="DN10276" s="848" t="s">
        <v>7909</v>
      </c>
      <c r="DO10276" s="848" t="s">
        <v>7909</v>
      </c>
      <c r="DP10276" s="848" t="s">
        <v>7909</v>
      </c>
      <c r="DQ10276" s="848" t="s">
        <v>7909</v>
      </c>
      <c r="DR10276" s="848" t="s">
        <v>7909</v>
      </c>
      <c r="DS10276" s="848" t="s">
        <v>7909</v>
      </c>
      <c r="DT10276" s="848" t="s">
        <v>7909</v>
      </c>
      <c r="DU10276" s="848" t="s">
        <v>7909</v>
      </c>
      <c r="DV10276" s="848" t="s">
        <v>7909</v>
      </c>
      <c r="DW10276" s="848" t="s">
        <v>7909</v>
      </c>
      <c r="DX10276" s="848" t="s">
        <v>7909</v>
      </c>
      <c r="DY10276" s="848" t="s">
        <v>7909</v>
      </c>
      <c r="DZ10276" s="848" t="s">
        <v>7909</v>
      </c>
      <c r="EA10276" s="848" t="s">
        <v>7909</v>
      </c>
      <c r="EB10276" s="848" t="s">
        <v>7909</v>
      </c>
      <c r="EC10276" s="848" t="s">
        <v>7909</v>
      </c>
      <c r="ED10276" s="848" t="s">
        <v>7909</v>
      </c>
      <c r="EE10276" s="848" t="s">
        <v>7909</v>
      </c>
      <c r="EF10276" s="848" t="s">
        <v>7909</v>
      </c>
      <c r="EG10276" s="848" t="s">
        <v>7909</v>
      </c>
      <c r="EH10276" s="848" t="s">
        <v>7909</v>
      </c>
      <c r="EI10276" s="848" t="s">
        <v>7909</v>
      </c>
      <c r="EJ10276" s="848" t="s">
        <v>7909</v>
      </c>
      <c r="EK10276" s="848" t="s">
        <v>7909</v>
      </c>
      <c r="EL10276" s="848" t="s">
        <v>7909</v>
      </c>
      <c r="EM10276" s="848" t="s">
        <v>7909</v>
      </c>
      <c r="EN10276" s="848" t="s">
        <v>7909</v>
      </c>
      <c r="EO10276" s="848" t="s">
        <v>7909</v>
      </c>
      <c r="EP10276" s="848" t="s">
        <v>7909</v>
      </c>
      <c r="EQ10276" s="848" t="s">
        <v>7909</v>
      </c>
      <c r="ER10276" s="848" t="s">
        <v>7909</v>
      </c>
      <c r="ES10276" s="848" t="s">
        <v>7909</v>
      </c>
    </row>
    <row r="10277" spans="1:149" ht="15" hidden="1" customHeight="1">
      <c r="A10277" s="841">
        <v>45652</v>
      </c>
      <c r="B10277" s="842" t="s">
        <v>8002</v>
      </c>
      <c r="C10277" s="843" t="s">
        <v>4783</v>
      </c>
      <c r="D10277" s="844">
        <v>-172400</v>
      </c>
      <c r="E10277" s="845">
        <v>45627</v>
      </c>
      <c r="F10277" s="843" t="s">
        <v>109</v>
      </c>
      <c r="G10277" s="206" t="s">
        <v>6903</v>
      </c>
      <c r="H10277" s="843" t="s">
        <v>138</v>
      </c>
      <c r="I10277" s="843" t="s">
        <v>7999</v>
      </c>
      <c r="J10277" s="848" t="s">
        <v>7909</v>
      </c>
      <c r="K10277" s="848" t="s">
        <v>7909</v>
      </c>
      <c r="L10277" s="848" t="s">
        <v>7909</v>
      </c>
      <c r="M10277" s="848" t="s">
        <v>7909</v>
      </c>
      <c r="N10277" s="848" t="s">
        <v>7909</v>
      </c>
      <c r="O10277" s="848" t="s">
        <v>7909</v>
      </c>
      <c r="P10277" s="848" t="s">
        <v>7909</v>
      </c>
      <c r="Q10277" s="848" t="s">
        <v>7909</v>
      </c>
      <c r="R10277" s="848" t="s">
        <v>7909</v>
      </c>
      <c r="S10277" s="848" t="s">
        <v>7909</v>
      </c>
      <c r="T10277" s="848" t="s">
        <v>7909</v>
      </c>
      <c r="U10277" s="848" t="s">
        <v>7909</v>
      </c>
      <c r="V10277" s="848" t="s">
        <v>7909</v>
      </c>
      <c r="W10277" s="848" t="s">
        <v>7909</v>
      </c>
      <c r="X10277" s="848" t="s">
        <v>7909</v>
      </c>
      <c r="Y10277" s="848" t="s">
        <v>7909</v>
      </c>
      <c r="Z10277" s="848" t="s">
        <v>7909</v>
      </c>
      <c r="AA10277" s="848" t="s">
        <v>7909</v>
      </c>
      <c r="AB10277" s="848" t="s">
        <v>7909</v>
      </c>
      <c r="AC10277" s="848" t="s">
        <v>7909</v>
      </c>
      <c r="AD10277" s="848" t="s">
        <v>7909</v>
      </c>
      <c r="AE10277" s="848" t="s">
        <v>7909</v>
      </c>
      <c r="AF10277" s="848" t="s">
        <v>7909</v>
      </c>
      <c r="AG10277" s="848" t="s">
        <v>7909</v>
      </c>
      <c r="AH10277" s="848" t="s">
        <v>7909</v>
      </c>
      <c r="AI10277" s="848" t="s">
        <v>7909</v>
      </c>
      <c r="AJ10277" s="848" t="s">
        <v>7909</v>
      </c>
      <c r="AK10277" s="848" t="s">
        <v>7909</v>
      </c>
      <c r="AL10277" s="848" t="s">
        <v>7909</v>
      </c>
      <c r="AM10277" s="848" t="s">
        <v>7909</v>
      </c>
      <c r="AN10277" s="848" t="s">
        <v>7909</v>
      </c>
      <c r="AO10277" s="848" t="s">
        <v>7909</v>
      </c>
      <c r="AP10277" s="848" t="s">
        <v>7909</v>
      </c>
      <c r="AQ10277" s="848" t="s">
        <v>7909</v>
      </c>
      <c r="AR10277" s="848" t="s">
        <v>7909</v>
      </c>
      <c r="AS10277" s="848" t="s">
        <v>7909</v>
      </c>
      <c r="AT10277" s="848" t="s">
        <v>7909</v>
      </c>
      <c r="AU10277" s="848" t="s">
        <v>7909</v>
      </c>
      <c r="AV10277" s="848" t="s">
        <v>7909</v>
      </c>
      <c r="AW10277" s="848" t="s">
        <v>7909</v>
      </c>
      <c r="AX10277" s="848" t="s">
        <v>7909</v>
      </c>
      <c r="AY10277" s="848" t="s">
        <v>7909</v>
      </c>
      <c r="AZ10277" s="848" t="s">
        <v>7909</v>
      </c>
      <c r="BA10277" s="848" t="s">
        <v>7909</v>
      </c>
      <c r="BB10277" s="848" t="s">
        <v>7909</v>
      </c>
      <c r="BC10277" s="848" t="s">
        <v>7909</v>
      </c>
      <c r="BD10277" s="848" t="s">
        <v>7909</v>
      </c>
      <c r="BE10277" s="848" t="s">
        <v>7909</v>
      </c>
      <c r="BF10277" s="848" t="s">
        <v>7909</v>
      </c>
      <c r="BG10277" s="848" t="s">
        <v>7909</v>
      </c>
      <c r="BH10277" s="848" t="s">
        <v>7909</v>
      </c>
      <c r="BI10277" s="848" t="s">
        <v>7909</v>
      </c>
      <c r="BJ10277" s="848" t="s">
        <v>7909</v>
      </c>
      <c r="BK10277" s="848" t="s">
        <v>7909</v>
      </c>
      <c r="BL10277" s="848" t="s">
        <v>7909</v>
      </c>
      <c r="BM10277" s="848" t="s">
        <v>7909</v>
      </c>
      <c r="BN10277" s="848" t="s">
        <v>7909</v>
      </c>
      <c r="BO10277" s="848" t="s">
        <v>7909</v>
      </c>
      <c r="BP10277" s="848" t="s">
        <v>7909</v>
      </c>
      <c r="BQ10277" s="848" t="s">
        <v>7909</v>
      </c>
      <c r="BR10277" s="848" t="s">
        <v>7909</v>
      </c>
      <c r="BS10277" s="848" t="s">
        <v>7909</v>
      </c>
      <c r="BT10277" s="848" t="s">
        <v>7909</v>
      </c>
      <c r="BU10277" s="848" t="s">
        <v>7909</v>
      </c>
      <c r="BV10277" s="848" t="s">
        <v>7909</v>
      </c>
      <c r="BW10277" s="848" t="s">
        <v>7909</v>
      </c>
      <c r="BX10277" s="848" t="s">
        <v>7909</v>
      </c>
      <c r="BY10277" s="848" t="s">
        <v>7909</v>
      </c>
      <c r="BZ10277" s="848" t="s">
        <v>7909</v>
      </c>
      <c r="CA10277" s="848" t="s">
        <v>7909</v>
      </c>
      <c r="CB10277" s="848" t="s">
        <v>7909</v>
      </c>
      <c r="CC10277" s="848" t="s">
        <v>7909</v>
      </c>
      <c r="CD10277" s="848" t="s">
        <v>7909</v>
      </c>
      <c r="CE10277" s="848" t="s">
        <v>7909</v>
      </c>
      <c r="CF10277" s="848" t="s">
        <v>7909</v>
      </c>
      <c r="CG10277" s="848" t="s">
        <v>7909</v>
      </c>
      <c r="CH10277" s="848" t="s">
        <v>7909</v>
      </c>
      <c r="CI10277" s="848" t="s">
        <v>7909</v>
      </c>
      <c r="CJ10277" s="848" t="s">
        <v>7909</v>
      </c>
      <c r="CK10277" s="848" t="s">
        <v>7909</v>
      </c>
      <c r="CL10277" s="848" t="s">
        <v>7909</v>
      </c>
      <c r="CM10277" s="848" t="s">
        <v>7909</v>
      </c>
      <c r="CN10277" s="848" t="s">
        <v>7909</v>
      </c>
      <c r="CO10277" s="848" t="s">
        <v>7909</v>
      </c>
      <c r="CP10277" s="848" t="s">
        <v>7909</v>
      </c>
      <c r="CQ10277" s="848" t="s">
        <v>7909</v>
      </c>
      <c r="CR10277" s="848" t="s">
        <v>7909</v>
      </c>
      <c r="CS10277" s="848" t="s">
        <v>7909</v>
      </c>
      <c r="CT10277" s="848" t="s">
        <v>7909</v>
      </c>
      <c r="CU10277" s="848" t="s">
        <v>7909</v>
      </c>
      <c r="CV10277" s="848" t="s">
        <v>7909</v>
      </c>
      <c r="CW10277" s="848" t="s">
        <v>7909</v>
      </c>
      <c r="CX10277" s="848" t="s">
        <v>7909</v>
      </c>
      <c r="CY10277" s="848" t="s">
        <v>7909</v>
      </c>
      <c r="CZ10277" s="848" t="s">
        <v>7909</v>
      </c>
      <c r="DA10277" s="848" t="s">
        <v>7909</v>
      </c>
      <c r="DB10277" s="848" t="s">
        <v>7909</v>
      </c>
      <c r="DC10277" s="848" t="s">
        <v>7909</v>
      </c>
      <c r="DD10277" s="848" t="s">
        <v>7909</v>
      </c>
      <c r="DE10277" s="848" t="s">
        <v>7909</v>
      </c>
      <c r="DF10277" s="848" t="s">
        <v>7909</v>
      </c>
      <c r="DG10277" s="848" t="s">
        <v>7909</v>
      </c>
      <c r="DH10277" s="848" t="s">
        <v>7909</v>
      </c>
      <c r="DI10277" s="848" t="s">
        <v>7909</v>
      </c>
      <c r="DJ10277" s="848" t="s">
        <v>7909</v>
      </c>
      <c r="DK10277" s="848" t="s">
        <v>7909</v>
      </c>
      <c r="DL10277" s="848" t="s">
        <v>7909</v>
      </c>
      <c r="DM10277" s="848" t="s">
        <v>7909</v>
      </c>
      <c r="DN10277" s="848" t="s">
        <v>7909</v>
      </c>
      <c r="DO10277" s="848" t="s">
        <v>7909</v>
      </c>
      <c r="DP10277" s="848" t="s">
        <v>7909</v>
      </c>
      <c r="DQ10277" s="848" t="s">
        <v>7909</v>
      </c>
      <c r="DR10277" s="848" t="s">
        <v>7909</v>
      </c>
      <c r="DS10277" s="848" t="s">
        <v>7909</v>
      </c>
      <c r="DT10277" s="848" t="s">
        <v>7909</v>
      </c>
      <c r="DU10277" s="848" t="s">
        <v>7909</v>
      </c>
      <c r="DV10277" s="848" t="s">
        <v>7909</v>
      </c>
      <c r="DW10277" s="848" t="s">
        <v>7909</v>
      </c>
      <c r="DX10277" s="848" t="s">
        <v>7909</v>
      </c>
      <c r="DY10277" s="848" t="s">
        <v>7909</v>
      </c>
      <c r="DZ10277" s="848" t="s">
        <v>7909</v>
      </c>
      <c r="EA10277" s="848" t="s">
        <v>7909</v>
      </c>
      <c r="EB10277" s="848" t="s">
        <v>7909</v>
      </c>
      <c r="EC10277" s="848" t="s">
        <v>7909</v>
      </c>
      <c r="ED10277" s="848" t="s">
        <v>7909</v>
      </c>
      <c r="EE10277" s="848" t="s">
        <v>7909</v>
      </c>
      <c r="EF10277" s="848" t="s">
        <v>7909</v>
      </c>
      <c r="EG10277" s="848" t="s">
        <v>7909</v>
      </c>
      <c r="EH10277" s="848" t="s">
        <v>7909</v>
      </c>
      <c r="EI10277" s="848" t="s">
        <v>7909</v>
      </c>
      <c r="EJ10277" s="848" t="s">
        <v>7909</v>
      </c>
      <c r="EK10277" s="848" t="s">
        <v>7909</v>
      </c>
      <c r="EL10277" s="848" t="s">
        <v>7909</v>
      </c>
      <c r="EM10277" s="848" t="s">
        <v>7909</v>
      </c>
      <c r="EN10277" s="848" t="s">
        <v>7909</v>
      </c>
      <c r="EO10277" s="848" t="s">
        <v>7909</v>
      </c>
      <c r="EP10277" s="848" t="s">
        <v>7909</v>
      </c>
      <c r="EQ10277" s="848" t="s">
        <v>7909</v>
      </c>
      <c r="ER10277" s="848" t="s">
        <v>7909</v>
      </c>
      <c r="ES10277" s="848" t="s">
        <v>7909</v>
      </c>
    </row>
    <row r="10278" spans="1:149" ht="15" hidden="1" customHeight="1">
      <c r="A10278" s="841">
        <v>45652</v>
      </c>
      <c r="B10278" s="842" t="s">
        <v>8003</v>
      </c>
      <c r="C10278" s="843" t="s">
        <v>4783</v>
      </c>
      <c r="D10278" s="844">
        <v>-224510</v>
      </c>
      <c r="E10278" s="845">
        <v>45627</v>
      </c>
      <c r="F10278" s="843" t="s">
        <v>109</v>
      </c>
      <c r="G10278" s="206" t="s">
        <v>6903</v>
      </c>
      <c r="H10278" s="843" t="s">
        <v>138</v>
      </c>
      <c r="I10278" s="843" t="s">
        <v>7999</v>
      </c>
      <c r="J10278" s="848" t="s">
        <v>7909</v>
      </c>
      <c r="K10278" s="848" t="s">
        <v>7909</v>
      </c>
      <c r="L10278" s="848" t="s">
        <v>7909</v>
      </c>
      <c r="M10278" s="848" t="s">
        <v>7909</v>
      </c>
      <c r="N10278" s="848" t="s">
        <v>7909</v>
      </c>
      <c r="O10278" s="848" t="s">
        <v>7909</v>
      </c>
      <c r="P10278" s="848" t="s">
        <v>7909</v>
      </c>
      <c r="Q10278" s="848" t="s">
        <v>7909</v>
      </c>
      <c r="R10278" s="848" t="s">
        <v>7909</v>
      </c>
      <c r="S10278" s="848" t="s">
        <v>7909</v>
      </c>
      <c r="T10278" s="848" t="s">
        <v>7909</v>
      </c>
      <c r="U10278" s="848" t="s">
        <v>7909</v>
      </c>
      <c r="V10278" s="848" t="s">
        <v>7909</v>
      </c>
      <c r="W10278" s="848" t="s">
        <v>7909</v>
      </c>
      <c r="X10278" s="848" t="s">
        <v>7909</v>
      </c>
      <c r="Y10278" s="848" t="s">
        <v>7909</v>
      </c>
      <c r="Z10278" s="848" t="s">
        <v>7909</v>
      </c>
      <c r="AA10278" s="848" t="s">
        <v>7909</v>
      </c>
      <c r="AB10278" s="848" t="s">
        <v>7909</v>
      </c>
      <c r="AC10278" s="848" t="s">
        <v>7909</v>
      </c>
      <c r="AD10278" s="848" t="s">
        <v>7909</v>
      </c>
      <c r="AE10278" s="848" t="s">
        <v>7909</v>
      </c>
      <c r="AF10278" s="848" t="s">
        <v>7909</v>
      </c>
      <c r="AG10278" s="848" t="s">
        <v>7909</v>
      </c>
      <c r="AH10278" s="848" t="s">
        <v>7909</v>
      </c>
      <c r="AI10278" s="848" t="s">
        <v>7909</v>
      </c>
      <c r="AJ10278" s="848" t="s">
        <v>7909</v>
      </c>
      <c r="AK10278" s="848" t="s">
        <v>7909</v>
      </c>
      <c r="AL10278" s="848" t="s">
        <v>7909</v>
      </c>
      <c r="AM10278" s="848" t="s">
        <v>7909</v>
      </c>
      <c r="AN10278" s="848" t="s">
        <v>7909</v>
      </c>
      <c r="AO10278" s="848" t="s">
        <v>7909</v>
      </c>
      <c r="AP10278" s="848" t="s">
        <v>7909</v>
      </c>
      <c r="AQ10278" s="848" t="s">
        <v>7909</v>
      </c>
      <c r="AR10278" s="848" t="s">
        <v>7909</v>
      </c>
      <c r="AS10278" s="848" t="s">
        <v>7909</v>
      </c>
      <c r="AT10278" s="848" t="s">
        <v>7909</v>
      </c>
      <c r="AU10278" s="848" t="s">
        <v>7909</v>
      </c>
      <c r="AV10278" s="848" t="s">
        <v>7909</v>
      </c>
      <c r="AW10278" s="848" t="s">
        <v>7909</v>
      </c>
      <c r="AX10278" s="848" t="s">
        <v>7909</v>
      </c>
      <c r="AY10278" s="848" t="s">
        <v>7909</v>
      </c>
      <c r="AZ10278" s="848" t="s">
        <v>7909</v>
      </c>
      <c r="BA10278" s="848" t="s">
        <v>7909</v>
      </c>
      <c r="BB10278" s="848" t="s">
        <v>7909</v>
      </c>
      <c r="BC10278" s="848" t="s">
        <v>7909</v>
      </c>
      <c r="BD10278" s="848" t="s">
        <v>7909</v>
      </c>
      <c r="BE10278" s="848" t="s">
        <v>7909</v>
      </c>
      <c r="BF10278" s="848" t="s">
        <v>7909</v>
      </c>
      <c r="BG10278" s="848" t="s">
        <v>7909</v>
      </c>
      <c r="BH10278" s="848" t="s">
        <v>7909</v>
      </c>
      <c r="BI10278" s="848" t="s">
        <v>7909</v>
      </c>
      <c r="BJ10278" s="848" t="s">
        <v>7909</v>
      </c>
      <c r="BK10278" s="848" t="s">
        <v>7909</v>
      </c>
      <c r="BL10278" s="848" t="s">
        <v>7909</v>
      </c>
      <c r="BM10278" s="848" t="s">
        <v>7909</v>
      </c>
      <c r="BN10278" s="848" t="s">
        <v>7909</v>
      </c>
      <c r="BO10278" s="848" t="s">
        <v>7909</v>
      </c>
      <c r="BP10278" s="848" t="s">
        <v>7909</v>
      </c>
      <c r="BQ10278" s="848" t="s">
        <v>7909</v>
      </c>
      <c r="BR10278" s="848" t="s">
        <v>7909</v>
      </c>
      <c r="BS10278" s="848" t="s">
        <v>7909</v>
      </c>
      <c r="BT10278" s="848" t="s">
        <v>7909</v>
      </c>
      <c r="BU10278" s="848" t="s">
        <v>7909</v>
      </c>
      <c r="BV10278" s="848" t="s">
        <v>7909</v>
      </c>
      <c r="BW10278" s="848" t="s">
        <v>7909</v>
      </c>
      <c r="BX10278" s="848" t="s">
        <v>7909</v>
      </c>
      <c r="BY10278" s="848" t="s">
        <v>7909</v>
      </c>
      <c r="BZ10278" s="848" t="s">
        <v>7909</v>
      </c>
      <c r="CA10278" s="848" t="s">
        <v>7909</v>
      </c>
      <c r="CB10278" s="848" t="s">
        <v>7909</v>
      </c>
      <c r="CC10278" s="848" t="s">
        <v>7909</v>
      </c>
      <c r="CD10278" s="848" t="s">
        <v>7909</v>
      </c>
      <c r="CE10278" s="848" t="s">
        <v>7909</v>
      </c>
      <c r="CF10278" s="848" t="s">
        <v>7909</v>
      </c>
      <c r="CG10278" s="848" t="s">
        <v>7909</v>
      </c>
      <c r="CH10278" s="848" t="s">
        <v>7909</v>
      </c>
      <c r="CI10278" s="848" t="s">
        <v>7909</v>
      </c>
      <c r="CJ10278" s="848" t="s">
        <v>7909</v>
      </c>
      <c r="CK10278" s="848" t="s">
        <v>7909</v>
      </c>
      <c r="CL10278" s="848" t="s">
        <v>7909</v>
      </c>
      <c r="CM10278" s="848" t="s">
        <v>7909</v>
      </c>
      <c r="CN10278" s="848" t="s">
        <v>7909</v>
      </c>
      <c r="CO10278" s="848" t="s">
        <v>7909</v>
      </c>
      <c r="CP10278" s="848" t="s">
        <v>7909</v>
      </c>
      <c r="CQ10278" s="848" t="s">
        <v>7909</v>
      </c>
      <c r="CR10278" s="848" t="s">
        <v>7909</v>
      </c>
      <c r="CS10278" s="848" t="s">
        <v>7909</v>
      </c>
      <c r="CT10278" s="848" t="s">
        <v>7909</v>
      </c>
      <c r="CU10278" s="848" t="s">
        <v>7909</v>
      </c>
      <c r="CV10278" s="848" t="s">
        <v>7909</v>
      </c>
      <c r="CW10278" s="848" t="s">
        <v>7909</v>
      </c>
      <c r="CX10278" s="848" t="s">
        <v>7909</v>
      </c>
      <c r="CY10278" s="848" t="s">
        <v>7909</v>
      </c>
      <c r="CZ10278" s="848" t="s">
        <v>7909</v>
      </c>
      <c r="DA10278" s="848" t="s">
        <v>7909</v>
      </c>
      <c r="DB10278" s="848" t="s">
        <v>7909</v>
      </c>
      <c r="DC10278" s="848" t="s">
        <v>7909</v>
      </c>
      <c r="DD10278" s="848" t="s">
        <v>7909</v>
      </c>
      <c r="DE10278" s="848" t="s">
        <v>7909</v>
      </c>
      <c r="DF10278" s="848" t="s">
        <v>7909</v>
      </c>
      <c r="DG10278" s="848" t="s">
        <v>7909</v>
      </c>
      <c r="DH10278" s="848" t="s">
        <v>7909</v>
      </c>
      <c r="DI10278" s="848" t="s">
        <v>7909</v>
      </c>
      <c r="DJ10278" s="848" t="s">
        <v>7909</v>
      </c>
      <c r="DK10278" s="848" t="s">
        <v>7909</v>
      </c>
      <c r="DL10278" s="848" t="s">
        <v>7909</v>
      </c>
      <c r="DM10278" s="848" t="s">
        <v>7909</v>
      </c>
      <c r="DN10278" s="848" t="s">
        <v>7909</v>
      </c>
      <c r="DO10278" s="848" t="s">
        <v>7909</v>
      </c>
      <c r="DP10278" s="848" t="s">
        <v>7909</v>
      </c>
      <c r="DQ10278" s="848" t="s">
        <v>7909</v>
      </c>
      <c r="DR10278" s="848" t="s">
        <v>7909</v>
      </c>
      <c r="DS10278" s="848" t="s">
        <v>7909</v>
      </c>
      <c r="DT10278" s="848" t="s">
        <v>7909</v>
      </c>
      <c r="DU10278" s="848" t="s">
        <v>7909</v>
      </c>
      <c r="DV10278" s="848" t="s">
        <v>7909</v>
      </c>
      <c r="DW10278" s="848" t="s">
        <v>7909</v>
      </c>
      <c r="DX10278" s="848" t="s">
        <v>7909</v>
      </c>
      <c r="DY10278" s="848" t="s">
        <v>7909</v>
      </c>
      <c r="DZ10278" s="848" t="s">
        <v>7909</v>
      </c>
      <c r="EA10278" s="848" t="s">
        <v>7909</v>
      </c>
      <c r="EB10278" s="848" t="s">
        <v>7909</v>
      </c>
      <c r="EC10278" s="848" t="s">
        <v>7909</v>
      </c>
      <c r="ED10278" s="848" t="s">
        <v>7909</v>
      </c>
      <c r="EE10278" s="848" t="s">
        <v>7909</v>
      </c>
      <c r="EF10278" s="848" t="s">
        <v>7909</v>
      </c>
      <c r="EG10278" s="848" t="s">
        <v>7909</v>
      </c>
      <c r="EH10278" s="848" t="s">
        <v>7909</v>
      </c>
      <c r="EI10278" s="848" t="s">
        <v>7909</v>
      </c>
      <c r="EJ10278" s="848" t="s">
        <v>7909</v>
      </c>
      <c r="EK10278" s="848" t="s">
        <v>7909</v>
      </c>
      <c r="EL10278" s="848" t="s">
        <v>7909</v>
      </c>
      <c r="EM10278" s="848" t="s">
        <v>7909</v>
      </c>
      <c r="EN10278" s="848" t="s">
        <v>7909</v>
      </c>
      <c r="EO10278" s="848" t="s">
        <v>7909</v>
      </c>
      <c r="EP10278" s="848" t="s">
        <v>7909</v>
      </c>
      <c r="EQ10278" s="848" t="s">
        <v>7909</v>
      </c>
      <c r="ER10278" s="848" t="s">
        <v>7909</v>
      </c>
      <c r="ES10278" s="848" t="s">
        <v>7909</v>
      </c>
    </row>
    <row r="10279" spans="1:149" ht="15" hidden="1" customHeight="1">
      <c r="A10279" s="841">
        <v>45652</v>
      </c>
      <c r="B10279" s="842" t="s">
        <v>8004</v>
      </c>
      <c r="C10279" s="843" t="s">
        <v>4783</v>
      </c>
      <c r="D10279" s="844">
        <v>-527863</v>
      </c>
      <c r="E10279" s="845">
        <v>45627</v>
      </c>
      <c r="F10279" s="843" t="s">
        <v>110</v>
      </c>
      <c r="G10279" s="843" t="s">
        <v>5503</v>
      </c>
      <c r="H10279" s="843" t="s">
        <v>138</v>
      </c>
      <c r="I10279" s="843" t="s">
        <v>7999</v>
      </c>
      <c r="J10279" s="848" t="s">
        <v>7909</v>
      </c>
      <c r="K10279" s="848" t="s">
        <v>7909</v>
      </c>
      <c r="L10279" s="848" t="s">
        <v>7909</v>
      </c>
      <c r="M10279" s="848" t="s">
        <v>7909</v>
      </c>
      <c r="N10279" s="848" t="s">
        <v>7909</v>
      </c>
      <c r="O10279" s="848" t="s">
        <v>7909</v>
      </c>
      <c r="P10279" s="848" t="s">
        <v>7909</v>
      </c>
      <c r="Q10279" s="848" t="s">
        <v>7909</v>
      </c>
      <c r="R10279" s="848" t="s">
        <v>7909</v>
      </c>
      <c r="S10279" s="848" t="s">
        <v>7909</v>
      </c>
      <c r="T10279" s="848" t="s">
        <v>7909</v>
      </c>
      <c r="U10279" s="848" t="s">
        <v>7909</v>
      </c>
      <c r="V10279" s="848" t="s">
        <v>7909</v>
      </c>
      <c r="W10279" s="848" t="s">
        <v>7909</v>
      </c>
      <c r="X10279" s="848" t="s">
        <v>7909</v>
      </c>
      <c r="Y10279" s="848" t="s">
        <v>7909</v>
      </c>
      <c r="Z10279" s="848" t="s">
        <v>7909</v>
      </c>
      <c r="AA10279" s="848" t="s">
        <v>7909</v>
      </c>
      <c r="AB10279" s="848" t="s">
        <v>7909</v>
      </c>
      <c r="AC10279" s="848" t="s">
        <v>7909</v>
      </c>
      <c r="AD10279" s="848" t="s">
        <v>7909</v>
      </c>
      <c r="AE10279" s="848" t="s">
        <v>7909</v>
      </c>
      <c r="AF10279" s="848" t="s">
        <v>7909</v>
      </c>
      <c r="AG10279" s="848" t="s">
        <v>7909</v>
      </c>
      <c r="AH10279" s="848" t="s">
        <v>7909</v>
      </c>
      <c r="AI10279" s="848" t="s">
        <v>7909</v>
      </c>
      <c r="AJ10279" s="848" t="s">
        <v>7909</v>
      </c>
      <c r="AK10279" s="848" t="s">
        <v>7909</v>
      </c>
      <c r="AL10279" s="848" t="s">
        <v>7909</v>
      </c>
      <c r="AM10279" s="848" t="s">
        <v>7909</v>
      </c>
      <c r="AN10279" s="848" t="s">
        <v>7909</v>
      </c>
      <c r="AO10279" s="848" t="s">
        <v>7909</v>
      </c>
      <c r="AP10279" s="848" t="s">
        <v>7909</v>
      </c>
      <c r="AQ10279" s="848" t="s">
        <v>7909</v>
      </c>
      <c r="AR10279" s="848" t="s">
        <v>7909</v>
      </c>
      <c r="AS10279" s="848" t="s">
        <v>7909</v>
      </c>
      <c r="AT10279" s="848" t="s">
        <v>7909</v>
      </c>
      <c r="AU10279" s="848" t="s">
        <v>7909</v>
      </c>
      <c r="AV10279" s="848" t="s">
        <v>7909</v>
      </c>
      <c r="AW10279" s="848" t="s">
        <v>7909</v>
      </c>
      <c r="AX10279" s="848" t="s">
        <v>7909</v>
      </c>
      <c r="AY10279" s="848" t="s">
        <v>7909</v>
      </c>
      <c r="AZ10279" s="848" t="s">
        <v>7909</v>
      </c>
      <c r="BA10279" s="848" t="s">
        <v>7909</v>
      </c>
      <c r="BB10279" s="848" t="s">
        <v>7909</v>
      </c>
      <c r="BC10279" s="848" t="s">
        <v>7909</v>
      </c>
      <c r="BD10279" s="848" t="s">
        <v>7909</v>
      </c>
      <c r="BE10279" s="848" t="s">
        <v>7909</v>
      </c>
      <c r="BF10279" s="848" t="s">
        <v>7909</v>
      </c>
      <c r="BG10279" s="848" t="s">
        <v>7909</v>
      </c>
      <c r="BH10279" s="848" t="s">
        <v>7909</v>
      </c>
      <c r="BI10279" s="848" t="s">
        <v>7909</v>
      </c>
      <c r="BJ10279" s="848" t="s">
        <v>7909</v>
      </c>
      <c r="BK10279" s="848" t="s">
        <v>7909</v>
      </c>
      <c r="BL10279" s="848" t="s">
        <v>7909</v>
      </c>
      <c r="BM10279" s="848" t="s">
        <v>7909</v>
      </c>
      <c r="BN10279" s="848" t="s">
        <v>7909</v>
      </c>
      <c r="BO10279" s="848" t="s">
        <v>7909</v>
      </c>
      <c r="BP10279" s="848" t="s">
        <v>7909</v>
      </c>
      <c r="BQ10279" s="848" t="s">
        <v>7909</v>
      </c>
      <c r="BR10279" s="848" t="s">
        <v>7909</v>
      </c>
      <c r="BS10279" s="848" t="s">
        <v>7909</v>
      </c>
      <c r="BT10279" s="848" t="s">
        <v>7909</v>
      </c>
      <c r="BU10279" s="848" t="s">
        <v>7909</v>
      </c>
      <c r="BV10279" s="848" t="s">
        <v>7909</v>
      </c>
      <c r="BW10279" s="848" t="s">
        <v>7909</v>
      </c>
      <c r="BX10279" s="848" t="s">
        <v>7909</v>
      </c>
      <c r="BY10279" s="848" t="s">
        <v>7909</v>
      </c>
      <c r="BZ10279" s="848" t="s">
        <v>7909</v>
      </c>
      <c r="CA10279" s="848" t="s">
        <v>7909</v>
      </c>
      <c r="CB10279" s="848" t="s">
        <v>7909</v>
      </c>
      <c r="CC10279" s="848" t="s">
        <v>7909</v>
      </c>
      <c r="CD10279" s="848" t="s">
        <v>7909</v>
      </c>
      <c r="CE10279" s="848" t="s">
        <v>7909</v>
      </c>
      <c r="CF10279" s="848" t="s">
        <v>7909</v>
      </c>
      <c r="CG10279" s="848" t="s">
        <v>7909</v>
      </c>
      <c r="CH10279" s="848" t="s">
        <v>7909</v>
      </c>
      <c r="CI10279" s="848" t="s">
        <v>7909</v>
      </c>
      <c r="CJ10279" s="848" t="s">
        <v>7909</v>
      </c>
      <c r="CK10279" s="848" t="s">
        <v>7909</v>
      </c>
      <c r="CL10279" s="848" t="s">
        <v>7909</v>
      </c>
      <c r="CM10279" s="848" t="s">
        <v>7909</v>
      </c>
      <c r="CN10279" s="848" t="s">
        <v>7909</v>
      </c>
      <c r="CO10279" s="848" t="s">
        <v>7909</v>
      </c>
      <c r="CP10279" s="848" t="s">
        <v>7909</v>
      </c>
      <c r="CQ10279" s="848" t="s">
        <v>7909</v>
      </c>
      <c r="CR10279" s="848" t="s">
        <v>7909</v>
      </c>
      <c r="CS10279" s="848" t="s">
        <v>7909</v>
      </c>
      <c r="CT10279" s="848" t="s">
        <v>7909</v>
      </c>
      <c r="CU10279" s="848" t="s">
        <v>7909</v>
      </c>
      <c r="CV10279" s="848" t="s">
        <v>7909</v>
      </c>
      <c r="CW10279" s="848" t="s">
        <v>7909</v>
      </c>
      <c r="CX10279" s="848" t="s">
        <v>7909</v>
      </c>
      <c r="CY10279" s="848" t="s">
        <v>7909</v>
      </c>
      <c r="CZ10279" s="848" t="s">
        <v>7909</v>
      </c>
      <c r="DA10279" s="848" t="s">
        <v>7909</v>
      </c>
      <c r="DB10279" s="848" t="s">
        <v>7909</v>
      </c>
      <c r="DC10279" s="848" t="s">
        <v>7909</v>
      </c>
      <c r="DD10279" s="848" t="s">
        <v>7909</v>
      </c>
      <c r="DE10279" s="848" t="s">
        <v>7909</v>
      </c>
      <c r="DF10279" s="848" t="s">
        <v>7909</v>
      </c>
      <c r="DG10279" s="848" t="s">
        <v>7909</v>
      </c>
      <c r="DH10279" s="848" t="s">
        <v>7909</v>
      </c>
      <c r="DI10279" s="848" t="s">
        <v>7909</v>
      </c>
      <c r="DJ10279" s="848" t="s">
        <v>7909</v>
      </c>
      <c r="DK10279" s="848" t="s">
        <v>7909</v>
      </c>
      <c r="DL10279" s="848" t="s">
        <v>7909</v>
      </c>
      <c r="DM10279" s="848" t="s">
        <v>7909</v>
      </c>
      <c r="DN10279" s="848" t="s">
        <v>7909</v>
      </c>
      <c r="DO10279" s="848" t="s">
        <v>7909</v>
      </c>
      <c r="DP10279" s="848" t="s">
        <v>7909</v>
      </c>
      <c r="DQ10279" s="848" t="s">
        <v>7909</v>
      </c>
      <c r="DR10279" s="848" t="s">
        <v>7909</v>
      </c>
      <c r="DS10279" s="848" t="s">
        <v>7909</v>
      </c>
      <c r="DT10279" s="848" t="s">
        <v>7909</v>
      </c>
      <c r="DU10279" s="848" t="s">
        <v>7909</v>
      </c>
      <c r="DV10279" s="848" t="s">
        <v>7909</v>
      </c>
      <c r="DW10279" s="848" t="s">
        <v>7909</v>
      </c>
      <c r="DX10279" s="848" t="s">
        <v>7909</v>
      </c>
      <c r="DY10279" s="848" t="s">
        <v>7909</v>
      </c>
      <c r="DZ10279" s="848" t="s">
        <v>7909</v>
      </c>
      <c r="EA10279" s="848" t="s">
        <v>7909</v>
      </c>
      <c r="EB10279" s="848" t="s">
        <v>7909</v>
      </c>
      <c r="EC10279" s="848" t="s">
        <v>7909</v>
      </c>
      <c r="ED10279" s="848" t="s">
        <v>7909</v>
      </c>
      <c r="EE10279" s="848" t="s">
        <v>7909</v>
      </c>
      <c r="EF10279" s="848" t="s">
        <v>7909</v>
      </c>
      <c r="EG10279" s="848" t="s">
        <v>7909</v>
      </c>
      <c r="EH10279" s="848" t="s">
        <v>7909</v>
      </c>
      <c r="EI10279" s="848" t="s">
        <v>7909</v>
      </c>
      <c r="EJ10279" s="848" t="s">
        <v>7909</v>
      </c>
      <c r="EK10279" s="848" t="s">
        <v>7909</v>
      </c>
      <c r="EL10279" s="848" t="s">
        <v>7909</v>
      </c>
      <c r="EM10279" s="848" t="s">
        <v>7909</v>
      </c>
      <c r="EN10279" s="848" t="s">
        <v>7909</v>
      </c>
      <c r="EO10279" s="848" t="s">
        <v>7909</v>
      </c>
      <c r="EP10279" s="848" t="s">
        <v>7909</v>
      </c>
      <c r="EQ10279" s="848" t="s">
        <v>7909</v>
      </c>
      <c r="ER10279" s="848" t="s">
        <v>7909</v>
      </c>
      <c r="ES10279" s="848" t="s">
        <v>7909</v>
      </c>
    </row>
    <row r="10280" spans="1:149" ht="15" hidden="1" customHeight="1">
      <c r="A10280" s="841">
        <v>45652</v>
      </c>
      <c r="B10280" s="842" t="s">
        <v>8005</v>
      </c>
      <c r="C10280" s="843" t="s">
        <v>4783</v>
      </c>
      <c r="D10280" s="844">
        <v>-17911</v>
      </c>
      <c r="E10280" s="845">
        <v>45627</v>
      </c>
      <c r="F10280" s="843" t="s">
        <v>110</v>
      </c>
      <c r="G10280" s="843" t="s">
        <v>5503</v>
      </c>
      <c r="H10280" s="843" t="s">
        <v>138</v>
      </c>
      <c r="I10280" s="720" t="s">
        <v>5410</v>
      </c>
      <c r="J10280" s="848" t="s">
        <v>7909</v>
      </c>
      <c r="K10280" s="848" t="s">
        <v>7909</v>
      </c>
      <c r="L10280" s="848" t="s">
        <v>7909</v>
      </c>
      <c r="M10280" s="848" t="s">
        <v>7909</v>
      </c>
      <c r="N10280" s="848" t="s">
        <v>7909</v>
      </c>
      <c r="O10280" s="848" t="s">
        <v>7909</v>
      </c>
      <c r="P10280" s="848" t="s">
        <v>7909</v>
      </c>
      <c r="Q10280" s="848" t="s">
        <v>7909</v>
      </c>
      <c r="R10280" s="848" t="s">
        <v>7909</v>
      </c>
      <c r="S10280" s="848" t="s">
        <v>7909</v>
      </c>
      <c r="T10280" s="848" t="s">
        <v>7909</v>
      </c>
      <c r="U10280" s="848" t="s">
        <v>7909</v>
      </c>
      <c r="V10280" s="848" t="s">
        <v>7909</v>
      </c>
      <c r="W10280" s="848" t="s">
        <v>7909</v>
      </c>
      <c r="X10280" s="848" t="s">
        <v>7909</v>
      </c>
      <c r="Y10280" s="848" t="s">
        <v>7909</v>
      </c>
      <c r="Z10280" s="848" t="s">
        <v>7909</v>
      </c>
      <c r="AA10280" s="848" t="s">
        <v>7909</v>
      </c>
      <c r="AB10280" s="848" t="s">
        <v>7909</v>
      </c>
      <c r="AC10280" s="848" t="s">
        <v>7909</v>
      </c>
      <c r="AD10280" s="848" t="s">
        <v>7909</v>
      </c>
      <c r="AE10280" s="848" t="s">
        <v>7909</v>
      </c>
      <c r="AF10280" s="848" t="s">
        <v>7909</v>
      </c>
      <c r="AG10280" s="848" t="s">
        <v>7909</v>
      </c>
      <c r="AH10280" s="848" t="s">
        <v>7909</v>
      </c>
      <c r="AI10280" s="848" t="s">
        <v>7909</v>
      </c>
      <c r="AJ10280" s="848" t="s">
        <v>7909</v>
      </c>
      <c r="AK10280" s="848" t="s">
        <v>7909</v>
      </c>
      <c r="AL10280" s="848" t="s">
        <v>7909</v>
      </c>
      <c r="AM10280" s="848" t="s">
        <v>7909</v>
      </c>
      <c r="AN10280" s="848" t="s">
        <v>7909</v>
      </c>
      <c r="AO10280" s="848" t="s">
        <v>7909</v>
      </c>
      <c r="AP10280" s="848" t="s">
        <v>7909</v>
      </c>
      <c r="AQ10280" s="848" t="s">
        <v>7909</v>
      </c>
      <c r="AR10280" s="848" t="s">
        <v>7909</v>
      </c>
      <c r="AS10280" s="848" t="s">
        <v>7909</v>
      </c>
      <c r="AT10280" s="848" t="s">
        <v>7909</v>
      </c>
      <c r="AU10280" s="848" t="s">
        <v>7909</v>
      </c>
      <c r="AV10280" s="848" t="s">
        <v>7909</v>
      </c>
      <c r="AW10280" s="848" t="s">
        <v>7909</v>
      </c>
      <c r="AX10280" s="848" t="s">
        <v>7909</v>
      </c>
      <c r="AY10280" s="848" t="s">
        <v>7909</v>
      </c>
      <c r="AZ10280" s="848" t="s">
        <v>7909</v>
      </c>
      <c r="BA10280" s="848" t="s">
        <v>7909</v>
      </c>
      <c r="BB10280" s="848" t="s">
        <v>7909</v>
      </c>
      <c r="BC10280" s="848" t="s">
        <v>7909</v>
      </c>
      <c r="BD10280" s="848" t="s">
        <v>7909</v>
      </c>
      <c r="BE10280" s="848" t="s">
        <v>7909</v>
      </c>
      <c r="BF10280" s="848" t="s">
        <v>7909</v>
      </c>
      <c r="BG10280" s="848" t="s">
        <v>7909</v>
      </c>
      <c r="BH10280" s="848" t="s">
        <v>7909</v>
      </c>
      <c r="BI10280" s="848" t="s">
        <v>7909</v>
      </c>
      <c r="BJ10280" s="848" t="s">
        <v>7909</v>
      </c>
      <c r="BK10280" s="848" t="s">
        <v>7909</v>
      </c>
      <c r="BL10280" s="848" t="s">
        <v>7909</v>
      </c>
      <c r="BM10280" s="848" t="s">
        <v>7909</v>
      </c>
      <c r="BN10280" s="848" t="s">
        <v>7909</v>
      </c>
      <c r="BO10280" s="848" t="s">
        <v>7909</v>
      </c>
      <c r="BP10280" s="848" t="s">
        <v>7909</v>
      </c>
      <c r="BQ10280" s="848" t="s">
        <v>7909</v>
      </c>
      <c r="BR10280" s="848" t="s">
        <v>7909</v>
      </c>
      <c r="BS10280" s="848" t="s">
        <v>7909</v>
      </c>
      <c r="BT10280" s="848" t="s">
        <v>7909</v>
      </c>
      <c r="BU10280" s="848" t="s">
        <v>7909</v>
      </c>
      <c r="BV10280" s="848" t="s">
        <v>7909</v>
      </c>
      <c r="BW10280" s="848" t="s">
        <v>7909</v>
      </c>
      <c r="BX10280" s="848" t="s">
        <v>7909</v>
      </c>
      <c r="BY10280" s="848" t="s">
        <v>7909</v>
      </c>
      <c r="BZ10280" s="848" t="s">
        <v>7909</v>
      </c>
      <c r="CA10280" s="848" t="s">
        <v>7909</v>
      </c>
      <c r="CB10280" s="848" t="s">
        <v>7909</v>
      </c>
      <c r="CC10280" s="848" t="s">
        <v>7909</v>
      </c>
      <c r="CD10280" s="848" t="s">
        <v>7909</v>
      </c>
      <c r="CE10280" s="848" t="s">
        <v>7909</v>
      </c>
      <c r="CF10280" s="848" t="s">
        <v>7909</v>
      </c>
      <c r="CG10280" s="848" t="s">
        <v>7909</v>
      </c>
      <c r="CH10280" s="848" t="s">
        <v>7909</v>
      </c>
      <c r="CI10280" s="848" t="s">
        <v>7909</v>
      </c>
      <c r="CJ10280" s="848" t="s">
        <v>7909</v>
      </c>
      <c r="CK10280" s="848" t="s">
        <v>7909</v>
      </c>
      <c r="CL10280" s="848" t="s">
        <v>7909</v>
      </c>
      <c r="CM10280" s="848" t="s">
        <v>7909</v>
      </c>
      <c r="CN10280" s="848" t="s">
        <v>7909</v>
      </c>
      <c r="CO10280" s="848" t="s">
        <v>7909</v>
      </c>
      <c r="CP10280" s="848" t="s">
        <v>7909</v>
      </c>
      <c r="CQ10280" s="848" t="s">
        <v>7909</v>
      </c>
      <c r="CR10280" s="848" t="s">
        <v>7909</v>
      </c>
      <c r="CS10280" s="848" t="s">
        <v>7909</v>
      </c>
      <c r="CT10280" s="848" t="s">
        <v>7909</v>
      </c>
      <c r="CU10280" s="848" t="s">
        <v>7909</v>
      </c>
      <c r="CV10280" s="848" t="s">
        <v>7909</v>
      </c>
      <c r="CW10280" s="848" t="s">
        <v>7909</v>
      </c>
      <c r="CX10280" s="848" t="s">
        <v>7909</v>
      </c>
      <c r="CY10280" s="848" t="s">
        <v>7909</v>
      </c>
      <c r="CZ10280" s="848" t="s">
        <v>7909</v>
      </c>
      <c r="DA10280" s="848" t="s">
        <v>7909</v>
      </c>
      <c r="DB10280" s="848" t="s">
        <v>7909</v>
      </c>
      <c r="DC10280" s="848" t="s">
        <v>7909</v>
      </c>
      <c r="DD10280" s="848" t="s">
        <v>7909</v>
      </c>
      <c r="DE10280" s="848" t="s">
        <v>7909</v>
      </c>
      <c r="DF10280" s="848" t="s">
        <v>7909</v>
      </c>
      <c r="DG10280" s="848" t="s">
        <v>7909</v>
      </c>
      <c r="DH10280" s="848" t="s">
        <v>7909</v>
      </c>
      <c r="DI10280" s="848" t="s">
        <v>7909</v>
      </c>
      <c r="DJ10280" s="848" t="s">
        <v>7909</v>
      </c>
      <c r="DK10280" s="848" t="s">
        <v>7909</v>
      </c>
      <c r="DL10280" s="848" t="s">
        <v>7909</v>
      </c>
      <c r="DM10280" s="848" t="s">
        <v>7909</v>
      </c>
      <c r="DN10280" s="848" t="s">
        <v>7909</v>
      </c>
      <c r="DO10280" s="848" t="s">
        <v>7909</v>
      </c>
      <c r="DP10280" s="848" t="s">
        <v>7909</v>
      </c>
      <c r="DQ10280" s="848" t="s">
        <v>7909</v>
      </c>
      <c r="DR10280" s="848" t="s">
        <v>7909</v>
      </c>
      <c r="DS10280" s="848" t="s">
        <v>7909</v>
      </c>
      <c r="DT10280" s="848" t="s">
        <v>7909</v>
      </c>
      <c r="DU10280" s="848" t="s">
        <v>7909</v>
      </c>
      <c r="DV10280" s="848" t="s">
        <v>7909</v>
      </c>
      <c r="DW10280" s="848" t="s">
        <v>7909</v>
      </c>
      <c r="DX10280" s="848" t="s">
        <v>7909</v>
      </c>
      <c r="DY10280" s="848" t="s">
        <v>7909</v>
      </c>
      <c r="DZ10280" s="848" t="s">
        <v>7909</v>
      </c>
      <c r="EA10280" s="848" t="s">
        <v>7909</v>
      </c>
      <c r="EB10280" s="848" t="s">
        <v>7909</v>
      </c>
      <c r="EC10280" s="848" t="s">
        <v>7909</v>
      </c>
      <c r="ED10280" s="848" t="s">
        <v>7909</v>
      </c>
      <c r="EE10280" s="848" t="s">
        <v>7909</v>
      </c>
      <c r="EF10280" s="848" t="s">
        <v>7909</v>
      </c>
      <c r="EG10280" s="848" t="s">
        <v>7909</v>
      </c>
      <c r="EH10280" s="848" t="s">
        <v>7909</v>
      </c>
      <c r="EI10280" s="848" t="s">
        <v>7909</v>
      </c>
      <c r="EJ10280" s="848" t="s">
        <v>7909</v>
      </c>
      <c r="EK10280" s="848" t="s">
        <v>7909</v>
      </c>
      <c r="EL10280" s="848" t="s">
        <v>7909</v>
      </c>
      <c r="EM10280" s="848" t="s">
        <v>7909</v>
      </c>
      <c r="EN10280" s="848" t="s">
        <v>7909</v>
      </c>
      <c r="EO10280" s="848" t="s">
        <v>7909</v>
      </c>
      <c r="EP10280" s="848" t="s">
        <v>7909</v>
      </c>
      <c r="EQ10280" s="848" t="s">
        <v>7909</v>
      </c>
      <c r="ER10280" s="848" t="s">
        <v>7909</v>
      </c>
      <c r="ES10280" s="848" t="s">
        <v>7909</v>
      </c>
    </row>
    <row r="10281" spans="1:149" ht="15" hidden="1" customHeight="1">
      <c r="A10281" s="841">
        <v>45633</v>
      </c>
      <c r="B10281" s="842" t="s">
        <v>8006</v>
      </c>
      <c r="C10281" s="843" t="s">
        <v>4783</v>
      </c>
      <c r="D10281" s="844">
        <v>-45600</v>
      </c>
      <c r="E10281" s="845">
        <v>45627</v>
      </c>
      <c r="F10281" s="843" t="s">
        <v>130</v>
      </c>
      <c r="G10281" s="843" t="s">
        <v>130</v>
      </c>
      <c r="H10281" s="843" t="s">
        <v>2724</v>
      </c>
      <c r="I10281" s="843" t="s">
        <v>8007</v>
      </c>
      <c r="J10281" s="848" t="s">
        <v>7909</v>
      </c>
      <c r="K10281" s="848" t="s">
        <v>7909</v>
      </c>
      <c r="L10281" s="848" t="s">
        <v>7909</v>
      </c>
      <c r="M10281" s="848" t="s">
        <v>7909</v>
      </c>
      <c r="N10281" s="848" t="s">
        <v>7909</v>
      </c>
      <c r="O10281" s="848" t="s">
        <v>7909</v>
      </c>
      <c r="P10281" s="848" t="s">
        <v>7909</v>
      </c>
      <c r="Q10281" s="848" t="s">
        <v>7909</v>
      </c>
      <c r="R10281" s="848" t="s">
        <v>7909</v>
      </c>
      <c r="S10281" s="848" t="s">
        <v>7909</v>
      </c>
      <c r="T10281" s="848" t="s">
        <v>7909</v>
      </c>
      <c r="U10281" s="848" t="s">
        <v>7909</v>
      </c>
      <c r="V10281" s="848" t="s">
        <v>7909</v>
      </c>
      <c r="W10281" s="848" t="s">
        <v>7909</v>
      </c>
      <c r="X10281" s="848" t="s">
        <v>7909</v>
      </c>
      <c r="Y10281" s="848" t="s">
        <v>7909</v>
      </c>
      <c r="Z10281" s="848" t="s">
        <v>7909</v>
      </c>
      <c r="AA10281" s="848" t="s">
        <v>7909</v>
      </c>
      <c r="AB10281" s="848" t="s">
        <v>7909</v>
      </c>
      <c r="AC10281" s="848" t="s">
        <v>7909</v>
      </c>
      <c r="AD10281" s="848" t="s">
        <v>7909</v>
      </c>
      <c r="AE10281" s="848" t="s">
        <v>7909</v>
      </c>
      <c r="AF10281" s="848" t="s">
        <v>7909</v>
      </c>
      <c r="AG10281" s="848" t="s">
        <v>7909</v>
      </c>
      <c r="AH10281" s="848" t="s">
        <v>7909</v>
      </c>
      <c r="AI10281" s="848" t="s">
        <v>7909</v>
      </c>
      <c r="AJ10281" s="848" t="s">
        <v>7909</v>
      </c>
      <c r="AK10281" s="848" t="s">
        <v>7909</v>
      </c>
      <c r="AL10281" s="848" t="s">
        <v>7909</v>
      </c>
      <c r="AM10281" s="848" t="s">
        <v>7909</v>
      </c>
      <c r="AN10281" s="848" t="s">
        <v>7909</v>
      </c>
      <c r="AO10281" s="848" t="s">
        <v>7909</v>
      </c>
      <c r="AP10281" s="848" t="s">
        <v>7909</v>
      </c>
      <c r="AQ10281" s="848" t="s">
        <v>7909</v>
      </c>
      <c r="AR10281" s="848" t="s">
        <v>7909</v>
      </c>
      <c r="AS10281" s="848" t="s">
        <v>7909</v>
      </c>
      <c r="AT10281" s="848" t="s">
        <v>7909</v>
      </c>
      <c r="AU10281" s="848" t="s">
        <v>7909</v>
      </c>
      <c r="AV10281" s="848" t="s">
        <v>7909</v>
      </c>
      <c r="AW10281" s="848" t="s">
        <v>7909</v>
      </c>
      <c r="AX10281" s="848" t="s">
        <v>7909</v>
      </c>
      <c r="AY10281" s="848" t="s">
        <v>7909</v>
      </c>
      <c r="AZ10281" s="848" t="s">
        <v>7909</v>
      </c>
      <c r="BA10281" s="848" t="s">
        <v>7909</v>
      </c>
      <c r="BB10281" s="848" t="s">
        <v>7909</v>
      </c>
      <c r="BC10281" s="848" t="s">
        <v>7909</v>
      </c>
      <c r="BD10281" s="848" t="s">
        <v>7909</v>
      </c>
      <c r="BE10281" s="848" t="s">
        <v>7909</v>
      </c>
      <c r="BF10281" s="848" t="s">
        <v>7909</v>
      </c>
      <c r="BG10281" s="848" t="s">
        <v>7909</v>
      </c>
      <c r="BH10281" s="848" t="s">
        <v>7909</v>
      </c>
      <c r="BI10281" s="848" t="s">
        <v>7909</v>
      </c>
      <c r="BJ10281" s="848" t="s">
        <v>7909</v>
      </c>
      <c r="BK10281" s="848" t="s">
        <v>7909</v>
      </c>
      <c r="BL10281" s="848" t="s">
        <v>7909</v>
      </c>
      <c r="BM10281" s="848" t="s">
        <v>7909</v>
      </c>
      <c r="BN10281" s="848" t="s">
        <v>7909</v>
      </c>
      <c r="BO10281" s="848" t="s">
        <v>7909</v>
      </c>
      <c r="BP10281" s="848" t="s">
        <v>7909</v>
      </c>
      <c r="BQ10281" s="848" t="s">
        <v>7909</v>
      </c>
      <c r="BR10281" s="848" t="s">
        <v>7909</v>
      </c>
      <c r="BS10281" s="848" t="s">
        <v>7909</v>
      </c>
      <c r="BT10281" s="848" t="s">
        <v>7909</v>
      </c>
      <c r="BU10281" s="848" t="s">
        <v>7909</v>
      </c>
      <c r="BV10281" s="848" t="s">
        <v>7909</v>
      </c>
      <c r="BW10281" s="848" t="s">
        <v>7909</v>
      </c>
      <c r="BX10281" s="848" t="s">
        <v>7909</v>
      </c>
      <c r="BY10281" s="848" t="s">
        <v>7909</v>
      </c>
      <c r="BZ10281" s="848" t="s">
        <v>7909</v>
      </c>
      <c r="CA10281" s="848" t="s">
        <v>7909</v>
      </c>
      <c r="CB10281" s="848" t="s">
        <v>7909</v>
      </c>
      <c r="CC10281" s="848" t="s">
        <v>7909</v>
      </c>
      <c r="CD10281" s="848" t="s">
        <v>7909</v>
      </c>
      <c r="CE10281" s="848" t="s">
        <v>7909</v>
      </c>
      <c r="CF10281" s="848" t="s">
        <v>7909</v>
      </c>
      <c r="CG10281" s="848" t="s">
        <v>7909</v>
      </c>
      <c r="CH10281" s="848" t="s">
        <v>7909</v>
      </c>
      <c r="CI10281" s="848" t="s">
        <v>7909</v>
      </c>
      <c r="CJ10281" s="848" t="s">
        <v>7909</v>
      </c>
      <c r="CK10281" s="848" t="s">
        <v>7909</v>
      </c>
      <c r="CL10281" s="848" t="s">
        <v>7909</v>
      </c>
      <c r="CM10281" s="848" t="s">
        <v>7909</v>
      </c>
      <c r="CN10281" s="848" t="s">
        <v>7909</v>
      </c>
      <c r="CO10281" s="848" t="s">
        <v>7909</v>
      </c>
      <c r="CP10281" s="848" t="s">
        <v>7909</v>
      </c>
      <c r="CQ10281" s="848" t="s">
        <v>7909</v>
      </c>
      <c r="CR10281" s="848" t="s">
        <v>7909</v>
      </c>
      <c r="CS10281" s="848" t="s">
        <v>7909</v>
      </c>
      <c r="CT10281" s="848" t="s">
        <v>7909</v>
      </c>
      <c r="CU10281" s="848" t="s">
        <v>7909</v>
      </c>
      <c r="CV10281" s="848" t="s">
        <v>7909</v>
      </c>
      <c r="CW10281" s="848" t="s">
        <v>7909</v>
      </c>
      <c r="CX10281" s="848" t="s">
        <v>7909</v>
      </c>
      <c r="CY10281" s="848" t="s">
        <v>7909</v>
      </c>
      <c r="CZ10281" s="848" t="s">
        <v>7909</v>
      </c>
      <c r="DA10281" s="848" t="s">
        <v>7909</v>
      </c>
      <c r="DB10281" s="848" t="s">
        <v>7909</v>
      </c>
      <c r="DC10281" s="848" t="s">
        <v>7909</v>
      </c>
      <c r="DD10281" s="848" t="s">
        <v>7909</v>
      </c>
      <c r="DE10281" s="848" t="s">
        <v>7909</v>
      </c>
      <c r="DF10281" s="848" t="s">
        <v>7909</v>
      </c>
      <c r="DG10281" s="848" t="s">
        <v>7909</v>
      </c>
      <c r="DH10281" s="848" t="s">
        <v>7909</v>
      </c>
      <c r="DI10281" s="848" t="s">
        <v>7909</v>
      </c>
      <c r="DJ10281" s="848" t="s">
        <v>7909</v>
      </c>
      <c r="DK10281" s="848" t="s">
        <v>7909</v>
      </c>
      <c r="DL10281" s="848" t="s">
        <v>7909</v>
      </c>
      <c r="DM10281" s="848" t="s">
        <v>7909</v>
      </c>
      <c r="DN10281" s="848" t="s">
        <v>7909</v>
      </c>
      <c r="DO10281" s="848" t="s">
        <v>7909</v>
      </c>
      <c r="DP10281" s="848" t="s">
        <v>7909</v>
      </c>
      <c r="DQ10281" s="848" t="s">
        <v>7909</v>
      </c>
      <c r="DR10281" s="848" t="s">
        <v>7909</v>
      </c>
      <c r="DS10281" s="848" t="s">
        <v>7909</v>
      </c>
      <c r="DT10281" s="848" t="s">
        <v>7909</v>
      </c>
      <c r="DU10281" s="848" t="s">
        <v>7909</v>
      </c>
      <c r="DV10281" s="848" t="s">
        <v>7909</v>
      </c>
      <c r="DW10281" s="848" t="s">
        <v>7909</v>
      </c>
      <c r="DX10281" s="848" t="s">
        <v>7909</v>
      </c>
      <c r="DY10281" s="848" t="s">
        <v>7909</v>
      </c>
      <c r="DZ10281" s="848" t="s">
        <v>7909</v>
      </c>
      <c r="EA10281" s="848" t="s">
        <v>7909</v>
      </c>
      <c r="EB10281" s="848" t="s">
        <v>7909</v>
      </c>
      <c r="EC10281" s="848" t="s">
        <v>7909</v>
      </c>
      <c r="ED10281" s="848" t="s">
        <v>7909</v>
      </c>
      <c r="EE10281" s="848" t="s">
        <v>7909</v>
      </c>
      <c r="EF10281" s="848" t="s">
        <v>7909</v>
      </c>
      <c r="EG10281" s="848" t="s">
        <v>7909</v>
      </c>
      <c r="EH10281" s="848" t="s">
        <v>7909</v>
      </c>
      <c r="EI10281" s="848" t="s">
        <v>7909</v>
      </c>
      <c r="EJ10281" s="848" t="s">
        <v>7909</v>
      </c>
      <c r="EK10281" s="848" t="s">
        <v>7909</v>
      </c>
      <c r="EL10281" s="848" t="s">
        <v>7909</v>
      </c>
      <c r="EM10281" s="848" t="s">
        <v>7909</v>
      </c>
      <c r="EN10281" s="848" t="s">
        <v>7909</v>
      </c>
      <c r="EO10281" s="848" t="s">
        <v>7909</v>
      </c>
      <c r="EP10281" s="848" t="s">
        <v>7909</v>
      </c>
      <c r="EQ10281" s="848" t="s">
        <v>7909</v>
      </c>
      <c r="ER10281" s="848" t="s">
        <v>7909</v>
      </c>
      <c r="ES10281" s="848" t="s">
        <v>7909</v>
      </c>
    </row>
    <row r="10282" spans="1:149" ht="15" hidden="1" customHeight="1">
      <c r="A10282" s="841">
        <v>45633</v>
      </c>
      <c r="B10282" s="842" t="s">
        <v>8008</v>
      </c>
      <c r="C10282" s="843" t="s">
        <v>4783</v>
      </c>
      <c r="D10282" s="844">
        <v>-7000</v>
      </c>
      <c r="E10282" s="845">
        <v>45627</v>
      </c>
      <c r="F10282" s="843" t="s">
        <v>130</v>
      </c>
      <c r="G10282" s="843" t="s">
        <v>130</v>
      </c>
      <c r="H10282" s="843" t="s">
        <v>2724</v>
      </c>
      <c r="I10282" s="843" t="s">
        <v>8007</v>
      </c>
      <c r="J10282" s="848" t="s">
        <v>7909</v>
      </c>
      <c r="K10282" s="848" t="s">
        <v>7909</v>
      </c>
      <c r="L10282" s="848" t="s">
        <v>7909</v>
      </c>
      <c r="M10282" s="848" t="s">
        <v>7909</v>
      </c>
      <c r="N10282" s="848" t="s">
        <v>7909</v>
      </c>
      <c r="O10282" s="848" t="s">
        <v>7909</v>
      </c>
      <c r="P10282" s="848" t="s">
        <v>7909</v>
      </c>
      <c r="Q10282" s="848" t="s">
        <v>7909</v>
      </c>
      <c r="R10282" s="848" t="s">
        <v>7909</v>
      </c>
      <c r="S10282" s="848" t="s">
        <v>7909</v>
      </c>
      <c r="T10282" s="848" t="s">
        <v>7909</v>
      </c>
      <c r="U10282" s="848" t="s">
        <v>7909</v>
      </c>
      <c r="V10282" s="848" t="s">
        <v>7909</v>
      </c>
      <c r="W10282" s="848" t="s">
        <v>7909</v>
      </c>
      <c r="X10282" s="848" t="s">
        <v>7909</v>
      </c>
      <c r="Y10282" s="848" t="s">
        <v>7909</v>
      </c>
      <c r="Z10282" s="848" t="s">
        <v>7909</v>
      </c>
      <c r="AA10282" s="848" t="s">
        <v>7909</v>
      </c>
      <c r="AB10282" s="848" t="s">
        <v>7909</v>
      </c>
      <c r="AC10282" s="848" t="s">
        <v>7909</v>
      </c>
      <c r="AD10282" s="848" t="s">
        <v>7909</v>
      </c>
      <c r="AE10282" s="848" t="s">
        <v>7909</v>
      </c>
      <c r="AF10282" s="848" t="s">
        <v>7909</v>
      </c>
      <c r="AG10282" s="848" t="s">
        <v>7909</v>
      </c>
      <c r="AH10282" s="848" t="s">
        <v>7909</v>
      </c>
      <c r="AI10282" s="848" t="s">
        <v>7909</v>
      </c>
      <c r="AJ10282" s="848" t="s">
        <v>7909</v>
      </c>
      <c r="AK10282" s="848" t="s">
        <v>7909</v>
      </c>
      <c r="AL10282" s="848" t="s">
        <v>7909</v>
      </c>
      <c r="AM10282" s="848" t="s">
        <v>7909</v>
      </c>
      <c r="AN10282" s="848" t="s">
        <v>7909</v>
      </c>
      <c r="AO10282" s="848" t="s">
        <v>7909</v>
      </c>
      <c r="AP10282" s="848" t="s">
        <v>7909</v>
      </c>
      <c r="AQ10282" s="848" t="s">
        <v>7909</v>
      </c>
      <c r="AR10282" s="848" t="s">
        <v>7909</v>
      </c>
      <c r="AS10282" s="848" t="s">
        <v>7909</v>
      </c>
      <c r="AT10282" s="848" t="s">
        <v>7909</v>
      </c>
      <c r="AU10282" s="848" t="s">
        <v>7909</v>
      </c>
      <c r="AV10282" s="848" t="s">
        <v>7909</v>
      </c>
      <c r="AW10282" s="848" t="s">
        <v>7909</v>
      </c>
      <c r="AX10282" s="848" t="s">
        <v>7909</v>
      </c>
      <c r="AY10282" s="848" t="s">
        <v>7909</v>
      </c>
      <c r="AZ10282" s="848" t="s">
        <v>7909</v>
      </c>
      <c r="BA10282" s="848" t="s">
        <v>7909</v>
      </c>
      <c r="BB10282" s="848" t="s">
        <v>7909</v>
      </c>
      <c r="BC10282" s="848" t="s">
        <v>7909</v>
      </c>
      <c r="BD10282" s="848" t="s">
        <v>7909</v>
      </c>
      <c r="BE10282" s="848" t="s">
        <v>7909</v>
      </c>
      <c r="BF10282" s="848" t="s">
        <v>7909</v>
      </c>
      <c r="BG10282" s="848" t="s">
        <v>7909</v>
      </c>
      <c r="BH10282" s="848" t="s">
        <v>7909</v>
      </c>
      <c r="BI10282" s="848" t="s">
        <v>7909</v>
      </c>
      <c r="BJ10282" s="848" t="s">
        <v>7909</v>
      </c>
      <c r="BK10282" s="848" t="s">
        <v>7909</v>
      </c>
      <c r="BL10282" s="848" t="s">
        <v>7909</v>
      </c>
      <c r="BM10282" s="848" t="s">
        <v>7909</v>
      </c>
      <c r="BN10282" s="848" t="s">
        <v>7909</v>
      </c>
      <c r="BO10282" s="848" t="s">
        <v>7909</v>
      </c>
      <c r="BP10282" s="848" t="s">
        <v>7909</v>
      </c>
      <c r="BQ10282" s="848" t="s">
        <v>7909</v>
      </c>
      <c r="BR10282" s="848" t="s">
        <v>7909</v>
      </c>
      <c r="BS10282" s="848" t="s">
        <v>7909</v>
      </c>
      <c r="BT10282" s="848" t="s">
        <v>7909</v>
      </c>
      <c r="BU10282" s="848" t="s">
        <v>7909</v>
      </c>
      <c r="BV10282" s="848" t="s">
        <v>7909</v>
      </c>
      <c r="BW10282" s="848" t="s">
        <v>7909</v>
      </c>
      <c r="BX10282" s="848" t="s">
        <v>7909</v>
      </c>
      <c r="BY10282" s="848" t="s">
        <v>7909</v>
      </c>
      <c r="BZ10282" s="848" t="s">
        <v>7909</v>
      </c>
      <c r="CA10282" s="848" t="s">
        <v>7909</v>
      </c>
      <c r="CB10282" s="848" t="s">
        <v>7909</v>
      </c>
      <c r="CC10282" s="848" t="s">
        <v>7909</v>
      </c>
      <c r="CD10282" s="848" t="s">
        <v>7909</v>
      </c>
      <c r="CE10282" s="848" t="s">
        <v>7909</v>
      </c>
      <c r="CF10282" s="848" t="s">
        <v>7909</v>
      </c>
      <c r="CG10282" s="848" t="s">
        <v>7909</v>
      </c>
      <c r="CH10282" s="848" t="s">
        <v>7909</v>
      </c>
      <c r="CI10282" s="848" t="s">
        <v>7909</v>
      </c>
      <c r="CJ10282" s="848" t="s">
        <v>7909</v>
      </c>
      <c r="CK10282" s="848" t="s">
        <v>7909</v>
      </c>
      <c r="CL10282" s="848" t="s">
        <v>7909</v>
      </c>
      <c r="CM10282" s="848" t="s">
        <v>7909</v>
      </c>
      <c r="CN10282" s="848" t="s">
        <v>7909</v>
      </c>
      <c r="CO10282" s="848" t="s">
        <v>7909</v>
      </c>
      <c r="CP10282" s="848" t="s">
        <v>7909</v>
      </c>
      <c r="CQ10282" s="848" t="s">
        <v>7909</v>
      </c>
      <c r="CR10282" s="848" t="s">
        <v>7909</v>
      </c>
      <c r="CS10282" s="848" t="s">
        <v>7909</v>
      </c>
      <c r="CT10282" s="848" t="s">
        <v>7909</v>
      </c>
      <c r="CU10282" s="848" t="s">
        <v>7909</v>
      </c>
      <c r="CV10282" s="848" t="s">
        <v>7909</v>
      </c>
      <c r="CW10282" s="848" t="s">
        <v>7909</v>
      </c>
      <c r="CX10282" s="848" t="s">
        <v>7909</v>
      </c>
      <c r="CY10282" s="848" t="s">
        <v>7909</v>
      </c>
      <c r="CZ10282" s="848" t="s">
        <v>7909</v>
      </c>
      <c r="DA10282" s="848" t="s">
        <v>7909</v>
      </c>
      <c r="DB10282" s="848" t="s">
        <v>7909</v>
      </c>
      <c r="DC10282" s="848" t="s">
        <v>7909</v>
      </c>
      <c r="DD10282" s="848" t="s">
        <v>7909</v>
      </c>
      <c r="DE10282" s="848" t="s">
        <v>7909</v>
      </c>
      <c r="DF10282" s="848" t="s">
        <v>7909</v>
      </c>
      <c r="DG10282" s="848" t="s">
        <v>7909</v>
      </c>
      <c r="DH10282" s="848" t="s">
        <v>7909</v>
      </c>
      <c r="DI10282" s="848" t="s">
        <v>7909</v>
      </c>
      <c r="DJ10282" s="848" t="s">
        <v>7909</v>
      </c>
      <c r="DK10282" s="848" t="s">
        <v>7909</v>
      </c>
      <c r="DL10282" s="848" t="s">
        <v>7909</v>
      </c>
      <c r="DM10282" s="848" t="s">
        <v>7909</v>
      </c>
      <c r="DN10282" s="848" t="s">
        <v>7909</v>
      </c>
      <c r="DO10282" s="848" t="s">
        <v>7909</v>
      </c>
      <c r="DP10282" s="848" t="s">
        <v>7909</v>
      </c>
      <c r="DQ10282" s="848" t="s">
        <v>7909</v>
      </c>
      <c r="DR10282" s="848" t="s">
        <v>7909</v>
      </c>
      <c r="DS10282" s="848" t="s">
        <v>7909</v>
      </c>
      <c r="DT10282" s="848" t="s">
        <v>7909</v>
      </c>
      <c r="DU10282" s="848" t="s">
        <v>7909</v>
      </c>
      <c r="DV10282" s="848" t="s">
        <v>7909</v>
      </c>
      <c r="DW10282" s="848" t="s">
        <v>7909</v>
      </c>
      <c r="DX10282" s="848" t="s">
        <v>7909</v>
      </c>
      <c r="DY10282" s="848" t="s">
        <v>7909</v>
      </c>
      <c r="DZ10282" s="848" t="s">
        <v>7909</v>
      </c>
      <c r="EA10282" s="848" t="s">
        <v>7909</v>
      </c>
      <c r="EB10282" s="848" t="s">
        <v>7909</v>
      </c>
      <c r="EC10282" s="848" t="s">
        <v>7909</v>
      </c>
      <c r="ED10282" s="848" t="s">
        <v>7909</v>
      </c>
      <c r="EE10282" s="848" t="s">
        <v>7909</v>
      </c>
      <c r="EF10282" s="848" t="s">
        <v>7909</v>
      </c>
      <c r="EG10282" s="848" t="s">
        <v>7909</v>
      </c>
      <c r="EH10282" s="848" t="s">
        <v>7909</v>
      </c>
      <c r="EI10282" s="848" t="s">
        <v>7909</v>
      </c>
      <c r="EJ10282" s="848" t="s">
        <v>7909</v>
      </c>
      <c r="EK10282" s="848" t="s">
        <v>7909</v>
      </c>
      <c r="EL10282" s="848" t="s">
        <v>7909</v>
      </c>
      <c r="EM10282" s="848" t="s">
        <v>7909</v>
      </c>
      <c r="EN10282" s="848" t="s">
        <v>7909</v>
      </c>
      <c r="EO10282" s="848" t="s">
        <v>7909</v>
      </c>
      <c r="EP10282" s="848" t="s">
        <v>7909</v>
      </c>
      <c r="EQ10282" s="848" t="s">
        <v>7909</v>
      </c>
      <c r="ER10282" s="848" t="s">
        <v>7909</v>
      </c>
      <c r="ES10282" s="848" t="s">
        <v>7909</v>
      </c>
    </row>
    <row r="10283" spans="1:149" ht="15" hidden="1" customHeight="1">
      <c r="A10283" s="841">
        <v>45633</v>
      </c>
      <c r="B10283" s="842" t="s">
        <v>8009</v>
      </c>
      <c r="C10283" s="843" t="s">
        <v>4783</v>
      </c>
      <c r="D10283" s="844">
        <v>-120205</v>
      </c>
      <c r="E10283" s="845">
        <v>45627</v>
      </c>
      <c r="F10283" s="843" t="s">
        <v>130</v>
      </c>
      <c r="G10283" s="843" t="s">
        <v>130</v>
      </c>
      <c r="H10283" s="843" t="s">
        <v>2724</v>
      </c>
      <c r="I10283" s="843" t="s">
        <v>8007</v>
      </c>
      <c r="J10283" s="848" t="s">
        <v>7909</v>
      </c>
      <c r="K10283" s="848" t="s">
        <v>7909</v>
      </c>
      <c r="L10283" s="848" t="s">
        <v>7909</v>
      </c>
      <c r="M10283" s="848" t="s">
        <v>7909</v>
      </c>
      <c r="N10283" s="848" t="s">
        <v>7909</v>
      </c>
      <c r="O10283" s="848" t="s">
        <v>7909</v>
      </c>
      <c r="P10283" s="848" t="s">
        <v>7909</v>
      </c>
      <c r="Q10283" s="848" t="s">
        <v>7909</v>
      </c>
      <c r="R10283" s="848" t="s">
        <v>7909</v>
      </c>
      <c r="S10283" s="848" t="s">
        <v>7909</v>
      </c>
      <c r="T10283" s="848" t="s">
        <v>7909</v>
      </c>
      <c r="U10283" s="848" t="s">
        <v>7909</v>
      </c>
      <c r="V10283" s="848" t="s">
        <v>7909</v>
      </c>
      <c r="W10283" s="848" t="s">
        <v>7909</v>
      </c>
      <c r="X10283" s="848" t="s">
        <v>7909</v>
      </c>
      <c r="Y10283" s="848" t="s">
        <v>7909</v>
      </c>
      <c r="Z10283" s="848" t="s">
        <v>7909</v>
      </c>
      <c r="AA10283" s="848" t="s">
        <v>7909</v>
      </c>
      <c r="AB10283" s="848" t="s">
        <v>7909</v>
      </c>
      <c r="AC10283" s="848" t="s">
        <v>7909</v>
      </c>
      <c r="AD10283" s="848" t="s">
        <v>7909</v>
      </c>
      <c r="AE10283" s="848" t="s">
        <v>7909</v>
      </c>
      <c r="AF10283" s="848" t="s">
        <v>7909</v>
      </c>
      <c r="AG10283" s="848" t="s">
        <v>7909</v>
      </c>
      <c r="AH10283" s="848" t="s">
        <v>7909</v>
      </c>
      <c r="AI10283" s="848" t="s">
        <v>7909</v>
      </c>
      <c r="AJ10283" s="848" t="s">
        <v>7909</v>
      </c>
      <c r="AK10283" s="848" t="s">
        <v>7909</v>
      </c>
      <c r="AL10283" s="848" t="s">
        <v>7909</v>
      </c>
      <c r="AM10283" s="848" t="s">
        <v>7909</v>
      </c>
      <c r="AN10283" s="848" t="s">
        <v>7909</v>
      </c>
      <c r="AO10283" s="848" t="s">
        <v>7909</v>
      </c>
      <c r="AP10283" s="848" t="s">
        <v>7909</v>
      </c>
      <c r="AQ10283" s="848" t="s">
        <v>7909</v>
      </c>
      <c r="AR10283" s="848" t="s">
        <v>7909</v>
      </c>
      <c r="AS10283" s="848" t="s">
        <v>7909</v>
      </c>
      <c r="AT10283" s="848" t="s">
        <v>7909</v>
      </c>
      <c r="AU10283" s="848" t="s">
        <v>7909</v>
      </c>
      <c r="AV10283" s="848" t="s">
        <v>7909</v>
      </c>
      <c r="AW10283" s="848" t="s">
        <v>7909</v>
      </c>
      <c r="AX10283" s="848" t="s">
        <v>7909</v>
      </c>
      <c r="AY10283" s="848" t="s">
        <v>7909</v>
      </c>
      <c r="AZ10283" s="848" t="s">
        <v>7909</v>
      </c>
      <c r="BA10283" s="848" t="s">
        <v>7909</v>
      </c>
      <c r="BB10283" s="848" t="s">
        <v>7909</v>
      </c>
      <c r="BC10283" s="848" t="s">
        <v>7909</v>
      </c>
      <c r="BD10283" s="848" t="s">
        <v>7909</v>
      </c>
      <c r="BE10283" s="848" t="s">
        <v>7909</v>
      </c>
      <c r="BF10283" s="848" t="s">
        <v>7909</v>
      </c>
      <c r="BG10283" s="848" t="s">
        <v>7909</v>
      </c>
      <c r="BH10283" s="848" t="s">
        <v>7909</v>
      </c>
      <c r="BI10283" s="848" t="s">
        <v>7909</v>
      </c>
      <c r="BJ10283" s="848" t="s">
        <v>7909</v>
      </c>
      <c r="BK10283" s="848" t="s">
        <v>7909</v>
      </c>
      <c r="BL10283" s="848" t="s">
        <v>7909</v>
      </c>
      <c r="BM10283" s="848" t="s">
        <v>7909</v>
      </c>
      <c r="BN10283" s="848" t="s">
        <v>7909</v>
      </c>
      <c r="BO10283" s="848" t="s">
        <v>7909</v>
      </c>
      <c r="BP10283" s="848" t="s">
        <v>7909</v>
      </c>
      <c r="BQ10283" s="848" t="s">
        <v>7909</v>
      </c>
      <c r="BR10283" s="848" t="s">
        <v>7909</v>
      </c>
      <c r="BS10283" s="848" t="s">
        <v>7909</v>
      </c>
      <c r="BT10283" s="848" t="s">
        <v>7909</v>
      </c>
      <c r="BU10283" s="848" t="s">
        <v>7909</v>
      </c>
      <c r="BV10283" s="848" t="s">
        <v>7909</v>
      </c>
      <c r="BW10283" s="848" t="s">
        <v>7909</v>
      </c>
      <c r="BX10283" s="848" t="s">
        <v>7909</v>
      </c>
      <c r="BY10283" s="848" t="s">
        <v>7909</v>
      </c>
      <c r="BZ10283" s="848" t="s">
        <v>7909</v>
      </c>
      <c r="CA10283" s="848" t="s">
        <v>7909</v>
      </c>
      <c r="CB10283" s="848" t="s">
        <v>7909</v>
      </c>
      <c r="CC10283" s="848" t="s">
        <v>7909</v>
      </c>
      <c r="CD10283" s="848" t="s">
        <v>7909</v>
      </c>
      <c r="CE10283" s="848" t="s">
        <v>7909</v>
      </c>
      <c r="CF10283" s="848" t="s">
        <v>7909</v>
      </c>
      <c r="CG10283" s="848" t="s">
        <v>7909</v>
      </c>
      <c r="CH10283" s="848" t="s">
        <v>7909</v>
      </c>
      <c r="CI10283" s="848" t="s">
        <v>7909</v>
      </c>
      <c r="CJ10283" s="848" t="s">
        <v>7909</v>
      </c>
      <c r="CK10283" s="848" t="s">
        <v>7909</v>
      </c>
      <c r="CL10283" s="848" t="s">
        <v>7909</v>
      </c>
      <c r="CM10283" s="848" t="s">
        <v>7909</v>
      </c>
      <c r="CN10283" s="848" t="s">
        <v>7909</v>
      </c>
      <c r="CO10283" s="848" t="s">
        <v>7909</v>
      </c>
      <c r="CP10283" s="848" t="s">
        <v>7909</v>
      </c>
      <c r="CQ10283" s="848" t="s">
        <v>7909</v>
      </c>
      <c r="CR10283" s="848" t="s">
        <v>7909</v>
      </c>
      <c r="CS10283" s="848" t="s">
        <v>7909</v>
      </c>
      <c r="CT10283" s="848" t="s">
        <v>7909</v>
      </c>
      <c r="CU10283" s="848" t="s">
        <v>7909</v>
      </c>
      <c r="CV10283" s="848" t="s">
        <v>7909</v>
      </c>
      <c r="CW10283" s="848" t="s">
        <v>7909</v>
      </c>
      <c r="CX10283" s="848" t="s">
        <v>7909</v>
      </c>
      <c r="CY10283" s="848" t="s">
        <v>7909</v>
      </c>
      <c r="CZ10283" s="848" t="s">
        <v>7909</v>
      </c>
      <c r="DA10283" s="848" t="s">
        <v>7909</v>
      </c>
      <c r="DB10283" s="848" t="s">
        <v>7909</v>
      </c>
      <c r="DC10283" s="848" t="s">
        <v>7909</v>
      </c>
      <c r="DD10283" s="848" t="s">
        <v>7909</v>
      </c>
      <c r="DE10283" s="848" t="s">
        <v>7909</v>
      </c>
      <c r="DF10283" s="848" t="s">
        <v>7909</v>
      </c>
      <c r="DG10283" s="848" t="s">
        <v>7909</v>
      </c>
      <c r="DH10283" s="848" t="s">
        <v>7909</v>
      </c>
      <c r="DI10283" s="848" t="s">
        <v>7909</v>
      </c>
      <c r="DJ10283" s="848" t="s">
        <v>7909</v>
      </c>
      <c r="DK10283" s="848" t="s">
        <v>7909</v>
      </c>
      <c r="DL10283" s="848" t="s">
        <v>7909</v>
      </c>
      <c r="DM10283" s="848" t="s">
        <v>7909</v>
      </c>
      <c r="DN10283" s="848" t="s">
        <v>7909</v>
      </c>
      <c r="DO10283" s="848" t="s">
        <v>7909</v>
      </c>
      <c r="DP10283" s="848" t="s">
        <v>7909</v>
      </c>
      <c r="DQ10283" s="848" t="s">
        <v>7909</v>
      </c>
      <c r="DR10283" s="848" t="s">
        <v>7909</v>
      </c>
      <c r="DS10283" s="848" t="s">
        <v>7909</v>
      </c>
      <c r="DT10283" s="848" t="s">
        <v>7909</v>
      </c>
      <c r="DU10283" s="848" t="s">
        <v>7909</v>
      </c>
      <c r="DV10283" s="848" t="s">
        <v>7909</v>
      </c>
      <c r="DW10283" s="848" t="s">
        <v>7909</v>
      </c>
      <c r="DX10283" s="848" t="s">
        <v>7909</v>
      </c>
      <c r="DY10283" s="848" t="s">
        <v>7909</v>
      </c>
      <c r="DZ10283" s="848" t="s">
        <v>7909</v>
      </c>
      <c r="EA10283" s="848" t="s">
        <v>7909</v>
      </c>
      <c r="EB10283" s="848" t="s">
        <v>7909</v>
      </c>
      <c r="EC10283" s="848" t="s">
        <v>7909</v>
      </c>
      <c r="ED10283" s="848" t="s">
        <v>7909</v>
      </c>
      <c r="EE10283" s="848" t="s">
        <v>7909</v>
      </c>
      <c r="EF10283" s="848" t="s">
        <v>7909</v>
      </c>
      <c r="EG10283" s="848" t="s">
        <v>7909</v>
      </c>
      <c r="EH10283" s="848" t="s">
        <v>7909</v>
      </c>
      <c r="EI10283" s="848" t="s">
        <v>7909</v>
      </c>
      <c r="EJ10283" s="848" t="s">
        <v>7909</v>
      </c>
      <c r="EK10283" s="848" t="s">
        <v>7909</v>
      </c>
      <c r="EL10283" s="848" t="s">
        <v>7909</v>
      </c>
      <c r="EM10283" s="848" t="s">
        <v>7909</v>
      </c>
      <c r="EN10283" s="848" t="s">
        <v>7909</v>
      </c>
      <c r="EO10283" s="848" t="s">
        <v>7909</v>
      </c>
      <c r="EP10283" s="848" t="s">
        <v>7909</v>
      </c>
      <c r="EQ10283" s="848" t="s">
        <v>7909</v>
      </c>
      <c r="ER10283" s="848" t="s">
        <v>7909</v>
      </c>
      <c r="ES10283" s="848" t="s">
        <v>7909</v>
      </c>
    </row>
    <row r="10284" spans="1:149" ht="15" hidden="1" customHeight="1">
      <c r="A10284" s="841">
        <v>45643</v>
      </c>
      <c r="B10284" s="842" t="s">
        <v>8010</v>
      </c>
      <c r="C10284" s="843" t="s">
        <v>4783</v>
      </c>
      <c r="D10284" s="844">
        <v>-533700</v>
      </c>
      <c r="E10284" s="845">
        <v>45627</v>
      </c>
      <c r="F10284" s="843" t="s">
        <v>109</v>
      </c>
      <c r="G10284" s="206" t="s">
        <v>6903</v>
      </c>
      <c r="H10284" s="843" t="s">
        <v>212</v>
      </c>
      <c r="I10284" s="843" t="s">
        <v>8007</v>
      </c>
      <c r="J10284" s="848" t="s">
        <v>7909</v>
      </c>
      <c r="K10284" s="848" t="s">
        <v>7909</v>
      </c>
      <c r="L10284" s="848" t="s">
        <v>7909</v>
      </c>
      <c r="M10284" s="848" t="s">
        <v>7909</v>
      </c>
      <c r="N10284" s="848" t="s">
        <v>7909</v>
      </c>
      <c r="O10284" s="848" t="s">
        <v>7909</v>
      </c>
      <c r="P10284" s="848" t="s">
        <v>7909</v>
      </c>
      <c r="Q10284" s="848" t="s">
        <v>7909</v>
      </c>
      <c r="R10284" s="848" t="s">
        <v>7909</v>
      </c>
      <c r="S10284" s="848" t="s">
        <v>7909</v>
      </c>
      <c r="T10284" s="848" t="s">
        <v>7909</v>
      </c>
      <c r="U10284" s="848" t="s">
        <v>7909</v>
      </c>
      <c r="V10284" s="848" t="s">
        <v>7909</v>
      </c>
      <c r="W10284" s="848" t="s">
        <v>7909</v>
      </c>
      <c r="X10284" s="848" t="s">
        <v>7909</v>
      </c>
      <c r="Y10284" s="848" t="s">
        <v>7909</v>
      </c>
      <c r="Z10284" s="848" t="s">
        <v>7909</v>
      </c>
      <c r="AA10284" s="848" t="s">
        <v>7909</v>
      </c>
      <c r="AB10284" s="848" t="s">
        <v>7909</v>
      </c>
      <c r="AC10284" s="848" t="s">
        <v>7909</v>
      </c>
      <c r="AD10284" s="848" t="s">
        <v>7909</v>
      </c>
      <c r="AE10284" s="848" t="s">
        <v>7909</v>
      </c>
      <c r="AF10284" s="848" t="s">
        <v>7909</v>
      </c>
      <c r="AG10284" s="848" t="s">
        <v>7909</v>
      </c>
      <c r="AH10284" s="848" t="s">
        <v>7909</v>
      </c>
      <c r="AI10284" s="848" t="s">
        <v>7909</v>
      </c>
      <c r="AJ10284" s="848" t="s">
        <v>7909</v>
      </c>
      <c r="AK10284" s="848" t="s">
        <v>7909</v>
      </c>
      <c r="AL10284" s="848" t="s">
        <v>7909</v>
      </c>
      <c r="AM10284" s="848" t="s">
        <v>7909</v>
      </c>
      <c r="AN10284" s="848" t="s">
        <v>7909</v>
      </c>
      <c r="AO10284" s="848" t="s">
        <v>7909</v>
      </c>
      <c r="AP10284" s="848" t="s">
        <v>7909</v>
      </c>
      <c r="AQ10284" s="848" t="s">
        <v>7909</v>
      </c>
      <c r="AR10284" s="848" t="s">
        <v>7909</v>
      </c>
      <c r="AS10284" s="848" t="s">
        <v>7909</v>
      </c>
      <c r="AT10284" s="848" t="s">
        <v>7909</v>
      </c>
      <c r="AU10284" s="848" t="s">
        <v>7909</v>
      </c>
      <c r="AV10284" s="848" t="s">
        <v>7909</v>
      </c>
      <c r="AW10284" s="848" t="s">
        <v>7909</v>
      </c>
      <c r="AX10284" s="848" t="s">
        <v>7909</v>
      </c>
      <c r="AY10284" s="848" t="s">
        <v>7909</v>
      </c>
      <c r="AZ10284" s="848" t="s">
        <v>7909</v>
      </c>
      <c r="BA10284" s="848" t="s">
        <v>7909</v>
      </c>
      <c r="BB10284" s="848" t="s">
        <v>7909</v>
      </c>
      <c r="BC10284" s="848" t="s">
        <v>7909</v>
      </c>
      <c r="BD10284" s="848" t="s">
        <v>7909</v>
      </c>
      <c r="BE10284" s="848" t="s">
        <v>7909</v>
      </c>
      <c r="BF10284" s="848" t="s">
        <v>7909</v>
      </c>
      <c r="BG10284" s="848" t="s">
        <v>7909</v>
      </c>
      <c r="BH10284" s="848" t="s">
        <v>7909</v>
      </c>
      <c r="BI10284" s="848" t="s">
        <v>7909</v>
      </c>
      <c r="BJ10284" s="848" t="s">
        <v>7909</v>
      </c>
      <c r="BK10284" s="848" t="s">
        <v>7909</v>
      </c>
      <c r="BL10284" s="848" t="s">
        <v>7909</v>
      </c>
      <c r="BM10284" s="848" t="s">
        <v>7909</v>
      </c>
      <c r="BN10284" s="848" t="s">
        <v>7909</v>
      </c>
      <c r="BO10284" s="848" t="s">
        <v>7909</v>
      </c>
      <c r="BP10284" s="848" t="s">
        <v>7909</v>
      </c>
      <c r="BQ10284" s="848" t="s">
        <v>7909</v>
      </c>
      <c r="BR10284" s="848" t="s">
        <v>7909</v>
      </c>
      <c r="BS10284" s="848" t="s">
        <v>7909</v>
      </c>
      <c r="BT10284" s="848" t="s">
        <v>7909</v>
      </c>
      <c r="BU10284" s="848" t="s">
        <v>7909</v>
      </c>
      <c r="BV10284" s="848" t="s">
        <v>7909</v>
      </c>
      <c r="BW10284" s="848" t="s">
        <v>7909</v>
      </c>
      <c r="BX10284" s="848" t="s">
        <v>7909</v>
      </c>
      <c r="BY10284" s="848" t="s">
        <v>7909</v>
      </c>
      <c r="BZ10284" s="848" t="s">
        <v>7909</v>
      </c>
      <c r="CA10284" s="848" t="s">
        <v>7909</v>
      </c>
      <c r="CB10284" s="848" t="s">
        <v>7909</v>
      </c>
      <c r="CC10284" s="848" t="s">
        <v>7909</v>
      </c>
      <c r="CD10284" s="848" t="s">
        <v>7909</v>
      </c>
      <c r="CE10284" s="848" t="s">
        <v>7909</v>
      </c>
      <c r="CF10284" s="848" t="s">
        <v>7909</v>
      </c>
      <c r="CG10284" s="848" t="s">
        <v>7909</v>
      </c>
      <c r="CH10284" s="848" t="s">
        <v>7909</v>
      </c>
      <c r="CI10284" s="848" t="s">
        <v>7909</v>
      </c>
      <c r="CJ10284" s="848" t="s">
        <v>7909</v>
      </c>
      <c r="CK10284" s="848" t="s">
        <v>7909</v>
      </c>
      <c r="CL10284" s="848" t="s">
        <v>7909</v>
      </c>
      <c r="CM10284" s="848" t="s">
        <v>7909</v>
      </c>
      <c r="CN10284" s="848" t="s">
        <v>7909</v>
      </c>
      <c r="CO10284" s="848" t="s">
        <v>7909</v>
      </c>
      <c r="CP10284" s="848" t="s">
        <v>7909</v>
      </c>
      <c r="CQ10284" s="848" t="s">
        <v>7909</v>
      </c>
      <c r="CR10284" s="848" t="s">
        <v>7909</v>
      </c>
      <c r="CS10284" s="848" t="s">
        <v>7909</v>
      </c>
      <c r="CT10284" s="848" t="s">
        <v>7909</v>
      </c>
      <c r="CU10284" s="848" t="s">
        <v>7909</v>
      </c>
      <c r="CV10284" s="848" t="s">
        <v>7909</v>
      </c>
      <c r="CW10284" s="848" t="s">
        <v>7909</v>
      </c>
      <c r="CX10284" s="848" t="s">
        <v>7909</v>
      </c>
      <c r="CY10284" s="848" t="s">
        <v>7909</v>
      </c>
      <c r="CZ10284" s="848" t="s">
        <v>7909</v>
      </c>
      <c r="DA10284" s="848" t="s">
        <v>7909</v>
      </c>
      <c r="DB10284" s="848" t="s">
        <v>7909</v>
      </c>
      <c r="DC10284" s="848" t="s">
        <v>7909</v>
      </c>
      <c r="DD10284" s="848" t="s">
        <v>7909</v>
      </c>
      <c r="DE10284" s="848" t="s">
        <v>7909</v>
      </c>
      <c r="DF10284" s="848" t="s">
        <v>7909</v>
      </c>
      <c r="DG10284" s="848" t="s">
        <v>7909</v>
      </c>
      <c r="DH10284" s="848" t="s">
        <v>7909</v>
      </c>
      <c r="DI10284" s="848" t="s">
        <v>7909</v>
      </c>
      <c r="DJ10284" s="848" t="s">
        <v>7909</v>
      </c>
      <c r="DK10284" s="848" t="s">
        <v>7909</v>
      </c>
      <c r="DL10284" s="848" t="s">
        <v>7909</v>
      </c>
      <c r="DM10284" s="848" t="s">
        <v>7909</v>
      </c>
      <c r="DN10284" s="848" t="s">
        <v>7909</v>
      </c>
      <c r="DO10284" s="848" t="s">
        <v>7909</v>
      </c>
      <c r="DP10284" s="848" t="s">
        <v>7909</v>
      </c>
      <c r="DQ10284" s="848" t="s">
        <v>7909</v>
      </c>
      <c r="DR10284" s="848" t="s">
        <v>7909</v>
      </c>
      <c r="DS10284" s="848" t="s">
        <v>7909</v>
      </c>
      <c r="DT10284" s="848" t="s">
        <v>7909</v>
      </c>
      <c r="DU10284" s="848" t="s">
        <v>7909</v>
      </c>
      <c r="DV10284" s="848" t="s">
        <v>7909</v>
      </c>
      <c r="DW10284" s="848" t="s">
        <v>7909</v>
      </c>
      <c r="DX10284" s="848" t="s">
        <v>7909</v>
      </c>
      <c r="DY10284" s="848" t="s">
        <v>7909</v>
      </c>
      <c r="DZ10284" s="848" t="s">
        <v>7909</v>
      </c>
      <c r="EA10284" s="848" t="s">
        <v>7909</v>
      </c>
      <c r="EB10284" s="848" t="s">
        <v>7909</v>
      </c>
      <c r="EC10284" s="848" t="s">
        <v>7909</v>
      </c>
      <c r="ED10284" s="848" t="s">
        <v>7909</v>
      </c>
      <c r="EE10284" s="848" t="s">
        <v>7909</v>
      </c>
      <c r="EF10284" s="848" t="s">
        <v>7909</v>
      </c>
      <c r="EG10284" s="848" t="s">
        <v>7909</v>
      </c>
      <c r="EH10284" s="848" t="s">
        <v>7909</v>
      </c>
      <c r="EI10284" s="848" t="s">
        <v>7909</v>
      </c>
      <c r="EJ10284" s="848" t="s">
        <v>7909</v>
      </c>
      <c r="EK10284" s="848" t="s">
        <v>7909</v>
      </c>
      <c r="EL10284" s="848" t="s">
        <v>7909</v>
      </c>
      <c r="EM10284" s="848" t="s">
        <v>7909</v>
      </c>
      <c r="EN10284" s="848" t="s">
        <v>7909</v>
      </c>
      <c r="EO10284" s="848" t="s">
        <v>7909</v>
      </c>
      <c r="EP10284" s="848" t="s">
        <v>7909</v>
      </c>
      <c r="EQ10284" s="848" t="s">
        <v>7909</v>
      </c>
      <c r="ER10284" s="848" t="s">
        <v>7909</v>
      </c>
      <c r="ES10284" s="848" t="s">
        <v>7909</v>
      </c>
    </row>
    <row r="10285" spans="1:149" ht="15" hidden="1" customHeight="1">
      <c r="A10285" s="841">
        <v>45643</v>
      </c>
      <c r="B10285" s="842" t="s">
        <v>8011</v>
      </c>
      <c r="C10285" s="843" t="s">
        <v>4783</v>
      </c>
      <c r="D10285" s="844">
        <v>-960000</v>
      </c>
      <c r="E10285" s="845">
        <v>45627</v>
      </c>
      <c r="F10285" s="843" t="s">
        <v>109</v>
      </c>
      <c r="G10285" s="206" t="s">
        <v>6903</v>
      </c>
      <c r="H10285" s="843" t="s">
        <v>1166</v>
      </c>
      <c r="I10285" s="843" t="s">
        <v>8007</v>
      </c>
      <c r="J10285" s="848" t="s">
        <v>7909</v>
      </c>
      <c r="K10285" s="848" t="s">
        <v>7909</v>
      </c>
      <c r="L10285" s="848" t="s">
        <v>7909</v>
      </c>
      <c r="M10285" s="848" t="s">
        <v>7909</v>
      </c>
      <c r="N10285" s="848" t="s">
        <v>7909</v>
      </c>
      <c r="O10285" s="848" t="s">
        <v>7909</v>
      </c>
      <c r="P10285" s="848" t="s">
        <v>7909</v>
      </c>
      <c r="Q10285" s="848" t="s">
        <v>7909</v>
      </c>
      <c r="R10285" s="848" t="s">
        <v>7909</v>
      </c>
      <c r="S10285" s="848" t="s">
        <v>7909</v>
      </c>
      <c r="T10285" s="848" t="s">
        <v>7909</v>
      </c>
      <c r="U10285" s="848" t="s">
        <v>7909</v>
      </c>
      <c r="V10285" s="848" t="s">
        <v>7909</v>
      </c>
      <c r="W10285" s="848" t="s">
        <v>7909</v>
      </c>
      <c r="X10285" s="848" t="s">
        <v>7909</v>
      </c>
      <c r="Y10285" s="848" t="s">
        <v>7909</v>
      </c>
      <c r="Z10285" s="848" t="s">
        <v>7909</v>
      </c>
      <c r="AA10285" s="848" t="s">
        <v>7909</v>
      </c>
      <c r="AB10285" s="848" t="s">
        <v>7909</v>
      </c>
      <c r="AC10285" s="848" t="s">
        <v>7909</v>
      </c>
      <c r="AD10285" s="848" t="s">
        <v>7909</v>
      </c>
      <c r="AE10285" s="848" t="s">
        <v>7909</v>
      </c>
      <c r="AF10285" s="848" t="s">
        <v>7909</v>
      </c>
      <c r="AG10285" s="848" t="s">
        <v>7909</v>
      </c>
      <c r="AH10285" s="848" t="s">
        <v>7909</v>
      </c>
      <c r="AI10285" s="848" t="s">
        <v>7909</v>
      </c>
      <c r="AJ10285" s="848" t="s">
        <v>7909</v>
      </c>
      <c r="AK10285" s="848" t="s">
        <v>7909</v>
      </c>
      <c r="AL10285" s="848" t="s">
        <v>7909</v>
      </c>
      <c r="AM10285" s="848" t="s">
        <v>7909</v>
      </c>
      <c r="AN10285" s="848" t="s">
        <v>7909</v>
      </c>
      <c r="AO10285" s="848" t="s">
        <v>7909</v>
      </c>
      <c r="AP10285" s="848" t="s">
        <v>7909</v>
      </c>
      <c r="AQ10285" s="848" t="s">
        <v>7909</v>
      </c>
      <c r="AR10285" s="848" t="s">
        <v>7909</v>
      </c>
      <c r="AS10285" s="848" t="s">
        <v>7909</v>
      </c>
      <c r="AT10285" s="848" t="s">
        <v>7909</v>
      </c>
      <c r="AU10285" s="848" t="s">
        <v>7909</v>
      </c>
      <c r="AV10285" s="848" t="s">
        <v>7909</v>
      </c>
      <c r="AW10285" s="848" t="s">
        <v>7909</v>
      </c>
      <c r="AX10285" s="848" t="s">
        <v>7909</v>
      </c>
      <c r="AY10285" s="848" t="s">
        <v>7909</v>
      </c>
      <c r="AZ10285" s="848" t="s">
        <v>7909</v>
      </c>
      <c r="BA10285" s="848" t="s">
        <v>7909</v>
      </c>
      <c r="BB10285" s="848" t="s">
        <v>7909</v>
      </c>
      <c r="BC10285" s="848" t="s">
        <v>7909</v>
      </c>
      <c r="BD10285" s="848" t="s">
        <v>7909</v>
      </c>
      <c r="BE10285" s="848" t="s">
        <v>7909</v>
      </c>
      <c r="BF10285" s="848" t="s">
        <v>7909</v>
      </c>
      <c r="BG10285" s="848" t="s">
        <v>7909</v>
      </c>
      <c r="BH10285" s="848" t="s">
        <v>7909</v>
      </c>
      <c r="BI10285" s="848" t="s">
        <v>7909</v>
      </c>
      <c r="BJ10285" s="848" t="s">
        <v>7909</v>
      </c>
      <c r="BK10285" s="848" t="s">
        <v>7909</v>
      </c>
      <c r="BL10285" s="848" t="s">
        <v>7909</v>
      </c>
      <c r="BM10285" s="848" t="s">
        <v>7909</v>
      </c>
      <c r="BN10285" s="848" t="s">
        <v>7909</v>
      </c>
      <c r="BO10285" s="848" t="s">
        <v>7909</v>
      </c>
      <c r="BP10285" s="848" t="s">
        <v>7909</v>
      </c>
      <c r="BQ10285" s="848" t="s">
        <v>7909</v>
      </c>
      <c r="BR10285" s="848" t="s">
        <v>7909</v>
      </c>
      <c r="BS10285" s="848" t="s">
        <v>7909</v>
      </c>
      <c r="BT10285" s="848" t="s">
        <v>7909</v>
      </c>
      <c r="BU10285" s="848" t="s">
        <v>7909</v>
      </c>
      <c r="BV10285" s="848" t="s">
        <v>7909</v>
      </c>
      <c r="BW10285" s="848" t="s">
        <v>7909</v>
      </c>
      <c r="BX10285" s="848" t="s">
        <v>7909</v>
      </c>
      <c r="BY10285" s="848" t="s">
        <v>7909</v>
      </c>
      <c r="BZ10285" s="848" t="s">
        <v>7909</v>
      </c>
      <c r="CA10285" s="848" t="s">
        <v>7909</v>
      </c>
      <c r="CB10285" s="848" t="s">
        <v>7909</v>
      </c>
      <c r="CC10285" s="848" t="s">
        <v>7909</v>
      </c>
      <c r="CD10285" s="848" t="s">
        <v>7909</v>
      </c>
      <c r="CE10285" s="848" t="s">
        <v>7909</v>
      </c>
      <c r="CF10285" s="848" t="s">
        <v>7909</v>
      </c>
      <c r="CG10285" s="848" t="s">
        <v>7909</v>
      </c>
      <c r="CH10285" s="848" t="s">
        <v>7909</v>
      </c>
      <c r="CI10285" s="848" t="s">
        <v>7909</v>
      </c>
      <c r="CJ10285" s="848" t="s">
        <v>7909</v>
      </c>
      <c r="CK10285" s="848" t="s">
        <v>7909</v>
      </c>
      <c r="CL10285" s="848" t="s">
        <v>7909</v>
      </c>
      <c r="CM10285" s="848" t="s">
        <v>7909</v>
      </c>
      <c r="CN10285" s="848" t="s">
        <v>7909</v>
      </c>
      <c r="CO10285" s="848" t="s">
        <v>7909</v>
      </c>
      <c r="CP10285" s="848" t="s">
        <v>7909</v>
      </c>
      <c r="CQ10285" s="848" t="s">
        <v>7909</v>
      </c>
      <c r="CR10285" s="848" t="s">
        <v>7909</v>
      </c>
      <c r="CS10285" s="848" t="s">
        <v>7909</v>
      </c>
      <c r="CT10285" s="848" t="s">
        <v>7909</v>
      </c>
      <c r="CU10285" s="848" t="s">
        <v>7909</v>
      </c>
      <c r="CV10285" s="848" t="s">
        <v>7909</v>
      </c>
      <c r="CW10285" s="848" t="s">
        <v>7909</v>
      </c>
      <c r="CX10285" s="848" t="s">
        <v>7909</v>
      </c>
      <c r="CY10285" s="848" t="s">
        <v>7909</v>
      </c>
      <c r="CZ10285" s="848" t="s">
        <v>7909</v>
      </c>
      <c r="DA10285" s="848" t="s">
        <v>7909</v>
      </c>
      <c r="DB10285" s="848" t="s">
        <v>7909</v>
      </c>
      <c r="DC10285" s="848" t="s">
        <v>7909</v>
      </c>
      <c r="DD10285" s="848" t="s">
        <v>7909</v>
      </c>
      <c r="DE10285" s="848" t="s">
        <v>7909</v>
      </c>
      <c r="DF10285" s="848" t="s">
        <v>7909</v>
      </c>
      <c r="DG10285" s="848" t="s">
        <v>7909</v>
      </c>
      <c r="DH10285" s="848" t="s">
        <v>7909</v>
      </c>
      <c r="DI10285" s="848" t="s">
        <v>7909</v>
      </c>
      <c r="DJ10285" s="848" t="s">
        <v>7909</v>
      </c>
      <c r="DK10285" s="848" t="s">
        <v>7909</v>
      </c>
      <c r="DL10285" s="848" t="s">
        <v>7909</v>
      </c>
      <c r="DM10285" s="848" t="s">
        <v>7909</v>
      </c>
      <c r="DN10285" s="848" t="s">
        <v>7909</v>
      </c>
      <c r="DO10285" s="848" t="s">
        <v>7909</v>
      </c>
      <c r="DP10285" s="848" t="s">
        <v>7909</v>
      </c>
      <c r="DQ10285" s="848" t="s">
        <v>7909</v>
      </c>
      <c r="DR10285" s="848" t="s">
        <v>7909</v>
      </c>
      <c r="DS10285" s="848" t="s">
        <v>7909</v>
      </c>
      <c r="DT10285" s="848" t="s">
        <v>7909</v>
      </c>
      <c r="DU10285" s="848" t="s">
        <v>7909</v>
      </c>
      <c r="DV10285" s="848" t="s">
        <v>7909</v>
      </c>
      <c r="DW10285" s="848" t="s">
        <v>7909</v>
      </c>
      <c r="DX10285" s="848" t="s">
        <v>7909</v>
      </c>
      <c r="DY10285" s="848" t="s">
        <v>7909</v>
      </c>
      <c r="DZ10285" s="848" t="s">
        <v>7909</v>
      </c>
      <c r="EA10285" s="848" t="s">
        <v>7909</v>
      </c>
      <c r="EB10285" s="848" t="s">
        <v>7909</v>
      </c>
      <c r="EC10285" s="848" t="s">
        <v>7909</v>
      </c>
      <c r="ED10285" s="848" t="s">
        <v>7909</v>
      </c>
      <c r="EE10285" s="848" t="s">
        <v>7909</v>
      </c>
      <c r="EF10285" s="848" t="s">
        <v>7909</v>
      </c>
      <c r="EG10285" s="848" t="s">
        <v>7909</v>
      </c>
      <c r="EH10285" s="848" t="s">
        <v>7909</v>
      </c>
      <c r="EI10285" s="848" t="s">
        <v>7909</v>
      </c>
      <c r="EJ10285" s="848" t="s">
        <v>7909</v>
      </c>
      <c r="EK10285" s="848" t="s">
        <v>7909</v>
      </c>
      <c r="EL10285" s="848" t="s">
        <v>7909</v>
      </c>
      <c r="EM10285" s="848" t="s">
        <v>7909</v>
      </c>
      <c r="EN10285" s="848" t="s">
        <v>7909</v>
      </c>
      <c r="EO10285" s="848" t="s">
        <v>7909</v>
      </c>
      <c r="EP10285" s="848" t="s">
        <v>7909</v>
      </c>
      <c r="EQ10285" s="848" t="s">
        <v>7909</v>
      </c>
      <c r="ER10285" s="848" t="s">
        <v>7909</v>
      </c>
      <c r="ES10285" s="848" t="s">
        <v>7909</v>
      </c>
    </row>
    <row r="10286" spans="1:149" ht="15" hidden="1" customHeight="1">
      <c r="A10286" s="841">
        <v>45649</v>
      </c>
      <c r="B10286" s="842" t="s">
        <v>8012</v>
      </c>
      <c r="C10286" s="843" t="s">
        <v>4783</v>
      </c>
      <c r="D10286" s="844">
        <v>-180300</v>
      </c>
      <c r="E10286" s="845">
        <v>45627</v>
      </c>
      <c r="F10286" s="843" t="s">
        <v>130</v>
      </c>
      <c r="G10286" s="843" t="s">
        <v>130</v>
      </c>
      <c r="H10286" s="843" t="s">
        <v>2724</v>
      </c>
      <c r="I10286" s="843" t="s">
        <v>7909</v>
      </c>
      <c r="J10286" s="848" t="s">
        <v>7909</v>
      </c>
      <c r="K10286" s="848" t="s">
        <v>7909</v>
      </c>
      <c r="L10286" s="848" t="s">
        <v>7909</v>
      </c>
      <c r="M10286" s="848" t="s">
        <v>7909</v>
      </c>
      <c r="N10286" s="848" t="s">
        <v>7909</v>
      </c>
      <c r="O10286" s="848" t="s">
        <v>7909</v>
      </c>
      <c r="P10286" s="848" t="s">
        <v>7909</v>
      </c>
      <c r="Q10286" s="848" t="s">
        <v>7909</v>
      </c>
      <c r="R10286" s="848" t="s">
        <v>7909</v>
      </c>
      <c r="S10286" s="848" t="s">
        <v>7909</v>
      </c>
      <c r="T10286" s="848" t="s">
        <v>7909</v>
      </c>
      <c r="U10286" s="848" t="s">
        <v>7909</v>
      </c>
      <c r="V10286" s="848" t="s">
        <v>7909</v>
      </c>
      <c r="W10286" s="848" t="s">
        <v>7909</v>
      </c>
      <c r="X10286" s="848" t="s">
        <v>7909</v>
      </c>
      <c r="Y10286" s="848" t="s">
        <v>7909</v>
      </c>
      <c r="Z10286" s="848" t="s">
        <v>7909</v>
      </c>
      <c r="AA10286" s="848" t="s">
        <v>7909</v>
      </c>
      <c r="AB10286" s="848" t="s">
        <v>7909</v>
      </c>
      <c r="AC10286" s="848" t="s">
        <v>7909</v>
      </c>
      <c r="AD10286" s="848" t="s">
        <v>7909</v>
      </c>
      <c r="AE10286" s="848" t="s">
        <v>7909</v>
      </c>
      <c r="AF10286" s="848" t="s">
        <v>7909</v>
      </c>
      <c r="AG10286" s="848" t="s">
        <v>7909</v>
      </c>
      <c r="AH10286" s="848" t="s">
        <v>7909</v>
      </c>
      <c r="AI10286" s="848" t="s">
        <v>7909</v>
      </c>
      <c r="AJ10286" s="848" t="s">
        <v>7909</v>
      </c>
      <c r="AK10286" s="848" t="s">
        <v>7909</v>
      </c>
      <c r="AL10286" s="848" t="s">
        <v>7909</v>
      </c>
      <c r="AM10286" s="848" t="s">
        <v>7909</v>
      </c>
      <c r="AN10286" s="848" t="s">
        <v>7909</v>
      </c>
      <c r="AO10286" s="848" t="s">
        <v>7909</v>
      </c>
      <c r="AP10286" s="848" t="s">
        <v>7909</v>
      </c>
      <c r="AQ10286" s="848" t="s">
        <v>7909</v>
      </c>
      <c r="AR10286" s="848" t="s">
        <v>7909</v>
      </c>
      <c r="AS10286" s="848" t="s">
        <v>7909</v>
      </c>
      <c r="AT10286" s="848" t="s">
        <v>7909</v>
      </c>
      <c r="AU10286" s="848" t="s">
        <v>7909</v>
      </c>
      <c r="AV10286" s="848" t="s">
        <v>7909</v>
      </c>
      <c r="AW10286" s="848" t="s">
        <v>7909</v>
      </c>
      <c r="AX10286" s="848" t="s">
        <v>7909</v>
      </c>
      <c r="AY10286" s="848" t="s">
        <v>7909</v>
      </c>
      <c r="AZ10286" s="848" t="s">
        <v>7909</v>
      </c>
      <c r="BA10286" s="848" t="s">
        <v>7909</v>
      </c>
      <c r="BB10286" s="848" t="s">
        <v>7909</v>
      </c>
      <c r="BC10286" s="848" t="s">
        <v>7909</v>
      </c>
      <c r="BD10286" s="848" t="s">
        <v>7909</v>
      </c>
      <c r="BE10286" s="848" t="s">
        <v>7909</v>
      </c>
      <c r="BF10286" s="848" t="s">
        <v>7909</v>
      </c>
      <c r="BG10286" s="848" t="s">
        <v>7909</v>
      </c>
      <c r="BH10286" s="848" t="s">
        <v>7909</v>
      </c>
      <c r="BI10286" s="848" t="s">
        <v>7909</v>
      </c>
      <c r="BJ10286" s="848" t="s">
        <v>7909</v>
      </c>
      <c r="BK10286" s="848" t="s">
        <v>7909</v>
      </c>
      <c r="BL10286" s="848" t="s">
        <v>7909</v>
      </c>
      <c r="BM10286" s="848" t="s">
        <v>7909</v>
      </c>
      <c r="BN10286" s="848" t="s">
        <v>7909</v>
      </c>
      <c r="BO10286" s="848" t="s">
        <v>7909</v>
      </c>
      <c r="BP10286" s="848" t="s">
        <v>7909</v>
      </c>
      <c r="BQ10286" s="848" t="s">
        <v>7909</v>
      </c>
      <c r="BR10286" s="848" t="s">
        <v>7909</v>
      </c>
      <c r="BS10286" s="848" t="s">
        <v>7909</v>
      </c>
      <c r="BT10286" s="848" t="s">
        <v>7909</v>
      </c>
      <c r="BU10286" s="848" t="s">
        <v>7909</v>
      </c>
      <c r="BV10286" s="848" t="s">
        <v>7909</v>
      </c>
      <c r="BW10286" s="848" t="s">
        <v>7909</v>
      </c>
      <c r="BX10286" s="848" t="s">
        <v>7909</v>
      </c>
      <c r="BY10286" s="848" t="s">
        <v>7909</v>
      </c>
      <c r="BZ10286" s="848" t="s">
        <v>7909</v>
      </c>
      <c r="CA10286" s="848" t="s">
        <v>7909</v>
      </c>
      <c r="CB10286" s="848" t="s">
        <v>7909</v>
      </c>
      <c r="CC10286" s="848" t="s">
        <v>7909</v>
      </c>
      <c r="CD10286" s="848" t="s">
        <v>7909</v>
      </c>
      <c r="CE10286" s="848" t="s">
        <v>7909</v>
      </c>
      <c r="CF10286" s="848" t="s">
        <v>7909</v>
      </c>
      <c r="CG10286" s="848" t="s">
        <v>7909</v>
      </c>
      <c r="CH10286" s="848" t="s">
        <v>7909</v>
      </c>
      <c r="CI10286" s="848" t="s">
        <v>7909</v>
      </c>
      <c r="CJ10286" s="848" t="s">
        <v>7909</v>
      </c>
      <c r="CK10286" s="848" t="s">
        <v>7909</v>
      </c>
      <c r="CL10286" s="848" t="s">
        <v>7909</v>
      </c>
      <c r="CM10286" s="848" t="s">
        <v>7909</v>
      </c>
      <c r="CN10286" s="848" t="s">
        <v>7909</v>
      </c>
      <c r="CO10286" s="848" t="s">
        <v>7909</v>
      </c>
      <c r="CP10286" s="848" t="s">
        <v>7909</v>
      </c>
      <c r="CQ10286" s="848" t="s">
        <v>7909</v>
      </c>
      <c r="CR10286" s="848" t="s">
        <v>7909</v>
      </c>
      <c r="CS10286" s="848" t="s">
        <v>7909</v>
      </c>
      <c r="CT10286" s="848" t="s">
        <v>7909</v>
      </c>
      <c r="CU10286" s="848" t="s">
        <v>7909</v>
      </c>
      <c r="CV10286" s="848" t="s">
        <v>7909</v>
      </c>
      <c r="CW10286" s="848" t="s">
        <v>7909</v>
      </c>
      <c r="CX10286" s="848" t="s">
        <v>7909</v>
      </c>
      <c r="CY10286" s="848" t="s">
        <v>7909</v>
      </c>
      <c r="CZ10286" s="848" t="s">
        <v>7909</v>
      </c>
      <c r="DA10286" s="848" t="s">
        <v>7909</v>
      </c>
      <c r="DB10286" s="848" t="s">
        <v>7909</v>
      </c>
      <c r="DC10286" s="848" t="s">
        <v>7909</v>
      </c>
      <c r="DD10286" s="848" t="s">
        <v>7909</v>
      </c>
      <c r="DE10286" s="848" t="s">
        <v>7909</v>
      </c>
      <c r="DF10286" s="848" t="s">
        <v>7909</v>
      </c>
      <c r="DG10286" s="848" t="s">
        <v>7909</v>
      </c>
      <c r="DH10286" s="848" t="s">
        <v>7909</v>
      </c>
      <c r="DI10286" s="848" t="s">
        <v>7909</v>
      </c>
      <c r="DJ10286" s="848" t="s">
        <v>7909</v>
      </c>
      <c r="DK10286" s="848" t="s">
        <v>7909</v>
      </c>
      <c r="DL10286" s="848" t="s">
        <v>7909</v>
      </c>
      <c r="DM10286" s="848" t="s">
        <v>7909</v>
      </c>
      <c r="DN10286" s="848" t="s">
        <v>7909</v>
      </c>
      <c r="DO10286" s="848" t="s">
        <v>7909</v>
      </c>
      <c r="DP10286" s="848" t="s">
        <v>7909</v>
      </c>
      <c r="DQ10286" s="848" t="s">
        <v>7909</v>
      </c>
      <c r="DR10286" s="848" t="s">
        <v>7909</v>
      </c>
      <c r="DS10286" s="848" t="s">
        <v>7909</v>
      </c>
      <c r="DT10286" s="848" t="s">
        <v>7909</v>
      </c>
      <c r="DU10286" s="848" t="s">
        <v>7909</v>
      </c>
      <c r="DV10286" s="848" t="s">
        <v>7909</v>
      </c>
      <c r="DW10286" s="848" t="s">
        <v>7909</v>
      </c>
      <c r="DX10286" s="848" t="s">
        <v>7909</v>
      </c>
      <c r="DY10286" s="848" t="s">
        <v>7909</v>
      </c>
      <c r="DZ10286" s="848" t="s">
        <v>7909</v>
      </c>
      <c r="EA10286" s="848" t="s">
        <v>7909</v>
      </c>
      <c r="EB10286" s="848" t="s">
        <v>7909</v>
      </c>
      <c r="EC10286" s="848" t="s">
        <v>7909</v>
      </c>
      <c r="ED10286" s="848" t="s">
        <v>7909</v>
      </c>
      <c r="EE10286" s="848" t="s">
        <v>7909</v>
      </c>
      <c r="EF10286" s="848" t="s">
        <v>7909</v>
      </c>
      <c r="EG10286" s="848" t="s">
        <v>7909</v>
      </c>
      <c r="EH10286" s="848" t="s">
        <v>7909</v>
      </c>
      <c r="EI10286" s="848" t="s">
        <v>7909</v>
      </c>
      <c r="EJ10286" s="848" t="s">
        <v>7909</v>
      </c>
      <c r="EK10286" s="848" t="s">
        <v>7909</v>
      </c>
      <c r="EL10286" s="848" t="s">
        <v>7909</v>
      </c>
      <c r="EM10286" s="848" t="s">
        <v>7909</v>
      </c>
      <c r="EN10286" s="848" t="s">
        <v>7909</v>
      </c>
      <c r="EO10286" s="848" t="s">
        <v>7909</v>
      </c>
      <c r="EP10286" s="848" t="s">
        <v>7909</v>
      </c>
      <c r="EQ10286" s="848" t="s">
        <v>7909</v>
      </c>
      <c r="ER10286" s="848" t="s">
        <v>7909</v>
      </c>
      <c r="ES10286" s="848" t="s">
        <v>7909</v>
      </c>
    </row>
    <row r="10287" spans="1:149" ht="15" customHeight="1">
      <c r="A10287" s="841">
        <v>45649</v>
      </c>
      <c r="B10287" s="842" t="s">
        <v>8013</v>
      </c>
      <c r="C10287" s="843" t="s">
        <v>4783</v>
      </c>
      <c r="D10287" s="844">
        <v>-1300000</v>
      </c>
      <c r="E10287" s="845">
        <v>45627</v>
      </c>
      <c r="F10287" s="843" t="s">
        <v>109</v>
      </c>
      <c r="G10287" s="843" t="s">
        <v>2809</v>
      </c>
      <c r="H10287" s="843" t="s">
        <v>5775</v>
      </c>
      <c r="I10287" s="843" t="s">
        <v>7909</v>
      </c>
      <c r="J10287" s="848" t="s">
        <v>7909</v>
      </c>
      <c r="K10287" s="848" t="s">
        <v>7909</v>
      </c>
      <c r="L10287" s="848" t="s">
        <v>7909</v>
      </c>
      <c r="M10287" s="848" t="s">
        <v>7909</v>
      </c>
      <c r="N10287" s="848" t="s">
        <v>7909</v>
      </c>
      <c r="O10287" s="848" t="s">
        <v>7909</v>
      </c>
      <c r="P10287" s="848" t="s">
        <v>7909</v>
      </c>
      <c r="Q10287" s="848" t="s">
        <v>7909</v>
      </c>
      <c r="R10287" s="848" t="s">
        <v>7909</v>
      </c>
      <c r="S10287" s="848" t="s">
        <v>7909</v>
      </c>
      <c r="T10287" s="848" t="s">
        <v>7909</v>
      </c>
      <c r="U10287" s="848" t="s">
        <v>7909</v>
      </c>
      <c r="V10287" s="848" t="s">
        <v>7909</v>
      </c>
      <c r="W10287" s="848" t="s">
        <v>7909</v>
      </c>
      <c r="X10287" s="848" t="s">
        <v>7909</v>
      </c>
      <c r="Y10287" s="848" t="s">
        <v>7909</v>
      </c>
      <c r="Z10287" s="848" t="s">
        <v>7909</v>
      </c>
      <c r="AA10287" s="848" t="s">
        <v>7909</v>
      </c>
      <c r="AB10287" s="848" t="s">
        <v>7909</v>
      </c>
      <c r="AC10287" s="848" t="s">
        <v>7909</v>
      </c>
      <c r="AD10287" s="848" t="s">
        <v>7909</v>
      </c>
      <c r="AE10287" s="848" t="s">
        <v>7909</v>
      </c>
      <c r="AF10287" s="848" t="s">
        <v>7909</v>
      </c>
      <c r="AG10287" s="848" t="s">
        <v>7909</v>
      </c>
      <c r="AH10287" s="848" t="s">
        <v>7909</v>
      </c>
      <c r="AI10287" s="848" t="s">
        <v>7909</v>
      </c>
      <c r="AJ10287" s="848" t="s">
        <v>7909</v>
      </c>
      <c r="AK10287" s="848" t="s">
        <v>7909</v>
      </c>
      <c r="AL10287" s="848" t="s">
        <v>7909</v>
      </c>
      <c r="AM10287" s="848" t="s">
        <v>7909</v>
      </c>
      <c r="AN10287" s="848" t="s">
        <v>7909</v>
      </c>
      <c r="AO10287" s="848" t="s">
        <v>7909</v>
      </c>
      <c r="AP10287" s="848" t="s">
        <v>7909</v>
      </c>
      <c r="AQ10287" s="848" t="s">
        <v>7909</v>
      </c>
      <c r="AR10287" s="848" t="s">
        <v>7909</v>
      </c>
      <c r="AS10287" s="848" t="s">
        <v>7909</v>
      </c>
      <c r="AT10287" s="848" t="s">
        <v>7909</v>
      </c>
      <c r="AU10287" s="848" t="s">
        <v>7909</v>
      </c>
      <c r="AV10287" s="848" t="s">
        <v>7909</v>
      </c>
      <c r="AW10287" s="848" t="s">
        <v>7909</v>
      </c>
      <c r="AX10287" s="848" t="s">
        <v>7909</v>
      </c>
      <c r="AY10287" s="848" t="s">
        <v>7909</v>
      </c>
      <c r="AZ10287" s="848" t="s">
        <v>7909</v>
      </c>
      <c r="BA10287" s="848" t="s">
        <v>7909</v>
      </c>
      <c r="BB10287" s="848" t="s">
        <v>7909</v>
      </c>
      <c r="BC10287" s="848" t="s">
        <v>7909</v>
      </c>
      <c r="BD10287" s="848" t="s">
        <v>7909</v>
      </c>
      <c r="BE10287" s="848" t="s">
        <v>7909</v>
      </c>
      <c r="BF10287" s="848" t="s">
        <v>7909</v>
      </c>
      <c r="BG10287" s="848" t="s">
        <v>7909</v>
      </c>
      <c r="BH10287" s="848" t="s">
        <v>7909</v>
      </c>
      <c r="BI10287" s="848" t="s">
        <v>7909</v>
      </c>
      <c r="BJ10287" s="848" t="s">
        <v>7909</v>
      </c>
      <c r="BK10287" s="848" t="s">
        <v>7909</v>
      </c>
      <c r="BL10287" s="848" t="s">
        <v>7909</v>
      </c>
      <c r="BM10287" s="848" t="s">
        <v>7909</v>
      </c>
      <c r="BN10287" s="848" t="s">
        <v>7909</v>
      </c>
      <c r="BO10287" s="848" t="s">
        <v>7909</v>
      </c>
      <c r="BP10287" s="848" t="s">
        <v>7909</v>
      </c>
      <c r="BQ10287" s="848" t="s">
        <v>7909</v>
      </c>
      <c r="BR10287" s="848" t="s">
        <v>7909</v>
      </c>
      <c r="BS10287" s="848" t="s">
        <v>7909</v>
      </c>
      <c r="BT10287" s="848" t="s">
        <v>7909</v>
      </c>
      <c r="BU10287" s="848" t="s">
        <v>7909</v>
      </c>
      <c r="BV10287" s="848" t="s">
        <v>7909</v>
      </c>
      <c r="BW10287" s="848" t="s">
        <v>7909</v>
      </c>
      <c r="BX10287" s="848" t="s">
        <v>7909</v>
      </c>
      <c r="BY10287" s="848" t="s">
        <v>7909</v>
      </c>
      <c r="BZ10287" s="848" t="s">
        <v>7909</v>
      </c>
      <c r="CA10287" s="848" t="s">
        <v>7909</v>
      </c>
      <c r="CB10287" s="848" t="s">
        <v>7909</v>
      </c>
      <c r="CC10287" s="848" t="s">
        <v>7909</v>
      </c>
      <c r="CD10287" s="848" t="s">
        <v>7909</v>
      </c>
      <c r="CE10287" s="848" t="s">
        <v>7909</v>
      </c>
      <c r="CF10287" s="848" t="s">
        <v>7909</v>
      </c>
      <c r="CG10287" s="848" t="s">
        <v>7909</v>
      </c>
      <c r="CH10287" s="848" t="s">
        <v>7909</v>
      </c>
      <c r="CI10287" s="848" t="s">
        <v>7909</v>
      </c>
      <c r="CJ10287" s="848" t="s">
        <v>7909</v>
      </c>
      <c r="CK10287" s="848" t="s">
        <v>7909</v>
      </c>
      <c r="CL10287" s="848" t="s">
        <v>7909</v>
      </c>
      <c r="CM10287" s="848" t="s">
        <v>7909</v>
      </c>
      <c r="CN10287" s="848" t="s">
        <v>7909</v>
      </c>
      <c r="CO10287" s="848" t="s">
        <v>7909</v>
      </c>
      <c r="CP10287" s="848" t="s">
        <v>7909</v>
      </c>
      <c r="CQ10287" s="848" t="s">
        <v>7909</v>
      </c>
      <c r="CR10287" s="848" t="s">
        <v>7909</v>
      </c>
      <c r="CS10287" s="848" t="s">
        <v>7909</v>
      </c>
      <c r="CT10287" s="848" t="s">
        <v>7909</v>
      </c>
      <c r="CU10287" s="848" t="s">
        <v>7909</v>
      </c>
      <c r="CV10287" s="848" t="s">
        <v>7909</v>
      </c>
      <c r="CW10287" s="848" t="s">
        <v>7909</v>
      </c>
      <c r="CX10287" s="848" t="s">
        <v>7909</v>
      </c>
      <c r="CY10287" s="848" t="s">
        <v>7909</v>
      </c>
      <c r="CZ10287" s="848" t="s">
        <v>7909</v>
      </c>
      <c r="DA10287" s="848" t="s">
        <v>7909</v>
      </c>
      <c r="DB10287" s="848" t="s">
        <v>7909</v>
      </c>
      <c r="DC10287" s="848" t="s">
        <v>7909</v>
      </c>
      <c r="DD10287" s="848" t="s">
        <v>7909</v>
      </c>
      <c r="DE10287" s="848" t="s">
        <v>7909</v>
      </c>
      <c r="DF10287" s="848" t="s">
        <v>7909</v>
      </c>
      <c r="DG10287" s="848" t="s">
        <v>7909</v>
      </c>
      <c r="DH10287" s="848" t="s">
        <v>7909</v>
      </c>
      <c r="DI10287" s="848" t="s">
        <v>7909</v>
      </c>
      <c r="DJ10287" s="848" t="s">
        <v>7909</v>
      </c>
      <c r="DK10287" s="848" t="s">
        <v>7909</v>
      </c>
      <c r="DL10287" s="848" t="s">
        <v>7909</v>
      </c>
      <c r="DM10287" s="848" t="s">
        <v>7909</v>
      </c>
      <c r="DN10287" s="848" t="s">
        <v>7909</v>
      </c>
      <c r="DO10287" s="848" t="s">
        <v>7909</v>
      </c>
      <c r="DP10287" s="848" t="s">
        <v>7909</v>
      </c>
      <c r="DQ10287" s="848" t="s">
        <v>7909</v>
      </c>
      <c r="DR10287" s="848" t="s">
        <v>7909</v>
      </c>
      <c r="DS10287" s="848" t="s">
        <v>7909</v>
      </c>
      <c r="DT10287" s="848" t="s">
        <v>7909</v>
      </c>
      <c r="DU10287" s="848" t="s">
        <v>7909</v>
      </c>
      <c r="DV10287" s="848" t="s">
        <v>7909</v>
      </c>
      <c r="DW10287" s="848" t="s">
        <v>7909</v>
      </c>
      <c r="DX10287" s="848" t="s">
        <v>7909</v>
      </c>
      <c r="DY10287" s="848" t="s">
        <v>7909</v>
      </c>
      <c r="DZ10287" s="848" t="s">
        <v>7909</v>
      </c>
      <c r="EA10287" s="848" t="s">
        <v>7909</v>
      </c>
      <c r="EB10287" s="848" t="s">
        <v>7909</v>
      </c>
      <c r="EC10287" s="848" t="s">
        <v>7909</v>
      </c>
      <c r="ED10287" s="848" t="s">
        <v>7909</v>
      </c>
      <c r="EE10287" s="848" t="s">
        <v>7909</v>
      </c>
      <c r="EF10287" s="848" t="s">
        <v>7909</v>
      </c>
      <c r="EG10287" s="848" t="s">
        <v>7909</v>
      </c>
      <c r="EH10287" s="848" t="s">
        <v>7909</v>
      </c>
      <c r="EI10287" s="848" t="s">
        <v>7909</v>
      </c>
      <c r="EJ10287" s="848" t="s">
        <v>7909</v>
      </c>
      <c r="EK10287" s="848" t="s">
        <v>7909</v>
      </c>
      <c r="EL10287" s="848" t="s">
        <v>7909</v>
      </c>
      <c r="EM10287" s="848" t="s">
        <v>7909</v>
      </c>
      <c r="EN10287" s="848" t="s">
        <v>7909</v>
      </c>
      <c r="EO10287" s="848" t="s">
        <v>7909</v>
      </c>
      <c r="EP10287" s="848" t="s">
        <v>7909</v>
      </c>
      <c r="EQ10287" s="848" t="s">
        <v>7909</v>
      </c>
      <c r="ER10287" s="848" t="s">
        <v>7909</v>
      </c>
      <c r="ES10287" s="848" t="s">
        <v>7909</v>
      </c>
    </row>
    <row r="10288" spans="1:149" ht="15" hidden="1" customHeight="1">
      <c r="A10288" s="841">
        <v>45649</v>
      </c>
      <c r="B10288" s="842" t="s">
        <v>8014</v>
      </c>
      <c r="C10288" s="843" t="s">
        <v>4783</v>
      </c>
      <c r="D10288" s="844">
        <v>-8612224</v>
      </c>
      <c r="E10288" s="845">
        <v>45627</v>
      </c>
      <c r="F10288" s="843" t="s">
        <v>109</v>
      </c>
      <c r="G10288" s="843" t="s">
        <v>6974</v>
      </c>
      <c r="H10288" s="843" t="s">
        <v>1463</v>
      </c>
      <c r="I10288" s="843" t="s">
        <v>7909</v>
      </c>
      <c r="J10288" s="848" t="s">
        <v>7909</v>
      </c>
      <c r="K10288" s="848" t="s">
        <v>7909</v>
      </c>
      <c r="L10288" s="848" t="s">
        <v>7909</v>
      </c>
      <c r="M10288" s="848" t="s">
        <v>7909</v>
      </c>
      <c r="N10288" s="848" t="s">
        <v>7909</v>
      </c>
      <c r="O10288" s="848" t="s">
        <v>7909</v>
      </c>
      <c r="P10288" s="848" t="s">
        <v>7909</v>
      </c>
      <c r="Q10288" s="848" t="s">
        <v>7909</v>
      </c>
      <c r="R10288" s="848" t="s">
        <v>7909</v>
      </c>
      <c r="S10288" s="848" t="s">
        <v>7909</v>
      </c>
      <c r="T10288" s="848" t="s">
        <v>7909</v>
      </c>
      <c r="U10288" s="848" t="s">
        <v>7909</v>
      </c>
      <c r="V10288" s="848" t="s">
        <v>7909</v>
      </c>
      <c r="W10288" s="848" t="s">
        <v>7909</v>
      </c>
      <c r="X10288" s="848" t="s">
        <v>7909</v>
      </c>
      <c r="Y10288" s="848" t="s">
        <v>7909</v>
      </c>
      <c r="Z10288" s="848" t="s">
        <v>7909</v>
      </c>
      <c r="AA10288" s="848" t="s">
        <v>7909</v>
      </c>
      <c r="AB10288" s="848" t="s">
        <v>7909</v>
      </c>
      <c r="AC10288" s="848" t="s">
        <v>7909</v>
      </c>
      <c r="AD10288" s="848" t="s">
        <v>7909</v>
      </c>
      <c r="AE10288" s="848" t="s">
        <v>7909</v>
      </c>
      <c r="AF10288" s="848" t="s">
        <v>7909</v>
      </c>
      <c r="AG10288" s="848" t="s">
        <v>7909</v>
      </c>
      <c r="AH10288" s="848" t="s">
        <v>7909</v>
      </c>
      <c r="AI10288" s="848" t="s">
        <v>7909</v>
      </c>
      <c r="AJ10288" s="848" t="s">
        <v>7909</v>
      </c>
      <c r="AK10288" s="848" t="s">
        <v>7909</v>
      </c>
      <c r="AL10288" s="848" t="s">
        <v>7909</v>
      </c>
      <c r="AM10288" s="848" t="s">
        <v>7909</v>
      </c>
      <c r="AN10288" s="848" t="s">
        <v>7909</v>
      </c>
      <c r="AO10288" s="848" t="s">
        <v>7909</v>
      </c>
      <c r="AP10288" s="848" t="s">
        <v>7909</v>
      </c>
      <c r="AQ10288" s="848" t="s">
        <v>7909</v>
      </c>
      <c r="AR10288" s="848" t="s">
        <v>7909</v>
      </c>
      <c r="AS10288" s="848" t="s">
        <v>7909</v>
      </c>
      <c r="AT10288" s="848" t="s">
        <v>7909</v>
      </c>
      <c r="AU10288" s="848" t="s">
        <v>7909</v>
      </c>
      <c r="AV10288" s="848" t="s">
        <v>7909</v>
      </c>
      <c r="AW10288" s="848" t="s">
        <v>7909</v>
      </c>
      <c r="AX10288" s="848" t="s">
        <v>7909</v>
      </c>
      <c r="AY10288" s="848" t="s">
        <v>7909</v>
      </c>
      <c r="AZ10288" s="848" t="s">
        <v>7909</v>
      </c>
      <c r="BA10288" s="848" t="s">
        <v>7909</v>
      </c>
      <c r="BB10288" s="848" t="s">
        <v>7909</v>
      </c>
      <c r="BC10288" s="848" t="s">
        <v>7909</v>
      </c>
      <c r="BD10288" s="848" t="s">
        <v>7909</v>
      </c>
      <c r="BE10288" s="848" t="s">
        <v>7909</v>
      </c>
      <c r="BF10288" s="848" t="s">
        <v>7909</v>
      </c>
      <c r="BG10288" s="848" t="s">
        <v>7909</v>
      </c>
      <c r="BH10288" s="848" t="s">
        <v>7909</v>
      </c>
      <c r="BI10288" s="848" t="s">
        <v>7909</v>
      </c>
      <c r="BJ10288" s="848" t="s">
        <v>7909</v>
      </c>
      <c r="BK10288" s="848" t="s">
        <v>7909</v>
      </c>
      <c r="BL10288" s="848" t="s">
        <v>7909</v>
      </c>
      <c r="BM10288" s="848" t="s">
        <v>7909</v>
      </c>
      <c r="BN10288" s="848" t="s">
        <v>7909</v>
      </c>
      <c r="BO10288" s="848" t="s">
        <v>7909</v>
      </c>
      <c r="BP10288" s="848" t="s">
        <v>7909</v>
      </c>
      <c r="BQ10288" s="848" t="s">
        <v>7909</v>
      </c>
      <c r="BR10288" s="848" t="s">
        <v>7909</v>
      </c>
      <c r="BS10288" s="848" t="s">
        <v>7909</v>
      </c>
      <c r="BT10288" s="848" t="s">
        <v>7909</v>
      </c>
      <c r="BU10288" s="848" t="s">
        <v>7909</v>
      </c>
      <c r="BV10288" s="848" t="s">
        <v>7909</v>
      </c>
      <c r="BW10288" s="848" t="s">
        <v>7909</v>
      </c>
      <c r="BX10288" s="848" t="s">
        <v>7909</v>
      </c>
      <c r="BY10288" s="848" t="s">
        <v>7909</v>
      </c>
      <c r="BZ10288" s="848" t="s">
        <v>7909</v>
      </c>
      <c r="CA10288" s="848" t="s">
        <v>7909</v>
      </c>
      <c r="CB10288" s="848" t="s">
        <v>7909</v>
      </c>
      <c r="CC10288" s="848" t="s">
        <v>7909</v>
      </c>
      <c r="CD10288" s="848" t="s">
        <v>7909</v>
      </c>
      <c r="CE10288" s="848" t="s">
        <v>7909</v>
      </c>
      <c r="CF10288" s="848" t="s">
        <v>7909</v>
      </c>
      <c r="CG10288" s="848" t="s">
        <v>7909</v>
      </c>
      <c r="CH10288" s="848" t="s">
        <v>7909</v>
      </c>
      <c r="CI10288" s="848" t="s">
        <v>7909</v>
      </c>
      <c r="CJ10288" s="848" t="s">
        <v>7909</v>
      </c>
      <c r="CK10288" s="848" t="s">
        <v>7909</v>
      </c>
      <c r="CL10288" s="848" t="s">
        <v>7909</v>
      </c>
      <c r="CM10288" s="848" t="s">
        <v>7909</v>
      </c>
      <c r="CN10288" s="848" t="s">
        <v>7909</v>
      </c>
      <c r="CO10288" s="848" t="s">
        <v>7909</v>
      </c>
      <c r="CP10288" s="848" t="s">
        <v>7909</v>
      </c>
      <c r="CQ10288" s="848" t="s">
        <v>7909</v>
      </c>
      <c r="CR10288" s="848" t="s">
        <v>7909</v>
      </c>
      <c r="CS10288" s="848" t="s">
        <v>7909</v>
      </c>
      <c r="CT10288" s="848" t="s">
        <v>7909</v>
      </c>
      <c r="CU10288" s="848" t="s">
        <v>7909</v>
      </c>
      <c r="CV10288" s="848" t="s">
        <v>7909</v>
      </c>
      <c r="CW10288" s="848" t="s">
        <v>7909</v>
      </c>
      <c r="CX10288" s="848" t="s">
        <v>7909</v>
      </c>
      <c r="CY10288" s="848" t="s">
        <v>7909</v>
      </c>
      <c r="CZ10288" s="848" t="s">
        <v>7909</v>
      </c>
      <c r="DA10288" s="848" t="s">
        <v>7909</v>
      </c>
      <c r="DB10288" s="848" t="s">
        <v>7909</v>
      </c>
      <c r="DC10288" s="848" t="s">
        <v>7909</v>
      </c>
      <c r="DD10288" s="848" t="s">
        <v>7909</v>
      </c>
      <c r="DE10288" s="848" t="s">
        <v>7909</v>
      </c>
      <c r="DF10288" s="848" t="s">
        <v>7909</v>
      </c>
      <c r="DG10288" s="848" t="s">
        <v>7909</v>
      </c>
      <c r="DH10288" s="848" t="s">
        <v>7909</v>
      </c>
      <c r="DI10288" s="848" t="s">
        <v>7909</v>
      </c>
      <c r="DJ10288" s="848" t="s">
        <v>7909</v>
      </c>
      <c r="DK10288" s="848" t="s">
        <v>7909</v>
      </c>
      <c r="DL10288" s="848" t="s">
        <v>7909</v>
      </c>
      <c r="DM10288" s="848" t="s">
        <v>7909</v>
      </c>
      <c r="DN10288" s="848" t="s">
        <v>7909</v>
      </c>
      <c r="DO10288" s="848" t="s">
        <v>7909</v>
      </c>
      <c r="DP10288" s="848" t="s">
        <v>7909</v>
      </c>
      <c r="DQ10288" s="848" t="s">
        <v>7909</v>
      </c>
      <c r="DR10288" s="848" t="s">
        <v>7909</v>
      </c>
      <c r="DS10288" s="848" t="s">
        <v>7909</v>
      </c>
      <c r="DT10288" s="848" t="s">
        <v>7909</v>
      </c>
      <c r="DU10288" s="848" t="s">
        <v>7909</v>
      </c>
      <c r="DV10288" s="848" t="s">
        <v>7909</v>
      </c>
      <c r="DW10288" s="848" t="s">
        <v>7909</v>
      </c>
      <c r="DX10288" s="848" t="s">
        <v>7909</v>
      </c>
      <c r="DY10288" s="848" t="s">
        <v>7909</v>
      </c>
      <c r="DZ10288" s="848" t="s">
        <v>7909</v>
      </c>
      <c r="EA10288" s="848" t="s">
        <v>7909</v>
      </c>
      <c r="EB10288" s="848" t="s">
        <v>7909</v>
      </c>
      <c r="EC10288" s="848" t="s">
        <v>7909</v>
      </c>
      <c r="ED10288" s="848" t="s">
        <v>7909</v>
      </c>
      <c r="EE10288" s="848" t="s">
        <v>7909</v>
      </c>
      <c r="EF10288" s="848" t="s">
        <v>7909</v>
      </c>
      <c r="EG10288" s="848" t="s">
        <v>7909</v>
      </c>
      <c r="EH10288" s="848" t="s">
        <v>7909</v>
      </c>
      <c r="EI10288" s="848" t="s">
        <v>7909</v>
      </c>
      <c r="EJ10288" s="848" t="s">
        <v>7909</v>
      </c>
      <c r="EK10288" s="848" t="s">
        <v>7909</v>
      </c>
      <c r="EL10288" s="848" t="s">
        <v>7909</v>
      </c>
      <c r="EM10288" s="848" t="s">
        <v>7909</v>
      </c>
      <c r="EN10288" s="848" t="s">
        <v>7909</v>
      </c>
      <c r="EO10288" s="848" t="s">
        <v>7909</v>
      </c>
      <c r="EP10288" s="848" t="s">
        <v>7909</v>
      </c>
      <c r="EQ10288" s="848" t="s">
        <v>7909</v>
      </c>
      <c r="ER10288" s="848" t="s">
        <v>7909</v>
      </c>
      <c r="ES10288" s="848" t="s">
        <v>7909</v>
      </c>
    </row>
    <row r="10289" spans="1:149" ht="15" hidden="1" customHeight="1">
      <c r="A10289" s="841">
        <v>45649</v>
      </c>
      <c r="B10289" s="842" t="s">
        <v>8015</v>
      </c>
      <c r="C10289" s="843" t="s">
        <v>4783</v>
      </c>
      <c r="D10289" s="844">
        <v>-606000</v>
      </c>
      <c r="E10289" s="845">
        <v>45627</v>
      </c>
      <c r="F10289" s="843" t="s">
        <v>109</v>
      </c>
      <c r="G10289" s="206" t="s">
        <v>6903</v>
      </c>
      <c r="H10289" s="843" t="s">
        <v>1463</v>
      </c>
      <c r="I10289" s="871" t="s">
        <v>3626</v>
      </c>
      <c r="J10289" s="848" t="s">
        <v>7909</v>
      </c>
      <c r="K10289" s="848" t="s">
        <v>7909</v>
      </c>
      <c r="L10289" s="848" t="s">
        <v>7909</v>
      </c>
      <c r="M10289" s="848" t="s">
        <v>7909</v>
      </c>
      <c r="N10289" s="848" t="s">
        <v>7909</v>
      </c>
      <c r="O10289" s="848" t="s">
        <v>7909</v>
      </c>
      <c r="P10289" s="848" t="s">
        <v>7909</v>
      </c>
      <c r="Q10289" s="848" t="s">
        <v>7909</v>
      </c>
      <c r="R10289" s="848" t="s">
        <v>7909</v>
      </c>
      <c r="S10289" s="848" t="s">
        <v>7909</v>
      </c>
      <c r="T10289" s="848" t="s">
        <v>7909</v>
      </c>
      <c r="U10289" s="848" t="s">
        <v>7909</v>
      </c>
      <c r="V10289" s="848" t="s">
        <v>7909</v>
      </c>
      <c r="W10289" s="848" t="s">
        <v>7909</v>
      </c>
      <c r="X10289" s="848" t="s">
        <v>7909</v>
      </c>
      <c r="Y10289" s="848" t="s">
        <v>7909</v>
      </c>
      <c r="Z10289" s="848" t="s">
        <v>7909</v>
      </c>
      <c r="AA10289" s="848" t="s">
        <v>7909</v>
      </c>
      <c r="AB10289" s="848" t="s">
        <v>7909</v>
      </c>
      <c r="AC10289" s="848" t="s">
        <v>7909</v>
      </c>
      <c r="AD10289" s="848" t="s">
        <v>7909</v>
      </c>
      <c r="AE10289" s="848" t="s">
        <v>7909</v>
      </c>
      <c r="AF10289" s="848" t="s">
        <v>7909</v>
      </c>
      <c r="AG10289" s="848" t="s">
        <v>7909</v>
      </c>
      <c r="AH10289" s="848" t="s">
        <v>7909</v>
      </c>
      <c r="AI10289" s="848" t="s">
        <v>7909</v>
      </c>
      <c r="AJ10289" s="848" t="s">
        <v>7909</v>
      </c>
      <c r="AK10289" s="848" t="s">
        <v>7909</v>
      </c>
      <c r="AL10289" s="848" t="s">
        <v>7909</v>
      </c>
      <c r="AM10289" s="848" t="s">
        <v>7909</v>
      </c>
      <c r="AN10289" s="848" t="s">
        <v>7909</v>
      </c>
      <c r="AO10289" s="848" t="s">
        <v>7909</v>
      </c>
      <c r="AP10289" s="848" t="s">
        <v>7909</v>
      </c>
      <c r="AQ10289" s="848" t="s">
        <v>7909</v>
      </c>
      <c r="AR10289" s="848" t="s">
        <v>7909</v>
      </c>
      <c r="AS10289" s="848" t="s">
        <v>7909</v>
      </c>
      <c r="AT10289" s="848" t="s">
        <v>7909</v>
      </c>
      <c r="AU10289" s="848" t="s">
        <v>7909</v>
      </c>
      <c r="AV10289" s="848" t="s">
        <v>7909</v>
      </c>
      <c r="AW10289" s="848" t="s">
        <v>7909</v>
      </c>
      <c r="AX10289" s="848" t="s">
        <v>7909</v>
      </c>
      <c r="AY10289" s="848" t="s">
        <v>7909</v>
      </c>
      <c r="AZ10289" s="848" t="s">
        <v>7909</v>
      </c>
      <c r="BA10289" s="848" t="s">
        <v>7909</v>
      </c>
      <c r="BB10289" s="848" t="s">
        <v>7909</v>
      </c>
      <c r="BC10289" s="848" t="s">
        <v>7909</v>
      </c>
      <c r="BD10289" s="848" t="s">
        <v>7909</v>
      </c>
      <c r="BE10289" s="848" t="s">
        <v>7909</v>
      </c>
      <c r="BF10289" s="848" t="s">
        <v>7909</v>
      </c>
      <c r="BG10289" s="848" t="s">
        <v>7909</v>
      </c>
      <c r="BH10289" s="848" t="s">
        <v>7909</v>
      </c>
      <c r="BI10289" s="848" t="s">
        <v>7909</v>
      </c>
      <c r="BJ10289" s="848" t="s">
        <v>7909</v>
      </c>
      <c r="BK10289" s="848" t="s">
        <v>7909</v>
      </c>
      <c r="BL10289" s="848" t="s">
        <v>7909</v>
      </c>
      <c r="BM10289" s="848" t="s">
        <v>7909</v>
      </c>
      <c r="BN10289" s="848" t="s">
        <v>7909</v>
      </c>
      <c r="BO10289" s="848" t="s">
        <v>7909</v>
      </c>
      <c r="BP10289" s="848" t="s">
        <v>7909</v>
      </c>
      <c r="BQ10289" s="848" t="s">
        <v>7909</v>
      </c>
      <c r="BR10289" s="848" t="s">
        <v>7909</v>
      </c>
      <c r="BS10289" s="848" t="s">
        <v>7909</v>
      </c>
      <c r="BT10289" s="848" t="s">
        <v>7909</v>
      </c>
      <c r="BU10289" s="848" t="s">
        <v>7909</v>
      </c>
      <c r="BV10289" s="848" t="s">
        <v>7909</v>
      </c>
      <c r="BW10289" s="848" t="s">
        <v>7909</v>
      </c>
      <c r="BX10289" s="848" t="s">
        <v>7909</v>
      </c>
      <c r="BY10289" s="848" t="s">
        <v>7909</v>
      </c>
      <c r="BZ10289" s="848" t="s">
        <v>7909</v>
      </c>
      <c r="CA10289" s="848" t="s">
        <v>7909</v>
      </c>
      <c r="CB10289" s="848" t="s">
        <v>7909</v>
      </c>
      <c r="CC10289" s="848" t="s">
        <v>7909</v>
      </c>
      <c r="CD10289" s="848" t="s">
        <v>7909</v>
      </c>
      <c r="CE10289" s="848" t="s">
        <v>7909</v>
      </c>
      <c r="CF10289" s="848" t="s">
        <v>7909</v>
      </c>
      <c r="CG10289" s="848" t="s">
        <v>7909</v>
      </c>
      <c r="CH10289" s="848" t="s">
        <v>7909</v>
      </c>
      <c r="CI10289" s="848" t="s">
        <v>7909</v>
      </c>
      <c r="CJ10289" s="848" t="s">
        <v>7909</v>
      </c>
      <c r="CK10289" s="848" t="s">
        <v>7909</v>
      </c>
      <c r="CL10289" s="848" t="s">
        <v>7909</v>
      </c>
      <c r="CM10289" s="848" t="s">
        <v>7909</v>
      </c>
      <c r="CN10289" s="848" t="s">
        <v>7909</v>
      </c>
      <c r="CO10289" s="848" t="s">
        <v>7909</v>
      </c>
      <c r="CP10289" s="848" t="s">
        <v>7909</v>
      </c>
      <c r="CQ10289" s="848" t="s">
        <v>7909</v>
      </c>
      <c r="CR10289" s="848" t="s">
        <v>7909</v>
      </c>
      <c r="CS10289" s="848" t="s">
        <v>7909</v>
      </c>
      <c r="CT10289" s="848" t="s">
        <v>7909</v>
      </c>
      <c r="CU10289" s="848" t="s">
        <v>7909</v>
      </c>
      <c r="CV10289" s="848" t="s">
        <v>7909</v>
      </c>
      <c r="CW10289" s="848" t="s">
        <v>7909</v>
      </c>
      <c r="CX10289" s="848" t="s">
        <v>7909</v>
      </c>
      <c r="CY10289" s="848" t="s">
        <v>7909</v>
      </c>
      <c r="CZ10289" s="848" t="s">
        <v>7909</v>
      </c>
      <c r="DA10289" s="848" t="s">
        <v>7909</v>
      </c>
      <c r="DB10289" s="848" t="s">
        <v>7909</v>
      </c>
      <c r="DC10289" s="848" t="s">
        <v>7909</v>
      </c>
      <c r="DD10289" s="848" t="s">
        <v>7909</v>
      </c>
      <c r="DE10289" s="848" t="s">
        <v>7909</v>
      </c>
      <c r="DF10289" s="848" t="s">
        <v>7909</v>
      </c>
      <c r="DG10289" s="848" t="s">
        <v>7909</v>
      </c>
      <c r="DH10289" s="848" t="s">
        <v>7909</v>
      </c>
      <c r="DI10289" s="848" t="s">
        <v>7909</v>
      </c>
      <c r="DJ10289" s="848" t="s">
        <v>7909</v>
      </c>
      <c r="DK10289" s="848" t="s">
        <v>7909</v>
      </c>
      <c r="DL10289" s="848" t="s">
        <v>7909</v>
      </c>
      <c r="DM10289" s="848" t="s">
        <v>7909</v>
      </c>
      <c r="DN10289" s="848" t="s">
        <v>7909</v>
      </c>
      <c r="DO10289" s="848" t="s">
        <v>7909</v>
      </c>
      <c r="DP10289" s="848" t="s">
        <v>7909</v>
      </c>
      <c r="DQ10289" s="848" t="s">
        <v>7909</v>
      </c>
      <c r="DR10289" s="848" t="s">
        <v>7909</v>
      </c>
      <c r="DS10289" s="848" t="s">
        <v>7909</v>
      </c>
      <c r="DT10289" s="848" t="s">
        <v>7909</v>
      </c>
      <c r="DU10289" s="848" t="s">
        <v>7909</v>
      </c>
      <c r="DV10289" s="848" t="s">
        <v>7909</v>
      </c>
      <c r="DW10289" s="848" t="s">
        <v>7909</v>
      </c>
      <c r="DX10289" s="848" t="s">
        <v>7909</v>
      </c>
      <c r="DY10289" s="848" t="s">
        <v>7909</v>
      </c>
      <c r="DZ10289" s="848" t="s">
        <v>7909</v>
      </c>
      <c r="EA10289" s="848" t="s">
        <v>7909</v>
      </c>
      <c r="EB10289" s="848" t="s">
        <v>7909</v>
      </c>
      <c r="EC10289" s="848" t="s">
        <v>7909</v>
      </c>
      <c r="ED10289" s="848" t="s">
        <v>7909</v>
      </c>
      <c r="EE10289" s="848" t="s">
        <v>7909</v>
      </c>
      <c r="EF10289" s="848" t="s">
        <v>7909</v>
      </c>
      <c r="EG10289" s="848" t="s">
        <v>7909</v>
      </c>
      <c r="EH10289" s="848" t="s">
        <v>7909</v>
      </c>
      <c r="EI10289" s="848" t="s">
        <v>7909</v>
      </c>
      <c r="EJ10289" s="848" t="s">
        <v>7909</v>
      </c>
      <c r="EK10289" s="848" t="s">
        <v>7909</v>
      </c>
      <c r="EL10289" s="848" t="s">
        <v>7909</v>
      </c>
      <c r="EM10289" s="848" t="s">
        <v>7909</v>
      </c>
      <c r="EN10289" s="848" t="s">
        <v>7909</v>
      </c>
      <c r="EO10289" s="848" t="s">
        <v>7909</v>
      </c>
      <c r="EP10289" s="848" t="s">
        <v>7909</v>
      </c>
      <c r="EQ10289" s="848" t="s">
        <v>7909</v>
      </c>
      <c r="ER10289" s="848" t="s">
        <v>7909</v>
      </c>
      <c r="ES10289" s="848" t="s">
        <v>7909</v>
      </c>
    </row>
    <row r="10290" spans="1:149" ht="15" hidden="1" customHeight="1">
      <c r="A10290" s="841">
        <v>45649</v>
      </c>
      <c r="B10290" s="842" t="s">
        <v>8016</v>
      </c>
      <c r="C10290" s="843" t="s">
        <v>4783</v>
      </c>
      <c r="D10290" s="844">
        <v>-213103650</v>
      </c>
      <c r="E10290" s="845">
        <v>45627</v>
      </c>
      <c r="F10290" s="843" t="s">
        <v>109</v>
      </c>
      <c r="G10290" s="843" t="s">
        <v>8017</v>
      </c>
      <c r="H10290" s="843" t="s">
        <v>7909</v>
      </c>
      <c r="I10290" s="843" t="s">
        <v>7909</v>
      </c>
      <c r="J10290" s="848" t="s">
        <v>7909</v>
      </c>
      <c r="K10290" s="848" t="s">
        <v>7909</v>
      </c>
      <c r="L10290" s="848" t="s">
        <v>7909</v>
      </c>
      <c r="M10290" s="848" t="s">
        <v>7909</v>
      </c>
      <c r="N10290" s="848" t="s">
        <v>7909</v>
      </c>
      <c r="O10290" s="848" t="s">
        <v>7909</v>
      </c>
      <c r="P10290" s="848" t="s">
        <v>7909</v>
      </c>
      <c r="Q10290" s="848" t="s">
        <v>7909</v>
      </c>
      <c r="R10290" s="848" t="s">
        <v>7909</v>
      </c>
      <c r="S10290" s="848" t="s">
        <v>7909</v>
      </c>
      <c r="T10290" s="848" t="s">
        <v>7909</v>
      </c>
      <c r="U10290" s="848" t="s">
        <v>7909</v>
      </c>
      <c r="V10290" s="848" t="s">
        <v>7909</v>
      </c>
      <c r="W10290" s="848" t="s">
        <v>7909</v>
      </c>
      <c r="X10290" s="848" t="s">
        <v>7909</v>
      </c>
      <c r="Y10290" s="848" t="s">
        <v>7909</v>
      </c>
      <c r="Z10290" s="848" t="s">
        <v>7909</v>
      </c>
      <c r="AA10290" s="848" t="s">
        <v>7909</v>
      </c>
      <c r="AB10290" s="848" t="s">
        <v>7909</v>
      </c>
      <c r="AC10290" s="848" t="s">
        <v>7909</v>
      </c>
      <c r="AD10290" s="848" t="s">
        <v>7909</v>
      </c>
      <c r="AE10290" s="848" t="s">
        <v>7909</v>
      </c>
      <c r="AF10290" s="848" t="s">
        <v>7909</v>
      </c>
      <c r="AG10290" s="848" t="s">
        <v>7909</v>
      </c>
      <c r="AH10290" s="848" t="s">
        <v>7909</v>
      </c>
      <c r="AI10290" s="848" t="s">
        <v>7909</v>
      </c>
      <c r="AJ10290" s="848" t="s">
        <v>7909</v>
      </c>
      <c r="AK10290" s="848" t="s">
        <v>7909</v>
      </c>
      <c r="AL10290" s="848" t="s">
        <v>7909</v>
      </c>
      <c r="AM10290" s="848" t="s">
        <v>7909</v>
      </c>
      <c r="AN10290" s="848" t="s">
        <v>7909</v>
      </c>
      <c r="AO10290" s="848" t="s">
        <v>7909</v>
      </c>
      <c r="AP10290" s="848" t="s">
        <v>7909</v>
      </c>
      <c r="AQ10290" s="848" t="s">
        <v>7909</v>
      </c>
      <c r="AR10290" s="848" t="s">
        <v>7909</v>
      </c>
      <c r="AS10290" s="848" t="s">
        <v>7909</v>
      </c>
      <c r="AT10290" s="848" t="s">
        <v>7909</v>
      </c>
      <c r="AU10290" s="848" t="s">
        <v>7909</v>
      </c>
      <c r="AV10290" s="848" t="s">
        <v>7909</v>
      </c>
      <c r="AW10290" s="848" t="s">
        <v>7909</v>
      </c>
      <c r="AX10290" s="848" t="s">
        <v>7909</v>
      </c>
      <c r="AY10290" s="848" t="s">
        <v>7909</v>
      </c>
      <c r="AZ10290" s="848" t="s">
        <v>7909</v>
      </c>
      <c r="BA10290" s="848" t="s">
        <v>7909</v>
      </c>
      <c r="BB10290" s="848" t="s">
        <v>7909</v>
      </c>
      <c r="BC10290" s="848" t="s">
        <v>7909</v>
      </c>
      <c r="BD10290" s="848" t="s">
        <v>7909</v>
      </c>
      <c r="BE10290" s="848" t="s">
        <v>7909</v>
      </c>
      <c r="BF10290" s="848" t="s">
        <v>7909</v>
      </c>
      <c r="BG10290" s="848" t="s">
        <v>7909</v>
      </c>
      <c r="BH10290" s="848" t="s">
        <v>7909</v>
      </c>
      <c r="BI10290" s="848" t="s">
        <v>7909</v>
      </c>
      <c r="BJ10290" s="848" t="s">
        <v>7909</v>
      </c>
      <c r="BK10290" s="848" t="s">
        <v>7909</v>
      </c>
      <c r="BL10290" s="848" t="s">
        <v>7909</v>
      </c>
      <c r="BM10290" s="848" t="s">
        <v>7909</v>
      </c>
      <c r="BN10290" s="848" t="s">
        <v>7909</v>
      </c>
      <c r="BO10290" s="848" t="s">
        <v>7909</v>
      </c>
      <c r="BP10290" s="848" t="s">
        <v>7909</v>
      </c>
      <c r="BQ10290" s="848" t="s">
        <v>7909</v>
      </c>
      <c r="BR10290" s="848" t="s">
        <v>7909</v>
      </c>
      <c r="BS10290" s="848" t="s">
        <v>7909</v>
      </c>
      <c r="BT10290" s="848" t="s">
        <v>7909</v>
      </c>
      <c r="BU10290" s="848" t="s">
        <v>7909</v>
      </c>
      <c r="BV10290" s="848" t="s">
        <v>7909</v>
      </c>
      <c r="BW10290" s="848" t="s">
        <v>7909</v>
      </c>
      <c r="BX10290" s="848" t="s">
        <v>7909</v>
      </c>
      <c r="BY10290" s="848" t="s">
        <v>7909</v>
      </c>
      <c r="BZ10290" s="848" t="s">
        <v>7909</v>
      </c>
      <c r="CA10290" s="848" t="s">
        <v>7909</v>
      </c>
      <c r="CB10290" s="848" t="s">
        <v>7909</v>
      </c>
      <c r="CC10290" s="848" t="s">
        <v>7909</v>
      </c>
      <c r="CD10290" s="848" t="s">
        <v>7909</v>
      </c>
      <c r="CE10290" s="848" t="s">
        <v>7909</v>
      </c>
      <c r="CF10290" s="848" t="s">
        <v>7909</v>
      </c>
      <c r="CG10290" s="848" t="s">
        <v>7909</v>
      </c>
      <c r="CH10290" s="848" t="s">
        <v>7909</v>
      </c>
      <c r="CI10290" s="848" t="s">
        <v>7909</v>
      </c>
      <c r="CJ10290" s="848" t="s">
        <v>7909</v>
      </c>
      <c r="CK10290" s="848" t="s">
        <v>7909</v>
      </c>
      <c r="CL10290" s="848" t="s">
        <v>7909</v>
      </c>
      <c r="CM10290" s="848" t="s">
        <v>7909</v>
      </c>
      <c r="CN10290" s="848" t="s">
        <v>7909</v>
      </c>
      <c r="CO10290" s="848" t="s">
        <v>7909</v>
      </c>
      <c r="CP10290" s="848" t="s">
        <v>7909</v>
      </c>
      <c r="CQ10290" s="848" t="s">
        <v>7909</v>
      </c>
      <c r="CR10290" s="848" t="s">
        <v>7909</v>
      </c>
      <c r="CS10290" s="848" t="s">
        <v>7909</v>
      </c>
      <c r="CT10290" s="848" t="s">
        <v>7909</v>
      </c>
      <c r="CU10290" s="848" t="s">
        <v>7909</v>
      </c>
      <c r="CV10290" s="848" t="s">
        <v>7909</v>
      </c>
      <c r="CW10290" s="848" t="s">
        <v>7909</v>
      </c>
      <c r="CX10290" s="848" t="s">
        <v>7909</v>
      </c>
      <c r="CY10290" s="848" t="s">
        <v>7909</v>
      </c>
      <c r="CZ10290" s="848" t="s">
        <v>7909</v>
      </c>
      <c r="DA10290" s="848" t="s">
        <v>7909</v>
      </c>
      <c r="DB10290" s="848" t="s">
        <v>7909</v>
      </c>
      <c r="DC10290" s="848" t="s">
        <v>7909</v>
      </c>
      <c r="DD10290" s="848" t="s">
        <v>7909</v>
      </c>
      <c r="DE10290" s="848" t="s">
        <v>7909</v>
      </c>
      <c r="DF10290" s="848" t="s">
        <v>7909</v>
      </c>
      <c r="DG10290" s="848" t="s">
        <v>7909</v>
      </c>
      <c r="DH10290" s="848" t="s">
        <v>7909</v>
      </c>
      <c r="DI10290" s="848" t="s">
        <v>7909</v>
      </c>
      <c r="DJ10290" s="848" t="s">
        <v>7909</v>
      </c>
      <c r="DK10290" s="848" t="s">
        <v>7909</v>
      </c>
      <c r="DL10290" s="848" t="s">
        <v>7909</v>
      </c>
      <c r="DM10290" s="848" t="s">
        <v>7909</v>
      </c>
      <c r="DN10290" s="848" t="s">
        <v>7909</v>
      </c>
      <c r="DO10290" s="848" t="s">
        <v>7909</v>
      </c>
      <c r="DP10290" s="848" t="s">
        <v>7909</v>
      </c>
      <c r="DQ10290" s="848" t="s">
        <v>7909</v>
      </c>
      <c r="DR10290" s="848" t="s">
        <v>7909</v>
      </c>
      <c r="DS10290" s="848" t="s">
        <v>7909</v>
      </c>
      <c r="DT10290" s="848" t="s">
        <v>7909</v>
      </c>
      <c r="DU10290" s="848" t="s">
        <v>7909</v>
      </c>
      <c r="DV10290" s="848" t="s">
        <v>7909</v>
      </c>
      <c r="DW10290" s="848" t="s">
        <v>7909</v>
      </c>
      <c r="DX10290" s="848" t="s">
        <v>7909</v>
      </c>
      <c r="DY10290" s="848" t="s">
        <v>7909</v>
      </c>
      <c r="DZ10290" s="848" t="s">
        <v>7909</v>
      </c>
      <c r="EA10290" s="848" t="s">
        <v>7909</v>
      </c>
      <c r="EB10290" s="848" t="s">
        <v>7909</v>
      </c>
      <c r="EC10290" s="848" t="s">
        <v>7909</v>
      </c>
      <c r="ED10290" s="848" t="s">
        <v>7909</v>
      </c>
      <c r="EE10290" s="848" t="s">
        <v>7909</v>
      </c>
      <c r="EF10290" s="848" t="s">
        <v>7909</v>
      </c>
      <c r="EG10290" s="848" t="s">
        <v>7909</v>
      </c>
      <c r="EH10290" s="848" t="s">
        <v>7909</v>
      </c>
      <c r="EI10290" s="848" t="s">
        <v>7909</v>
      </c>
      <c r="EJ10290" s="848" t="s">
        <v>7909</v>
      </c>
      <c r="EK10290" s="848" t="s">
        <v>7909</v>
      </c>
      <c r="EL10290" s="848" t="s">
        <v>7909</v>
      </c>
      <c r="EM10290" s="848" t="s">
        <v>7909</v>
      </c>
      <c r="EN10290" s="848" t="s">
        <v>7909</v>
      </c>
      <c r="EO10290" s="848" t="s">
        <v>7909</v>
      </c>
      <c r="EP10290" s="848" t="s">
        <v>7909</v>
      </c>
      <c r="EQ10290" s="848" t="s">
        <v>7909</v>
      </c>
      <c r="ER10290" s="848" t="s">
        <v>7909</v>
      </c>
      <c r="ES10290" s="848" t="s">
        <v>7909</v>
      </c>
    </row>
    <row r="10291" spans="1:149" ht="15" hidden="1" customHeight="1">
      <c r="A10291" s="841">
        <v>45652</v>
      </c>
      <c r="B10291" s="842" t="s">
        <v>8018</v>
      </c>
      <c r="C10291" s="843" t="s">
        <v>4783</v>
      </c>
      <c r="D10291" s="844">
        <v>-606000</v>
      </c>
      <c r="E10291" s="845">
        <v>45627</v>
      </c>
      <c r="F10291" s="843" t="s">
        <v>109</v>
      </c>
      <c r="G10291" s="206" t="s">
        <v>5906</v>
      </c>
      <c r="H10291" s="843" t="s">
        <v>1463</v>
      </c>
      <c r="I10291" s="871" t="s">
        <v>3626</v>
      </c>
      <c r="J10291" s="848" t="s">
        <v>7909</v>
      </c>
      <c r="K10291" s="848" t="s">
        <v>7909</v>
      </c>
      <c r="L10291" s="848" t="s">
        <v>7909</v>
      </c>
      <c r="M10291" s="848" t="s">
        <v>7909</v>
      </c>
      <c r="N10291" s="848" t="s">
        <v>7909</v>
      </c>
      <c r="O10291" s="848" t="s">
        <v>7909</v>
      </c>
      <c r="P10291" s="848" t="s">
        <v>7909</v>
      </c>
      <c r="Q10291" s="848" t="s">
        <v>7909</v>
      </c>
      <c r="R10291" s="848" t="s">
        <v>7909</v>
      </c>
      <c r="S10291" s="848" t="s">
        <v>7909</v>
      </c>
      <c r="T10291" s="848" t="s">
        <v>7909</v>
      </c>
      <c r="U10291" s="848" t="s">
        <v>7909</v>
      </c>
      <c r="V10291" s="848" t="s">
        <v>7909</v>
      </c>
      <c r="W10291" s="848" t="s">
        <v>7909</v>
      </c>
      <c r="X10291" s="848" t="s">
        <v>7909</v>
      </c>
      <c r="Y10291" s="848" t="s">
        <v>7909</v>
      </c>
      <c r="Z10291" s="848" t="s">
        <v>7909</v>
      </c>
      <c r="AA10291" s="848" t="s">
        <v>7909</v>
      </c>
      <c r="AB10291" s="848" t="s">
        <v>7909</v>
      </c>
      <c r="AC10291" s="848" t="s">
        <v>7909</v>
      </c>
      <c r="AD10291" s="848" t="s">
        <v>7909</v>
      </c>
      <c r="AE10291" s="848" t="s">
        <v>7909</v>
      </c>
      <c r="AF10291" s="848" t="s">
        <v>7909</v>
      </c>
      <c r="AG10291" s="848" t="s">
        <v>7909</v>
      </c>
      <c r="AH10291" s="848" t="s">
        <v>7909</v>
      </c>
      <c r="AI10291" s="848" t="s">
        <v>7909</v>
      </c>
      <c r="AJ10291" s="848" t="s">
        <v>7909</v>
      </c>
      <c r="AK10291" s="848" t="s">
        <v>7909</v>
      </c>
      <c r="AL10291" s="848" t="s">
        <v>7909</v>
      </c>
      <c r="AM10291" s="848" t="s">
        <v>7909</v>
      </c>
      <c r="AN10291" s="848" t="s">
        <v>7909</v>
      </c>
      <c r="AO10291" s="848" t="s">
        <v>7909</v>
      </c>
      <c r="AP10291" s="848" t="s">
        <v>7909</v>
      </c>
      <c r="AQ10291" s="848" t="s">
        <v>7909</v>
      </c>
      <c r="AR10291" s="848" t="s">
        <v>7909</v>
      </c>
      <c r="AS10291" s="848" t="s">
        <v>7909</v>
      </c>
      <c r="AT10291" s="848" t="s">
        <v>7909</v>
      </c>
      <c r="AU10291" s="848" t="s">
        <v>7909</v>
      </c>
      <c r="AV10291" s="848" t="s">
        <v>7909</v>
      </c>
      <c r="AW10291" s="848" t="s">
        <v>7909</v>
      </c>
      <c r="AX10291" s="848" t="s">
        <v>7909</v>
      </c>
      <c r="AY10291" s="848" t="s">
        <v>7909</v>
      </c>
      <c r="AZ10291" s="848" t="s">
        <v>7909</v>
      </c>
      <c r="BA10291" s="848" t="s">
        <v>7909</v>
      </c>
      <c r="BB10291" s="848" t="s">
        <v>7909</v>
      </c>
      <c r="BC10291" s="848" t="s">
        <v>7909</v>
      </c>
      <c r="BD10291" s="848" t="s">
        <v>7909</v>
      </c>
      <c r="BE10291" s="848" t="s">
        <v>7909</v>
      </c>
      <c r="BF10291" s="848" t="s">
        <v>7909</v>
      </c>
      <c r="BG10291" s="848" t="s">
        <v>7909</v>
      </c>
      <c r="BH10291" s="848" t="s">
        <v>7909</v>
      </c>
      <c r="BI10291" s="848" t="s">
        <v>7909</v>
      </c>
      <c r="BJ10291" s="848" t="s">
        <v>7909</v>
      </c>
      <c r="BK10291" s="848" t="s">
        <v>7909</v>
      </c>
      <c r="BL10291" s="848" t="s">
        <v>7909</v>
      </c>
      <c r="BM10291" s="848" t="s">
        <v>7909</v>
      </c>
      <c r="BN10291" s="848" t="s">
        <v>7909</v>
      </c>
      <c r="BO10291" s="848" t="s">
        <v>7909</v>
      </c>
      <c r="BP10291" s="848" t="s">
        <v>7909</v>
      </c>
      <c r="BQ10291" s="848" t="s">
        <v>7909</v>
      </c>
      <c r="BR10291" s="848" t="s">
        <v>7909</v>
      </c>
      <c r="BS10291" s="848" t="s">
        <v>7909</v>
      </c>
      <c r="BT10291" s="848" t="s">
        <v>7909</v>
      </c>
      <c r="BU10291" s="848" t="s">
        <v>7909</v>
      </c>
      <c r="BV10291" s="848" t="s">
        <v>7909</v>
      </c>
      <c r="BW10291" s="848" t="s">
        <v>7909</v>
      </c>
      <c r="BX10291" s="848" t="s">
        <v>7909</v>
      </c>
      <c r="BY10291" s="848" t="s">
        <v>7909</v>
      </c>
      <c r="BZ10291" s="848" t="s">
        <v>7909</v>
      </c>
      <c r="CA10291" s="848" t="s">
        <v>7909</v>
      </c>
      <c r="CB10291" s="848" t="s">
        <v>7909</v>
      </c>
      <c r="CC10291" s="848" t="s">
        <v>7909</v>
      </c>
      <c r="CD10291" s="848" t="s">
        <v>7909</v>
      </c>
      <c r="CE10291" s="848" t="s">
        <v>7909</v>
      </c>
      <c r="CF10291" s="848" t="s">
        <v>7909</v>
      </c>
      <c r="CG10291" s="848" t="s">
        <v>7909</v>
      </c>
      <c r="CH10291" s="848" t="s">
        <v>7909</v>
      </c>
      <c r="CI10291" s="848" t="s">
        <v>7909</v>
      </c>
      <c r="CJ10291" s="848" t="s">
        <v>7909</v>
      </c>
      <c r="CK10291" s="848" t="s">
        <v>7909</v>
      </c>
      <c r="CL10291" s="848" t="s">
        <v>7909</v>
      </c>
      <c r="CM10291" s="848" t="s">
        <v>7909</v>
      </c>
      <c r="CN10291" s="848" t="s">
        <v>7909</v>
      </c>
      <c r="CO10291" s="848" t="s">
        <v>7909</v>
      </c>
      <c r="CP10291" s="848" t="s">
        <v>7909</v>
      </c>
      <c r="CQ10291" s="848" t="s">
        <v>7909</v>
      </c>
      <c r="CR10291" s="848" t="s">
        <v>7909</v>
      </c>
      <c r="CS10291" s="848" t="s">
        <v>7909</v>
      </c>
      <c r="CT10291" s="848" t="s">
        <v>7909</v>
      </c>
      <c r="CU10291" s="848" t="s">
        <v>7909</v>
      </c>
      <c r="CV10291" s="848" t="s">
        <v>7909</v>
      </c>
      <c r="CW10291" s="848" t="s">
        <v>7909</v>
      </c>
      <c r="CX10291" s="848" t="s">
        <v>7909</v>
      </c>
      <c r="CY10291" s="848" t="s">
        <v>7909</v>
      </c>
      <c r="CZ10291" s="848" t="s">
        <v>7909</v>
      </c>
      <c r="DA10291" s="848" t="s">
        <v>7909</v>
      </c>
      <c r="DB10291" s="848" t="s">
        <v>7909</v>
      </c>
      <c r="DC10291" s="848" t="s">
        <v>7909</v>
      </c>
      <c r="DD10291" s="848" t="s">
        <v>7909</v>
      </c>
      <c r="DE10291" s="848" t="s">
        <v>7909</v>
      </c>
      <c r="DF10291" s="848" t="s">
        <v>7909</v>
      </c>
      <c r="DG10291" s="848" t="s">
        <v>7909</v>
      </c>
      <c r="DH10291" s="848" t="s">
        <v>7909</v>
      </c>
      <c r="DI10291" s="848" t="s">
        <v>7909</v>
      </c>
      <c r="DJ10291" s="848" t="s">
        <v>7909</v>
      </c>
      <c r="DK10291" s="848" t="s">
        <v>7909</v>
      </c>
      <c r="DL10291" s="848" t="s">
        <v>7909</v>
      </c>
      <c r="DM10291" s="848" t="s">
        <v>7909</v>
      </c>
      <c r="DN10291" s="848" t="s">
        <v>7909</v>
      </c>
      <c r="DO10291" s="848" t="s">
        <v>7909</v>
      </c>
      <c r="DP10291" s="848" t="s">
        <v>7909</v>
      </c>
      <c r="DQ10291" s="848" t="s">
        <v>7909</v>
      </c>
      <c r="DR10291" s="848" t="s">
        <v>7909</v>
      </c>
      <c r="DS10291" s="848" t="s">
        <v>7909</v>
      </c>
      <c r="DT10291" s="848" t="s">
        <v>7909</v>
      </c>
      <c r="DU10291" s="848" t="s">
        <v>7909</v>
      </c>
      <c r="DV10291" s="848" t="s">
        <v>7909</v>
      </c>
      <c r="DW10291" s="848" t="s">
        <v>7909</v>
      </c>
      <c r="DX10291" s="848" t="s">
        <v>7909</v>
      </c>
      <c r="DY10291" s="848" t="s">
        <v>7909</v>
      </c>
      <c r="DZ10291" s="848" t="s">
        <v>7909</v>
      </c>
      <c r="EA10291" s="848" t="s">
        <v>7909</v>
      </c>
      <c r="EB10291" s="848" t="s">
        <v>7909</v>
      </c>
      <c r="EC10291" s="848" t="s">
        <v>7909</v>
      </c>
      <c r="ED10291" s="848" t="s">
        <v>7909</v>
      </c>
      <c r="EE10291" s="848" t="s">
        <v>7909</v>
      </c>
      <c r="EF10291" s="848" t="s">
        <v>7909</v>
      </c>
      <c r="EG10291" s="848" t="s">
        <v>7909</v>
      </c>
      <c r="EH10291" s="848" t="s">
        <v>7909</v>
      </c>
      <c r="EI10291" s="848" t="s">
        <v>7909</v>
      </c>
      <c r="EJ10291" s="848" t="s">
        <v>7909</v>
      </c>
      <c r="EK10291" s="848" t="s">
        <v>7909</v>
      </c>
      <c r="EL10291" s="848" t="s">
        <v>7909</v>
      </c>
      <c r="EM10291" s="848" t="s">
        <v>7909</v>
      </c>
      <c r="EN10291" s="848" t="s">
        <v>7909</v>
      </c>
      <c r="EO10291" s="848" t="s">
        <v>7909</v>
      </c>
      <c r="EP10291" s="848" t="s">
        <v>7909</v>
      </c>
      <c r="EQ10291" s="848" t="s">
        <v>7909</v>
      </c>
      <c r="ER10291" s="848" t="s">
        <v>7909</v>
      </c>
      <c r="ES10291" s="848" t="s">
        <v>7909</v>
      </c>
    </row>
    <row r="10292" spans="1:149" ht="15" hidden="1" customHeight="1">
      <c r="A10292" s="841">
        <v>45652</v>
      </c>
      <c r="B10292" s="842" t="s">
        <v>8019</v>
      </c>
      <c r="C10292" s="843" t="s">
        <v>4783</v>
      </c>
      <c r="D10292" s="844">
        <v>-2113267</v>
      </c>
      <c r="E10292" s="845">
        <v>45627</v>
      </c>
      <c r="F10292" s="843" t="s">
        <v>109</v>
      </c>
      <c r="G10292" s="843" t="s">
        <v>1489</v>
      </c>
      <c r="H10292" s="843" t="s">
        <v>1463</v>
      </c>
      <c r="I10292" s="720" t="s">
        <v>5410</v>
      </c>
      <c r="J10292" s="848" t="s">
        <v>7909</v>
      </c>
      <c r="K10292" s="848" t="s">
        <v>7909</v>
      </c>
      <c r="L10292" s="848" t="s">
        <v>7909</v>
      </c>
      <c r="M10292" s="848" t="s">
        <v>7909</v>
      </c>
      <c r="N10292" s="848" t="s">
        <v>7909</v>
      </c>
      <c r="O10292" s="848" t="s">
        <v>7909</v>
      </c>
      <c r="P10292" s="848" t="s">
        <v>7909</v>
      </c>
      <c r="Q10292" s="848" t="s">
        <v>7909</v>
      </c>
      <c r="R10292" s="848" t="s">
        <v>7909</v>
      </c>
      <c r="S10292" s="848" t="s">
        <v>7909</v>
      </c>
      <c r="T10292" s="848" t="s">
        <v>7909</v>
      </c>
      <c r="U10292" s="848" t="s">
        <v>7909</v>
      </c>
      <c r="V10292" s="848" t="s">
        <v>7909</v>
      </c>
      <c r="W10292" s="848" t="s">
        <v>7909</v>
      </c>
      <c r="X10292" s="848" t="s">
        <v>7909</v>
      </c>
      <c r="Y10292" s="848" t="s">
        <v>7909</v>
      </c>
      <c r="Z10292" s="848" t="s">
        <v>7909</v>
      </c>
      <c r="AA10292" s="848" t="s">
        <v>7909</v>
      </c>
      <c r="AB10292" s="848" t="s">
        <v>7909</v>
      </c>
      <c r="AC10292" s="848" t="s">
        <v>7909</v>
      </c>
      <c r="AD10292" s="848" t="s">
        <v>7909</v>
      </c>
      <c r="AE10292" s="848" t="s">
        <v>7909</v>
      </c>
      <c r="AF10292" s="848" t="s">
        <v>7909</v>
      </c>
      <c r="AG10292" s="848" t="s">
        <v>7909</v>
      </c>
      <c r="AH10292" s="848" t="s">
        <v>7909</v>
      </c>
      <c r="AI10292" s="848" t="s">
        <v>7909</v>
      </c>
      <c r="AJ10292" s="848" t="s">
        <v>7909</v>
      </c>
      <c r="AK10292" s="848" t="s">
        <v>7909</v>
      </c>
      <c r="AL10292" s="848" t="s">
        <v>7909</v>
      </c>
      <c r="AM10292" s="848" t="s">
        <v>7909</v>
      </c>
      <c r="AN10292" s="848" t="s">
        <v>7909</v>
      </c>
      <c r="AO10292" s="848" t="s">
        <v>7909</v>
      </c>
      <c r="AP10292" s="848" t="s">
        <v>7909</v>
      </c>
      <c r="AQ10292" s="848" t="s">
        <v>7909</v>
      </c>
      <c r="AR10292" s="848" t="s">
        <v>7909</v>
      </c>
      <c r="AS10292" s="848" t="s">
        <v>7909</v>
      </c>
      <c r="AT10292" s="848" t="s">
        <v>7909</v>
      </c>
      <c r="AU10292" s="848" t="s">
        <v>7909</v>
      </c>
      <c r="AV10292" s="848" t="s">
        <v>7909</v>
      </c>
      <c r="AW10292" s="848" t="s">
        <v>7909</v>
      </c>
      <c r="AX10292" s="848" t="s">
        <v>7909</v>
      </c>
      <c r="AY10292" s="848" t="s">
        <v>7909</v>
      </c>
      <c r="AZ10292" s="848" t="s">
        <v>7909</v>
      </c>
      <c r="BA10292" s="848" t="s">
        <v>7909</v>
      </c>
      <c r="BB10292" s="848" t="s">
        <v>7909</v>
      </c>
      <c r="BC10292" s="848" t="s">
        <v>7909</v>
      </c>
      <c r="BD10292" s="848" t="s">
        <v>7909</v>
      </c>
      <c r="BE10292" s="848" t="s">
        <v>7909</v>
      </c>
      <c r="BF10292" s="848" t="s">
        <v>7909</v>
      </c>
      <c r="BG10292" s="848" t="s">
        <v>7909</v>
      </c>
      <c r="BH10292" s="848" t="s">
        <v>7909</v>
      </c>
      <c r="BI10292" s="848" t="s">
        <v>7909</v>
      </c>
      <c r="BJ10292" s="848" t="s">
        <v>7909</v>
      </c>
      <c r="BK10292" s="848" t="s">
        <v>7909</v>
      </c>
      <c r="BL10292" s="848" t="s">
        <v>7909</v>
      </c>
      <c r="BM10292" s="848" t="s">
        <v>7909</v>
      </c>
      <c r="BN10292" s="848" t="s">
        <v>7909</v>
      </c>
      <c r="BO10292" s="848" t="s">
        <v>7909</v>
      </c>
      <c r="BP10292" s="848" t="s">
        <v>7909</v>
      </c>
      <c r="BQ10292" s="848" t="s">
        <v>7909</v>
      </c>
      <c r="BR10292" s="848" t="s">
        <v>7909</v>
      </c>
      <c r="BS10292" s="848" t="s">
        <v>7909</v>
      </c>
      <c r="BT10292" s="848" t="s">
        <v>7909</v>
      </c>
      <c r="BU10292" s="848" t="s">
        <v>7909</v>
      </c>
      <c r="BV10292" s="848" t="s">
        <v>7909</v>
      </c>
      <c r="BW10292" s="848" t="s">
        <v>7909</v>
      </c>
      <c r="BX10292" s="848" t="s">
        <v>7909</v>
      </c>
      <c r="BY10292" s="848" t="s">
        <v>7909</v>
      </c>
      <c r="BZ10292" s="848" t="s">
        <v>7909</v>
      </c>
      <c r="CA10292" s="848" t="s">
        <v>7909</v>
      </c>
      <c r="CB10292" s="848" t="s">
        <v>7909</v>
      </c>
      <c r="CC10292" s="848" t="s">
        <v>7909</v>
      </c>
      <c r="CD10292" s="848" t="s">
        <v>7909</v>
      </c>
      <c r="CE10292" s="848" t="s">
        <v>7909</v>
      </c>
      <c r="CF10292" s="848" t="s">
        <v>7909</v>
      </c>
      <c r="CG10292" s="848" t="s">
        <v>7909</v>
      </c>
      <c r="CH10292" s="848" t="s">
        <v>7909</v>
      </c>
      <c r="CI10292" s="848" t="s">
        <v>7909</v>
      </c>
      <c r="CJ10292" s="848" t="s">
        <v>7909</v>
      </c>
      <c r="CK10292" s="848" t="s">
        <v>7909</v>
      </c>
      <c r="CL10292" s="848" t="s">
        <v>7909</v>
      </c>
      <c r="CM10292" s="848" t="s">
        <v>7909</v>
      </c>
      <c r="CN10292" s="848" t="s">
        <v>7909</v>
      </c>
      <c r="CO10292" s="848" t="s">
        <v>7909</v>
      </c>
      <c r="CP10292" s="848" t="s">
        <v>7909</v>
      </c>
      <c r="CQ10292" s="848" t="s">
        <v>7909</v>
      </c>
      <c r="CR10292" s="848" t="s">
        <v>7909</v>
      </c>
      <c r="CS10292" s="848" t="s">
        <v>7909</v>
      </c>
      <c r="CT10292" s="848" t="s">
        <v>7909</v>
      </c>
      <c r="CU10292" s="848" t="s">
        <v>7909</v>
      </c>
      <c r="CV10292" s="848" t="s">
        <v>7909</v>
      </c>
      <c r="CW10292" s="848" t="s">
        <v>7909</v>
      </c>
      <c r="CX10292" s="848" t="s">
        <v>7909</v>
      </c>
      <c r="CY10292" s="848" t="s">
        <v>7909</v>
      </c>
      <c r="CZ10292" s="848" t="s">
        <v>7909</v>
      </c>
      <c r="DA10292" s="848" t="s">
        <v>7909</v>
      </c>
      <c r="DB10292" s="848" t="s">
        <v>7909</v>
      </c>
      <c r="DC10292" s="848" t="s">
        <v>7909</v>
      </c>
      <c r="DD10292" s="848" t="s">
        <v>7909</v>
      </c>
      <c r="DE10292" s="848" t="s">
        <v>7909</v>
      </c>
      <c r="DF10292" s="848" t="s">
        <v>7909</v>
      </c>
      <c r="DG10292" s="848" t="s">
        <v>7909</v>
      </c>
      <c r="DH10292" s="848" t="s">
        <v>7909</v>
      </c>
      <c r="DI10292" s="848" t="s">
        <v>7909</v>
      </c>
      <c r="DJ10292" s="848" t="s">
        <v>7909</v>
      </c>
      <c r="DK10292" s="848" t="s">
        <v>7909</v>
      </c>
      <c r="DL10292" s="848" t="s">
        <v>7909</v>
      </c>
      <c r="DM10292" s="848" t="s">
        <v>7909</v>
      </c>
      <c r="DN10292" s="848" t="s">
        <v>7909</v>
      </c>
      <c r="DO10292" s="848" t="s">
        <v>7909</v>
      </c>
      <c r="DP10292" s="848" t="s">
        <v>7909</v>
      </c>
      <c r="DQ10292" s="848" t="s">
        <v>7909</v>
      </c>
      <c r="DR10292" s="848" t="s">
        <v>7909</v>
      </c>
      <c r="DS10292" s="848" t="s">
        <v>7909</v>
      </c>
      <c r="DT10292" s="848" t="s">
        <v>7909</v>
      </c>
      <c r="DU10292" s="848" t="s">
        <v>7909</v>
      </c>
      <c r="DV10292" s="848" t="s">
        <v>7909</v>
      </c>
      <c r="DW10292" s="848" t="s">
        <v>7909</v>
      </c>
      <c r="DX10292" s="848" t="s">
        <v>7909</v>
      </c>
      <c r="DY10292" s="848" t="s">
        <v>7909</v>
      </c>
      <c r="DZ10292" s="848" t="s">
        <v>7909</v>
      </c>
      <c r="EA10292" s="848" t="s">
        <v>7909</v>
      </c>
      <c r="EB10292" s="848" t="s">
        <v>7909</v>
      </c>
      <c r="EC10292" s="848" t="s">
        <v>7909</v>
      </c>
      <c r="ED10292" s="848" t="s">
        <v>7909</v>
      </c>
      <c r="EE10292" s="848" t="s">
        <v>7909</v>
      </c>
      <c r="EF10292" s="848" t="s">
        <v>7909</v>
      </c>
      <c r="EG10292" s="848" t="s">
        <v>7909</v>
      </c>
      <c r="EH10292" s="848" t="s">
        <v>7909</v>
      </c>
      <c r="EI10292" s="848" t="s">
        <v>7909</v>
      </c>
      <c r="EJ10292" s="848" t="s">
        <v>7909</v>
      </c>
      <c r="EK10292" s="848" t="s">
        <v>7909</v>
      </c>
      <c r="EL10292" s="848" t="s">
        <v>7909</v>
      </c>
      <c r="EM10292" s="848" t="s">
        <v>7909</v>
      </c>
      <c r="EN10292" s="848" t="s">
        <v>7909</v>
      </c>
      <c r="EO10292" s="848" t="s">
        <v>7909</v>
      </c>
      <c r="EP10292" s="848" t="s">
        <v>7909</v>
      </c>
      <c r="EQ10292" s="848" t="s">
        <v>7909</v>
      </c>
      <c r="ER10292" s="848" t="s">
        <v>7909</v>
      </c>
      <c r="ES10292" s="848" t="s">
        <v>7909</v>
      </c>
    </row>
    <row r="10293" spans="1:149" ht="15" hidden="1" customHeight="1">
      <c r="A10293" s="841">
        <v>45652</v>
      </c>
      <c r="B10293" s="842" t="s">
        <v>8020</v>
      </c>
      <c r="C10293" s="843" t="s">
        <v>4783</v>
      </c>
      <c r="D10293" s="844">
        <v>-1499000</v>
      </c>
      <c r="E10293" s="845">
        <v>45627</v>
      </c>
      <c r="F10293" s="843" t="s">
        <v>130</v>
      </c>
      <c r="G10293" s="843" t="s">
        <v>130</v>
      </c>
      <c r="H10293" s="843" t="s">
        <v>360</v>
      </c>
      <c r="I10293" s="843" t="s">
        <v>7909</v>
      </c>
      <c r="J10293" s="848" t="s">
        <v>7909</v>
      </c>
      <c r="K10293" s="848" t="s">
        <v>7909</v>
      </c>
      <c r="L10293" s="848" t="s">
        <v>7909</v>
      </c>
      <c r="M10293" s="848" t="s">
        <v>7909</v>
      </c>
      <c r="N10293" s="848" t="s">
        <v>7909</v>
      </c>
      <c r="O10293" s="848" t="s">
        <v>7909</v>
      </c>
      <c r="P10293" s="848" t="s">
        <v>7909</v>
      </c>
      <c r="Q10293" s="848" t="s">
        <v>7909</v>
      </c>
      <c r="R10293" s="848" t="s">
        <v>7909</v>
      </c>
      <c r="S10293" s="848" t="s">
        <v>7909</v>
      </c>
      <c r="T10293" s="848" t="s">
        <v>7909</v>
      </c>
      <c r="U10293" s="848" t="s">
        <v>7909</v>
      </c>
      <c r="V10293" s="848" t="s">
        <v>7909</v>
      </c>
      <c r="W10293" s="848" t="s">
        <v>7909</v>
      </c>
      <c r="X10293" s="848" t="s">
        <v>7909</v>
      </c>
      <c r="Y10293" s="848" t="s">
        <v>7909</v>
      </c>
      <c r="Z10293" s="848" t="s">
        <v>7909</v>
      </c>
      <c r="AA10293" s="848" t="s">
        <v>7909</v>
      </c>
      <c r="AB10293" s="848" t="s">
        <v>7909</v>
      </c>
      <c r="AC10293" s="848" t="s">
        <v>7909</v>
      </c>
      <c r="AD10293" s="848" t="s">
        <v>7909</v>
      </c>
      <c r="AE10293" s="848" t="s">
        <v>7909</v>
      </c>
      <c r="AF10293" s="848" t="s">
        <v>7909</v>
      </c>
      <c r="AG10293" s="848" t="s">
        <v>7909</v>
      </c>
      <c r="AH10293" s="848" t="s">
        <v>7909</v>
      </c>
      <c r="AI10293" s="848" t="s">
        <v>7909</v>
      </c>
      <c r="AJ10293" s="848" t="s">
        <v>7909</v>
      </c>
      <c r="AK10293" s="848" t="s">
        <v>7909</v>
      </c>
      <c r="AL10293" s="848" t="s">
        <v>7909</v>
      </c>
      <c r="AM10293" s="848" t="s">
        <v>7909</v>
      </c>
      <c r="AN10293" s="848" t="s">
        <v>7909</v>
      </c>
      <c r="AO10293" s="848" t="s">
        <v>7909</v>
      </c>
      <c r="AP10293" s="848" t="s">
        <v>7909</v>
      </c>
      <c r="AQ10293" s="848" t="s">
        <v>7909</v>
      </c>
      <c r="AR10293" s="848" t="s">
        <v>7909</v>
      </c>
      <c r="AS10293" s="848" t="s">
        <v>7909</v>
      </c>
      <c r="AT10293" s="848" t="s">
        <v>7909</v>
      </c>
      <c r="AU10293" s="848" t="s">
        <v>7909</v>
      </c>
      <c r="AV10293" s="848" t="s">
        <v>7909</v>
      </c>
      <c r="AW10293" s="848" t="s">
        <v>7909</v>
      </c>
      <c r="AX10293" s="848" t="s">
        <v>7909</v>
      </c>
      <c r="AY10293" s="848" t="s">
        <v>7909</v>
      </c>
      <c r="AZ10293" s="848" t="s">
        <v>7909</v>
      </c>
      <c r="BA10293" s="848" t="s">
        <v>7909</v>
      </c>
      <c r="BB10293" s="848" t="s">
        <v>7909</v>
      </c>
      <c r="BC10293" s="848" t="s">
        <v>7909</v>
      </c>
      <c r="BD10293" s="848" t="s">
        <v>7909</v>
      </c>
      <c r="BE10293" s="848" t="s">
        <v>7909</v>
      </c>
      <c r="BF10293" s="848" t="s">
        <v>7909</v>
      </c>
      <c r="BG10293" s="848" t="s">
        <v>7909</v>
      </c>
      <c r="BH10293" s="848" t="s">
        <v>7909</v>
      </c>
      <c r="BI10293" s="848" t="s">
        <v>7909</v>
      </c>
      <c r="BJ10293" s="848" t="s">
        <v>7909</v>
      </c>
      <c r="BK10293" s="848" t="s">
        <v>7909</v>
      </c>
      <c r="BL10293" s="848" t="s">
        <v>7909</v>
      </c>
      <c r="BM10293" s="848" t="s">
        <v>7909</v>
      </c>
      <c r="BN10293" s="848" t="s">
        <v>7909</v>
      </c>
      <c r="BO10293" s="848" t="s">
        <v>7909</v>
      </c>
      <c r="BP10293" s="848" t="s">
        <v>7909</v>
      </c>
      <c r="BQ10293" s="848" t="s">
        <v>7909</v>
      </c>
      <c r="BR10293" s="848" t="s">
        <v>7909</v>
      </c>
      <c r="BS10293" s="848" t="s">
        <v>7909</v>
      </c>
      <c r="BT10293" s="848" t="s">
        <v>7909</v>
      </c>
      <c r="BU10293" s="848" t="s">
        <v>7909</v>
      </c>
      <c r="BV10293" s="848" t="s">
        <v>7909</v>
      </c>
      <c r="BW10293" s="848" t="s">
        <v>7909</v>
      </c>
      <c r="BX10293" s="848" t="s">
        <v>7909</v>
      </c>
      <c r="BY10293" s="848" t="s">
        <v>7909</v>
      </c>
      <c r="BZ10293" s="848" t="s">
        <v>7909</v>
      </c>
      <c r="CA10293" s="848" t="s">
        <v>7909</v>
      </c>
      <c r="CB10293" s="848" t="s">
        <v>7909</v>
      </c>
      <c r="CC10293" s="848" t="s">
        <v>7909</v>
      </c>
      <c r="CD10293" s="848" t="s">
        <v>7909</v>
      </c>
      <c r="CE10293" s="848" t="s">
        <v>7909</v>
      </c>
      <c r="CF10293" s="848" t="s">
        <v>7909</v>
      </c>
      <c r="CG10293" s="848" t="s">
        <v>7909</v>
      </c>
      <c r="CH10293" s="848" t="s">
        <v>7909</v>
      </c>
      <c r="CI10293" s="848" t="s">
        <v>7909</v>
      </c>
      <c r="CJ10293" s="848" t="s">
        <v>7909</v>
      </c>
      <c r="CK10293" s="848" t="s">
        <v>7909</v>
      </c>
      <c r="CL10293" s="848" t="s">
        <v>7909</v>
      </c>
      <c r="CM10293" s="848" t="s">
        <v>7909</v>
      </c>
      <c r="CN10293" s="848" t="s">
        <v>7909</v>
      </c>
      <c r="CO10293" s="848" t="s">
        <v>7909</v>
      </c>
      <c r="CP10293" s="848" t="s">
        <v>7909</v>
      </c>
      <c r="CQ10293" s="848" t="s">
        <v>7909</v>
      </c>
      <c r="CR10293" s="848" t="s">
        <v>7909</v>
      </c>
      <c r="CS10293" s="848" t="s">
        <v>7909</v>
      </c>
      <c r="CT10293" s="848" t="s">
        <v>7909</v>
      </c>
      <c r="CU10293" s="848" t="s">
        <v>7909</v>
      </c>
      <c r="CV10293" s="848" t="s">
        <v>7909</v>
      </c>
      <c r="CW10293" s="848" t="s">
        <v>7909</v>
      </c>
      <c r="CX10293" s="848" t="s">
        <v>7909</v>
      </c>
      <c r="CY10293" s="848" t="s">
        <v>7909</v>
      </c>
      <c r="CZ10293" s="848" t="s">
        <v>7909</v>
      </c>
      <c r="DA10293" s="848" t="s">
        <v>7909</v>
      </c>
      <c r="DB10293" s="848" t="s">
        <v>7909</v>
      </c>
      <c r="DC10293" s="848" t="s">
        <v>7909</v>
      </c>
      <c r="DD10293" s="848" t="s">
        <v>7909</v>
      </c>
      <c r="DE10293" s="848" t="s">
        <v>7909</v>
      </c>
      <c r="DF10293" s="848" t="s">
        <v>7909</v>
      </c>
      <c r="DG10293" s="848" t="s">
        <v>7909</v>
      </c>
      <c r="DH10293" s="848" t="s">
        <v>7909</v>
      </c>
      <c r="DI10293" s="848" t="s">
        <v>7909</v>
      </c>
      <c r="DJ10293" s="848" t="s">
        <v>7909</v>
      </c>
      <c r="DK10293" s="848" t="s">
        <v>7909</v>
      </c>
      <c r="DL10293" s="848" t="s">
        <v>7909</v>
      </c>
      <c r="DM10293" s="848" t="s">
        <v>7909</v>
      </c>
      <c r="DN10293" s="848" t="s">
        <v>7909</v>
      </c>
      <c r="DO10293" s="848" t="s">
        <v>7909</v>
      </c>
      <c r="DP10293" s="848" t="s">
        <v>7909</v>
      </c>
      <c r="DQ10293" s="848" t="s">
        <v>7909</v>
      </c>
      <c r="DR10293" s="848" t="s">
        <v>7909</v>
      </c>
      <c r="DS10293" s="848" t="s">
        <v>7909</v>
      </c>
      <c r="DT10293" s="848" t="s">
        <v>7909</v>
      </c>
      <c r="DU10293" s="848" t="s">
        <v>7909</v>
      </c>
      <c r="DV10293" s="848" t="s">
        <v>7909</v>
      </c>
      <c r="DW10293" s="848" t="s">
        <v>7909</v>
      </c>
      <c r="DX10293" s="848" t="s">
        <v>7909</v>
      </c>
      <c r="DY10293" s="848" t="s">
        <v>7909</v>
      </c>
      <c r="DZ10293" s="848" t="s">
        <v>7909</v>
      </c>
      <c r="EA10293" s="848" t="s">
        <v>7909</v>
      </c>
      <c r="EB10293" s="848" t="s">
        <v>7909</v>
      </c>
      <c r="EC10293" s="848" t="s">
        <v>7909</v>
      </c>
      <c r="ED10293" s="848" t="s">
        <v>7909</v>
      </c>
      <c r="EE10293" s="848" t="s">
        <v>7909</v>
      </c>
      <c r="EF10293" s="848" t="s">
        <v>7909</v>
      </c>
      <c r="EG10293" s="848" t="s">
        <v>7909</v>
      </c>
      <c r="EH10293" s="848" t="s">
        <v>7909</v>
      </c>
      <c r="EI10293" s="848" t="s">
        <v>7909</v>
      </c>
      <c r="EJ10293" s="848" t="s">
        <v>7909</v>
      </c>
      <c r="EK10293" s="848" t="s">
        <v>7909</v>
      </c>
      <c r="EL10293" s="848" t="s">
        <v>7909</v>
      </c>
      <c r="EM10293" s="848" t="s">
        <v>7909</v>
      </c>
      <c r="EN10293" s="848" t="s">
        <v>7909</v>
      </c>
      <c r="EO10293" s="848" t="s">
        <v>7909</v>
      </c>
      <c r="EP10293" s="848" t="s">
        <v>7909</v>
      </c>
      <c r="EQ10293" s="848" t="s">
        <v>7909</v>
      </c>
      <c r="ER10293" s="848" t="s">
        <v>7909</v>
      </c>
      <c r="ES10293" s="848" t="s">
        <v>7909</v>
      </c>
    </row>
    <row r="10294" spans="1:149" ht="15" hidden="1" customHeight="1">
      <c r="A10294" s="841">
        <v>45652</v>
      </c>
      <c r="B10294" s="842" t="s">
        <v>8021</v>
      </c>
      <c r="C10294" s="843" t="s">
        <v>4783</v>
      </c>
      <c r="D10294" s="844">
        <v>-1950000</v>
      </c>
      <c r="E10294" s="845">
        <v>45627</v>
      </c>
      <c r="F10294" s="843" t="s">
        <v>109</v>
      </c>
      <c r="G10294" s="206" t="s">
        <v>5990</v>
      </c>
      <c r="H10294" s="843" t="s">
        <v>6134</v>
      </c>
      <c r="I10294" s="843" t="s">
        <v>7909</v>
      </c>
      <c r="J10294" s="848" t="s">
        <v>7909</v>
      </c>
      <c r="K10294" s="848" t="s">
        <v>7909</v>
      </c>
      <c r="L10294" s="848" t="s">
        <v>7909</v>
      </c>
      <c r="M10294" s="848" t="s">
        <v>7909</v>
      </c>
      <c r="N10294" s="848" t="s">
        <v>7909</v>
      </c>
      <c r="O10294" s="848" t="s">
        <v>7909</v>
      </c>
      <c r="P10294" s="848" t="s">
        <v>7909</v>
      </c>
      <c r="Q10294" s="848" t="s">
        <v>7909</v>
      </c>
      <c r="R10294" s="848" t="s">
        <v>7909</v>
      </c>
      <c r="S10294" s="848" t="s">
        <v>7909</v>
      </c>
      <c r="T10294" s="848" t="s">
        <v>7909</v>
      </c>
      <c r="U10294" s="848" t="s">
        <v>7909</v>
      </c>
      <c r="V10294" s="848" t="s">
        <v>7909</v>
      </c>
      <c r="W10294" s="848" t="s">
        <v>7909</v>
      </c>
      <c r="X10294" s="848" t="s">
        <v>7909</v>
      </c>
      <c r="Y10294" s="848" t="s">
        <v>7909</v>
      </c>
      <c r="Z10294" s="848" t="s">
        <v>7909</v>
      </c>
      <c r="AA10294" s="848" t="s">
        <v>7909</v>
      </c>
      <c r="AB10294" s="848" t="s">
        <v>7909</v>
      </c>
      <c r="AC10294" s="848" t="s">
        <v>7909</v>
      </c>
      <c r="AD10294" s="848" t="s">
        <v>7909</v>
      </c>
      <c r="AE10294" s="848" t="s">
        <v>7909</v>
      </c>
      <c r="AF10294" s="848" t="s">
        <v>7909</v>
      </c>
      <c r="AG10294" s="848" t="s">
        <v>7909</v>
      </c>
      <c r="AH10294" s="848" t="s">
        <v>7909</v>
      </c>
      <c r="AI10294" s="848" t="s">
        <v>7909</v>
      </c>
      <c r="AJ10294" s="848" t="s">
        <v>7909</v>
      </c>
      <c r="AK10294" s="848" t="s">
        <v>7909</v>
      </c>
      <c r="AL10294" s="848" t="s">
        <v>7909</v>
      </c>
      <c r="AM10294" s="848" t="s">
        <v>7909</v>
      </c>
      <c r="AN10294" s="848" t="s">
        <v>7909</v>
      </c>
      <c r="AO10294" s="848" t="s">
        <v>7909</v>
      </c>
      <c r="AP10294" s="848" t="s">
        <v>7909</v>
      </c>
      <c r="AQ10294" s="848" t="s">
        <v>7909</v>
      </c>
      <c r="AR10294" s="848" t="s">
        <v>7909</v>
      </c>
      <c r="AS10294" s="848" t="s">
        <v>7909</v>
      </c>
      <c r="AT10294" s="848" t="s">
        <v>7909</v>
      </c>
      <c r="AU10294" s="848" t="s">
        <v>7909</v>
      </c>
      <c r="AV10294" s="848" t="s">
        <v>7909</v>
      </c>
      <c r="AW10294" s="848" t="s">
        <v>7909</v>
      </c>
      <c r="AX10294" s="848" t="s">
        <v>7909</v>
      </c>
      <c r="AY10294" s="848" t="s">
        <v>7909</v>
      </c>
      <c r="AZ10294" s="848" t="s">
        <v>7909</v>
      </c>
      <c r="BA10294" s="848" t="s">
        <v>7909</v>
      </c>
      <c r="BB10294" s="848" t="s">
        <v>7909</v>
      </c>
      <c r="BC10294" s="848" t="s">
        <v>7909</v>
      </c>
      <c r="BD10294" s="848" t="s">
        <v>7909</v>
      </c>
      <c r="BE10294" s="848" t="s">
        <v>7909</v>
      </c>
      <c r="BF10294" s="848" t="s">
        <v>7909</v>
      </c>
      <c r="BG10294" s="848" t="s">
        <v>7909</v>
      </c>
      <c r="BH10294" s="848" t="s">
        <v>7909</v>
      </c>
      <c r="BI10294" s="848" t="s">
        <v>7909</v>
      </c>
      <c r="BJ10294" s="848" t="s">
        <v>7909</v>
      </c>
      <c r="BK10294" s="848" t="s">
        <v>7909</v>
      </c>
      <c r="BL10294" s="848" t="s">
        <v>7909</v>
      </c>
      <c r="BM10294" s="848" t="s">
        <v>7909</v>
      </c>
      <c r="BN10294" s="848" t="s">
        <v>7909</v>
      </c>
      <c r="BO10294" s="848" t="s">
        <v>7909</v>
      </c>
      <c r="BP10294" s="848" t="s">
        <v>7909</v>
      </c>
      <c r="BQ10294" s="848" t="s">
        <v>7909</v>
      </c>
      <c r="BR10294" s="848" t="s">
        <v>7909</v>
      </c>
      <c r="BS10294" s="848" t="s">
        <v>7909</v>
      </c>
      <c r="BT10294" s="848" t="s">
        <v>7909</v>
      </c>
      <c r="BU10294" s="848" t="s">
        <v>7909</v>
      </c>
      <c r="BV10294" s="848" t="s">
        <v>7909</v>
      </c>
      <c r="BW10294" s="848" t="s">
        <v>7909</v>
      </c>
      <c r="BX10294" s="848" t="s">
        <v>7909</v>
      </c>
      <c r="BY10294" s="848" t="s">
        <v>7909</v>
      </c>
      <c r="BZ10294" s="848" t="s">
        <v>7909</v>
      </c>
      <c r="CA10294" s="848" t="s">
        <v>7909</v>
      </c>
      <c r="CB10294" s="848" t="s">
        <v>7909</v>
      </c>
      <c r="CC10294" s="848" t="s">
        <v>7909</v>
      </c>
      <c r="CD10294" s="848" t="s">
        <v>7909</v>
      </c>
      <c r="CE10294" s="848" t="s">
        <v>7909</v>
      </c>
      <c r="CF10294" s="848" t="s">
        <v>7909</v>
      </c>
      <c r="CG10294" s="848" t="s">
        <v>7909</v>
      </c>
      <c r="CH10294" s="848" t="s">
        <v>7909</v>
      </c>
      <c r="CI10294" s="848" t="s">
        <v>7909</v>
      </c>
      <c r="CJ10294" s="848" t="s">
        <v>7909</v>
      </c>
      <c r="CK10294" s="848" t="s">
        <v>7909</v>
      </c>
      <c r="CL10294" s="848" t="s">
        <v>7909</v>
      </c>
      <c r="CM10294" s="848" t="s">
        <v>7909</v>
      </c>
      <c r="CN10294" s="848" t="s">
        <v>7909</v>
      </c>
      <c r="CO10294" s="848" t="s">
        <v>7909</v>
      </c>
      <c r="CP10294" s="848" t="s">
        <v>7909</v>
      </c>
      <c r="CQ10294" s="848" t="s">
        <v>7909</v>
      </c>
      <c r="CR10294" s="848" t="s">
        <v>7909</v>
      </c>
      <c r="CS10294" s="848" t="s">
        <v>7909</v>
      </c>
      <c r="CT10294" s="848" t="s">
        <v>7909</v>
      </c>
      <c r="CU10294" s="848" t="s">
        <v>7909</v>
      </c>
      <c r="CV10294" s="848" t="s">
        <v>7909</v>
      </c>
      <c r="CW10294" s="848" t="s">
        <v>7909</v>
      </c>
      <c r="CX10294" s="848" t="s">
        <v>7909</v>
      </c>
      <c r="CY10294" s="848" t="s">
        <v>7909</v>
      </c>
      <c r="CZ10294" s="848" t="s">
        <v>7909</v>
      </c>
      <c r="DA10294" s="848" t="s">
        <v>7909</v>
      </c>
      <c r="DB10294" s="848" t="s">
        <v>7909</v>
      </c>
      <c r="DC10294" s="848" t="s">
        <v>7909</v>
      </c>
      <c r="DD10294" s="848" t="s">
        <v>7909</v>
      </c>
      <c r="DE10294" s="848" t="s">
        <v>7909</v>
      </c>
      <c r="DF10294" s="848" t="s">
        <v>7909</v>
      </c>
      <c r="DG10294" s="848" t="s">
        <v>7909</v>
      </c>
      <c r="DH10294" s="848" t="s">
        <v>7909</v>
      </c>
      <c r="DI10294" s="848" t="s">
        <v>7909</v>
      </c>
      <c r="DJ10294" s="848" t="s">
        <v>7909</v>
      </c>
      <c r="DK10294" s="848" t="s">
        <v>7909</v>
      </c>
      <c r="DL10294" s="848" t="s">
        <v>7909</v>
      </c>
      <c r="DM10294" s="848" t="s">
        <v>7909</v>
      </c>
      <c r="DN10294" s="848" t="s">
        <v>7909</v>
      </c>
      <c r="DO10294" s="848" t="s">
        <v>7909</v>
      </c>
      <c r="DP10294" s="848" t="s">
        <v>7909</v>
      </c>
      <c r="DQ10294" s="848" t="s">
        <v>7909</v>
      </c>
      <c r="DR10294" s="848" t="s">
        <v>7909</v>
      </c>
      <c r="DS10294" s="848" t="s">
        <v>7909</v>
      </c>
      <c r="DT10294" s="848" t="s">
        <v>7909</v>
      </c>
      <c r="DU10294" s="848" t="s">
        <v>7909</v>
      </c>
      <c r="DV10294" s="848" t="s">
        <v>7909</v>
      </c>
      <c r="DW10294" s="848" t="s">
        <v>7909</v>
      </c>
      <c r="DX10294" s="848" t="s">
        <v>7909</v>
      </c>
      <c r="DY10294" s="848" t="s">
        <v>7909</v>
      </c>
      <c r="DZ10294" s="848" t="s">
        <v>7909</v>
      </c>
      <c r="EA10294" s="848" t="s">
        <v>7909</v>
      </c>
      <c r="EB10294" s="848" t="s">
        <v>7909</v>
      </c>
      <c r="EC10294" s="848" t="s">
        <v>7909</v>
      </c>
      <c r="ED10294" s="848" t="s">
        <v>7909</v>
      </c>
      <c r="EE10294" s="848" t="s">
        <v>7909</v>
      </c>
      <c r="EF10294" s="848" t="s">
        <v>7909</v>
      </c>
      <c r="EG10294" s="848" t="s">
        <v>7909</v>
      </c>
      <c r="EH10294" s="848" t="s">
        <v>7909</v>
      </c>
      <c r="EI10294" s="848" t="s">
        <v>7909</v>
      </c>
      <c r="EJ10294" s="848" t="s">
        <v>7909</v>
      </c>
      <c r="EK10294" s="848" t="s">
        <v>7909</v>
      </c>
      <c r="EL10294" s="848" t="s">
        <v>7909</v>
      </c>
      <c r="EM10294" s="848" t="s">
        <v>7909</v>
      </c>
      <c r="EN10294" s="848" t="s">
        <v>7909</v>
      </c>
      <c r="EO10294" s="848" t="s">
        <v>7909</v>
      </c>
      <c r="EP10294" s="848" t="s">
        <v>7909</v>
      </c>
      <c r="EQ10294" s="848" t="s">
        <v>7909</v>
      </c>
      <c r="ER10294" s="848" t="s">
        <v>7909</v>
      </c>
      <c r="ES10294" s="848" t="s">
        <v>7909</v>
      </c>
    </row>
    <row r="10295" spans="1:149" ht="15" hidden="1" customHeight="1">
      <c r="A10295" s="841">
        <v>45652</v>
      </c>
      <c r="B10295" s="842" t="s">
        <v>8022</v>
      </c>
      <c r="C10295" s="843" t="s">
        <v>4783</v>
      </c>
      <c r="D10295" s="844">
        <v>-1624480</v>
      </c>
      <c r="E10295" s="845">
        <v>45627</v>
      </c>
      <c r="F10295" s="843" t="s">
        <v>109</v>
      </c>
      <c r="G10295" s="206" t="s">
        <v>5990</v>
      </c>
      <c r="H10295" s="843" t="s">
        <v>1166</v>
      </c>
      <c r="I10295" s="843" t="s">
        <v>7909</v>
      </c>
      <c r="J10295" s="848" t="s">
        <v>7909</v>
      </c>
      <c r="K10295" s="848" t="s">
        <v>7909</v>
      </c>
      <c r="L10295" s="848" t="s">
        <v>7909</v>
      </c>
      <c r="M10295" s="848" t="s">
        <v>7909</v>
      </c>
      <c r="N10295" s="848" t="s">
        <v>7909</v>
      </c>
      <c r="O10295" s="848" t="s">
        <v>7909</v>
      </c>
      <c r="P10295" s="848" t="s">
        <v>7909</v>
      </c>
      <c r="Q10295" s="848" t="s">
        <v>7909</v>
      </c>
      <c r="R10295" s="848" t="s">
        <v>7909</v>
      </c>
      <c r="S10295" s="848" t="s">
        <v>7909</v>
      </c>
      <c r="T10295" s="848" t="s">
        <v>7909</v>
      </c>
      <c r="U10295" s="848" t="s">
        <v>7909</v>
      </c>
      <c r="V10295" s="848" t="s">
        <v>7909</v>
      </c>
      <c r="W10295" s="848" t="s">
        <v>7909</v>
      </c>
      <c r="X10295" s="848" t="s">
        <v>7909</v>
      </c>
      <c r="Y10295" s="848" t="s">
        <v>7909</v>
      </c>
      <c r="Z10295" s="848" t="s">
        <v>7909</v>
      </c>
      <c r="AA10295" s="848" t="s">
        <v>7909</v>
      </c>
      <c r="AB10295" s="848" t="s">
        <v>7909</v>
      </c>
      <c r="AC10295" s="848" t="s">
        <v>7909</v>
      </c>
      <c r="AD10295" s="848" t="s">
        <v>7909</v>
      </c>
      <c r="AE10295" s="848" t="s">
        <v>7909</v>
      </c>
      <c r="AF10295" s="848" t="s">
        <v>7909</v>
      </c>
      <c r="AG10295" s="848" t="s">
        <v>7909</v>
      </c>
      <c r="AH10295" s="848" t="s">
        <v>7909</v>
      </c>
      <c r="AI10295" s="848" t="s">
        <v>7909</v>
      </c>
      <c r="AJ10295" s="848" t="s">
        <v>7909</v>
      </c>
      <c r="AK10295" s="848" t="s">
        <v>7909</v>
      </c>
      <c r="AL10295" s="848" t="s">
        <v>7909</v>
      </c>
      <c r="AM10295" s="848" t="s">
        <v>7909</v>
      </c>
      <c r="AN10295" s="848" t="s">
        <v>7909</v>
      </c>
      <c r="AO10295" s="848" t="s">
        <v>7909</v>
      </c>
      <c r="AP10295" s="848" t="s">
        <v>7909</v>
      </c>
      <c r="AQ10295" s="848" t="s">
        <v>7909</v>
      </c>
      <c r="AR10295" s="848" t="s">
        <v>7909</v>
      </c>
      <c r="AS10295" s="848" t="s">
        <v>7909</v>
      </c>
      <c r="AT10295" s="848" t="s">
        <v>7909</v>
      </c>
      <c r="AU10295" s="848" t="s">
        <v>7909</v>
      </c>
      <c r="AV10295" s="848" t="s">
        <v>7909</v>
      </c>
      <c r="AW10295" s="848" t="s">
        <v>7909</v>
      </c>
      <c r="AX10295" s="848" t="s">
        <v>7909</v>
      </c>
      <c r="AY10295" s="848" t="s">
        <v>7909</v>
      </c>
      <c r="AZ10295" s="848" t="s">
        <v>7909</v>
      </c>
      <c r="BA10295" s="848" t="s">
        <v>7909</v>
      </c>
      <c r="BB10295" s="848" t="s">
        <v>7909</v>
      </c>
      <c r="BC10295" s="848" t="s">
        <v>7909</v>
      </c>
      <c r="BD10295" s="848" t="s">
        <v>7909</v>
      </c>
      <c r="BE10295" s="848" t="s">
        <v>7909</v>
      </c>
      <c r="BF10295" s="848" t="s">
        <v>7909</v>
      </c>
      <c r="BG10295" s="848" t="s">
        <v>7909</v>
      </c>
      <c r="BH10295" s="848" t="s">
        <v>7909</v>
      </c>
      <c r="BI10295" s="848" t="s">
        <v>7909</v>
      </c>
      <c r="BJ10295" s="848" t="s">
        <v>7909</v>
      </c>
      <c r="BK10295" s="848" t="s">
        <v>7909</v>
      </c>
      <c r="BL10295" s="848" t="s">
        <v>7909</v>
      </c>
      <c r="BM10295" s="848" t="s">
        <v>7909</v>
      </c>
      <c r="BN10295" s="848" t="s">
        <v>7909</v>
      </c>
      <c r="BO10295" s="848" t="s">
        <v>7909</v>
      </c>
      <c r="BP10295" s="848" t="s">
        <v>7909</v>
      </c>
      <c r="BQ10295" s="848" t="s">
        <v>7909</v>
      </c>
      <c r="BR10295" s="848" t="s">
        <v>7909</v>
      </c>
      <c r="BS10295" s="848" t="s">
        <v>7909</v>
      </c>
      <c r="BT10295" s="848" t="s">
        <v>7909</v>
      </c>
      <c r="BU10295" s="848" t="s">
        <v>7909</v>
      </c>
      <c r="BV10295" s="848" t="s">
        <v>7909</v>
      </c>
      <c r="BW10295" s="848" t="s">
        <v>7909</v>
      </c>
      <c r="BX10295" s="848" t="s">
        <v>7909</v>
      </c>
      <c r="BY10295" s="848" t="s">
        <v>7909</v>
      </c>
      <c r="BZ10295" s="848" t="s">
        <v>7909</v>
      </c>
      <c r="CA10295" s="848" t="s">
        <v>7909</v>
      </c>
      <c r="CB10295" s="848" t="s">
        <v>7909</v>
      </c>
      <c r="CC10295" s="848" t="s">
        <v>7909</v>
      </c>
      <c r="CD10295" s="848" t="s">
        <v>7909</v>
      </c>
      <c r="CE10295" s="848" t="s">
        <v>7909</v>
      </c>
      <c r="CF10295" s="848" t="s">
        <v>7909</v>
      </c>
      <c r="CG10295" s="848" t="s">
        <v>7909</v>
      </c>
      <c r="CH10295" s="848" t="s">
        <v>7909</v>
      </c>
      <c r="CI10295" s="848" t="s">
        <v>7909</v>
      </c>
      <c r="CJ10295" s="848" t="s">
        <v>7909</v>
      </c>
      <c r="CK10295" s="848" t="s">
        <v>7909</v>
      </c>
      <c r="CL10295" s="848" t="s">
        <v>7909</v>
      </c>
      <c r="CM10295" s="848" t="s">
        <v>7909</v>
      </c>
      <c r="CN10295" s="848" t="s">
        <v>7909</v>
      </c>
      <c r="CO10295" s="848" t="s">
        <v>7909</v>
      </c>
      <c r="CP10295" s="848" t="s">
        <v>7909</v>
      </c>
      <c r="CQ10295" s="848" t="s">
        <v>7909</v>
      </c>
      <c r="CR10295" s="848" t="s">
        <v>7909</v>
      </c>
      <c r="CS10295" s="848" t="s">
        <v>7909</v>
      </c>
      <c r="CT10295" s="848" t="s">
        <v>7909</v>
      </c>
      <c r="CU10295" s="848" t="s">
        <v>7909</v>
      </c>
      <c r="CV10295" s="848" t="s">
        <v>7909</v>
      </c>
      <c r="CW10295" s="848" t="s">
        <v>7909</v>
      </c>
      <c r="CX10295" s="848" t="s">
        <v>7909</v>
      </c>
      <c r="CY10295" s="848" t="s">
        <v>7909</v>
      </c>
      <c r="CZ10295" s="848" t="s">
        <v>7909</v>
      </c>
      <c r="DA10295" s="848" t="s">
        <v>7909</v>
      </c>
      <c r="DB10295" s="848" t="s">
        <v>7909</v>
      </c>
      <c r="DC10295" s="848" t="s">
        <v>7909</v>
      </c>
      <c r="DD10295" s="848" t="s">
        <v>7909</v>
      </c>
      <c r="DE10295" s="848" t="s">
        <v>7909</v>
      </c>
      <c r="DF10295" s="848" t="s">
        <v>7909</v>
      </c>
      <c r="DG10295" s="848" t="s">
        <v>7909</v>
      </c>
      <c r="DH10295" s="848" t="s">
        <v>7909</v>
      </c>
      <c r="DI10295" s="848" t="s">
        <v>7909</v>
      </c>
      <c r="DJ10295" s="848" t="s">
        <v>7909</v>
      </c>
      <c r="DK10295" s="848" t="s">
        <v>7909</v>
      </c>
      <c r="DL10295" s="848" t="s">
        <v>7909</v>
      </c>
      <c r="DM10295" s="848" t="s">
        <v>7909</v>
      </c>
      <c r="DN10295" s="848" t="s">
        <v>7909</v>
      </c>
      <c r="DO10295" s="848" t="s">
        <v>7909</v>
      </c>
      <c r="DP10295" s="848" t="s">
        <v>7909</v>
      </c>
      <c r="DQ10295" s="848" t="s">
        <v>7909</v>
      </c>
      <c r="DR10295" s="848" t="s">
        <v>7909</v>
      </c>
      <c r="DS10295" s="848" t="s">
        <v>7909</v>
      </c>
      <c r="DT10295" s="848" t="s">
        <v>7909</v>
      </c>
      <c r="DU10295" s="848" t="s">
        <v>7909</v>
      </c>
      <c r="DV10295" s="848" t="s">
        <v>7909</v>
      </c>
      <c r="DW10295" s="848" t="s">
        <v>7909</v>
      </c>
      <c r="DX10295" s="848" t="s">
        <v>7909</v>
      </c>
      <c r="DY10295" s="848" t="s">
        <v>7909</v>
      </c>
      <c r="DZ10295" s="848" t="s">
        <v>7909</v>
      </c>
      <c r="EA10295" s="848" t="s">
        <v>7909</v>
      </c>
      <c r="EB10295" s="848" t="s">
        <v>7909</v>
      </c>
      <c r="EC10295" s="848" t="s">
        <v>7909</v>
      </c>
      <c r="ED10295" s="848" t="s">
        <v>7909</v>
      </c>
      <c r="EE10295" s="848" t="s">
        <v>7909</v>
      </c>
      <c r="EF10295" s="848" t="s">
        <v>7909</v>
      </c>
      <c r="EG10295" s="848" t="s">
        <v>7909</v>
      </c>
      <c r="EH10295" s="848" t="s">
        <v>7909</v>
      </c>
      <c r="EI10295" s="848" t="s">
        <v>7909</v>
      </c>
      <c r="EJ10295" s="848" t="s">
        <v>7909</v>
      </c>
      <c r="EK10295" s="848" t="s">
        <v>7909</v>
      </c>
      <c r="EL10295" s="848" t="s">
        <v>7909</v>
      </c>
      <c r="EM10295" s="848" t="s">
        <v>7909</v>
      </c>
      <c r="EN10295" s="848" t="s">
        <v>7909</v>
      </c>
      <c r="EO10295" s="848" t="s">
        <v>7909</v>
      </c>
      <c r="EP10295" s="848" t="s">
        <v>7909</v>
      </c>
      <c r="EQ10295" s="848" t="s">
        <v>7909</v>
      </c>
      <c r="ER10295" s="848" t="s">
        <v>7909</v>
      </c>
      <c r="ES10295" s="848" t="s">
        <v>7909</v>
      </c>
    </row>
    <row r="10296" spans="1:149" ht="15" hidden="1" customHeight="1">
      <c r="A10296" s="841">
        <v>45652</v>
      </c>
      <c r="B10296" s="842" t="s">
        <v>8023</v>
      </c>
      <c r="C10296" s="843" t="s">
        <v>4783</v>
      </c>
      <c r="D10296" s="844">
        <v>-270485</v>
      </c>
      <c r="E10296" s="845">
        <v>45627</v>
      </c>
      <c r="F10296" s="843" t="s">
        <v>109</v>
      </c>
      <c r="G10296" s="843" t="s">
        <v>6301</v>
      </c>
      <c r="H10296" s="843" t="s">
        <v>549</v>
      </c>
      <c r="I10296" s="871" t="s">
        <v>3626</v>
      </c>
      <c r="J10296" s="848" t="s">
        <v>7909</v>
      </c>
      <c r="K10296" s="848" t="s">
        <v>7909</v>
      </c>
      <c r="L10296" s="848" t="s">
        <v>7909</v>
      </c>
      <c r="M10296" s="848" t="s">
        <v>7909</v>
      </c>
      <c r="N10296" s="848" t="s">
        <v>7909</v>
      </c>
      <c r="O10296" s="848" t="s">
        <v>7909</v>
      </c>
      <c r="P10296" s="848" t="s">
        <v>7909</v>
      </c>
      <c r="Q10296" s="848" t="s">
        <v>7909</v>
      </c>
      <c r="R10296" s="848" t="s">
        <v>7909</v>
      </c>
      <c r="S10296" s="848" t="s">
        <v>7909</v>
      </c>
      <c r="T10296" s="848" t="s">
        <v>7909</v>
      </c>
      <c r="U10296" s="848" t="s">
        <v>7909</v>
      </c>
      <c r="V10296" s="848" t="s">
        <v>7909</v>
      </c>
      <c r="W10296" s="848" t="s">
        <v>7909</v>
      </c>
      <c r="X10296" s="848" t="s">
        <v>7909</v>
      </c>
      <c r="Y10296" s="848" t="s">
        <v>7909</v>
      </c>
      <c r="Z10296" s="848" t="s">
        <v>7909</v>
      </c>
      <c r="AA10296" s="848" t="s">
        <v>7909</v>
      </c>
      <c r="AB10296" s="848" t="s">
        <v>7909</v>
      </c>
      <c r="AC10296" s="848" t="s">
        <v>7909</v>
      </c>
      <c r="AD10296" s="848" t="s">
        <v>7909</v>
      </c>
      <c r="AE10296" s="848" t="s">
        <v>7909</v>
      </c>
      <c r="AF10296" s="848" t="s">
        <v>7909</v>
      </c>
      <c r="AG10296" s="848" t="s">
        <v>7909</v>
      </c>
      <c r="AH10296" s="848" t="s">
        <v>7909</v>
      </c>
      <c r="AI10296" s="848" t="s">
        <v>7909</v>
      </c>
      <c r="AJ10296" s="848" t="s">
        <v>7909</v>
      </c>
      <c r="AK10296" s="848" t="s">
        <v>7909</v>
      </c>
      <c r="AL10296" s="848" t="s">
        <v>7909</v>
      </c>
      <c r="AM10296" s="848" t="s">
        <v>7909</v>
      </c>
      <c r="AN10296" s="848" t="s">
        <v>7909</v>
      </c>
      <c r="AO10296" s="848" t="s">
        <v>7909</v>
      </c>
      <c r="AP10296" s="848" t="s">
        <v>7909</v>
      </c>
      <c r="AQ10296" s="848" t="s">
        <v>7909</v>
      </c>
      <c r="AR10296" s="848" t="s">
        <v>7909</v>
      </c>
      <c r="AS10296" s="848" t="s">
        <v>7909</v>
      </c>
      <c r="AT10296" s="848" t="s">
        <v>7909</v>
      </c>
      <c r="AU10296" s="848" t="s">
        <v>7909</v>
      </c>
      <c r="AV10296" s="848" t="s">
        <v>7909</v>
      </c>
      <c r="AW10296" s="848" t="s">
        <v>7909</v>
      </c>
      <c r="AX10296" s="848" t="s">
        <v>7909</v>
      </c>
      <c r="AY10296" s="848" t="s">
        <v>7909</v>
      </c>
      <c r="AZ10296" s="848" t="s">
        <v>7909</v>
      </c>
      <c r="BA10296" s="848" t="s">
        <v>7909</v>
      </c>
      <c r="BB10296" s="848" t="s">
        <v>7909</v>
      </c>
      <c r="BC10296" s="848" t="s">
        <v>7909</v>
      </c>
      <c r="BD10296" s="848" t="s">
        <v>7909</v>
      </c>
      <c r="BE10296" s="848" t="s">
        <v>7909</v>
      </c>
      <c r="BF10296" s="848" t="s">
        <v>7909</v>
      </c>
      <c r="BG10296" s="848" t="s">
        <v>7909</v>
      </c>
      <c r="BH10296" s="848" t="s">
        <v>7909</v>
      </c>
      <c r="BI10296" s="848" t="s">
        <v>7909</v>
      </c>
      <c r="BJ10296" s="848" t="s">
        <v>7909</v>
      </c>
      <c r="BK10296" s="848" t="s">
        <v>7909</v>
      </c>
      <c r="BL10296" s="848" t="s">
        <v>7909</v>
      </c>
      <c r="BM10296" s="848" t="s">
        <v>7909</v>
      </c>
      <c r="BN10296" s="848" t="s">
        <v>7909</v>
      </c>
      <c r="BO10296" s="848" t="s">
        <v>7909</v>
      </c>
      <c r="BP10296" s="848" t="s">
        <v>7909</v>
      </c>
      <c r="BQ10296" s="848" t="s">
        <v>7909</v>
      </c>
      <c r="BR10296" s="848" t="s">
        <v>7909</v>
      </c>
      <c r="BS10296" s="848" t="s">
        <v>7909</v>
      </c>
      <c r="BT10296" s="848" t="s">
        <v>7909</v>
      </c>
      <c r="BU10296" s="848" t="s">
        <v>7909</v>
      </c>
      <c r="BV10296" s="848" t="s">
        <v>7909</v>
      </c>
      <c r="BW10296" s="848" t="s">
        <v>7909</v>
      </c>
      <c r="BX10296" s="848" t="s">
        <v>7909</v>
      </c>
      <c r="BY10296" s="848" t="s">
        <v>7909</v>
      </c>
      <c r="BZ10296" s="848" t="s">
        <v>7909</v>
      </c>
      <c r="CA10296" s="848" t="s">
        <v>7909</v>
      </c>
      <c r="CB10296" s="848" t="s">
        <v>7909</v>
      </c>
      <c r="CC10296" s="848" t="s">
        <v>7909</v>
      </c>
      <c r="CD10296" s="848" t="s">
        <v>7909</v>
      </c>
      <c r="CE10296" s="848" t="s">
        <v>7909</v>
      </c>
      <c r="CF10296" s="848" t="s">
        <v>7909</v>
      </c>
      <c r="CG10296" s="848" t="s">
        <v>7909</v>
      </c>
      <c r="CH10296" s="848" t="s">
        <v>7909</v>
      </c>
      <c r="CI10296" s="848" t="s">
        <v>7909</v>
      </c>
      <c r="CJ10296" s="848" t="s">
        <v>7909</v>
      </c>
      <c r="CK10296" s="848" t="s">
        <v>7909</v>
      </c>
      <c r="CL10296" s="848" t="s">
        <v>7909</v>
      </c>
      <c r="CM10296" s="848" t="s">
        <v>7909</v>
      </c>
      <c r="CN10296" s="848" t="s">
        <v>7909</v>
      </c>
      <c r="CO10296" s="848" t="s">
        <v>7909</v>
      </c>
      <c r="CP10296" s="848" t="s">
        <v>7909</v>
      </c>
      <c r="CQ10296" s="848" t="s">
        <v>7909</v>
      </c>
      <c r="CR10296" s="848" t="s">
        <v>7909</v>
      </c>
      <c r="CS10296" s="848" t="s">
        <v>7909</v>
      </c>
      <c r="CT10296" s="848" t="s">
        <v>7909</v>
      </c>
      <c r="CU10296" s="848" t="s">
        <v>7909</v>
      </c>
      <c r="CV10296" s="848" t="s">
        <v>7909</v>
      </c>
      <c r="CW10296" s="848" t="s">
        <v>7909</v>
      </c>
      <c r="CX10296" s="848" t="s">
        <v>7909</v>
      </c>
      <c r="CY10296" s="848" t="s">
        <v>7909</v>
      </c>
      <c r="CZ10296" s="848" t="s">
        <v>7909</v>
      </c>
      <c r="DA10296" s="848" t="s">
        <v>7909</v>
      </c>
      <c r="DB10296" s="848" t="s">
        <v>7909</v>
      </c>
      <c r="DC10296" s="848" t="s">
        <v>7909</v>
      </c>
      <c r="DD10296" s="848" t="s">
        <v>7909</v>
      </c>
      <c r="DE10296" s="848" t="s">
        <v>7909</v>
      </c>
      <c r="DF10296" s="848" t="s">
        <v>7909</v>
      </c>
      <c r="DG10296" s="848" t="s">
        <v>7909</v>
      </c>
      <c r="DH10296" s="848" t="s">
        <v>7909</v>
      </c>
      <c r="DI10296" s="848" t="s">
        <v>7909</v>
      </c>
      <c r="DJ10296" s="848" t="s">
        <v>7909</v>
      </c>
      <c r="DK10296" s="848" t="s">
        <v>7909</v>
      </c>
      <c r="DL10296" s="848" t="s">
        <v>7909</v>
      </c>
      <c r="DM10296" s="848" t="s">
        <v>7909</v>
      </c>
      <c r="DN10296" s="848" t="s">
        <v>7909</v>
      </c>
      <c r="DO10296" s="848" t="s">
        <v>7909</v>
      </c>
      <c r="DP10296" s="848" t="s">
        <v>7909</v>
      </c>
      <c r="DQ10296" s="848" t="s">
        <v>7909</v>
      </c>
      <c r="DR10296" s="848" t="s">
        <v>7909</v>
      </c>
      <c r="DS10296" s="848" t="s">
        <v>7909</v>
      </c>
      <c r="DT10296" s="848" t="s">
        <v>7909</v>
      </c>
      <c r="DU10296" s="848" t="s">
        <v>7909</v>
      </c>
      <c r="DV10296" s="848" t="s">
        <v>7909</v>
      </c>
      <c r="DW10296" s="848" t="s">
        <v>7909</v>
      </c>
      <c r="DX10296" s="848" t="s">
        <v>7909</v>
      </c>
      <c r="DY10296" s="848" t="s">
        <v>7909</v>
      </c>
      <c r="DZ10296" s="848" t="s">
        <v>7909</v>
      </c>
      <c r="EA10296" s="848" t="s">
        <v>7909</v>
      </c>
      <c r="EB10296" s="848" t="s">
        <v>7909</v>
      </c>
      <c r="EC10296" s="848" t="s">
        <v>7909</v>
      </c>
      <c r="ED10296" s="848" t="s">
        <v>7909</v>
      </c>
      <c r="EE10296" s="848" t="s">
        <v>7909</v>
      </c>
      <c r="EF10296" s="848" t="s">
        <v>7909</v>
      </c>
      <c r="EG10296" s="848" t="s">
        <v>7909</v>
      </c>
      <c r="EH10296" s="848" t="s">
        <v>7909</v>
      </c>
      <c r="EI10296" s="848" t="s">
        <v>7909</v>
      </c>
      <c r="EJ10296" s="848" t="s">
        <v>7909</v>
      </c>
      <c r="EK10296" s="848" t="s">
        <v>7909</v>
      </c>
      <c r="EL10296" s="848" t="s">
        <v>7909</v>
      </c>
      <c r="EM10296" s="848" t="s">
        <v>7909</v>
      </c>
      <c r="EN10296" s="848" t="s">
        <v>7909</v>
      </c>
      <c r="EO10296" s="848" t="s">
        <v>7909</v>
      </c>
      <c r="EP10296" s="848" t="s">
        <v>7909</v>
      </c>
      <c r="EQ10296" s="848" t="s">
        <v>7909</v>
      </c>
      <c r="ER10296" s="848" t="s">
        <v>7909</v>
      </c>
      <c r="ES10296" s="848" t="s">
        <v>7909</v>
      </c>
    </row>
    <row r="10297" spans="1:149" ht="15" hidden="1" customHeight="1">
      <c r="A10297" s="841">
        <v>45652</v>
      </c>
      <c r="B10297" s="842" t="s">
        <v>8024</v>
      </c>
      <c r="C10297" s="843" t="s">
        <v>4783</v>
      </c>
      <c r="D10297" s="844">
        <v>-1350000</v>
      </c>
      <c r="E10297" s="845">
        <v>45627</v>
      </c>
      <c r="F10297" s="843" t="s">
        <v>109</v>
      </c>
      <c r="G10297" s="843" t="s">
        <v>6994</v>
      </c>
      <c r="H10297" s="843" t="s">
        <v>6529</v>
      </c>
      <c r="I10297" s="843" t="s">
        <v>7909</v>
      </c>
      <c r="J10297" s="848" t="s">
        <v>7909</v>
      </c>
      <c r="K10297" s="848" t="s">
        <v>7909</v>
      </c>
      <c r="L10297" s="848" t="s">
        <v>7909</v>
      </c>
      <c r="M10297" s="848" t="s">
        <v>7909</v>
      </c>
      <c r="N10297" s="848" t="s">
        <v>7909</v>
      </c>
      <c r="O10297" s="848" t="s">
        <v>7909</v>
      </c>
      <c r="P10297" s="848" t="s">
        <v>7909</v>
      </c>
      <c r="Q10297" s="848" t="s">
        <v>7909</v>
      </c>
      <c r="R10297" s="848" t="s">
        <v>7909</v>
      </c>
      <c r="S10297" s="848" t="s">
        <v>7909</v>
      </c>
      <c r="T10297" s="848" t="s">
        <v>7909</v>
      </c>
      <c r="U10297" s="848" t="s">
        <v>7909</v>
      </c>
      <c r="V10297" s="848" t="s">
        <v>7909</v>
      </c>
      <c r="W10297" s="848" t="s">
        <v>7909</v>
      </c>
      <c r="X10297" s="848" t="s">
        <v>7909</v>
      </c>
      <c r="Y10297" s="848" t="s">
        <v>7909</v>
      </c>
      <c r="Z10297" s="848" t="s">
        <v>7909</v>
      </c>
      <c r="AA10297" s="848" t="s">
        <v>7909</v>
      </c>
      <c r="AB10297" s="848" t="s">
        <v>7909</v>
      </c>
      <c r="AC10297" s="848" t="s">
        <v>7909</v>
      </c>
      <c r="AD10297" s="848" t="s">
        <v>7909</v>
      </c>
      <c r="AE10297" s="848" t="s">
        <v>7909</v>
      </c>
      <c r="AF10297" s="848" t="s">
        <v>7909</v>
      </c>
      <c r="AG10297" s="848" t="s">
        <v>7909</v>
      </c>
      <c r="AH10297" s="848" t="s">
        <v>7909</v>
      </c>
      <c r="AI10297" s="848" t="s">
        <v>7909</v>
      </c>
      <c r="AJ10297" s="848" t="s">
        <v>7909</v>
      </c>
      <c r="AK10297" s="848" t="s">
        <v>7909</v>
      </c>
      <c r="AL10297" s="848" t="s">
        <v>7909</v>
      </c>
      <c r="AM10297" s="848" t="s">
        <v>7909</v>
      </c>
      <c r="AN10297" s="848" t="s">
        <v>7909</v>
      </c>
      <c r="AO10297" s="848" t="s">
        <v>7909</v>
      </c>
      <c r="AP10297" s="848" t="s">
        <v>7909</v>
      </c>
      <c r="AQ10297" s="848" t="s">
        <v>7909</v>
      </c>
      <c r="AR10297" s="848" t="s">
        <v>7909</v>
      </c>
      <c r="AS10297" s="848" t="s">
        <v>7909</v>
      </c>
      <c r="AT10297" s="848" t="s">
        <v>7909</v>
      </c>
      <c r="AU10297" s="848" t="s">
        <v>7909</v>
      </c>
      <c r="AV10297" s="848" t="s">
        <v>7909</v>
      </c>
      <c r="AW10297" s="848" t="s">
        <v>7909</v>
      </c>
      <c r="AX10297" s="848" t="s">
        <v>7909</v>
      </c>
      <c r="AY10297" s="848" t="s">
        <v>7909</v>
      </c>
      <c r="AZ10297" s="848" t="s">
        <v>7909</v>
      </c>
      <c r="BA10297" s="848" t="s">
        <v>7909</v>
      </c>
      <c r="BB10297" s="848" t="s">
        <v>7909</v>
      </c>
      <c r="BC10297" s="848" t="s">
        <v>7909</v>
      </c>
      <c r="BD10297" s="848" t="s">
        <v>7909</v>
      </c>
      <c r="BE10297" s="848" t="s">
        <v>7909</v>
      </c>
      <c r="BF10297" s="848" t="s">
        <v>7909</v>
      </c>
      <c r="BG10297" s="848" t="s">
        <v>7909</v>
      </c>
      <c r="BH10297" s="848" t="s">
        <v>7909</v>
      </c>
      <c r="BI10297" s="848" t="s">
        <v>7909</v>
      </c>
      <c r="BJ10297" s="848" t="s">
        <v>7909</v>
      </c>
      <c r="BK10297" s="848" t="s">
        <v>7909</v>
      </c>
      <c r="BL10297" s="848" t="s">
        <v>7909</v>
      </c>
      <c r="BM10297" s="848" t="s">
        <v>7909</v>
      </c>
      <c r="BN10297" s="848" t="s">
        <v>7909</v>
      </c>
      <c r="BO10297" s="848" t="s">
        <v>7909</v>
      </c>
      <c r="BP10297" s="848" t="s">
        <v>7909</v>
      </c>
      <c r="BQ10297" s="848" t="s">
        <v>7909</v>
      </c>
      <c r="BR10297" s="848" t="s">
        <v>7909</v>
      </c>
      <c r="BS10297" s="848" t="s">
        <v>7909</v>
      </c>
      <c r="BT10297" s="848" t="s">
        <v>7909</v>
      </c>
      <c r="BU10297" s="848" t="s">
        <v>7909</v>
      </c>
      <c r="BV10297" s="848" t="s">
        <v>7909</v>
      </c>
      <c r="BW10297" s="848" t="s">
        <v>7909</v>
      </c>
      <c r="BX10297" s="848" t="s">
        <v>7909</v>
      </c>
      <c r="BY10297" s="848" t="s">
        <v>7909</v>
      </c>
      <c r="BZ10297" s="848" t="s">
        <v>7909</v>
      </c>
      <c r="CA10297" s="848" t="s">
        <v>7909</v>
      </c>
      <c r="CB10297" s="848" t="s">
        <v>7909</v>
      </c>
      <c r="CC10297" s="848" t="s">
        <v>7909</v>
      </c>
      <c r="CD10297" s="848" t="s">
        <v>7909</v>
      </c>
      <c r="CE10297" s="848" t="s">
        <v>7909</v>
      </c>
      <c r="CF10297" s="848" t="s">
        <v>7909</v>
      </c>
      <c r="CG10297" s="848" t="s">
        <v>7909</v>
      </c>
      <c r="CH10297" s="848" t="s">
        <v>7909</v>
      </c>
      <c r="CI10297" s="848" t="s">
        <v>7909</v>
      </c>
      <c r="CJ10297" s="848" t="s">
        <v>7909</v>
      </c>
      <c r="CK10297" s="848" t="s">
        <v>7909</v>
      </c>
      <c r="CL10297" s="848" t="s">
        <v>7909</v>
      </c>
      <c r="CM10297" s="848" t="s">
        <v>7909</v>
      </c>
      <c r="CN10297" s="848" t="s">
        <v>7909</v>
      </c>
      <c r="CO10297" s="848" t="s">
        <v>7909</v>
      </c>
      <c r="CP10297" s="848" t="s">
        <v>7909</v>
      </c>
      <c r="CQ10297" s="848" t="s">
        <v>7909</v>
      </c>
      <c r="CR10297" s="848" t="s">
        <v>7909</v>
      </c>
      <c r="CS10297" s="848" t="s">
        <v>7909</v>
      </c>
      <c r="CT10297" s="848" t="s">
        <v>7909</v>
      </c>
      <c r="CU10297" s="848" t="s">
        <v>7909</v>
      </c>
      <c r="CV10297" s="848" t="s">
        <v>7909</v>
      </c>
      <c r="CW10297" s="848" t="s">
        <v>7909</v>
      </c>
      <c r="CX10297" s="848" t="s">
        <v>7909</v>
      </c>
      <c r="CY10297" s="848" t="s">
        <v>7909</v>
      </c>
      <c r="CZ10297" s="848" t="s">
        <v>7909</v>
      </c>
      <c r="DA10297" s="848" t="s">
        <v>7909</v>
      </c>
      <c r="DB10297" s="848" t="s">
        <v>7909</v>
      </c>
      <c r="DC10297" s="848" t="s">
        <v>7909</v>
      </c>
      <c r="DD10297" s="848" t="s">
        <v>7909</v>
      </c>
      <c r="DE10297" s="848" t="s">
        <v>7909</v>
      </c>
      <c r="DF10297" s="848" t="s">
        <v>7909</v>
      </c>
      <c r="DG10297" s="848" t="s">
        <v>7909</v>
      </c>
      <c r="DH10297" s="848" t="s">
        <v>7909</v>
      </c>
      <c r="DI10297" s="848" t="s">
        <v>7909</v>
      </c>
      <c r="DJ10297" s="848" t="s">
        <v>7909</v>
      </c>
      <c r="DK10297" s="848" t="s">
        <v>7909</v>
      </c>
      <c r="DL10297" s="848" t="s">
        <v>7909</v>
      </c>
      <c r="DM10297" s="848" t="s">
        <v>7909</v>
      </c>
      <c r="DN10297" s="848" t="s">
        <v>7909</v>
      </c>
      <c r="DO10297" s="848" t="s">
        <v>7909</v>
      </c>
      <c r="DP10297" s="848" t="s">
        <v>7909</v>
      </c>
      <c r="DQ10297" s="848" t="s">
        <v>7909</v>
      </c>
      <c r="DR10297" s="848" t="s">
        <v>7909</v>
      </c>
      <c r="DS10297" s="848" t="s">
        <v>7909</v>
      </c>
      <c r="DT10297" s="848" t="s">
        <v>7909</v>
      </c>
      <c r="DU10297" s="848" t="s">
        <v>7909</v>
      </c>
      <c r="DV10297" s="848" t="s">
        <v>7909</v>
      </c>
      <c r="DW10297" s="848" t="s">
        <v>7909</v>
      </c>
      <c r="DX10297" s="848" t="s">
        <v>7909</v>
      </c>
      <c r="DY10297" s="848" t="s">
        <v>7909</v>
      </c>
      <c r="DZ10297" s="848" t="s">
        <v>7909</v>
      </c>
      <c r="EA10297" s="848" t="s">
        <v>7909</v>
      </c>
      <c r="EB10297" s="848" t="s">
        <v>7909</v>
      </c>
      <c r="EC10297" s="848" t="s">
        <v>7909</v>
      </c>
      <c r="ED10297" s="848" t="s">
        <v>7909</v>
      </c>
      <c r="EE10297" s="848" t="s">
        <v>7909</v>
      </c>
      <c r="EF10297" s="848" t="s">
        <v>7909</v>
      </c>
      <c r="EG10297" s="848" t="s">
        <v>7909</v>
      </c>
      <c r="EH10297" s="848" t="s">
        <v>7909</v>
      </c>
      <c r="EI10297" s="848" t="s">
        <v>7909</v>
      </c>
      <c r="EJ10297" s="848" t="s">
        <v>7909</v>
      </c>
      <c r="EK10297" s="848" t="s">
        <v>7909</v>
      </c>
      <c r="EL10297" s="848" t="s">
        <v>7909</v>
      </c>
      <c r="EM10297" s="848" t="s">
        <v>7909</v>
      </c>
      <c r="EN10297" s="848" t="s">
        <v>7909</v>
      </c>
      <c r="EO10297" s="848" t="s">
        <v>7909</v>
      </c>
      <c r="EP10297" s="848" t="s">
        <v>7909</v>
      </c>
      <c r="EQ10297" s="848" t="s">
        <v>7909</v>
      </c>
      <c r="ER10297" s="848" t="s">
        <v>7909</v>
      </c>
      <c r="ES10297" s="848" t="s">
        <v>7909</v>
      </c>
    </row>
    <row r="10298" spans="1:149" ht="15" customHeight="1">
      <c r="A10298" s="841">
        <v>45652</v>
      </c>
      <c r="B10298" s="870" t="s">
        <v>8025</v>
      </c>
      <c r="C10298" s="840" t="s">
        <v>4783</v>
      </c>
      <c r="D10298" s="844">
        <v>-1200000</v>
      </c>
      <c r="E10298" s="845">
        <v>45627</v>
      </c>
      <c r="F10298" s="843" t="s">
        <v>109</v>
      </c>
      <c r="G10298" s="843" t="s">
        <v>2809</v>
      </c>
      <c r="H10298" s="843" t="s">
        <v>5483</v>
      </c>
      <c r="I10298" s="843" t="s">
        <v>7909</v>
      </c>
      <c r="J10298" s="848" t="s">
        <v>7909</v>
      </c>
      <c r="K10298" s="848" t="s">
        <v>7909</v>
      </c>
      <c r="L10298" s="848" t="s">
        <v>7909</v>
      </c>
      <c r="M10298" s="848" t="s">
        <v>7909</v>
      </c>
      <c r="N10298" s="848" t="s">
        <v>7909</v>
      </c>
      <c r="O10298" s="848" t="s">
        <v>7909</v>
      </c>
      <c r="P10298" s="848" t="s">
        <v>7909</v>
      </c>
      <c r="Q10298" s="848" t="s">
        <v>7909</v>
      </c>
      <c r="R10298" s="848" t="s">
        <v>7909</v>
      </c>
      <c r="S10298" s="848" t="s">
        <v>7909</v>
      </c>
      <c r="T10298" s="848" t="s">
        <v>7909</v>
      </c>
      <c r="U10298" s="848" t="s">
        <v>7909</v>
      </c>
      <c r="V10298" s="848" t="s">
        <v>7909</v>
      </c>
      <c r="W10298" s="848" t="s">
        <v>7909</v>
      </c>
      <c r="X10298" s="848" t="s">
        <v>7909</v>
      </c>
      <c r="Y10298" s="848" t="s">
        <v>7909</v>
      </c>
      <c r="Z10298" s="848" t="s">
        <v>7909</v>
      </c>
      <c r="AA10298" s="848" t="s">
        <v>7909</v>
      </c>
      <c r="AB10298" s="848" t="s">
        <v>7909</v>
      </c>
      <c r="AC10298" s="848" t="s">
        <v>7909</v>
      </c>
      <c r="AD10298" s="848" t="s">
        <v>7909</v>
      </c>
      <c r="AE10298" s="848" t="s">
        <v>7909</v>
      </c>
      <c r="AF10298" s="848" t="s">
        <v>7909</v>
      </c>
      <c r="AG10298" s="848" t="s">
        <v>7909</v>
      </c>
      <c r="AH10298" s="848" t="s">
        <v>7909</v>
      </c>
      <c r="AI10298" s="848" t="s">
        <v>7909</v>
      </c>
      <c r="AJ10298" s="848" t="s">
        <v>7909</v>
      </c>
      <c r="AK10298" s="848" t="s">
        <v>7909</v>
      </c>
      <c r="AL10298" s="848" t="s">
        <v>7909</v>
      </c>
      <c r="AM10298" s="848" t="s">
        <v>7909</v>
      </c>
      <c r="AN10298" s="848" t="s">
        <v>7909</v>
      </c>
      <c r="AO10298" s="848" t="s">
        <v>7909</v>
      </c>
      <c r="AP10298" s="848" t="s">
        <v>7909</v>
      </c>
      <c r="AQ10298" s="848" t="s">
        <v>7909</v>
      </c>
      <c r="AR10298" s="848" t="s">
        <v>7909</v>
      </c>
      <c r="AS10298" s="848" t="s">
        <v>7909</v>
      </c>
      <c r="AT10298" s="848" t="s">
        <v>7909</v>
      </c>
      <c r="AU10298" s="848" t="s">
        <v>7909</v>
      </c>
      <c r="AV10298" s="848" t="s">
        <v>7909</v>
      </c>
      <c r="AW10298" s="848" t="s">
        <v>7909</v>
      </c>
      <c r="AX10298" s="848" t="s">
        <v>7909</v>
      </c>
      <c r="AY10298" s="848" t="s">
        <v>7909</v>
      </c>
      <c r="AZ10298" s="848" t="s">
        <v>7909</v>
      </c>
      <c r="BA10298" s="848" t="s">
        <v>7909</v>
      </c>
      <c r="BB10298" s="848" t="s">
        <v>7909</v>
      </c>
      <c r="BC10298" s="848" t="s">
        <v>7909</v>
      </c>
      <c r="BD10298" s="848" t="s">
        <v>7909</v>
      </c>
      <c r="BE10298" s="848" t="s">
        <v>7909</v>
      </c>
      <c r="BF10298" s="848" t="s">
        <v>7909</v>
      </c>
      <c r="BG10298" s="848" t="s">
        <v>7909</v>
      </c>
      <c r="BH10298" s="848" t="s">
        <v>7909</v>
      </c>
      <c r="BI10298" s="848" t="s">
        <v>7909</v>
      </c>
      <c r="BJ10298" s="848" t="s">
        <v>7909</v>
      </c>
      <c r="BK10298" s="848" t="s">
        <v>7909</v>
      </c>
      <c r="BL10298" s="848" t="s">
        <v>7909</v>
      </c>
      <c r="BM10298" s="848" t="s">
        <v>7909</v>
      </c>
      <c r="BN10298" s="848" t="s">
        <v>7909</v>
      </c>
      <c r="BO10298" s="848" t="s">
        <v>7909</v>
      </c>
      <c r="BP10298" s="848" t="s">
        <v>7909</v>
      </c>
      <c r="BQ10298" s="848" t="s">
        <v>7909</v>
      </c>
      <c r="BR10298" s="848" t="s">
        <v>7909</v>
      </c>
      <c r="BS10298" s="848" t="s">
        <v>7909</v>
      </c>
      <c r="BT10298" s="848" t="s">
        <v>7909</v>
      </c>
      <c r="BU10298" s="848" t="s">
        <v>7909</v>
      </c>
      <c r="BV10298" s="848" t="s">
        <v>7909</v>
      </c>
      <c r="BW10298" s="848" t="s">
        <v>7909</v>
      </c>
      <c r="BX10298" s="848" t="s">
        <v>7909</v>
      </c>
      <c r="BY10298" s="848" t="s">
        <v>7909</v>
      </c>
      <c r="BZ10298" s="848" t="s">
        <v>7909</v>
      </c>
      <c r="CA10298" s="848" t="s">
        <v>7909</v>
      </c>
      <c r="CB10298" s="848" t="s">
        <v>7909</v>
      </c>
      <c r="CC10298" s="848" t="s">
        <v>7909</v>
      </c>
      <c r="CD10298" s="848" t="s">
        <v>7909</v>
      </c>
      <c r="CE10298" s="848" t="s">
        <v>7909</v>
      </c>
      <c r="CF10298" s="848" t="s">
        <v>7909</v>
      </c>
      <c r="CG10298" s="848" t="s">
        <v>7909</v>
      </c>
      <c r="CH10298" s="848" t="s">
        <v>7909</v>
      </c>
      <c r="CI10298" s="848" t="s">
        <v>7909</v>
      </c>
      <c r="CJ10298" s="848" t="s">
        <v>7909</v>
      </c>
      <c r="CK10298" s="848" t="s">
        <v>7909</v>
      </c>
      <c r="CL10298" s="848" t="s">
        <v>7909</v>
      </c>
      <c r="CM10298" s="848" t="s">
        <v>7909</v>
      </c>
      <c r="CN10298" s="848" t="s">
        <v>7909</v>
      </c>
      <c r="CO10298" s="848" t="s">
        <v>7909</v>
      </c>
      <c r="CP10298" s="848" t="s">
        <v>7909</v>
      </c>
      <c r="CQ10298" s="848" t="s">
        <v>7909</v>
      </c>
      <c r="CR10298" s="848" t="s">
        <v>7909</v>
      </c>
      <c r="CS10298" s="848" t="s">
        <v>7909</v>
      </c>
      <c r="CT10298" s="848" t="s">
        <v>7909</v>
      </c>
      <c r="CU10298" s="848" t="s">
        <v>7909</v>
      </c>
      <c r="CV10298" s="848" t="s">
        <v>7909</v>
      </c>
      <c r="CW10298" s="848" t="s">
        <v>7909</v>
      </c>
      <c r="CX10298" s="848" t="s">
        <v>7909</v>
      </c>
      <c r="CY10298" s="848" t="s">
        <v>7909</v>
      </c>
      <c r="CZ10298" s="848" t="s">
        <v>7909</v>
      </c>
      <c r="DA10298" s="848" t="s">
        <v>7909</v>
      </c>
      <c r="DB10298" s="848" t="s">
        <v>7909</v>
      </c>
      <c r="DC10298" s="848" t="s">
        <v>7909</v>
      </c>
      <c r="DD10298" s="848" t="s">
        <v>7909</v>
      </c>
      <c r="DE10298" s="848" t="s">
        <v>7909</v>
      </c>
      <c r="DF10298" s="848" t="s">
        <v>7909</v>
      </c>
      <c r="DG10298" s="848" t="s">
        <v>7909</v>
      </c>
      <c r="DH10298" s="848" t="s">
        <v>7909</v>
      </c>
      <c r="DI10298" s="848" t="s">
        <v>7909</v>
      </c>
      <c r="DJ10298" s="848" t="s">
        <v>7909</v>
      </c>
      <c r="DK10298" s="848" t="s">
        <v>7909</v>
      </c>
      <c r="DL10298" s="848" t="s">
        <v>7909</v>
      </c>
      <c r="DM10298" s="848" t="s">
        <v>7909</v>
      </c>
      <c r="DN10298" s="848" t="s">
        <v>7909</v>
      </c>
      <c r="DO10298" s="848" t="s">
        <v>7909</v>
      </c>
      <c r="DP10298" s="848" t="s">
        <v>7909</v>
      </c>
      <c r="DQ10298" s="848" t="s">
        <v>7909</v>
      </c>
      <c r="DR10298" s="848" t="s">
        <v>7909</v>
      </c>
      <c r="DS10298" s="848" t="s">
        <v>7909</v>
      </c>
      <c r="DT10298" s="848" t="s">
        <v>7909</v>
      </c>
      <c r="DU10298" s="848" t="s">
        <v>7909</v>
      </c>
      <c r="DV10298" s="848" t="s">
        <v>7909</v>
      </c>
      <c r="DW10298" s="848" t="s">
        <v>7909</v>
      </c>
      <c r="DX10298" s="848" t="s">
        <v>7909</v>
      </c>
      <c r="DY10298" s="848" t="s">
        <v>7909</v>
      </c>
      <c r="DZ10298" s="848" t="s">
        <v>7909</v>
      </c>
      <c r="EA10298" s="848" t="s">
        <v>7909</v>
      </c>
      <c r="EB10298" s="848" t="s">
        <v>7909</v>
      </c>
      <c r="EC10298" s="848" t="s">
        <v>7909</v>
      </c>
      <c r="ED10298" s="848" t="s">
        <v>7909</v>
      </c>
      <c r="EE10298" s="848" t="s">
        <v>7909</v>
      </c>
      <c r="EF10298" s="848" t="s">
        <v>7909</v>
      </c>
      <c r="EG10298" s="848" t="s">
        <v>7909</v>
      </c>
      <c r="EH10298" s="848" t="s">
        <v>7909</v>
      </c>
      <c r="EI10298" s="848" t="s">
        <v>7909</v>
      </c>
      <c r="EJ10298" s="848" t="s">
        <v>7909</v>
      </c>
      <c r="EK10298" s="848" t="s">
        <v>7909</v>
      </c>
      <c r="EL10298" s="848" t="s">
        <v>7909</v>
      </c>
      <c r="EM10298" s="848" t="s">
        <v>7909</v>
      </c>
      <c r="EN10298" s="848" t="s">
        <v>7909</v>
      </c>
      <c r="EO10298" s="848" t="s">
        <v>7909</v>
      </c>
      <c r="EP10298" s="848" t="s">
        <v>7909</v>
      </c>
      <c r="EQ10298" s="848" t="s">
        <v>7909</v>
      </c>
      <c r="ER10298" s="848" t="s">
        <v>7909</v>
      </c>
      <c r="ES10298" s="848" t="s">
        <v>7909</v>
      </c>
    </row>
    <row r="10299" spans="1:149" ht="15" hidden="1" customHeight="1">
      <c r="A10299" s="841">
        <v>45652</v>
      </c>
      <c r="B10299" s="849" t="s">
        <v>8026</v>
      </c>
      <c r="C10299" s="843" t="s">
        <v>4783</v>
      </c>
      <c r="D10299" s="844">
        <v>-1000000</v>
      </c>
      <c r="E10299" s="845">
        <v>45627</v>
      </c>
      <c r="F10299" s="843" t="s">
        <v>130</v>
      </c>
      <c r="G10299" s="843" t="s">
        <v>257</v>
      </c>
      <c r="H10299" s="843" t="s">
        <v>663</v>
      </c>
      <c r="I10299" s="843" t="s">
        <v>7909</v>
      </c>
      <c r="J10299" s="848" t="s">
        <v>7909</v>
      </c>
      <c r="K10299" s="848" t="s">
        <v>7909</v>
      </c>
      <c r="L10299" s="848" t="s">
        <v>7909</v>
      </c>
      <c r="M10299" s="848" t="s">
        <v>7909</v>
      </c>
      <c r="N10299" s="848" t="s">
        <v>7909</v>
      </c>
      <c r="O10299" s="848" t="s">
        <v>7909</v>
      </c>
      <c r="P10299" s="848" t="s">
        <v>7909</v>
      </c>
      <c r="Q10299" s="848" t="s">
        <v>7909</v>
      </c>
      <c r="R10299" s="848" t="s">
        <v>7909</v>
      </c>
      <c r="S10299" s="848" t="s">
        <v>7909</v>
      </c>
      <c r="T10299" s="848" t="s">
        <v>7909</v>
      </c>
      <c r="U10299" s="848" t="s">
        <v>7909</v>
      </c>
      <c r="V10299" s="848" t="s">
        <v>7909</v>
      </c>
      <c r="W10299" s="848" t="s">
        <v>7909</v>
      </c>
      <c r="X10299" s="848" t="s">
        <v>7909</v>
      </c>
      <c r="Y10299" s="848" t="s">
        <v>7909</v>
      </c>
      <c r="Z10299" s="848" t="s">
        <v>7909</v>
      </c>
      <c r="AA10299" s="848" t="s">
        <v>7909</v>
      </c>
      <c r="AB10299" s="848" t="s">
        <v>7909</v>
      </c>
      <c r="AC10299" s="848" t="s">
        <v>7909</v>
      </c>
      <c r="AD10299" s="848" t="s">
        <v>7909</v>
      </c>
      <c r="AE10299" s="848" t="s">
        <v>7909</v>
      </c>
      <c r="AF10299" s="848" t="s">
        <v>7909</v>
      </c>
      <c r="AG10299" s="848" t="s">
        <v>7909</v>
      </c>
      <c r="AH10299" s="848" t="s">
        <v>7909</v>
      </c>
      <c r="AI10299" s="848" t="s">
        <v>7909</v>
      </c>
      <c r="AJ10299" s="848" t="s">
        <v>7909</v>
      </c>
      <c r="AK10299" s="848" t="s">
        <v>7909</v>
      </c>
      <c r="AL10299" s="848" t="s">
        <v>7909</v>
      </c>
      <c r="AM10299" s="848" t="s">
        <v>7909</v>
      </c>
      <c r="AN10299" s="848" t="s">
        <v>7909</v>
      </c>
      <c r="AO10299" s="848" t="s">
        <v>7909</v>
      </c>
      <c r="AP10299" s="848" t="s">
        <v>7909</v>
      </c>
      <c r="AQ10299" s="848" t="s">
        <v>7909</v>
      </c>
      <c r="AR10299" s="848" t="s">
        <v>7909</v>
      </c>
      <c r="AS10299" s="848" t="s">
        <v>7909</v>
      </c>
      <c r="AT10299" s="848" t="s">
        <v>7909</v>
      </c>
      <c r="AU10299" s="848" t="s">
        <v>7909</v>
      </c>
      <c r="AV10299" s="848" t="s">
        <v>7909</v>
      </c>
      <c r="AW10299" s="848" t="s">
        <v>7909</v>
      </c>
      <c r="AX10299" s="848" t="s">
        <v>7909</v>
      </c>
      <c r="AY10299" s="848" t="s">
        <v>7909</v>
      </c>
      <c r="AZ10299" s="848" t="s">
        <v>7909</v>
      </c>
      <c r="BA10299" s="848" t="s">
        <v>7909</v>
      </c>
      <c r="BB10299" s="848" t="s">
        <v>7909</v>
      </c>
      <c r="BC10299" s="848" t="s">
        <v>7909</v>
      </c>
      <c r="BD10299" s="848" t="s">
        <v>7909</v>
      </c>
      <c r="BE10299" s="848" t="s">
        <v>7909</v>
      </c>
      <c r="BF10299" s="848" t="s">
        <v>7909</v>
      </c>
      <c r="BG10299" s="848" t="s">
        <v>7909</v>
      </c>
      <c r="BH10299" s="848" t="s">
        <v>7909</v>
      </c>
      <c r="BI10299" s="848" t="s">
        <v>7909</v>
      </c>
      <c r="BJ10299" s="848" t="s">
        <v>7909</v>
      </c>
      <c r="BK10299" s="848" t="s">
        <v>7909</v>
      </c>
      <c r="BL10299" s="848" t="s">
        <v>7909</v>
      </c>
      <c r="BM10299" s="848" t="s">
        <v>7909</v>
      </c>
      <c r="BN10299" s="848" t="s">
        <v>7909</v>
      </c>
      <c r="BO10299" s="848" t="s">
        <v>7909</v>
      </c>
      <c r="BP10299" s="848" t="s">
        <v>7909</v>
      </c>
      <c r="BQ10299" s="848" t="s">
        <v>7909</v>
      </c>
      <c r="BR10299" s="848" t="s">
        <v>7909</v>
      </c>
      <c r="BS10299" s="848" t="s">
        <v>7909</v>
      </c>
      <c r="BT10299" s="848" t="s">
        <v>7909</v>
      </c>
      <c r="BU10299" s="848" t="s">
        <v>7909</v>
      </c>
      <c r="BV10299" s="848" t="s">
        <v>7909</v>
      </c>
      <c r="BW10299" s="848" t="s">
        <v>7909</v>
      </c>
      <c r="BX10299" s="848" t="s">
        <v>7909</v>
      </c>
      <c r="BY10299" s="848" t="s">
        <v>7909</v>
      </c>
      <c r="BZ10299" s="848" t="s">
        <v>7909</v>
      </c>
      <c r="CA10299" s="848" t="s">
        <v>7909</v>
      </c>
      <c r="CB10299" s="848" t="s">
        <v>7909</v>
      </c>
      <c r="CC10299" s="848" t="s">
        <v>7909</v>
      </c>
      <c r="CD10299" s="848" t="s">
        <v>7909</v>
      </c>
      <c r="CE10299" s="848" t="s">
        <v>7909</v>
      </c>
      <c r="CF10299" s="848" t="s">
        <v>7909</v>
      </c>
      <c r="CG10299" s="848" t="s">
        <v>7909</v>
      </c>
      <c r="CH10299" s="848" t="s">
        <v>7909</v>
      </c>
      <c r="CI10299" s="848" t="s">
        <v>7909</v>
      </c>
      <c r="CJ10299" s="848" t="s">
        <v>7909</v>
      </c>
      <c r="CK10299" s="848" t="s">
        <v>7909</v>
      </c>
      <c r="CL10299" s="848" t="s">
        <v>7909</v>
      </c>
      <c r="CM10299" s="848" t="s">
        <v>7909</v>
      </c>
      <c r="CN10299" s="848" t="s">
        <v>7909</v>
      </c>
      <c r="CO10299" s="848" t="s">
        <v>7909</v>
      </c>
      <c r="CP10299" s="848" t="s">
        <v>7909</v>
      </c>
      <c r="CQ10299" s="848" t="s">
        <v>7909</v>
      </c>
      <c r="CR10299" s="848" t="s">
        <v>7909</v>
      </c>
      <c r="CS10299" s="848" t="s">
        <v>7909</v>
      </c>
      <c r="CT10299" s="848" t="s">
        <v>7909</v>
      </c>
      <c r="CU10299" s="848" t="s">
        <v>7909</v>
      </c>
      <c r="CV10299" s="848" t="s">
        <v>7909</v>
      </c>
      <c r="CW10299" s="848" t="s">
        <v>7909</v>
      </c>
      <c r="CX10299" s="848" t="s">
        <v>7909</v>
      </c>
      <c r="CY10299" s="848" t="s">
        <v>7909</v>
      </c>
      <c r="CZ10299" s="848" t="s">
        <v>7909</v>
      </c>
      <c r="DA10299" s="848" t="s">
        <v>7909</v>
      </c>
      <c r="DB10299" s="848" t="s">
        <v>7909</v>
      </c>
      <c r="DC10299" s="848" t="s">
        <v>7909</v>
      </c>
      <c r="DD10299" s="848" t="s">
        <v>7909</v>
      </c>
      <c r="DE10299" s="848" t="s">
        <v>7909</v>
      </c>
      <c r="DF10299" s="848" t="s">
        <v>7909</v>
      </c>
      <c r="DG10299" s="848" t="s">
        <v>7909</v>
      </c>
      <c r="DH10299" s="848" t="s">
        <v>7909</v>
      </c>
      <c r="DI10299" s="848" t="s">
        <v>7909</v>
      </c>
      <c r="DJ10299" s="848" t="s">
        <v>7909</v>
      </c>
      <c r="DK10299" s="848" t="s">
        <v>7909</v>
      </c>
      <c r="DL10299" s="848" t="s">
        <v>7909</v>
      </c>
      <c r="DM10299" s="848" t="s">
        <v>7909</v>
      </c>
      <c r="DN10299" s="848" t="s">
        <v>7909</v>
      </c>
      <c r="DO10299" s="848" t="s">
        <v>7909</v>
      </c>
      <c r="DP10299" s="848" t="s">
        <v>7909</v>
      </c>
      <c r="DQ10299" s="848" t="s">
        <v>7909</v>
      </c>
      <c r="DR10299" s="848" t="s">
        <v>7909</v>
      </c>
      <c r="DS10299" s="848" t="s">
        <v>7909</v>
      </c>
      <c r="DT10299" s="848" t="s">
        <v>7909</v>
      </c>
      <c r="DU10299" s="848" t="s">
        <v>7909</v>
      </c>
      <c r="DV10299" s="848" t="s">
        <v>7909</v>
      </c>
      <c r="DW10299" s="848" t="s">
        <v>7909</v>
      </c>
      <c r="DX10299" s="848" t="s">
        <v>7909</v>
      </c>
      <c r="DY10299" s="848" t="s">
        <v>7909</v>
      </c>
      <c r="DZ10299" s="848" t="s">
        <v>7909</v>
      </c>
      <c r="EA10299" s="848" t="s">
        <v>7909</v>
      </c>
      <c r="EB10299" s="848" t="s">
        <v>7909</v>
      </c>
      <c r="EC10299" s="848" t="s">
        <v>7909</v>
      </c>
      <c r="ED10299" s="848" t="s">
        <v>7909</v>
      </c>
      <c r="EE10299" s="848" t="s">
        <v>7909</v>
      </c>
      <c r="EF10299" s="848" t="s">
        <v>7909</v>
      </c>
      <c r="EG10299" s="848" t="s">
        <v>7909</v>
      </c>
      <c r="EH10299" s="848" t="s">
        <v>7909</v>
      </c>
      <c r="EI10299" s="848" t="s">
        <v>7909</v>
      </c>
      <c r="EJ10299" s="848" t="s">
        <v>7909</v>
      </c>
      <c r="EK10299" s="848" t="s">
        <v>7909</v>
      </c>
      <c r="EL10299" s="848" t="s">
        <v>7909</v>
      </c>
      <c r="EM10299" s="848" t="s">
        <v>7909</v>
      </c>
      <c r="EN10299" s="848" t="s">
        <v>7909</v>
      </c>
      <c r="EO10299" s="848" t="s">
        <v>7909</v>
      </c>
      <c r="EP10299" s="848" t="s">
        <v>7909</v>
      </c>
      <c r="EQ10299" s="848" t="s">
        <v>7909</v>
      </c>
      <c r="ER10299" s="848" t="s">
        <v>7909</v>
      </c>
      <c r="ES10299" s="848" t="s">
        <v>7909</v>
      </c>
    </row>
    <row r="10300" spans="1:149" ht="15" hidden="1" customHeight="1">
      <c r="A10300" s="841">
        <v>45646</v>
      </c>
      <c r="B10300" s="842" t="s">
        <v>8027</v>
      </c>
      <c r="C10300" s="843" t="s">
        <v>4783</v>
      </c>
      <c r="D10300" s="844">
        <v>-62993478</v>
      </c>
      <c r="E10300" s="845">
        <v>45627</v>
      </c>
      <c r="F10300" s="843" t="s">
        <v>109</v>
      </c>
      <c r="G10300" s="843" t="s">
        <v>4986</v>
      </c>
      <c r="H10300" s="843" t="s">
        <v>310</v>
      </c>
      <c r="I10300" s="843" t="s">
        <v>7909</v>
      </c>
      <c r="J10300" s="848" t="s">
        <v>7909</v>
      </c>
      <c r="K10300" s="848" t="s">
        <v>7909</v>
      </c>
      <c r="L10300" s="848" t="s">
        <v>7909</v>
      </c>
      <c r="M10300" s="848" t="s">
        <v>7909</v>
      </c>
      <c r="N10300" s="848" t="s">
        <v>7909</v>
      </c>
      <c r="O10300" s="848" t="s">
        <v>7909</v>
      </c>
      <c r="P10300" s="848" t="s">
        <v>7909</v>
      </c>
      <c r="Q10300" s="848" t="s">
        <v>7909</v>
      </c>
      <c r="R10300" s="848" t="s">
        <v>7909</v>
      </c>
      <c r="S10300" s="848" t="s">
        <v>7909</v>
      </c>
      <c r="T10300" s="848" t="s">
        <v>7909</v>
      </c>
      <c r="U10300" s="848" t="s">
        <v>7909</v>
      </c>
      <c r="V10300" s="848" t="s">
        <v>7909</v>
      </c>
      <c r="W10300" s="848" t="s">
        <v>7909</v>
      </c>
      <c r="X10300" s="848" t="s">
        <v>7909</v>
      </c>
      <c r="Y10300" s="848" t="s">
        <v>7909</v>
      </c>
      <c r="Z10300" s="848" t="s">
        <v>7909</v>
      </c>
      <c r="AA10300" s="848" t="s">
        <v>7909</v>
      </c>
      <c r="AB10300" s="848" t="s">
        <v>7909</v>
      </c>
      <c r="AC10300" s="848" t="s">
        <v>7909</v>
      </c>
      <c r="AD10300" s="848" t="s">
        <v>7909</v>
      </c>
      <c r="AE10300" s="848" t="s">
        <v>7909</v>
      </c>
      <c r="AF10300" s="848" t="s">
        <v>7909</v>
      </c>
      <c r="AG10300" s="848" t="s">
        <v>7909</v>
      </c>
      <c r="AH10300" s="848" t="s">
        <v>7909</v>
      </c>
      <c r="AI10300" s="848" t="s">
        <v>7909</v>
      </c>
      <c r="AJ10300" s="848" t="s">
        <v>7909</v>
      </c>
      <c r="AK10300" s="848" t="s">
        <v>7909</v>
      </c>
      <c r="AL10300" s="848" t="s">
        <v>7909</v>
      </c>
      <c r="AM10300" s="848" t="s">
        <v>7909</v>
      </c>
      <c r="AN10300" s="848" t="s">
        <v>7909</v>
      </c>
      <c r="AO10300" s="848" t="s">
        <v>7909</v>
      </c>
      <c r="AP10300" s="848" t="s">
        <v>7909</v>
      </c>
      <c r="AQ10300" s="848" t="s">
        <v>7909</v>
      </c>
      <c r="AR10300" s="848" t="s">
        <v>7909</v>
      </c>
      <c r="AS10300" s="848" t="s">
        <v>7909</v>
      </c>
      <c r="AT10300" s="848" t="s">
        <v>7909</v>
      </c>
      <c r="AU10300" s="848" t="s">
        <v>7909</v>
      </c>
      <c r="AV10300" s="848" t="s">
        <v>7909</v>
      </c>
      <c r="AW10300" s="848" t="s">
        <v>7909</v>
      </c>
      <c r="AX10300" s="848" t="s">
        <v>7909</v>
      </c>
      <c r="AY10300" s="848" t="s">
        <v>7909</v>
      </c>
      <c r="AZ10300" s="848" t="s">
        <v>7909</v>
      </c>
      <c r="BA10300" s="848" t="s">
        <v>7909</v>
      </c>
      <c r="BB10300" s="848" t="s">
        <v>7909</v>
      </c>
      <c r="BC10300" s="848" t="s">
        <v>7909</v>
      </c>
      <c r="BD10300" s="848" t="s">
        <v>7909</v>
      </c>
      <c r="BE10300" s="848" t="s">
        <v>7909</v>
      </c>
      <c r="BF10300" s="848" t="s">
        <v>7909</v>
      </c>
      <c r="BG10300" s="848" t="s">
        <v>7909</v>
      </c>
      <c r="BH10300" s="848" t="s">
        <v>7909</v>
      </c>
      <c r="BI10300" s="848" t="s">
        <v>7909</v>
      </c>
      <c r="BJ10300" s="848" t="s">
        <v>7909</v>
      </c>
      <c r="BK10300" s="848" t="s">
        <v>7909</v>
      </c>
      <c r="BL10300" s="848" t="s">
        <v>7909</v>
      </c>
      <c r="BM10300" s="848" t="s">
        <v>7909</v>
      </c>
      <c r="BN10300" s="848" t="s">
        <v>7909</v>
      </c>
      <c r="BO10300" s="848" t="s">
        <v>7909</v>
      </c>
      <c r="BP10300" s="848" t="s">
        <v>7909</v>
      </c>
      <c r="BQ10300" s="848" t="s">
        <v>7909</v>
      </c>
      <c r="BR10300" s="848" t="s">
        <v>7909</v>
      </c>
      <c r="BS10300" s="848" t="s">
        <v>7909</v>
      </c>
      <c r="BT10300" s="848" t="s">
        <v>7909</v>
      </c>
      <c r="BU10300" s="848" t="s">
        <v>7909</v>
      </c>
      <c r="BV10300" s="848" t="s">
        <v>7909</v>
      </c>
      <c r="BW10300" s="848" t="s">
        <v>7909</v>
      </c>
      <c r="BX10300" s="848" t="s">
        <v>7909</v>
      </c>
      <c r="BY10300" s="848" t="s">
        <v>7909</v>
      </c>
      <c r="BZ10300" s="848" t="s">
        <v>7909</v>
      </c>
      <c r="CA10300" s="848" t="s">
        <v>7909</v>
      </c>
      <c r="CB10300" s="848" t="s">
        <v>7909</v>
      </c>
      <c r="CC10300" s="848" t="s">
        <v>7909</v>
      </c>
      <c r="CD10300" s="848" t="s">
        <v>7909</v>
      </c>
      <c r="CE10300" s="848" t="s">
        <v>7909</v>
      </c>
      <c r="CF10300" s="848" t="s">
        <v>7909</v>
      </c>
      <c r="CG10300" s="848" t="s">
        <v>7909</v>
      </c>
      <c r="CH10300" s="848" t="s">
        <v>7909</v>
      </c>
      <c r="CI10300" s="848" t="s">
        <v>7909</v>
      </c>
      <c r="CJ10300" s="848" t="s">
        <v>7909</v>
      </c>
      <c r="CK10300" s="848" t="s">
        <v>7909</v>
      </c>
      <c r="CL10300" s="848" t="s">
        <v>7909</v>
      </c>
      <c r="CM10300" s="848" t="s">
        <v>7909</v>
      </c>
      <c r="CN10300" s="848" t="s">
        <v>7909</v>
      </c>
      <c r="CO10300" s="848" t="s">
        <v>7909</v>
      </c>
      <c r="CP10300" s="848" t="s">
        <v>7909</v>
      </c>
      <c r="CQ10300" s="848" t="s">
        <v>7909</v>
      </c>
      <c r="CR10300" s="848" t="s">
        <v>7909</v>
      </c>
      <c r="CS10300" s="848" t="s">
        <v>7909</v>
      </c>
      <c r="CT10300" s="848" t="s">
        <v>7909</v>
      </c>
      <c r="CU10300" s="848" t="s">
        <v>7909</v>
      </c>
      <c r="CV10300" s="848" t="s">
        <v>7909</v>
      </c>
      <c r="CW10300" s="848" t="s">
        <v>7909</v>
      </c>
      <c r="CX10300" s="848" t="s">
        <v>7909</v>
      </c>
      <c r="CY10300" s="848" t="s">
        <v>7909</v>
      </c>
      <c r="CZ10300" s="848" t="s">
        <v>7909</v>
      </c>
      <c r="DA10300" s="848" t="s">
        <v>7909</v>
      </c>
      <c r="DB10300" s="848" t="s">
        <v>7909</v>
      </c>
      <c r="DC10300" s="848" t="s">
        <v>7909</v>
      </c>
      <c r="DD10300" s="848" t="s">
        <v>7909</v>
      </c>
      <c r="DE10300" s="848" t="s">
        <v>7909</v>
      </c>
      <c r="DF10300" s="848" t="s">
        <v>7909</v>
      </c>
      <c r="DG10300" s="848" t="s">
        <v>7909</v>
      </c>
      <c r="DH10300" s="848" t="s">
        <v>7909</v>
      </c>
      <c r="DI10300" s="848" t="s">
        <v>7909</v>
      </c>
      <c r="DJ10300" s="848" t="s">
        <v>7909</v>
      </c>
      <c r="DK10300" s="848" t="s">
        <v>7909</v>
      </c>
      <c r="DL10300" s="848" t="s">
        <v>7909</v>
      </c>
      <c r="DM10300" s="848" t="s">
        <v>7909</v>
      </c>
      <c r="DN10300" s="848" t="s">
        <v>7909</v>
      </c>
      <c r="DO10300" s="848" t="s">
        <v>7909</v>
      </c>
      <c r="DP10300" s="848" t="s">
        <v>7909</v>
      </c>
      <c r="DQ10300" s="848" t="s">
        <v>7909</v>
      </c>
      <c r="DR10300" s="848" t="s">
        <v>7909</v>
      </c>
      <c r="DS10300" s="848" t="s">
        <v>7909</v>
      </c>
      <c r="DT10300" s="848" t="s">
        <v>7909</v>
      </c>
      <c r="DU10300" s="848" t="s">
        <v>7909</v>
      </c>
      <c r="DV10300" s="848" t="s">
        <v>7909</v>
      </c>
      <c r="DW10300" s="848" t="s">
        <v>7909</v>
      </c>
      <c r="DX10300" s="848" t="s">
        <v>7909</v>
      </c>
      <c r="DY10300" s="848" t="s">
        <v>7909</v>
      </c>
      <c r="DZ10300" s="848" t="s">
        <v>7909</v>
      </c>
      <c r="EA10300" s="848" t="s">
        <v>7909</v>
      </c>
      <c r="EB10300" s="848" t="s">
        <v>7909</v>
      </c>
      <c r="EC10300" s="848" t="s">
        <v>7909</v>
      </c>
      <c r="ED10300" s="848" t="s">
        <v>7909</v>
      </c>
      <c r="EE10300" s="848" t="s">
        <v>7909</v>
      </c>
      <c r="EF10300" s="848" t="s">
        <v>7909</v>
      </c>
      <c r="EG10300" s="848" t="s">
        <v>7909</v>
      </c>
      <c r="EH10300" s="848" t="s">
        <v>7909</v>
      </c>
      <c r="EI10300" s="848" t="s">
        <v>7909</v>
      </c>
      <c r="EJ10300" s="848" t="s">
        <v>7909</v>
      </c>
      <c r="EK10300" s="848" t="s">
        <v>7909</v>
      </c>
      <c r="EL10300" s="848" t="s">
        <v>7909</v>
      </c>
      <c r="EM10300" s="848" t="s">
        <v>7909</v>
      </c>
      <c r="EN10300" s="848" t="s">
        <v>7909</v>
      </c>
      <c r="EO10300" s="848" t="s">
        <v>7909</v>
      </c>
      <c r="EP10300" s="848" t="s">
        <v>7909</v>
      </c>
      <c r="EQ10300" s="848" t="s">
        <v>7909</v>
      </c>
      <c r="ER10300" s="848" t="s">
        <v>7909</v>
      </c>
      <c r="ES10300" s="848" t="s">
        <v>7909</v>
      </c>
    </row>
    <row r="10301" spans="1:149" ht="15" hidden="1" customHeight="1">
      <c r="A10301" s="841">
        <v>45646</v>
      </c>
      <c r="B10301" s="842" t="s">
        <v>8028</v>
      </c>
      <c r="C10301" s="843" t="s">
        <v>4783</v>
      </c>
      <c r="D10301" s="844">
        <v>-48657456</v>
      </c>
      <c r="E10301" s="845">
        <v>45627</v>
      </c>
      <c r="F10301" s="843" t="s">
        <v>109</v>
      </c>
      <c r="G10301" s="843" t="s">
        <v>6994</v>
      </c>
      <c r="H10301" s="843" t="s">
        <v>549</v>
      </c>
      <c r="I10301" s="843" t="s">
        <v>7909</v>
      </c>
      <c r="J10301" s="848" t="s">
        <v>7909</v>
      </c>
      <c r="K10301" s="848" t="s">
        <v>7909</v>
      </c>
      <c r="L10301" s="848" t="s">
        <v>7909</v>
      </c>
      <c r="M10301" s="848" t="s">
        <v>7909</v>
      </c>
      <c r="N10301" s="848" t="s">
        <v>7909</v>
      </c>
      <c r="O10301" s="848" t="s">
        <v>7909</v>
      </c>
      <c r="P10301" s="848" t="s">
        <v>7909</v>
      </c>
      <c r="Q10301" s="848" t="s">
        <v>7909</v>
      </c>
      <c r="R10301" s="848" t="s">
        <v>7909</v>
      </c>
      <c r="S10301" s="848" t="s">
        <v>7909</v>
      </c>
      <c r="T10301" s="848" t="s">
        <v>7909</v>
      </c>
      <c r="U10301" s="848" t="s">
        <v>7909</v>
      </c>
      <c r="V10301" s="848" t="s">
        <v>7909</v>
      </c>
      <c r="W10301" s="848" t="s">
        <v>7909</v>
      </c>
      <c r="X10301" s="848" t="s">
        <v>7909</v>
      </c>
      <c r="Y10301" s="848" t="s">
        <v>7909</v>
      </c>
      <c r="Z10301" s="848" t="s">
        <v>7909</v>
      </c>
      <c r="AA10301" s="848" t="s">
        <v>7909</v>
      </c>
      <c r="AB10301" s="848" t="s">
        <v>7909</v>
      </c>
      <c r="AC10301" s="848" t="s">
        <v>7909</v>
      </c>
      <c r="AD10301" s="848" t="s">
        <v>7909</v>
      </c>
      <c r="AE10301" s="848" t="s">
        <v>7909</v>
      </c>
      <c r="AF10301" s="848" t="s">
        <v>7909</v>
      </c>
      <c r="AG10301" s="848" t="s">
        <v>7909</v>
      </c>
      <c r="AH10301" s="848" t="s">
        <v>7909</v>
      </c>
      <c r="AI10301" s="848" t="s">
        <v>7909</v>
      </c>
      <c r="AJ10301" s="848" t="s">
        <v>7909</v>
      </c>
      <c r="AK10301" s="848" t="s">
        <v>7909</v>
      </c>
      <c r="AL10301" s="848" t="s">
        <v>7909</v>
      </c>
      <c r="AM10301" s="848" t="s">
        <v>7909</v>
      </c>
      <c r="AN10301" s="848" t="s">
        <v>7909</v>
      </c>
      <c r="AO10301" s="848" t="s">
        <v>7909</v>
      </c>
      <c r="AP10301" s="848" t="s">
        <v>7909</v>
      </c>
      <c r="AQ10301" s="848" t="s">
        <v>7909</v>
      </c>
      <c r="AR10301" s="848" t="s">
        <v>7909</v>
      </c>
      <c r="AS10301" s="848" t="s">
        <v>7909</v>
      </c>
      <c r="AT10301" s="848" t="s">
        <v>7909</v>
      </c>
      <c r="AU10301" s="848" t="s">
        <v>7909</v>
      </c>
      <c r="AV10301" s="848" t="s">
        <v>7909</v>
      </c>
      <c r="AW10301" s="848" t="s">
        <v>7909</v>
      </c>
      <c r="AX10301" s="848" t="s">
        <v>7909</v>
      </c>
      <c r="AY10301" s="848" t="s">
        <v>7909</v>
      </c>
      <c r="AZ10301" s="848" t="s">
        <v>7909</v>
      </c>
      <c r="BA10301" s="848" t="s">
        <v>7909</v>
      </c>
      <c r="BB10301" s="848" t="s">
        <v>7909</v>
      </c>
      <c r="BC10301" s="848" t="s">
        <v>7909</v>
      </c>
      <c r="BD10301" s="848" t="s">
        <v>7909</v>
      </c>
      <c r="BE10301" s="848" t="s">
        <v>7909</v>
      </c>
      <c r="BF10301" s="848" t="s">
        <v>7909</v>
      </c>
      <c r="BG10301" s="848" t="s">
        <v>7909</v>
      </c>
      <c r="BH10301" s="848" t="s">
        <v>7909</v>
      </c>
      <c r="BI10301" s="848" t="s">
        <v>7909</v>
      </c>
      <c r="BJ10301" s="848" t="s">
        <v>7909</v>
      </c>
      <c r="BK10301" s="848" t="s">
        <v>7909</v>
      </c>
      <c r="BL10301" s="848" t="s">
        <v>7909</v>
      </c>
      <c r="BM10301" s="848" t="s">
        <v>7909</v>
      </c>
      <c r="BN10301" s="848" t="s">
        <v>7909</v>
      </c>
      <c r="BO10301" s="848" t="s">
        <v>7909</v>
      </c>
      <c r="BP10301" s="848" t="s">
        <v>7909</v>
      </c>
      <c r="BQ10301" s="848" t="s">
        <v>7909</v>
      </c>
      <c r="BR10301" s="848" t="s">
        <v>7909</v>
      </c>
      <c r="BS10301" s="848" t="s">
        <v>7909</v>
      </c>
      <c r="BT10301" s="848" t="s">
        <v>7909</v>
      </c>
      <c r="BU10301" s="848" t="s">
        <v>7909</v>
      </c>
      <c r="BV10301" s="848" t="s">
        <v>7909</v>
      </c>
      <c r="BW10301" s="848" t="s">
        <v>7909</v>
      </c>
      <c r="BX10301" s="848" t="s">
        <v>7909</v>
      </c>
      <c r="BY10301" s="848" t="s">
        <v>7909</v>
      </c>
      <c r="BZ10301" s="848" t="s">
        <v>7909</v>
      </c>
      <c r="CA10301" s="848" t="s">
        <v>7909</v>
      </c>
      <c r="CB10301" s="848" t="s">
        <v>7909</v>
      </c>
      <c r="CC10301" s="848" t="s">
        <v>7909</v>
      </c>
      <c r="CD10301" s="848" t="s">
        <v>7909</v>
      </c>
      <c r="CE10301" s="848" t="s">
        <v>7909</v>
      </c>
      <c r="CF10301" s="848" t="s">
        <v>7909</v>
      </c>
      <c r="CG10301" s="848" t="s">
        <v>7909</v>
      </c>
      <c r="CH10301" s="848" t="s">
        <v>7909</v>
      </c>
      <c r="CI10301" s="848" t="s">
        <v>7909</v>
      </c>
      <c r="CJ10301" s="848" t="s">
        <v>7909</v>
      </c>
      <c r="CK10301" s="848" t="s">
        <v>7909</v>
      </c>
      <c r="CL10301" s="848" t="s">
        <v>7909</v>
      </c>
      <c r="CM10301" s="848" t="s">
        <v>7909</v>
      </c>
      <c r="CN10301" s="848" t="s">
        <v>7909</v>
      </c>
      <c r="CO10301" s="848" t="s">
        <v>7909</v>
      </c>
      <c r="CP10301" s="848" t="s">
        <v>7909</v>
      </c>
      <c r="CQ10301" s="848" t="s">
        <v>7909</v>
      </c>
      <c r="CR10301" s="848" t="s">
        <v>7909</v>
      </c>
      <c r="CS10301" s="848" t="s">
        <v>7909</v>
      </c>
      <c r="CT10301" s="848" t="s">
        <v>7909</v>
      </c>
      <c r="CU10301" s="848" t="s">
        <v>7909</v>
      </c>
      <c r="CV10301" s="848" t="s">
        <v>7909</v>
      </c>
      <c r="CW10301" s="848" t="s">
        <v>7909</v>
      </c>
      <c r="CX10301" s="848" t="s">
        <v>7909</v>
      </c>
      <c r="CY10301" s="848" t="s">
        <v>7909</v>
      </c>
      <c r="CZ10301" s="848" t="s">
        <v>7909</v>
      </c>
      <c r="DA10301" s="848" t="s">
        <v>7909</v>
      </c>
      <c r="DB10301" s="848" t="s">
        <v>7909</v>
      </c>
      <c r="DC10301" s="848" t="s">
        <v>7909</v>
      </c>
      <c r="DD10301" s="848" t="s">
        <v>7909</v>
      </c>
      <c r="DE10301" s="848" t="s">
        <v>7909</v>
      </c>
      <c r="DF10301" s="848" t="s">
        <v>7909</v>
      </c>
      <c r="DG10301" s="848" t="s">
        <v>7909</v>
      </c>
      <c r="DH10301" s="848" t="s">
        <v>7909</v>
      </c>
      <c r="DI10301" s="848" t="s">
        <v>7909</v>
      </c>
      <c r="DJ10301" s="848" t="s">
        <v>7909</v>
      </c>
      <c r="DK10301" s="848" t="s">
        <v>7909</v>
      </c>
      <c r="DL10301" s="848" t="s">
        <v>7909</v>
      </c>
      <c r="DM10301" s="848" t="s">
        <v>7909</v>
      </c>
      <c r="DN10301" s="848" t="s">
        <v>7909</v>
      </c>
      <c r="DO10301" s="848" t="s">
        <v>7909</v>
      </c>
      <c r="DP10301" s="848" t="s">
        <v>7909</v>
      </c>
      <c r="DQ10301" s="848" t="s">
        <v>7909</v>
      </c>
      <c r="DR10301" s="848" t="s">
        <v>7909</v>
      </c>
      <c r="DS10301" s="848" t="s">
        <v>7909</v>
      </c>
      <c r="DT10301" s="848" t="s">
        <v>7909</v>
      </c>
      <c r="DU10301" s="848" t="s">
        <v>7909</v>
      </c>
      <c r="DV10301" s="848" t="s">
        <v>7909</v>
      </c>
      <c r="DW10301" s="848" t="s">
        <v>7909</v>
      </c>
      <c r="DX10301" s="848" t="s">
        <v>7909</v>
      </c>
      <c r="DY10301" s="848" t="s">
        <v>7909</v>
      </c>
      <c r="DZ10301" s="848" t="s">
        <v>7909</v>
      </c>
      <c r="EA10301" s="848" t="s">
        <v>7909</v>
      </c>
      <c r="EB10301" s="848" t="s">
        <v>7909</v>
      </c>
      <c r="EC10301" s="848" t="s">
        <v>7909</v>
      </c>
      <c r="ED10301" s="848" t="s">
        <v>7909</v>
      </c>
      <c r="EE10301" s="848" t="s">
        <v>7909</v>
      </c>
      <c r="EF10301" s="848" t="s">
        <v>7909</v>
      </c>
      <c r="EG10301" s="848" t="s">
        <v>7909</v>
      </c>
      <c r="EH10301" s="848" t="s">
        <v>7909</v>
      </c>
      <c r="EI10301" s="848" t="s">
        <v>7909</v>
      </c>
      <c r="EJ10301" s="848" t="s">
        <v>7909</v>
      </c>
      <c r="EK10301" s="848" t="s">
        <v>7909</v>
      </c>
      <c r="EL10301" s="848" t="s">
        <v>7909</v>
      </c>
      <c r="EM10301" s="848" t="s">
        <v>7909</v>
      </c>
      <c r="EN10301" s="848" t="s">
        <v>7909</v>
      </c>
      <c r="EO10301" s="848" t="s">
        <v>7909</v>
      </c>
      <c r="EP10301" s="848" t="s">
        <v>7909</v>
      </c>
      <c r="EQ10301" s="848" t="s">
        <v>7909</v>
      </c>
      <c r="ER10301" s="848" t="s">
        <v>7909</v>
      </c>
      <c r="ES10301" s="848" t="s">
        <v>7909</v>
      </c>
    </row>
    <row r="10302" spans="1:149" ht="15" hidden="1" customHeight="1">
      <c r="A10302" s="841">
        <v>45646</v>
      </c>
      <c r="B10302" s="842" t="s">
        <v>8029</v>
      </c>
      <c r="C10302" s="843" t="s">
        <v>4783</v>
      </c>
      <c r="D10302" s="844">
        <v>-37645887.990000002</v>
      </c>
      <c r="E10302" s="845">
        <v>45627</v>
      </c>
      <c r="F10302" s="843" t="s">
        <v>109</v>
      </c>
      <c r="G10302" s="206" t="s">
        <v>5990</v>
      </c>
      <c r="H10302" s="843" t="s">
        <v>310</v>
      </c>
      <c r="I10302" s="843" t="s">
        <v>7909</v>
      </c>
      <c r="J10302" s="848" t="s">
        <v>7909</v>
      </c>
      <c r="K10302" s="848" t="s">
        <v>7909</v>
      </c>
      <c r="L10302" s="848" t="s">
        <v>7909</v>
      </c>
      <c r="M10302" s="848" t="s">
        <v>7909</v>
      </c>
      <c r="N10302" s="848" t="s">
        <v>7909</v>
      </c>
      <c r="O10302" s="848" t="s">
        <v>7909</v>
      </c>
      <c r="P10302" s="848" t="s">
        <v>7909</v>
      </c>
      <c r="Q10302" s="848" t="s">
        <v>7909</v>
      </c>
      <c r="R10302" s="848" t="s">
        <v>7909</v>
      </c>
      <c r="S10302" s="848" t="s">
        <v>7909</v>
      </c>
      <c r="T10302" s="848" t="s">
        <v>7909</v>
      </c>
      <c r="U10302" s="848" t="s">
        <v>7909</v>
      </c>
      <c r="V10302" s="848" t="s">
        <v>7909</v>
      </c>
      <c r="W10302" s="848" t="s">
        <v>7909</v>
      </c>
      <c r="X10302" s="848" t="s">
        <v>7909</v>
      </c>
      <c r="Y10302" s="848" t="s">
        <v>7909</v>
      </c>
      <c r="Z10302" s="848" t="s">
        <v>7909</v>
      </c>
      <c r="AA10302" s="848" t="s">
        <v>7909</v>
      </c>
      <c r="AB10302" s="848" t="s">
        <v>7909</v>
      </c>
      <c r="AC10302" s="848" t="s">
        <v>7909</v>
      </c>
      <c r="AD10302" s="848" t="s">
        <v>7909</v>
      </c>
      <c r="AE10302" s="848" t="s">
        <v>7909</v>
      </c>
      <c r="AF10302" s="848" t="s">
        <v>7909</v>
      </c>
      <c r="AG10302" s="848" t="s">
        <v>7909</v>
      </c>
      <c r="AH10302" s="848" t="s">
        <v>7909</v>
      </c>
      <c r="AI10302" s="848" t="s">
        <v>7909</v>
      </c>
      <c r="AJ10302" s="848" t="s">
        <v>7909</v>
      </c>
      <c r="AK10302" s="848" t="s">
        <v>7909</v>
      </c>
      <c r="AL10302" s="848" t="s">
        <v>7909</v>
      </c>
      <c r="AM10302" s="848" t="s">
        <v>7909</v>
      </c>
      <c r="AN10302" s="848" t="s">
        <v>7909</v>
      </c>
      <c r="AO10302" s="848" t="s">
        <v>7909</v>
      </c>
      <c r="AP10302" s="848" t="s">
        <v>7909</v>
      </c>
      <c r="AQ10302" s="848" t="s">
        <v>7909</v>
      </c>
      <c r="AR10302" s="848" t="s">
        <v>7909</v>
      </c>
      <c r="AS10302" s="848" t="s">
        <v>7909</v>
      </c>
      <c r="AT10302" s="848" t="s">
        <v>7909</v>
      </c>
      <c r="AU10302" s="848" t="s">
        <v>7909</v>
      </c>
      <c r="AV10302" s="848" t="s">
        <v>7909</v>
      </c>
      <c r="AW10302" s="848" t="s">
        <v>7909</v>
      </c>
      <c r="AX10302" s="848" t="s">
        <v>7909</v>
      </c>
      <c r="AY10302" s="848" t="s">
        <v>7909</v>
      </c>
      <c r="AZ10302" s="848" t="s">
        <v>7909</v>
      </c>
      <c r="BA10302" s="848" t="s">
        <v>7909</v>
      </c>
      <c r="BB10302" s="848" t="s">
        <v>7909</v>
      </c>
      <c r="BC10302" s="848" t="s">
        <v>7909</v>
      </c>
      <c r="BD10302" s="848" t="s">
        <v>7909</v>
      </c>
      <c r="BE10302" s="848" t="s">
        <v>7909</v>
      </c>
      <c r="BF10302" s="848" t="s">
        <v>7909</v>
      </c>
      <c r="BG10302" s="848" t="s">
        <v>7909</v>
      </c>
      <c r="BH10302" s="848" t="s">
        <v>7909</v>
      </c>
      <c r="BI10302" s="848" t="s">
        <v>7909</v>
      </c>
      <c r="BJ10302" s="848" t="s">
        <v>7909</v>
      </c>
      <c r="BK10302" s="848" t="s">
        <v>7909</v>
      </c>
      <c r="BL10302" s="848" t="s">
        <v>7909</v>
      </c>
      <c r="BM10302" s="848" t="s">
        <v>7909</v>
      </c>
      <c r="BN10302" s="848" t="s">
        <v>7909</v>
      </c>
      <c r="BO10302" s="848" t="s">
        <v>7909</v>
      </c>
      <c r="BP10302" s="848" t="s">
        <v>7909</v>
      </c>
      <c r="BQ10302" s="848" t="s">
        <v>7909</v>
      </c>
      <c r="BR10302" s="848" t="s">
        <v>7909</v>
      </c>
      <c r="BS10302" s="848" t="s">
        <v>7909</v>
      </c>
      <c r="BT10302" s="848" t="s">
        <v>7909</v>
      </c>
      <c r="BU10302" s="848" t="s">
        <v>7909</v>
      </c>
      <c r="BV10302" s="848" t="s">
        <v>7909</v>
      </c>
      <c r="BW10302" s="848" t="s">
        <v>7909</v>
      </c>
      <c r="BX10302" s="848" t="s">
        <v>7909</v>
      </c>
      <c r="BY10302" s="848" t="s">
        <v>7909</v>
      </c>
      <c r="BZ10302" s="848" t="s">
        <v>7909</v>
      </c>
      <c r="CA10302" s="848" t="s">
        <v>7909</v>
      </c>
      <c r="CB10302" s="848" t="s">
        <v>7909</v>
      </c>
      <c r="CC10302" s="848" t="s">
        <v>7909</v>
      </c>
      <c r="CD10302" s="848" t="s">
        <v>7909</v>
      </c>
      <c r="CE10302" s="848" t="s">
        <v>7909</v>
      </c>
      <c r="CF10302" s="848" t="s">
        <v>7909</v>
      </c>
      <c r="CG10302" s="848" t="s">
        <v>7909</v>
      </c>
      <c r="CH10302" s="848" t="s">
        <v>7909</v>
      </c>
      <c r="CI10302" s="848" t="s">
        <v>7909</v>
      </c>
      <c r="CJ10302" s="848" t="s">
        <v>7909</v>
      </c>
      <c r="CK10302" s="848" t="s">
        <v>7909</v>
      </c>
      <c r="CL10302" s="848" t="s">
        <v>7909</v>
      </c>
      <c r="CM10302" s="848" t="s">
        <v>7909</v>
      </c>
      <c r="CN10302" s="848" t="s">
        <v>7909</v>
      </c>
      <c r="CO10302" s="848" t="s">
        <v>7909</v>
      </c>
      <c r="CP10302" s="848" t="s">
        <v>7909</v>
      </c>
      <c r="CQ10302" s="848" t="s">
        <v>7909</v>
      </c>
      <c r="CR10302" s="848" t="s">
        <v>7909</v>
      </c>
      <c r="CS10302" s="848" t="s">
        <v>7909</v>
      </c>
      <c r="CT10302" s="848" t="s">
        <v>7909</v>
      </c>
      <c r="CU10302" s="848" t="s">
        <v>7909</v>
      </c>
      <c r="CV10302" s="848" t="s">
        <v>7909</v>
      </c>
      <c r="CW10302" s="848" t="s">
        <v>7909</v>
      </c>
      <c r="CX10302" s="848" t="s">
        <v>7909</v>
      </c>
      <c r="CY10302" s="848" t="s">
        <v>7909</v>
      </c>
      <c r="CZ10302" s="848" t="s">
        <v>7909</v>
      </c>
      <c r="DA10302" s="848" t="s">
        <v>7909</v>
      </c>
      <c r="DB10302" s="848" t="s">
        <v>7909</v>
      </c>
      <c r="DC10302" s="848" t="s">
        <v>7909</v>
      </c>
      <c r="DD10302" s="848" t="s">
        <v>7909</v>
      </c>
      <c r="DE10302" s="848" t="s">
        <v>7909</v>
      </c>
      <c r="DF10302" s="848" t="s">
        <v>7909</v>
      </c>
      <c r="DG10302" s="848" t="s">
        <v>7909</v>
      </c>
      <c r="DH10302" s="848" t="s">
        <v>7909</v>
      </c>
      <c r="DI10302" s="848" t="s">
        <v>7909</v>
      </c>
      <c r="DJ10302" s="848" t="s">
        <v>7909</v>
      </c>
      <c r="DK10302" s="848" t="s">
        <v>7909</v>
      </c>
      <c r="DL10302" s="848" t="s">
        <v>7909</v>
      </c>
      <c r="DM10302" s="848" t="s">
        <v>7909</v>
      </c>
      <c r="DN10302" s="848" t="s">
        <v>7909</v>
      </c>
      <c r="DO10302" s="848" t="s">
        <v>7909</v>
      </c>
      <c r="DP10302" s="848" t="s">
        <v>7909</v>
      </c>
      <c r="DQ10302" s="848" t="s">
        <v>7909</v>
      </c>
      <c r="DR10302" s="848" t="s">
        <v>7909</v>
      </c>
      <c r="DS10302" s="848" t="s">
        <v>7909</v>
      </c>
      <c r="DT10302" s="848" t="s">
        <v>7909</v>
      </c>
      <c r="DU10302" s="848" t="s">
        <v>7909</v>
      </c>
      <c r="DV10302" s="848" t="s">
        <v>7909</v>
      </c>
      <c r="DW10302" s="848" t="s">
        <v>7909</v>
      </c>
      <c r="DX10302" s="848" t="s">
        <v>7909</v>
      </c>
      <c r="DY10302" s="848" t="s">
        <v>7909</v>
      </c>
      <c r="DZ10302" s="848" t="s">
        <v>7909</v>
      </c>
      <c r="EA10302" s="848" t="s">
        <v>7909</v>
      </c>
      <c r="EB10302" s="848" t="s">
        <v>7909</v>
      </c>
      <c r="EC10302" s="848" t="s">
        <v>7909</v>
      </c>
      <c r="ED10302" s="848" t="s">
        <v>7909</v>
      </c>
      <c r="EE10302" s="848" t="s">
        <v>7909</v>
      </c>
      <c r="EF10302" s="848" t="s">
        <v>7909</v>
      </c>
      <c r="EG10302" s="848" t="s">
        <v>7909</v>
      </c>
      <c r="EH10302" s="848" t="s">
        <v>7909</v>
      </c>
      <c r="EI10302" s="848" t="s">
        <v>7909</v>
      </c>
      <c r="EJ10302" s="848" t="s">
        <v>7909</v>
      </c>
      <c r="EK10302" s="848" t="s">
        <v>7909</v>
      </c>
      <c r="EL10302" s="848" t="s">
        <v>7909</v>
      </c>
      <c r="EM10302" s="848" t="s">
        <v>7909</v>
      </c>
      <c r="EN10302" s="848" t="s">
        <v>7909</v>
      </c>
      <c r="EO10302" s="848" t="s">
        <v>7909</v>
      </c>
      <c r="EP10302" s="848" t="s">
        <v>7909</v>
      </c>
      <c r="EQ10302" s="848" t="s">
        <v>7909</v>
      </c>
      <c r="ER10302" s="848" t="s">
        <v>7909</v>
      </c>
      <c r="ES10302" s="848" t="s">
        <v>7909</v>
      </c>
    </row>
    <row r="10303" spans="1:149" ht="15" hidden="1" customHeight="1">
      <c r="A10303" s="841">
        <v>45646</v>
      </c>
      <c r="B10303" s="842" t="s">
        <v>8030</v>
      </c>
      <c r="C10303" s="843" t="s">
        <v>4783</v>
      </c>
      <c r="D10303" s="844">
        <v>-167496.01</v>
      </c>
      <c r="E10303" s="845">
        <v>45627</v>
      </c>
      <c r="F10303" s="843" t="s">
        <v>109</v>
      </c>
      <c r="G10303" s="843" t="s">
        <v>5911</v>
      </c>
      <c r="H10303" s="843" t="s">
        <v>310</v>
      </c>
      <c r="I10303" s="720" t="s">
        <v>5410</v>
      </c>
      <c r="J10303" s="848" t="s">
        <v>7909</v>
      </c>
      <c r="K10303" s="848" t="s">
        <v>7909</v>
      </c>
      <c r="L10303" s="848" t="s">
        <v>7909</v>
      </c>
      <c r="M10303" s="848" t="s">
        <v>7909</v>
      </c>
      <c r="N10303" s="848" t="s">
        <v>7909</v>
      </c>
      <c r="O10303" s="848" t="s">
        <v>7909</v>
      </c>
      <c r="P10303" s="848" t="s">
        <v>7909</v>
      </c>
      <c r="Q10303" s="848" t="s">
        <v>7909</v>
      </c>
      <c r="R10303" s="848" t="s">
        <v>7909</v>
      </c>
      <c r="S10303" s="848" t="s">
        <v>7909</v>
      </c>
      <c r="T10303" s="848" t="s">
        <v>7909</v>
      </c>
      <c r="U10303" s="848" t="s">
        <v>7909</v>
      </c>
      <c r="V10303" s="848" t="s">
        <v>7909</v>
      </c>
      <c r="W10303" s="848" t="s">
        <v>7909</v>
      </c>
      <c r="X10303" s="848" t="s">
        <v>7909</v>
      </c>
      <c r="Y10303" s="848" t="s">
        <v>7909</v>
      </c>
      <c r="Z10303" s="848" t="s">
        <v>7909</v>
      </c>
      <c r="AA10303" s="848" t="s">
        <v>7909</v>
      </c>
      <c r="AB10303" s="848" t="s">
        <v>7909</v>
      </c>
      <c r="AC10303" s="848" t="s">
        <v>7909</v>
      </c>
      <c r="AD10303" s="848" t="s">
        <v>7909</v>
      </c>
      <c r="AE10303" s="848" t="s">
        <v>7909</v>
      </c>
      <c r="AF10303" s="848" t="s">
        <v>7909</v>
      </c>
      <c r="AG10303" s="848" t="s">
        <v>7909</v>
      </c>
      <c r="AH10303" s="848" t="s">
        <v>7909</v>
      </c>
      <c r="AI10303" s="848" t="s">
        <v>7909</v>
      </c>
      <c r="AJ10303" s="848" t="s">
        <v>7909</v>
      </c>
      <c r="AK10303" s="848" t="s">
        <v>7909</v>
      </c>
      <c r="AL10303" s="848" t="s">
        <v>7909</v>
      </c>
      <c r="AM10303" s="848" t="s">
        <v>7909</v>
      </c>
      <c r="AN10303" s="848" t="s">
        <v>7909</v>
      </c>
      <c r="AO10303" s="848" t="s">
        <v>7909</v>
      </c>
      <c r="AP10303" s="848" t="s">
        <v>7909</v>
      </c>
      <c r="AQ10303" s="848" t="s">
        <v>7909</v>
      </c>
      <c r="AR10303" s="848" t="s">
        <v>7909</v>
      </c>
      <c r="AS10303" s="848" t="s">
        <v>7909</v>
      </c>
      <c r="AT10303" s="848" t="s">
        <v>7909</v>
      </c>
      <c r="AU10303" s="848" t="s">
        <v>7909</v>
      </c>
      <c r="AV10303" s="848" t="s">
        <v>7909</v>
      </c>
      <c r="AW10303" s="848" t="s">
        <v>7909</v>
      </c>
      <c r="AX10303" s="848" t="s">
        <v>7909</v>
      </c>
      <c r="AY10303" s="848" t="s">
        <v>7909</v>
      </c>
      <c r="AZ10303" s="848" t="s">
        <v>7909</v>
      </c>
      <c r="BA10303" s="848" t="s">
        <v>7909</v>
      </c>
      <c r="BB10303" s="848" t="s">
        <v>7909</v>
      </c>
      <c r="BC10303" s="848" t="s">
        <v>7909</v>
      </c>
      <c r="BD10303" s="848" t="s">
        <v>7909</v>
      </c>
      <c r="BE10303" s="848" t="s">
        <v>7909</v>
      </c>
      <c r="BF10303" s="848" t="s">
        <v>7909</v>
      </c>
      <c r="BG10303" s="848" t="s">
        <v>7909</v>
      </c>
      <c r="BH10303" s="848" t="s">
        <v>7909</v>
      </c>
      <c r="BI10303" s="848" t="s">
        <v>7909</v>
      </c>
      <c r="BJ10303" s="848" t="s">
        <v>7909</v>
      </c>
      <c r="BK10303" s="848" t="s">
        <v>7909</v>
      </c>
      <c r="BL10303" s="848" t="s">
        <v>7909</v>
      </c>
      <c r="BM10303" s="848" t="s">
        <v>7909</v>
      </c>
      <c r="BN10303" s="848" t="s">
        <v>7909</v>
      </c>
      <c r="BO10303" s="848" t="s">
        <v>7909</v>
      </c>
      <c r="BP10303" s="848" t="s">
        <v>7909</v>
      </c>
      <c r="BQ10303" s="848" t="s">
        <v>7909</v>
      </c>
      <c r="BR10303" s="848" t="s">
        <v>7909</v>
      </c>
      <c r="BS10303" s="848" t="s">
        <v>7909</v>
      </c>
      <c r="BT10303" s="848" t="s">
        <v>7909</v>
      </c>
      <c r="BU10303" s="848" t="s">
        <v>7909</v>
      </c>
      <c r="BV10303" s="848" t="s">
        <v>7909</v>
      </c>
      <c r="BW10303" s="848" t="s">
        <v>7909</v>
      </c>
      <c r="BX10303" s="848" t="s">
        <v>7909</v>
      </c>
      <c r="BY10303" s="848" t="s">
        <v>7909</v>
      </c>
      <c r="BZ10303" s="848" t="s">
        <v>7909</v>
      </c>
      <c r="CA10303" s="848" t="s">
        <v>7909</v>
      </c>
      <c r="CB10303" s="848" t="s">
        <v>7909</v>
      </c>
      <c r="CC10303" s="848" t="s">
        <v>7909</v>
      </c>
      <c r="CD10303" s="848" t="s">
        <v>7909</v>
      </c>
      <c r="CE10303" s="848" t="s">
        <v>7909</v>
      </c>
      <c r="CF10303" s="848" t="s">
        <v>7909</v>
      </c>
      <c r="CG10303" s="848" t="s">
        <v>7909</v>
      </c>
      <c r="CH10303" s="848" t="s">
        <v>7909</v>
      </c>
      <c r="CI10303" s="848" t="s">
        <v>7909</v>
      </c>
      <c r="CJ10303" s="848" t="s">
        <v>7909</v>
      </c>
      <c r="CK10303" s="848" t="s">
        <v>7909</v>
      </c>
      <c r="CL10303" s="848" t="s">
        <v>7909</v>
      </c>
      <c r="CM10303" s="848" t="s">
        <v>7909</v>
      </c>
      <c r="CN10303" s="848" t="s">
        <v>7909</v>
      </c>
      <c r="CO10303" s="848" t="s">
        <v>7909</v>
      </c>
      <c r="CP10303" s="848" t="s">
        <v>7909</v>
      </c>
      <c r="CQ10303" s="848" t="s">
        <v>7909</v>
      </c>
      <c r="CR10303" s="848" t="s">
        <v>7909</v>
      </c>
      <c r="CS10303" s="848" t="s">
        <v>7909</v>
      </c>
      <c r="CT10303" s="848" t="s">
        <v>7909</v>
      </c>
      <c r="CU10303" s="848" t="s">
        <v>7909</v>
      </c>
      <c r="CV10303" s="848" t="s">
        <v>7909</v>
      </c>
      <c r="CW10303" s="848" t="s">
        <v>7909</v>
      </c>
      <c r="CX10303" s="848" t="s">
        <v>7909</v>
      </c>
      <c r="CY10303" s="848" t="s">
        <v>7909</v>
      </c>
      <c r="CZ10303" s="848" t="s">
        <v>7909</v>
      </c>
      <c r="DA10303" s="848" t="s">
        <v>7909</v>
      </c>
      <c r="DB10303" s="848" t="s">
        <v>7909</v>
      </c>
      <c r="DC10303" s="848" t="s">
        <v>7909</v>
      </c>
      <c r="DD10303" s="848" t="s">
        <v>7909</v>
      </c>
      <c r="DE10303" s="848" t="s">
        <v>7909</v>
      </c>
      <c r="DF10303" s="848" t="s">
        <v>7909</v>
      </c>
      <c r="DG10303" s="848" t="s">
        <v>7909</v>
      </c>
      <c r="DH10303" s="848" t="s">
        <v>7909</v>
      </c>
      <c r="DI10303" s="848" t="s">
        <v>7909</v>
      </c>
      <c r="DJ10303" s="848" t="s">
        <v>7909</v>
      </c>
      <c r="DK10303" s="848" t="s">
        <v>7909</v>
      </c>
      <c r="DL10303" s="848" t="s">
        <v>7909</v>
      </c>
      <c r="DM10303" s="848" t="s">
        <v>7909</v>
      </c>
      <c r="DN10303" s="848" t="s">
        <v>7909</v>
      </c>
      <c r="DO10303" s="848" t="s">
        <v>7909</v>
      </c>
      <c r="DP10303" s="848" t="s">
        <v>7909</v>
      </c>
      <c r="DQ10303" s="848" t="s">
        <v>7909</v>
      </c>
      <c r="DR10303" s="848" t="s">
        <v>7909</v>
      </c>
      <c r="DS10303" s="848" t="s">
        <v>7909</v>
      </c>
      <c r="DT10303" s="848" t="s">
        <v>7909</v>
      </c>
      <c r="DU10303" s="848" t="s">
        <v>7909</v>
      </c>
      <c r="DV10303" s="848" t="s">
        <v>7909</v>
      </c>
      <c r="DW10303" s="848" t="s">
        <v>7909</v>
      </c>
      <c r="DX10303" s="848" t="s">
        <v>7909</v>
      </c>
      <c r="DY10303" s="848" t="s">
        <v>7909</v>
      </c>
      <c r="DZ10303" s="848" t="s">
        <v>7909</v>
      </c>
      <c r="EA10303" s="848" t="s">
        <v>7909</v>
      </c>
      <c r="EB10303" s="848" t="s">
        <v>7909</v>
      </c>
      <c r="EC10303" s="848" t="s">
        <v>7909</v>
      </c>
      <c r="ED10303" s="848" t="s">
        <v>7909</v>
      </c>
      <c r="EE10303" s="848" t="s">
        <v>7909</v>
      </c>
      <c r="EF10303" s="848" t="s">
        <v>7909</v>
      </c>
      <c r="EG10303" s="848" t="s">
        <v>7909</v>
      </c>
      <c r="EH10303" s="848" t="s">
        <v>7909</v>
      </c>
      <c r="EI10303" s="848" t="s">
        <v>7909</v>
      </c>
      <c r="EJ10303" s="848" t="s">
        <v>7909</v>
      </c>
      <c r="EK10303" s="848" t="s">
        <v>7909</v>
      </c>
      <c r="EL10303" s="848" t="s">
        <v>7909</v>
      </c>
      <c r="EM10303" s="848" t="s">
        <v>7909</v>
      </c>
      <c r="EN10303" s="848" t="s">
        <v>7909</v>
      </c>
      <c r="EO10303" s="848" t="s">
        <v>7909</v>
      </c>
      <c r="EP10303" s="848" t="s">
        <v>7909</v>
      </c>
      <c r="EQ10303" s="848" t="s">
        <v>7909</v>
      </c>
      <c r="ER10303" s="848" t="s">
        <v>7909</v>
      </c>
      <c r="ES10303" s="848" t="s">
        <v>7909</v>
      </c>
    </row>
    <row r="10304" spans="1:149" ht="15" hidden="1" customHeight="1">
      <c r="A10304" s="841">
        <v>45646</v>
      </c>
      <c r="B10304" s="842" t="s">
        <v>8031</v>
      </c>
      <c r="C10304" s="843" t="s">
        <v>4783</v>
      </c>
      <c r="D10304" s="844">
        <v>-1788924</v>
      </c>
      <c r="E10304" s="845">
        <v>45627</v>
      </c>
      <c r="F10304" s="843" t="s">
        <v>130</v>
      </c>
      <c r="G10304" s="843" t="s">
        <v>130</v>
      </c>
      <c r="H10304" s="843" t="s">
        <v>2724</v>
      </c>
      <c r="I10304" s="843" t="s">
        <v>7909</v>
      </c>
      <c r="J10304" s="848" t="s">
        <v>7909</v>
      </c>
      <c r="K10304" s="848" t="s">
        <v>7909</v>
      </c>
      <c r="L10304" s="848" t="s">
        <v>7909</v>
      </c>
      <c r="M10304" s="848" t="s">
        <v>7909</v>
      </c>
      <c r="N10304" s="848" t="s">
        <v>7909</v>
      </c>
      <c r="O10304" s="848" t="s">
        <v>7909</v>
      </c>
      <c r="P10304" s="848" t="s">
        <v>7909</v>
      </c>
      <c r="Q10304" s="848" t="s">
        <v>7909</v>
      </c>
      <c r="R10304" s="848" t="s">
        <v>7909</v>
      </c>
      <c r="S10304" s="848" t="s">
        <v>7909</v>
      </c>
      <c r="T10304" s="848" t="s">
        <v>7909</v>
      </c>
      <c r="U10304" s="848" t="s">
        <v>7909</v>
      </c>
      <c r="V10304" s="848" t="s">
        <v>7909</v>
      </c>
      <c r="W10304" s="848" t="s">
        <v>7909</v>
      </c>
      <c r="X10304" s="848" t="s">
        <v>7909</v>
      </c>
      <c r="Y10304" s="848" t="s">
        <v>7909</v>
      </c>
      <c r="Z10304" s="848" t="s">
        <v>7909</v>
      </c>
      <c r="AA10304" s="848" t="s">
        <v>7909</v>
      </c>
      <c r="AB10304" s="848" t="s">
        <v>7909</v>
      </c>
      <c r="AC10304" s="848" t="s">
        <v>7909</v>
      </c>
      <c r="AD10304" s="848" t="s">
        <v>7909</v>
      </c>
      <c r="AE10304" s="848" t="s">
        <v>7909</v>
      </c>
      <c r="AF10304" s="848" t="s">
        <v>7909</v>
      </c>
      <c r="AG10304" s="848" t="s">
        <v>7909</v>
      </c>
      <c r="AH10304" s="848" t="s">
        <v>7909</v>
      </c>
      <c r="AI10304" s="848" t="s">
        <v>7909</v>
      </c>
      <c r="AJ10304" s="848" t="s">
        <v>7909</v>
      </c>
      <c r="AK10304" s="848" t="s">
        <v>7909</v>
      </c>
      <c r="AL10304" s="848" t="s">
        <v>7909</v>
      </c>
      <c r="AM10304" s="848" t="s">
        <v>7909</v>
      </c>
      <c r="AN10304" s="848" t="s">
        <v>7909</v>
      </c>
      <c r="AO10304" s="848" t="s">
        <v>7909</v>
      </c>
      <c r="AP10304" s="848" t="s">
        <v>7909</v>
      </c>
      <c r="AQ10304" s="848" t="s">
        <v>7909</v>
      </c>
      <c r="AR10304" s="848" t="s">
        <v>7909</v>
      </c>
      <c r="AS10304" s="848" t="s">
        <v>7909</v>
      </c>
      <c r="AT10304" s="848" t="s">
        <v>7909</v>
      </c>
      <c r="AU10304" s="848" t="s">
        <v>7909</v>
      </c>
      <c r="AV10304" s="848" t="s">
        <v>7909</v>
      </c>
      <c r="AW10304" s="848" t="s">
        <v>7909</v>
      </c>
      <c r="AX10304" s="848" t="s">
        <v>7909</v>
      </c>
      <c r="AY10304" s="848" t="s">
        <v>7909</v>
      </c>
      <c r="AZ10304" s="848" t="s">
        <v>7909</v>
      </c>
      <c r="BA10304" s="848" t="s">
        <v>7909</v>
      </c>
      <c r="BB10304" s="848" t="s">
        <v>7909</v>
      </c>
      <c r="BC10304" s="848" t="s">
        <v>7909</v>
      </c>
      <c r="BD10304" s="848" t="s">
        <v>7909</v>
      </c>
      <c r="BE10304" s="848" t="s">
        <v>7909</v>
      </c>
      <c r="BF10304" s="848" t="s">
        <v>7909</v>
      </c>
      <c r="BG10304" s="848" t="s">
        <v>7909</v>
      </c>
      <c r="BH10304" s="848" t="s">
        <v>7909</v>
      </c>
      <c r="BI10304" s="848" t="s">
        <v>7909</v>
      </c>
      <c r="BJ10304" s="848" t="s">
        <v>7909</v>
      </c>
      <c r="BK10304" s="848" t="s">
        <v>7909</v>
      </c>
      <c r="BL10304" s="848" t="s">
        <v>7909</v>
      </c>
      <c r="BM10304" s="848" t="s">
        <v>7909</v>
      </c>
      <c r="BN10304" s="848" t="s">
        <v>7909</v>
      </c>
      <c r="BO10304" s="848" t="s">
        <v>7909</v>
      </c>
      <c r="BP10304" s="848" t="s">
        <v>7909</v>
      </c>
      <c r="BQ10304" s="848" t="s">
        <v>7909</v>
      </c>
      <c r="BR10304" s="848" t="s">
        <v>7909</v>
      </c>
      <c r="BS10304" s="848" t="s">
        <v>7909</v>
      </c>
      <c r="BT10304" s="848" t="s">
        <v>7909</v>
      </c>
      <c r="BU10304" s="848" t="s">
        <v>7909</v>
      </c>
      <c r="BV10304" s="848" t="s">
        <v>7909</v>
      </c>
      <c r="BW10304" s="848" t="s">
        <v>7909</v>
      </c>
      <c r="BX10304" s="848" t="s">
        <v>7909</v>
      </c>
      <c r="BY10304" s="848" t="s">
        <v>7909</v>
      </c>
      <c r="BZ10304" s="848" t="s">
        <v>7909</v>
      </c>
      <c r="CA10304" s="848" t="s">
        <v>7909</v>
      </c>
      <c r="CB10304" s="848" t="s">
        <v>7909</v>
      </c>
      <c r="CC10304" s="848" t="s">
        <v>7909</v>
      </c>
      <c r="CD10304" s="848" t="s">
        <v>7909</v>
      </c>
      <c r="CE10304" s="848" t="s">
        <v>7909</v>
      </c>
      <c r="CF10304" s="848" t="s">
        <v>7909</v>
      </c>
      <c r="CG10304" s="848" t="s">
        <v>7909</v>
      </c>
      <c r="CH10304" s="848" t="s">
        <v>7909</v>
      </c>
      <c r="CI10304" s="848" t="s">
        <v>7909</v>
      </c>
      <c r="CJ10304" s="848" t="s">
        <v>7909</v>
      </c>
      <c r="CK10304" s="848" t="s">
        <v>7909</v>
      </c>
      <c r="CL10304" s="848" t="s">
        <v>7909</v>
      </c>
      <c r="CM10304" s="848" t="s">
        <v>7909</v>
      </c>
      <c r="CN10304" s="848" t="s">
        <v>7909</v>
      </c>
      <c r="CO10304" s="848" t="s">
        <v>7909</v>
      </c>
      <c r="CP10304" s="848" t="s">
        <v>7909</v>
      </c>
      <c r="CQ10304" s="848" t="s">
        <v>7909</v>
      </c>
      <c r="CR10304" s="848" t="s">
        <v>7909</v>
      </c>
      <c r="CS10304" s="848" t="s">
        <v>7909</v>
      </c>
      <c r="CT10304" s="848" t="s">
        <v>7909</v>
      </c>
      <c r="CU10304" s="848" t="s">
        <v>7909</v>
      </c>
      <c r="CV10304" s="848" t="s">
        <v>7909</v>
      </c>
      <c r="CW10304" s="848" t="s">
        <v>7909</v>
      </c>
      <c r="CX10304" s="848" t="s">
        <v>7909</v>
      </c>
      <c r="CY10304" s="848" t="s">
        <v>7909</v>
      </c>
      <c r="CZ10304" s="848" t="s">
        <v>7909</v>
      </c>
      <c r="DA10304" s="848" t="s">
        <v>7909</v>
      </c>
      <c r="DB10304" s="848" t="s">
        <v>7909</v>
      </c>
      <c r="DC10304" s="848" t="s">
        <v>7909</v>
      </c>
      <c r="DD10304" s="848" t="s">
        <v>7909</v>
      </c>
      <c r="DE10304" s="848" t="s">
        <v>7909</v>
      </c>
      <c r="DF10304" s="848" t="s">
        <v>7909</v>
      </c>
      <c r="DG10304" s="848" t="s">
        <v>7909</v>
      </c>
      <c r="DH10304" s="848" t="s">
        <v>7909</v>
      </c>
      <c r="DI10304" s="848" t="s">
        <v>7909</v>
      </c>
      <c r="DJ10304" s="848" t="s">
        <v>7909</v>
      </c>
      <c r="DK10304" s="848" t="s">
        <v>7909</v>
      </c>
      <c r="DL10304" s="848" t="s">
        <v>7909</v>
      </c>
      <c r="DM10304" s="848" t="s">
        <v>7909</v>
      </c>
      <c r="DN10304" s="848" t="s">
        <v>7909</v>
      </c>
      <c r="DO10304" s="848" t="s">
        <v>7909</v>
      </c>
      <c r="DP10304" s="848" t="s">
        <v>7909</v>
      </c>
      <c r="DQ10304" s="848" t="s">
        <v>7909</v>
      </c>
      <c r="DR10304" s="848" t="s">
        <v>7909</v>
      </c>
      <c r="DS10304" s="848" t="s">
        <v>7909</v>
      </c>
      <c r="DT10304" s="848" t="s">
        <v>7909</v>
      </c>
      <c r="DU10304" s="848" t="s">
        <v>7909</v>
      </c>
      <c r="DV10304" s="848" t="s">
        <v>7909</v>
      </c>
      <c r="DW10304" s="848" t="s">
        <v>7909</v>
      </c>
      <c r="DX10304" s="848" t="s">
        <v>7909</v>
      </c>
      <c r="DY10304" s="848" t="s">
        <v>7909</v>
      </c>
      <c r="DZ10304" s="848" t="s">
        <v>7909</v>
      </c>
      <c r="EA10304" s="848" t="s">
        <v>7909</v>
      </c>
      <c r="EB10304" s="848" t="s">
        <v>7909</v>
      </c>
      <c r="EC10304" s="848" t="s">
        <v>7909</v>
      </c>
      <c r="ED10304" s="848" t="s">
        <v>7909</v>
      </c>
      <c r="EE10304" s="848" t="s">
        <v>7909</v>
      </c>
      <c r="EF10304" s="848" t="s">
        <v>7909</v>
      </c>
      <c r="EG10304" s="848" t="s">
        <v>7909</v>
      </c>
      <c r="EH10304" s="848" t="s">
        <v>7909</v>
      </c>
      <c r="EI10304" s="848" t="s">
        <v>7909</v>
      </c>
      <c r="EJ10304" s="848" t="s">
        <v>7909</v>
      </c>
      <c r="EK10304" s="848" t="s">
        <v>7909</v>
      </c>
      <c r="EL10304" s="848" t="s">
        <v>7909</v>
      </c>
      <c r="EM10304" s="848" t="s">
        <v>7909</v>
      </c>
      <c r="EN10304" s="848" t="s">
        <v>7909</v>
      </c>
      <c r="EO10304" s="848" t="s">
        <v>7909</v>
      </c>
      <c r="EP10304" s="848" t="s">
        <v>7909</v>
      </c>
      <c r="EQ10304" s="848" t="s">
        <v>7909</v>
      </c>
      <c r="ER10304" s="848" t="s">
        <v>7909</v>
      </c>
      <c r="ES10304" s="848" t="s">
        <v>7909</v>
      </c>
    </row>
    <row r="10305" spans="1:149" ht="15" hidden="1" customHeight="1">
      <c r="A10305" s="841">
        <v>45646</v>
      </c>
      <c r="B10305" s="842" t="s">
        <v>8032</v>
      </c>
      <c r="C10305" s="843" t="s">
        <v>4783</v>
      </c>
      <c r="D10305" s="844">
        <v>-147600</v>
      </c>
      <c r="E10305" s="845">
        <v>45627</v>
      </c>
      <c r="F10305" s="843" t="s">
        <v>109</v>
      </c>
      <c r="G10305" s="843" t="s">
        <v>4986</v>
      </c>
      <c r="H10305" s="843" t="s">
        <v>416</v>
      </c>
      <c r="I10305" s="843" t="s">
        <v>7909</v>
      </c>
      <c r="J10305" s="848" t="s">
        <v>7909</v>
      </c>
      <c r="K10305" s="848" t="s">
        <v>7909</v>
      </c>
      <c r="L10305" s="848" t="s">
        <v>7909</v>
      </c>
      <c r="M10305" s="848" t="s">
        <v>7909</v>
      </c>
      <c r="N10305" s="848" t="s">
        <v>7909</v>
      </c>
      <c r="O10305" s="848" t="s">
        <v>7909</v>
      </c>
      <c r="P10305" s="848" t="s">
        <v>7909</v>
      </c>
      <c r="Q10305" s="848" t="s">
        <v>7909</v>
      </c>
      <c r="R10305" s="848" t="s">
        <v>7909</v>
      </c>
      <c r="S10305" s="848" t="s">
        <v>7909</v>
      </c>
      <c r="T10305" s="848" t="s">
        <v>7909</v>
      </c>
      <c r="U10305" s="848" t="s">
        <v>7909</v>
      </c>
      <c r="V10305" s="848" t="s">
        <v>7909</v>
      </c>
      <c r="W10305" s="848" t="s">
        <v>7909</v>
      </c>
      <c r="X10305" s="848" t="s">
        <v>7909</v>
      </c>
      <c r="Y10305" s="848" t="s">
        <v>7909</v>
      </c>
      <c r="Z10305" s="848" t="s">
        <v>7909</v>
      </c>
      <c r="AA10305" s="848" t="s">
        <v>7909</v>
      </c>
      <c r="AB10305" s="848" t="s">
        <v>7909</v>
      </c>
      <c r="AC10305" s="848" t="s">
        <v>7909</v>
      </c>
      <c r="AD10305" s="848" t="s">
        <v>7909</v>
      </c>
      <c r="AE10305" s="848" t="s">
        <v>7909</v>
      </c>
      <c r="AF10305" s="848" t="s">
        <v>7909</v>
      </c>
      <c r="AG10305" s="848" t="s">
        <v>7909</v>
      </c>
      <c r="AH10305" s="848" t="s">
        <v>7909</v>
      </c>
      <c r="AI10305" s="848" t="s">
        <v>7909</v>
      </c>
      <c r="AJ10305" s="848" t="s">
        <v>7909</v>
      </c>
      <c r="AK10305" s="848" t="s">
        <v>7909</v>
      </c>
      <c r="AL10305" s="848" t="s">
        <v>7909</v>
      </c>
      <c r="AM10305" s="848" t="s">
        <v>7909</v>
      </c>
      <c r="AN10305" s="848" t="s">
        <v>7909</v>
      </c>
      <c r="AO10305" s="848" t="s">
        <v>7909</v>
      </c>
      <c r="AP10305" s="848" t="s">
        <v>7909</v>
      </c>
      <c r="AQ10305" s="848" t="s">
        <v>7909</v>
      </c>
      <c r="AR10305" s="848" t="s">
        <v>7909</v>
      </c>
      <c r="AS10305" s="848" t="s">
        <v>7909</v>
      </c>
      <c r="AT10305" s="848" t="s">
        <v>7909</v>
      </c>
      <c r="AU10305" s="848" t="s">
        <v>7909</v>
      </c>
      <c r="AV10305" s="848" t="s">
        <v>7909</v>
      </c>
      <c r="AW10305" s="848" t="s">
        <v>7909</v>
      </c>
      <c r="AX10305" s="848" t="s">
        <v>7909</v>
      </c>
      <c r="AY10305" s="848" t="s">
        <v>7909</v>
      </c>
      <c r="AZ10305" s="848" t="s">
        <v>7909</v>
      </c>
      <c r="BA10305" s="848" t="s">
        <v>7909</v>
      </c>
      <c r="BB10305" s="848" t="s">
        <v>7909</v>
      </c>
      <c r="BC10305" s="848" t="s">
        <v>7909</v>
      </c>
      <c r="BD10305" s="848" t="s">
        <v>7909</v>
      </c>
      <c r="BE10305" s="848" t="s">
        <v>7909</v>
      </c>
      <c r="BF10305" s="848" t="s">
        <v>7909</v>
      </c>
      <c r="BG10305" s="848" t="s">
        <v>7909</v>
      </c>
      <c r="BH10305" s="848" t="s">
        <v>7909</v>
      </c>
      <c r="BI10305" s="848" t="s">
        <v>7909</v>
      </c>
      <c r="BJ10305" s="848" t="s">
        <v>7909</v>
      </c>
      <c r="BK10305" s="848" t="s">
        <v>7909</v>
      </c>
      <c r="BL10305" s="848" t="s">
        <v>7909</v>
      </c>
      <c r="BM10305" s="848" t="s">
        <v>7909</v>
      </c>
      <c r="BN10305" s="848" t="s">
        <v>7909</v>
      </c>
      <c r="BO10305" s="848" t="s">
        <v>7909</v>
      </c>
      <c r="BP10305" s="848" t="s">
        <v>7909</v>
      </c>
      <c r="BQ10305" s="848" t="s">
        <v>7909</v>
      </c>
      <c r="BR10305" s="848" t="s">
        <v>7909</v>
      </c>
      <c r="BS10305" s="848" t="s">
        <v>7909</v>
      </c>
      <c r="BT10305" s="848" t="s">
        <v>7909</v>
      </c>
      <c r="BU10305" s="848" t="s">
        <v>7909</v>
      </c>
      <c r="BV10305" s="848" t="s">
        <v>7909</v>
      </c>
      <c r="BW10305" s="848" t="s">
        <v>7909</v>
      </c>
      <c r="BX10305" s="848" t="s">
        <v>7909</v>
      </c>
      <c r="BY10305" s="848" t="s">
        <v>7909</v>
      </c>
      <c r="BZ10305" s="848" t="s">
        <v>7909</v>
      </c>
      <c r="CA10305" s="848" t="s">
        <v>7909</v>
      </c>
      <c r="CB10305" s="848" t="s">
        <v>7909</v>
      </c>
      <c r="CC10305" s="848" t="s">
        <v>7909</v>
      </c>
      <c r="CD10305" s="848" t="s">
        <v>7909</v>
      </c>
      <c r="CE10305" s="848" t="s">
        <v>7909</v>
      </c>
      <c r="CF10305" s="848" t="s">
        <v>7909</v>
      </c>
      <c r="CG10305" s="848" t="s">
        <v>7909</v>
      </c>
      <c r="CH10305" s="848" t="s">
        <v>7909</v>
      </c>
      <c r="CI10305" s="848" t="s">
        <v>7909</v>
      </c>
      <c r="CJ10305" s="848" t="s">
        <v>7909</v>
      </c>
      <c r="CK10305" s="848" t="s">
        <v>7909</v>
      </c>
      <c r="CL10305" s="848" t="s">
        <v>7909</v>
      </c>
      <c r="CM10305" s="848" t="s">
        <v>7909</v>
      </c>
      <c r="CN10305" s="848" t="s">
        <v>7909</v>
      </c>
      <c r="CO10305" s="848" t="s">
        <v>7909</v>
      </c>
      <c r="CP10305" s="848" t="s">
        <v>7909</v>
      </c>
      <c r="CQ10305" s="848" t="s">
        <v>7909</v>
      </c>
      <c r="CR10305" s="848" t="s">
        <v>7909</v>
      </c>
      <c r="CS10305" s="848" t="s">
        <v>7909</v>
      </c>
      <c r="CT10305" s="848" t="s">
        <v>7909</v>
      </c>
      <c r="CU10305" s="848" t="s">
        <v>7909</v>
      </c>
      <c r="CV10305" s="848" t="s">
        <v>7909</v>
      </c>
      <c r="CW10305" s="848" t="s">
        <v>7909</v>
      </c>
      <c r="CX10305" s="848" t="s">
        <v>7909</v>
      </c>
      <c r="CY10305" s="848" t="s">
        <v>7909</v>
      </c>
      <c r="CZ10305" s="848" t="s">
        <v>7909</v>
      </c>
      <c r="DA10305" s="848" t="s">
        <v>7909</v>
      </c>
      <c r="DB10305" s="848" t="s">
        <v>7909</v>
      </c>
      <c r="DC10305" s="848" t="s">
        <v>7909</v>
      </c>
      <c r="DD10305" s="848" t="s">
        <v>7909</v>
      </c>
      <c r="DE10305" s="848" t="s">
        <v>7909</v>
      </c>
      <c r="DF10305" s="848" t="s">
        <v>7909</v>
      </c>
      <c r="DG10305" s="848" t="s">
        <v>7909</v>
      </c>
      <c r="DH10305" s="848" t="s">
        <v>7909</v>
      </c>
      <c r="DI10305" s="848" t="s">
        <v>7909</v>
      </c>
      <c r="DJ10305" s="848" t="s">
        <v>7909</v>
      </c>
      <c r="DK10305" s="848" t="s">
        <v>7909</v>
      </c>
      <c r="DL10305" s="848" t="s">
        <v>7909</v>
      </c>
      <c r="DM10305" s="848" t="s">
        <v>7909</v>
      </c>
      <c r="DN10305" s="848" t="s">
        <v>7909</v>
      </c>
      <c r="DO10305" s="848" t="s">
        <v>7909</v>
      </c>
      <c r="DP10305" s="848" t="s">
        <v>7909</v>
      </c>
      <c r="DQ10305" s="848" t="s">
        <v>7909</v>
      </c>
      <c r="DR10305" s="848" t="s">
        <v>7909</v>
      </c>
      <c r="DS10305" s="848" t="s">
        <v>7909</v>
      </c>
      <c r="DT10305" s="848" t="s">
        <v>7909</v>
      </c>
      <c r="DU10305" s="848" t="s">
        <v>7909</v>
      </c>
      <c r="DV10305" s="848" t="s">
        <v>7909</v>
      </c>
      <c r="DW10305" s="848" t="s">
        <v>7909</v>
      </c>
      <c r="DX10305" s="848" t="s">
        <v>7909</v>
      </c>
      <c r="DY10305" s="848" t="s">
        <v>7909</v>
      </c>
      <c r="DZ10305" s="848" t="s">
        <v>7909</v>
      </c>
      <c r="EA10305" s="848" t="s">
        <v>7909</v>
      </c>
      <c r="EB10305" s="848" t="s">
        <v>7909</v>
      </c>
      <c r="EC10305" s="848" t="s">
        <v>7909</v>
      </c>
      <c r="ED10305" s="848" t="s">
        <v>7909</v>
      </c>
      <c r="EE10305" s="848" t="s">
        <v>7909</v>
      </c>
      <c r="EF10305" s="848" t="s">
        <v>7909</v>
      </c>
      <c r="EG10305" s="848" t="s">
        <v>7909</v>
      </c>
      <c r="EH10305" s="848" t="s">
        <v>7909</v>
      </c>
      <c r="EI10305" s="848" t="s">
        <v>7909</v>
      </c>
      <c r="EJ10305" s="848" t="s">
        <v>7909</v>
      </c>
      <c r="EK10305" s="848" t="s">
        <v>7909</v>
      </c>
      <c r="EL10305" s="848" t="s">
        <v>7909</v>
      </c>
      <c r="EM10305" s="848" t="s">
        <v>7909</v>
      </c>
      <c r="EN10305" s="848" t="s">
        <v>7909</v>
      </c>
      <c r="EO10305" s="848" t="s">
        <v>7909</v>
      </c>
      <c r="EP10305" s="848" t="s">
        <v>7909</v>
      </c>
      <c r="EQ10305" s="848" t="s">
        <v>7909</v>
      </c>
      <c r="ER10305" s="848" t="s">
        <v>7909</v>
      </c>
      <c r="ES10305" s="848" t="s">
        <v>7909</v>
      </c>
    </row>
    <row r="10306" spans="1:149" ht="15" hidden="1" customHeight="1">
      <c r="A10306" s="841">
        <v>45646</v>
      </c>
      <c r="B10306" s="842" t="s">
        <v>8033</v>
      </c>
      <c r="C10306" s="843" t="s">
        <v>4783</v>
      </c>
      <c r="D10306" s="844">
        <v>-49200</v>
      </c>
      <c r="E10306" s="845">
        <v>45627</v>
      </c>
      <c r="F10306" s="843" t="s">
        <v>109</v>
      </c>
      <c r="G10306" s="843" t="s">
        <v>6994</v>
      </c>
      <c r="H10306" s="843" t="s">
        <v>7648</v>
      </c>
      <c r="I10306" s="843" t="s">
        <v>7909</v>
      </c>
      <c r="J10306" s="848" t="s">
        <v>7909</v>
      </c>
      <c r="K10306" s="848" t="s">
        <v>7909</v>
      </c>
      <c r="L10306" s="848" t="s">
        <v>7909</v>
      </c>
      <c r="M10306" s="848" t="s">
        <v>7909</v>
      </c>
      <c r="N10306" s="848" t="s">
        <v>7909</v>
      </c>
      <c r="O10306" s="848" t="s">
        <v>7909</v>
      </c>
      <c r="P10306" s="848" t="s">
        <v>7909</v>
      </c>
      <c r="Q10306" s="848" t="s">
        <v>7909</v>
      </c>
      <c r="R10306" s="848" t="s">
        <v>7909</v>
      </c>
      <c r="S10306" s="848" t="s">
        <v>7909</v>
      </c>
      <c r="T10306" s="848" t="s">
        <v>7909</v>
      </c>
      <c r="U10306" s="848" t="s">
        <v>7909</v>
      </c>
      <c r="V10306" s="848" t="s">
        <v>7909</v>
      </c>
      <c r="W10306" s="848" t="s">
        <v>7909</v>
      </c>
      <c r="X10306" s="848" t="s">
        <v>7909</v>
      </c>
      <c r="Y10306" s="848" t="s">
        <v>7909</v>
      </c>
      <c r="Z10306" s="848" t="s">
        <v>7909</v>
      </c>
      <c r="AA10306" s="848" t="s">
        <v>7909</v>
      </c>
      <c r="AB10306" s="848" t="s">
        <v>7909</v>
      </c>
      <c r="AC10306" s="848" t="s">
        <v>7909</v>
      </c>
      <c r="AD10306" s="848" t="s">
        <v>7909</v>
      </c>
      <c r="AE10306" s="848" t="s">
        <v>7909</v>
      </c>
      <c r="AF10306" s="848" t="s">
        <v>7909</v>
      </c>
      <c r="AG10306" s="848" t="s">
        <v>7909</v>
      </c>
      <c r="AH10306" s="848" t="s">
        <v>7909</v>
      </c>
      <c r="AI10306" s="848" t="s">
        <v>7909</v>
      </c>
      <c r="AJ10306" s="848" t="s">
        <v>7909</v>
      </c>
      <c r="AK10306" s="848" t="s">
        <v>7909</v>
      </c>
      <c r="AL10306" s="848" t="s">
        <v>7909</v>
      </c>
      <c r="AM10306" s="848" t="s">
        <v>7909</v>
      </c>
      <c r="AN10306" s="848" t="s">
        <v>7909</v>
      </c>
      <c r="AO10306" s="848" t="s">
        <v>7909</v>
      </c>
      <c r="AP10306" s="848" t="s">
        <v>7909</v>
      </c>
      <c r="AQ10306" s="848" t="s">
        <v>7909</v>
      </c>
      <c r="AR10306" s="848" t="s">
        <v>7909</v>
      </c>
      <c r="AS10306" s="848" t="s">
        <v>7909</v>
      </c>
      <c r="AT10306" s="848" t="s">
        <v>7909</v>
      </c>
      <c r="AU10306" s="848" t="s">
        <v>7909</v>
      </c>
      <c r="AV10306" s="848" t="s">
        <v>7909</v>
      </c>
      <c r="AW10306" s="848" t="s">
        <v>7909</v>
      </c>
      <c r="AX10306" s="848" t="s">
        <v>7909</v>
      </c>
      <c r="AY10306" s="848" t="s">
        <v>7909</v>
      </c>
      <c r="AZ10306" s="848" t="s">
        <v>7909</v>
      </c>
      <c r="BA10306" s="848" t="s">
        <v>7909</v>
      </c>
      <c r="BB10306" s="848" t="s">
        <v>7909</v>
      </c>
      <c r="BC10306" s="848" t="s">
        <v>7909</v>
      </c>
      <c r="BD10306" s="848" t="s">
        <v>7909</v>
      </c>
      <c r="BE10306" s="848" t="s">
        <v>7909</v>
      </c>
      <c r="BF10306" s="848" t="s">
        <v>7909</v>
      </c>
      <c r="BG10306" s="848" t="s">
        <v>7909</v>
      </c>
      <c r="BH10306" s="848" t="s">
        <v>7909</v>
      </c>
      <c r="BI10306" s="848" t="s">
        <v>7909</v>
      </c>
      <c r="BJ10306" s="848" t="s">
        <v>7909</v>
      </c>
      <c r="BK10306" s="848" t="s">
        <v>7909</v>
      </c>
      <c r="BL10306" s="848" t="s">
        <v>7909</v>
      </c>
      <c r="BM10306" s="848" t="s">
        <v>7909</v>
      </c>
      <c r="BN10306" s="848" t="s">
        <v>7909</v>
      </c>
      <c r="BO10306" s="848" t="s">
        <v>7909</v>
      </c>
      <c r="BP10306" s="848" t="s">
        <v>7909</v>
      </c>
      <c r="BQ10306" s="848" t="s">
        <v>7909</v>
      </c>
      <c r="BR10306" s="848" t="s">
        <v>7909</v>
      </c>
      <c r="BS10306" s="848" t="s">
        <v>7909</v>
      </c>
      <c r="BT10306" s="848" t="s">
        <v>7909</v>
      </c>
      <c r="BU10306" s="848" t="s">
        <v>7909</v>
      </c>
      <c r="BV10306" s="848" t="s">
        <v>7909</v>
      </c>
      <c r="BW10306" s="848" t="s">
        <v>7909</v>
      </c>
      <c r="BX10306" s="848" t="s">
        <v>7909</v>
      </c>
      <c r="BY10306" s="848" t="s">
        <v>7909</v>
      </c>
      <c r="BZ10306" s="848" t="s">
        <v>7909</v>
      </c>
      <c r="CA10306" s="848" t="s">
        <v>7909</v>
      </c>
      <c r="CB10306" s="848" t="s">
        <v>7909</v>
      </c>
      <c r="CC10306" s="848" t="s">
        <v>7909</v>
      </c>
      <c r="CD10306" s="848" t="s">
        <v>7909</v>
      </c>
      <c r="CE10306" s="848" t="s">
        <v>7909</v>
      </c>
      <c r="CF10306" s="848" t="s">
        <v>7909</v>
      </c>
      <c r="CG10306" s="848" t="s">
        <v>7909</v>
      </c>
      <c r="CH10306" s="848" t="s">
        <v>7909</v>
      </c>
      <c r="CI10306" s="848" t="s">
        <v>7909</v>
      </c>
      <c r="CJ10306" s="848" t="s">
        <v>7909</v>
      </c>
      <c r="CK10306" s="848" t="s">
        <v>7909</v>
      </c>
      <c r="CL10306" s="848" t="s">
        <v>7909</v>
      </c>
      <c r="CM10306" s="848" t="s">
        <v>7909</v>
      </c>
      <c r="CN10306" s="848" t="s">
        <v>7909</v>
      </c>
      <c r="CO10306" s="848" t="s">
        <v>7909</v>
      </c>
      <c r="CP10306" s="848" t="s">
        <v>7909</v>
      </c>
      <c r="CQ10306" s="848" t="s">
        <v>7909</v>
      </c>
      <c r="CR10306" s="848" t="s">
        <v>7909</v>
      </c>
      <c r="CS10306" s="848" t="s">
        <v>7909</v>
      </c>
      <c r="CT10306" s="848" t="s">
        <v>7909</v>
      </c>
      <c r="CU10306" s="848" t="s">
        <v>7909</v>
      </c>
      <c r="CV10306" s="848" t="s">
        <v>7909</v>
      </c>
      <c r="CW10306" s="848" t="s">
        <v>7909</v>
      </c>
      <c r="CX10306" s="848" t="s">
        <v>7909</v>
      </c>
      <c r="CY10306" s="848" t="s">
        <v>7909</v>
      </c>
      <c r="CZ10306" s="848" t="s">
        <v>7909</v>
      </c>
      <c r="DA10306" s="848" t="s">
        <v>7909</v>
      </c>
      <c r="DB10306" s="848" t="s">
        <v>7909</v>
      </c>
      <c r="DC10306" s="848" t="s">
        <v>7909</v>
      </c>
      <c r="DD10306" s="848" t="s">
        <v>7909</v>
      </c>
      <c r="DE10306" s="848" t="s">
        <v>7909</v>
      </c>
      <c r="DF10306" s="848" t="s">
        <v>7909</v>
      </c>
      <c r="DG10306" s="848" t="s">
        <v>7909</v>
      </c>
      <c r="DH10306" s="848" t="s">
        <v>7909</v>
      </c>
      <c r="DI10306" s="848" t="s">
        <v>7909</v>
      </c>
      <c r="DJ10306" s="848" t="s">
        <v>7909</v>
      </c>
      <c r="DK10306" s="848" t="s">
        <v>7909</v>
      </c>
      <c r="DL10306" s="848" t="s">
        <v>7909</v>
      </c>
      <c r="DM10306" s="848" t="s">
        <v>7909</v>
      </c>
      <c r="DN10306" s="848" t="s">
        <v>7909</v>
      </c>
      <c r="DO10306" s="848" t="s">
        <v>7909</v>
      </c>
      <c r="DP10306" s="848" t="s">
        <v>7909</v>
      </c>
      <c r="DQ10306" s="848" t="s">
        <v>7909</v>
      </c>
      <c r="DR10306" s="848" t="s">
        <v>7909</v>
      </c>
      <c r="DS10306" s="848" t="s">
        <v>7909</v>
      </c>
      <c r="DT10306" s="848" t="s">
        <v>7909</v>
      </c>
      <c r="DU10306" s="848" t="s">
        <v>7909</v>
      </c>
      <c r="DV10306" s="848" t="s">
        <v>7909</v>
      </c>
      <c r="DW10306" s="848" t="s">
        <v>7909</v>
      </c>
      <c r="DX10306" s="848" t="s">
        <v>7909</v>
      </c>
      <c r="DY10306" s="848" t="s">
        <v>7909</v>
      </c>
      <c r="DZ10306" s="848" t="s">
        <v>7909</v>
      </c>
      <c r="EA10306" s="848" t="s">
        <v>7909</v>
      </c>
      <c r="EB10306" s="848" t="s">
        <v>7909</v>
      </c>
      <c r="EC10306" s="848" t="s">
        <v>7909</v>
      </c>
      <c r="ED10306" s="848" t="s">
        <v>7909</v>
      </c>
      <c r="EE10306" s="848" t="s">
        <v>7909</v>
      </c>
      <c r="EF10306" s="848" t="s">
        <v>7909</v>
      </c>
      <c r="EG10306" s="848" t="s">
        <v>7909</v>
      </c>
      <c r="EH10306" s="848" t="s">
        <v>7909</v>
      </c>
      <c r="EI10306" s="848" t="s">
        <v>7909</v>
      </c>
      <c r="EJ10306" s="848" t="s">
        <v>7909</v>
      </c>
      <c r="EK10306" s="848" t="s">
        <v>7909</v>
      </c>
      <c r="EL10306" s="848" t="s">
        <v>7909</v>
      </c>
      <c r="EM10306" s="848" t="s">
        <v>7909</v>
      </c>
      <c r="EN10306" s="848" t="s">
        <v>7909</v>
      </c>
      <c r="EO10306" s="848" t="s">
        <v>7909</v>
      </c>
      <c r="EP10306" s="848" t="s">
        <v>7909</v>
      </c>
      <c r="EQ10306" s="848" t="s">
        <v>7909</v>
      </c>
      <c r="ER10306" s="848" t="s">
        <v>7909</v>
      </c>
      <c r="ES10306" s="848" t="s">
        <v>7909</v>
      </c>
    </row>
    <row r="10307" spans="1:149" ht="15" hidden="1" customHeight="1">
      <c r="A10307" s="841">
        <v>45646</v>
      </c>
      <c r="B10307" s="842" t="s">
        <v>8034</v>
      </c>
      <c r="C10307" s="843" t="s">
        <v>4783</v>
      </c>
      <c r="D10307" s="844">
        <v>-49200</v>
      </c>
      <c r="E10307" s="845">
        <v>45627</v>
      </c>
      <c r="F10307" s="843" t="s">
        <v>109</v>
      </c>
      <c r="G10307" s="843" t="s">
        <v>120</v>
      </c>
      <c r="H10307" s="843" t="s">
        <v>7648</v>
      </c>
      <c r="I10307" s="843" t="s">
        <v>7909</v>
      </c>
      <c r="J10307" s="848" t="s">
        <v>7909</v>
      </c>
      <c r="K10307" s="848" t="s">
        <v>7909</v>
      </c>
      <c r="L10307" s="848" t="s">
        <v>7909</v>
      </c>
      <c r="M10307" s="848" t="s">
        <v>7909</v>
      </c>
      <c r="N10307" s="848" t="s">
        <v>7909</v>
      </c>
      <c r="O10307" s="848" t="s">
        <v>7909</v>
      </c>
      <c r="P10307" s="848" t="s">
        <v>7909</v>
      </c>
      <c r="Q10307" s="848" t="s">
        <v>7909</v>
      </c>
      <c r="R10307" s="848" t="s">
        <v>7909</v>
      </c>
      <c r="S10307" s="848" t="s">
        <v>7909</v>
      </c>
      <c r="T10307" s="848" t="s">
        <v>7909</v>
      </c>
      <c r="U10307" s="848" t="s">
        <v>7909</v>
      </c>
      <c r="V10307" s="848" t="s">
        <v>7909</v>
      </c>
      <c r="W10307" s="848" t="s">
        <v>7909</v>
      </c>
      <c r="X10307" s="848" t="s">
        <v>7909</v>
      </c>
      <c r="Y10307" s="848" t="s">
        <v>7909</v>
      </c>
      <c r="Z10307" s="848" t="s">
        <v>7909</v>
      </c>
      <c r="AA10307" s="848" t="s">
        <v>7909</v>
      </c>
      <c r="AB10307" s="848" t="s">
        <v>7909</v>
      </c>
      <c r="AC10307" s="848" t="s">
        <v>7909</v>
      </c>
      <c r="AD10307" s="848" t="s">
        <v>7909</v>
      </c>
      <c r="AE10307" s="848" t="s">
        <v>7909</v>
      </c>
      <c r="AF10307" s="848" t="s">
        <v>7909</v>
      </c>
      <c r="AG10307" s="848" t="s">
        <v>7909</v>
      </c>
      <c r="AH10307" s="848" t="s">
        <v>7909</v>
      </c>
      <c r="AI10307" s="848" t="s">
        <v>7909</v>
      </c>
      <c r="AJ10307" s="848" t="s">
        <v>7909</v>
      </c>
      <c r="AK10307" s="848" t="s">
        <v>7909</v>
      </c>
      <c r="AL10307" s="848" t="s">
        <v>7909</v>
      </c>
      <c r="AM10307" s="848" t="s">
        <v>7909</v>
      </c>
      <c r="AN10307" s="848" t="s">
        <v>7909</v>
      </c>
      <c r="AO10307" s="848" t="s">
        <v>7909</v>
      </c>
      <c r="AP10307" s="848" t="s">
        <v>7909</v>
      </c>
      <c r="AQ10307" s="848" t="s">
        <v>7909</v>
      </c>
      <c r="AR10307" s="848" t="s">
        <v>7909</v>
      </c>
      <c r="AS10307" s="848" t="s">
        <v>7909</v>
      </c>
      <c r="AT10307" s="848" t="s">
        <v>7909</v>
      </c>
      <c r="AU10307" s="848" t="s">
        <v>7909</v>
      </c>
      <c r="AV10307" s="848" t="s">
        <v>7909</v>
      </c>
      <c r="AW10307" s="848" t="s">
        <v>7909</v>
      </c>
      <c r="AX10307" s="848" t="s">
        <v>7909</v>
      </c>
      <c r="AY10307" s="848" t="s">
        <v>7909</v>
      </c>
      <c r="AZ10307" s="848" t="s">
        <v>7909</v>
      </c>
      <c r="BA10307" s="848" t="s">
        <v>7909</v>
      </c>
      <c r="BB10307" s="848" t="s">
        <v>7909</v>
      </c>
      <c r="BC10307" s="848" t="s">
        <v>7909</v>
      </c>
      <c r="BD10307" s="848" t="s">
        <v>7909</v>
      </c>
      <c r="BE10307" s="848" t="s">
        <v>7909</v>
      </c>
      <c r="BF10307" s="848" t="s">
        <v>7909</v>
      </c>
      <c r="BG10307" s="848" t="s">
        <v>7909</v>
      </c>
      <c r="BH10307" s="848" t="s">
        <v>7909</v>
      </c>
      <c r="BI10307" s="848" t="s">
        <v>7909</v>
      </c>
      <c r="BJ10307" s="848" t="s">
        <v>7909</v>
      </c>
      <c r="BK10307" s="848" t="s">
        <v>7909</v>
      </c>
      <c r="BL10307" s="848" t="s">
        <v>7909</v>
      </c>
      <c r="BM10307" s="848" t="s">
        <v>7909</v>
      </c>
      <c r="BN10307" s="848" t="s">
        <v>7909</v>
      </c>
      <c r="BO10307" s="848" t="s">
        <v>7909</v>
      </c>
      <c r="BP10307" s="848" t="s">
        <v>7909</v>
      </c>
      <c r="BQ10307" s="848" t="s">
        <v>7909</v>
      </c>
      <c r="BR10307" s="848" t="s">
        <v>7909</v>
      </c>
      <c r="BS10307" s="848" t="s">
        <v>7909</v>
      </c>
      <c r="BT10307" s="848" t="s">
        <v>7909</v>
      </c>
      <c r="BU10307" s="848" t="s">
        <v>7909</v>
      </c>
      <c r="BV10307" s="848" t="s">
        <v>7909</v>
      </c>
      <c r="BW10307" s="848" t="s">
        <v>7909</v>
      </c>
      <c r="BX10307" s="848" t="s">
        <v>7909</v>
      </c>
      <c r="BY10307" s="848" t="s">
        <v>7909</v>
      </c>
      <c r="BZ10307" s="848" t="s">
        <v>7909</v>
      </c>
      <c r="CA10307" s="848" t="s">
        <v>7909</v>
      </c>
      <c r="CB10307" s="848" t="s">
        <v>7909</v>
      </c>
      <c r="CC10307" s="848" t="s">
        <v>7909</v>
      </c>
      <c r="CD10307" s="848" t="s">
        <v>7909</v>
      </c>
      <c r="CE10307" s="848" t="s">
        <v>7909</v>
      </c>
      <c r="CF10307" s="848" t="s">
        <v>7909</v>
      </c>
      <c r="CG10307" s="848" t="s">
        <v>7909</v>
      </c>
      <c r="CH10307" s="848" t="s">
        <v>7909</v>
      </c>
      <c r="CI10307" s="848" t="s">
        <v>7909</v>
      </c>
      <c r="CJ10307" s="848" t="s">
        <v>7909</v>
      </c>
      <c r="CK10307" s="848" t="s">
        <v>7909</v>
      </c>
      <c r="CL10307" s="848" t="s">
        <v>7909</v>
      </c>
      <c r="CM10307" s="848" t="s">
        <v>7909</v>
      </c>
      <c r="CN10307" s="848" t="s">
        <v>7909</v>
      </c>
      <c r="CO10307" s="848" t="s">
        <v>7909</v>
      </c>
      <c r="CP10307" s="848" t="s">
        <v>7909</v>
      </c>
      <c r="CQ10307" s="848" t="s">
        <v>7909</v>
      </c>
      <c r="CR10307" s="848" t="s">
        <v>7909</v>
      </c>
      <c r="CS10307" s="848" t="s">
        <v>7909</v>
      </c>
      <c r="CT10307" s="848" t="s">
        <v>7909</v>
      </c>
      <c r="CU10307" s="848" t="s">
        <v>7909</v>
      </c>
      <c r="CV10307" s="848" t="s">
        <v>7909</v>
      </c>
      <c r="CW10307" s="848" t="s">
        <v>7909</v>
      </c>
      <c r="CX10307" s="848" t="s">
        <v>7909</v>
      </c>
      <c r="CY10307" s="848" t="s">
        <v>7909</v>
      </c>
      <c r="CZ10307" s="848" t="s">
        <v>7909</v>
      </c>
      <c r="DA10307" s="848" t="s">
        <v>7909</v>
      </c>
      <c r="DB10307" s="848" t="s">
        <v>7909</v>
      </c>
      <c r="DC10307" s="848" t="s">
        <v>7909</v>
      </c>
      <c r="DD10307" s="848" t="s">
        <v>7909</v>
      </c>
      <c r="DE10307" s="848" t="s">
        <v>7909</v>
      </c>
      <c r="DF10307" s="848" t="s">
        <v>7909</v>
      </c>
      <c r="DG10307" s="848" t="s">
        <v>7909</v>
      </c>
      <c r="DH10307" s="848" t="s">
        <v>7909</v>
      </c>
      <c r="DI10307" s="848" t="s">
        <v>7909</v>
      </c>
      <c r="DJ10307" s="848" t="s">
        <v>7909</v>
      </c>
      <c r="DK10307" s="848" t="s">
        <v>7909</v>
      </c>
      <c r="DL10307" s="848" t="s">
        <v>7909</v>
      </c>
      <c r="DM10307" s="848" t="s">
        <v>7909</v>
      </c>
      <c r="DN10307" s="848" t="s">
        <v>7909</v>
      </c>
      <c r="DO10307" s="848" t="s">
        <v>7909</v>
      </c>
      <c r="DP10307" s="848" t="s">
        <v>7909</v>
      </c>
      <c r="DQ10307" s="848" t="s">
        <v>7909</v>
      </c>
      <c r="DR10307" s="848" t="s">
        <v>7909</v>
      </c>
      <c r="DS10307" s="848" t="s">
        <v>7909</v>
      </c>
      <c r="DT10307" s="848" t="s">
        <v>7909</v>
      </c>
      <c r="DU10307" s="848" t="s">
        <v>7909</v>
      </c>
      <c r="DV10307" s="848" t="s">
        <v>7909</v>
      </c>
      <c r="DW10307" s="848" t="s">
        <v>7909</v>
      </c>
      <c r="DX10307" s="848" t="s">
        <v>7909</v>
      </c>
      <c r="DY10307" s="848" t="s">
        <v>7909</v>
      </c>
      <c r="DZ10307" s="848" t="s">
        <v>7909</v>
      </c>
      <c r="EA10307" s="848" t="s">
        <v>7909</v>
      </c>
      <c r="EB10307" s="848" t="s">
        <v>7909</v>
      </c>
      <c r="EC10307" s="848" t="s">
        <v>7909</v>
      </c>
      <c r="ED10307" s="848" t="s">
        <v>7909</v>
      </c>
      <c r="EE10307" s="848" t="s">
        <v>7909</v>
      </c>
      <c r="EF10307" s="848" t="s">
        <v>7909</v>
      </c>
      <c r="EG10307" s="848" t="s">
        <v>7909</v>
      </c>
      <c r="EH10307" s="848" t="s">
        <v>7909</v>
      </c>
      <c r="EI10307" s="848" t="s">
        <v>7909</v>
      </c>
      <c r="EJ10307" s="848" t="s">
        <v>7909</v>
      </c>
      <c r="EK10307" s="848" t="s">
        <v>7909</v>
      </c>
      <c r="EL10307" s="848" t="s">
        <v>7909</v>
      </c>
      <c r="EM10307" s="848" t="s">
        <v>7909</v>
      </c>
      <c r="EN10307" s="848" t="s">
        <v>7909</v>
      </c>
      <c r="EO10307" s="848" t="s">
        <v>7909</v>
      </c>
      <c r="EP10307" s="848" t="s">
        <v>7909</v>
      </c>
      <c r="EQ10307" s="848" t="s">
        <v>7909</v>
      </c>
      <c r="ER10307" s="848" t="s">
        <v>7909</v>
      </c>
      <c r="ES10307" s="848" t="s">
        <v>7909</v>
      </c>
    </row>
    <row r="10308" spans="1:149" ht="15" hidden="1" customHeight="1">
      <c r="A10308" s="841">
        <v>45646</v>
      </c>
      <c r="B10308" s="842" t="s">
        <v>8035</v>
      </c>
      <c r="C10308" s="843" t="s">
        <v>4783</v>
      </c>
      <c r="D10308" s="844">
        <v>-49200</v>
      </c>
      <c r="E10308" s="845">
        <v>45627</v>
      </c>
      <c r="F10308" s="843" t="s">
        <v>109</v>
      </c>
      <c r="G10308" s="843" t="s">
        <v>6974</v>
      </c>
      <c r="H10308" s="843" t="s">
        <v>7648</v>
      </c>
      <c r="I10308" s="843" t="s">
        <v>7909</v>
      </c>
      <c r="J10308" s="848" t="s">
        <v>7909</v>
      </c>
      <c r="K10308" s="848" t="s">
        <v>7909</v>
      </c>
      <c r="L10308" s="848" t="s">
        <v>7909</v>
      </c>
      <c r="M10308" s="848" t="s">
        <v>7909</v>
      </c>
      <c r="N10308" s="848" t="s">
        <v>7909</v>
      </c>
      <c r="O10308" s="848" t="s">
        <v>7909</v>
      </c>
      <c r="P10308" s="848" t="s">
        <v>7909</v>
      </c>
      <c r="Q10308" s="848" t="s">
        <v>7909</v>
      </c>
      <c r="R10308" s="848" t="s">
        <v>7909</v>
      </c>
      <c r="S10308" s="848" t="s">
        <v>7909</v>
      </c>
      <c r="T10308" s="848" t="s">
        <v>7909</v>
      </c>
      <c r="U10308" s="848" t="s">
        <v>7909</v>
      </c>
      <c r="V10308" s="848" t="s">
        <v>7909</v>
      </c>
      <c r="W10308" s="848" t="s">
        <v>7909</v>
      </c>
      <c r="X10308" s="848" t="s">
        <v>7909</v>
      </c>
      <c r="Y10308" s="848" t="s">
        <v>7909</v>
      </c>
      <c r="Z10308" s="848" t="s">
        <v>7909</v>
      </c>
      <c r="AA10308" s="848" t="s">
        <v>7909</v>
      </c>
      <c r="AB10308" s="848" t="s">
        <v>7909</v>
      </c>
      <c r="AC10308" s="848" t="s">
        <v>7909</v>
      </c>
      <c r="AD10308" s="848" t="s">
        <v>7909</v>
      </c>
      <c r="AE10308" s="848" t="s">
        <v>7909</v>
      </c>
      <c r="AF10308" s="848" t="s">
        <v>7909</v>
      </c>
      <c r="AG10308" s="848" t="s">
        <v>7909</v>
      </c>
      <c r="AH10308" s="848" t="s">
        <v>7909</v>
      </c>
      <c r="AI10308" s="848" t="s">
        <v>7909</v>
      </c>
      <c r="AJ10308" s="848" t="s">
        <v>7909</v>
      </c>
      <c r="AK10308" s="848" t="s">
        <v>7909</v>
      </c>
      <c r="AL10308" s="848" t="s">
        <v>7909</v>
      </c>
      <c r="AM10308" s="848" t="s">
        <v>7909</v>
      </c>
      <c r="AN10308" s="848" t="s">
        <v>7909</v>
      </c>
      <c r="AO10308" s="848" t="s">
        <v>7909</v>
      </c>
      <c r="AP10308" s="848" t="s">
        <v>7909</v>
      </c>
      <c r="AQ10308" s="848" t="s">
        <v>7909</v>
      </c>
      <c r="AR10308" s="848" t="s">
        <v>7909</v>
      </c>
      <c r="AS10308" s="848" t="s">
        <v>7909</v>
      </c>
      <c r="AT10308" s="848" t="s">
        <v>7909</v>
      </c>
      <c r="AU10308" s="848" t="s">
        <v>7909</v>
      </c>
      <c r="AV10308" s="848" t="s">
        <v>7909</v>
      </c>
      <c r="AW10308" s="848" t="s">
        <v>7909</v>
      </c>
      <c r="AX10308" s="848" t="s">
        <v>7909</v>
      </c>
      <c r="AY10308" s="848" t="s">
        <v>7909</v>
      </c>
      <c r="AZ10308" s="848" t="s">
        <v>7909</v>
      </c>
      <c r="BA10308" s="848" t="s">
        <v>7909</v>
      </c>
      <c r="BB10308" s="848" t="s">
        <v>7909</v>
      </c>
      <c r="BC10308" s="848" t="s">
        <v>7909</v>
      </c>
      <c r="BD10308" s="848" t="s">
        <v>7909</v>
      </c>
      <c r="BE10308" s="848" t="s">
        <v>7909</v>
      </c>
      <c r="BF10308" s="848" t="s">
        <v>7909</v>
      </c>
      <c r="BG10308" s="848" t="s">
        <v>7909</v>
      </c>
      <c r="BH10308" s="848" t="s">
        <v>7909</v>
      </c>
      <c r="BI10308" s="848" t="s">
        <v>7909</v>
      </c>
      <c r="BJ10308" s="848" t="s">
        <v>7909</v>
      </c>
      <c r="BK10308" s="848" t="s">
        <v>7909</v>
      </c>
      <c r="BL10308" s="848" t="s">
        <v>7909</v>
      </c>
      <c r="BM10308" s="848" t="s">
        <v>7909</v>
      </c>
      <c r="BN10308" s="848" t="s">
        <v>7909</v>
      </c>
      <c r="BO10308" s="848" t="s">
        <v>7909</v>
      </c>
      <c r="BP10308" s="848" t="s">
        <v>7909</v>
      </c>
      <c r="BQ10308" s="848" t="s">
        <v>7909</v>
      </c>
      <c r="BR10308" s="848" t="s">
        <v>7909</v>
      </c>
      <c r="BS10308" s="848" t="s">
        <v>7909</v>
      </c>
      <c r="BT10308" s="848" t="s">
        <v>7909</v>
      </c>
      <c r="BU10308" s="848" t="s">
        <v>7909</v>
      </c>
      <c r="BV10308" s="848" t="s">
        <v>7909</v>
      </c>
      <c r="BW10308" s="848" t="s">
        <v>7909</v>
      </c>
      <c r="BX10308" s="848" t="s">
        <v>7909</v>
      </c>
      <c r="BY10308" s="848" t="s">
        <v>7909</v>
      </c>
      <c r="BZ10308" s="848" t="s">
        <v>7909</v>
      </c>
      <c r="CA10308" s="848" t="s">
        <v>7909</v>
      </c>
      <c r="CB10308" s="848" t="s">
        <v>7909</v>
      </c>
      <c r="CC10308" s="848" t="s">
        <v>7909</v>
      </c>
      <c r="CD10308" s="848" t="s">
        <v>7909</v>
      </c>
      <c r="CE10308" s="848" t="s">
        <v>7909</v>
      </c>
      <c r="CF10308" s="848" t="s">
        <v>7909</v>
      </c>
      <c r="CG10308" s="848" t="s">
        <v>7909</v>
      </c>
      <c r="CH10308" s="848" t="s">
        <v>7909</v>
      </c>
      <c r="CI10308" s="848" t="s">
        <v>7909</v>
      </c>
      <c r="CJ10308" s="848" t="s">
        <v>7909</v>
      </c>
      <c r="CK10308" s="848" t="s">
        <v>7909</v>
      </c>
      <c r="CL10308" s="848" t="s">
        <v>7909</v>
      </c>
      <c r="CM10308" s="848" t="s">
        <v>7909</v>
      </c>
      <c r="CN10308" s="848" t="s">
        <v>7909</v>
      </c>
      <c r="CO10308" s="848" t="s">
        <v>7909</v>
      </c>
      <c r="CP10308" s="848" t="s">
        <v>7909</v>
      </c>
      <c r="CQ10308" s="848" t="s">
        <v>7909</v>
      </c>
      <c r="CR10308" s="848" t="s">
        <v>7909</v>
      </c>
      <c r="CS10308" s="848" t="s">
        <v>7909</v>
      </c>
      <c r="CT10308" s="848" t="s">
        <v>7909</v>
      </c>
      <c r="CU10308" s="848" t="s">
        <v>7909</v>
      </c>
      <c r="CV10308" s="848" t="s">
        <v>7909</v>
      </c>
      <c r="CW10308" s="848" t="s">
        <v>7909</v>
      </c>
      <c r="CX10308" s="848" t="s">
        <v>7909</v>
      </c>
      <c r="CY10308" s="848" t="s">
        <v>7909</v>
      </c>
      <c r="CZ10308" s="848" t="s">
        <v>7909</v>
      </c>
      <c r="DA10308" s="848" t="s">
        <v>7909</v>
      </c>
      <c r="DB10308" s="848" t="s">
        <v>7909</v>
      </c>
      <c r="DC10308" s="848" t="s">
        <v>7909</v>
      </c>
      <c r="DD10308" s="848" t="s">
        <v>7909</v>
      </c>
      <c r="DE10308" s="848" t="s">
        <v>7909</v>
      </c>
      <c r="DF10308" s="848" t="s">
        <v>7909</v>
      </c>
      <c r="DG10308" s="848" t="s">
        <v>7909</v>
      </c>
      <c r="DH10308" s="848" t="s">
        <v>7909</v>
      </c>
      <c r="DI10308" s="848" t="s">
        <v>7909</v>
      </c>
      <c r="DJ10308" s="848" t="s">
        <v>7909</v>
      </c>
      <c r="DK10308" s="848" t="s">
        <v>7909</v>
      </c>
      <c r="DL10308" s="848" t="s">
        <v>7909</v>
      </c>
      <c r="DM10308" s="848" t="s">
        <v>7909</v>
      </c>
      <c r="DN10308" s="848" t="s">
        <v>7909</v>
      </c>
      <c r="DO10308" s="848" t="s">
        <v>7909</v>
      </c>
      <c r="DP10308" s="848" t="s">
        <v>7909</v>
      </c>
      <c r="DQ10308" s="848" t="s">
        <v>7909</v>
      </c>
      <c r="DR10308" s="848" t="s">
        <v>7909</v>
      </c>
      <c r="DS10308" s="848" t="s">
        <v>7909</v>
      </c>
      <c r="DT10308" s="848" t="s">
        <v>7909</v>
      </c>
      <c r="DU10308" s="848" t="s">
        <v>7909</v>
      </c>
      <c r="DV10308" s="848" t="s">
        <v>7909</v>
      </c>
      <c r="DW10308" s="848" t="s">
        <v>7909</v>
      </c>
      <c r="DX10308" s="848" t="s">
        <v>7909</v>
      </c>
      <c r="DY10308" s="848" t="s">
        <v>7909</v>
      </c>
      <c r="DZ10308" s="848" t="s">
        <v>7909</v>
      </c>
      <c r="EA10308" s="848" t="s">
        <v>7909</v>
      </c>
      <c r="EB10308" s="848" t="s">
        <v>7909</v>
      </c>
      <c r="EC10308" s="848" t="s">
        <v>7909</v>
      </c>
      <c r="ED10308" s="848" t="s">
        <v>7909</v>
      </c>
      <c r="EE10308" s="848" t="s">
        <v>7909</v>
      </c>
      <c r="EF10308" s="848" t="s">
        <v>7909</v>
      </c>
      <c r="EG10308" s="848" t="s">
        <v>7909</v>
      </c>
      <c r="EH10308" s="848" t="s">
        <v>7909</v>
      </c>
      <c r="EI10308" s="848" t="s">
        <v>7909</v>
      </c>
      <c r="EJ10308" s="848" t="s">
        <v>7909</v>
      </c>
      <c r="EK10308" s="848" t="s">
        <v>7909</v>
      </c>
      <c r="EL10308" s="848" t="s">
        <v>7909</v>
      </c>
      <c r="EM10308" s="848" t="s">
        <v>7909</v>
      </c>
      <c r="EN10308" s="848" t="s">
        <v>7909</v>
      </c>
      <c r="EO10308" s="848" t="s">
        <v>7909</v>
      </c>
      <c r="EP10308" s="848" t="s">
        <v>7909</v>
      </c>
      <c r="EQ10308" s="848" t="s">
        <v>7909</v>
      </c>
      <c r="ER10308" s="848" t="s">
        <v>7909</v>
      </c>
      <c r="ES10308" s="848" t="s">
        <v>7909</v>
      </c>
    </row>
    <row r="10309" spans="1:149" ht="15" hidden="1" customHeight="1">
      <c r="A10309" s="841">
        <v>45646</v>
      </c>
      <c r="B10309" s="842" t="s">
        <v>8036</v>
      </c>
      <c r="C10309" s="843" t="s">
        <v>4783</v>
      </c>
      <c r="D10309" s="844">
        <v>-50000</v>
      </c>
      <c r="E10309" s="845">
        <v>45627</v>
      </c>
      <c r="F10309" s="843" t="s">
        <v>109</v>
      </c>
      <c r="G10309" s="206" t="s">
        <v>5990</v>
      </c>
      <c r="H10309" s="843" t="s">
        <v>7648</v>
      </c>
      <c r="I10309" s="843" t="s">
        <v>7909</v>
      </c>
      <c r="J10309" s="848" t="s">
        <v>7909</v>
      </c>
      <c r="K10309" s="848" t="s">
        <v>7909</v>
      </c>
      <c r="L10309" s="848" t="s">
        <v>7909</v>
      </c>
      <c r="M10309" s="848" t="s">
        <v>7909</v>
      </c>
      <c r="N10309" s="848" t="s">
        <v>7909</v>
      </c>
      <c r="O10309" s="848" t="s">
        <v>7909</v>
      </c>
      <c r="P10309" s="848" t="s">
        <v>7909</v>
      </c>
      <c r="Q10309" s="848" t="s">
        <v>7909</v>
      </c>
      <c r="R10309" s="848" t="s">
        <v>7909</v>
      </c>
      <c r="S10309" s="848" t="s">
        <v>7909</v>
      </c>
      <c r="T10309" s="848" t="s">
        <v>7909</v>
      </c>
      <c r="U10309" s="848" t="s">
        <v>7909</v>
      </c>
      <c r="V10309" s="848" t="s">
        <v>7909</v>
      </c>
      <c r="W10309" s="848" t="s">
        <v>7909</v>
      </c>
      <c r="X10309" s="848" t="s">
        <v>7909</v>
      </c>
      <c r="Y10309" s="848" t="s">
        <v>7909</v>
      </c>
      <c r="Z10309" s="848" t="s">
        <v>7909</v>
      </c>
      <c r="AA10309" s="848" t="s">
        <v>7909</v>
      </c>
      <c r="AB10309" s="848" t="s">
        <v>7909</v>
      </c>
      <c r="AC10309" s="848" t="s">
        <v>7909</v>
      </c>
      <c r="AD10309" s="848" t="s">
        <v>7909</v>
      </c>
      <c r="AE10309" s="848" t="s">
        <v>7909</v>
      </c>
      <c r="AF10309" s="848" t="s">
        <v>7909</v>
      </c>
      <c r="AG10309" s="848" t="s">
        <v>7909</v>
      </c>
      <c r="AH10309" s="848" t="s">
        <v>7909</v>
      </c>
      <c r="AI10309" s="848" t="s">
        <v>7909</v>
      </c>
      <c r="AJ10309" s="848" t="s">
        <v>7909</v>
      </c>
      <c r="AK10309" s="848" t="s">
        <v>7909</v>
      </c>
      <c r="AL10309" s="848" t="s">
        <v>7909</v>
      </c>
      <c r="AM10309" s="848" t="s">
        <v>7909</v>
      </c>
      <c r="AN10309" s="848" t="s">
        <v>7909</v>
      </c>
      <c r="AO10309" s="848" t="s">
        <v>7909</v>
      </c>
      <c r="AP10309" s="848" t="s">
        <v>7909</v>
      </c>
      <c r="AQ10309" s="848" t="s">
        <v>7909</v>
      </c>
      <c r="AR10309" s="848" t="s">
        <v>7909</v>
      </c>
      <c r="AS10309" s="848" t="s">
        <v>7909</v>
      </c>
      <c r="AT10309" s="848" t="s">
        <v>7909</v>
      </c>
      <c r="AU10309" s="848" t="s">
        <v>7909</v>
      </c>
      <c r="AV10309" s="848" t="s">
        <v>7909</v>
      </c>
      <c r="AW10309" s="848" t="s">
        <v>7909</v>
      </c>
      <c r="AX10309" s="848" t="s">
        <v>7909</v>
      </c>
      <c r="AY10309" s="848" t="s">
        <v>7909</v>
      </c>
      <c r="AZ10309" s="848" t="s">
        <v>7909</v>
      </c>
      <c r="BA10309" s="848" t="s">
        <v>7909</v>
      </c>
      <c r="BB10309" s="848" t="s">
        <v>7909</v>
      </c>
      <c r="BC10309" s="848" t="s">
        <v>7909</v>
      </c>
      <c r="BD10309" s="848" t="s">
        <v>7909</v>
      </c>
      <c r="BE10309" s="848" t="s">
        <v>7909</v>
      </c>
      <c r="BF10309" s="848" t="s">
        <v>7909</v>
      </c>
      <c r="BG10309" s="848" t="s">
        <v>7909</v>
      </c>
      <c r="BH10309" s="848" t="s">
        <v>7909</v>
      </c>
      <c r="BI10309" s="848" t="s">
        <v>7909</v>
      </c>
      <c r="BJ10309" s="848" t="s">
        <v>7909</v>
      </c>
      <c r="BK10309" s="848" t="s">
        <v>7909</v>
      </c>
      <c r="BL10309" s="848" t="s">
        <v>7909</v>
      </c>
      <c r="BM10309" s="848" t="s">
        <v>7909</v>
      </c>
      <c r="BN10309" s="848" t="s">
        <v>7909</v>
      </c>
      <c r="BO10309" s="848" t="s">
        <v>7909</v>
      </c>
      <c r="BP10309" s="848" t="s">
        <v>7909</v>
      </c>
      <c r="BQ10309" s="848" t="s">
        <v>7909</v>
      </c>
      <c r="BR10309" s="848" t="s">
        <v>7909</v>
      </c>
      <c r="BS10309" s="848" t="s">
        <v>7909</v>
      </c>
      <c r="BT10309" s="848" t="s">
        <v>7909</v>
      </c>
      <c r="BU10309" s="848" t="s">
        <v>7909</v>
      </c>
      <c r="BV10309" s="848" t="s">
        <v>7909</v>
      </c>
      <c r="BW10309" s="848" t="s">
        <v>7909</v>
      </c>
      <c r="BX10309" s="848" t="s">
        <v>7909</v>
      </c>
      <c r="BY10309" s="848" t="s">
        <v>7909</v>
      </c>
      <c r="BZ10309" s="848" t="s">
        <v>7909</v>
      </c>
      <c r="CA10309" s="848" t="s">
        <v>7909</v>
      </c>
      <c r="CB10309" s="848" t="s">
        <v>7909</v>
      </c>
      <c r="CC10309" s="848" t="s">
        <v>7909</v>
      </c>
      <c r="CD10309" s="848" t="s">
        <v>7909</v>
      </c>
      <c r="CE10309" s="848" t="s">
        <v>7909</v>
      </c>
      <c r="CF10309" s="848" t="s">
        <v>7909</v>
      </c>
      <c r="CG10309" s="848" t="s">
        <v>7909</v>
      </c>
      <c r="CH10309" s="848" t="s">
        <v>7909</v>
      </c>
      <c r="CI10309" s="848" t="s">
        <v>7909</v>
      </c>
      <c r="CJ10309" s="848" t="s">
        <v>7909</v>
      </c>
      <c r="CK10309" s="848" t="s">
        <v>7909</v>
      </c>
      <c r="CL10309" s="848" t="s">
        <v>7909</v>
      </c>
      <c r="CM10309" s="848" t="s">
        <v>7909</v>
      </c>
      <c r="CN10309" s="848" t="s">
        <v>7909</v>
      </c>
      <c r="CO10309" s="848" t="s">
        <v>7909</v>
      </c>
      <c r="CP10309" s="848" t="s">
        <v>7909</v>
      </c>
      <c r="CQ10309" s="848" t="s">
        <v>7909</v>
      </c>
      <c r="CR10309" s="848" t="s">
        <v>7909</v>
      </c>
      <c r="CS10309" s="848" t="s">
        <v>7909</v>
      </c>
      <c r="CT10309" s="848" t="s">
        <v>7909</v>
      </c>
      <c r="CU10309" s="848" t="s">
        <v>7909</v>
      </c>
      <c r="CV10309" s="848" t="s">
        <v>7909</v>
      </c>
      <c r="CW10309" s="848" t="s">
        <v>7909</v>
      </c>
      <c r="CX10309" s="848" t="s">
        <v>7909</v>
      </c>
      <c r="CY10309" s="848" t="s">
        <v>7909</v>
      </c>
      <c r="CZ10309" s="848" t="s">
        <v>7909</v>
      </c>
      <c r="DA10309" s="848" t="s">
        <v>7909</v>
      </c>
      <c r="DB10309" s="848" t="s">
        <v>7909</v>
      </c>
      <c r="DC10309" s="848" t="s">
        <v>7909</v>
      </c>
      <c r="DD10309" s="848" t="s">
        <v>7909</v>
      </c>
      <c r="DE10309" s="848" t="s">
        <v>7909</v>
      </c>
      <c r="DF10309" s="848" t="s">
        <v>7909</v>
      </c>
      <c r="DG10309" s="848" t="s">
        <v>7909</v>
      </c>
      <c r="DH10309" s="848" t="s">
        <v>7909</v>
      </c>
      <c r="DI10309" s="848" t="s">
        <v>7909</v>
      </c>
      <c r="DJ10309" s="848" t="s">
        <v>7909</v>
      </c>
      <c r="DK10309" s="848" t="s">
        <v>7909</v>
      </c>
      <c r="DL10309" s="848" t="s">
        <v>7909</v>
      </c>
      <c r="DM10309" s="848" t="s">
        <v>7909</v>
      </c>
      <c r="DN10309" s="848" t="s">
        <v>7909</v>
      </c>
      <c r="DO10309" s="848" t="s">
        <v>7909</v>
      </c>
      <c r="DP10309" s="848" t="s">
        <v>7909</v>
      </c>
      <c r="DQ10309" s="848" t="s">
        <v>7909</v>
      </c>
      <c r="DR10309" s="848" t="s">
        <v>7909</v>
      </c>
      <c r="DS10309" s="848" t="s">
        <v>7909</v>
      </c>
      <c r="DT10309" s="848" t="s">
        <v>7909</v>
      </c>
      <c r="DU10309" s="848" t="s">
        <v>7909</v>
      </c>
      <c r="DV10309" s="848" t="s">
        <v>7909</v>
      </c>
      <c r="DW10309" s="848" t="s">
        <v>7909</v>
      </c>
      <c r="DX10309" s="848" t="s">
        <v>7909</v>
      </c>
      <c r="DY10309" s="848" t="s">
        <v>7909</v>
      </c>
      <c r="DZ10309" s="848" t="s">
        <v>7909</v>
      </c>
      <c r="EA10309" s="848" t="s">
        <v>7909</v>
      </c>
      <c r="EB10309" s="848" t="s">
        <v>7909</v>
      </c>
      <c r="EC10309" s="848" t="s">
        <v>7909</v>
      </c>
      <c r="ED10309" s="848" t="s">
        <v>7909</v>
      </c>
      <c r="EE10309" s="848" t="s">
        <v>7909</v>
      </c>
      <c r="EF10309" s="848" t="s">
        <v>7909</v>
      </c>
      <c r="EG10309" s="848" t="s">
        <v>7909</v>
      </c>
      <c r="EH10309" s="848" t="s">
        <v>7909</v>
      </c>
      <c r="EI10309" s="848" t="s">
        <v>7909</v>
      </c>
      <c r="EJ10309" s="848" t="s">
        <v>7909</v>
      </c>
      <c r="EK10309" s="848" t="s">
        <v>7909</v>
      </c>
      <c r="EL10309" s="848" t="s">
        <v>7909</v>
      </c>
      <c r="EM10309" s="848" t="s">
        <v>7909</v>
      </c>
      <c r="EN10309" s="848" t="s">
        <v>7909</v>
      </c>
      <c r="EO10309" s="848" t="s">
        <v>7909</v>
      </c>
      <c r="EP10309" s="848" t="s">
        <v>7909</v>
      </c>
      <c r="EQ10309" s="848" t="s">
        <v>7909</v>
      </c>
      <c r="ER10309" s="848" t="s">
        <v>7909</v>
      </c>
      <c r="ES10309" s="848" t="s">
        <v>7909</v>
      </c>
    </row>
    <row r="10310" spans="1:149" ht="15" hidden="1" customHeight="1">
      <c r="A10310" s="841">
        <v>45646</v>
      </c>
      <c r="B10310" s="842" t="s">
        <v>8037</v>
      </c>
      <c r="C10310" s="843" t="s">
        <v>4783</v>
      </c>
      <c r="D10310" s="844">
        <v>-50000</v>
      </c>
      <c r="E10310" s="845">
        <v>45627</v>
      </c>
      <c r="F10310" s="843" t="s">
        <v>109</v>
      </c>
      <c r="G10310" s="843" t="s">
        <v>7837</v>
      </c>
      <c r="H10310" s="843" t="s">
        <v>7648</v>
      </c>
      <c r="I10310" s="843" t="s">
        <v>7909</v>
      </c>
      <c r="J10310" s="848" t="s">
        <v>7909</v>
      </c>
      <c r="K10310" s="848" t="s">
        <v>7909</v>
      </c>
      <c r="L10310" s="848" t="s">
        <v>7909</v>
      </c>
      <c r="M10310" s="848" t="s">
        <v>7909</v>
      </c>
      <c r="N10310" s="848" t="s">
        <v>7909</v>
      </c>
      <c r="O10310" s="848" t="s">
        <v>7909</v>
      </c>
      <c r="P10310" s="848" t="s">
        <v>7909</v>
      </c>
      <c r="Q10310" s="848" t="s">
        <v>7909</v>
      </c>
      <c r="R10310" s="848" t="s">
        <v>7909</v>
      </c>
      <c r="S10310" s="848" t="s">
        <v>7909</v>
      </c>
      <c r="T10310" s="848" t="s">
        <v>7909</v>
      </c>
      <c r="U10310" s="848" t="s">
        <v>7909</v>
      </c>
      <c r="V10310" s="848" t="s">
        <v>7909</v>
      </c>
      <c r="W10310" s="848" t="s">
        <v>7909</v>
      </c>
      <c r="X10310" s="848" t="s">
        <v>7909</v>
      </c>
      <c r="Y10310" s="848" t="s">
        <v>7909</v>
      </c>
      <c r="Z10310" s="848" t="s">
        <v>7909</v>
      </c>
      <c r="AA10310" s="848" t="s">
        <v>7909</v>
      </c>
      <c r="AB10310" s="848" t="s">
        <v>7909</v>
      </c>
      <c r="AC10310" s="848" t="s">
        <v>7909</v>
      </c>
      <c r="AD10310" s="848" t="s">
        <v>7909</v>
      </c>
      <c r="AE10310" s="848" t="s">
        <v>7909</v>
      </c>
      <c r="AF10310" s="848" t="s">
        <v>7909</v>
      </c>
      <c r="AG10310" s="848" t="s">
        <v>7909</v>
      </c>
      <c r="AH10310" s="848" t="s">
        <v>7909</v>
      </c>
      <c r="AI10310" s="848" t="s">
        <v>7909</v>
      </c>
      <c r="AJ10310" s="848" t="s">
        <v>7909</v>
      </c>
      <c r="AK10310" s="848" t="s">
        <v>7909</v>
      </c>
      <c r="AL10310" s="848" t="s">
        <v>7909</v>
      </c>
      <c r="AM10310" s="848" t="s">
        <v>7909</v>
      </c>
      <c r="AN10310" s="848" t="s">
        <v>7909</v>
      </c>
      <c r="AO10310" s="848" t="s">
        <v>7909</v>
      </c>
      <c r="AP10310" s="848" t="s">
        <v>7909</v>
      </c>
      <c r="AQ10310" s="848" t="s">
        <v>7909</v>
      </c>
      <c r="AR10310" s="848" t="s">
        <v>7909</v>
      </c>
      <c r="AS10310" s="848" t="s">
        <v>7909</v>
      </c>
      <c r="AT10310" s="848" t="s">
        <v>7909</v>
      </c>
      <c r="AU10310" s="848" t="s">
        <v>7909</v>
      </c>
      <c r="AV10310" s="848" t="s">
        <v>7909</v>
      </c>
      <c r="AW10310" s="848" t="s">
        <v>7909</v>
      </c>
      <c r="AX10310" s="848" t="s">
        <v>7909</v>
      </c>
      <c r="AY10310" s="848" t="s">
        <v>7909</v>
      </c>
      <c r="AZ10310" s="848" t="s">
        <v>7909</v>
      </c>
      <c r="BA10310" s="848" t="s">
        <v>7909</v>
      </c>
      <c r="BB10310" s="848" t="s">
        <v>7909</v>
      </c>
      <c r="BC10310" s="848" t="s">
        <v>7909</v>
      </c>
      <c r="BD10310" s="848" t="s">
        <v>7909</v>
      </c>
      <c r="BE10310" s="848" t="s">
        <v>7909</v>
      </c>
      <c r="BF10310" s="848" t="s">
        <v>7909</v>
      </c>
      <c r="BG10310" s="848" t="s">
        <v>7909</v>
      </c>
      <c r="BH10310" s="848" t="s">
        <v>7909</v>
      </c>
      <c r="BI10310" s="848" t="s">
        <v>7909</v>
      </c>
      <c r="BJ10310" s="848" t="s">
        <v>7909</v>
      </c>
      <c r="BK10310" s="848" t="s">
        <v>7909</v>
      </c>
      <c r="BL10310" s="848" t="s">
        <v>7909</v>
      </c>
      <c r="BM10310" s="848" t="s">
        <v>7909</v>
      </c>
      <c r="BN10310" s="848" t="s">
        <v>7909</v>
      </c>
      <c r="BO10310" s="848" t="s">
        <v>7909</v>
      </c>
      <c r="BP10310" s="848" t="s">
        <v>7909</v>
      </c>
      <c r="BQ10310" s="848" t="s">
        <v>7909</v>
      </c>
      <c r="BR10310" s="848" t="s">
        <v>7909</v>
      </c>
      <c r="BS10310" s="848" t="s">
        <v>7909</v>
      </c>
      <c r="BT10310" s="848" t="s">
        <v>7909</v>
      </c>
      <c r="BU10310" s="848" t="s">
        <v>7909</v>
      </c>
      <c r="BV10310" s="848" t="s">
        <v>7909</v>
      </c>
      <c r="BW10310" s="848" t="s">
        <v>7909</v>
      </c>
      <c r="BX10310" s="848" t="s">
        <v>7909</v>
      </c>
      <c r="BY10310" s="848" t="s">
        <v>7909</v>
      </c>
      <c r="BZ10310" s="848" t="s">
        <v>7909</v>
      </c>
      <c r="CA10310" s="848" t="s">
        <v>7909</v>
      </c>
      <c r="CB10310" s="848" t="s">
        <v>7909</v>
      </c>
      <c r="CC10310" s="848" t="s">
        <v>7909</v>
      </c>
      <c r="CD10310" s="848" t="s">
        <v>7909</v>
      </c>
      <c r="CE10310" s="848" t="s">
        <v>7909</v>
      </c>
      <c r="CF10310" s="848" t="s">
        <v>7909</v>
      </c>
      <c r="CG10310" s="848" t="s">
        <v>7909</v>
      </c>
      <c r="CH10310" s="848" t="s">
        <v>7909</v>
      </c>
      <c r="CI10310" s="848" t="s">
        <v>7909</v>
      </c>
      <c r="CJ10310" s="848" t="s">
        <v>7909</v>
      </c>
      <c r="CK10310" s="848" t="s">
        <v>7909</v>
      </c>
      <c r="CL10310" s="848" t="s">
        <v>7909</v>
      </c>
      <c r="CM10310" s="848" t="s">
        <v>7909</v>
      </c>
      <c r="CN10310" s="848" t="s">
        <v>7909</v>
      </c>
      <c r="CO10310" s="848" t="s">
        <v>7909</v>
      </c>
      <c r="CP10310" s="848" t="s">
        <v>7909</v>
      </c>
      <c r="CQ10310" s="848" t="s">
        <v>7909</v>
      </c>
      <c r="CR10310" s="848" t="s">
        <v>7909</v>
      </c>
      <c r="CS10310" s="848" t="s">
        <v>7909</v>
      </c>
      <c r="CT10310" s="848" t="s">
        <v>7909</v>
      </c>
      <c r="CU10310" s="848" t="s">
        <v>7909</v>
      </c>
      <c r="CV10310" s="848" t="s">
        <v>7909</v>
      </c>
      <c r="CW10310" s="848" t="s">
        <v>7909</v>
      </c>
      <c r="CX10310" s="848" t="s">
        <v>7909</v>
      </c>
      <c r="CY10310" s="848" t="s">
        <v>7909</v>
      </c>
      <c r="CZ10310" s="848" t="s">
        <v>7909</v>
      </c>
      <c r="DA10310" s="848" t="s">
        <v>7909</v>
      </c>
      <c r="DB10310" s="848" t="s">
        <v>7909</v>
      </c>
      <c r="DC10310" s="848" t="s">
        <v>7909</v>
      </c>
      <c r="DD10310" s="848" t="s">
        <v>7909</v>
      </c>
      <c r="DE10310" s="848" t="s">
        <v>7909</v>
      </c>
      <c r="DF10310" s="848" t="s">
        <v>7909</v>
      </c>
      <c r="DG10310" s="848" t="s">
        <v>7909</v>
      </c>
      <c r="DH10310" s="848" t="s">
        <v>7909</v>
      </c>
      <c r="DI10310" s="848" t="s">
        <v>7909</v>
      </c>
      <c r="DJ10310" s="848" t="s">
        <v>7909</v>
      </c>
      <c r="DK10310" s="848" t="s">
        <v>7909</v>
      </c>
      <c r="DL10310" s="848" t="s">
        <v>7909</v>
      </c>
      <c r="DM10310" s="848" t="s">
        <v>7909</v>
      </c>
      <c r="DN10310" s="848" t="s">
        <v>7909</v>
      </c>
      <c r="DO10310" s="848" t="s">
        <v>7909</v>
      </c>
      <c r="DP10310" s="848" t="s">
        <v>7909</v>
      </c>
      <c r="DQ10310" s="848" t="s">
        <v>7909</v>
      </c>
      <c r="DR10310" s="848" t="s">
        <v>7909</v>
      </c>
      <c r="DS10310" s="848" t="s">
        <v>7909</v>
      </c>
      <c r="DT10310" s="848" t="s">
        <v>7909</v>
      </c>
      <c r="DU10310" s="848" t="s">
        <v>7909</v>
      </c>
      <c r="DV10310" s="848" t="s">
        <v>7909</v>
      </c>
      <c r="DW10310" s="848" t="s">
        <v>7909</v>
      </c>
      <c r="DX10310" s="848" t="s">
        <v>7909</v>
      </c>
      <c r="DY10310" s="848" t="s">
        <v>7909</v>
      </c>
      <c r="DZ10310" s="848" t="s">
        <v>7909</v>
      </c>
      <c r="EA10310" s="848" t="s">
        <v>7909</v>
      </c>
      <c r="EB10310" s="848" t="s">
        <v>7909</v>
      </c>
      <c r="EC10310" s="848" t="s">
        <v>7909</v>
      </c>
      <c r="ED10310" s="848" t="s">
        <v>7909</v>
      </c>
      <c r="EE10310" s="848" t="s">
        <v>7909</v>
      </c>
      <c r="EF10310" s="848" t="s">
        <v>7909</v>
      </c>
      <c r="EG10310" s="848" t="s">
        <v>7909</v>
      </c>
      <c r="EH10310" s="848" t="s">
        <v>7909</v>
      </c>
      <c r="EI10310" s="848" t="s">
        <v>7909</v>
      </c>
      <c r="EJ10310" s="848" t="s">
        <v>7909</v>
      </c>
      <c r="EK10310" s="848" t="s">
        <v>7909</v>
      </c>
      <c r="EL10310" s="848" t="s">
        <v>7909</v>
      </c>
      <c r="EM10310" s="848" t="s">
        <v>7909</v>
      </c>
      <c r="EN10310" s="848" t="s">
        <v>7909</v>
      </c>
      <c r="EO10310" s="848" t="s">
        <v>7909</v>
      </c>
      <c r="EP10310" s="848" t="s">
        <v>7909</v>
      </c>
      <c r="EQ10310" s="848" t="s">
        <v>7909</v>
      </c>
      <c r="ER10310" s="848" t="s">
        <v>7909</v>
      </c>
      <c r="ES10310" s="848" t="s">
        <v>7909</v>
      </c>
    </row>
    <row r="10311" spans="1:149" ht="15" hidden="1" customHeight="1">
      <c r="A10311" s="205">
        <v>45656</v>
      </c>
      <c r="B10311" s="208" t="s">
        <v>8038</v>
      </c>
      <c r="C10311" s="206" t="s">
        <v>27</v>
      </c>
      <c r="D10311" s="211">
        <v>196008.3333</v>
      </c>
      <c r="E10311" s="845">
        <v>45627</v>
      </c>
      <c r="F10311" s="206" t="s">
        <v>109</v>
      </c>
      <c r="G10311" s="843" t="s">
        <v>10</v>
      </c>
      <c r="I10311" s="206"/>
    </row>
    <row r="10312" spans="1:149" ht="15" hidden="1" customHeight="1">
      <c r="A10312" s="205">
        <v>45656</v>
      </c>
      <c r="B10312" s="208" t="s">
        <v>8038</v>
      </c>
      <c r="C10312" s="206" t="s">
        <v>27</v>
      </c>
      <c r="D10312" s="211">
        <v>196008.3333</v>
      </c>
      <c r="E10312" s="845">
        <v>45627</v>
      </c>
      <c r="F10312" s="206" t="s">
        <v>109</v>
      </c>
      <c r="G10312" s="206" t="s">
        <v>6954</v>
      </c>
      <c r="I10312" s="206"/>
    </row>
    <row r="10313" spans="1:149" ht="15" hidden="1" customHeight="1">
      <c r="A10313" s="205">
        <v>45656</v>
      </c>
      <c r="B10313" s="208" t="s">
        <v>8038</v>
      </c>
      <c r="C10313" s="206" t="s">
        <v>27</v>
      </c>
      <c r="D10313" s="211">
        <v>196008.3333</v>
      </c>
      <c r="E10313" s="845">
        <v>45627</v>
      </c>
      <c r="F10313" s="206" t="s">
        <v>109</v>
      </c>
      <c r="G10313" s="206" t="s">
        <v>6974</v>
      </c>
      <c r="I10313" s="206"/>
    </row>
    <row r="10314" spans="1:149" ht="15" hidden="1" customHeight="1">
      <c r="A10314" s="205">
        <v>45656</v>
      </c>
      <c r="B10314" s="208" t="s">
        <v>8039</v>
      </c>
      <c r="C10314" s="206" t="s">
        <v>27</v>
      </c>
      <c r="D10314" s="211">
        <v>9762916.9399999995</v>
      </c>
      <c r="E10314" s="845">
        <v>45627</v>
      </c>
      <c r="F10314" s="206" t="s">
        <v>108</v>
      </c>
      <c r="I10314" s="206"/>
    </row>
    <row r="10315" spans="1:149" ht="15" hidden="1" customHeight="1">
      <c r="A10315" s="205">
        <v>45660</v>
      </c>
      <c r="B10315" s="208" t="s">
        <v>8040</v>
      </c>
      <c r="C10315" s="206" t="s">
        <v>146</v>
      </c>
      <c r="D10315" s="211">
        <v>-32000</v>
      </c>
      <c r="E10315" s="845">
        <v>45658</v>
      </c>
      <c r="F10315" s="206" t="s">
        <v>130</v>
      </c>
      <c r="G10315" s="206" t="s">
        <v>130</v>
      </c>
      <c r="H10315" s="206" t="s">
        <v>184</v>
      </c>
      <c r="I10315" s="206"/>
    </row>
    <row r="10316" spans="1:149" ht="15" hidden="1" customHeight="1">
      <c r="A10316" s="205">
        <v>45660</v>
      </c>
      <c r="B10316" s="208" t="s">
        <v>8041</v>
      </c>
      <c r="C10316" s="206" t="s">
        <v>146</v>
      </c>
      <c r="D10316" s="211">
        <v>-2400</v>
      </c>
      <c r="E10316" s="845">
        <v>45658</v>
      </c>
      <c r="F10316" s="206" t="s">
        <v>130</v>
      </c>
      <c r="G10316" s="206" t="s">
        <v>130</v>
      </c>
      <c r="H10316" s="206" t="s">
        <v>184</v>
      </c>
      <c r="I10316" s="206"/>
    </row>
    <row r="10317" spans="1:149" ht="15" hidden="1" customHeight="1">
      <c r="A10317" s="205">
        <v>45660</v>
      </c>
      <c r="B10317" s="208" t="s">
        <v>8042</v>
      </c>
      <c r="C10317" s="206" t="s">
        <v>146</v>
      </c>
      <c r="D10317" s="211">
        <v>-7000</v>
      </c>
      <c r="E10317" s="845">
        <v>45658</v>
      </c>
      <c r="F10317" s="206" t="s">
        <v>130</v>
      </c>
      <c r="G10317" s="206" t="s">
        <v>130</v>
      </c>
      <c r="H10317" s="206" t="s">
        <v>138</v>
      </c>
      <c r="I10317" s="206"/>
    </row>
    <row r="10318" spans="1:149" ht="15" hidden="1" customHeight="1">
      <c r="A10318" s="205">
        <v>45660</v>
      </c>
      <c r="B10318" s="208" t="s">
        <v>8042</v>
      </c>
      <c r="C10318" s="206" t="s">
        <v>146</v>
      </c>
      <c r="D10318" s="211">
        <v>-7000</v>
      </c>
      <c r="E10318" s="845">
        <v>45658</v>
      </c>
      <c r="F10318" s="206" t="s">
        <v>130</v>
      </c>
      <c r="G10318" s="206" t="s">
        <v>130</v>
      </c>
      <c r="H10318" s="206" t="s">
        <v>138</v>
      </c>
      <c r="I10318" s="206"/>
    </row>
    <row r="10319" spans="1:149" ht="15" hidden="1" customHeight="1">
      <c r="A10319" s="205">
        <v>45659</v>
      </c>
      <c r="B10319" s="208" t="s">
        <v>8043</v>
      </c>
      <c r="C10319" s="206" t="s">
        <v>146</v>
      </c>
      <c r="D10319" s="211">
        <v>-15000</v>
      </c>
      <c r="E10319" s="845">
        <v>45658</v>
      </c>
      <c r="F10319" s="206" t="s">
        <v>110</v>
      </c>
      <c r="G10319" s="206" t="s">
        <v>4990</v>
      </c>
      <c r="H10319" s="206" t="s">
        <v>138</v>
      </c>
      <c r="I10319" s="206"/>
    </row>
    <row r="10320" spans="1:149" ht="15" hidden="1" customHeight="1">
      <c r="A10320" s="205">
        <v>45659</v>
      </c>
      <c r="B10320" s="208" t="s">
        <v>8044</v>
      </c>
      <c r="C10320" s="206" t="s">
        <v>146</v>
      </c>
      <c r="D10320" s="211">
        <v>-15000</v>
      </c>
      <c r="E10320" s="845">
        <v>45658</v>
      </c>
      <c r="F10320" s="206" t="s">
        <v>110</v>
      </c>
      <c r="G10320" s="206" t="s">
        <v>4990</v>
      </c>
      <c r="H10320" s="206" t="s">
        <v>138</v>
      </c>
      <c r="I10320" s="206"/>
    </row>
    <row r="10321" spans="1:9" ht="15" hidden="1" customHeight="1">
      <c r="A10321" s="205">
        <v>45658</v>
      </c>
      <c r="B10321" s="208" t="s">
        <v>4126</v>
      </c>
      <c r="C10321" s="206" t="s">
        <v>3331</v>
      </c>
      <c r="D10321" s="211">
        <v>-11111111</v>
      </c>
      <c r="E10321" s="845">
        <v>45658</v>
      </c>
      <c r="F10321" s="206" t="s">
        <v>111</v>
      </c>
      <c r="I10321" s="206"/>
    </row>
    <row r="10322" spans="1:9" ht="15" hidden="1" customHeight="1">
      <c r="A10322" s="205">
        <v>45658</v>
      </c>
      <c r="B10322" s="208" t="s">
        <v>4126</v>
      </c>
      <c r="C10322" s="206" t="s">
        <v>3331</v>
      </c>
      <c r="D10322" s="211">
        <v>-3324414</v>
      </c>
      <c r="E10322" s="845">
        <v>45658</v>
      </c>
      <c r="F10322" s="206" t="s">
        <v>118</v>
      </c>
      <c r="I10322" s="206"/>
    </row>
    <row r="10323" spans="1:9" ht="15" hidden="1" customHeight="1">
      <c r="A10323" s="205">
        <v>45293</v>
      </c>
      <c r="B10323" s="208" t="s">
        <v>6101</v>
      </c>
      <c r="C10323" s="206" t="s">
        <v>4783</v>
      </c>
      <c r="D10323" s="211">
        <v>-5080421</v>
      </c>
      <c r="E10323" s="845">
        <v>45658</v>
      </c>
      <c r="F10323" s="206" t="s">
        <v>111</v>
      </c>
      <c r="I10323" s="206"/>
    </row>
    <row r="10324" spans="1:9" ht="15" hidden="1" customHeight="1">
      <c r="A10324" s="205">
        <v>45660</v>
      </c>
      <c r="B10324" s="208" t="s">
        <v>8045</v>
      </c>
      <c r="C10324" s="206" t="s">
        <v>27</v>
      </c>
      <c r="D10324" s="211">
        <v>-853990</v>
      </c>
      <c r="E10324" s="845">
        <v>45658</v>
      </c>
      <c r="F10324" s="208" t="s">
        <v>130</v>
      </c>
      <c r="G10324" s="601" t="s">
        <v>130</v>
      </c>
      <c r="H10324" s="81" t="s">
        <v>163</v>
      </c>
      <c r="I10324" s="206"/>
    </row>
    <row r="10325" spans="1:9" ht="15" hidden="1" customHeight="1">
      <c r="A10325" s="205">
        <v>45659</v>
      </c>
      <c r="B10325" s="208" t="s">
        <v>8046</v>
      </c>
      <c r="C10325" s="206" t="s">
        <v>27</v>
      </c>
      <c r="D10325" s="211">
        <v>-1000000</v>
      </c>
      <c r="E10325" s="845">
        <v>45658</v>
      </c>
      <c r="F10325" s="206" t="s">
        <v>109</v>
      </c>
      <c r="I10325" s="206"/>
    </row>
    <row r="10326" spans="1:9" ht="15" hidden="1" customHeight="1">
      <c r="A10326" s="205">
        <v>45659</v>
      </c>
      <c r="B10326" s="208" t="s">
        <v>8047</v>
      </c>
      <c r="C10326" s="206" t="s">
        <v>27</v>
      </c>
      <c r="D10326" s="211">
        <v>-6106046</v>
      </c>
      <c r="E10326" s="845">
        <v>45658</v>
      </c>
      <c r="F10326" s="206" t="s">
        <v>130</v>
      </c>
      <c r="G10326" s="206" t="s">
        <v>257</v>
      </c>
      <c r="H10326" s="206" t="s">
        <v>1175</v>
      </c>
      <c r="I10326" s="206"/>
    </row>
    <row r="10327" spans="1:9" ht="15" hidden="1" customHeight="1">
      <c r="A10327" s="205">
        <v>45659</v>
      </c>
      <c r="B10327" s="208" t="s">
        <v>8048</v>
      </c>
      <c r="C10327" s="206" t="s">
        <v>27</v>
      </c>
      <c r="D10327" s="211">
        <v>-1100000</v>
      </c>
      <c r="E10327" s="845">
        <v>45658</v>
      </c>
      <c r="F10327" s="206" t="s">
        <v>130</v>
      </c>
      <c r="G10327" s="206" t="s">
        <v>130</v>
      </c>
      <c r="H10327" s="206" t="s">
        <v>360</v>
      </c>
      <c r="I10327" s="206"/>
    </row>
    <row r="10328" spans="1:9" ht="15" hidden="1" customHeight="1">
      <c r="A10328" s="205">
        <v>45643</v>
      </c>
      <c r="B10328" s="208" t="s">
        <v>8049</v>
      </c>
      <c r="C10328" s="206" t="s">
        <v>4783</v>
      </c>
      <c r="D10328" s="211">
        <v>-40344924</v>
      </c>
      <c r="E10328" s="207">
        <v>45627</v>
      </c>
      <c r="F10328" s="206" t="s">
        <v>8050</v>
      </c>
      <c r="G10328" s="206" t="s">
        <v>8051</v>
      </c>
      <c r="H10328" s="206" t="s">
        <v>212</v>
      </c>
      <c r="I10328" s="206"/>
    </row>
    <row r="10329" spans="1:9" ht="15" hidden="1" customHeight="1">
      <c r="A10329" s="205">
        <v>45643</v>
      </c>
      <c r="B10329" s="208" t="s">
        <v>8052</v>
      </c>
      <c r="C10329" s="206" t="s">
        <v>4783</v>
      </c>
      <c r="D10329" s="211">
        <v>-32926050</v>
      </c>
      <c r="E10329" s="207">
        <v>45627</v>
      </c>
      <c r="F10329" s="206" t="s">
        <v>8050</v>
      </c>
      <c r="G10329" s="206" t="s">
        <v>4294</v>
      </c>
      <c r="H10329" s="206" t="s">
        <v>418</v>
      </c>
      <c r="I10329" s="206"/>
    </row>
    <row r="10330" spans="1:9" ht="15" hidden="1" customHeight="1">
      <c r="A10330" s="205">
        <v>45643</v>
      </c>
      <c r="B10330" s="208" t="s">
        <v>8053</v>
      </c>
      <c r="C10330" s="206" t="s">
        <v>4783</v>
      </c>
      <c r="D10330" s="211">
        <v>-809200</v>
      </c>
      <c r="E10330" s="207">
        <v>45627</v>
      </c>
      <c r="F10330" s="206" t="s">
        <v>8050</v>
      </c>
      <c r="G10330" s="206" t="s">
        <v>4294</v>
      </c>
      <c r="H10330" s="206" t="s">
        <v>421</v>
      </c>
      <c r="I10330" s="206"/>
    </row>
    <row r="10331" spans="1:9" ht="15" hidden="1" customHeight="1">
      <c r="A10331" s="205">
        <v>45643</v>
      </c>
      <c r="B10331" s="208" t="s">
        <v>8054</v>
      </c>
      <c r="C10331" s="206" t="s">
        <v>4783</v>
      </c>
      <c r="D10331" s="211">
        <v>-5222499.25</v>
      </c>
      <c r="E10331" s="207">
        <v>45627</v>
      </c>
      <c r="F10331" s="206" t="s">
        <v>8050</v>
      </c>
      <c r="G10331" s="206" t="s">
        <v>4294</v>
      </c>
      <c r="H10331" s="206" t="s">
        <v>310</v>
      </c>
      <c r="I10331" s="206"/>
    </row>
    <row r="10332" spans="1:9" ht="15" hidden="1" customHeight="1">
      <c r="A10332" s="205">
        <v>45643</v>
      </c>
      <c r="B10332" s="208" t="s">
        <v>8055</v>
      </c>
      <c r="C10332" s="206" t="s">
        <v>4783</v>
      </c>
      <c r="D10332" s="211">
        <v>-25400500</v>
      </c>
      <c r="E10332" s="207">
        <v>45627</v>
      </c>
      <c r="F10332" s="206" t="s">
        <v>8050</v>
      </c>
      <c r="G10332" s="206" t="s">
        <v>4294</v>
      </c>
      <c r="H10332" s="206" t="s">
        <v>212</v>
      </c>
      <c r="I10332" s="206"/>
    </row>
    <row r="10333" spans="1:9" ht="15" hidden="1" customHeight="1">
      <c r="A10333" s="205">
        <v>45643</v>
      </c>
      <c r="B10333" s="208" t="s">
        <v>8056</v>
      </c>
      <c r="C10333" s="206" t="s">
        <v>4783</v>
      </c>
      <c r="D10333" s="211">
        <v>-370000</v>
      </c>
      <c r="E10333" s="207">
        <v>45627</v>
      </c>
      <c r="F10333" s="206" t="s">
        <v>8050</v>
      </c>
      <c r="G10333" s="206" t="s">
        <v>4990</v>
      </c>
      <c r="H10333" s="206" t="s">
        <v>421</v>
      </c>
      <c r="I10333" s="206"/>
    </row>
    <row r="10334" spans="1:9" ht="15" hidden="1" customHeight="1">
      <c r="A10334" s="205">
        <v>45643</v>
      </c>
      <c r="B10334" s="208" t="s">
        <v>8057</v>
      </c>
      <c r="C10334" s="206" t="s">
        <v>4783</v>
      </c>
      <c r="D10334" s="211">
        <v>-4447759.5</v>
      </c>
      <c r="E10334" s="207">
        <v>45627</v>
      </c>
      <c r="F10334" s="206" t="s">
        <v>8050</v>
      </c>
      <c r="G10334" s="206" t="s">
        <v>3529</v>
      </c>
      <c r="H10334" s="206" t="s">
        <v>212</v>
      </c>
      <c r="I10334" s="206"/>
    </row>
    <row r="10335" spans="1:9" ht="15" hidden="1" customHeight="1">
      <c r="A10335" s="205">
        <v>45643</v>
      </c>
      <c r="B10335" s="208" t="s">
        <v>8058</v>
      </c>
      <c r="C10335" s="206" t="s">
        <v>4783</v>
      </c>
      <c r="D10335" s="211">
        <v>-934400</v>
      </c>
      <c r="E10335" s="207">
        <v>45627</v>
      </c>
      <c r="F10335" s="206" t="s">
        <v>8050</v>
      </c>
      <c r="G10335" s="206" t="s">
        <v>3529</v>
      </c>
      <c r="H10335" s="206" t="s">
        <v>310</v>
      </c>
      <c r="I10335" s="206"/>
    </row>
    <row r="10336" spans="1:9" ht="15" hidden="1" customHeight="1">
      <c r="A10336" s="205">
        <v>45643</v>
      </c>
      <c r="B10336" s="208" t="s">
        <v>8059</v>
      </c>
      <c r="C10336" s="206" t="s">
        <v>4783</v>
      </c>
      <c r="D10336" s="211">
        <v>-1615738.5</v>
      </c>
      <c r="E10336" s="207">
        <v>45627</v>
      </c>
      <c r="F10336" s="206" t="s">
        <v>8050</v>
      </c>
      <c r="G10336" s="206" t="s">
        <v>3529</v>
      </c>
      <c r="H10336" s="206" t="s">
        <v>310</v>
      </c>
      <c r="I10336" s="206"/>
    </row>
    <row r="10337" spans="1:9" ht="15" hidden="1" customHeight="1">
      <c r="A10337" s="205">
        <v>45643</v>
      </c>
      <c r="B10337" s="208" t="s">
        <v>8060</v>
      </c>
      <c r="C10337" s="206" t="s">
        <v>4783</v>
      </c>
      <c r="D10337" s="211">
        <v>-613483000</v>
      </c>
      <c r="E10337" s="207">
        <v>45627</v>
      </c>
      <c r="F10337" s="206" t="s">
        <v>8050</v>
      </c>
      <c r="G10337" s="206" t="s">
        <v>583</v>
      </c>
      <c r="H10337" s="206" t="s">
        <v>8061</v>
      </c>
      <c r="I10337" s="206"/>
    </row>
    <row r="10338" spans="1:9" ht="15" hidden="1" customHeight="1">
      <c r="A10338" s="205">
        <v>45643</v>
      </c>
      <c r="B10338" s="208" t="s">
        <v>8062</v>
      </c>
      <c r="C10338" s="206" t="s">
        <v>4783</v>
      </c>
      <c r="D10338" s="211">
        <v>-103734150</v>
      </c>
      <c r="E10338" s="207">
        <v>45627</v>
      </c>
      <c r="F10338" s="206" t="s">
        <v>8050</v>
      </c>
      <c r="G10338" s="206" t="s">
        <v>583</v>
      </c>
      <c r="H10338" s="206" t="s">
        <v>418</v>
      </c>
      <c r="I10338" s="206"/>
    </row>
    <row r="10339" spans="1:9" ht="15" hidden="1" customHeight="1">
      <c r="A10339" s="205">
        <v>45643</v>
      </c>
      <c r="B10339" s="208" t="s">
        <v>8062</v>
      </c>
      <c r="C10339" s="206" t="s">
        <v>4783</v>
      </c>
      <c r="D10339" s="211">
        <v>-103734150</v>
      </c>
      <c r="E10339" s="207">
        <v>45627</v>
      </c>
      <c r="F10339" s="206" t="s">
        <v>8050</v>
      </c>
      <c r="G10339" s="206" t="s">
        <v>10</v>
      </c>
      <c r="H10339" s="206" t="s">
        <v>418</v>
      </c>
      <c r="I10339" s="206"/>
    </row>
    <row r="10340" spans="1:9" ht="15" hidden="1" customHeight="1">
      <c r="A10340" s="205">
        <v>45643</v>
      </c>
      <c r="B10340" s="208" t="s">
        <v>8063</v>
      </c>
      <c r="C10340" s="206" t="s">
        <v>4783</v>
      </c>
      <c r="D10340" s="211">
        <v>7295391</v>
      </c>
      <c r="E10340" s="207">
        <v>45627</v>
      </c>
      <c r="F10340" s="206" t="s">
        <v>8050</v>
      </c>
      <c r="G10340" s="206" t="s">
        <v>918</v>
      </c>
      <c r="I10340" s="206"/>
    </row>
    <row r="10341" spans="1:9" ht="15" hidden="1" customHeight="1">
      <c r="A10341" s="205">
        <v>45643</v>
      </c>
      <c r="B10341" s="208" t="s">
        <v>8064</v>
      </c>
      <c r="C10341" s="206" t="s">
        <v>4783</v>
      </c>
      <c r="D10341" s="211">
        <v>14280176</v>
      </c>
      <c r="E10341" s="207">
        <v>45627</v>
      </c>
      <c r="F10341" s="206" t="s">
        <v>8050</v>
      </c>
      <c r="G10341" s="206" t="s">
        <v>4986</v>
      </c>
      <c r="H10341" s="206" t="s">
        <v>123</v>
      </c>
      <c r="I10341" s="206"/>
    </row>
    <row r="10342" spans="1:9" ht="15" customHeight="1">
      <c r="A10342" s="205"/>
      <c r="I10342" s="206"/>
    </row>
    <row r="10343" spans="1:9" ht="15" customHeight="1">
      <c r="A10343" s="205"/>
      <c r="I10343" s="206"/>
    </row>
    <row r="10344" spans="1:9" ht="15" customHeight="1">
      <c r="A10344" s="205"/>
      <c r="I10344" s="206"/>
    </row>
    <row r="10345" spans="1:9" ht="15" customHeight="1">
      <c r="A10345" s="205"/>
      <c r="I10345" s="206"/>
    </row>
    <row r="10346" spans="1:9" ht="15" customHeight="1">
      <c r="A10346" s="205"/>
      <c r="I10346" s="206"/>
    </row>
    <row r="10347" spans="1:9" ht="15" customHeight="1">
      <c r="A10347" s="205"/>
      <c r="I10347" s="206"/>
    </row>
    <row r="10348" spans="1:9" ht="15" customHeight="1">
      <c r="A10348" s="205"/>
      <c r="I10348" s="206"/>
    </row>
    <row r="10349" spans="1:9" ht="15" customHeight="1">
      <c r="A10349" s="205"/>
      <c r="I10349" s="206"/>
    </row>
    <row r="10350" spans="1:9" ht="15" customHeight="1">
      <c r="A10350" s="205"/>
      <c r="I10350" s="206"/>
    </row>
    <row r="10351" spans="1:9" ht="15" customHeight="1">
      <c r="A10351" s="205"/>
      <c r="I10351" s="206"/>
    </row>
    <row r="10352" spans="1:9" ht="15" customHeight="1">
      <c r="A10352" s="205"/>
      <c r="I10352" s="206"/>
    </row>
    <row r="10353" spans="1:9" ht="15" customHeight="1">
      <c r="A10353" s="205"/>
      <c r="I10353" s="206"/>
    </row>
    <row r="10354" spans="1:9" ht="15" customHeight="1">
      <c r="A10354" s="205"/>
      <c r="I10354" s="206"/>
    </row>
    <row r="10355" spans="1:9" ht="15" customHeight="1">
      <c r="A10355" s="205"/>
      <c r="I10355" s="206"/>
    </row>
    <row r="10356" spans="1:9" ht="15" customHeight="1">
      <c r="A10356" s="205"/>
      <c r="I10356" s="206"/>
    </row>
    <row r="10357" spans="1:9" ht="15" customHeight="1">
      <c r="A10357" s="205"/>
      <c r="I10357" s="206"/>
    </row>
    <row r="10358" spans="1:9" ht="15" customHeight="1">
      <c r="A10358" s="205"/>
      <c r="I10358" s="206"/>
    </row>
    <row r="10359" spans="1:9" ht="15" customHeight="1">
      <c r="A10359" s="205"/>
      <c r="I10359" s="206"/>
    </row>
    <row r="10360" spans="1:9" ht="15" customHeight="1">
      <c r="A10360" s="205"/>
      <c r="I10360" s="206"/>
    </row>
    <row r="10361" spans="1:9" ht="15" customHeight="1">
      <c r="A10361" s="205"/>
      <c r="I10361" s="206"/>
    </row>
    <row r="10362" spans="1:9" ht="15" customHeight="1">
      <c r="A10362" s="205"/>
      <c r="I10362" s="206"/>
    </row>
    <row r="10363" spans="1:9" ht="15" customHeight="1">
      <c r="A10363" s="205"/>
      <c r="I10363" s="206"/>
    </row>
    <row r="10364" spans="1:9" ht="15" customHeight="1">
      <c r="A10364" s="205"/>
      <c r="I10364" s="206"/>
    </row>
    <row r="10365" spans="1:9" ht="15" customHeight="1">
      <c r="A10365" s="205"/>
      <c r="I10365" s="206"/>
    </row>
    <row r="10366" spans="1:9" ht="15" customHeight="1">
      <c r="A10366" s="205"/>
      <c r="I10366" s="206"/>
    </row>
    <row r="10367" spans="1:9" ht="15" customHeight="1">
      <c r="A10367" s="205"/>
      <c r="I10367" s="206"/>
    </row>
    <row r="10368" spans="1:9" ht="15" customHeight="1">
      <c r="A10368" s="205"/>
      <c r="I10368" s="206"/>
    </row>
    <row r="10369" spans="1:9" ht="15" customHeight="1">
      <c r="A10369" s="205"/>
      <c r="I10369" s="206"/>
    </row>
    <row r="10370" spans="1:9" ht="15" customHeight="1">
      <c r="A10370" s="205"/>
      <c r="I10370" s="206"/>
    </row>
    <row r="10371" spans="1:9" ht="15" customHeight="1">
      <c r="A10371" s="205"/>
      <c r="I10371" s="206"/>
    </row>
    <row r="10372" spans="1:9" ht="15" customHeight="1">
      <c r="A10372" s="205"/>
      <c r="I10372" s="206"/>
    </row>
    <row r="10373" spans="1:9" ht="15" customHeight="1">
      <c r="A10373" s="205"/>
      <c r="I10373" s="206"/>
    </row>
    <row r="10374" spans="1:9" ht="15" customHeight="1">
      <c r="A10374" s="205"/>
      <c r="I10374" s="206"/>
    </row>
    <row r="10375" spans="1:9" ht="15" customHeight="1">
      <c r="A10375" s="205"/>
      <c r="I10375" s="206"/>
    </row>
    <row r="10376" spans="1:9" ht="15" customHeight="1">
      <c r="A10376" s="205"/>
      <c r="I10376" s="206"/>
    </row>
    <row r="10377" spans="1:9" ht="15" customHeight="1">
      <c r="A10377" s="205"/>
      <c r="I10377" s="206"/>
    </row>
    <row r="10378" spans="1:9" ht="15" customHeight="1">
      <c r="A10378" s="205"/>
      <c r="I10378" s="206"/>
    </row>
    <row r="10379" spans="1:9" ht="15" customHeight="1">
      <c r="A10379" s="205"/>
      <c r="I10379" s="206"/>
    </row>
    <row r="10380" spans="1:9" ht="15" customHeight="1">
      <c r="A10380" s="205"/>
      <c r="I10380" s="206"/>
    </row>
    <row r="10381" spans="1:9" ht="15" customHeight="1">
      <c r="A10381" s="205"/>
      <c r="I10381" s="206"/>
    </row>
    <row r="10382" spans="1:9" ht="15" customHeight="1">
      <c r="A10382" s="205"/>
      <c r="I10382" s="206"/>
    </row>
    <row r="10383" spans="1:9" ht="15" customHeight="1">
      <c r="A10383" s="205"/>
      <c r="I10383" s="206"/>
    </row>
    <row r="10384" spans="1:9" ht="15" customHeight="1">
      <c r="A10384" s="205"/>
      <c r="I10384" s="206"/>
    </row>
    <row r="10385" spans="1:9" ht="15" customHeight="1">
      <c r="A10385" s="205"/>
      <c r="I10385" s="206"/>
    </row>
    <row r="10386" spans="1:9" ht="15" customHeight="1">
      <c r="A10386" s="205"/>
      <c r="I10386" s="206"/>
    </row>
    <row r="10387" spans="1:9" ht="15" customHeight="1">
      <c r="A10387" s="205"/>
      <c r="I10387" s="206"/>
    </row>
    <row r="10388" spans="1:9" ht="15" customHeight="1">
      <c r="A10388" s="205"/>
      <c r="I10388" s="206"/>
    </row>
    <row r="10389" spans="1:9" ht="15" customHeight="1">
      <c r="A10389" s="205"/>
      <c r="I10389" s="206"/>
    </row>
    <row r="10390" spans="1:9" ht="15" customHeight="1">
      <c r="A10390" s="205"/>
      <c r="I10390" s="206"/>
    </row>
    <row r="10391" spans="1:9" ht="15" customHeight="1">
      <c r="A10391" s="205"/>
      <c r="I10391" s="206"/>
    </row>
    <row r="10392" spans="1:9" ht="15" customHeight="1">
      <c r="A10392" s="205"/>
      <c r="I10392" s="206"/>
    </row>
    <row r="10393" spans="1:9" ht="15" customHeight="1">
      <c r="A10393" s="205"/>
      <c r="I10393" s="206"/>
    </row>
    <row r="10394" spans="1:9" ht="15" customHeight="1">
      <c r="A10394" s="205"/>
      <c r="I10394" s="206"/>
    </row>
    <row r="10395" spans="1:9" ht="15" customHeight="1">
      <c r="A10395" s="205"/>
      <c r="I10395" s="206"/>
    </row>
    <row r="10396" spans="1:9" ht="15" customHeight="1">
      <c r="A10396" s="205"/>
      <c r="I10396" s="206"/>
    </row>
    <row r="10397" spans="1:9" ht="15" customHeight="1">
      <c r="A10397" s="205"/>
      <c r="I10397" s="206"/>
    </row>
    <row r="10398" spans="1:9" ht="15" customHeight="1">
      <c r="A10398" s="205"/>
      <c r="I10398" s="206"/>
    </row>
    <row r="10399" spans="1:9" ht="15" customHeight="1">
      <c r="A10399" s="205"/>
      <c r="I10399" s="206"/>
    </row>
    <row r="10400" spans="1:9" ht="15" customHeight="1">
      <c r="A10400" s="205"/>
      <c r="I10400" s="206"/>
    </row>
    <row r="10401" spans="1:9" ht="15" customHeight="1">
      <c r="A10401" s="205"/>
      <c r="I10401" s="206"/>
    </row>
    <row r="10402" spans="1:9" ht="15" customHeight="1">
      <c r="A10402" s="205"/>
      <c r="I10402" s="206"/>
    </row>
    <row r="10403" spans="1:9" ht="15" customHeight="1">
      <c r="A10403" s="205"/>
      <c r="I10403" s="206"/>
    </row>
    <row r="10404" spans="1:9" ht="15" customHeight="1">
      <c r="A10404" s="205"/>
      <c r="I10404" s="206"/>
    </row>
    <row r="10405" spans="1:9" ht="15" customHeight="1">
      <c r="A10405" s="205"/>
      <c r="I10405" s="206"/>
    </row>
    <row r="10406" spans="1:9" ht="15" customHeight="1">
      <c r="A10406" s="205"/>
      <c r="I10406" s="206"/>
    </row>
    <row r="10407" spans="1:9" ht="15" customHeight="1">
      <c r="A10407" s="205"/>
      <c r="I10407" s="206"/>
    </row>
    <row r="10408" spans="1:9" ht="15" customHeight="1">
      <c r="A10408" s="205"/>
      <c r="I10408" s="206"/>
    </row>
    <row r="10409" spans="1:9" ht="15" customHeight="1">
      <c r="A10409" s="205"/>
      <c r="I10409" s="206"/>
    </row>
    <row r="10410" spans="1:9" ht="15" customHeight="1">
      <c r="A10410" s="205"/>
      <c r="I10410" s="206"/>
    </row>
    <row r="10411" spans="1:9" ht="15" customHeight="1">
      <c r="A10411" s="205"/>
      <c r="I10411" s="206"/>
    </row>
    <row r="10412" spans="1:9" ht="15" customHeight="1">
      <c r="A10412" s="205"/>
      <c r="I10412" s="206"/>
    </row>
    <row r="10413" spans="1:9" ht="15" customHeight="1">
      <c r="A10413" s="205"/>
      <c r="I10413" s="206"/>
    </row>
    <row r="10414" spans="1:9" ht="15" customHeight="1">
      <c r="A10414" s="205"/>
      <c r="I10414" s="206"/>
    </row>
    <row r="10415" spans="1:9" ht="15" customHeight="1">
      <c r="A10415" s="205"/>
      <c r="I10415" s="206"/>
    </row>
    <row r="10416" spans="1:9" ht="15" customHeight="1">
      <c r="A10416" s="205"/>
      <c r="I10416" s="206"/>
    </row>
    <row r="10417" spans="1:9" ht="15" customHeight="1">
      <c r="A10417" s="205"/>
      <c r="I10417" s="206"/>
    </row>
    <row r="10418" spans="1:9" ht="15" customHeight="1">
      <c r="A10418" s="205"/>
      <c r="I10418" s="206"/>
    </row>
    <row r="10419" spans="1:9" ht="15" customHeight="1">
      <c r="A10419" s="205"/>
      <c r="I10419" s="206"/>
    </row>
    <row r="10420" spans="1:9" ht="15" customHeight="1">
      <c r="A10420" s="205"/>
      <c r="I10420" s="206"/>
    </row>
    <row r="10421" spans="1:9" ht="15" customHeight="1">
      <c r="A10421" s="205"/>
      <c r="I10421" s="206"/>
    </row>
    <row r="10422" spans="1:9" ht="15" customHeight="1">
      <c r="A10422" s="205"/>
      <c r="I10422" s="206"/>
    </row>
    <row r="10423" spans="1:9" ht="15" customHeight="1">
      <c r="A10423" s="205"/>
      <c r="I10423" s="206"/>
    </row>
    <row r="10424" spans="1:9" ht="15" customHeight="1">
      <c r="A10424" s="205"/>
      <c r="I10424" s="206"/>
    </row>
    <row r="10425" spans="1:9" ht="15" customHeight="1">
      <c r="A10425" s="205"/>
      <c r="I10425" s="206"/>
    </row>
    <row r="10426" spans="1:9" ht="15" customHeight="1">
      <c r="A10426" s="205"/>
      <c r="I10426" s="206"/>
    </row>
    <row r="10427" spans="1:9" ht="15" customHeight="1">
      <c r="A10427" s="205"/>
      <c r="I10427" s="206"/>
    </row>
    <row r="10428" spans="1:9" ht="15" customHeight="1">
      <c r="A10428" s="205"/>
      <c r="I10428" s="206"/>
    </row>
    <row r="10429" spans="1:9" ht="15" customHeight="1">
      <c r="A10429" s="205"/>
      <c r="I10429" s="206"/>
    </row>
    <row r="10430" spans="1:9" ht="15" customHeight="1">
      <c r="A10430" s="205"/>
      <c r="I10430" s="206"/>
    </row>
    <row r="10431" spans="1:9" ht="15" customHeight="1">
      <c r="A10431" s="205"/>
      <c r="I10431" s="206"/>
    </row>
    <row r="10432" spans="1:9" ht="15" customHeight="1">
      <c r="A10432" s="205"/>
      <c r="I10432" s="206"/>
    </row>
    <row r="10433" spans="1:9" ht="15" customHeight="1">
      <c r="A10433" s="205"/>
      <c r="I10433" s="206"/>
    </row>
    <row r="10434" spans="1:9" ht="15" customHeight="1">
      <c r="A10434" s="205"/>
      <c r="I10434" s="206"/>
    </row>
    <row r="10435" spans="1:9" ht="15" customHeight="1">
      <c r="A10435" s="205"/>
      <c r="I10435" s="206"/>
    </row>
    <row r="10436" spans="1:9" ht="15" customHeight="1">
      <c r="A10436" s="205"/>
      <c r="I10436" s="206"/>
    </row>
    <row r="10437" spans="1:9" ht="15" customHeight="1">
      <c r="A10437" s="205"/>
      <c r="I10437" s="206"/>
    </row>
    <row r="10438" spans="1:9" ht="15" customHeight="1">
      <c r="A10438" s="205"/>
      <c r="I10438" s="206"/>
    </row>
    <row r="10439" spans="1:9" ht="15" customHeight="1">
      <c r="A10439" s="205"/>
      <c r="I10439" s="206"/>
    </row>
    <row r="10440" spans="1:9" ht="15" customHeight="1">
      <c r="A10440" s="205"/>
      <c r="I10440" s="206"/>
    </row>
    <row r="10441" spans="1:9" ht="15" customHeight="1">
      <c r="A10441" s="205"/>
      <c r="I10441" s="206"/>
    </row>
    <row r="10442" spans="1:9" ht="15" customHeight="1">
      <c r="A10442" s="205"/>
      <c r="I10442" s="206"/>
    </row>
    <row r="10443" spans="1:9" ht="15" customHeight="1">
      <c r="A10443" s="205"/>
      <c r="I10443" s="206"/>
    </row>
    <row r="10444" spans="1:9" ht="15" customHeight="1">
      <c r="A10444" s="205"/>
      <c r="I10444" s="206"/>
    </row>
    <row r="10445" spans="1:9" ht="15" customHeight="1">
      <c r="A10445" s="205"/>
      <c r="I10445" s="206"/>
    </row>
    <row r="10446" spans="1:9" ht="15" customHeight="1">
      <c r="A10446" s="205"/>
      <c r="I10446" s="206"/>
    </row>
    <row r="10447" spans="1:9" ht="15" customHeight="1">
      <c r="A10447" s="205"/>
      <c r="I10447" s="206"/>
    </row>
    <row r="10448" spans="1:9" ht="15" customHeight="1">
      <c r="A10448" s="205"/>
      <c r="I10448" s="206"/>
    </row>
    <row r="10449" spans="1:9" ht="15" customHeight="1">
      <c r="A10449" s="205"/>
      <c r="I10449" s="206"/>
    </row>
    <row r="10450" spans="1:9" ht="15" customHeight="1">
      <c r="A10450" s="205"/>
      <c r="I10450" s="206"/>
    </row>
    <row r="10451" spans="1:9" ht="15" customHeight="1">
      <c r="A10451" s="205"/>
      <c r="I10451" s="206"/>
    </row>
    <row r="10452" spans="1:9" ht="15" customHeight="1">
      <c r="A10452" s="205"/>
      <c r="I10452" s="206"/>
    </row>
    <row r="10453" spans="1:9" ht="15" customHeight="1">
      <c r="A10453" s="205"/>
      <c r="I10453" s="206"/>
    </row>
    <row r="10454" spans="1:9" ht="15" customHeight="1">
      <c r="A10454" s="205"/>
      <c r="I10454" s="206"/>
    </row>
    <row r="10455" spans="1:9" ht="15" customHeight="1">
      <c r="A10455" s="205"/>
      <c r="I10455" s="206"/>
    </row>
    <row r="10456" spans="1:9" ht="15" customHeight="1">
      <c r="A10456" s="205"/>
      <c r="I10456" s="206"/>
    </row>
    <row r="10457" spans="1:9" ht="15" customHeight="1">
      <c r="A10457" s="205"/>
      <c r="I10457" s="206"/>
    </row>
    <row r="10458" spans="1:9" ht="15" customHeight="1">
      <c r="A10458" s="205"/>
      <c r="I10458" s="206"/>
    </row>
    <row r="10459" spans="1:9" ht="15" customHeight="1">
      <c r="A10459" s="205"/>
      <c r="I10459" s="206"/>
    </row>
    <row r="10460" spans="1:9" ht="15" customHeight="1">
      <c r="A10460" s="205"/>
      <c r="I10460" s="206"/>
    </row>
    <row r="10461" spans="1:9" ht="15" customHeight="1">
      <c r="A10461" s="205"/>
      <c r="I10461" s="206"/>
    </row>
    <row r="10462" spans="1:9" ht="15" customHeight="1">
      <c r="A10462" s="205"/>
      <c r="I10462" s="206"/>
    </row>
    <row r="10463" spans="1:9" ht="15" customHeight="1">
      <c r="A10463" s="205"/>
      <c r="I10463" s="206"/>
    </row>
    <row r="10464" spans="1:9" ht="15" customHeight="1">
      <c r="A10464" s="205"/>
      <c r="I10464" s="206"/>
    </row>
    <row r="10465" spans="1:9" ht="15" customHeight="1">
      <c r="A10465" s="205"/>
      <c r="I10465" s="206"/>
    </row>
    <row r="10466" spans="1:9" ht="15" customHeight="1">
      <c r="A10466" s="205"/>
      <c r="I10466" s="206"/>
    </row>
    <row r="10467" spans="1:9" ht="15" customHeight="1">
      <c r="A10467" s="205"/>
      <c r="I10467" s="206"/>
    </row>
    <row r="10468" spans="1:9" ht="15" customHeight="1">
      <c r="A10468" s="205"/>
      <c r="I10468" s="206"/>
    </row>
    <row r="10469" spans="1:9" ht="15" customHeight="1">
      <c r="A10469" s="205"/>
      <c r="I10469" s="206"/>
    </row>
    <row r="10470" spans="1:9" ht="15" customHeight="1">
      <c r="A10470" s="205"/>
      <c r="I10470" s="206"/>
    </row>
    <row r="10471" spans="1:9" ht="15" customHeight="1">
      <c r="A10471" s="205"/>
      <c r="I10471" s="206"/>
    </row>
    <row r="10472" spans="1:9" ht="15" customHeight="1">
      <c r="A10472" s="205"/>
      <c r="I10472" s="206"/>
    </row>
    <row r="10473" spans="1:9" ht="15" customHeight="1">
      <c r="A10473" s="205"/>
      <c r="I10473" s="206"/>
    </row>
    <row r="10474" spans="1:9" ht="15" customHeight="1">
      <c r="A10474" s="205"/>
      <c r="I10474" s="206"/>
    </row>
    <row r="10475" spans="1:9" ht="15" customHeight="1">
      <c r="A10475" s="205"/>
      <c r="I10475" s="206"/>
    </row>
    <row r="10476" spans="1:9" ht="15" customHeight="1">
      <c r="A10476" s="205"/>
      <c r="I10476" s="206"/>
    </row>
    <row r="10477" spans="1:9" ht="15" customHeight="1">
      <c r="A10477" s="205"/>
      <c r="I10477" s="206"/>
    </row>
    <row r="10478" spans="1:9" ht="15" customHeight="1">
      <c r="A10478" s="205"/>
      <c r="I10478" s="206"/>
    </row>
    <row r="10479" spans="1:9" ht="15" customHeight="1">
      <c r="A10479" s="205"/>
      <c r="I10479" s="206"/>
    </row>
    <row r="10480" spans="1:9" ht="15" customHeight="1">
      <c r="A10480" s="205"/>
      <c r="I10480" s="206"/>
    </row>
    <row r="10481" spans="1:9" ht="15" customHeight="1">
      <c r="A10481" s="205"/>
      <c r="I10481" s="206"/>
    </row>
    <row r="10482" spans="1:9" ht="15" customHeight="1">
      <c r="A10482" s="205"/>
      <c r="I10482" s="206"/>
    </row>
    <row r="10483" spans="1:9" ht="15" customHeight="1">
      <c r="A10483" s="205"/>
      <c r="I10483" s="206"/>
    </row>
    <row r="10484" spans="1:9" ht="15" customHeight="1">
      <c r="A10484" s="205"/>
      <c r="I10484" s="206"/>
    </row>
    <row r="10485" spans="1:9" ht="15" customHeight="1">
      <c r="A10485" s="205"/>
      <c r="I10485" s="206"/>
    </row>
    <row r="10486" spans="1:9" ht="15" customHeight="1">
      <c r="A10486" s="205"/>
      <c r="I10486" s="206"/>
    </row>
    <row r="10487" spans="1:9" ht="15" customHeight="1">
      <c r="A10487" s="205"/>
      <c r="I10487" s="206"/>
    </row>
    <row r="10488" spans="1:9" ht="15" customHeight="1">
      <c r="A10488" s="205"/>
      <c r="I10488" s="206"/>
    </row>
    <row r="10489" spans="1:9" ht="15" customHeight="1">
      <c r="A10489" s="205"/>
      <c r="I10489" s="206"/>
    </row>
    <row r="10490" spans="1:9" ht="15" customHeight="1">
      <c r="A10490" s="205"/>
      <c r="I10490" s="206"/>
    </row>
    <row r="10491" spans="1:9" ht="15" customHeight="1">
      <c r="A10491" s="205"/>
      <c r="I10491" s="206"/>
    </row>
    <row r="10492" spans="1:9" ht="15" customHeight="1">
      <c r="A10492" s="205"/>
      <c r="I10492" s="206"/>
    </row>
    <row r="10493" spans="1:9" ht="15" customHeight="1">
      <c r="A10493" s="205"/>
      <c r="I10493" s="206"/>
    </row>
    <row r="10494" spans="1:9" ht="15" customHeight="1">
      <c r="A10494" s="205"/>
      <c r="I10494" s="206"/>
    </row>
    <row r="10495" spans="1:9" ht="15" customHeight="1">
      <c r="A10495" s="205"/>
      <c r="I10495" s="206"/>
    </row>
    <row r="10496" spans="1:9" ht="15" customHeight="1">
      <c r="A10496" s="205"/>
      <c r="I10496" s="206"/>
    </row>
    <row r="10497" spans="1:9" ht="15" customHeight="1">
      <c r="A10497" s="205"/>
      <c r="I10497" s="206"/>
    </row>
    <row r="10498" spans="1:9" ht="15" customHeight="1">
      <c r="A10498" s="205"/>
      <c r="I10498" s="206"/>
    </row>
    <row r="10499" spans="1:9" ht="15" customHeight="1">
      <c r="A10499" s="205"/>
      <c r="I10499" s="206"/>
    </row>
    <row r="10500" spans="1:9" ht="15" customHeight="1">
      <c r="A10500" s="205"/>
      <c r="I10500" s="206"/>
    </row>
    <row r="10501" spans="1:9" ht="15" customHeight="1">
      <c r="A10501" s="205"/>
      <c r="I10501" s="206"/>
    </row>
    <row r="10502" spans="1:9" ht="15" customHeight="1">
      <c r="A10502" s="205"/>
      <c r="I10502" s="206"/>
    </row>
    <row r="10503" spans="1:9" ht="15" customHeight="1">
      <c r="A10503" s="205"/>
      <c r="I10503" s="206"/>
    </row>
    <row r="10504" spans="1:9" ht="15" customHeight="1">
      <c r="A10504" s="205"/>
      <c r="I10504" s="206"/>
    </row>
    <row r="10505" spans="1:9" ht="15" customHeight="1">
      <c r="A10505" s="205"/>
      <c r="I10505" s="206"/>
    </row>
    <row r="10506" spans="1:9" ht="15" customHeight="1">
      <c r="A10506" s="205"/>
      <c r="I10506" s="206"/>
    </row>
    <row r="10507" spans="1:9" ht="15" customHeight="1">
      <c r="A10507" s="205"/>
      <c r="I10507" s="206"/>
    </row>
    <row r="10508" spans="1:9" ht="15" customHeight="1">
      <c r="A10508" s="205"/>
      <c r="I10508" s="206"/>
    </row>
    <row r="10509" spans="1:9" ht="15" customHeight="1">
      <c r="A10509" s="205"/>
      <c r="I10509" s="206"/>
    </row>
    <row r="10510" spans="1:9" ht="15" customHeight="1">
      <c r="A10510" s="205"/>
      <c r="I10510" s="206"/>
    </row>
    <row r="10511" spans="1:9" ht="15" customHeight="1">
      <c r="A10511" s="205"/>
      <c r="I10511" s="206"/>
    </row>
    <row r="10512" spans="1:9" ht="15" customHeight="1">
      <c r="A10512" s="205"/>
      <c r="I10512" s="206"/>
    </row>
    <row r="10513" spans="1:9" ht="15" customHeight="1">
      <c r="A10513" s="205"/>
      <c r="I10513" s="206"/>
    </row>
    <row r="10514" spans="1:9" ht="15" customHeight="1">
      <c r="A10514" s="205"/>
      <c r="I10514" s="206"/>
    </row>
    <row r="10515" spans="1:9" ht="15" customHeight="1">
      <c r="A10515" s="205"/>
      <c r="I10515" s="206"/>
    </row>
    <row r="10516" spans="1:9" ht="15" customHeight="1">
      <c r="A10516" s="205"/>
      <c r="I10516" s="206"/>
    </row>
    <row r="10517" spans="1:9" ht="15" customHeight="1">
      <c r="A10517" s="205"/>
      <c r="I10517" s="206"/>
    </row>
    <row r="10518" spans="1:9" ht="15" customHeight="1">
      <c r="A10518" s="205"/>
      <c r="I10518" s="206"/>
    </row>
    <row r="10519" spans="1:9" ht="15" customHeight="1">
      <c r="A10519" s="205"/>
      <c r="I10519" s="206"/>
    </row>
    <row r="10520" spans="1:9" ht="15" customHeight="1">
      <c r="A10520" s="205"/>
      <c r="I10520" s="206"/>
    </row>
    <row r="10521" spans="1:9" ht="15" customHeight="1">
      <c r="A10521" s="205"/>
      <c r="I10521" s="206"/>
    </row>
    <row r="10522" spans="1:9" ht="15" customHeight="1">
      <c r="A10522" s="205"/>
      <c r="I10522" s="206"/>
    </row>
    <row r="10523" spans="1:9" ht="15" customHeight="1">
      <c r="A10523" s="205"/>
      <c r="I10523" s="206"/>
    </row>
    <row r="10524" spans="1:9" ht="15" customHeight="1">
      <c r="A10524" s="205"/>
      <c r="I10524" s="206"/>
    </row>
    <row r="10525" spans="1:9" ht="15" customHeight="1">
      <c r="A10525" s="205"/>
      <c r="I10525" s="206"/>
    </row>
    <row r="10526" spans="1:9" ht="15" customHeight="1">
      <c r="A10526" s="205"/>
      <c r="I10526" s="206"/>
    </row>
    <row r="10527" spans="1:9" ht="15" customHeight="1">
      <c r="A10527" s="205"/>
      <c r="I10527" s="206"/>
    </row>
    <row r="10528" spans="1:9" ht="15" customHeight="1">
      <c r="A10528" s="205"/>
      <c r="I10528" s="206"/>
    </row>
    <row r="10529" spans="1:9" ht="15" customHeight="1">
      <c r="A10529" s="205"/>
      <c r="I10529" s="206"/>
    </row>
    <row r="10530" spans="1:9" ht="15" customHeight="1">
      <c r="A10530" s="205"/>
      <c r="I10530" s="206"/>
    </row>
    <row r="10531" spans="1:9" ht="15" customHeight="1">
      <c r="A10531" s="205"/>
      <c r="I10531" s="206"/>
    </row>
    <row r="10532" spans="1:9" ht="15" customHeight="1">
      <c r="A10532" s="205"/>
      <c r="I10532" s="206"/>
    </row>
    <row r="10533" spans="1:9" ht="15" customHeight="1">
      <c r="A10533" s="205"/>
      <c r="I10533" s="206"/>
    </row>
    <row r="10534" spans="1:9" ht="15" customHeight="1">
      <c r="A10534" s="205"/>
      <c r="I10534" s="206"/>
    </row>
    <row r="10535" spans="1:9" ht="15" customHeight="1">
      <c r="A10535" s="205"/>
      <c r="I10535" s="206"/>
    </row>
    <row r="10536" spans="1:9" ht="15" customHeight="1">
      <c r="A10536" s="205"/>
      <c r="I10536" s="206"/>
    </row>
    <row r="10537" spans="1:9" ht="15" customHeight="1">
      <c r="A10537" s="205"/>
      <c r="I10537" s="206"/>
    </row>
    <row r="10538" spans="1:9" ht="15" customHeight="1">
      <c r="A10538" s="205"/>
      <c r="I10538" s="206"/>
    </row>
    <row r="10539" spans="1:9" ht="15" customHeight="1">
      <c r="A10539" s="205"/>
      <c r="I10539" s="206"/>
    </row>
    <row r="10540" spans="1:9" ht="15" customHeight="1">
      <c r="A10540" s="205"/>
      <c r="I10540" s="206"/>
    </row>
    <row r="10541" spans="1:9" ht="15" customHeight="1">
      <c r="A10541" s="205"/>
      <c r="I10541" s="206"/>
    </row>
    <row r="10542" spans="1:9" ht="15" customHeight="1">
      <c r="A10542" s="205"/>
      <c r="I10542" s="206"/>
    </row>
    <row r="10543" spans="1:9" ht="15" customHeight="1">
      <c r="A10543" s="205"/>
      <c r="I10543" s="206"/>
    </row>
    <row r="10544" spans="1:9" ht="15" customHeight="1">
      <c r="A10544" s="205"/>
      <c r="I10544" s="206"/>
    </row>
    <row r="10545" spans="1:9" ht="15" customHeight="1">
      <c r="A10545" s="205"/>
      <c r="I10545" s="206"/>
    </row>
    <row r="10546" spans="1:9" ht="15" customHeight="1">
      <c r="A10546" s="205"/>
      <c r="I10546" s="206"/>
    </row>
    <row r="10547" spans="1:9" ht="15" customHeight="1">
      <c r="A10547" s="205"/>
      <c r="I10547" s="206"/>
    </row>
    <row r="10548" spans="1:9" ht="15" customHeight="1">
      <c r="A10548" s="205"/>
      <c r="I10548" s="206"/>
    </row>
    <row r="10549" spans="1:9" ht="15" customHeight="1">
      <c r="A10549" s="205"/>
      <c r="I10549" s="206"/>
    </row>
    <row r="10550" spans="1:9" ht="15" customHeight="1">
      <c r="A10550" s="205"/>
      <c r="I10550" s="206"/>
    </row>
    <row r="10551" spans="1:9" ht="15" customHeight="1">
      <c r="A10551" s="205"/>
      <c r="I10551" s="206"/>
    </row>
    <row r="10552" spans="1:9" ht="15" customHeight="1">
      <c r="A10552" s="205"/>
      <c r="I10552" s="206"/>
    </row>
    <row r="10553" spans="1:9" ht="15" customHeight="1">
      <c r="A10553" s="205"/>
      <c r="I10553" s="206"/>
    </row>
    <row r="10554" spans="1:9" ht="15" customHeight="1">
      <c r="A10554" s="205"/>
      <c r="I10554" s="206"/>
    </row>
    <row r="10555" spans="1:9" ht="15" customHeight="1">
      <c r="A10555" s="205"/>
      <c r="I10555" s="206"/>
    </row>
    <row r="10556" spans="1:9" ht="15" customHeight="1">
      <c r="A10556" s="205"/>
      <c r="I10556" s="206"/>
    </row>
    <row r="10557" spans="1:9" ht="15" customHeight="1">
      <c r="A10557" s="205"/>
      <c r="I10557" s="206"/>
    </row>
    <row r="10558" spans="1:9" ht="15" customHeight="1">
      <c r="A10558" s="205"/>
      <c r="I10558" s="206"/>
    </row>
    <row r="10559" spans="1:9" ht="15" customHeight="1">
      <c r="A10559" s="205"/>
      <c r="I10559" s="206"/>
    </row>
    <row r="10560" spans="1:9" ht="15" customHeight="1">
      <c r="A10560" s="205"/>
      <c r="I10560" s="206"/>
    </row>
    <row r="10561" spans="1:9" ht="15" customHeight="1">
      <c r="A10561" s="205"/>
      <c r="I10561" s="206"/>
    </row>
    <row r="10562" spans="1:9" ht="15" customHeight="1">
      <c r="A10562" s="205"/>
      <c r="I10562" s="206"/>
    </row>
    <row r="10563" spans="1:9" ht="15" customHeight="1">
      <c r="A10563" s="205"/>
      <c r="I10563" s="206"/>
    </row>
    <row r="10564" spans="1:9" ht="15" customHeight="1">
      <c r="A10564" s="205"/>
      <c r="I10564" s="206"/>
    </row>
    <row r="10565" spans="1:9" ht="15" customHeight="1">
      <c r="A10565" s="205"/>
      <c r="I10565" s="206"/>
    </row>
    <row r="10566" spans="1:9" ht="15" customHeight="1">
      <c r="A10566" s="205"/>
      <c r="I10566" s="206"/>
    </row>
    <row r="10567" spans="1:9" ht="15" customHeight="1">
      <c r="A10567" s="205"/>
      <c r="I10567" s="206"/>
    </row>
    <row r="10568" spans="1:9" ht="15" customHeight="1">
      <c r="A10568" s="205"/>
      <c r="I10568" s="206"/>
    </row>
    <row r="10569" spans="1:9" ht="15" customHeight="1">
      <c r="A10569" s="205"/>
      <c r="I10569" s="206"/>
    </row>
    <row r="10570" spans="1:9" ht="15" customHeight="1">
      <c r="A10570" s="205"/>
      <c r="I10570" s="206"/>
    </row>
    <row r="10571" spans="1:9" ht="15" customHeight="1">
      <c r="A10571" s="205"/>
      <c r="I10571" s="206"/>
    </row>
    <row r="10572" spans="1:9" ht="15" customHeight="1">
      <c r="A10572" s="205"/>
      <c r="I10572" s="206"/>
    </row>
    <row r="10573" spans="1:9" ht="15" customHeight="1">
      <c r="A10573" s="205"/>
      <c r="I10573" s="206"/>
    </row>
    <row r="10574" spans="1:9" ht="15" customHeight="1">
      <c r="A10574" s="205"/>
      <c r="I10574" s="206"/>
    </row>
    <row r="10575" spans="1:9" ht="15" customHeight="1">
      <c r="A10575" s="205"/>
      <c r="I10575" s="206"/>
    </row>
    <row r="10576" spans="1:9" ht="15" customHeight="1">
      <c r="A10576" s="205"/>
      <c r="I10576" s="206"/>
    </row>
    <row r="10577" spans="1:9" ht="15" customHeight="1">
      <c r="A10577" s="205"/>
      <c r="I10577" s="206"/>
    </row>
    <row r="10578" spans="1:9" ht="15" customHeight="1">
      <c r="A10578" s="205"/>
      <c r="I10578" s="206"/>
    </row>
    <row r="10579" spans="1:9" ht="15" customHeight="1">
      <c r="A10579" s="205"/>
      <c r="I10579" s="206"/>
    </row>
    <row r="10580" spans="1:9" ht="15" customHeight="1">
      <c r="A10580" s="205"/>
      <c r="I10580" s="206"/>
    </row>
    <row r="10581" spans="1:9" ht="15" customHeight="1">
      <c r="A10581" s="205"/>
      <c r="I10581" s="206"/>
    </row>
    <row r="10582" spans="1:9" ht="15" customHeight="1">
      <c r="A10582" s="205"/>
      <c r="I10582" s="206"/>
    </row>
    <row r="10583" spans="1:9" ht="15" customHeight="1">
      <c r="A10583" s="205"/>
      <c r="I10583" s="206"/>
    </row>
    <row r="10584" spans="1:9" ht="15" customHeight="1">
      <c r="A10584" s="205"/>
      <c r="I10584" s="206"/>
    </row>
    <row r="10585" spans="1:9" ht="15" customHeight="1">
      <c r="A10585" s="205"/>
      <c r="I10585" s="206"/>
    </row>
    <row r="10586" spans="1:9" ht="15" customHeight="1">
      <c r="A10586" s="205"/>
      <c r="I10586" s="206"/>
    </row>
    <row r="10587" spans="1:9" ht="15" customHeight="1">
      <c r="A10587" s="205"/>
      <c r="I10587" s="206"/>
    </row>
    <row r="10588" spans="1:9" ht="15" customHeight="1">
      <c r="A10588" s="205"/>
      <c r="I10588" s="206"/>
    </row>
    <row r="10589" spans="1:9" ht="15" customHeight="1">
      <c r="A10589" s="205"/>
      <c r="I10589" s="206"/>
    </row>
    <row r="10590" spans="1:9" ht="15" customHeight="1">
      <c r="A10590" s="205"/>
      <c r="I10590" s="206"/>
    </row>
    <row r="10591" spans="1:9" ht="15" customHeight="1">
      <c r="A10591" s="205"/>
      <c r="I10591" s="206"/>
    </row>
    <row r="10592" spans="1:9" ht="15" customHeight="1">
      <c r="A10592" s="205"/>
      <c r="I10592" s="206"/>
    </row>
    <row r="10593" spans="1:9" ht="15" customHeight="1">
      <c r="A10593" s="205"/>
      <c r="I10593" s="206"/>
    </row>
    <row r="10594" spans="1:9" ht="15" customHeight="1">
      <c r="A10594" s="205"/>
      <c r="I10594" s="206"/>
    </row>
    <row r="10595" spans="1:9" ht="15" customHeight="1">
      <c r="A10595" s="205"/>
      <c r="I10595" s="206"/>
    </row>
    <row r="10596" spans="1:9" ht="15" customHeight="1">
      <c r="A10596" s="205"/>
      <c r="I10596" s="206"/>
    </row>
    <row r="10597" spans="1:9" ht="15" customHeight="1">
      <c r="A10597" s="205"/>
      <c r="I10597" s="206"/>
    </row>
    <row r="10598" spans="1:9" ht="15" customHeight="1">
      <c r="A10598" s="205"/>
      <c r="I10598" s="206"/>
    </row>
    <row r="10599" spans="1:9" ht="15" customHeight="1">
      <c r="A10599" s="205"/>
      <c r="I10599" s="206"/>
    </row>
    <row r="10600" spans="1:9" ht="15" customHeight="1">
      <c r="A10600" s="205"/>
      <c r="I10600" s="206"/>
    </row>
    <row r="10601" spans="1:9" ht="15" customHeight="1">
      <c r="A10601" s="205"/>
      <c r="I10601" s="206"/>
    </row>
    <row r="10602" spans="1:9" ht="15" customHeight="1">
      <c r="A10602" s="205"/>
      <c r="I10602" s="206"/>
    </row>
    <row r="10603" spans="1:9" ht="15" customHeight="1">
      <c r="A10603" s="205"/>
      <c r="I10603" s="206"/>
    </row>
    <row r="10604" spans="1:9" ht="15" customHeight="1">
      <c r="A10604" s="205"/>
      <c r="I10604" s="206"/>
    </row>
    <row r="10605" spans="1:9" ht="15" customHeight="1">
      <c r="A10605" s="205"/>
      <c r="I10605" s="206"/>
    </row>
    <row r="10606" spans="1:9" ht="15" customHeight="1">
      <c r="A10606" s="205"/>
      <c r="I10606" s="206"/>
    </row>
    <row r="10607" spans="1:9" ht="15" customHeight="1">
      <c r="A10607" s="205"/>
      <c r="I10607" s="206"/>
    </row>
    <row r="10608" spans="1:9" ht="15" customHeight="1">
      <c r="A10608" s="205"/>
      <c r="I10608" s="206"/>
    </row>
    <row r="10609" spans="1:9" ht="15" customHeight="1">
      <c r="A10609" s="205"/>
      <c r="I10609" s="206"/>
    </row>
    <row r="10610" spans="1:9" ht="15" customHeight="1">
      <c r="A10610" s="205"/>
      <c r="I10610" s="206"/>
    </row>
    <row r="10611" spans="1:9" ht="15" customHeight="1">
      <c r="A10611" s="205"/>
      <c r="I10611" s="206"/>
    </row>
    <row r="10612" spans="1:9" ht="15" customHeight="1">
      <c r="A10612" s="205"/>
      <c r="I10612" s="206"/>
    </row>
    <row r="10613" spans="1:9" ht="15" customHeight="1">
      <c r="A10613" s="205"/>
      <c r="I10613" s="206"/>
    </row>
    <row r="10614" spans="1:9" ht="15" customHeight="1">
      <c r="A10614" s="205"/>
      <c r="I10614" s="206"/>
    </row>
    <row r="10615" spans="1:9" ht="15" customHeight="1">
      <c r="A10615" s="205"/>
      <c r="I10615" s="206"/>
    </row>
    <row r="10616" spans="1:9" ht="15" customHeight="1">
      <c r="A10616" s="205"/>
      <c r="I10616" s="206"/>
    </row>
    <row r="10617" spans="1:9" ht="15" customHeight="1">
      <c r="A10617" s="205"/>
      <c r="I10617" s="206"/>
    </row>
    <row r="10618" spans="1:9" ht="15" customHeight="1">
      <c r="A10618" s="205"/>
      <c r="I10618" s="206"/>
    </row>
    <row r="10619" spans="1:9" ht="15" customHeight="1">
      <c r="A10619" s="205"/>
      <c r="I10619" s="206"/>
    </row>
    <row r="10620" spans="1:9" ht="15" customHeight="1">
      <c r="A10620" s="205"/>
      <c r="I10620" s="206"/>
    </row>
    <row r="10621" spans="1:9" ht="15" customHeight="1">
      <c r="A10621" s="205"/>
      <c r="I10621" s="206"/>
    </row>
    <row r="10622" spans="1:9" ht="15" customHeight="1">
      <c r="A10622" s="205"/>
      <c r="I10622" s="206"/>
    </row>
    <row r="10623" spans="1:9" ht="15" customHeight="1">
      <c r="A10623" s="205"/>
      <c r="I10623" s="206"/>
    </row>
    <row r="10624" spans="1:9" ht="15" customHeight="1">
      <c r="A10624" s="205"/>
      <c r="I10624" s="206"/>
    </row>
    <row r="10625" spans="1:9" ht="15" customHeight="1">
      <c r="A10625" s="205"/>
      <c r="I10625" s="206"/>
    </row>
    <row r="10626" spans="1:9" ht="15" customHeight="1">
      <c r="A10626" s="205"/>
      <c r="I10626" s="206"/>
    </row>
    <row r="10627" spans="1:9" ht="15" customHeight="1">
      <c r="A10627" s="205"/>
      <c r="I10627" s="206"/>
    </row>
    <row r="10628" spans="1:9" ht="15" customHeight="1">
      <c r="A10628" s="205"/>
      <c r="I10628" s="206"/>
    </row>
    <row r="10629" spans="1:9" ht="15" customHeight="1">
      <c r="A10629" s="205"/>
      <c r="I10629" s="206"/>
    </row>
    <row r="10630" spans="1:9" ht="15" customHeight="1">
      <c r="A10630" s="205"/>
      <c r="I10630" s="206"/>
    </row>
    <row r="10631" spans="1:9" ht="15" customHeight="1">
      <c r="A10631" s="205"/>
      <c r="I10631" s="206"/>
    </row>
    <row r="10632" spans="1:9" ht="15" customHeight="1">
      <c r="A10632" s="205"/>
      <c r="I10632" s="206"/>
    </row>
    <row r="10633" spans="1:9" ht="15" customHeight="1">
      <c r="A10633" s="205"/>
      <c r="I10633" s="206"/>
    </row>
    <row r="10634" spans="1:9" ht="15" customHeight="1">
      <c r="A10634" s="205"/>
      <c r="I10634" s="206"/>
    </row>
    <row r="10635" spans="1:9" ht="15" customHeight="1">
      <c r="A10635" s="205"/>
      <c r="I10635" s="206"/>
    </row>
    <row r="10636" spans="1:9" ht="15" customHeight="1">
      <c r="A10636" s="205"/>
      <c r="I10636" s="206"/>
    </row>
    <row r="10637" spans="1:9" ht="15" customHeight="1">
      <c r="A10637" s="205"/>
      <c r="I10637" s="206"/>
    </row>
    <row r="10638" spans="1:9" ht="15" customHeight="1">
      <c r="A10638" s="205"/>
      <c r="I10638" s="206"/>
    </row>
    <row r="10639" spans="1:9" ht="15" customHeight="1">
      <c r="A10639" s="205"/>
      <c r="I10639" s="206"/>
    </row>
    <row r="10640" spans="1:9" ht="15" customHeight="1">
      <c r="A10640" s="205"/>
      <c r="I10640" s="206"/>
    </row>
    <row r="10641" spans="1:9" ht="15" customHeight="1">
      <c r="A10641" s="205"/>
      <c r="I10641" s="206"/>
    </row>
    <row r="10642" spans="1:9" ht="15" customHeight="1">
      <c r="A10642" s="205"/>
      <c r="I10642" s="206"/>
    </row>
    <row r="10643" spans="1:9" ht="15" customHeight="1">
      <c r="A10643" s="205"/>
      <c r="I10643" s="206"/>
    </row>
    <row r="10644" spans="1:9" ht="15" customHeight="1">
      <c r="A10644" s="205"/>
      <c r="I10644" s="206"/>
    </row>
    <row r="10645" spans="1:9" ht="15" customHeight="1">
      <c r="A10645" s="205"/>
      <c r="I10645" s="206"/>
    </row>
    <row r="10646" spans="1:9" ht="15" customHeight="1">
      <c r="A10646" s="205"/>
      <c r="I10646" s="206"/>
    </row>
    <row r="10647" spans="1:9" ht="15" customHeight="1">
      <c r="A10647" s="205"/>
      <c r="I10647" s="206"/>
    </row>
    <row r="10648" spans="1:9" ht="15" customHeight="1">
      <c r="A10648" s="205"/>
      <c r="I10648" s="206"/>
    </row>
    <row r="10649" spans="1:9" ht="15" customHeight="1">
      <c r="A10649" s="205"/>
      <c r="I10649" s="206"/>
    </row>
    <row r="10650" spans="1:9" ht="15" customHeight="1">
      <c r="A10650" s="205"/>
      <c r="I10650" s="206"/>
    </row>
    <row r="10651" spans="1:9" ht="15" customHeight="1">
      <c r="A10651" s="205"/>
      <c r="I10651" s="206"/>
    </row>
    <row r="10652" spans="1:9" ht="15" customHeight="1">
      <c r="A10652" s="205"/>
      <c r="I10652" s="206"/>
    </row>
    <row r="10653" spans="1:9" ht="15" customHeight="1">
      <c r="A10653" s="205"/>
      <c r="I10653" s="206"/>
    </row>
    <row r="10654" spans="1:9" ht="15" customHeight="1">
      <c r="A10654" s="205"/>
      <c r="I10654" s="206"/>
    </row>
    <row r="10655" spans="1:9" ht="15" customHeight="1">
      <c r="A10655" s="205"/>
      <c r="I10655" s="206"/>
    </row>
    <row r="10656" spans="1:9" ht="15" customHeight="1">
      <c r="A10656" s="205"/>
      <c r="I10656" s="206"/>
    </row>
    <row r="10657" spans="1:9" ht="15" customHeight="1">
      <c r="A10657" s="205"/>
      <c r="I10657" s="206"/>
    </row>
    <row r="10658" spans="1:9" ht="15" customHeight="1">
      <c r="A10658" s="205"/>
      <c r="I10658" s="206"/>
    </row>
    <row r="10659" spans="1:9" ht="15" customHeight="1">
      <c r="A10659" s="205"/>
      <c r="I10659" s="206"/>
    </row>
    <row r="10660" spans="1:9" ht="15" customHeight="1">
      <c r="A10660" s="205"/>
      <c r="I10660" s="206"/>
    </row>
    <row r="10661" spans="1:9" ht="15" customHeight="1">
      <c r="A10661" s="205"/>
      <c r="I10661" s="206"/>
    </row>
    <row r="10662" spans="1:9" ht="15" customHeight="1">
      <c r="A10662" s="205"/>
      <c r="I10662" s="206"/>
    </row>
    <row r="10663" spans="1:9" ht="15" customHeight="1">
      <c r="A10663" s="205"/>
      <c r="I10663" s="206"/>
    </row>
    <row r="10664" spans="1:9" ht="15" customHeight="1">
      <c r="A10664" s="205"/>
      <c r="I10664" s="206"/>
    </row>
    <row r="10665" spans="1:9" ht="15" customHeight="1">
      <c r="A10665" s="205"/>
      <c r="I10665" s="206"/>
    </row>
    <row r="10666" spans="1:9" ht="15" customHeight="1">
      <c r="A10666" s="205"/>
      <c r="I10666" s="206"/>
    </row>
    <row r="10667" spans="1:9" ht="15" customHeight="1">
      <c r="A10667" s="205"/>
      <c r="I10667" s="206"/>
    </row>
    <row r="10668" spans="1:9" ht="15" customHeight="1">
      <c r="A10668" s="205"/>
      <c r="I10668" s="206"/>
    </row>
    <row r="10669" spans="1:9" ht="15" customHeight="1">
      <c r="A10669" s="205"/>
      <c r="I10669" s="206"/>
    </row>
    <row r="10670" spans="1:9" ht="15" customHeight="1">
      <c r="A10670" s="205"/>
      <c r="I10670" s="206"/>
    </row>
    <row r="10671" spans="1:9" ht="15" customHeight="1">
      <c r="A10671" s="205"/>
      <c r="I10671" s="206"/>
    </row>
    <row r="10672" spans="1:9" ht="15" customHeight="1">
      <c r="A10672" s="205"/>
      <c r="I10672" s="206"/>
    </row>
    <row r="10673" spans="1:9" ht="15" customHeight="1">
      <c r="A10673" s="205"/>
      <c r="I10673" s="206"/>
    </row>
    <row r="10674" spans="1:9" ht="15" customHeight="1">
      <c r="A10674" s="205"/>
      <c r="I10674" s="206"/>
    </row>
    <row r="10675" spans="1:9" ht="15" customHeight="1">
      <c r="A10675" s="205"/>
      <c r="I10675" s="206"/>
    </row>
    <row r="10676" spans="1:9" ht="15" customHeight="1">
      <c r="A10676" s="205"/>
      <c r="I10676" s="206"/>
    </row>
    <row r="10677" spans="1:9" ht="15" customHeight="1">
      <c r="A10677" s="205"/>
      <c r="I10677" s="206"/>
    </row>
    <row r="10678" spans="1:9" ht="15" customHeight="1">
      <c r="A10678" s="205"/>
      <c r="I10678" s="206"/>
    </row>
    <row r="10679" spans="1:9" ht="15" customHeight="1">
      <c r="A10679" s="205"/>
      <c r="I10679" s="206"/>
    </row>
    <row r="10680" spans="1:9" ht="15" customHeight="1">
      <c r="A10680" s="205"/>
      <c r="I10680" s="206"/>
    </row>
    <row r="10681" spans="1:9" ht="15" customHeight="1">
      <c r="A10681" s="205"/>
      <c r="I10681" s="206"/>
    </row>
    <row r="10682" spans="1:9" ht="15" customHeight="1">
      <c r="A10682" s="205"/>
      <c r="I10682" s="206"/>
    </row>
    <row r="10683" spans="1:9" ht="15" customHeight="1">
      <c r="A10683" s="205"/>
      <c r="I10683" s="206"/>
    </row>
    <row r="10684" spans="1:9" ht="15" customHeight="1">
      <c r="A10684" s="205"/>
      <c r="I10684" s="206"/>
    </row>
    <row r="10685" spans="1:9" ht="15" customHeight="1">
      <c r="A10685" s="205"/>
      <c r="I10685" s="206"/>
    </row>
    <row r="10686" spans="1:9" ht="15" customHeight="1">
      <c r="A10686" s="205"/>
      <c r="I10686" s="206"/>
    </row>
    <row r="10687" spans="1:9" ht="15" customHeight="1">
      <c r="A10687" s="205"/>
      <c r="I10687" s="206"/>
    </row>
    <row r="10688" spans="1:9" ht="15" customHeight="1">
      <c r="A10688" s="205"/>
      <c r="I10688" s="206"/>
    </row>
    <row r="10689" spans="1:9" ht="15" customHeight="1">
      <c r="A10689" s="205"/>
      <c r="I10689" s="206"/>
    </row>
    <row r="10690" spans="1:9" ht="15" customHeight="1">
      <c r="A10690" s="205"/>
      <c r="I10690" s="206"/>
    </row>
    <row r="10691" spans="1:9" ht="15" customHeight="1">
      <c r="A10691" s="205"/>
      <c r="I10691" s="206"/>
    </row>
    <row r="10692" spans="1:9" ht="15" customHeight="1">
      <c r="A10692" s="205"/>
      <c r="I10692" s="206"/>
    </row>
    <row r="10693" spans="1:9" ht="15" customHeight="1">
      <c r="A10693" s="205"/>
      <c r="I10693" s="206"/>
    </row>
    <row r="10694" spans="1:9" ht="15" customHeight="1">
      <c r="A10694" s="205"/>
      <c r="I10694" s="206"/>
    </row>
    <row r="10695" spans="1:9" ht="15" customHeight="1">
      <c r="A10695" s="205"/>
      <c r="I10695" s="206"/>
    </row>
    <row r="10696" spans="1:9" ht="15" customHeight="1">
      <c r="A10696" s="205"/>
      <c r="I10696" s="206"/>
    </row>
    <row r="10697" spans="1:9" ht="15" customHeight="1">
      <c r="A10697" s="205"/>
      <c r="I10697" s="206"/>
    </row>
    <row r="10698" spans="1:9" ht="15" customHeight="1">
      <c r="A10698" s="205"/>
      <c r="I10698" s="206"/>
    </row>
    <row r="10699" spans="1:9" ht="15" customHeight="1">
      <c r="A10699" s="205"/>
      <c r="I10699" s="206"/>
    </row>
    <row r="10700" spans="1:9" ht="15" customHeight="1">
      <c r="A10700" s="205"/>
      <c r="I10700" s="206"/>
    </row>
    <row r="10701" spans="1:9" ht="15" customHeight="1">
      <c r="A10701" s="205"/>
      <c r="I10701" s="206"/>
    </row>
    <row r="10702" spans="1:9" ht="15" customHeight="1">
      <c r="A10702" s="205"/>
      <c r="I10702" s="206"/>
    </row>
    <row r="10703" spans="1:9" ht="15" customHeight="1">
      <c r="A10703" s="205"/>
      <c r="I10703" s="206"/>
    </row>
    <row r="10704" spans="1:9" ht="15" customHeight="1">
      <c r="A10704" s="205"/>
      <c r="I10704" s="206"/>
    </row>
    <row r="10705" spans="1:9" ht="15" customHeight="1">
      <c r="A10705" s="205"/>
      <c r="I10705" s="206"/>
    </row>
    <row r="10706" spans="1:9" ht="15" customHeight="1">
      <c r="A10706" s="205"/>
      <c r="I10706" s="206"/>
    </row>
    <row r="10707" spans="1:9" ht="15" customHeight="1">
      <c r="A10707" s="205"/>
      <c r="I10707" s="206"/>
    </row>
    <row r="10708" spans="1:9" ht="15" customHeight="1">
      <c r="A10708" s="205"/>
      <c r="I10708" s="206"/>
    </row>
    <row r="10709" spans="1:9" ht="15" customHeight="1">
      <c r="A10709" s="205"/>
      <c r="I10709" s="206"/>
    </row>
    <row r="10710" spans="1:9" ht="15" customHeight="1">
      <c r="A10710" s="205"/>
      <c r="I10710" s="206"/>
    </row>
    <row r="10711" spans="1:9" ht="15" customHeight="1">
      <c r="A10711" s="205"/>
      <c r="I10711" s="206"/>
    </row>
    <row r="10712" spans="1:9" ht="15" customHeight="1">
      <c r="A10712" s="205"/>
      <c r="I10712" s="206"/>
    </row>
    <row r="10713" spans="1:9" ht="15" customHeight="1">
      <c r="A10713" s="205"/>
      <c r="I10713" s="206"/>
    </row>
    <row r="10714" spans="1:9" ht="15" customHeight="1">
      <c r="A10714" s="205"/>
      <c r="I10714" s="206"/>
    </row>
    <row r="10715" spans="1:9" ht="15" customHeight="1">
      <c r="A10715" s="205"/>
      <c r="I10715" s="206"/>
    </row>
    <row r="10716" spans="1:9" ht="15" customHeight="1">
      <c r="A10716" s="205"/>
      <c r="I10716" s="206"/>
    </row>
    <row r="10717" spans="1:9" ht="15" customHeight="1">
      <c r="A10717" s="205"/>
      <c r="I10717" s="206"/>
    </row>
    <row r="10718" spans="1:9" ht="15" customHeight="1">
      <c r="A10718" s="205"/>
      <c r="I10718" s="206"/>
    </row>
    <row r="10719" spans="1:9" ht="15" customHeight="1">
      <c r="A10719" s="205"/>
      <c r="I10719" s="206"/>
    </row>
    <row r="10720" spans="1:9" ht="15" customHeight="1">
      <c r="A10720" s="205"/>
      <c r="I10720" s="206"/>
    </row>
    <row r="10721" spans="1:9" ht="15" customHeight="1">
      <c r="A10721" s="205"/>
      <c r="I10721" s="206"/>
    </row>
    <row r="10722" spans="1:9" ht="15" customHeight="1">
      <c r="A10722" s="205"/>
      <c r="I10722" s="206"/>
    </row>
    <row r="10723" spans="1:9" ht="15" customHeight="1">
      <c r="A10723" s="205"/>
      <c r="I10723" s="206"/>
    </row>
    <row r="10724" spans="1:9" ht="15" customHeight="1">
      <c r="A10724" s="205"/>
      <c r="I10724" s="206"/>
    </row>
    <row r="10725" spans="1:9" ht="15" customHeight="1">
      <c r="A10725" s="205"/>
      <c r="I10725" s="206"/>
    </row>
    <row r="10726" spans="1:9" ht="15" customHeight="1">
      <c r="A10726" s="205"/>
      <c r="I10726" s="206"/>
    </row>
    <row r="10727" spans="1:9" ht="15" customHeight="1">
      <c r="A10727" s="205"/>
      <c r="I10727" s="206"/>
    </row>
    <row r="10728" spans="1:9" ht="15" customHeight="1">
      <c r="A10728" s="205"/>
      <c r="I10728" s="206"/>
    </row>
    <row r="10729" spans="1:9" ht="15" customHeight="1">
      <c r="A10729" s="205"/>
      <c r="I10729" s="206"/>
    </row>
    <row r="10730" spans="1:9" ht="15" customHeight="1">
      <c r="A10730" s="205"/>
      <c r="I10730" s="206"/>
    </row>
    <row r="10731" spans="1:9" ht="15" customHeight="1">
      <c r="A10731" s="205"/>
      <c r="I10731" s="206"/>
    </row>
    <row r="10732" spans="1:9" ht="15" customHeight="1">
      <c r="A10732" s="205"/>
      <c r="I10732" s="206"/>
    </row>
    <row r="10733" spans="1:9" ht="15" customHeight="1">
      <c r="A10733" s="205"/>
      <c r="I10733" s="206"/>
    </row>
    <row r="10734" spans="1:9" ht="15" customHeight="1">
      <c r="A10734" s="205"/>
      <c r="I10734" s="206"/>
    </row>
    <row r="10735" spans="1:9" ht="15" customHeight="1">
      <c r="A10735" s="205"/>
      <c r="I10735" s="206"/>
    </row>
    <row r="10736" spans="1:9" ht="15" customHeight="1">
      <c r="A10736" s="205"/>
      <c r="I10736" s="206"/>
    </row>
    <row r="10737" spans="1:9" ht="15" customHeight="1">
      <c r="A10737" s="205"/>
      <c r="I10737" s="206"/>
    </row>
    <row r="10738" spans="1:9" ht="15" customHeight="1">
      <c r="A10738" s="205"/>
      <c r="I10738" s="206"/>
    </row>
    <row r="10739" spans="1:9" ht="15" customHeight="1">
      <c r="A10739" s="205"/>
      <c r="I10739" s="206"/>
    </row>
    <row r="10740" spans="1:9" ht="15" customHeight="1">
      <c r="A10740" s="205"/>
      <c r="I10740" s="206"/>
    </row>
    <row r="10741" spans="1:9" ht="15" customHeight="1">
      <c r="A10741" s="205"/>
      <c r="I10741" s="206"/>
    </row>
    <row r="10742" spans="1:9" ht="15" customHeight="1">
      <c r="A10742" s="205"/>
      <c r="I10742" s="206"/>
    </row>
    <row r="10743" spans="1:9" ht="15" customHeight="1">
      <c r="A10743" s="205"/>
      <c r="I10743" s="206"/>
    </row>
    <row r="10744" spans="1:9" ht="15" customHeight="1">
      <c r="A10744" s="205"/>
      <c r="I10744" s="206"/>
    </row>
    <row r="10745" spans="1:9" ht="15" customHeight="1">
      <c r="A10745" s="205"/>
      <c r="I10745" s="206"/>
    </row>
    <row r="10746" spans="1:9" ht="15" customHeight="1">
      <c r="A10746" s="205"/>
      <c r="I10746" s="206"/>
    </row>
    <row r="10747" spans="1:9" ht="15" customHeight="1">
      <c r="A10747" s="205"/>
      <c r="I10747" s="206"/>
    </row>
    <row r="10748" spans="1:9" ht="15" customHeight="1">
      <c r="A10748" s="205"/>
      <c r="I10748" s="206"/>
    </row>
    <row r="10749" spans="1:9" ht="15" customHeight="1">
      <c r="A10749" s="205"/>
      <c r="I10749" s="206"/>
    </row>
    <row r="10750" spans="1:9" ht="15" customHeight="1">
      <c r="A10750" s="205"/>
      <c r="I10750" s="206"/>
    </row>
    <row r="10751" spans="1:9" ht="15" customHeight="1">
      <c r="A10751" s="205"/>
      <c r="I10751" s="206"/>
    </row>
    <row r="10752" spans="1:9" ht="15" customHeight="1">
      <c r="A10752" s="205"/>
      <c r="I10752" s="206"/>
    </row>
    <row r="10753" spans="1:9" ht="15" customHeight="1">
      <c r="A10753" s="205"/>
      <c r="I10753" s="206"/>
    </row>
    <row r="10754" spans="1:9" ht="15" customHeight="1">
      <c r="A10754" s="205"/>
      <c r="I10754" s="206"/>
    </row>
    <row r="10755" spans="1:9" ht="15" customHeight="1">
      <c r="A10755" s="205"/>
      <c r="I10755" s="206"/>
    </row>
    <row r="10756" spans="1:9" ht="15" customHeight="1">
      <c r="A10756" s="205"/>
      <c r="I10756" s="206"/>
    </row>
    <row r="10757" spans="1:9" ht="15" customHeight="1">
      <c r="A10757" s="205"/>
      <c r="I10757" s="206"/>
    </row>
    <row r="10758" spans="1:9" ht="15" customHeight="1">
      <c r="A10758" s="205"/>
      <c r="I10758" s="206"/>
    </row>
    <row r="10759" spans="1:9" ht="15" customHeight="1">
      <c r="A10759" s="205"/>
      <c r="I10759" s="206"/>
    </row>
    <row r="10760" spans="1:9" ht="15" customHeight="1">
      <c r="A10760" s="205"/>
      <c r="I10760" s="206"/>
    </row>
    <row r="10761" spans="1:9" ht="15" customHeight="1">
      <c r="A10761" s="205"/>
      <c r="I10761" s="206"/>
    </row>
    <row r="10762" spans="1:9" ht="15" customHeight="1">
      <c r="A10762" s="205"/>
      <c r="I10762" s="206"/>
    </row>
    <row r="10763" spans="1:9" ht="15" customHeight="1">
      <c r="A10763" s="205"/>
      <c r="I10763" s="206"/>
    </row>
    <row r="10764" spans="1:9" ht="15" customHeight="1">
      <c r="A10764" s="205"/>
      <c r="I10764" s="206"/>
    </row>
    <row r="10765" spans="1:9" ht="15" customHeight="1">
      <c r="A10765" s="205"/>
      <c r="I10765" s="206"/>
    </row>
    <row r="10766" spans="1:9" ht="15" customHeight="1">
      <c r="A10766" s="205"/>
      <c r="I10766" s="206"/>
    </row>
    <row r="10767" spans="1:9" ht="15" customHeight="1">
      <c r="A10767" s="205"/>
      <c r="I10767" s="206"/>
    </row>
    <row r="10768" spans="1:9" ht="15" customHeight="1">
      <c r="A10768" s="205"/>
      <c r="I10768" s="206"/>
    </row>
    <row r="10769" spans="1:9" ht="15" customHeight="1">
      <c r="A10769" s="205"/>
      <c r="I10769" s="206"/>
    </row>
    <row r="10770" spans="1:9" ht="15" customHeight="1">
      <c r="A10770" s="205"/>
      <c r="I10770" s="206"/>
    </row>
    <row r="10771" spans="1:9" ht="15" customHeight="1">
      <c r="A10771" s="205"/>
      <c r="I10771" s="206"/>
    </row>
    <row r="10772" spans="1:9" ht="15" customHeight="1">
      <c r="A10772" s="205"/>
      <c r="I10772" s="206"/>
    </row>
    <row r="10773" spans="1:9" ht="15" customHeight="1">
      <c r="A10773" s="205"/>
      <c r="I10773" s="206"/>
    </row>
    <row r="10774" spans="1:9" ht="15" customHeight="1">
      <c r="A10774" s="205"/>
      <c r="I10774" s="206"/>
    </row>
    <row r="10775" spans="1:9" ht="15" customHeight="1">
      <c r="A10775" s="205"/>
      <c r="I10775" s="206"/>
    </row>
    <row r="10776" spans="1:9" ht="15" customHeight="1">
      <c r="A10776" s="205"/>
      <c r="I10776" s="206"/>
    </row>
    <row r="10777" spans="1:9" ht="15" customHeight="1">
      <c r="A10777" s="205"/>
      <c r="I10777" s="206"/>
    </row>
    <row r="10778" spans="1:9" ht="15" customHeight="1">
      <c r="A10778" s="205"/>
      <c r="I10778" s="206"/>
    </row>
    <row r="10779" spans="1:9" ht="15" customHeight="1">
      <c r="A10779" s="205"/>
      <c r="I10779" s="206"/>
    </row>
    <row r="10780" spans="1:9" ht="15" customHeight="1">
      <c r="A10780" s="205"/>
      <c r="I10780" s="206"/>
    </row>
    <row r="10781" spans="1:9" ht="15" customHeight="1">
      <c r="A10781" s="205"/>
      <c r="I10781" s="206"/>
    </row>
    <row r="10782" spans="1:9" ht="15" customHeight="1">
      <c r="A10782" s="205"/>
      <c r="I10782" s="206"/>
    </row>
    <row r="10783" spans="1:9" ht="15" customHeight="1">
      <c r="A10783" s="205"/>
      <c r="I10783" s="206"/>
    </row>
    <row r="10784" spans="1:9" ht="15" customHeight="1">
      <c r="A10784" s="205"/>
      <c r="I10784" s="206"/>
    </row>
    <row r="10785" spans="1:9" ht="15" customHeight="1">
      <c r="A10785" s="205"/>
      <c r="I10785" s="206"/>
    </row>
    <row r="10786" spans="1:9" ht="15" customHeight="1">
      <c r="A10786" s="205"/>
      <c r="I10786" s="206"/>
    </row>
    <row r="10787" spans="1:9" ht="15" customHeight="1">
      <c r="A10787" s="205"/>
      <c r="I10787" s="206"/>
    </row>
    <row r="10788" spans="1:9" ht="15" customHeight="1">
      <c r="A10788" s="205"/>
      <c r="I10788" s="206"/>
    </row>
    <row r="10789" spans="1:9" ht="15" customHeight="1">
      <c r="A10789" s="205"/>
      <c r="I10789" s="206"/>
    </row>
    <row r="10790" spans="1:9" ht="15" customHeight="1">
      <c r="A10790" s="205"/>
      <c r="I10790" s="206"/>
    </row>
    <row r="10791" spans="1:9" ht="15" customHeight="1">
      <c r="A10791" s="205"/>
      <c r="I10791" s="206"/>
    </row>
    <row r="10792" spans="1:9" ht="15" customHeight="1">
      <c r="A10792" s="205"/>
      <c r="I10792" s="206"/>
    </row>
    <row r="10793" spans="1:9" ht="15" customHeight="1">
      <c r="A10793" s="205"/>
      <c r="I10793" s="206"/>
    </row>
    <row r="10794" spans="1:9" ht="15" customHeight="1">
      <c r="A10794" s="205"/>
      <c r="I10794" s="206"/>
    </row>
    <row r="10795" spans="1:9" ht="15" customHeight="1">
      <c r="A10795" s="205"/>
      <c r="I10795" s="206"/>
    </row>
    <row r="10796" spans="1:9" ht="15" customHeight="1">
      <c r="A10796" s="205"/>
      <c r="I10796" s="206"/>
    </row>
    <row r="10797" spans="1:9" ht="15" customHeight="1">
      <c r="A10797" s="205"/>
      <c r="I10797" s="206"/>
    </row>
    <row r="10798" spans="1:9" ht="15" customHeight="1">
      <c r="A10798" s="205"/>
      <c r="I10798" s="206"/>
    </row>
    <row r="10799" spans="1:9" ht="15" customHeight="1">
      <c r="A10799" s="205"/>
      <c r="I10799" s="206"/>
    </row>
    <row r="10800" spans="1:9" ht="15" customHeight="1">
      <c r="A10800" s="205"/>
      <c r="I10800" s="206"/>
    </row>
    <row r="10801" spans="1:9" ht="15" customHeight="1">
      <c r="A10801" s="205"/>
      <c r="I10801" s="206"/>
    </row>
    <row r="10802" spans="1:9" ht="15" customHeight="1">
      <c r="A10802" s="205"/>
      <c r="I10802" s="206"/>
    </row>
    <row r="10803" spans="1:9" ht="15" customHeight="1">
      <c r="A10803" s="205"/>
      <c r="I10803" s="206"/>
    </row>
    <row r="10804" spans="1:9" ht="15" customHeight="1">
      <c r="A10804" s="205"/>
      <c r="I10804" s="206"/>
    </row>
    <row r="10805" spans="1:9" ht="15" customHeight="1">
      <c r="A10805" s="205"/>
      <c r="I10805" s="206"/>
    </row>
    <row r="10806" spans="1:9" ht="15" customHeight="1">
      <c r="A10806" s="205"/>
      <c r="I10806" s="206"/>
    </row>
    <row r="10807" spans="1:9" ht="15" customHeight="1">
      <c r="A10807" s="205"/>
      <c r="I10807" s="206"/>
    </row>
    <row r="10808" spans="1:9" ht="15" customHeight="1">
      <c r="A10808" s="205"/>
      <c r="I10808" s="206"/>
    </row>
    <row r="10809" spans="1:9" ht="15" customHeight="1">
      <c r="A10809" s="205"/>
      <c r="I10809" s="206"/>
    </row>
    <row r="10810" spans="1:9" ht="15" customHeight="1">
      <c r="A10810" s="205"/>
      <c r="I10810" s="206"/>
    </row>
    <row r="10811" spans="1:9" ht="15" customHeight="1">
      <c r="A10811" s="205"/>
      <c r="I10811" s="206"/>
    </row>
    <row r="10812" spans="1:9" ht="15" customHeight="1">
      <c r="A10812" s="205"/>
      <c r="I10812" s="206"/>
    </row>
    <row r="10813" spans="1:9" ht="15" customHeight="1">
      <c r="A10813" s="205"/>
      <c r="I10813" s="206"/>
    </row>
    <row r="10814" spans="1:9" ht="15" customHeight="1">
      <c r="A10814" s="205"/>
      <c r="I10814" s="206"/>
    </row>
    <row r="10815" spans="1:9" ht="15" customHeight="1">
      <c r="A10815" s="205"/>
      <c r="I10815" s="206"/>
    </row>
    <row r="10816" spans="1:9" ht="15" customHeight="1">
      <c r="A10816" s="205"/>
      <c r="I10816" s="206"/>
    </row>
    <row r="10817" spans="1:9" ht="15" customHeight="1">
      <c r="A10817" s="205"/>
      <c r="I10817" s="206"/>
    </row>
    <row r="10818" spans="1:9" ht="15" customHeight="1">
      <c r="A10818" s="205"/>
      <c r="I10818" s="206"/>
    </row>
    <row r="10819" spans="1:9" ht="15" customHeight="1">
      <c r="A10819" s="205"/>
      <c r="I10819" s="206"/>
    </row>
    <row r="10820" spans="1:9" ht="15" customHeight="1">
      <c r="A10820" s="205"/>
      <c r="I10820" s="206"/>
    </row>
    <row r="10821" spans="1:9" ht="15" customHeight="1">
      <c r="A10821" s="205"/>
      <c r="I10821" s="206"/>
    </row>
    <row r="10822" spans="1:9" ht="15" customHeight="1">
      <c r="A10822" s="205"/>
      <c r="I10822" s="206"/>
    </row>
    <row r="10823" spans="1:9" ht="15" customHeight="1">
      <c r="A10823" s="205"/>
      <c r="I10823" s="206"/>
    </row>
    <row r="10824" spans="1:9" ht="15" customHeight="1">
      <c r="A10824" s="205"/>
      <c r="I10824" s="206"/>
    </row>
    <row r="10825" spans="1:9" ht="15" customHeight="1">
      <c r="A10825" s="205"/>
      <c r="I10825" s="206"/>
    </row>
    <row r="10826" spans="1:9" ht="15" customHeight="1">
      <c r="A10826" s="205"/>
      <c r="I10826" s="206"/>
    </row>
    <row r="10827" spans="1:9" ht="15" customHeight="1">
      <c r="A10827" s="205"/>
      <c r="I10827" s="206"/>
    </row>
    <row r="10828" spans="1:9" ht="15" customHeight="1">
      <c r="A10828" s="205"/>
      <c r="I10828" s="206"/>
    </row>
    <row r="10829" spans="1:9" ht="15" customHeight="1">
      <c r="A10829" s="205"/>
      <c r="I10829" s="206"/>
    </row>
    <row r="10830" spans="1:9" ht="15" customHeight="1">
      <c r="A10830" s="205"/>
      <c r="I10830" s="206"/>
    </row>
    <row r="10831" spans="1:9" ht="15" customHeight="1">
      <c r="A10831" s="205"/>
      <c r="I10831" s="206"/>
    </row>
    <row r="10832" spans="1:9" ht="15" customHeight="1">
      <c r="A10832" s="205"/>
      <c r="I10832" s="206"/>
    </row>
    <row r="10833" spans="1:9" ht="15" customHeight="1">
      <c r="A10833" s="205"/>
      <c r="I10833" s="206"/>
    </row>
    <row r="10834" spans="1:9" ht="15" customHeight="1">
      <c r="A10834" s="205"/>
      <c r="I10834" s="206"/>
    </row>
    <row r="10835" spans="1:9" ht="15" customHeight="1">
      <c r="A10835" s="205"/>
      <c r="I10835" s="206"/>
    </row>
    <row r="10836" spans="1:9" ht="15" customHeight="1">
      <c r="A10836" s="205"/>
      <c r="I10836" s="206"/>
    </row>
    <row r="10837" spans="1:9" ht="15" customHeight="1">
      <c r="A10837" s="205"/>
      <c r="I10837" s="206"/>
    </row>
    <row r="10838" spans="1:9" ht="15" customHeight="1">
      <c r="A10838" s="205"/>
      <c r="I10838" s="206"/>
    </row>
    <row r="10839" spans="1:9" ht="15" customHeight="1">
      <c r="A10839" s="205"/>
      <c r="I10839" s="206"/>
    </row>
    <row r="10840" spans="1:9" ht="15" customHeight="1">
      <c r="A10840" s="205"/>
      <c r="I10840" s="206"/>
    </row>
    <row r="10841" spans="1:9" ht="15" customHeight="1">
      <c r="A10841" s="205"/>
      <c r="I10841" s="206"/>
    </row>
    <row r="10842" spans="1:9" ht="15" customHeight="1">
      <c r="A10842" s="205"/>
      <c r="I10842" s="206"/>
    </row>
    <row r="10843" spans="1:9" ht="15" customHeight="1">
      <c r="A10843" s="205"/>
      <c r="I10843" s="206"/>
    </row>
    <row r="10844" spans="1:9" ht="15" customHeight="1">
      <c r="A10844" s="205"/>
      <c r="I10844" s="206"/>
    </row>
    <row r="10845" spans="1:9" ht="15" customHeight="1">
      <c r="A10845" s="205"/>
      <c r="I10845" s="206"/>
    </row>
    <row r="10846" spans="1:9" ht="15" customHeight="1">
      <c r="A10846" s="205"/>
      <c r="I10846" s="206"/>
    </row>
    <row r="10847" spans="1:9" ht="15" customHeight="1">
      <c r="A10847" s="205"/>
      <c r="I10847" s="206"/>
    </row>
    <row r="10848" spans="1:9" ht="15" customHeight="1">
      <c r="A10848" s="205"/>
      <c r="I10848" s="206"/>
    </row>
    <row r="10849" spans="1:9" ht="15" customHeight="1">
      <c r="A10849" s="205"/>
      <c r="I10849" s="206"/>
    </row>
    <row r="10850" spans="1:9" ht="15" customHeight="1">
      <c r="A10850" s="205"/>
      <c r="I10850" s="206"/>
    </row>
    <row r="10851" spans="1:9" ht="15" customHeight="1">
      <c r="A10851" s="205"/>
      <c r="I10851" s="206"/>
    </row>
    <row r="10852" spans="1:9" ht="15" customHeight="1">
      <c r="A10852" s="205"/>
      <c r="I10852" s="206"/>
    </row>
    <row r="10853" spans="1:9" ht="15" customHeight="1">
      <c r="A10853" s="205"/>
      <c r="I10853" s="206"/>
    </row>
    <row r="10854" spans="1:9" ht="15" customHeight="1">
      <c r="A10854" s="205"/>
      <c r="I10854" s="206"/>
    </row>
    <row r="10855" spans="1:9" ht="15" customHeight="1">
      <c r="A10855" s="205"/>
      <c r="I10855" s="206"/>
    </row>
    <row r="10856" spans="1:9" ht="15" customHeight="1">
      <c r="A10856" s="205"/>
      <c r="I10856" s="206"/>
    </row>
    <row r="10857" spans="1:9" ht="15" customHeight="1">
      <c r="A10857" s="205"/>
      <c r="I10857" s="206"/>
    </row>
    <row r="10858" spans="1:9" ht="15" customHeight="1">
      <c r="A10858" s="205"/>
      <c r="I10858" s="206"/>
    </row>
    <row r="10859" spans="1:9" ht="15" customHeight="1">
      <c r="A10859" s="205"/>
      <c r="I10859" s="206"/>
    </row>
    <row r="10860" spans="1:9" ht="15" customHeight="1">
      <c r="A10860" s="205"/>
      <c r="I10860" s="206"/>
    </row>
    <row r="10861" spans="1:9" ht="15" customHeight="1">
      <c r="A10861" s="205"/>
      <c r="I10861" s="206"/>
    </row>
    <row r="10862" spans="1:9" ht="15" customHeight="1">
      <c r="A10862" s="205"/>
      <c r="I10862" s="206"/>
    </row>
    <row r="10863" spans="1:9" ht="15" customHeight="1">
      <c r="A10863" s="205"/>
      <c r="I10863" s="206"/>
    </row>
    <row r="10864" spans="1:9" ht="15" customHeight="1">
      <c r="A10864" s="205"/>
      <c r="I10864" s="206"/>
    </row>
    <row r="10865" spans="1:9" ht="15" customHeight="1">
      <c r="A10865" s="205"/>
      <c r="I10865" s="206"/>
    </row>
    <row r="10866" spans="1:9" ht="15" customHeight="1">
      <c r="A10866" s="205"/>
      <c r="I10866" s="206"/>
    </row>
    <row r="10867" spans="1:9" ht="15" customHeight="1">
      <c r="A10867" s="205"/>
      <c r="I10867" s="206"/>
    </row>
    <row r="10868" spans="1:9" ht="15" customHeight="1">
      <c r="A10868" s="205"/>
      <c r="I10868" s="206"/>
    </row>
    <row r="10869" spans="1:9" ht="15" customHeight="1">
      <c r="A10869" s="205"/>
      <c r="I10869" s="206"/>
    </row>
    <row r="10870" spans="1:9" ht="15" customHeight="1">
      <c r="A10870" s="205"/>
      <c r="I10870" s="206"/>
    </row>
    <row r="10871" spans="1:9" ht="15" customHeight="1">
      <c r="A10871" s="205"/>
      <c r="I10871" s="206"/>
    </row>
    <row r="10872" spans="1:9" ht="15" customHeight="1">
      <c r="A10872" s="205"/>
      <c r="I10872" s="206"/>
    </row>
    <row r="10873" spans="1:9" ht="15" customHeight="1">
      <c r="A10873" s="205"/>
      <c r="I10873" s="206"/>
    </row>
    <row r="10874" spans="1:9" ht="15" customHeight="1">
      <c r="A10874" s="205"/>
      <c r="I10874" s="206"/>
    </row>
    <row r="10875" spans="1:9" ht="15" customHeight="1">
      <c r="A10875" s="205"/>
      <c r="I10875" s="206"/>
    </row>
    <row r="10876" spans="1:9" ht="15" customHeight="1">
      <c r="A10876" s="205"/>
      <c r="I10876" s="206"/>
    </row>
    <row r="10877" spans="1:9" ht="15" customHeight="1">
      <c r="A10877" s="205"/>
      <c r="I10877" s="206"/>
    </row>
    <row r="10878" spans="1:9" ht="15" customHeight="1">
      <c r="A10878" s="205"/>
      <c r="I10878" s="206"/>
    </row>
    <row r="10879" spans="1:9" ht="15" customHeight="1">
      <c r="A10879" s="205"/>
      <c r="I10879" s="206"/>
    </row>
    <row r="10880" spans="1:9" ht="15" customHeight="1">
      <c r="A10880" s="205"/>
      <c r="I10880" s="206"/>
    </row>
    <row r="10881" spans="1:9" ht="15" customHeight="1">
      <c r="A10881" s="205"/>
      <c r="I10881" s="206"/>
    </row>
    <row r="10882" spans="1:9" ht="15" customHeight="1">
      <c r="A10882" s="205"/>
      <c r="I10882" s="206"/>
    </row>
    <row r="10883" spans="1:9" ht="15" customHeight="1">
      <c r="A10883" s="205"/>
      <c r="I10883" s="206"/>
    </row>
    <row r="10884" spans="1:9" ht="15" customHeight="1">
      <c r="A10884" s="205"/>
      <c r="I10884" s="206"/>
    </row>
    <row r="10885" spans="1:9" ht="15" customHeight="1">
      <c r="A10885" s="205"/>
      <c r="I10885" s="206"/>
    </row>
    <row r="10886" spans="1:9" ht="15" customHeight="1">
      <c r="A10886" s="205"/>
      <c r="I10886" s="206"/>
    </row>
    <row r="10887" spans="1:9" ht="15" customHeight="1">
      <c r="A10887" s="205"/>
      <c r="I10887" s="206"/>
    </row>
    <row r="10888" spans="1:9" ht="15" customHeight="1">
      <c r="A10888" s="205"/>
      <c r="I10888" s="206"/>
    </row>
    <row r="10889" spans="1:9" ht="15" customHeight="1">
      <c r="A10889" s="205"/>
      <c r="I10889" s="206"/>
    </row>
    <row r="10890" spans="1:9" ht="15" customHeight="1">
      <c r="A10890" s="205"/>
      <c r="I10890" s="206"/>
    </row>
    <row r="10891" spans="1:9" ht="15" customHeight="1">
      <c r="A10891" s="205"/>
      <c r="I10891" s="206"/>
    </row>
    <row r="10892" spans="1:9" ht="15" customHeight="1">
      <c r="A10892" s="205"/>
      <c r="I10892" s="206"/>
    </row>
    <row r="10893" spans="1:9" ht="15" customHeight="1">
      <c r="A10893" s="205"/>
      <c r="I10893" s="206"/>
    </row>
    <row r="10894" spans="1:9" ht="15" customHeight="1">
      <c r="A10894" s="205"/>
      <c r="I10894" s="206"/>
    </row>
    <row r="10895" spans="1:9" ht="15" customHeight="1">
      <c r="A10895" s="205"/>
      <c r="I10895" s="206"/>
    </row>
    <row r="10896" spans="1:9" ht="15" customHeight="1">
      <c r="A10896" s="205"/>
      <c r="I10896" s="206"/>
    </row>
    <row r="10897" spans="1:9" ht="15" customHeight="1">
      <c r="A10897" s="205"/>
      <c r="I10897" s="206"/>
    </row>
    <row r="10898" spans="1:9" ht="15" customHeight="1">
      <c r="A10898" s="205"/>
      <c r="I10898" s="206"/>
    </row>
    <row r="10899" spans="1:9" ht="15" customHeight="1">
      <c r="A10899" s="205"/>
      <c r="I10899" s="206"/>
    </row>
    <row r="10900" spans="1:9" ht="15" customHeight="1">
      <c r="A10900" s="205"/>
      <c r="I10900" s="206"/>
    </row>
    <row r="10901" spans="1:9" ht="15" customHeight="1">
      <c r="A10901" s="205"/>
      <c r="I10901" s="206"/>
    </row>
    <row r="10902" spans="1:9" ht="15" customHeight="1">
      <c r="A10902" s="205"/>
      <c r="I10902" s="206"/>
    </row>
    <row r="10903" spans="1:9" ht="15" customHeight="1">
      <c r="A10903" s="205"/>
      <c r="I10903" s="206"/>
    </row>
    <row r="10904" spans="1:9" ht="15" customHeight="1">
      <c r="A10904" s="205"/>
      <c r="I10904" s="206"/>
    </row>
    <row r="10905" spans="1:9" ht="15" customHeight="1">
      <c r="A10905" s="205"/>
      <c r="I10905" s="206"/>
    </row>
    <row r="10906" spans="1:9" ht="15" customHeight="1">
      <c r="A10906" s="205"/>
      <c r="I10906" s="206"/>
    </row>
    <row r="10907" spans="1:9" ht="15" customHeight="1">
      <c r="A10907" s="205"/>
      <c r="I10907" s="206"/>
    </row>
    <row r="10908" spans="1:9" ht="15" customHeight="1">
      <c r="A10908" s="205"/>
      <c r="I10908" s="206"/>
    </row>
    <row r="10909" spans="1:9" ht="15" customHeight="1">
      <c r="A10909" s="205"/>
      <c r="I10909" s="206"/>
    </row>
    <row r="10910" spans="1:9" ht="15" customHeight="1">
      <c r="A10910" s="205"/>
      <c r="I10910" s="206"/>
    </row>
    <row r="10911" spans="1:9" ht="15" customHeight="1">
      <c r="A10911" s="205"/>
      <c r="I10911" s="206"/>
    </row>
    <row r="10912" spans="1:9" ht="15" customHeight="1">
      <c r="A10912" s="205"/>
      <c r="I10912" s="206"/>
    </row>
    <row r="10913" spans="1:9" ht="15" customHeight="1">
      <c r="A10913" s="205"/>
      <c r="I10913" s="206"/>
    </row>
    <row r="10914" spans="1:9" ht="15" customHeight="1">
      <c r="A10914" s="205"/>
      <c r="I10914" s="206"/>
    </row>
    <row r="10915" spans="1:9" ht="15" customHeight="1">
      <c r="A10915" s="205"/>
      <c r="I10915" s="206"/>
    </row>
    <row r="10916" spans="1:9" ht="15" customHeight="1">
      <c r="A10916" s="205"/>
      <c r="I10916" s="206"/>
    </row>
    <row r="10917" spans="1:9" ht="15" customHeight="1">
      <c r="A10917" s="205"/>
      <c r="I10917" s="206"/>
    </row>
    <row r="10918" spans="1:9" ht="15" customHeight="1">
      <c r="A10918" s="205"/>
      <c r="I10918" s="206"/>
    </row>
    <row r="10919" spans="1:9" ht="15" customHeight="1">
      <c r="A10919" s="205"/>
      <c r="I10919" s="206"/>
    </row>
    <row r="10920" spans="1:9" ht="15" customHeight="1">
      <c r="A10920" s="205"/>
      <c r="I10920" s="206"/>
    </row>
    <row r="10921" spans="1:9" ht="15" customHeight="1">
      <c r="A10921" s="205"/>
      <c r="I10921" s="206"/>
    </row>
    <row r="10922" spans="1:9" ht="15" customHeight="1">
      <c r="A10922" s="205"/>
      <c r="I10922" s="206"/>
    </row>
    <row r="10923" spans="1:9" ht="15" customHeight="1">
      <c r="A10923" s="205"/>
      <c r="I10923" s="206"/>
    </row>
    <row r="10924" spans="1:9" ht="15" customHeight="1">
      <c r="A10924" s="205"/>
      <c r="I10924" s="206"/>
    </row>
    <row r="10925" spans="1:9" ht="15" customHeight="1">
      <c r="A10925" s="205"/>
      <c r="I10925" s="206"/>
    </row>
    <row r="10926" spans="1:9" ht="15" customHeight="1">
      <c r="A10926" s="205"/>
      <c r="I10926" s="206"/>
    </row>
    <row r="10927" spans="1:9" ht="15" customHeight="1">
      <c r="A10927" s="205"/>
      <c r="I10927" s="206"/>
    </row>
    <row r="10928" spans="1:9" ht="15" customHeight="1">
      <c r="A10928" s="205"/>
      <c r="I10928" s="206"/>
    </row>
    <row r="10929" spans="1:9" ht="15" customHeight="1">
      <c r="A10929" s="205"/>
      <c r="I10929" s="206"/>
    </row>
    <row r="10930" spans="1:9" ht="15" customHeight="1">
      <c r="A10930" s="205"/>
      <c r="I10930" s="206"/>
    </row>
    <row r="10931" spans="1:9" ht="15" customHeight="1">
      <c r="A10931" s="205"/>
      <c r="I10931" s="206"/>
    </row>
    <row r="10932" spans="1:9" ht="15" customHeight="1">
      <c r="A10932" s="205"/>
      <c r="I10932" s="206"/>
    </row>
    <row r="10933" spans="1:9" ht="15" customHeight="1">
      <c r="A10933" s="205"/>
      <c r="I10933" s="206"/>
    </row>
    <row r="10934" spans="1:9" ht="15" customHeight="1">
      <c r="A10934" s="205"/>
      <c r="I10934" s="206"/>
    </row>
    <row r="10935" spans="1:9" ht="15" customHeight="1">
      <c r="A10935" s="205"/>
      <c r="I10935" s="206"/>
    </row>
    <row r="10936" spans="1:9" ht="15" customHeight="1">
      <c r="A10936" s="205"/>
      <c r="I10936" s="206"/>
    </row>
    <row r="10937" spans="1:9" ht="15" customHeight="1">
      <c r="A10937" s="205"/>
      <c r="I10937" s="206"/>
    </row>
    <row r="10938" spans="1:9" ht="15" customHeight="1">
      <c r="A10938" s="205"/>
      <c r="I10938" s="206"/>
    </row>
    <row r="10939" spans="1:9" ht="15" customHeight="1">
      <c r="A10939" s="205"/>
      <c r="I10939" s="206"/>
    </row>
    <row r="10940" spans="1:9" ht="15" customHeight="1">
      <c r="A10940" s="205"/>
      <c r="I10940" s="206"/>
    </row>
    <row r="10941" spans="1:9" ht="15" customHeight="1">
      <c r="A10941" s="205"/>
      <c r="I10941" s="206"/>
    </row>
    <row r="10942" spans="1:9" ht="15" customHeight="1">
      <c r="A10942" s="205"/>
      <c r="I10942" s="206"/>
    </row>
    <row r="10943" spans="1:9" ht="15" customHeight="1">
      <c r="A10943" s="205"/>
      <c r="I10943" s="206"/>
    </row>
    <row r="10944" spans="1:9" ht="15" customHeight="1">
      <c r="A10944" s="205"/>
      <c r="I10944" s="206"/>
    </row>
    <row r="10945" spans="1:9" ht="15" customHeight="1">
      <c r="A10945" s="205"/>
      <c r="I10945" s="206"/>
    </row>
    <row r="10946" spans="1:9" ht="15" customHeight="1">
      <c r="A10946" s="205"/>
      <c r="I10946" s="206"/>
    </row>
    <row r="10947" spans="1:9" ht="15" customHeight="1">
      <c r="A10947" s="205"/>
      <c r="I10947" s="206"/>
    </row>
    <row r="10948" spans="1:9" ht="15" customHeight="1">
      <c r="A10948" s="205"/>
      <c r="I10948" s="206"/>
    </row>
    <row r="10949" spans="1:9" ht="15" customHeight="1">
      <c r="A10949" s="205"/>
      <c r="I10949" s="206"/>
    </row>
    <row r="10950" spans="1:9" ht="15" customHeight="1">
      <c r="A10950" s="205"/>
      <c r="I10950" s="206"/>
    </row>
    <row r="10951" spans="1:9" ht="15" customHeight="1">
      <c r="A10951" s="205"/>
      <c r="I10951" s="206"/>
    </row>
    <row r="10952" spans="1:9" ht="15" customHeight="1">
      <c r="A10952" s="205"/>
      <c r="I10952" s="206"/>
    </row>
    <row r="10953" spans="1:9" ht="15" customHeight="1">
      <c r="A10953" s="205"/>
      <c r="I10953" s="206"/>
    </row>
    <row r="10954" spans="1:9" ht="15" customHeight="1">
      <c r="A10954" s="205"/>
      <c r="I10954" s="206"/>
    </row>
    <row r="10955" spans="1:9" ht="15" customHeight="1">
      <c r="A10955" s="205"/>
      <c r="I10955" s="206"/>
    </row>
    <row r="10956" spans="1:9" ht="15" customHeight="1">
      <c r="A10956" s="205"/>
      <c r="I10956" s="206"/>
    </row>
    <row r="10957" spans="1:9" ht="15" customHeight="1">
      <c r="A10957" s="205"/>
      <c r="I10957" s="206"/>
    </row>
    <row r="10958" spans="1:9" ht="15" customHeight="1">
      <c r="A10958" s="205"/>
      <c r="I10958" s="206"/>
    </row>
    <row r="10959" spans="1:9" ht="15" customHeight="1">
      <c r="A10959" s="205"/>
      <c r="I10959" s="206"/>
    </row>
    <row r="10960" spans="1:9" ht="15" customHeight="1">
      <c r="A10960" s="205"/>
      <c r="I10960" s="206"/>
    </row>
    <row r="10961" spans="1:9" ht="15" customHeight="1">
      <c r="A10961" s="205"/>
      <c r="I10961" s="206"/>
    </row>
    <row r="10962" spans="1:9" ht="15" customHeight="1">
      <c r="A10962" s="205"/>
      <c r="I10962" s="206"/>
    </row>
    <row r="10963" spans="1:9" ht="15" customHeight="1">
      <c r="A10963" s="205"/>
      <c r="I10963" s="206"/>
    </row>
    <row r="10964" spans="1:9" ht="15" customHeight="1">
      <c r="A10964" s="205"/>
      <c r="I10964" s="206"/>
    </row>
    <row r="10965" spans="1:9" ht="15" customHeight="1">
      <c r="A10965" s="205"/>
      <c r="I10965" s="206"/>
    </row>
    <row r="10966" spans="1:9" ht="15" customHeight="1">
      <c r="A10966" s="205"/>
      <c r="I10966" s="206"/>
    </row>
    <row r="10967" spans="1:9" ht="15" customHeight="1">
      <c r="A10967" s="205"/>
      <c r="I10967" s="206"/>
    </row>
    <row r="10968" spans="1:9" ht="15" customHeight="1">
      <c r="A10968" s="205"/>
      <c r="I10968" s="206"/>
    </row>
    <row r="10969" spans="1:9" ht="15" customHeight="1">
      <c r="A10969" s="205"/>
      <c r="I10969" s="206"/>
    </row>
    <row r="10970" spans="1:9" ht="15" customHeight="1">
      <c r="A10970" s="205"/>
      <c r="I10970" s="206"/>
    </row>
    <row r="10971" spans="1:9" ht="15" customHeight="1">
      <c r="A10971" s="205"/>
      <c r="I10971" s="206"/>
    </row>
    <row r="10972" spans="1:9" ht="15" customHeight="1">
      <c r="A10972" s="205"/>
      <c r="I10972" s="206"/>
    </row>
    <row r="10973" spans="1:9" ht="15" customHeight="1">
      <c r="A10973" s="205"/>
      <c r="I10973" s="206"/>
    </row>
    <row r="10974" spans="1:9" ht="15" customHeight="1">
      <c r="A10974" s="205"/>
      <c r="I10974" s="206"/>
    </row>
    <row r="10975" spans="1:9" ht="15" customHeight="1">
      <c r="A10975" s="205"/>
      <c r="I10975" s="206"/>
    </row>
    <row r="10976" spans="1:9" ht="15" customHeight="1">
      <c r="A10976" s="205"/>
      <c r="I10976" s="206"/>
    </row>
    <row r="10977" spans="1:9" ht="15" customHeight="1">
      <c r="A10977" s="205"/>
      <c r="I10977" s="206"/>
    </row>
    <row r="10978" spans="1:9" ht="15" customHeight="1">
      <c r="A10978" s="205"/>
      <c r="I10978" s="206"/>
    </row>
    <row r="10979" spans="1:9" ht="15" customHeight="1">
      <c r="A10979" s="205"/>
      <c r="I10979" s="206"/>
    </row>
    <row r="10980" spans="1:9" ht="15" customHeight="1">
      <c r="A10980" s="205"/>
      <c r="I10980" s="206"/>
    </row>
    <row r="10981" spans="1:9" ht="15" customHeight="1">
      <c r="A10981" s="205"/>
      <c r="I10981" s="206"/>
    </row>
    <row r="10982" spans="1:9" ht="15" customHeight="1">
      <c r="A10982" s="205"/>
      <c r="I10982" s="206"/>
    </row>
    <row r="10983" spans="1:9" ht="15" customHeight="1">
      <c r="A10983" s="205"/>
      <c r="I10983" s="206"/>
    </row>
    <row r="10984" spans="1:9" ht="15" customHeight="1">
      <c r="A10984" s="205"/>
      <c r="I10984" s="206"/>
    </row>
    <row r="10985" spans="1:9" ht="15" customHeight="1">
      <c r="A10985" s="205"/>
      <c r="I10985" s="206"/>
    </row>
    <row r="10986" spans="1:9" ht="15" customHeight="1">
      <c r="A10986" s="205"/>
      <c r="I10986" s="206"/>
    </row>
    <row r="10987" spans="1:9" ht="15" customHeight="1">
      <c r="A10987" s="205"/>
      <c r="I10987" s="206"/>
    </row>
    <row r="10988" spans="1:9" ht="15" customHeight="1">
      <c r="A10988" s="205"/>
      <c r="I10988" s="206"/>
    </row>
    <row r="10989" spans="1:9" ht="15" customHeight="1">
      <c r="A10989" s="205"/>
      <c r="I10989" s="206"/>
    </row>
    <row r="10990" spans="1:9" ht="15" customHeight="1">
      <c r="A10990" s="205"/>
      <c r="I10990" s="206"/>
    </row>
    <row r="10991" spans="1:9" ht="15" customHeight="1">
      <c r="A10991" s="205"/>
      <c r="I10991" s="206"/>
    </row>
    <row r="10992" spans="1:9" ht="15" customHeight="1">
      <c r="A10992" s="205"/>
      <c r="I10992" s="206"/>
    </row>
    <row r="10993" spans="1:9" ht="15" customHeight="1">
      <c r="A10993" s="205"/>
      <c r="I10993" s="206"/>
    </row>
    <row r="10994" spans="1:9" ht="15" customHeight="1">
      <c r="A10994" s="205"/>
      <c r="I10994" s="206"/>
    </row>
    <row r="10995" spans="1:9" ht="15" customHeight="1">
      <c r="A10995" s="205"/>
      <c r="I10995" s="206"/>
    </row>
    <row r="10996" spans="1:9" ht="15" customHeight="1">
      <c r="A10996" s="205"/>
      <c r="I10996" s="206"/>
    </row>
    <row r="10997" spans="1:9" ht="15" customHeight="1">
      <c r="A10997" s="205"/>
      <c r="I10997" s="206"/>
    </row>
    <row r="10998" spans="1:9" ht="15" customHeight="1">
      <c r="A10998" s="205"/>
      <c r="I10998" s="206"/>
    </row>
    <row r="10999" spans="1:9" ht="15" customHeight="1">
      <c r="A10999" s="205"/>
      <c r="I10999" s="206"/>
    </row>
    <row r="11000" spans="1:9" ht="15" customHeight="1">
      <c r="A11000" s="205"/>
      <c r="I11000" s="206"/>
    </row>
    <row r="11001" spans="1:9" ht="15" customHeight="1">
      <c r="A11001" s="205"/>
      <c r="I11001" s="206"/>
    </row>
    <row r="11002" spans="1:9" ht="15" customHeight="1">
      <c r="A11002" s="205"/>
      <c r="I11002" s="206"/>
    </row>
    <row r="11003" spans="1:9" ht="15" customHeight="1">
      <c r="A11003" s="205"/>
      <c r="I11003" s="206"/>
    </row>
    <row r="11004" spans="1:9" ht="15" customHeight="1">
      <c r="A11004" s="205"/>
      <c r="I11004" s="206"/>
    </row>
    <row r="11005" spans="1:9" ht="15" customHeight="1">
      <c r="A11005" s="205"/>
      <c r="I11005" s="206"/>
    </row>
    <row r="11006" spans="1:9" ht="15" customHeight="1">
      <c r="A11006" s="205"/>
      <c r="I11006" s="206"/>
    </row>
    <row r="11007" spans="1:9" ht="15" customHeight="1">
      <c r="A11007" s="205"/>
      <c r="I11007" s="206"/>
    </row>
    <row r="11008" spans="1:9" ht="15" customHeight="1">
      <c r="A11008" s="205"/>
      <c r="I11008" s="206"/>
    </row>
    <row r="11009" spans="1:9" ht="15" customHeight="1">
      <c r="A11009" s="205"/>
      <c r="I11009" s="206"/>
    </row>
    <row r="11010" spans="1:9" ht="15" customHeight="1">
      <c r="A11010" s="205"/>
      <c r="I11010" s="206"/>
    </row>
    <row r="11011" spans="1:9" ht="15" customHeight="1">
      <c r="A11011" s="205"/>
      <c r="I11011" s="206"/>
    </row>
    <row r="11012" spans="1:9" ht="15" customHeight="1">
      <c r="A11012" s="205"/>
      <c r="I11012" s="206"/>
    </row>
    <row r="11013" spans="1:9" ht="15" customHeight="1">
      <c r="A11013" s="205"/>
      <c r="I11013" s="206"/>
    </row>
    <row r="11014" spans="1:9" ht="15" customHeight="1">
      <c r="A11014" s="205"/>
      <c r="I11014" s="206"/>
    </row>
    <row r="11015" spans="1:9" ht="15" customHeight="1">
      <c r="A11015" s="205"/>
      <c r="I11015" s="206"/>
    </row>
    <row r="11016" spans="1:9" ht="15" customHeight="1">
      <c r="A11016" s="205"/>
      <c r="I11016" s="206"/>
    </row>
    <row r="11017" spans="1:9" ht="15" customHeight="1">
      <c r="A11017" s="205"/>
      <c r="I11017" s="206"/>
    </row>
    <row r="11018" spans="1:9" ht="15" customHeight="1">
      <c r="A11018" s="205"/>
      <c r="I11018" s="206"/>
    </row>
    <row r="11019" spans="1:9" ht="15" customHeight="1">
      <c r="A11019" s="205"/>
      <c r="I11019" s="206"/>
    </row>
    <row r="11020" spans="1:9" ht="15" customHeight="1">
      <c r="A11020" s="205"/>
      <c r="I11020" s="206"/>
    </row>
    <row r="11021" spans="1:9" ht="15" customHeight="1">
      <c r="A11021" s="205"/>
      <c r="I11021" s="206"/>
    </row>
    <row r="11022" spans="1:9" ht="15" customHeight="1">
      <c r="A11022" s="205"/>
      <c r="I11022" s="206"/>
    </row>
    <row r="11023" spans="1:9" ht="15" customHeight="1">
      <c r="A11023" s="205"/>
      <c r="I11023" s="206"/>
    </row>
    <row r="11024" spans="1:9" ht="15" customHeight="1">
      <c r="A11024" s="205"/>
      <c r="I11024" s="206"/>
    </row>
    <row r="11025" spans="1:9" ht="15" customHeight="1">
      <c r="A11025" s="205"/>
      <c r="I11025" s="206"/>
    </row>
    <row r="11026" spans="1:9" ht="15" customHeight="1">
      <c r="A11026" s="205"/>
      <c r="I11026" s="206"/>
    </row>
    <row r="11027" spans="1:9" ht="15" customHeight="1">
      <c r="A11027" s="205"/>
      <c r="I11027" s="206"/>
    </row>
    <row r="11028" spans="1:9" ht="15" customHeight="1">
      <c r="A11028" s="205"/>
      <c r="I11028" s="206"/>
    </row>
    <row r="11029" spans="1:9" ht="15" customHeight="1">
      <c r="A11029" s="205"/>
      <c r="I11029" s="206"/>
    </row>
    <row r="11030" spans="1:9" ht="15" customHeight="1">
      <c r="A11030" s="205"/>
      <c r="I11030" s="206"/>
    </row>
    <row r="11031" spans="1:9" ht="15" customHeight="1">
      <c r="A11031" s="205"/>
      <c r="I11031" s="206"/>
    </row>
    <row r="11032" spans="1:9" ht="15" customHeight="1">
      <c r="A11032" s="205"/>
      <c r="I11032" s="206"/>
    </row>
    <row r="11033" spans="1:9" ht="15" customHeight="1">
      <c r="A11033" s="205"/>
      <c r="I11033" s="206"/>
    </row>
    <row r="11034" spans="1:9" ht="15" customHeight="1">
      <c r="A11034" s="205"/>
      <c r="I11034" s="206"/>
    </row>
    <row r="11035" spans="1:9" ht="15" customHeight="1">
      <c r="A11035" s="205"/>
      <c r="I11035" s="206"/>
    </row>
    <row r="11036" spans="1:9" ht="15" customHeight="1">
      <c r="A11036" s="205"/>
      <c r="I11036" s="206"/>
    </row>
    <row r="11037" spans="1:9" ht="15" customHeight="1">
      <c r="A11037" s="205"/>
      <c r="I11037" s="206"/>
    </row>
    <row r="11038" spans="1:9" ht="15" customHeight="1">
      <c r="A11038" s="205"/>
      <c r="I11038" s="206"/>
    </row>
    <row r="11039" spans="1:9" ht="15" customHeight="1">
      <c r="A11039" s="205"/>
      <c r="I11039" s="206"/>
    </row>
    <row r="11040" spans="1:9" ht="15" customHeight="1">
      <c r="A11040" s="205"/>
      <c r="I11040" s="206"/>
    </row>
    <row r="11041" spans="1:9" ht="15" customHeight="1">
      <c r="A11041" s="205"/>
      <c r="I11041" s="206"/>
    </row>
    <row r="11042" spans="1:9" ht="15" customHeight="1">
      <c r="A11042" s="205"/>
      <c r="I11042" s="206"/>
    </row>
    <row r="11043" spans="1:9" ht="15" customHeight="1">
      <c r="A11043" s="205"/>
      <c r="I11043" s="206"/>
    </row>
    <row r="11044" spans="1:9" ht="15" customHeight="1">
      <c r="A11044" s="205"/>
      <c r="I11044" s="206"/>
    </row>
    <row r="11045" spans="1:9" ht="15" customHeight="1">
      <c r="A11045" s="205"/>
      <c r="I11045" s="206"/>
    </row>
    <row r="11046" spans="1:9" ht="15" customHeight="1">
      <c r="A11046" s="205"/>
      <c r="I11046" s="206"/>
    </row>
    <row r="11047" spans="1:9" ht="15" customHeight="1">
      <c r="A11047" s="205"/>
      <c r="I11047" s="206"/>
    </row>
    <row r="11048" spans="1:9" ht="15" customHeight="1">
      <c r="A11048" s="205"/>
      <c r="I11048" s="206"/>
    </row>
    <row r="11049" spans="1:9" ht="15" customHeight="1">
      <c r="A11049" s="205"/>
      <c r="I11049" s="206"/>
    </row>
    <row r="11050" spans="1:9" ht="15" customHeight="1">
      <c r="A11050" s="205"/>
      <c r="I11050" s="206"/>
    </row>
    <row r="11051" spans="1:9" ht="15" customHeight="1">
      <c r="A11051" s="205"/>
      <c r="I11051" s="206"/>
    </row>
    <row r="11052" spans="1:9" ht="15" customHeight="1">
      <c r="A11052" s="205"/>
      <c r="I11052" s="206"/>
    </row>
    <row r="11053" spans="1:9" ht="15" customHeight="1">
      <c r="A11053" s="205"/>
      <c r="I11053" s="206"/>
    </row>
    <row r="11054" spans="1:9" ht="15" customHeight="1">
      <c r="A11054" s="205"/>
      <c r="I11054" s="206"/>
    </row>
    <row r="11055" spans="1:9" ht="15" customHeight="1">
      <c r="A11055" s="205"/>
      <c r="I11055" s="206"/>
    </row>
    <row r="11056" spans="1:9" ht="15" customHeight="1">
      <c r="A11056" s="205"/>
      <c r="I11056" s="206"/>
    </row>
    <row r="11057" spans="1:9" ht="15" customHeight="1">
      <c r="A11057" s="205"/>
      <c r="I11057" s="206"/>
    </row>
    <row r="11058" spans="1:9" ht="15" customHeight="1">
      <c r="A11058" s="205"/>
      <c r="I11058" s="206"/>
    </row>
    <row r="11059" spans="1:9" ht="15" customHeight="1">
      <c r="A11059" s="205"/>
      <c r="I11059" s="206"/>
    </row>
    <row r="11060" spans="1:9" ht="15" customHeight="1">
      <c r="A11060" s="205"/>
      <c r="I11060" s="206"/>
    </row>
    <row r="11061" spans="1:9" ht="15" customHeight="1">
      <c r="A11061" s="205"/>
      <c r="I11061" s="206"/>
    </row>
    <row r="11062" spans="1:9" ht="15" customHeight="1">
      <c r="A11062" s="205"/>
      <c r="I11062" s="206"/>
    </row>
    <row r="11063" spans="1:9" ht="15" customHeight="1">
      <c r="A11063" s="205"/>
      <c r="I11063" s="206"/>
    </row>
    <row r="11064" spans="1:9" ht="15" customHeight="1">
      <c r="A11064" s="205"/>
      <c r="I11064" s="206"/>
    </row>
    <row r="11065" spans="1:9" ht="15" customHeight="1">
      <c r="A11065" s="205"/>
      <c r="I11065" s="206"/>
    </row>
    <row r="11066" spans="1:9" ht="15" customHeight="1">
      <c r="A11066" s="205"/>
      <c r="I11066" s="206"/>
    </row>
    <row r="11067" spans="1:9" ht="15" customHeight="1">
      <c r="A11067" s="205"/>
      <c r="I11067" s="206"/>
    </row>
    <row r="11068" spans="1:9" ht="15" customHeight="1">
      <c r="A11068" s="205"/>
      <c r="I11068" s="206"/>
    </row>
    <row r="11069" spans="1:9" ht="15" customHeight="1">
      <c r="A11069" s="205"/>
      <c r="I11069" s="206"/>
    </row>
    <row r="11070" spans="1:9" ht="15" customHeight="1">
      <c r="A11070" s="205"/>
      <c r="I11070" s="206"/>
    </row>
    <row r="11071" spans="1:9" ht="15" customHeight="1">
      <c r="A11071" s="205"/>
      <c r="I11071" s="206"/>
    </row>
    <row r="11072" spans="1:9" ht="15" customHeight="1">
      <c r="A11072" s="205"/>
      <c r="I11072" s="206"/>
    </row>
    <row r="11073" spans="1:9" ht="15" customHeight="1">
      <c r="A11073" s="205"/>
      <c r="I11073" s="206"/>
    </row>
    <row r="11074" spans="1:9" ht="15" customHeight="1">
      <c r="A11074" s="205"/>
      <c r="I11074" s="206"/>
    </row>
    <row r="11075" spans="1:9" ht="15" customHeight="1">
      <c r="A11075" s="205"/>
      <c r="I11075" s="206"/>
    </row>
    <row r="11076" spans="1:9" ht="15" customHeight="1">
      <c r="A11076" s="205"/>
      <c r="I11076" s="206"/>
    </row>
    <row r="11077" spans="1:9" ht="15" customHeight="1">
      <c r="A11077" s="205"/>
      <c r="I11077" s="206"/>
    </row>
    <row r="11078" spans="1:9" ht="15" customHeight="1">
      <c r="A11078" s="205"/>
      <c r="I11078" s="206"/>
    </row>
    <row r="11079" spans="1:9" ht="15" customHeight="1">
      <c r="A11079" s="205"/>
      <c r="I11079" s="206"/>
    </row>
    <row r="11080" spans="1:9" ht="15" customHeight="1">
      <c r="A11080" s="205"/>
      <c r="I11080" s="206"/>
    </row>
    <row r="11081" spans="1:9" ht="15" customHeight="1">
      <c r="A11081" s="205"/>
      <c r="I11081" s="206"/>
    </row>
    <row r="11082" spans="1:9" ht="15" customHeight="1">
      <c r="A11082" s="205"/>
      <c r="I11082" s="206"/>
    </row>
    <row r="11083" spans="1:9" ht="15" customHeight="1">
      <c r="A11083" s="205"/>
      <c r="I11083" s="206"/>
    </row>
    <row r="11084" spans="1:9" ht="15" customHeight="1">
      <c r="A11084" s="205"/>
      <c r="I11084" s="206"/>
    </row>
    <row r="11085" spans="1:9" ht="15" customHeight="1">
      <c r="A11085" s="205"/>
      <c r="I11085" s="206"/>
    </row>
    <row r="11086" spans="1:9" ht="15" customHeight="1">
      <c r="A11086" s="205"/>
      <c r="I11086" s="206"/>
    </row>
    <row r="11087" spans="1:9" ht="15" customHeight="1">
      <c r="A11087" s="205"/>
      <c r="I11087" s="206"/>
    </row>
    <row r="11088" spans="1:9" ht="15" customHeight="1">
      <c r="A11088" s="205"/>
      <c r="I11088" s="206"/>
    </row>
    <row r="11089" spans="1:9" ht="15" customHeight="1">
      <c r="A11089" s="205"/>
      <c r="I11089" s="206"/>
    </row>
    <row r="11090" spans="1:9" ht="15" customHeight="1">
      <c r="A11090" s="205"/>
      <c r="I11090" s="206"/>
    </row>
    <row r="11091" spans="1:9" ht="15" customHeight="1">
      <c r="A11091" s="205"/>
      <c r="I11091" s="206"/>
    </row>
    <row r="11092" spans="1:9" ht="15" customHeight="1">
      <c r="A11092" s="205"/>
      <c r="I11092" s="206"/>
    </row>
    <row r="11093" spans="1:9" ht="15" customHeight="1">
      <c r="A11093" s="205"/>
      <c r="I11093" s="206"/>
    </row>
    <row r="11094" spans="1:9" ht="15" customHeight="1">
      <c r="A11094" s="205"/>
      <c r="I11094" s="206"/>
    </row>
    <row r="11095" spans="1:9" ht="15" customHeight="1">
      <c r="A11095" s="205"/>
      <c r="I11095" s="206"/>
    </row>
    <row r="11096" spans="1:9" ht="15" customHeight="1">
      <c r="A11096" s="205"/>
      <c r="I11096" s="206"/>
    </row>
    <row r="11097" spans="1:9" ht="15" customHeight="1">
      <c r="A11097" s="205"/>
      <c r="I11097" s="206"/>
    </row>
    <row r="11098" spans="1:9" ht="15" customHeight="1">
      <c r="A11098" s="205"/>
      <c r="I11098" s="206"/>
    </row>
    <row r="11099" spans="1:9" ht="15" customHeight="1">
      <c r="A11099" s="205"/>
      <c r="I11099" s="206"/>
    </row>
    <row r="11100" spans="1:9" ht="15" customHeight="1">
      <c r="A11100" s="205"/>
      <c r="I11100" s="206"/>
    </row>
    <row r="11101" spans="1:9" ht="15" customHeight="1">
      <c r="A11101" s="205"/>
      <c r="I11101" s="206"/>
    </row>
    <row r="11102" spans="1:9" ht="15" customHeight="1">
      <c r="A11102" s="205"/>
      <c r="I11102" s="206"/>
    </row>
    <row r="11103" spans="1:9" ht="15" customHeight="1">
      <c r="A11103" s="205"/>
      <c r="I11103" s="206"/>
    </row>
    <row r="11104" spans="1:9" ht="15" customHeight="1">
      <c r="A11104" s="205"/>
      <c r="I11104" s="206"/>
    </row>
    <row r="11105" spans="1:9" ht="15" customHeight="1">
      <c r="A11105" s="205"/>
      <c r="I11105" s="206"/>
    </row>
    <row r="11106" spans="1:9" ht="15" customHeight="1">
      <c r="A11106" s="205"/>
      <c r="I11106" s="206"/>
    </row>
    <row r="11107" spans="1:9" ht="15" customHeight="1">
      <c r="A11107" s="205"/>
      <c r="I11107" s="206"/>
    </row>
    <row r="11108" spans="1:9" ht="15" customHeight="1">
      <c r="A11108" s="205"/>
      <c r="I11108" s="206"/>
    </row>
    <row r="11109" spans="1:9" ht="15" customHeight="1">
      <c r="A11109" s="205"/>
      <c r="I11109" s="206"/>
    </row>
    <row r="11110" spans="1:9" ht="15" customHeight="1">
      <c r="A11110" s="205"/>
      <c r="I11110" s="206"/>
    </row>
    <row r="11111" spans="1:9" ht="15" customHeight="1">
      <c r="A11111" s="205"/>
      <c r="I11111" s="206"/>
    </row>
    <row r="11112" spans="1:9" ht="15" customHeight="1">
      <c r="A11112" s="205"/>
      <c r="I11112" s="206"/>
    </row>
    <row r="11113" spans="1:9" ht="15" customHeight="1">
      <c r="A11113" s="205"/>
      <c r="I11113" s="206"/>
    </row>
    <row r="11114" spans="1:9" ht="15" customHeight="1">
      <c r="A11114" s="205"/>
      <c r="I11114" s="206"/>
    </row>
    <row r="11115" spans="1:9" ht="15" customHeight="1">
      <c r="A11115" s="205"/>
      <c r="I11115" s="206"/>
    </row>
    <row r="11116" spans="1:9" ht="15" customHeight="1">
      <c r="A11116" s="205"/>
      <c r="I11116" s="206"/>
    </row>
    <row r="11117" spans="1:9" ht="15" customHeight="1">
      <c r="A11117" s="205"/>
      <c r="I11117" s="206"/>
    </row>
    <row r="11118" spans="1:9" ht="15" customHeight="1">
      <c r="A11118" s="205"/>
      <c r="I11118" s="206"/>
    </row>
    <row r="11119" spans="1:9" ht="15" customHeight="1">
      <c r="A11119" s="205"/>
      <c r="I11119" s="206"/>
    </row>
    <row r="11120" spans="1:9" ht="15" customHeight="1">
      <c r="A11120" s="205"/>
      <c r="I11120" s="206"/>
    </row>
    <row r="11121" spans="1:9" ht="15" customHeight="1">
      <c r="A11121" s="205"/>
      <c r="I11121" s="206"/>
    </row>
    <row r="11122" spans="1:9" ht="15" customHeight="1">
      <c r="A11122" s="205"/>
      <c r="I11122" s="206"/>
    </row>
    <row r="11123" spans="1:9" ht="15" customHeight="1">
      <c r="A11123" s="205"/>
      <c r="I11123" s="206"/>
    </row>
    <row r="11124" spans="1:9" ht="15" customHeight="1">
      <c r="A11124" s="205"/>
      <c r="I11124" s="206"/>
    </row>
    <row r="11125" spans="1:9" ht="15" customHeight="1">
      <c r="A11125" s="205"/>
      <c r="I11125" s="206"/>
    </row>
    <row r="11126" spans="1:9" ht="15" customHeight="1">
      <c r="A11126" s="205"/>
      <c r="I11126" s="206"/>
    </row>
    <row r="11127" spans="1:9" ht="15" customHeight="1">
      <c r="A11127" s="205"/>
      <c r="I11127" s="206"/>
    </row>
    <row r="11128" spans="1:9" ht="15" customHeight="1">
      <c r="A11128" s="205"/>
      <c r="I11128" s="206"/>
    </row>
    <row r="11129" spans="1:9" ht="15" customHeight="1">
      <c r="A11129" s="205"/>
      <c r="I11129" s="206"/>
    </row>
    <row r="11130" spans="1:9" ht="15" customHeight="1">
      <c r="A11130" s="205"/>
      <c r="I11130" s="206"/>
    </row>
    <row r="11131" spans="1:9" ht="15" customHeight="1">
      <c r="A11131" s="205"/>
      <c r="I11131" s="206"/>
    </row>
    <row r="11132" spans="1:9" ht="15" customHeight="1">
      <c r="A11132" s="205"/>
      <c r="I11132" s="206"/>
    </row>
    <row r="11133" spans="1:9" ht="15" customHeight="1">
      <c r="A11133" s="205"/>
      <c r="I11133" s="206"/>
    </row>
    <row r="11134" spans="1:9" ht="15" customHeight="1">
      <c r="A11134" s="205"/>
      <c r="I11134" s="206"/>
    </row>
    <row r="11135" spans="1:9" ht="15" customHeight="1">
      <c r="A11135" s="205"/>
      <c r="I11135" s="206"/>
    </row>
    <row r="11136" spans="1:9" ht="15" customHeight="1">
      <c r="A11136" s="205"/>
      <c r="I11136" s="206"/>
    </row>
    <row r="11137" spans="1:9" ht="15" customHeight="1">
      <c r="A11137" s="205"/>
      <c r="I11137" s="206"/>
    </row>
    <row r="11138" spans="1:9" ht="15" customHeight="1">
      <c r="A11138" s="205"/>
      <c r="I11138" s="206"/>
    </row>
    <row r="11139" spans="1:9" ht="15" customHeight="1">
      <c r="A11139" s="205"/>
      <c r="I11139" s="206"/>
    </row>
    <row r="11140" spans="1:9" ht="15" customHeight="1">
      <c r="A11140" s="205"/>
      <c r="I11140" s="206"/>
    </row>
    <row r="11141" spans="1:9" ht="15" customHeight="1">
      <c r="A11141" s="205"/>
      <c r="I11141" s="206"/>
    </row>
    <row r="11142" spans="1:9" ht="15" customHeight="1">
      <c r="A11142" s="205"/>
      <c r="I11142" s="206"/>
    </row>
    <row r="11143" spans="1:9" ht="15" customHeight="1">
      <c r="A11143" s="205"/>
      <c r="I11143" s="206"/>
    </row>
    <row r="11144" spans="1:9" ht="15" customHeight="1">
      <c r="A11144" s="205"/>
      <c r="I11144" s="206"/>
    </row>
    <row r="11145" spans="1:9" ht="15" customHeight="1">
      <c r="A11145" s="205"/>
      <c r="I11145" s="206"/>
    </row>
    <row r="11146" spans="1:9" ht="15" customHeight="1">
      <c r="A11146" s="205"/>
      <c r="I11146" s="206"/>
    </row>
    <row r="11147" spans="1:9" ht="15" customHeight="1">
      <c r="A11147" s="205"/>
      <c r="I11147" s="206"/>
    </row>
    <row r="11148" spans="1:9" ht="15" customHeight="1">
      <c r="A11148" s="205"/>
      <c r="I11148" s="206"/>
    </row>
    <row r="11149" spans="1:9" ht="15" customHeight="1">
      <c r="A11149" s="205"/>
      <c r="I11149" s="206"/>
    </row>
    <row r="11150" spans="1:9" ht="15" customHeight="1">
      <c r="A11150" s="205"/>
      <c r="I11150" s="206"/>
    </row>
    <row r="11151" spans="1:9" ht="15" customHeight="1">
      <c r="A11151" s="205"/>
      <c r="I11151" s="206"/>
    </row>
    <row r="11152" spans="1:9" ht="15" customHeight="1">
      <c r="A11152" s="205"/>
      <c r="I11152" s="206"/>
    </row>
    <row r="11153" spans="1:9" ht="15" customHeight="1">
      <c r="A11153" s="205"/>
      <c r="I11153" s="206"/>
    </row>
    <row r="11154" spans="1:9" ht="15" customHeight="1">
      <c r="A11154" s="205"/>
      <c r="I11154" s="206"/>
    </row>
    <row r="11155" spans="1:9" ht="15" customHeight="1">
      <c r="A11155" s="205"/>
      <c r="I11155" s="206"/>
    </row>
    <row r="11156" spans="1:9" ht="15" customHeight="1">
      <c r="A11156" s="205"/>
      <c r="I11156" s="206"/>
    </row>
    <row r="11157" spans="1:9" ht="15" customHeight="1">
      <c r="A11157" s="205"/>
      <c r="I11157" s="206"/>
    </row>
    <row r="11158" spans="1:9" ht="15" customHeight="1">
      <c r="A11158" s="205"/>
      <c r="I11158" s="206"/>
    </row>
    <row r="11159" spans="1:9" ht="15" customHeight="1">
      <c r="A11159" s="205"/>
      <c r="I11159" s="206"/>
    </row>
    <row r="11160" spans="1:9" ht="15" customHeight="1">
      <c r="A11160" s="205"/>
      <c r="I11160" s="206"/>
    </row>
    <row r="11161" spans="1:9" ht="15" customHeight="1">
      <c r="A11161" s="205"/>
      <c r="I11161" s="206"/>
    </row>
    <row r="11162" spans="1:9" ht="15" customHeight="1">
      <c r="A11162" s="205"/>
      <c r="I11162" s="206"/>
    </row>
    <row r="11163" spans="1:9" ht="15" customHeight="1">
      <c r="A11163" s="205"/>
      <c r="I11163" s="206"/>
    </row>
    <row r="11164" spans="1:9" ht="15" customHeight="1">
      <c r="A11164" s="205"/>
      <c r="I11164" s="206"/>
    </row>
    <row r="11165" spans="1:9" ht="15" customHeight="1">
      <c r="A11165" s="205"/>
      <c r="I11165" s="206"/>
    </row>
    <row r="11166" spans="1:9" ht="15" customHeight="1">
      <c r="A11166" s="205"/>
      <c r="I11166" s="206"/>
    </row>
    <row r="11167" spans="1:9" ht="15" customHeight="1">
      <c r="A11167" s="205"/>
      <c r="I11167" s="206"/>
    </row>
    <row r="11168" spans="1:9" ht="15" customHeight="1">
      <c r="A11168" s="205"/>
      <c r="I11168" s="206"/>
    </row>
    <row r="11169" spans="1:9" ht="15" customHeight="1">
      <c r="A11169" s="205"/>
      <c r="I11169" s="206"/>
    </row>
    <row r="11170" spans="1:9" ht="15" customHeight="1">
      <c r="A11170" s="205"/>
      <c r="I11170" s="206"/>
    </row>
    <row r="11171" spans="1:9" ht="15" customHeight="1">
      <c r="A11171" s="205"/>
      <c r="I11171" s="206"/>
    </row>
    <row r="11172" spans="1:9" ht="15" customHeight="1">
      <c r="A11172" s="205"/>
      <c r="I11172" s="206"/>
    </row>
    <row r="11173" spans="1:9" ht="15" customHeight="1">
      <c r="A11173" s="205"/>
      <c r="I11173" s="206"/>
    </row>
    <row r="11174" spans="1:9" ht="15" customHeight="1">
      <c r="A11174" s="205"/>
      <c r="I11174" s="206"/>
    </row>
    <row r="11175" spans="1:9" ht="15" customHeight="1">
      <c r="A11175" s="205"/>
      <c r="I11175" s="206"/>
    </row>
    <row r="11176" spans="1:9" ht="15" customHeight="1">
      <c r="A11176" s="205"/>
      <c r="I11176" s="206"/>
    </row>
    <row r="11177" spans="1:9" ht="15" customHeight="1">
      <c r="A11177" s="205"/>
      <c r="I11177" s="206"/>
    </row>
    <row r="11178" spans="1:9" ht="15" customHeight="1">
      <c r="A11178" s="205"/>
      <c r="I11178" s="206"/>
    </row>
    <row r="11179" spans="1:9" ht="15" customHeight="1">
      <c r="A11179" s="205"/>
      <c r="I11179" s="206"/>
    </row>
    <row r="11180" spans="1:9" ht="15" customHeight="1">
      <c r="A11180" s="205"/>
      <c r="I11180" s="206"/>
    </row>
    <row r="11181" spans="1:9" ht="15" customHeight="1">
      <c r="A11181" s="205"/>
      <c r="I11181" s="206"/>
    </row>
    <row r="11182" spans="1:9" ht="15" customHeight="1">
      <c r="A11182" s="205"/>
      <c r="I11182" s="206"/>
    </row>
    <row r="11183" spans="1:9" ht="15" customHeight="1">
      <c r="A11183" s="205"/>
      <c r="I11183" s="206"/>
    </row>
    <row r="11184" spans="1:9" ht="15" customHeight="1">
      <c r="A11184" s="205"/>
      <c r="I11184" s="206"/>
    </row>
    <row r="11185" spans="1:9" ht="15" customHeight="1">
      <c r="A11185" s="205"/>
      <c r="I11185" s="206"/>
    </row>
    <row r="11186" spans="1:9" ht="15" customHeight="1">
      <c r="A11186" s="205"/>
      <c r="I11186" s="206"/>
    </row>
    <row r="11187" spans="1:9" ht="15" customHeight="1">
      <c r="A11187" s="205"/>
      <c r="I11187" s="206"/>
    </row>
    <row r="11188" spans="1:9" ht="15" customHeight="1">
      <c r="A11188" s="205"/>
      <c r="I11188" s="206"/>
    </row>
    <row r="11189" spans="1:9" ht="15" customHeight="1">
      <c r="A11189" s="205"/>
      <c r="I11189" s="206"/>
    </row>
    <row r="11190" spans="1:9" ht="15" customHeight="1">
      <c r="A11190" s="205"/>
      <c r="I11190" s="206"/>
    </row>
    <row r="11191" spans="1:9" ht="15" customHeight="1">
      <c r="A11191" s="205"/>
      <c r="I11191" s="206"/>
    </row>
    <row r="11192" spans="1:9" ht="15" customHeight="1">
      <c r="A11192" s="205"/>
      <c r="I11192" s="206"/>
    </row>
    <row r="11193" spans="1:9" ht="15" customHeight="1">
      <c r="A11193" s="205"/>
      <c r="I11193" s="206"/>
    </row>
    <row r="11194" spans="1:9" ht="15" customHeight="1">
      <c r="A11194" s="205"/>
      <c r="I11194" s="206"/>
    </row>
    <row r="11195" spans="1:9" ht="15" customHeight="1">
      <c r="A11195" s="205"/>
      <c r="I11195" s="206"/>
    </row>
    <row r="11196" spans="1:9" ht="15" customHeight="1">
      <c r="A11196" s="205"/>
      <c r="I11196" s="206"/>
    </row>
    <row r="11197" spans="1:9" ht="15" customHeight="1">
      <c r="A11197" s="205"/>
      <c r="I11197" s="206"/>
    </row>
    <row r="11198" spans="1:9" ht="15" customHeight="1">
      <c r="A11198" s="205"/>
      <c r="I11198" s="206"/>
    </row>
    <row r="11199" spans="1:9" ht="15" customHeight="1">
      <c r="A11199" s="205"/>
      <c r="I11199" s="206"/>
    </row>
    <row r="11200" spans="1:9" ht="15" customHeight="1">
      <c r="A11200" s="205"/>
      <c r="I11200" s="206"/>
    </row>
    <row r="11201" spans="1:9" ht="15" customHeight="1">
      <c r="A11201" s="205"/>
      <c r="I11201" s="206"/>
    </row>
    <row r="11202" spans="1:9" ht="15" customHeight="1">
      <c r="A11202" s="205"/>
      <c r="I11202" s="206"/>
    </row>
    <row r="11203" spans="1:9" ht="15" customHeight="1">
      <c r="A11203" s="205"/>
      <c r="I11203" s="206"/>
    </row>
    <row r="11204" spans="1:9" ht="15" customHeight="1">
      <c r="A11204" s="205"/>
      <c r="I11204" s="206"/>
    </row>
    <row r="11205" spans="1:9" ht="15" customHeight="1">
      <c r="A11205" s="205"/>
      <c r="I11205" s="206"/>
    </row>
    <row r="11206" spans="1:9" ht="15" customHeight="1">
      <c r="A11206" s="205"/>
      <c r="I11206" s="206"/>
    </row>
    <row r="11207" spans="1:9" ht="15" customHeight="1">
      <c r="A11207" s="205"/>
      <c r="I11207" s="206"/>
    </row>
    <row r="11208" spans="1:9" ht="15" customHeight="1">
      <c r="A11208" s="205"/>
      <c r="I11208" s="206"/>
    </row>
    <row r="11209" spans="1:9" ht="15" customHeight="1">
      <c r="A11209" s="205"/>
      <c r="I11209" s="206"/>
    </row>
    <row r="11210" spans="1:9" ht="15" customHeight="1">
      <c r="A11210" s="205"/>
      <c r="I11210" s="206"/>
    </row>
    <row r="11211" spans="1:9" ht="15" customHeight="1">
      <c r="A11211" s="205"/>
      <c r="I11211" s="206"/>
    </row>
    <row r="11212" spans="1:9" ht="15" customHeight="1">
      <c r="A11212" s="205"/>
      <c r="I11212" s="206"/>
    </row>
    <row r="11213" spans="1:9" ht="15" customHeight="1">
      <c r="A11213" s="205"/>
      <c r="I11213" s="206"/>
    </row>
    <row r="11214" spans="1:9" ht="15" customHeight="1">
      <c r="A11214" s="205"/>
      <c r="I11214" s="206"/>
    </row>
    <row r="11215" spans="1:9" ht="15" customHeight="1">
      <c r="A11215" s="205"/>
      <c r="I11215" s="206"/>
    </row>
    <row r="11216" spans="1:9" ht="15" customHeight="1">
      <c r="A11216" s="205"/>
      <c r="I11216" s="206"/>
    </row>
    <row r="11217" spans="1:9" ht="15" customHeight="1">
      <c r="A11217" s="205"/>
      <c r="I11217" s="206"/>
    </row>
    <row r="11218" spans="1:9" ht="15" customHeight="1">
      <c r="A11218" s="205"/>
      <c r="I11218" s="206"/>
    </row>
    <row r="11219" spans="1:9" ht="15" customHeight="1">
      <c r="A11219" s="205"/>
      <c r="I11219" s="206"/>
    </row>
    <row r="11220" spans="1:9" ht="15" customHeight="1">
      <c r="A11220" s="205"/>
      <c r="I11220" s="206"/>
    </row>
    <row r="11221" spans="1:9" ht="15" customHeight="1">
      <c r="A11221" s="205"/>
      <c r="I11221" s="206"/>
    </row>
    <row r="11222" spans="1:9" ht="15" customHeight="1">
      <c r="A11222" s="205"/>
      <c r="I11222" s="206"/>
    </row>
    <row r="11223" spans="1:9" ht="15" customHeight="1">
      <c r="A11223" s="205"/>
      <c r="I11223" s="206"/>
    </row>
    <row r="11224" spans="1:9" ht="15" customHeight="1">
      <c r="A11224" s="205"/>
      <c r="I11224" s="206"/>
    </row>
    <row r="11225" spans="1:9" ht="15" customHeight="1">
      <c r="A11225" s="205"/>
      <c r="I11225" s="206"/>
    </row>
    <row r="11226" spans="1:9" ht="15" customHeight="1">
      <c r="A11226" s="205"/>
      <c r="I11226" s="206"/>
    </row>
    <row r="11227" spans="1:9" ht="15" customHeight="1">
      <c r="A11227" s="205"/>
      <c r="I11227" s="206"/>
    </row>
    <row r="11228" spans="1:9" ht="15" customHeight="1">
      <c r="A11228" s="205"/>
      <c r="I11228" s="206"/>
    </row>
    <row r="11229" spans="1:9" ht="15" customHeight="1">
      <c r="A11229" s="205"/>
      <c r="I11229" s="206"/>
    </row>
    <row r="11230" spans="1:9" ht="15" customHeight="1">
      <c r="A11230" s="205"/>
      <c r="I11230" s="206"/>
    </row>
    <row r="11231" spans="1:9" ht="15" customHeight="1">
      <c r="A11231" s="205"/>
      <c r="I11231" s="206"/>
    </row>
    <row r="11232" spans="1:9" ht="15" customHeight="1">
      <c r="A11232" s="205"/>
      <c r="I11232" s="206"/>
    </row>
    <row r="11233" spans="1:9" ht="15" customHeight="1">
      <c r="A11233" s="205"/>
      <c r="I11233" s="206"/>
    </row>
    <row r="11234" spans="1:9" ht="15" customHeight="1">
      <c r="A11234" s="205"/>
      <c r="I11234" s="206"/>
    </row>
    <row r="11235" spans="1:9" ht="15" customHeight="1">
      <c r="A11235" s="205"/>
      <c r="I11235" s="206"/>
    </row>
    <row r="11236" spans="1:9" ht="15" customHeight="1">
      <c r="A11236" s="205"/>
      <c r="I11236" s="206"/>
    </row>
    <row r="11237" spans="1:9" ht="15" customHeight="1">
      <c r="A11237" s="205"/>
      <c r="I11237" s="206"/>
    </row>
    <row r="11238" spans="1:9" ht="15" customHeight="1">
      <c r="I11238" s="206"/>
    </row>
    <row r="1048542" spans="5:5" ht="15" customHeight="1">
      <c r="E1048542" s="207"/>
    </row>
    <row r="1048543" spans="5:5" ht="15" customHeight="1">
      <c r="E1048543" s="207"/>
    </row>
    <row r="1048569" spans="5:5" ht="15" customHeight="1">
      <c r="E1048569" s="819"/>
    </row>
  </sheetData>
  <autoFilter ref="A4:ES10341" xr:uid="{827AE880-60FC-42AD-BC97-1580201D5853}">
    <filterColumn colId="4">
      <filters>
        <dateGroupItem year="2024" month="12" dateTimeGrouping="month"/>
      </filters>
    </filterColumn>
    <filterColumn colId="5">
      <filters>
        <filter val="working"/>
      </filters>
    </filterColumn>
    <filterColumn colId="6">
      <filters>
        <filter val="estructuracion"/>
      </filters>
    </filterColumn>
  </autoFilter>
  <mergeCells count="2">
    <mergeCell ref="L1:L3"/>
    <mergeCell ref="M1:S2"/>
  </mergeCells>
  <printOptions headings="1"/>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A905C-42B5-45AF-B271-91CC8D09C5F2}">
  <dimension ref="B4:N48"/>
  <sheetViews>
    <sheetView topLeftCell="B3" zoomScale="78" workbookViewId="0">
      <selection activeCell="B6" sqref="B6"/>
    </sheetView>
  </sheetViews>
  <sheetFormatPr defaultColWidth="11.3828125" defaultRowHeight="12.45"/>
  <cols>
    <col min="1" max="1" width="11.3828125" style="6"/>
    <col min="2" max="2" width="24.69140625" style="6" bestFit="1" customWidth="1"/>
    <col min="3" max="3" width="18.53515625" style="6" bestFit="1" customWidth="1"/>
    <col min="4" max="5" width="17.3046875" style="6" bestFit="1" customWidth="1"/>
    <col min="6" max="7" width="16.69140625" style="6" bestFit="1" customWidth="1"/>
    <col min="8" max="14" width="14.3046875" style="6" bestFit="1" customWidth="1"/>
    <col min="15" max="16384" width="11.3828125" style="6"/>
  </cols>
  <sheetData>
    <row r="4" spans="2:14">
      <c r="B4" s="1099" t="s">
        <v>8065</v>
      </c>
      <c r="C4" s="1100"/>
      <c r="D4" s="1100"/>
      <c r="E4" s="1100"/>
      <c r="F4" s="1100"/>
      <c r="G4" s="1100"/>
      <c r="H4" s="1100"/>
      <c r="I4" s="1100"/>
      <c r="J4" s="1100"/>
      <c r="K4" s="1100"/>
      <c r="L4" s="1100"/>
      <c r="M4" s="1100"/>
      <c r="N4" s="1101"/>
    </row>
    <row r="5" spans="2:14">
      <c r="C5" s="264">
        <v>45658</v>
      </c>
      <c r="D5" s="264">
        <v>45689</v>
      </c>
      <c r="E5" s="264">
        <v>45717</v>
      </c>
      <c r="F5" s="264">
        <v>45748</v>
      </c>
      <c r="G5" s="264">
        <v>45778</v>
      </c>
      <c r="H5" s="264">
        <v>45809</v>
      </c>
      <c r="I5" s="264">
        <v>45839</v>
      </c>
      <c r="J5" s="264">
        <v>45870</v>
      </c>
      <c r="K5" s="264">
        <v>45901</v>
      </c>
      <c r="L5" s="264">
        <v>45931</v>
      </c>
      <c r="M5" s="264">
        <v>45962</v>
      </c>
      <c r="N5" s="264">
        <v>45992</v>
      </c>
    </row>
    <row r="6" spans="2:14">
      <c r="B6" s="94" t="s">
        <v>163</v>
      </c>
      <c r="C6" s="2">
        <f>6500000+4000000</f>
        <v>10500000</v>
      </c>
      <c r="D6" s="2">
        <f>+E6</f>
        <v>15500000</v>
      </c>
      <c r="E6" s="2">
        <f>+F6</f>
        <v>15500000</v>
      </c>
      <c r="F6" s="2">
        <v>15500000</v>
      </c>
      <c r="G6" s="2">
        <f t="shared" ref="G6:N6" si="0">+F6</f>
        <v>15500000</v>
      </c>
      <c r="H6" s="2">
        <f t="shared" si="0"/>
        <v>15500000</v>
      </c>
      <c r="I6" s="2">
        <f t="shared" si="0"/>
        <v>15500000</v>
      </c>
      <c r="J6" s="2">
        <f t="shared" si="0"/>
        <v>15500000</v>
      </c>
      <c r="K6" s="2">
        <f t="shared" si="0"/>
        <v>15500000</v>
      </c>
      <c r="L6" s="2">
        <f t="shared" si="0"/>
        <v>15500000</v>
      </c>
      <c r="M6" s="2">
        <f t="shared" si="0"/>
        <v>15500000</v>
      </c>
      <c r="N6" s="2">
        <f t="shared" si="0"/>
        <v>15500000</v>
      </c>
    </row>
    <row r="7" spans="2:14">
      <c r="B7" s="94" t="s">
        <v>360</v>
      </c>
      <c r="C7" s="2">
        <v>3000000</v>
      </c>
      <c r="D7" s="2">
        <f t="shared" ref="D7:N19" si="1">+C7</f>
        <v>3000000</v>
      </c>
      <c r="E7" s="2">
        <f t="shared" si="1"/>
        <v>3000000</v>
      </c>
      <c r="F7" s="2">
        <f t="shared" si="1"/>
        <v>3000000</v>
      </c>
      <c r="G7" s="2">
        <f t="shared" si="1"/>
        <v>3000000</v>
      </c>
      <c r="H7" s="2">
        <f t="shared" si="1"/>
        <v>3000000</v>
      </c>
      <c r="I7" s="2">
        <f t="shared" si="1"/>
        <v>3000000</v>
      </c>
      <c r="J7" s="2">
        <f t="shared" si="1"/>
        <v>3000000</v>
      </c>
      <c r="K7" s="2">
        <f t="shared" si="1"/>
        <v>3000000</v>
      </c>
      <c r="L7" s="2">
        <f t="shared" si="1"/>
        <v>3000000</v>
      </c>
      <c r="M7" s="2">
        <f t="shared" si="1"/>
        <v>3000000</v>
      </c>
      <c r="N7" s="2">
        <f t="shared" si="1"/>
        <v>3000000</v>
      </c>
    </row>
    <row r="8" spans="2:14">
      <c r="B8" s="262" t="s">
        <v>1148</v>
      </c>
      <c r="C8" s="2">
        <v>9000000</v>
      </c>
      <c r="D8" s="2">
        <f t="shared" si="1"/>
        <v>9000000</v>
      </c>
      <c r="E8" s="2">
        <f t="shared" si="1"/>
        <v>9000000</v>
      </c>
      <c r="F8" s="2">
        <f t="shared" si="1"/>
        <v>9000000</v>
      </c>
      <c r="G8" s="2">
        <f t="shared" si="1"/>
        <v>9000000</v>
      </c>
      <c r="H8" s="2">
        <f t="shared" si="1"/>
        <v>9000000</v>
      </c>
      <c r="I8" s="2">
        <f t="shared" si="1"/>
        <v>9000000</v>
      </c>
      <c r="J8" s="2">
        <f t="shared" si="1"/>
        <v>9000000</v>
      </c>
      <c r="K8" s="2">
        <f t="shared" si="1"/>
        <v>9000000</v>
      </c>
      <c r="L8" s="2">
        <f t="shared" si="1"/>
        <v>9000000</v>
      </c>
      <c r="M8" s="2">
        <f t="shared" si="1"/>
        <v>9000000</v>
      </c>
      <c r="N8" s="2">
        <f t="shared" si="1"/>
        <v>9000000</v>
      </c>
    </row>
    <row r="9" spans="2:14">
      <c r="B9" s="262" t="s">
        <v>8066</v>
      </c>
      <c r="C9" s="2"/>
      <c r="D9" s="2">
        <f t="shared" si="1"/>
        <v>0</v>
      </c>
      <c r="E9" s="2">
        <v>60000000</v>
      </c>
      <c r="F9" s="2"/>
      <c r="G9" s="2"/>
      <c r="H9" s="2"/>
      <c r="I9" s="2"/>
      <c r="J9" s="2"/>
      <c r="K9" s="2"/>
      <c r="L9" s="2"/>
      <c r="M9" s="2"/>
      <c r="N9" s="2"/>
    </row>
    <row r="10" spans="2:14">
      <c r="B10" s="262" t="s">
        <v>8067</v>
      </c>
      <c r="C10" s="2">
        <v>2500000</v>
      </c>
      <c r="D10" s="2">
        <f t="shared" si="1"/>
        <v>2500000</v>
      </c>
      <c r="E10" s="2">
        <v>8500000</v>
      </c>
      <c r="F10" s="2">
        <v>2500000</v>
      </c>
      <c r="G10" s="2">
        <f t="shared" si="1"/>
        <v>2500000</v>
      </c>
      <c r="H10" s="2">
        <f t="shared" si="1"/>
        <v>2500000</v>
      </c>
      <c r="I10" s="2">
        <f t="shared" si="1"/>
        <v>2500000</v>
      </c>
      <c r="J10" s="2">
        <f t="shared" si="1"/>
        <v>2500000</v>
      </c>
      <c r="K10" s="2">
        <f t="shared" si="1"/>
        <v>2500000</v>
      </c>
      <c r="L10" s="2">
        <f t="shared" si="1"/>
        <v>2500000</v>
      </c>
      <c r="M10" s="2">
        <f t="shared" si="1"/>
        <v>2500000</v>
      </c>
      <c r="N10" s="2">
        <f t="shared" si="1"/>
        <v>2500000</v>
      </c>
    </row>
    <row r="11" spans="2:14">
      <c r="B11" s="94" t="s">
        <v>184</v>
      </c>
      <c r="C11" s="2">
        <v>6000000</v>
      </c>
      <c r="D11" s="2">
        <f t="shared" si="1"/>
        <v>6000000</v>
      </c>
      <c r="E11" s="2">
        <f t="shared" si="1"/>
        <v>6000000</v>
      </c>
      <c r="F11" s="2">
        <f t="shared" si="1"/>
        <v>6000000</v>
      </c>
      <c r="G11" s="2">
        <f t="shared" si="1"/>
        <v>6000000</v>
      </c>
      <c r="H11" s="2">
        <f t="shared" si="1"/>
        <v>6000000</v>
      </c>
      <c r="I11" s="2">
        <f>+H11</f>
        <v>6000000</v>
      </c>
      <c r="J11" s="2">
        <f t="shared" si="1"/>
        <v>6000000</v>
      </c>
      <c r="K11" s="2">
        <f t="shared" si="1"/>
        <v>6000000</v>
      </c>
      <c r="L11" s="2">
        <f t="shared" si="1"/>
        <v>6000000</v>
      </c>
      <c r="M11" s="2">
        <f t="shared" si="1"/>
        <v>6000000</v>
      </c>
      <c r="N11" s="2">
        <f t="shared" si="1"/>
        <v>6000000</v>
      </c>
    </row>
    <row r="12" spans="2:14">
      <c r="B12" s="262" t="s">
        <v>406</v>
      </c>
      <c r="C12" s="2">
        <v>500000</v>
      </c>
      <c r="D12" s="2">
        <f t="shared" si="1"/>
        <v>500000</v>
      </c>
      <c r="E12" s="2">
        <f t="shared" si="1"/>
        <v>500000</v>
      </c>
      <c r="F12" s="2">
        <f t="shared" si="1"/>
        <v>500000</v>
      </c>
      <c r="G12" s="2">
        <f t="shared" si="1"/>
        <v>500000</v>
      </c>
      <c r="H12" s="2">
        <f t="shared" si="1"/>
        <v>500000</v>
      </c>
      <c r="I12" s="2">
        <f t="shared" si="1"/>
        <v>500000</v>
      </c>
      <c r="J12" s="2">
        <f t="shared" si="1"/>
        <v>500000</v>
      </c>
      <c r="K12" s="2">
        <f t="shared" si="1"/>
        <v>500000</v>
      </c>
      <c r="L12" s="2">
        <f t="shared" si="1"/>
        <v>500000</v>
      </c>
      <c r="M12" s="2">
        <f t="shared" si="1"/>
        <v>500000</v>
      </c>
      <c r="N12" s="2">
        <f t="shared" si="1"/>
        <v>500000</v>
      </c>
    </row>
    <row r="13" spans="2:14">
      <c r="B13" s="94" t="s">
        <v>1242</v>
      </c>
      <c r="C13" s="2">
        <f>+D13</f>
        <v>1500000</v>
      </c>
      <c r="D13" s="2">
        <f>+E13</f>
        <v>1500000</v>
      </c>
      <c r="E13" s="2">
        <f>+F13</f>
        <v>1500000</v>
      </c>
      <c r="F13" s="2">
        <v>1500000</v>
      </c>
      <c r="G13" s="2">
        <f t="shared" si="1"/>
        <v>1500000</v>
      </c>
      <c r="H13" s="2">
        <f t="shared" si="1"/>
        <v>1500000</v>
      </c>
      <c r="I13" s="2">
        <f t="shared" si="1"/>
        <v>1500000</v>
      </c>
      <c r="J13" s="2">
        <f t="shared" si="1"/>
        <v>1500000</v>
      </c>
      <c r="K13" s="2">
        <f t="shared" si="1"/>
        <v>1500000</v>
      </c>
      <c r="L13" s="2">
        <f t="shared" si="1"/>
        <v>1500000</v>
      </c>
      <c r="M13" s="2">
        <f t="shared" si="1"/>
        <v>1500000</v>
      </c>
      <c r="N13" s="2">
        <f>+M13</f>
        <v>1500000</v>
      </c>
    </row>
    <row r="14" spans="2:14">
      <c r="B14" s="94" t="s">
        <v>2287</v>
      </c>
      <c r="C14" s="2">
        <v>3100000</v>
      </c>
      <c r="D14" s="2">
        <f t="shared" si="1"/>
        <v>3100000</v>
      </c>
      <c r="E14" s="2">
        <f t="shared" si="1"/>
        <v>3100000</v>
      </c>
      <c r="F14" s="2">
        <f t="shared" si="1"/>
        <v>3100000</v>
      </c>
      <c r="G14" s="2">
        <f t="shared" si="1"/>
        <v>3100000</v>
      </c>
      <c r="H14" s="2">
        <f t="shared" si="1"/>
        <v>3100000</v>
      </c>
      <c r="I14" s="2">
        <f t="shared" si="1"/>
        <v>3100000</v>
      </c>
      <c r="J14" s="2">
        <f t="shared" si="1"/>
        <v>3100000</v>
      </c>
      <c r="K14" s="2">
        <f t="shared" si="1"/>
        <v>3100000</v>
      </c>
      <c r="L14" s="2">
        <f t="shared" si="1"/>
        <v>3100000</v>
      </c>
      <c r="M14" s="2">
        <f t="shared" si="1"/>
        <v>3100000</v>
      </c>
      <c r="N14" s="2">
        <f>+M14</f>
        <v>3100000</v>
      </c>
    </row>
    <row r="15" spans="2:14">
      <c r="B15" s="94" t="s">
        <v>1156</v>
      </c>
      <c r="C15" s="2">
        <v>6000000</v>
      </c>
      <c r="D15" s="2">
        <f t="shared" si="1"/>
        <v>6000000</v>
      </c>
      <c r="E15" s="2">
        <f t="shared" si="1"/>
        <v>6000000</v>
      </c>
      <c r="F15" s="2">
        <f t="shared" si="1"/>
        <v>6000000</v>
      </c>
      <c r="G15" s="2">
        <f t="shared" si="1"/>
        <v>6000000</v>
      </c>
      <c r="H15" s="2">
        <f t="shared" si="1"/>
        <v>6000000</v>
      </c>
      <c r="I15" s="2">
        <f t="shared" si="1"/>
        <v>6000000</v>
      </c>
      <c r="J15" s="2">
        <f t="shared" si="1"/>
        <v>6000000</v>
      </c>
      <c r="K15" s="2">
        <f t="shared" si="1"/>
        <v>6000000</v>
      </c>
      <c r="L15" s="2">
        <f t="shared" si="1"/>
        <v>6000000</v>
      </c>
      <c r="M15" s="2">
        <f t="shared" si="1"/>
        <v>6000000</v>
      </c>
      <c r="N15" s="2">
        <f t="shared" si="1"/>
        <v>6000000</v>
      </c>
    </row>
    <row r="16" spans="2:14">
      <c r="B16" s="94" t="s">
        <v>138</v>
      </c>
      <c r="C16" s="2">
        <v>800000</v>
      </c>
      <c r="D16" s="2">
        <f t="shared" si="1"/>
        <v>800000</v>
      </c>
      <c r="E16" s="2">
        <f t="shared" si="1"/>
        <v>800000</v>
      </c>
      <c r="F16" s="2">
        <f t="shared" si="1"/>
        <v>800000</v>
      </c>
      <c r="G16" s="2">
        <f t="shared" si="1"/>
        <v>800000</v>
      </c>
      <c r="H16" s="2">
        <f t="shared" si="1"/>
        <v>800000</v>
      </c>
      <c r="I16" s="2">
        <f t="shared" si="1"/>
        <v>800000</v>
      </c>
      <c r="J16" s="2">
        <f t="shared" si="1"/>
        <v>800000</v>
      </c>
      <c r="K16" s="2">
        <f t="shared" si="1"/>
        <v>800000</v>
      </c>
      <c r="L16" s="2">
        <f t="shared" si="1"/>
        <v>800000</v>
      </c>
      <c r="M16" s="2">
        <f t="shared" si="1"/>
        <v>800000</v>
      </c>
      <c r="N16" s="2">
        <f>+M16</f>
        <v>800000</v>
      </c>
    </row>
    <row r="17" spans="2:14">
      <c r="B17" s="94" t="s">
        <v>275</v>
      </c>
      <c r="C17" s="2">
        <v>4000000</v>
      </c>
      <c r="D17" s="2">
        <f t="shared" si="1"/>
        <v>4000000</v>
      </c>
      <c r="E17" s="2">
        <f t="shared" si="1"/>
        <v>4000000</v>
      </c>
      <c r="F17" s="2">
        <f>+E17</f>
        <v>4000000</v>
      </c>
      <c r="G17" s="2">
        <f t="shared" si="1"/>
        <v>4000000</v>
      </c>
      <c r="H17" s="2">
        <f t="shared" si="1"/>
        <v>4000000</v>
      </c>
      <c r="I17" s="2">
        <f t="shared" si="1"/>
        <v>4000000</v>
      </c>
      <c r="J17" s="2">
        <f t="shared" si="1"/>
        <v>4000000</v>
      </c>
      <c r="K17" s="2">
        <f t="shared" si="1"/>
        <v>4000000</v>
      </c>
      <c r="L17" s="2">
        <f t="shared" si="1"/>
        <v>4000000</v>
      </c>
      <c r="M17" s="2">
        <f t="shared" si="1"/>
        <v>4000000</v>
      </c>
      <c r="N17" s="6">
        <f>+M17</f>
        <v>4000000</v>
      </c>
    </row>
    <row r="18" spans="2:14">
      <c r="B18" s="94" t="s">
        <v>8068</v>
      </c>
      <c r="C18" s="2">
        <v>1500000</v>
      </c>
      <c r="D18" s="2">
        <f t="shared" si="1"/>
        <v>1500000</v>
      </c>
      <c r="E18" s="2">
        <f t="shared" si="1"/>
        <v>1500000</v>
      </c>
      <c r="F18" s="2">
        <f t="shared" si="1"/>
        <v>1500000</v>
      </c>
      <c r="G18" s="2">
        <f t="shared" si="1"/>
        <v>1500000</v>
      </c>
      <c r="H18" s="2">
        <f t="shared" si="1"/>
        <v>1500000</v>
      </c>
      <c r="I18" s="2">
        <f t="shared" si="1"/>
        <v>1500000</v>
      </c>
      <c r="J18" s="2">
        <f t="shared" si="1"/>
        <v>1500000</v>
      </c>
      <c r="K18" s="2">
        <f t="shared" si="1"/>
        <v>1500000</v>
      </c>
      <c r="L18" s="2">
        <f t="shared" si="1"/>
        <v>1500000</v>
      </c>
      <c r="M18" s="2">
        <f t="shared" si="1"/>
        <v>1500000</v>
      </c>
      <c r="N18" s="2">
        <f t="shared" si="1"/>
        <v>1500000</v>
      </c>
    </row>
    <row r="19" spans="2:14">
      <c r="B19" s="262" t="s">
        <v>2724</v>
      </c>
      <c r="C19" s="98">
        <v>1300000</v>
      </c>
      <c r="D19" s="98">
        <f t="shared" si="1"/>
        <v>1300000</v>
      </c>
      <c r="E19" s="98">
        <f t="shared" si="1"/>
        <v>1300000</v>
      </c>
      <c r="F19" s="98">
        <f t="shared" si="1"/>
        <v>1300000</v>
      </c>
      <c r="G19" s="98">
        <f t="shared" si="1"/>
        <v>1300000</v>
      </c>
      <c r="H19" s="98">
        <f t="shared" si="1"/>
        <v>1300000</v>
      </c>
      <c r="I19" s="98">
        <f t="shared" si="1"/>
        <v>1300000</v>
      </c>
      <c r="J19" s="98">
        <f t="shared" si="1"/>
        <v>1300000</v>
      </c>
      <c r="K19" s="98">
        <f t="shared" si="1"/>
        <v>1300000</v>
      </c>
      <c r="L19" s="98">
        <f t="shared" si="1"/>
        <v>1300000</v>
      </c>
      <c r="M19" s="98">
        <f t="shared" si="1"/>
        <v>1300000</v>
      </c>
      <c r="N19" s="98">
        <f t="shared" si="1"/>
        <v>1300000</v>
      </c>
    </row>
    <row r="20" spans="2:14">
      <c r="B20" s="262" t="s">
        <v>8069</v>
      </c>
      <c r="C20" s="98"/>
      <c r="D20" s="98"/>
      <c r="E20" s="98"/>
      <c r="F20" s="98"/>
      <c r="G20" s="98"/>
      <c r="H20" s="98"/>
      <c r="I20" s="98"/>
      <c r="J20" s="98"/>
      <c r="K20" s="98"/>
      <c r="L20" s="98"/>
      <c r="M20" s="98">
        <v>15000000</v>
      </c>
      <c r="N20" s="98"/>
    </row>
    <row r="21" spans="2:14">
      <c r="B21" s="262" t="s">
        <v>318</v>
      </c>
      <c r="C21" s="98"/>
      <c r="D21" s="98"/>
      <c r="E21" s="98"/>
      <c r="F21" s="98"/>
      <c r="G21" s="98"/>
      <c r="H21" s="98"/>
      <c r="I21" s="98">
        <v>5000000</v>
      </c>
      <c r="J21" s="98"/>
      <c r="K21" s="98"/>
      <c r="L21" s="98"/>
      <c r="M21" s="98"/>
      <c r="N21" s="98"/>
    </row>
    <row r="22" spans="2:14">
      <c r="B22" s="94" t="s">
        <v>2421</v>
      </c>
      <c r="C22" s="888">
        <f>85000000+19310000</f>
        <v>104310000</v>
      </c>
      <c r="D22" s="888">
        <f>85000000+85000000</f>
        <v>170000000</v>
      </c>
      <c r="E22" s="888">
        <v>85000000</v>
      </c>
      <c r="F22" s="888">
        <v>85000000</v>
      </c>
      <c r="G22" s="888">
        <v>85000000</v>
      </c>
      <c r="H22" s="888">
        <v>85000000</v>
      </c>
      <c r="I22" s="888">
        <v>115000000</v>
      </c>
      <c r="J22" s="888">
        <v>85000000</v>
      </c>
      <c r="K22" s="888">
        <v>85000000</v>
      </c>
      <c r="L22" s="888">
        <v>85000000</v>
      </c>
      <c r="M22" s="888">
        <v>85000000</v>
      </c>
      <c r="N22" s="888">
        <f>+I22</f>
        <v>115000000</v>
      </c>
    </row>
    <row r="24" spans="2:14">
      <c r="B24" s="262" t="s">
        <v>9</v>
      </c>
      <c r="C24" s="95">
        <f>+SUM(C6:C17)</f>
        <v>46900000</v>
      </c>
      <c r="D24" s="95">
        <f t="shared" ref="D24:N24" si="2">+SUM(D6:D17)</f>
        <v>51900000</v>
      </c>
      <c r="E24" s="95">
        <f t="shared" si="2"/>
        <v>117900000</v>
      </c>
      <c r="F24" s="95">
        <f t="shared" si="2"/>
        <v>51900000</v>
      </c>
      <c r="G24" s="95">
        <f t="shared" si="2"/>
        <v>51900000</v>
      </c>
      <c r="H24" s="95">
        <f t="shared" si="2"/>
        <v>51900000</v>
      </c>
      <c r="I24" s="95">
        <f t="shared" si="2"/>
        <v>51900000</v>
      </c>
      <c r="J24" s="95">
        <f t="shared" si="2"/>
        <v>51900000</v>
      </c>
      <c r="K24" s="95">
        <f t="shared" si="2"/>
        <v>51900000</v>
      </c>
      <c r="L24" s="95">
        <f t="shared" si="2"/>
        <v>51900000</v>
      </c>
      <c r="M24" s="95">
        <f t="shared" si="2"/>
        <v>51900000</v>
      </c>
      <c r="N24" s="95">
        <f t="shared" si="2"/>
        <v>51900000</v>
      </c>
    </row>
    <row r="25" spans="2:14">
      <c r="B25" s="262" t="s">
        <v>9</v>
      </c>
      <c r="C25" s="95">
        <f>+SUM(C6:C22)</f>
        <v>154010000</v>
      </c>
      <c r="D25" s="95">
        <f>+SUM(D6:D22)</f>
        <v>224700000</v>
      </c>
      <c r="E25" s="95">
        <f t="shared" ref="E25" si="3">+SUM(E6:E22)</f>
        <v>205700000</v>
      </c>
      <c r="F25" s="95">
        <f>+SUM(F6:F22)</f>
        <v>139700000</v>
      </c>
      <c r="G25" s="95">
        <f t="shared" ref="G25:N25" si="4">+SUM(G6:G22)</f>
        <v>139700000</v>
      </c>
      <c r="H25" s="95">
        <f t="shared" si="4"/>
        <v>139700000</v>
      </c>
      <c r="I25" s="95">
        <f t="shared" si="4"/>
        <v>174700000</v>
      </c>
      <c r="J25" s="95">
        <f t="shared" si="4"/>
        <v>139700000</v>
      </c>
      <c r="K25" s="95">
        <f t="shared" si="4"/>
        <v>139700000</v>
      </c>
      <c r="L25" s="95">
        <f t="shared" si="4"/>
        <v>139700000</v>
      </c>
      <c r="M25" s="95">
        <f t="shared" si="4"/>
        <v>154700000</v>
      </c>
      <c r="N25" s="95">
        <f t="shared" si="4"/>
        <v>169700000</v>
      </c>
    </row>
    <row r="26" spans="2:14">
      <c r="B26" s="263"/>
      <c r="C26" s="93"/>
      <c r="D26" s="93"/>
      <c r="E26" s="93"/>
      <c r="F26" s="93"/>
      <c r="G26" s="93"/>
      <c r="H26" s="93"/>
      <c r="I26" s="93"/>
      <c r="J26" s="93"/>
      <c r="K26" s="93"/>
      <c r="L26" s="93"/>
      <c r="M26" s="93"/>
      <c r="N26" s="93"/>
    </row>
    <row r="27" spans="2:14">
      <c r="B27" s="1099" t="s">
        <v>8065</v>
      </c>
      <c r="C27" s="1100"/>
      <c r="D27" s="1100"/>
      <c r="E27" s="1100"/>
      <c r="F27" s="1100"/>
      <c r="G27" s="1100"/>
      <c r="H27" s="1100"/>
      <c r="I27" s="1100"/>
      <c r="J27" s="1100"/>
      <c r="K27" s="1100"/>
      <c r="L27" s="1100"/>
      <c r="M27" s="1100"/>
      <c r="N27" s="1101"/>
    </row>
    <row r="28" spans="2:14">
      <c r="C28" s="264">
        <f>+C5</f>
        <v>45658</v>
      </c>
      <c r="D28" s="264">
        <f t="shared" ref="D28:N28" si="5">+D5</f>
        <v>45689</v>
      </c>
      <c r="E28" s="264">
        <f t="shared" si="5"/>
        <v>45717</v>
      </c>
      <c r="F28" s="264">
        <f t="shared" si="5"/>
        <v>45748</v>
      </c>
      <c r="G28" s="264">
        <f t="shared" si="5"/>
        <v>45778</v>
      </c>
      <c r="H28" s="264">
        <f t="shared" si="5"/>
        <v>45809</v>
      </c>
      <c r="I28" s="264">
        <f t="shared" si="5"/>
        <v>45839</v>
      </c>
      <c r="J28" s="264">
        <f t="shared" si="5"/>
        <v>45870</v>
      </c>
      <c r="K28" s="264">
        <f t="shared" si="5"/>
        <v>45901</v>
      </c>
      <c r="L28" s="264">
        <f t="shared" si="5"/>
        <v>45931</v>
      </c>
      <c r="M28" s="264">
        <f t="shared" si="5"/>
        <v>45962</v>
      </c>
      <c r="N28" s="264">
        <f t="shared" si="5"/>
        <v>45992</v>
      </c>
    </row>
    <row r="29" spans="2:14">
      <c r="B29" s="40" t="s">
        <v>8070</v>
      </c>
      <c r="C29" s="98">
        <v>2500000</v>
      </c>
      <c r="D29" s="98">
        <f t="shared" ref="D29:N29" si="6">+C29</f>
        <v>2500000</v>
      </c>
      <c r="E29" s="98">
        <f t="shared" si="6"/>
        <v>2500000</v>
      </c>
      <c r="F29" s="98">
        <f t="shared" si="6"/>
        <v>2500000</v>
      </c>
      <c r="G29" s="98">
        <f t="shared" si="6"/>
        <v>2500000</v>
      </c>
      <c r="H29" s="98">
        <f t="shared" si="6"/>
        <v>2500000</v>
      </c>
      <c r="I29" s="98">
        <f t="shared" si="6"/>
        <v>2500000</v>
      </c>
      <c r="J29" s="98">
        <f t="shared" si="6"/>
        <v>2500000</v>
      </c>
      <c r="K29" s="98">
        <f t="shared" si="6"/>
        <v>2500000</v>
      </c>
      <c r="L29" s="98">
        <f t="shared" si="6"/>
        <v>2500000</v>
      </c>
      <c r="M29" s="98">
        <f t="shared" si="6"/>
        <v>2500000</v>
      </c>
      <c r="N29" s="98">
        <f t="shared" si="6"/>
        <v>2500000</v>
      </c>
    </row>
    <row r="30" spans="2:14">
      <c r="B30" s="262"/>
      <c r="C30" s="98"/>
      <c r="D30" s="98"/>
      <c r="E30" s="98"/>
      <c r="F30" s="98"/>
      <c r="G30" s="98"/>
      <c r="H30" s="98"/>
      <c r="I30" s="98"/>
      <c r="J30" s="98"/>
      <c r="K30" s="98"/>
      <c r="L30" s="98"/>
      <c r="M30" s="98"/>
      <c r="N30" s="98"/>
    </row>
    <row r="31" spans="2:14">
      <c r="B31" s="262" t="s">
        <v>406</v>
      </c>
      <c r="C31" s="98">
        <v>350000</v>
      </c>
      <c r="D31" s="98">
        <f t="shared" ref="D31:N32" si="7">+C31</f>
        <v>350000</v>
      </c>
      <c r="E31" s="98">
        <f t="shared" si="7"/>
        <v>350000</v>
      </c>
      <c r="F31" s="98">
        <f t="shared" si="7"/>
        <v>350000</v>
      </c>
      <c r="G31" s="98">
        <f t="shared" si="7"/>
        <v>350000</v>
      </c>
      <c r="H31" s="98">
        <f t="shared" si="7"/>
        <v>350000</v>
      </c>
      <c r="I31" s="98">
        <f t="shared" si="7"/>
        <v>350000</v>
      </c>
      <c r="J31" s="98">
        <f t="shared" si="7"/>
        <v>350000</v>
      </c>
      <c r="K31" s="98">
        <f t="shared" si="7"/>
        <v>350000</v>
      </c>
      <c r="L31" s="98">
        <f t="shared" si="7"/>
        <v>350000</v>
      </c>
      <c r="M31" s="98">
        <f t="shared" si="7"/>
        <v>350000</v>
      </c>
      <c r="N31" s="98">
        <f t="shared" si="7"/>
        <v>350000</v>
      </c>
    </row>
    <row r="32" spans="2:14">
      <c r="B32" s="262" t="s">
        <v>7252</v>
      </c>
      <c r="C32" s="98">
        <v>15000000</v>
      </c>
      <c r="D32" s="98">
        <f>+C32</f>
        <v>15000000</v>
      </c>
      <c r="E32" s="98">
        <f t="shared" si="7"/>
        <v>15000000</v>
      </c>
      <c r="F32" s="98">
        <f t="shared" si="7"/>
        <v>15000000</v>
      </c>
      <c r="G32" s="98">
        <f t="shared" si="7"/>
        <v>15000000</v>
      </c>
      <c r="H32" s="98">
        <f t="shared" si="7"/>
        <v>15000000</v>
      </c>
      <c r="I32" s="98">
        <f t="shared" si="7"/>
        <v>15000000</v>
      </c>
      <c r="J32" s="98">
        <f t="shared" si="7"/>
        <v>15000000</v>
      </c>
      <c r="K32" s="98">
        <f t="shared" si="7"/>
        <v>15000000</v>
      </c>
      <c r="L32" s="98">
        <f t="shared" si="7"/>
        <v>15000000</v>
      </c>
      <c r="M32" s="98">
        <f t="shared" si="7"/>
        <v>15000000</v>
      </c>
      <c r="N32" s="98">
        <f t="shared" si="7"/>
        <v>15000000</v>
      </c>
    </row>
    <row r="33" spans="2:14">
      <c r="B33" s="262"/>
      <c r="C33" s="98"/>
      <c r="D33" s="98">
        <f t="shared" ref="D33:N34" si="8">+C33</f>
        <v>0</v>
      </c>
      <c r="E33" s="98">
        <f t="shared" si="8"/>
        <v>0</v>
      </c>
      <c r="F33" s="98">
        <f t="shared" si="8"/>
        <v>0</v>
      </c>
      <c r="G33" s="98">
        <f t="shared" si="8"/>
        <v>0</v>
      </c>
      <c r="H33" s="98">
        <f t="shared" si="8"/>
        <v>0</v>
      </c>
      <c r="I33" s="98">
        <f t="shared" si="8"/>
        <v>0</v>
      </c>
      <c r="J33" s="98">
        <f t="shared" si="8"/>
        <v>0</v>
      </c>
      <c r="K33" s="98">
        <f t="shared" si="8"/>
        <v>0</v>
      </c>
      <c r="L33" s="98">
        <f t="shared" si="8"/>
        <v>0</v>
      </c>
      <c r="M33" s="98">
        <f t="shared" si="8"/>
        <v>0</v>
      </c>
      <c r="N33" s="98">
        <f t="shared" si="8"/>
        <v>0</v>
      </c>
    </row>
    <row r="34" spans="2:14">
      <c r="B34" s="262" t="s">
        <v>6929</v>
      </c>
      <c r="C34" s="98">
        <v>1000000</v>
      </c>
      <c r="D34" s="98">
        <f t="shared" si="8"/>
        <v>1000000</v>
      </c>
      <c r="E34" s="98">
        <f t="shared" si="8"/>
        <v>1000000</v>
      </c>
      <c r="F34" s="98">
        <f t="shared" si="8"/>
        <v>1000000</v>
      </c>
      <c r="G34" s="98">
        <f t="shared" si="8"/>
        <v>1000000</v>
      </c>
      <c r="H34" s="98">
        <f t="shared" si="8"/>
        <v>1000000</v>
      </c>
      <c r="I34" s="98">
        <f t="shared" si="8"/>
        <v>1000000</v>
      </c>
      <c r="J34" s="98">
        <f t="shared" si="8"/>
        <v>1000000</v>
      </c>
      <c r="K34" s="98">
        <f t="shared" si="8"/>
        <v>1000000</v>
      </c>
      <c r="L34" s="98">
        <f t="shared" si="8"/>
        <v>1000000</v>
      </c>
      <c r="M34" s="98">
        <f t="shared" si="8"/>
        <v>1000000</v>
      </c>
      <c r="N34" s="98">
        <f t="shared" si="8"/>
        <v>1000000</v>
      </c>
    </row>
    <row r="35" spans="2:14">
      <c r="B35" s="262"/>
      <c r="C35" s="98"/>
      <c r="D35" s="98"/>
      <c r="E35" s="98"/>
      <c r="F35" s="98"/>
      <c r="G35" s="98"/>
      <c r="H35" s="98"/>
      <c r="I35" s="98"/>
      <c r="J35" s="98"/>
      <c r="K35" s="98"/>
      <c r="L35" s="98"/>
      <c r="M35" s="98"/>
      <c r="N35" s="98"/>
    </row>
    <row r="36" spans="2:14">
      <c r="B36" s="262" t="s">
        <v>8071</v>
      </c>
      <c r="C36" s="98">
        <v>2000000</v>
      </c>
      <c r="D36" s="98">
        <f t="shared" ref="D36:N37" si="9">+C36</f>
        <v>2000000</v>
      </c>
      <c r="E36" s="98">
        <f t="shared" si="9"/>
        <v>2000000</v>
      </c>
      <c r="F36" s="98">
        <f t="shared" si="9"/>
        <v>2000000</v>
      </c>
      <c r="G36" s="98">
        <f>+F36</f>
        <v>2000000</v>
      </c>
      <c r="H36" s="98">
        <f t="shared" si="9"/>
        <v>2000000</v>
      </c>
      <c r="I36" s="98">
        <f t="shared" si="9"/>
        <v>2000000</v>
      </c>
      <c r="J36" s="98">
        <f t="shared" si="9"/>
        <v>2000000</v>
      </c>
      <c r="K36" s="98">
        <f t="shared" si="9"/>
        <v>2000000</v>
      </c>
      <c r="L36" s="98">
        <f t="shared" si="9"/>
        <v>2000000</v>
      </c>
      <c r="M36" s="98">
        <f t="shared" si="9"/>
        <v>2000000</v>
      </c>
      <c r="N36" s="98">
        <f t="shared" si="9"/>
        <v>2000000</v>
      </c>
    </row>
    <row r="37" spans="2:14">
      <c r="B37" s="262" t="s">
        <v>2724</v>
      </c>
      <c r="C37" s="98">
        <v>600000</v>
      </c>
      <c r="D37" s="98">
        <f t="shared" si="9"/>
        <v>600000</v>
      </c>
      <c r="E37" s="98">
        <f t="shared" si="9"/>
        <v>600000</v>
      </c>
      <c r="F37" s="98">
        <f t="shared" si="9"/>
        <v>600000</v>
      </c>
      <c r="G37" s="98">
        <f t="shared" si="9"/>
        <v>600000</v>
      </c>
      <c r="H37" s="98">
        <f t="shared" si="9"/>
        <v>600000</v>
      </c>
      <c r="I37" s="98">
        <f t="shared" si="9"/>
        <v>600000</v>
      </c>
      <c r="J37" s="98">
        <f t="shared" si="9"/>
        <v>600000</v>
      </c>
      <c r="K37" s="98">
        <f t="shared" si="9"/>
        <v>600000</v>
      </c>
      <c r="L37" s="98">
        <f t="shared" si="9"/>
        <v>600000</v>
      </c>
      <c r="M37" s="98">
        <f t="shared" si="9"/>
        <v>600000</v>
      </c>
      <c r="N37" s="98">
        <f t="shared" si="9"/>
        <v>600000</v>
      </c>
    </row>
    <row r="38" spans="2:14">
      <c r="B38" s="262"/>
      <c r="C38" s="98"/>
      <c r="D38" s="98"/>
      <c r="E38" s="98"/>
      <c r="F38" s="98"/>
      <c r="G38" s="98"/>
      <c r="H38" s="98"/>
      <c r="I38" s="98"/>
      <c r="J38" s="98"/>
      <c r="K38" s="98"/>
      <c r="L38" s="98"/>
      <c r="M38" s="98"/>
      <c r="N38" s="98"/>
    </row>
    <row r="39" spans="2:14">
      <c r="B39" s="262" t="s">
        <v>1175</v>
      </c>
      <c r="C39" s="98">
        <f>29000000+1690000</f>
        <v>30690000</v>
      </c>
      <c r="D39" s="98">
        <f>29000000+12300000</f>
        <v>41300000</v>
      </c>
      <c r="E39" s="98">
        <v>29000000</v>
      </c>
      <c r="F39" s="98">
        <v>29000000</v>
      </c>
      <c r="G39" s="98">
        <v>29000000</v>
      </c>
      <c r="H39" s="98">
        <v>29000000</v>
      </c>
      <c r="I39" s="98">
        <v>39000000</v>
      </c>
      <c r="J39" s="98">
        <v>29000000</v>
      </c>
      <c r="K39" s="98">
        <v>29000000</v>
      </c>
      <c r="L39" s="98">
        <v>29000000</v>
      </c>
      <c r="M39" s="98">
        <v>29000000</v>
      </c>
      <c r="N39" s="98">
        <v>39000000</v>
      </c>
    </row>
    <row r="41" spans="2:14">
      <c r="B41" s="262" t="s">
        <v>9</v>
      </c>
      <c r="C41" s="95">
        <f t="shared" ref="C41:N41" si="10">+SUM(C29:C40)</f>
        <v>52140000</v>
      </c>
      <c r="D41" s="95">
        <f t="shared" si="10"/>
        <v>62750000</v>
      </c>
      <c r="E41" s="95">
        <f t="shared" si="10"/>
        <v>50450000</v>
      </c>
      <c r="F41" s="95">
        <f t="shared" si="10"/>
        <v>50450000</v>
      </c>
      <c r="G41" s="95">
        <f t="shared" si="10"/>
        <v>50450000</v>
      </c>
      <c r="H41" s="95">
        <f t="shared" si="10"/>
        <v>50450000</v>
      </c>
      <c r="I41" s="95">
        <f t="shared" si="10"/>
        <v>60450000</v>
      </c>
      <c r="J41" s="95">
        <f t="shared" si="10"/>
        <v>50450000</v>
      </c>
      <c r="K41" s="95">
        <f t="shared" si="10"/>
        <v>50450000</v>
      </c>
      <c r="L41" s="95">
        <f t="shared" si="10"/>
        <v>50450000</v>
      </c>
      <c r="M41" s="95">
        <f t="shared" si="10"/>
        <v>50450000</v>
      </c>
      <c r="N41" s="95">
        <f t="shared" si="10"/>
        <v>60450000</v>
      </c>
    </row>
    <row r="42" spans="2:14">
      <c r="B42" s="262" t="s">
        <v>9</v>
      </c>
      <c r="C42" s="95">
        <f t="shared" ref="C42:N42" si="11">+SUM(C29:C39)</f>
        <v>52140000</v>
      </c>
      <c r="D42" s="95">
        <f t="shared" si="11"/>
        <v>62750000</v>
      </c>
      <c r="E42" s="95">
        <f t="shared" si="11"/>
        <v>50450000</v>
      </c>
      <c r="F42" s="95">
        <f t="shared" si="11"/>
        <v>50450000</v>
      </c>
      <c r="G42" s="95">
        <f t="shared" si="11"/>
        <v>50450000</v>
      </c>
      <c r="H42" s="95">
        <f t="shared" si="11"/>
        <v>50450000</v>
      </c>
      <c r="I42" s="95">
        <f t="shared" si="11"/>
        <v>60450000</v>
      </c>
      <c r="J42" s="95">
        <f t="shared" si="11"/>
        <v>50450000</v>
      </c>
      <c r="K42" s="95">
        <f>+SUM(K29:K39)</f>
        <v>50450000</v>
      </c>
      <c r="L42" s="95">
        <f t="shared" si="11"/>
        <v>50450000</v>
      </c>
      <c r="M42" s="95">
        <f t="shared" si="11"/>
        <v>50450000</v>
      </c>
      <c r="N42" s="95">
        <f t="shared" si="11"/>
        <v>60450000</v>
      </c>
    </row>
    <row r="46" spans="2:14">
      <c r="B46" s="262" t="s">
        <v>9</v>
      </c>
      <c r="C46" s="95">
        <f t="shared" ref="C46:N46" si="12">+C42+C25</f>
        <v>206150000</v>
      </c>
      <c r="D46" s="95">
        <f t="shared" si="12"/>
        <v>287450000</v>
      </c>
      <c r="E46" s="95">
        <f t="shared" si="12"/>
        <v>256150000</v>
      </c>
      <c r="F46" s="95">
        <f t="shared" si="12"/>
        <v>190150000</v>
      </c>
      <c r="G46" s="95">
        <f t="shared" si="12"/>
        <v>190150000</v>
      </c>
      <c r="H46" s="95">
        <f t="shared" si="12"/>
        <v>190150000</v>
      </c>
      <c r="I46" s="95">
        <f t="shared" si="12"/>
        <v>235150000</v>
      </c>
      <c r="J46" s="95">
        <f t="shared" si="12"/>
        <v>190150000</v>
      </c>
      <c r="K46" s="95">
        <f t="shared" si="12"/>
        <v>190150000</v>
      </c>
      <c r="L46" s="95">
        <f t="shared" si="12"/>
        <v>190150000</v>
      </c>
      <c r="M46" s="95">
        <f t="shared" si="12"/>
        <v>205150000</v>
      </c>
      <c r="N46" s="95">
        <f t="shared" si="12"/>
        <v>230150000</v>
      </c>
    </row>
    <row r="48" spans="2:14">
      <c r="B48" s="94" t="s">
        <v>8072</v>
      </c>
      <c r="C48" s="95">
        <f>+SUM(C46:N46)</f>
        <v>2561100000</v>
      </c>
    </row>
  </sheetData>
  <mergeCells count="2">
    <mergeCell ref="B27:N27"/>
    <mergeCell ref="B4:N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EDA47-C556-4C5B-BD14-5CA1289E056D}">
  <dimension ref="B1:AD56"/>
  <sheetViews>
    <sheetView topLeftCell="O17" zoomScaleNormal="100" workbookViewId="0">
      <selection activeCell="O25" sqref="A25:XFD54"/>
    </sheetView>
  </sheetViews>
  <sheetFormatPr defaultColWidth="11.3828125" defaultRowHeight="12.45"/>
  <cols>
    <col min="1" max="1" width="11.3828125" style="6"/>
    <col min="2" max="2" width="26" style="6" customWidth="1"/>
    <col min="3" max="3" width="13.53515625" style="6" hidden="1" customWidth="1"/>
    <col min="4" max="4" width="14.3046875" style="6" hidden="1" customWidth="1"/>
    <col min="5" max="6" width="13.53515625" style="6" hidden="1" customWidth="1"/>
    <col min="7" max="7" width="13.84375" style="6" hidden="1" customWidth="1"/>
    <col min="8" max="8" width="14.3046875" style="6" hidden="1" customWidth="1"/>
    <col min="9" max="9" width="0.15234375" style="6" hidden="1" customWidth="1"/>
    <col min="10" max="10" width="14.3046875" style="6" hidden="1" customWidth="1"/>
    <col min="11" max="14" width="13.3046875" style="6" bestFit="1" customWidth="1"/>
    <col min="15" max="15" width="11.3828125" style="6" bestFit="1"/>
    <col min="16" max="16" width="13.84375" style="6" bestFit="1" customWidth="1"/>
    <col min="17" max="17" width="26.15234375" style="6" bestFit="1" customWidth="1"/>
    <col min="18" max="18" width="15.84375" style="6" customWidth="1"/>
    <col min="19" max="19" width="14.3046875" style="6" customWidth="1"/>
    <col min="20" max="20" width="13.3046875" style="6" customWidth="1"/>
    <col min="21" max="21" width="16" style="6" customWidth="1"/>
    <col min="22" max="22" width="13.84375" style="6" customWidth="1"/>
    <col min="23" max="23" width="14.3046875" style="6" customWidth="1"/>
    <col min="24" max="25" width="13.3046875" style="6" customWidth="1"/>
    <col min="26" max="27" width="13" style="6" bestFit="1" customWidth="1"/>
    <col min="28" max="28" width="14.3046875" style="6" bestFit="1" customWidth="1"/>
    <col min="29" max="30" width="13.69140625" style="6" bestFit="1" customWidth="1"/>
    <col min="31" max="16384" width="11.3828125" style="6"/>
  </cols>
  <sheetData>
    <row r="1" spans="2:29">
      <c r="Q1" s="6" t="s">
        <v>3644</v>
      </c>
    </row>
    <row r="2" spans="2:29">
      <c r="B2" s="1099" t="s">
        <v>8065</v>
      </c>
      <c r="C2" s="1100"/>
      <c r="D2" s="1100"/>
      <c r="E2" s="1100"/>
      <c r="F2" s="1100"/>
      <c r="G2" s="1100"/>
      <c r="H2" s="1100"/>
      <c r="I2" s="1100"/>
      <c r="J2" s="1100"/>
      <c r="K2" s="1100"/>
      <c r="L2" s="1100"/>
      <c r="M2" s="1100"/>
      <c r="N2" s="1101"/>
      <c r="Q2" s="1102" t="s">
        <v>8073</v>
      </c>
      <c r="R2" s="1102"/>
      <c r="S2" s="1102"/>
      <c r="T2" s="1102"/>
      <c r="U2" s="1102"/>
      <c r="V2" s="1102"/>
      <c r="W2" s="1102"/>
      <c r="X2" s="1102"/>
      <c r="Y2" s="1102"/>
      <c r="Z2" s="1102"/>
      <c r="AA2" s="1102"/>
      <c r="AB2" s="1102"/>
      <c r="AC2" s="1102"/>
    </row>
    <row r="3" spans="2:29">
      <c r="C3" s="264">
        <v>45292</v>
      </c>
      <c r="D3" s="264">
        <v>45323</v>
      </c>
      <c r="E3" s="264">
        <v>45352</v>
      </c>
      <c r="F3" s="264">
        <v>45383</v>
      </c>
      <c r="G3" s="264">
        <v>45413</v>
      </c>
      <c r="H3" s="264">
        <v>45444</v>
      </c>
      <c r="I3" s="264">
        <v>45474</v>
      </c>
      <c r="J3" s="264">
        <v>45505</v>
      </c>
      <c r="K3" s="264">
        <v>45536</v>
      </c>
      <c r="L3" s="264">
        <v>45566</v>
      </c>
      <c r="M3" s="264">
        <v>45597</v>
      </c>
      <c r="N3" s="264">
        <v>45627</v>
      </c>
      <c r="R3" s="264">
        <v>45292</v>
      </c>
      <c r="S3" s="264">
        <v>45323</v>
      </c>
      <c r="T3" s="264">
        <v>45352</v>
      </c>
      <c r="U3" s="264">
        <v>45383</v>
      </c>
      <c r="V3" s="496">
        <v>45413</v>
      </c>
      <c r="W3" s="264">
        <v>45444</v>
      </c>
      <c r="X3" s="264">
        <v>45474</v>
      </c>
      <c r="Y3" s="264">
        <v>45505</v>
      </c>
      <c r="Z3" s="264">
        <v>45536</v>
      </c>
      <c r="AA3" s="264">
        <v>45566</v>
      </c>
      <c r="AB3" s="264">
        <v>45597</v>
      </c>
      <c r="AC3" s="264">
        <v>45627</v>
      </c>
    </row>
    <row r="4" spans="2:29">
      <c r="B4" s="94" t="s">
        <v>3652</v>
      </c>
      <c r="C4" s="2"/>
      <c r="D4" s="2"/>
      <c r="E4" s="2"/>
      <c r="F4" s="2"/>
      <c r="G4" s="2"/>
      <c r="H4" s="2"/>
      <c r="I4" s="2"/>
      <c r="J4" s="2">
        <v>800000</v>
      </c>
      <c r="K4" s="2">
        <f t="shared" ref="K4:K13" si="0">+J4</f>
        <v>800000</v>
      </c>
      <c r="L4" s="2">
        <f t="shared" ref="L4:N4" si="1">+K4</f>
        <v>800000</v>
      </c>
      <c r="M4" s="2">
        <f t="shared" si="1"/>
        <v>800000</v>
      </c>
      <c r="N4" s="2">
        <f t="shared" si="1"/>
        <v>800000</v>
      </c>
      <c r="Q4" s="262" t="str">
        <f t="shared" ref="Q4:Q14" si="2">+B4</f>
        <v>Topografias</v>
      </c>
      <c r="R4" s="2">
        <f>-SUMIFS('Movimientos Reales'!$D$5:$D$1048576,'Movimientos Reales'!$E$5:$E$1048576,'2.Estructuracion'!R$3,'Movimientos Reales'!$H$5:$H$1048576,'2.Estructuracion'!$Q4,'Movimientos Reales'!$G$5:$G$1048576,'2.Estructuracion'!$Q$1)</f>
        <v>0</v>
      </c>
      <c r="S4" s="2">
        <f>-SUMIFS('Movimientos Reales'!$D$5:$D$1048576,'Movimientos Reales'!$E$5:$E$1048576,'2.Estructuracion'!S$3,'Movimientos Reales'!$H$5:$H$1048576,'2.Estructuracion'!$Q4,'Movimientos Reales'!$G$5:$G$1048576,'2.Estructuracion'!$Q$1)</f>
        <v>0</v>
      </c>
      <c r="T4" s="2">
        <f>-SUMIFS('Movimientos Reales'!$D$5:$D$1048576,'Movimientos Reales'!$E$5:$E$1048576,'2.Estructuracion'!T$3,'Movimientos Reales'!$H$5:$H$1048576,'2.Estructuracion'!$Q4,'Movimientos Reales'!$G$5:$G$1048576,'2.Estructuracion'!$Q$1)</f>
        <v>0</v>
      </c>
      <c r="U4" s="2">
        <f>-SUMIFS('Movimientos Reales'!$D$5:$D$1048576,'Movimientos Reales'!$E$5:$E$1048576,'2.Estructuracion'!U$3,'Movimientos Reales'!$H$5:$H$1048576,'2.Estructuracion'!$Q4,'Movimientos Reales'!$G$5:$G$1048576,'2.Estructuracion'!$Q$1)</f>
        <v>0</v>
      </c>
      <c r="V4" s="2">
        <f>-SUMIFS('Movimientos Reales'!$D$5:$D$1048576,'Movimientos Reales'!$E$5:$E$1048576,'2.Estructuracion'!V$3,'Movimientos Reales'!$H$5:$H$1048576,'2.Estructuracion'!$Q4,'Movimientos Reales'!$G$5:$G$1048576,'2.Estructuracion'!$Q$1)</f>
        <v>0</v>
      </c>
      <c r="W4" s="2">
        <f>-SUMIFS('Movimientos Reales'!$D$5:$D$1048576,'Movimientos Reales'!$E$5:$E$1048576,'2.Estructuracion'!W$3,'Movimientos Reales'!$H$5:$H$1048576,'2.Estructuracion'!$Q4,'Movimientos Reales'!$G$5:$G$1048576,'2.Estructuracion'!$Q$1)</f>
        <v>0</v>
      </c>
      <c r="X4" s="2">
        <f>-SUMIFS('Movimientos Reales'!$D$5:$D$1048576,'Movimientos Reales'!$E$5:$E$1048576,'2.Estructuracion'!X$3,'Movimientos Reales'!$H$5:$H$1048576,'2.Estructuracion'!$Q4,'Movimientos Reales'!$G$5:$G$1048576,'2.Estructuracion'!$Q$1)</f>
        <v>5832000</v>
      </c>
      <c r="Y4" s="2">
        <f>-SUMIFS('Movimientos Reales'!$D$5:$D$1048576,'Movimientos Reales'!$E$5:$E$1048576,'2.Estructuracion'!Y$3,'Movimientos Reales'!$H$5:$H$1048576,'2.Estructuracion'!$Q4,'Movimientos Reales'!$G$5:$G$1048576,'2.Estructuracion'!$Q$1)</f>
        <v>0</v>
      </c>
      <c r="Z4" s="2">
        <f>-SUMIFS('Movimientos Reales'!$D$5:$D$1048576,'Movimientos Reales'!$E$5:$E$1048576,'2.Estructuracion'!Z$3,'Movimientos Reales'!$H$5:$H$1048576,'2.Estructuracion'!$Q4,'Movimientos Reales'!$G$5:$G$1048576,'2.Estructuracion'!$Q$1)</f>
        <v>3000000</v>
      </c>
      <c r="AA4" s="2">
        <f>-SUMIFS('Movimientos Reales'!$D$5:$D$1048576,'Movimientos Reales'!$E$5:$E$1048576,'2.Estructuracion'!AA$3,'Movimientos Reales'!$H$5:$H$1048576,'2.Estructuracion'!$Q4,'Movimientos Reales'!$G$5:$G$1048576,'2.Estructuracion'!$Q$1)</f>
        <v>12681750</v>
      </c>
      <c r="AB4" s="2">
        <f>-SUMIFS('Movimientos Reales'!$D$5:$D$1048576,'Movimientos Reales'!$E$5:$E$1048576,'2.Estructuracion'!AB$3,'Movimientos Reales'!$H$5:$H$1048576,'2.Estructuracion'!$Q4,'Movimientos Reales'!$G$5:$G$1048576,'2.Estructuracion'!$Q$1)</f>
        <v>2997000</v>
      </c>
      <c r="AC4" s="2">
        <f>-SUMIFS('Movimientos Reales'!$D$5:$D$1048576,'Movimientos Reales'!$E$5:$E$1048576,'2.Estructuracion'!AC$3,'Movimientos Reales'!$H$5:$H$1048576,'2.Estructuracion'!$Q4,'Movimientos Reales'!$G$5:$G$1048576,'2.Estructuracion'!$Q$1)</f>
        <v>27145050</v>
      </c>
    </row>
    <row r="5" spans="2:29">
      <c r="B5" s="262" t="s">
        <v>4957</v>
      </c>
      <c r="C5" s="2"/>
      <c r="D5" s="2"/>
      <c r="E5" s="2"/>
      <c r="F5" s="2"/>
      <c r="G5" s="2"/>
      <c r="H5" s="2"/>
      <c r="I5" s="2"/>
      <c r="J5" s="2">
        <v>6600000</v>
      </c>
      <c r="K5" s="2">
        <f t="shared" si="0"/>
        <v>6600000</v>
      </c>
      <c r="L5" s="2">
        <f t="shared" ref="L5:L13" si="3">+J5</f>
        <v>6600000</v>
      </c>
      <c r="M5" s="2">
        <f t="shared" ref="M5:M13" si="4">+J5</f>
        <v>6600000</v>
      </c>
      <c r="N5" s="2">
        <f t="shared" ref="N5:N13" si="5">+J5</f>
        <v>6600000</v>
      </c>
      <c r="Q5" s="262" t="str">
        <f t="shared" si="2"/>
        <v>Estudios  de conexión</v>
      </c>
      <c r="R5" s="2">
        <f>-SUMIFS('Movimientos Reales'!$D$5:$D$1048576,'Movimientos Reales'!$E$5:$E$1048576,'2.Estructuracion'!R$3,'Movimientos Reales'!$H$5:$H$1048576,'2.Estructuracion'!$Q5,'Movimientos Reales'!$G$5:$G$1048576,'2.Estructuracion'!$Q$1)</f>
        <v>0</v>
      </c>
      <c r="S5" s="2">
        <f>-SUMIFS('Movimientos Reales'!$D$5:$D$1048576,'Movimientos Reales'!$E$5:$E$1048576,'2.Estructuracion'!S$3,'Movimientos Reales'!$H$5:$H$1048576,'2.Estructuracion'!$Q5,'Movimientos Reales'!$G$5:$G$1048576,'2.Estructuracion'!$Q$1)</f>
        <v>0</v>
      </c>
      <c r="T5" s="2">
        <f>-SUMIFS('Movimientos Reales'!$D$5:$D$1048576,'Movimientos Reales'!$E$5:$E$1048576,'2.Estructuracion'!T$3,'Movimientos Reales'!$H$5:$H$1048576,'2.Estructuracion'!$Q5,'Movimientos Reales'!$G$5:$G$1048576,'2.Estructuracion'!$Q$1)</f>
        <v>0</v>
      </c>
      <c r="U5" s="2">
        <f>-SUMIFS('Movimientos Reales'!$D$5:$D$1048576,'Movimientos Reales'!$E$5:$E$1048576,'2.Estructuracion'!U$3,'Movimientos Reales'!$H$5:$H$1048576,'2.Estructuracion'!$Q5,'Movimientos Reales'!$G$5:$G$1048576,'2.Estructuracion'!$Q$1)</f>
        <v>0</v>
      </c>
      <c r="V5" s="2">
        <f>-SUMIFS('Movimientos Reales'!$D$5:$D$1048576,'Movimientos Reales'!$E$5:$E$1048576,'2.Estructuracion'!V$3,'Movimientos Reales'!$H$5:$H$1048576,'2.Estructuracion'!$Q5,'Movimientos Reales'!$G$5:$G$1048576,'2.Estructuracion'!$Q$1)</f>
        <v>0</v>
      </c>
      <c r="W5" s="2">
        <f>-SUMIFS('Movimientos Reales'!$D$5:$D$1048576,'Movimientos Reales'!$E$5:$E$1048576,'2.Estructuracion'!W$3,'Movimientos Reales'!$H$5:$H$1048576,'2.Estructuracion'!$Q5,'Movimientos Reales'!$G$5:$G$1048576,'2.Estructuracion'!$Q$1)</f>
        <v>0</v>
      </c>
      <c r="X5" s="2">
        <f>-SUMIFS('Movimientos Reales'!$D$5:$D$1048576,'Movimientos Reales'!$E$5:$E$1048576,'2.Estructuracion'!X$3,'Movimientos Reales'!$H$5:$H$1048576,'2.Estructuracion'!$Q5,'Movimientos Reales'!$G$5:$G$1048576,'2.Estructuracion'!$Q$1)</f>
        <v>0</v>
      </c>
      <c r="Y5" s="2">
        <f>-SUMIFS('Movimientos Reales'!$D$5:$D$1048576,'Movimientos Reales'!$E$5:$E$1048576,'2.Estructuracion'!Y$3,'Movimientos Reales'!$H$5:$H$1048576,'2.Estructuracion'!$Q5,'Movimientos Reales'!$G$5:$G$1048576,'2.Estructuracion'!$Q$1)</f>
        <v>0</v>
      </c>
      <c r="Z5" s="2">
        <f>-SUMIFS('Movimientos Reales'!$D$5:$D$1048576,'Movimientos Reales'!$E$5:$E$1048576,'2.Estructuracion'!Z$3,'Movimientos Reales'!$H$5:$H$1048576,'2.Estructuracion'!$Q5,'Movimientos Reales'!$G$5:$G$1048576,'2.Estructuracion'!$Q$1)</f>
        <v>1896000</v>
      </c>
      <c r="AA5" s="2">
        <f>-SUMIFS('Movimientos Reales'!$D$5:$D$1048576,'Movimientos Reales'!$E$5:$E$1048576,'2.Estructuracion'!AA$3,'Movimientos Reales'!$H$5:$H$1048576,'2.Estructuracion'!$Q5,'Movimientos Reales'!$G$5:$G$1048576,'2.Estructuracion'!$Q$1)</f>
        <v>0</v>
      </c>
      <c r="AB5" s="2">
        <f>-SUMIFS('Movimientos Reales'!$D$5:$D$1048576,'Movimientos Reales'!$E$5:$E$1048576,'2.Estructuracion'!AB$3,'Movimientos Reales'!$H$5:$H$1048576,'2.Estructuracion'!$Q5,'Movimientos Reales'!$G$5:$G$1048576,'2.Estructuracion'!$Q$1)</f>
        <v>44936581.200000003</v>
      </c>
      <c r="AC5" s="2">
        <f>-SUMIFS('Movimientos Reales'!$D$5:$D$1048576,'Movimientos Reales'!$E$5:$E$1048576,'2.Estructuracion'!AC$3,'Movimientos Reales'!$H$5:$H$1048576,'2.Estructuracion'!$Q5,'Movimientos Reales'!$G$5:$G$1048576,'2.Estructuracion'!$Q$1)</f>
        <v>67716000</v>
      </c>
    </row>
    <row r="6" spans="2:29">
      <c r="B6" s="262" t="s">
        <v>4814</v>
      </c>
      <c r="C6" s="2"/>
      <c r="D6" s="2"/>
      <c r="E6" s="2"/>
      <c r="F6" s="2"/>
      <c r="G6" s="2"/>
      <c r="H6" s="2"/>
      <c r="I6" s="2"/>
      <c r="J6" s="2">
        <v>2100000</v>
      </c>
      <c r="K6" s="2">
        <f t="shared" si="0"/>
        <v>2100000</v>
      </c>
      <c r="L6" s="2">
        <f t="shared" si="3"/>
        <v>2100000</v>
      </c>
      <c r="M6" s="2">
        <f t="shared" si="4"/>
        <v>2100000</v>
      </c>
      <c r="N6" s="2">
        <f t="shared" si="5"/>
        <v>2100000</v>
      </c>
      <c r="Q6" s="262" t="str">
        <f t="shared" si="2"/>
        <v>Visitas a terrenos</v>
      </c>
      <c r="R6" s="2">
        <f>-SUMIFS('Movimientos Reales'!$D$5:$D$1048576,'Movimientos Reales'!$E$5:$E$1048576,'2.Estructuracion'!R$3,'Movimientos Reales'!$H$5:$H$1048576,'2.Estructuracion'!$Q6,'Movimientos Reales'!$G$5:$G$1048576,'2.Estructuracion'!$Q$1)</f>
        <v>0</v>
      </c>
      <c r="S6" s="2">
        <f>-SUMIFS('Movimientos Reales'!$D$5:$D$1048576,'Movimientos Reales'!$E$5:$E$1048576,'2.Estructuracion'!S$3,'Movimientos Reales'!$H$5:$H$1048576,'2.Estructuracion'!$Q6,'Movimientos Reales'!$G$5:$G$1048576,'2.Estructuracion'!$Q$1)</f>
        <v>0</v>
      </c>
      <c r="T6" s="2">
        <f>-SUMIFS('Movimientos Reales'!$D$5:$D$1048576,'Movimientos Reales'!$E$5:$E$1048576,'2.Estructuracion'!T$3,'Movimientos Reales'!$H$5:$H$1048576,'2.Estructuracion'!$Q6,'Movimientos Reales'!$G$5:$G$1048576,'2.Estructuracion'!$Q$1)</f>
        <v>0</v>
      </c>
      <c r="U6" s="2">
        <f>-SUMIFS('Movimientos Reales'!$D$5:$D$1048576,'Movimientos Reales'!$E$5:$E$1048576,'2.Estructuracion'!U$3,'Movimientos Reales'!$H$5:$H$1048576,'2.Estructuracion'!$Q6,'Movimientos Reales'!$G$5:$G$1048576,'2.Estructuracion'!$Q$1)</f>
        <v>0</v>
      </c>
      <c r="V6" s="2">
        <f>-SUMIFS('Movimientos Reales'!$D$5:$D$1048576,'Movimientos Reales'!$E$5:$E$1048576,'2.Estructuracion'!V$3,'Movimientos Reales'!$H$5:$H$1048576,'2.Estructuracion'!$Q6,'Movimientos Reales'!$G$5:$G$1048576,'2.Estructuracion'!$Q$1)</f>
        <v>0</v>
      </c>
      <c r="W6" s="2">
        <f>-SUMIFS('Movimientos Reales'!$D$5:$D$1048576,'Movimientos Reales'!$E$5:$E$1048576,'2.Estructuracion'!W$3,'Movimientos Reales'!$H$5:$H$1048576,'2.Estructuracion'!$Q6,'Movimientos Reales'!$G$5:$G$1048576,'2.Estructuracion'!$Q$1)</f>
        <v>0</v>
      </c>
      <c r="X6" s="2">
        <f>-SUMIFS('Movimientos Reales'!$D$5:$D$1048576,'Movimientos Reales'!$E$5:$E$1048576,'2.Estructuracion'!X$3,'Movimientos Reales'!$H$5:$H$1048576,'2.Estructuracion'!$Q6,'Movimientos Reales'!$G$5:$G$1048576,'2.Estructuracion'!$Q$1)</f>
        <v>0</v>
      </c>
      <c r="Y6" s="2">
        <f>-SUMIFS('Movimientos Reales'!$D$5:$D$1048576,'Movimientos Reales'!$E$5:$E$1048576,'2.Estructuracion'!Y$3,'Movimientos Reales'!$H$5:$H$1048576,'2.Estructuracion'!$Q6,'Movimientos Reales'!$G$5:$G$1048576,'2.Estructuracion'!$Q$1)</f>
        <v>0</v>
      </c>
      <c r="Z6" s="2">
        <f>-SUMIFS('Movimientos Reales'!$D$5:$D$1048576,'Movimientos Reales'!$E$5:$E$1048576,'2.Estructuracion'!Z$3,'Movimientos Reales'!$H$5:$H$1048576,'2.Estructuracion'!$Q6,'Movimientos Reales'!$G$5:$G$1048576,'2.Estructuracion'!$Q$1)</f>
        <v>6058533</v>
      </c>
      <c r="AA6" s="2">
        <f>-SUMIFS('Movimientos Reales'!$D$5:$D$1048576,'Movimientos Reales'!$E$5:$E$1048576,'2.Estructuracion'!AA$3,'Movimientos Reales'!$H$5:$H$1048576,'2.Estructuracion'!$Q6,'Movimientos Reales'!$G$5:$G$1048576,'2.Estructuracion'!$Q$1)</f>
        <v>1403920</v>
      </c>
      <c r="AB6" s="2">
        <f>-SUMIFS('Movimientos Reales'!$D$5:$D$1048576,'Movimientos Reales'!$E$5:$E$1048576,'2.Estructuracion'!AB$3,'Movimientos Reales'!$H$5:$H$1048576,'2.Estructuracion'!$Q6,'Movimientos Reales'!$G$5:$G$1048576,'2.Estructuracion'!$Q$1)</f>
        <v>1561200</v>
      </c>
      <c r="AC6" s="2">
        <f>-SUMIFS('Movimientos Reales'!$D$5:$D$1048576,'Movimientos Reales'!$E$5:$E$1048576,'2.Estructuracion'!AC$3,'Movimientos Reales'!$H$5:$H$1048576,'2.Estructuracion'!$Q6,'Movimientos Reales'!$G$5:$G$1048576,'2.Estructuracion'!$Q$1)</f>
        <v>309730</v>
      </c>
    </row>
    <row r="7" spans="2:29">
      <c r="B7" s="262" t="s">
        <v>5059</v>
      </c>
      <c r="C7" s="2"/>
      <c r="D7" s="2"/>
      <c r="E7" s="2"/>
      <c r="F7" s="2"/>
      <c r="G7" s="2"/>
      <c r="H7" s="2"/>
      <c r="I7" s="2"/>
      <c r="J7" s="2">
        <v>7500000</v>
      </c>
      <c r="K7" s="2">
        <f t="shared" si="0"/>
        <v>7500000</v>
      </c>
      <c r="L7" s="2">
        <f t="shared" si="3"/>
        <v>7500000</v>
      </c>
      <c r="M7" s="2">
        <f t="shared" si="4"/>
        <v>7500000</v>
      </c>
      <c r="N7" s="2">
        <f t="shared" si="5"/>
        <v>7500000</v>
      </c>
      <c r="Q7" s="262" t="str">
        <f t="shared" si="2"/>
        <v>Estudios Legales</v>
      </c>
      <c r="R7" s="2">
        <f>-SUMIFS('Movimientos Reales'!$D$5:$D$1048576,'Movimientos Reales'!$E$5:$E$1048576,'2.Estructuracion'!R$3,'Movimientos Reales'!$H$5:$H$1048576,'2.Estructuracion'!$Q7,'Movimientos Reales'!$G$5:$G$1048576,'2.Estructuracion'!$Q$1)</f>
        <v>0</v>
      </c>
      <c r="S7" s="2">
        <f>-SUMIFS('Movimientos Reales'!$D$5:$D$1048576,'Movimientos Reales'!$E$5:$E$1048576,'2.Estructuracion'!S$3,'Movimientos Reales'!$H$5:$H$1048576,'2.Estructuracion'!$Q7,'Movimientos Reales'!$G$5:$G$1048576,'2.Estructuracion'!$Q$1)</f>
        <v>0</v>
      </c>
      <c r="T7" s="2">
        <f>-SUMIFS('Movimientos Reales'!$D$5:$D$1048576,'Movimientos Reales'!$E$5:$E$1048576,'2.Estructuracion'!T$3,'Movimientos Reales'!$H$5:$H$1048576,'2.Estructuracion'!$Q7,'Movimientos Reales'!$G$5:$G$1048576,'2.Estructuracion'!$Q$1)</f>
        <v>0</v>
      </c>
      <c r="U7" s="2">
        <f>-SUMIFS('Movimientos Reales'!$D$5:$D$1048576,'Movimientos Reales'!$E$5:$E$1048576,'2.Estructuracion'!U$3,'Movimientos Reales'!$H$5:$H$1048576,'2.Estructuracion'!$Q7,'Movimientos Reales'!$G$5:$G$1048576,'2.Estructuracion'!$Q$1)</f>
        <v>0</v>
      </c>
      <c r="V7" s="2">
        <f>-SUMIFS('Movimientos Reales'!$D$5:$D$1048576,'Movimientos Reales'!$E$5:$E$1048576,'2.Estructuracion'!V$3,'Movimientos Reales'!$H$5:$H$1048576,'2.Estructuracion'!$Q7,'Movimientos Reales'!$G$5:$G$1048576,'2.Estructuracion'!$Q$1)</f>
        <v>0</v>
      </c>
      <c r="W7" s="2">
        <f>-SUMIFS('Movimientos Reales'!$D$5:$D$1048576,'Movimientos Reales'!$E$5:$E$1048576,'2.Estructuracion'!W$3,'Movimientos Reales'!$H$5:$H$1048576,'2.Estructuracion'!$Q7,'Movimientos Reales'!$G$5:$G$1048576,'2.Estructuracion'!$Q$1)</f>
        <v>0</v>
      </c>
      <c r="X7" s="2">
        <f>-SUMIFS('Movimientos Reales'!$D$5:$D$1048576,'Movimientos Reales'!$E$5:$E$1048576,'2.Estructuracion'!X$3,'Movimientos Reales'!$H$5:$H$1048576,'2.Estructuracion'!$Q7,'Movimientos Reales'!$G$5:$G$1048576,'2.Estructuracion'!$Q$1)</f>
        <v>0</v>
      </c>
      <c r="Y7" s="2">
        <f>-SUMIFS('Movimientos Reales'!$D$5:$D$1048576,'Movimientos Reales'!$E$5:$E$1048576,'2.Estructuracion'!Y$3,'Movimientos Reales'!$H$5:$H$1048576,'2.Estructuracion'!$Q7,'Movimientos Reales'!$G$5:$G$1048576,'2.Estructuracion'!$Q$1)</f>
        <v>0</v>
      </c>
      <c r="Z7" s="2">
        <f>-SUMIFS('Movimientos Reales'!$D$5:$D$1048576,'Movimientos Reales'!$E$5:$E$1048576,'2.Estructuracion'!Z$3,'Movimientos Reales'!$H$5:$H$1048576,'2.Estructuracion'!$Q7,'Movimientos Reales'!$G$5:$G$1048576,'2.Estructuracion'!$Q$1)</f>
        <v>70600</v>
      </c>
      <c r="AA7" s="2">
        <f>-SUMIFS('Movimientos Reales'!$D$5:$D$1048576,'Movimientos Reales'!$E$5:$E$1048576,'2.Estructuracion'!AA$3,'Movimientos Reales'!$H$5:$H$1048576,'2.Estructuracion'!$Q7,'Movimientos Reales'!$G$5:$G$1048576,'2.Estructuracion'!$Q$1)</f>
        <v>899800</v>
      </c>
      <c r="AB7" s="2">
        <f>-SUMIFS('Movimientos Reales'!$D$5:$D$1048576,'Movimientos Reales'!$E$5:$E$1048576,'2.Estructuracion'!AB$3,'Movimientos Reales'!$H$5:$H$1048576,'2.Estructuracion'!$Q7,'Movimientos Reales'!$G$5:$G$1048576,'2.Estructuracion'!$Q$1)</f>
        <v>8945900</v>
      </c>
      <c r="AC7" s="2">
        <f>-SUMIFS('Movimientos Reales'!$D$5:$D$1048576,'Movimientos Reales'!$E$5:$E$1048576,'2.Estructuracion'!AC$3,'Movimientos Reales'!$H$5:$H$1048576,'2.Estructuracion'!$Q7,'Movimientos Reales'!$G$5:$G$1048576,'2.Estructuracion'!$Q$1)</f>
        <v>20900</v>
      </c>
    </row>
    <row r="8" spans="2:29">
      <c r="B8" s="262" t="s">
        <v>6316</v>
      </c>
      <c r="C8" s="2"/>
      <c r="D8" s="2"/>
      <c r="E8" s="2"/>
      <c r="F8" s="2"/>
      <c r="G8" s="2"/>
      <c r="H8" s="2"/>
      <c r="I8" s="2"/>
      <c r="J8" s="2">
        <v>4000000</v>
      </c>
      <c r="K8" s="2">
        <f t="shared" si="0"/>
        <v>4000000</v>
      </c>
      <c r="L8" s="2">
        <f t="shared" si="3"/>
        <v>4000000</v>
      </c>
      <c r="M8" s="2">
        <f t="shared" si="4"/>
        <v>4000000</v>
      </c>
      <c r="N8" s="2">
        <f t="shared" si="5"/>
        <v>4000000</v>
      </c>
      <c r="Q8" s="262" t="str">
        <f t="shared" si="2"/>
        <v>Consulta Min Interior</v>
      </c>
      <c r="R8" s="2">
        <f>-SUMIFS('Movimientos Reales'!$D$5:$D$1048576,'Movimientos Reales'!$E$5:$E$1048576,'2.Estructuracion'!R$3,'Movimientos Reales'!$H$5:$H$1048576,'2.Estructuracion'!$Q8,'Movimientos Reales'!$G$5:$G$1048576,'2.Estructuracion'!$Q$1)</f>
        <v>0</v>
      </c>
      <c r="S8" s="2">
        <f>-SUMIFS('Movimientos Reales'!$D$5:$D$1048576,'Movimientos Reales'!$E$5:$E$1048576,'2.Estructuracion'!S$3,'Movimientos Reales'!$H$5:$H$1048576,'2.Estructuracion'!$Q8,'Movimientos Reales'!$G$5:$G$1048576,'2.Estructuracion'!$Q$1)</f>
        <v>0</v>
      </c>
      <c r="T8" s="2">
        <f>-SUMIFS('Movimientos Reales'!$D$5:$D$1048576,'Movimientos Reales'!$E$5:$E$1048576,'2.Estructuracion'!T$3,'Movimientos Reales'!$H$5:$H$1048576,'2.Estructuracion'!$Q8,'Movimientos Reales'!$G$5:$G$1048576,'2.Estructuracion'!$Q$1)</f>
        <v>0</v>
      </c>
      <c r="U8" s="2">
        <f>-SUMIFS('Movimientos Reales'!$D$5:$D$1048576,'Movimientos Reales'!$E$5:$E$1048576,'2.Estructuracion'!U$3,'Movimientos Reales'!$H$5:$H$1048576,'2.Estructuracion'!$Q8,'Movimientos Reales'!$G$5:$G$1048576,'2.Estructuracion'!$Q$1)</f>
        <v>0</v>
      </c>
      <c r="V8" s="2">
        <f>-SUMIFS('Movimientos Reales'!$D$5:$D$1048576,'Movimientos Reales'!$E$5:$E$1048576,'2.Estructuracion'!V$3,'Movimientos Reales'!$H$5:$H$1048576,'2.Estructuracion'!$Q8,'Movimientos Reales'!$G$5:$G$1048576,'2.Estructuracion'!$Q$1)</f>
        <v>0</v>
      </c>
      <c r="W8" s="2">
        <f>-SUMIFS('Movimientos Reales'!$D$5:$D$1048576,'Movimientos Reales'!$E$5:$E$1048576,'2.Estructuracion'!W$3,'Movimientos Reales'!$H$5:$H$1048576,'2.Estructuracion'!$Q8,'Movimientos Reales'!$G$5:$G$1048576,'2.Estructuracion'!$Q$1)</f>
        <v>0</v>
      </c>
      <c r="X8" s="2">
        <f>-SUMIFS('Movimientos Reales'!$D$5:$D$1048576,'Movimientos Reales'!$E$5:$E$1048576,'2.Estructuracion'!X$3,'Movimientos Reales'!$H$5:$H$1048576,'2.Estructuracion'!$Q8,'Movimientos Reales'!$G$5:$G$1048576,'2.Estructuracion'!$Q$1)</f>
        <v>0</v>
      </c>
      <c r="Y8" s="2">
        <f>-SUMIFS('Movimientos Reales'!$D$5:$D$1048576,'Movimientos Reales'!$E$5:$E$1048576,'2.Estructuracion'!Y$3,'Movimientos Reales'!$H$5:$H$1048576,'2.Estructuracion'!$Q8,'Movimientos Reales'!$G$5:$G$1048576,'2.Estructuracion'!$Q$1)</f>
        <v>0</v>
      </c>
      <c r="Z8" s="2">
        <f>-SUMIFS('Movimientos Reales'!$D$5:$D$1048576,'Movimientos Reales'!$E$5:$E$1048576,'2.Estructuracion'!Z$3,'Movimientos Reales'!$H$5:$H$1048576,'2.Estructuracion'!$Q8,'Movimientos Reales'!$G$5:$G$1048576,'2.Estructuracion'!$Q$1)</f>
        <v>0</v>
      </c>
      <c r="AA8" s="2">
        <f>-SUMIFS('Movimientos Reales'!$D$5:$D$1048576,'Movimientos Reales'!$E$5:$E$1048576,'2.Estructuracion'!AA$3,'Movimientos Reales'!$H$5:$H$1048576,'2.Estructuracion'!$Q8,'Movimientos Reales'!$G$5:$G$1048576,'2.Estructuracion'!$Q$1)</f>
        <v>0</v>
      </c>
      <c r="AB8" s="2">
        <f>-SUMIFS('Movimientos Reales'!$D$5:$D$1048576,'Movimientos Reales'!$E$5:$E$1048576,'2.Estructuracion'!AB$3,'Movimientos Reales'!$H$5:$H$1048576,'2.Estructuracion'!$Q8,'Movimientos Reales'!$G$5:$G$1048576,'2.Estructuracion'!$Q$1)</f>
        <v>91500</v>
      </c>
      <c r="AC8" s="2">
        <f>-SUMIFS('Movimientos Reales'!$D$5:$D$1048576,'Movimientos Reales'!$E$5:$E$1048576,'2.Estructuracion'!AC$3,'Movimientos Reales'!$H$5:$H$1048576,'2.Estructuracion'!$Q8,'Movimientos Reales'!$G$5:$G$1048576,'2.Estructuracion'!$Q$1)</f>
        <v>0</v>
      </c>
    </row>
    <row r="9" spans="2:29">
      <c r="B9" s="262" t="s">
        <v>5483</v>
      </c>
      <c r="C9" s="2"/>
      <c r="D9" s="2"/>
      <c r="E9" s="2"/>
      <c r="F9" s="2"/>
      <c r="G9" s="2"/>
      <c r="H9" s="2"/>
      <c r="I9" s="2"/>
      <c r="J9" s="2">
        <v>1200000</v>
      </c>
      <c r="K9" s="2">
        <f t="shared" si="0"/>
        <v>1200000</v>
      </c>
      <c r="L9" s="2">
        <f t="shared" si="3"/>
        <v>1200000</v>
      </c>
      <c r="M9" s="2">
        <f t="shared" si="4"/>
        <v>1200000</v>
      </c>
      <c r="N9" s="98">
        <f t="shared" si="5"/>
        <v>1200000</v>
      </c>
      <c r="Q9" s="262" t="str">
        <f t="shared" si="2"/>
        <v>Estudio Invenitario Forestal</v>
      </c>
      <c r="R9" s="2">
        <f>-SUMIFS('Movimientos Reales'!$D$5:$D$1048576,'Movimientos Reales'!$E$5:$E$1048576,'2.Estructuracion'!R$3,'Movimientos Reales'!$H$5:$H$1048576,'2.Estructuracion'!$Q9,'Movimientos Reales'!$G$5:$G$1048576,'2.Estructuracion'!$Q$1)</f>
        <v>0</v>
      </c>
      <c r="S9" s="2">
        <f>-SUMIFS('Movimientos Reales'!$D$5:$D$1048576,'Movimientos Reales'!$E$5:$E$1048576,'2.Estructuracion'!S$3,'Movimientos Reales'!$H$5:$H$1048576,'2.Estructuracion'!$Q9,'Movimientos Reales'!$G$5:$G$1048576,'2.Estructuracion'!$Q$1)</f>
        <v>0</v>
      </c>
      <c r="T9" s="2">
        <f>-SUMIFS('Movimientos Reales'!$D$5:$D$1048576,'Movimientos Reales'!$E$5:$E$1048576,'2.Estructuracion'!T$3,'Movimientos Reales'!$H$5:$H$1048576,'2.Estructuracion'!$Q9,'Movimientos Reales'!$G$5:$G$1048576,'2.Estructuracion'!$Q$1)</f>
        <v>0</v>
      </c>
      <c r="U9" s="2">
        <f>-SUMIFS('Movimientos Reales'!$D$5:$D$1048576,'Movimientos Reales'!$E$5:$E$1048576,'2.Estructuracion'!U$3,'Movimientos Reales'!$H$5:$H$1048576,'2.Estructuracion'!$Q9,'Movimientos Reales'!$G$5:$G$1048576,'2.Estructuracion'!$Q$1)</f>
        <v>0</v>
      </c>
      <c r="V9" s="2">
        <f>-SUMIFS('Movimientos Reales'!$D$5:$D$1048576,'Movimientos Reales'!$E$5:$E$1048576,'2.Estructuracion'!V$3,'Movimientos Reales'!$H$5:$H$1048576,'2.Estructuracion'!$Q9,'Movimientos Reales'!$G$5:$G$1048576,'2.Estructuracion'!$Q$1)</f>
        <v>0</v>
      </c>
      <c r="W9" s="2">
        <f>-SUMIFS('Movimientos Reales'!$D$5:$D$1048576,'Movimientos Reales'!$E$5:$E$1048576,'2.Estructuracion'!W$3,'Movimientos Reales'!$H$5:$H$1048576,'2.Estructuracion'!$Q9,'Movimientos Reales'!$G$5:$G$1048576,'2.Estructuracion'!$Q$1)</f>
        <v>0</v>
      </c>
      <c r="X9" s="2">
        <f>-SUMIFS('Movimientos Reales'!$D$5:$D$1048576,'Movimientos Reales'!$E$5:$E$1048576,'2.Estructuracion'!X$3,'Movimientos Reales'!$H$5:$H$1048576,'2.Estructuracion'!$Q9,'Movimientos Reales'!$G$5:$G$1048576,'2.Estructuracion'!$Q$1)</f>
        <v>0</v>
      </c>
      <c r="Y9" s="2">
        <f>-SUMIFS('Movimientos Reales'!$D$5:$D$1048576,'Movimientos Reales'!$E$5:$E$1048576,'2.Estructuracion'!Y$3,'Movimientos Reales'!$H$5:$H$1048576,'2.Estructuracion'!$Q9,'Movimientos Reales'!$G$5:$G$1048576,'2.Estructuracion'!$Q$1)</f>
        <v>0</v>
      </c>
      <c r="Z9" s="2">
        <f>-SUMIFS('Movimientos Reales'!$D$5:$D$1048576,'Movimientos Reales'!$E$5:$E$1048576,'2.Estructuracion'!Z$3,'Movimientos Reales'!$H$5:$H$1048576,'2.Estructuracion'!$Q9,'Movimientos Reales'!$G$5:$G$1048576,'2.Estructuracion'!$Q$1)</f>
        <v>0</v>
      </c>
      <c r="AA9" s="2">
        <f>-SUMIFS('Movimientos Reales'!$D$5:$D$1048576,'Movimientos Reales'!$E$5:$E$1048576,'2.Estructuracion'!AA$3,'Movimientos Reales'!$H$5:$H$1048576,'2.Estructuracion'!$Q9,'Movimientos Reales'!$G$5:$G$1048576,'2.Estructuracion'!$Q$1)</f>
        <v>2300000</v>
      </c>
      <c r="AB9" s="2">
        <f>-SUMIFS('Movimientos Reales'!$D$5:$D$1048576,'Movimientos Reales'!$E$5:$E$1048576,'2.Estructuracion'!AB$3,'Movimientos Reales'!$H$5:$H$1048576,'2.Estructuracion'!$Q9,'Movimientos Reales'!$G$5:$G$1048576,'2.Estructuracion'!$Q$1)</f>
        <v>3185000</v>
      </c>
      <c r="AC9" s="2">
        <f>-SUMIFS('Movimientos Reales'!$D$5:$D$1048576,'Movimientos Reales'!$E$5:$E$1048576,'2.Estructuracion'!AC$3,'Movimientos Reales'!$H$5:$H$1048576,'2.Estructuracion'!$Q9,'Movimientos Reales'!$G$5:$G$1048576,'2.Estructuracion'!$Q$1)</f>
        <v>4535000</v>
      </c>
    </row>
    <row r="10" spans="2:29">
      <c r="B10" s="94" t="s">
        <v>5775</v>
      </c>
      <c r="C10" s="2"/>
      <c r="D10" s="2"/>
      <c r="E10" s="2"/>
      <c r="F10" s="2"/>
      <c r="G10" s="2"/>
      <c r="H10" s="2"/>
      <c r="I10" s="2"/>
      <c r="J10" s="2">
        <v>8000000</v>
      </c>
      <c r="K10" s="2">
        <f t="shared" si="0"/>
        <v>8000000</v>
      </c>
      <c r="L10" s="2">
        <f t="shared" si="3"/>
        <v>8000000</v>
      </c>
      <c r="M10" s="2">
        <f t="shared" si="4"/>
        <v>8000000</v>
      </c>
      <c r="N10" s="98">
        <f t="shared" si="5"/>
        <v>8000000</v>
      </c>
      <c r="Q10" s="262" t="str">
        <f t="shared" si="2"/>
        <v>Estudio de Suelos</v>
      </c>
      <c r="R10" s="2">
        <f>-SUMIFS('Movimientos Reales'!$D$5:$D$1048576,'Movimientos Reales'!$E$5:$E$1048576,'2.Estructuracion'!R$3,'Movimientos Reales'!$H$5:$H$1048576,'2.Estructuracion'!$Q10,'Movimientos Reales'!$G$5:$G$1048576,'2.Estructuracion'!$Q$1)</f>
        <v>0</v>
      </c>
      <c r="S10" s="2">
        <f>-SUMIFS('Movimientos Reales'!$D$5:$D$1048576,'Movimientos Reales'!$E$5:$E$1048576,'2.Estructuracion'!S$3,'Movimientos Reales'!$H$5:$H$1048576,'2.Estructuracion'!$Q10,'Movimientos Reales'!$G$5:$G$1048576,'2.Estructuracion'!$Q$1)</f>
        <v>0</v>
      </c>
      <c r="T10" s="2">
        <f>-SUMIFS('Movimientos Reales'!$D$5:$D$1048576,'Movimientos Reales'!$E$5:$E$1048576,'2.Estructuracion'!T$3,'Movimientos Reales'!$H$5:$H$1048576,'2.Estructuracion'!$Q10,'Movimientos Reales'!$G$5:$G$1048576,'2.Estructuracion'!$Q$1)</f>
        <v>0</v>
      </c>
      <c r="U10" s="2">
        <f>-SUMIFS('Movimientos Reales'!$D$5:$D$1048576,'Movimientos Reales'!$E$5:$E$1048576,'2.Estructuracion'!U$3,'Movimientos Reales'!$H$5:$H$1048576,'2.Estructuracion'!$Q10,'Movimientos Reales'!$G$5:$G$1048576,'2.Estructuracion'!$Q$1)</f>
        <v>0</v>
      </c>
      <c r="V10" s="2">
        <f>-SUMIFS('Movimientos Reales'!$D$5:$D$1048576,'Movimientos Reales'!$E$5:$E$1048576,'2.Estructuracion'!V$3,'Movimientos Reales'!$H$5:$H$1048576,'2.Estructuracion'!$Q10,'Movimientos Reales'!$G$5:$G$1048576,'2.Estructuracion'!$Q$1)</f>
        <v>0</v>
      </c>
      <c r="W10" s="2">
        <f>-SUMIFS('Movimientos Reales'!$D$5:$D$1048576,'Movimientos Reales'!$E$5:$E$1048576,'2.Estructuracion'!W$3,'Movimientos Reales'!$H$5:$H$1048576,'2.Estructuracion'!$Q10,'Movimientos Reales'!$G$5:$G$1048576,'2.Estructuracion'!$Q$1)</f>
        <v>0</v>
      </c>
      <c r="X10" s="2">
        <f>-SUMIFS('Movimientos Reales'!$D$5:$D$1048576,'Movimientos Reales'!$E$5:$E$1048576,'2.Estructuracion'!X$3,'Movimientos Reales'!$H$5:$H$1048576,'2.Estructuracion'!$Q10,'Movimientos Reales'!$G$5:$G$1048576,'2.Estructuracion'!$Q$1)</f>
        <v>0</v>
      </c>
      <c r="Y10" s="2">
        <f>-SUMIFS('Movimientos Reales'!$D$5:$D$1048576,'Movimientos Reales'!$E$5:$E$1048576,'2.Estructuracion'!Y$3,'Movimientos Reales'!$H$5:$H$1048576,'2.Estructuracion'!$Q10,'Movimientos Reales'!$G$5:$G$1048576,'2.Estructuracion'!$Q$1)</f>
        <v>0</v>
      </c>
      <c r="Z10" s="2">
        <f>-SUMIFS('Movimientos Reales'!$D$5:$D$1048576,'Movimientos Reales'!$E$5:$E$1048576,'2.Estructuracion'!Z$3,'Movimientos Reales'!$H$5:$H$1048576,'2.Estructuracion'!$Q10,'Movimientos Reales'!$G$5:$G$1048576,'2.Estructuracion'!$Q$1)</f>
        <v>0</v>
      </c>
      <c r="AA10" s="2">
        <f>-SUMIFS('Movimientos Reales'!$D$5:$D$1048576,'Movimientos Reales'!$E$5:$E$1048576,'2.Estructuracion'!AA$3,'Movimientos Reales'!$H$5:$H$1048576,'2.Estructuracion'!$Q10,'Movimientos Reales'!$G$5:$G$1048576,'2.Estructuracion'!$Q$1)</f>
        <v>15120000</v>
      </c>
      <c r="AB10" s="2">
        <f>-SUMIFS('Movimientos Reales'!$D$5:$D$1048576,'Movimientos Reales'!$E$5:$E$1048576,'2.Estructuracion'!AB$3,'Movimientos Reales'!$H$5:$H$1048576,'2.Estructuracion'!$Q10,'Movimientos Reales'!$G$5:$G$1048576,'2.Estructuracion'!$Q$1)</f>
        <v>7761300</v>
      </c>
      <c r="AC10" s="2">
        <f>-SUMIFS('Movimientos Reales'!$D$5:$D$1048576,'Movimientos Reales'!$E$5:$E$1048576,'2.Estructuracion'!AC$3,'Movimientos Reales'!$H$5:$H$1048576,'2.Estructuracion'!$Q10,'Movimientos Reales'!$G$5:$G$1048576,'2.Estructuracion'!$Q$1)</f>
        <v>33134800</v>
      </c>
    </row>
    <row r="11" spans="2:29">
      <c r="B11" s="262" t="s">
        <v>8074</v>
      </c>
      <c r="C11" s="2"/>
      <c r="D11" s="2"/>
      <c r="E11" s="2"/>
      <c r="F11" s="2"/>
      <c r="G11" s="2"/>
      <c r="H11" s="2"/>
      <c r="I11" s="2"/>
      <c r="J11" s="2">
        <v>2000000</v>
      </c>
      <c r="K11" s="2">
        <f t="shared" si="0"/>
        <v>2000000</v>
      </c>
      <c r="L11" s="2">
        <f t="shared" si="3"/>
        <v>2000000</v>
      </c>
      <c r="M11" s="2">
        <f t="shared" si="4"/>
        <v>2000000</v>
      </c>
      <c r="N11" s="2">
        <f t="shared" si="5"/>
        <v>2000000</v>
      </c>
      <c r="Q11" s="262" t="str">
        <f t="shared" si="2"/>
        <v>Licencia de Construcción</v>
      </c>
      <c r="R11" s="2">
        <f>-SUMIFS('Movimientos Reales'!$D$5:$D$1048576,'Movimientos Reales'!$E$5:$E$1048576,'2.Estructuracion'!R$3,'Movimientos Reales'!$H$5:$H$1048576,'2.Estructuracion'!$Q11,'Movimientos Reales'!$G$5:$G$1048576,'2.Estructuracion'!$Q$1)</f>
        <v>0</v>
      </c>
      <c r="S11" s="2">
        <f>-SUMIFS('Movimientos Reales'!$D$5:$D$1048576,'Movimientos Reales'!$E$5:$E$1048576,'2.Estructuracion'!S$3,'Movimientos Reales'!$H$5:$H$1048576,'2.Estructuracion'!$Q11,'Movimientos Reales'!$G$5:$G$1048576,'2.Estructuracion'!$Q$1)</f>
        <v>0</v>
      </c>
      <c r="T11" s="2">
        <f>-SUMIFS('Movimientos Reales'!$D$5:$D$1048576,'Movimientos Reales'!$E$5:$E$1048576,'2.Estructuracion'!T$3,'Movimientos Reales'!$H$5:$H$1048576,'2.Estructuracion'!$Q11,'Movimientos Reales'!$G$5:$G$1048576,'2.Estructuracion'!$Q$1)</f>
        <v>0</v>
      </c>
      <c r="U11" s="2">
        <f>-SUMIFS('Movimientos Reales'!$D$5:$D$1048576,'Movimientos Reales'!$E$5:$E$1048576,'2.Estructuracion'!U$3,'Movimientos Reales'!$H$5:$H$1048576,'2.Estructuracion'!$Q11,'Movimientos Reales'!$G$5:$G$1048576,'2.Estructuracion'!$Q$1)</f>
        <v>0</v>
      </c>
      <c r="V11" s="2">
        <f>-SUMIFS('Movimientos Reales'!$D$5:$D$1048576,'Movimientos Reales'!$E$5:$E$1048576,'2.Estructuracion'!V$3,'Movimientos Reales'!$H$5:$H$1048576,'2.Estructuracion'!$Q11,'Movimientos Reales'!$G$5:$G$1048576,'2.Estructuracion'!$Q$1)</f>
        <v>0</v>
      </c>
      <c r="W11" s="2">
        <f>-SUMIFS('Movimientos Reales'!$D$5:$D$1048576,'Movimientos Reales'!$E$5:$E$1048576,'2.Estructuracion'!W$3,'Movimientos Reales'!$H$5:$H$1048576,'2.Estructuracion'!$Q11,'Movimientos Reales'!$G$5:$G$1048576,'2.Estructuracion'!$Q$1)</f>
        <v>0</v>
      </c>
      <c r="X11" s="2">
        <f>-SUMIFS('Movimientos Reales'!$D$5:$D$1048576,'Movimientos Reales'!$E$5:$E$1048576,'2.Estructuracion'!X$3,'Movimientos Reales'!$H$5:$H$1048576,'2.Estructuracion'!$Q11,'Movimientos Reales'!$G$5:$G$1048576,'2.Estructuracion'!$Q$1)</f>
        <v>0</v>
      </c>
      <c r="Y11" s="2">
        <f>-SUMIFS('Movimientos Reales'!$D$5:$D$1048576,'Movimientos Reales'!$E$5:$E$1048576,'2.Estructuracion'!Y$3,'Movimientos Reales'!$H$5:$H$1048576,'2.Estructuracion'!$Q11,'Movimientos Reales'!$G$5:$G$1048576,'2.Estructuracion'!$Q$1)</f>
        <v>0</v>
      </c>
      <c r="Z11" s="2">
        <f>-SUMIFS('Movimientos Reales'!$D$5:$D$1048576,'Movimientos Reales'!$E$5:$E$1048576,'2.Estructuracion'!Z$3,'Movimientos Reales'!$H$5:$H$1048576,'2.Estructuracion'!$Q11,'Movimientos Reales'!$G$5:$G$1048576,'2.Estructuracion'!$Q$1)</f>
        <v>0</v>
      </c>
      <c r="AA11" s="2">
        <f>-SUMIFS('Movimientos Reales'!$D$5:$D$1048576,'Movimientos Reales'!$E$5:$E$1048576,'2.Estructuracion'!AA$3,'Movimientos Reales'!$H$5:$H$1048576,'2.Estructuracion'!$Q11,'Movimientos Reales'!$G$5:$G$1048576,'2.Estructuracion'!$Q$1)</f>
        <v>0</v>
      </c>
      <c r="AB11" s="2">
        <f>-SUMIFS('Movimientos Reales'!$D$5:$D$1048576,'Movimientos Reales'!$E$5:$E$1048576,'2.Estructuracion'!AB$3,'Movimientos Reales'!$H$5:$H$1048576,'2.Estructuracion'!$Q11,'Movimientos Reales'!$G$5:$G$1048576,'2.Estructuracion'!$Q$1)</f>
        <v>0</v>
      </c>
      <c r="AC11" s="2">
        <f>-SUMIFS('Movimientos Reales'!$D$5:$D$1048576,'Movimientos Reales'!$E$5:$E$1048576,'2.Estructuracion'!AC$3,'Movimientos Reales'!$H$5:$H$1048576,'2.Estructuracion'!$Q11,'Movimientos Reales'!$G$5:$G$1048576,'2.Estructuracion'!$Q$1)</f>
        <v>0</v>
      </c>
    </row>
    <row r="12" spans="2:29">
      <c r="B12" s="262" t="s">
        <v>5066</v>
      </c>
      <c r="C12" s="2"/>
      <c r="D12" s="2"/>
      <c r="E12" s="2"/>
      <c r="F12" s="2"/>
      <c r="G12" s="2"/>
      <c r="H12" s="2"/>
      <c r="I12" s="2"/>
      <c r="J12" s="2">
        <v>7000000</v>
      </c>
      <c r="K12" s="2">
        <f t="shared" si="0"/>
        <v>7000000</v>
      </c>
      <c r="L12" s="2">
        <f t="shared" si="3"/>
        <v>7000000</v>
      </c>
      <c r="M12" s="2">
        <f t="shared" si="4"/>
        <v>7000000</v>
      </c>
      <c r="N12" s="2">
        <f t="shared" si="5"/>
        <v>7000000</v>
      </c>
      <c r="Q12" s="262" t="str">
        <f t="shared" si="2"/>
        <v>Básico Brokers</v>
      </c>
      <c r="R12" s="2">
        <f>-SUMIFS('Movimientos Reales'!$D$5:$D$1048576,'Movimientos Reales'!$E$5:$E$1048576,'2.Estructuracion'!R$3,'Movimientos Reales'!$H$5:$H$1048576,'2.Estructuracion'!$Q12,'Movimientos Reales'!$G$5:$G$1048576,'2.Estructuracion'!$Q$1)</f>
        <v>0</v>
      </c>
      <c r="S12" s="2">
        <f>-SUMIFS('Movimientos Reales'!$D$5:$D$1048576,'Movimientos Reales'!$E$5:$E$1048576,'2.Estructuracion'!S$3,'Movimientos Reales'!$H$5:$H$1048576,'2.Estructuracion'!$Q12,'Movimientos Reales'!$G$5:$G$1048576,'2.Estructuracion'!$Q$1)</f>
        <v>0</v>
      </c>
      <c r="T12" s="2">
        <f>-SUMIFS('Movimientos Reales'!$D$5:$D$1048576,'Movimientos Reales'!$E$5:$E$1048576,'2.Estructuracion'!T$3,'Movimientos Reales'!$H$5:$H$1048576,'2.Estructuracion'!$Q12,'Movimientos Reales'!$G$5:$G$1048576,'2.Estructuracion'!$Q$1)</f>
        <v>0</v>
      </c>
      <c r="U12" s="2">
        <f>-SUMIFS('Movimientos Reales'!$D$5:$D$1048576,'Movimientos Reales'!$E$5:$E$1048576,'2.Estructuracion'!U$3,'Movimientos Reales'!$H$5:$H$1048576,'2.Estructuracion'!$Q12,'Movimientos Reales'!$G$5:$G$1048576,'2.Estructuracion'!$Q$1)</f>
        <v>0</v>
      </c>
      <c r="V12" s="2">
        <f>-SUMIFS('Movimientos Reales'!$D$5:$D$1048576,'Movimientos Reales'!$E$5:$E$1048576,'2.Estructuracion'!V$3,'Movimientos Reales'!$H$5:$H$1048576,'2.Estructuracion'!$Q12,'Movimientos Reales'!$G$5:$G$1048576,'2.Estructuracion'!$Q$1)</f>
        <v>0</v>
      </c>
      <c r="W12" s="2">
        <f>-SUMIFS('Movimientos Reales'!$D$5:$D$1048576,'Movimientos Reales'!$E$5:$E$1048576,'2.Estructuracion'!W$3,'Movimientos Reales'!$H$5:$H$1048576,'2.Estructuracion'!$Q12,'Movimientos Reales'!$G$5:$G$1048576,'2.Estructuracion'!$Q$1)</f>
        <v>0</v>
      </c>
      <c r="X12" s="2">
        <f>-SUMIFS('Movimientos Reales'!$D$5:$D$1048576,'Movimientos Reales'!$E$5:$E$1048576,'2.Estructuracion'!X$3,'Movimientos Reales'!$H$5:$H$1048576,'2.Estructuracion'!$Q12,'Movimientos Reales'!$G$5:$G$1048576,'2.Estructuracion'!$Q$1)</f>
        <v>0</v>
      </c>
      <c r="Y12" s="2">
        <f>-SUMIFS('Movimientos Reales'!$D$5:$D$1048576,'Movimientos Reales'!$E$5:$E$1048576,'2.Estructuracion'!Y$3,'Movimientos Reales'!$H$5:$H$1048576,'2.Estructuracion'!$Q12,'Movimientos Reales'!$G$5:$G$1048576,'2.Estructuracion'!$Q$1)</f>
        <v>0</v>
      </c>
      <c r="Z12" s="2">
        <f>-SUMIFS('Movimientos Reales'!$D$5:$D$1048576,'Movimientos Reales'!$E$5:$E$1048576,'2.Estructuracion'!Z$3,'Movimientos Reales'!$H$5:$H$1048576,'2.Estructuracion'!$Q12,'Movimientos Reales'!$G$5:$G$1048576,'2.Estructuracion'!$Q$1)</f>
        <v>1000000</v>
      </c>
      <c r="AA12" s="2">
        <f>-SUMIFS('Movimientos Reales'!$D$5:$D$1048576,'Movimientos Reales'!$E$5:$E$1048576,'2.Estructuracion'!AA$3,'Movimientos Reales'!$H$5:$H$1048576,'2.Estructuracion'!$Q12,'Movimientos Reales'!$G$5:$G$1048576,'2.Estructuracion'!$Q$1)</f>
        <v>1000000</v>
      </c>
      <c r="AB12" s="2">
        <f>-SUMIFS('Movimientos Reales'!$D$5:$D$1048576,'Movimientos Reales'!$E$5:$E$1048576,'2.Estructuracion'!AB$3,'Movimientos Reales'!$H$5:$H$1048576,'2.Estructuracion'!$Q12,'Movimientos Reales'!$G$5:$G$1048576,'2.Estructuracion'!$Q$1)</f>
        <v>1500000</v>
      </c>
      <c r="AC12" s="2">
        <f>-SUMIFS('Movimientos Reales'!$D$5:$D$1048576,'Movimientos Reales'!$E$5:$E$1048576,'2.Estructuracion'!AC$3,'Movimientos Reales'!$H$5:$H$1048576,'2.Estructuracion'!$Q12,'Movimientos Reales'!$G$5:$G$1048576,'2.Estructuracion'!$Q$1)</f>
        <v>1012033</v>
      </c>
    </row>
    <row r="13" spans="2:29">
      <c r="B13" s="262" t="s">
        <v>7690</v>
      </c>
      <c r="C13" s="2"/>
      <c r="D13" s="2"/>
      <c r="E13" s="2"/>
      <c r="F13" s="2"/>
      <c r="G13" s="2"/>
      <c r="H13" s="2"/>
      <c r="I13" s="2"/>
      <c r="J13" s="2">
        <v>3000000</v>
      </c>
      <c r="K13" s="2">
        <f t="shared" si="0"/>
        <v>3000000</v>
      </c>
      <c r="L13" s="2">
        <f t="shared" si="3"/>
        <v>3000000</v>
      </c>
      <c r="M13" s="2">
        <f t="shared" si="4"/>
        <v>3000000</v>
      </c>
      <c r="N13" s="2">
        <f t="shared" si="5"/>
        <v>3000000</v>
      </c>
      <c r="Q13" s="262" t="str">
        <f t="shared" si="2"/>
        <v>Comisión Tierras</v>
      </c>
      <c r="R13" s="2">
        <f>-SUMIFS('Movimientos Reales'!$D$5:$D$1048576,'Movimientos Reales'!$E$5:$E$1048576,'2.Estructuracion'!R$3,'Movimientos Reales'!$H$5:$H$1048576,'2.Estructuracion'!$Q13,'Movimientos Reales'!$G$5:$G$1048576,'2.Estructuracion'!$Q$1)</f>
        <v>0</v>
      </c>
      <c r="S13" s="2">
        <f>-SUMIFS('Movimientos Reales'!$D$5:$D$1048576,'Movimientos Reales'!$E$5:$E$1048576,'2.Estructuracion'!S$3,'Movimientos Reales'!$H$5:$H$1048576,'2.Estructuracion'!$Q13,'Movimientos Reales'!$G$5:$G$1048576,'2.Estructuracion'!$Q$1)</f>
        <v>0</v>
      </c>
      <c r="T13" s="2">
        <f>-SUMIFS('Movimientos Reales'!$D$5:$D$1048576,'Movimientos Reales'!$E$5:$E$1048576,'2.Estructuracion'!T$3,'Movimientos Reales'!$H$5:$H$1048576,'2.Estructuracion'!$Q13,'Movimientos Reales'!$G$5:$G$1048576,'2.Estructuracion'!$Q$1)</f>
        <v>0</v>
      </c>
      <c r="U13" s="2">
        <f>-SUMIFS('Movimientos Reales'!$D$5:$D$1048576,'Movimientos Reales'!$E$5:$E$1048576,'2.Estructuracion'!U$3,'Movimientos Reales'!$H$5:$H$1048576,'2.Estructuracion'!$Q13,'Movimientos Reales'!$G$5:$G$1048576,'2.Estructuracion'!$Q$1)</f>
        <v>0</v>
      </c>
      <c r="V13" s="2">
        <f>-SUMIFS('Movimientos Reales'!$D$5:$D$1048576,'Movimientos Reales'!$E$5:$E$1048576,'2.Estructuracion'!V$3,'Movimientos Reales'!$H$5:$H$1048576,'2.Estructuracion'!$Q13,'Movimientos Reales'!$G$5:$G$1048576,'2.Estructuracion'!$Q$1)</f>
        <v>0</v>
      </c>
      <c r="W13" s="2">
        <f>-SUMIFS('Movimientos Reales'!$D$5:$D$1048576,'Movimientos Reales'!$E$5:$E$1048576,'2.Estructuracion'!W$3,'Movimientos Reales'!$H$5:$H$1048576,'2.Estructuracion'!$Q13,'Movimientos Reales'!$G$5:$G$1048576,'2.Estructuracion'!$Q$1)</f>
        <v>0</v>
      </c>
      <c r="X13" s="2">
        <f>-SUMIFS('Movimientos Reales'!$D$5:$D$1048576,'Movimientos Reales'!$E$5:$E$1048576,'2.Estructuracion'!X$3,'Movimientos Reales'!$H$5:$H$1048576,'2.Estructuracion'!$Q13,'Movimientos Reales'!$G$5:$G$1048576,'2.Estructuracion'!$Q$1)</f>
        <v>0</v>
      </c>
      <c r="Y13" s="2">
        <f>-SUMIFS('Movimientos Reales'!$D$5:$D$1048576,'Movimientos Reales'!$E$5:$E$1048576,'2.Estructuracion'!Y$3,'Movimientos Reales'!$H$5:$H$1048576,'2.Estructuracion'!$Q13,'Movimientos Reales'!$G$5:$G$1048576,'2.Estructuracion'!$Q$1)</f>
        <v>0</v>
      </c>
      <c r="Z13" s="2">
        <f>-SUMIFS('Movimientos Reales'!$D$5:$D$1048576,'Movimientos Reales'!$E$5:$E$1048576,'2.Estructuracion'!Z$3,'Movimientos Reales'!$H$5:$H$1048576,'2.Estructuracion'!$Q13,'Movimientos Reales'!$G$5:$G$1048576,'2.Estructuracion'!$Q$1)</f>
        <v>0</v>
      </c>
      <c r="AA13" s="2">
        <f>-SUMIFS('Movimientos Reales'!$D$5:$D$1048576,'Movimientos Reales'!$E$5:$E$1048576,'2.Estructuracion'!AA$3,'Movimientos Reales'!$H$5:$H$1048576,'2.Estructuracion'!$Q13,'Movimientos Reales'!$G$5:$G$1048576,'2.Estructuracion'!$Q$1)</f>
        <v>0</v>
      </c>
      <c r="AB13" s="2">
        <f>-SUMIFS('Movimientos Reales'!$D$5:$D$1048576,'Movimientos Reales'!$E$5:$E$1048576,'2.Estructuracion'!AB$3,'Movimientos Reales'!$H$5:$H$1048576,'2.Estructuracion'!$Q13,'Movimientos Reales'!$G$5:$G$1048576,'2.Estructuracion'!$Q$1)</f>
        <v>0</v>
      </c>
      <c r="AC13" s="2">
        <f>-SUMIFS('Movimientos Reales'!$D$5:$D$1048576,'Movimientos Reales'!$E$5:$E$1048576,'2.Estructuracion'!AC$3,'Movimientos Reales'!$H$5:$H$1048576,'2.Estructuracion'!$Q13,'Movimientos Reales'!$G$5:$G$1048576,'2.Estructuracion'!$Q$1)</f>
        <v>0</v>
      </c>
    </row>
    <row r="14" spans="2:29">
      <c r="B14" s="94" t="s">
        <v>2421</v>
      </c>
      <c r="C14" s="2"/>
      <c r="D14" s="2"/>
      <c r="E14" s="2"/>
      <c r="F14" s="2"/>
      <c r="G14" s="2"/>
      <c r="H14" s="2"/>
      <c r="I14" s="2"/>
      <c r="J14" s="2">
        <v>25000000</v>
      </c>
      <c r="K14" s="2">
        <f>+J14</f>
        <v>25000000</v>
      </c>
      <c r="L14" s="2">
        <f>+K14</f>
        <v>25000000</v>
      </c>
      <c r="M14" s="2">
        <f>+L14</f>
        <v>25000000</v>
      </c>
      <c r="N14" s="2">
        <f>+M14+12000000</f>
        <v>37000000</v>
      </c>
      <c r="Q14" s="262" t="str">
        <f t="shared" si="2"/>
        <v>SALARIOS</v>
      </c>
      <c r="R14" s="2">
        <f>-SUMIFS('Movimientos Reales'!$D$5:$D$1048576,'Movimientos Reales'!$E$5:$E$1048576,'2.Estructuracion'!R$3,'Movimientos Reales'!$H$5:$H$1048576,'2.Estructuracion'!$Q14,'Movimientos Reales'!$G$5:$G$1048576,'2.Estructuracion'!$Q$1)</f>
        <v>0</v>
      </c>
      <c r="S14" s="2">
        <f>-SUMIFS('Movimientos Reales'!$D$5:$D$1048576,'Movimientos Reales'!$E$5:$E$1048576,'2.Estructuracion'!S$3,'Movimientos Reales'!$H$5:$H$1048576,'2.Estructuracion'!$Q14,'Movimientos Reales'!$G$5:$G$1048576,'2.Estructuracion'!$Q$1)</f>
        <v>0</v>
      </c>
      <c r="T14" s="2">
        <f>-SUMIFS('Movimientos Reales'!$D$5:$D$1048576,'Movimientos Reales'!$E$5:$E$1048576,'2.Estructuracion'!T$3,'Movimientos Reales'!$H$5:$H$1048576,'2.Estructuracion'!$Q14,'Movimientos Reales'!$G$5:$G$1048576,'2.Estructuracion'!$Q$1)</f>
        <v>0</v>
      </c>
      <c r="U14" s="2">
        <f>-SUMIFS('Movimientos Reales'!$D$5:$D$1048576,'Movimientos Reales'!$E$5:$E$1048576,'2.Estructuracion'!U$3,'Movimientos Reales'!$H$5:$H$1048576,'2.Estructuracion'!$Q14,'Movimientos Reales'!$G$5:$G$1048576,'2.Estructuracion'!$Q$1)</f>
        <v>0</v>
      </c>
      <c r="V14" s="2">
        <f>-SUMIFS('Movimientos Reales'!$D$5:$D$1048576,'Movimientos Reales'!$E$5:$E$1048576,'2.Estructuracion'!V$3,'Movimientos Reales'!$H$5:$H$1048576,'2.Estructuracion'!$Q14,'Movimientos Reales'!$G$5:$G$1048576,'2.Estructuracion'!$Q$1)</f>
        <v>0</v>
      </c>
      <c r="W14" s="2">
        <f>-SUMIFS('Movimientos Reales'!$D$5:$D$1048576,'Movimientos Reales'!$E$5:$E$1048576,'2.Estructuracion'!W$3,'Movimientos Reales'!$H$5:$H$1048576,'2.Estructuracion'!$Q14,'Movimientos Reales'!$G$5:$G$1048576,'2.Estructuracion'!$Q$1)</f>
        <v>0</v>
      </c>
      <c r="X14" s="2">
        <f>-SUMIFS('Movimientos Reales'!$D$5:$D$1048576,'Movimientos Reales'!$E$5:$E$1048576,'2.Estructuracion'!X$3,'Movimientos Reales'!$H$5:$H$1048576,'2.Estructuracion'!$Q14,'Movimientos Reales'!$G$5:$G$1048576,'2.Estructuracion'!$Q$1)</f>
        <v>13545428.916666666</v>
      </c>
      <c r="Y14" s="2">
        <f>-SUMIFS('Movimientos Reales'!$D$5:$D$1048576,'Movimientos Reales'!$E$5:$E$1048576,'2.Estructuracion'!Y$3,'Movimientos Reales'!$H$5:$H$1048576,'2.Estructuracion'!$Q14,'Movimientos Reales'!$G$5:$G$1048576,'2.Estructuracion'!$Q$1)</f>
        <v>19266962.25</v>
      </c>
      <c r="Z14" s="2">
        <f>-SUMIFS('Movimientos Reales'!$D$5:$D$1048576,'Movimientos Reales'!$E$5:$E$1048576,'2.Estructuracion'!Z$3,'Movimientos Reales'!$H$5:$H$1048576,'2.Estructuracion'!$Q14,'Movimientos Reales'!$G$5:$G$1048576,'2.Estructuracion'!$Q$1)</f>
        <v>20098462.25</v>
      </c>
      <c r="AA14" s="2">
        <f>-SUMIFS('Movimientos Reales'!$D$5:$D$1048576,'Movimientos Reales'!$E$5:$E$1048576,'2.Estructuracion'!AA$3,'Movimientos Reales'!$H$5:$H$1048576,'2.Estructuracion'!$Q14,'Movimientos Reales'!$G$5:$G$1048576,'2.Estructuracion'!$Q$1)</f>
        <v>20093662</v>
      </c>
      <c r="AB14" s="2">
        <f>-SUMIFS('Movimientos Reales'!$D$5:$D$1048576,'Movimientos Reales'!$E$5:$E$1048576,'2.Estructuracion'!AB$3,'Movimientos Reales'!$H$5:$H$1048576,'2.Estructuracion'!$Q14,'Movimientos Reales'!$G$5:$G$1048576,'2.Estructuracion'!$Q$1)</f>
        <v>13077700</v>
      </c>
      <c r="AC14" s="2">
        <f>-SUMIFS('Movimientos Reales'!$D$5:$D$1048576,'Movimientos Reales'!$E$5:$E$1048576,'2.Estructuracion'!AC$3,'Movimientos Reales'!$H$5:$H$1048576,'2.Estructuracion'!$Q14,'Movimientos Reales'!$G$5:$G$1048576,'2.Estructuracion'!$Q$1)</f>
        <v>23456860</v>
      </c>
    </row>
    <row r="16" spans="2:29" hidden="1">
      <c r="B16" s="262" t="s">
        <v>9</v>
      </c>
      <c r="C16" s="95">
        <f t="shared" ref="C16:N16" si="6">+SUM(C4:C13)</f>
        <v>0</v>
      </c>
      <c r="D16" s="95">
        <f t="shared" si="6"/>
        <v>0</v>
      </c>
      <c r="E16" s="95">
        <f t="shared" si="6"/>
        <v>0</v>
      </c>
      <c r="F16" s="95">
        <f t="shared" si="6"/>
        <v>0</v>
      </c>
      <c r="G16" s="95">
        <f t="shared" si="6"/>
        <v>0</v>
      </c>
      <c r="H16" s="95">
        <f t="shared" si="6"/>
        <v>0</v>
      </c>
      <c r="I16" s="95">
        <f t="shared" si="6"/>
        <v>0</v>
      </c>
      <c r="J16" s="95">
        <f t="shared" si="6"/>
        <v>42200000</v>
      </c>
      <c r="K16" s="95">
        <f t="shared" si="6"/>
        <v>42200000</v>
      </c>
      <c r="L16" s="95">
        <f t="shared" si="6"/>
        <v>42200000</v>
      </c>
      <c r="M16" s="95">
        <f t="shared" si="6"/>
        <v>42200000</v>
      </c>
      <c r="N16" s="95">
        <f t="shared" si="6"/>
        <v>42200000</v>
      </c>
      <c r="Q16" s="262" t="s">
        <v>9</v>
      </c>
      <c r="R16" s="95">
        <f t="shared" ref="R16:AC16" si="7">+SUM(R4:R13)</f>
        <v>0</v>
      </c>
      <c r="S16" s="95">
        <f t="shared" si="7"/>
        <v>0</v>
      </c>
      <c r="T16" s="95">
        <f t="shared" si="7"/>
        <v>0</v>
      </c>
      <c r="U16" s="95">
        <f t="shared" si="7"/>
        <v>0</v>
      </c>
      <c r="V16" s="95">
        <f t="shared" si="7"/>
        <v>0</v>
      </c>
      <c r="W16" s="95">
        <f t="shared" si="7"/>
        <v>0</v>
      </c>
      <c r="X16" s="95">
        <f t="shared" si="7"/>
        <v>5832000</v>
      </c>
      <c r="Y16" s="95">
        <f t="shared" si="7"/>
        <v>0</v>
      </c>
      <c r="Z16" s="95">
        <f t="shared" si="7"/>
        <v>12025133</v>
      </c>
      <c r="AA16" s="95">
        <f t="shared" si="7"/>
        <v>33405470</v>
      </c>
      <c r="AB16" s="95">
        <f t="shared" si="7"/>
        <v>70978481.200000003</v>
      </c>
      <c r="AC16" s="95">
        <f t="shared" si="7"/>
        <v>133873513</v>
      </c>
    </row>
    <row r="17" spans="2:30">
      <c r="B17" s="262" t="s">
        <v>9</v>
      </c>
      <c r="C17" s="95">
        <f t="shared" ref="C17:N17" si="8">+SUM(C4:C14)</f>
        <v>0</v>
      </c>
      <c r="D17" s="95">
        <f t="shared" si="8"/>
        <v>0</v>
      </c>
      <c r="E17" s="95">
        <f t="shared" si="8"/>
        <v>0</v>
      </c>
      <c r="F17" s="95">
        <f t="shared" si="8"/>
        <v>0</v>
      </c>
      <c r="G17" s="95">
        <f t="shared" si="8"/>
        <v>0</v>
      </c>
      <c r="H17" s="95">
        <f t="shared" si="8"/>
        <v>0</v>
      </c>
      <c r="I17" s="95">
        <f t="shared" si="8"/>
        <v>0</v>
      </c>
      <c r="J17" s="95">
        <f t="shared" si="8"/>
        <v>67200000</v>
      </c>
      <c r="K17" s="95">
        <f t="shared" si="8"/>
        <v>67200000</v>
      </c>
      <c r="L17" s="95">
        <f t="shared" si="8"/>
        <v>67200000</v>
      </c>
      <c r="M17" s="95">
        <f t="shared" si="8"/>
        <v>67200000</v>
      </c>
      <c r="N17" s="95">
        <f t="shared" si="8"/>
        <v>79200000</v>
      </c>
      <c r="Q17" s="262" t="s">
        <v>9</v>
      </c>
      <c r="R17" s="95">
        <f t="shared" ref="R17:Y17" si="9">+SUM(R4:R14)</f>
        <v>0</v>
      </c>
      <c r="S17" s="95">
        <f t="shared" si="9"/>
        <v>0</v>
      </c>
      <c r="T17" s="95">
        <f t="shared" si="9"/>
        <v>0</v>
      </c>
      <c r="U17" s="95">
        <f t="shared" si="9"/>
        <v>0</v>
      </c>
      <c r="V17" s="95">
        <f t="shared" si="9"/>
        <v>0</v>
      </c>
      <c r="W17" s="95">
        <f t="shared" si="9"/>
        <v>0</v>
      </c>
      <c r="X17" s="95">
        <f t="shared" si="9"/>
        <v>19377428.916666664</v>
      </c>
      <c r="Y17" s="95">
        <f t="shared" si="9"/>
        <v>19266962.25</v>
      </c>
      <c r="Z17" s="95">
        <f>+SUM(Z4:Z14)</f>
        <v>32123595.25</v>
      </c>
      <c r="AA17" s="95">
        <f>+SUM(AA4:AA14)</f>
        <v>53499132</v>
      </c>
      <c r="AB17" s="95">
        <f>+SUM(AB4:AB14)</f>
        <v>84056181.200000003</v>
      </c>
      <c r="AC17" s="95">
        <f>+SUM(AC4:AC14)</f>
        <v>157330373</v>
      </c>
      <c r="AD17" s="2"/>
    </row>
    <row r="18" spans="2:30">
      <c r="B18" s="263"/>
      <c r="C18" s="93"/>
      <c r="D18" s="93"/>
      <c r="E18" s="93"/>
      <c r="F18" s="93"/>
      <c r="G18" s="93"/>
      <c r="H18" s="93"/>
      <c r="I18" s="93"/>
      <c r="J18" s="93"/>
      <c r="K18" s="93"/>
      <c r="L18" s="93"/>
      <c r="M18" s="93"/>
      <c r="N18" s="93"/>
      <c r="Q18" s="263" t="s">
        <v>257</v>
      </c>
      <c r="R18" s="93"/>
      <c r="S18" s="93"/>
      <c r="T18" s="93"/>
      <c r="U18" s="93"/>
      <c r="V18" s="93"/>
      <c r="W18" s="93"/>
      <c r="X18" s="93"/>
      <c r="Y18" s="93"/>
      <c r="Z18" s="93"/>
      <c r="AA18" s="93"/>
      <c r="AB18" s="93"/>
      <c r="AC18" s="93"/>
    </row>
    <row r="19" spans="2:30">
      <c r="X19" s="2"/>
      <c r="Y19" s="2"/>
      <c r="Z19" s="2">
        <f t="shared" ref="Z19:AA19" si="10">+Z17</f>
        <v>32123595.25</v>
      </c>
      <c r="AA19" s="2">
        <f t="shared" si="10"/>
        <v>53499132</v>
      </c>
      <c r="AB19" s="2">
        <f>+AB17-80000000</f>
        <v>4056181.200000003</v>
      </c>
      <c r="AC19" s="2">
        <f>+AC17</f>
        <v>157330373</v>
      </c>
    </row>
    <row r="21" spans="2:30">
      <c r="AA21" s="2">
        <f>+AVERAGE(X19:AC19)</f>
        <v>61752320.362499997</v>
      </c>
    </row>
    <row r="25" spans="2:30">
      <c r="Q25" s="1102"/>
      <c r="R25" s="1102"/>
      <c r="S25" s="1102"/>
      <c r="T25" s="1102"/>
      <c r="U25" s="1102"/>
      <c r="V25" s="1102"/>
      <c r="W25" s="1102"/>
      <c r="X25" s="1102"/>
      <c r="Y25" s="1102"/>
      <c r="Z25" s="1102"/>
      <c r="AA25" s="1102"/>
      <c r="AB25" s="1102"/>
      <c r="AC25" s="1102"/>
    </row>
    <row r="26" spans="2:30">
      <c r="C26" s="264">
        <v>45292</v>
      </c>
      <c r="D26" s="264">
        <v>45323</v>
      </c>
      <c r="E26" s="264">
        <v>45352</v>
      </c>
      <c r="F26" s="264">
        <v>45383</v>
      </c>
      <c r="G26" s="264">
        <v>45413</v>
      </c>
      <c r="H26" s="264">
        <v>45444</v>
      </c>
      <c r="I26" s="264">
        <v>45474</v>
      </c>
      <c r="J26" s="264">
        <v>45505</v>
      </c>
      <c r="K26" s="264">
        <v>45536</v>
      </c>
      <c r="L26" s="264">
        <v>45566</v>
      </c>
      <c r="M26" s="264">
        <v>45597</v>
      </c>
      <c r="N26" s="264">
        <v>45627</v>
      </c>
      <c r="P26" s="94"/>
      <c r="R26" s="264"/>
      <c r="S26" s="264"/>
      <c r="T26" s="264"/>
      <c r="U26" s="264"/>
      <c r="V26" s="264"/>
      <c r="W26" s="264"/>
      <c r="X26" s="264"/>
      <c r="Y26" s="264"/>
      <c r="Z26" s="264"/>
      <c r="AA26" s="264"/>
      <c r="AB26" s="264"/>
      <c r="AC26" s="264"/>
    </row>
    <row r="27" spans="2:30">
      <c r="B27" s="94" t="s">
        <v>3652</v>
      </c>
      <c r="C27" s="50"/>
      <c r="D27" s="50"/>
      <c r="E27" s="50"/>
      <c r="F27" s="50"/>
      <c r="G27" s="50"/>
      <c r="H27" s="50"/>
      <c r="I27" s="50"/>
      <c r="J27" s="50">
        <f>+IFERROR(Y4/J4,0)</f>
        <v>0</v>
      </c>
      <c r="K27" s="50">
        <f>+IFERROR(Z4/K4,0)</f>
        <v>3.75</v>
      </c>
      <c r="L27" s="50">
        <f>+IFERROR(AA4/L4,0)</f>
        <v>15.852187499999999</v>
      </c>
      <c r="M27" s="50">
        <f>+IFERROR(AB4/M4,0)</f>
        <v>3.7462499999999999</v>
      </c>
      <c r="N27" s="50">
        <f>+IFERROR(AC4/N4,0)</f>
        <v>33.931312499999997</v>
      </c>
      <c r="P27" s="91"/>
      <c r="Q27" s="94"/>
      <c r="R27" s="2"/>
      <c r="S27" s="2"/>
      <c r="T27" s="2"/>
      <c r="U27" s="2"/>
      <c r="V27" s="2"/>
      <c r="W27" s="2"/>
      <c r="X27" s="2"/>
      <c r="Y27" s="2"/>
      <c r="Z27" s="2"/>
      <c r="AA27" s="2"/>
      <c r="AB27" s="2"/>
      <c r="AC27" s="2"/>
    </row>
    <row r="28" spans="2:30">
      <c r="B28" s="262" t="s">
        <v>4957</v>
      </c>
      <c r="C28" s="50"/>
      <c r="D28" s="50"/>
      <c r="E28" s="50"/>
      <c r="F28" s="50"/>
      <c r="G28" s="50"/>
      <c r="H28" s="50"/>
      <c r="I28" s="50"/>
      <c r="J28" s="50">
        <f t="shared" ref="J28:L28" si="11">+IFERROR(Y5/J5,0)</f>
        <v>0</v>
      </c>
      <c r="K28" s="50">
        <f t="shared" si="11"/>
        <v>0.28727272727272729</v>
      </c>
      <c r="L28" s="50">
        <f t="shared" si="11"/>
        <v>0</v>
      </c>
      <c r="M28" s="50">
        <f t="shared" ref="M28:M37" si="12">+IFERROR(AB5/M5,0)</f>
        <v>6.80857290909091</v>
      </c>
      <c r="N28" s="50">
        <f t="shared" ref="N28:N37" si="13">+IFERROR(AC5/N5,0)</f>
        <v>10.26</v>
      </c>
      <c r="P28" s="497"/>
      <c r="Q28" s="94"/>
      <c r="R28" s="2"/>
      <c r="S28" s="2"/>
      <c r="T28" s="2"/>
      <c r="U28" s="2"/>
      <c r="V28" s="2"/>
      <c r="W28" s="2"/>
      <c r="X28" s="2"/>
      <c r="Y28" s="2"/>
      <c r="Z28" s="2"/>
      <c r="AA28" s="2"/>
      <c r="AB28" s="2"/>
      <c r="AC28" s="2"/>
    </row>
    <row r="29" spans="2:30">
      <c r="B29" s="262" t="s">
        <v>4814</v>
      </c>
      <c r="C29" s="50"/>
      <c r="D29" s="50"/>
      <c r="E29" s="50"/>
      <c r="F29" s="50"/>
      <c r="G29" s="50"/>
      <c r="H29" s="50"/>
      <c r="I29" s="50"/>
      <c r="J29" s="50">
        <f t="shared" ref="J29:L29" si="14">+IFERROR(Y6/J6,0)</f>
        <v>0</v>
      </c>
      <c r="K29" s="50">
        <f t="shared" si="14"/>
        <v>2.8850157142857142</v>
      </c>
      <c r="L29" s="50">
        <f t="shared" si="14"/>
        <v>0.66853333333333331</v>
      </c>
      <c r="M29" s="50">
        <f t="shared" si="12"/>
        <v>0.74342857142857144</v>
      </c>
      <c r="N29" s="50">
        <f t="shared" si="13"/>
        <v>0.1474904761904762</v>
      </c>
      <c r="P29" s="91"/>
      <c r="Q29" s="262"/>
      <c r="R29" s="2"/>
      <c r="S29" s="2"/>
      <c r="T29" s="2"/>
      <c r="U29" s="2"/>
      <c r="V29" s="2"/>
      <c r="W29" s="2"/>
      <c r="X29" s="2"/>
      <c r="Y29" s="2"/>
      <c r="Z29" s="2"/>
      <c r="AA29" s="2"/>
      <c r="AB29" s="2"/>
      <c r="AC29" s="2"/>
    </row>
    <row r="30" spans="2:30">
      <c r="B30" s="262" t="s">
        <v>5059</v>
      </c>
      <c r="C30" s="50"/>
      <c r="D30" s="50"/>
      <c r="E30" s="50"/>
      <c r="F30" s="50"/>
      <c r="G30" s="50"/>
      <c r="H30" s="50"/>
      <c r="I30" s="50"/>
      <c r="J30" s="50">
        <f t="shared" ref="J30:L30" si="15">+IFERROR(Y7/J7,0)</f>
        <v>0</v>
      </c>
      <c r="K30" s="50">
        <f t="shared" si="15"/>
        <v>9.4133333333333326E-3</v>
      </c>
      <c r="L30" s="50">
        <f t="shared" si="15"/>
        <v>0.11997333333333333</v>
      </c>
      <c r="M30" s="50">
        <f t="shared" si="12"/>
        <v>1.1927866666666667</v>
      </c>
      <c r="N30" s="50">
        <f t="shared" si="13"/>
        <v>2.7866666666666665E-3</v>
      </c>
      <c r="P30" s="91"/>
      <c r="Q30" s="262"/>
      <c r="R30" s="2"/>
      <c r="S30" s="2"/>
      <c r="T30" s="2"/>
      <c r="U30" s="2"/>
      <c r="V30" s="2"/>
      <c r="W30" s="2"/>
      <c r="X30" s="2"/>
      <c r="Y30" s="2"/>
      <c r="Z30" s="2"/>
      <c r="AA30" s="2"/>
      <c r="AB30" s="2"/>
      <c r="AC30" s="2"/>
    </row>
    <row r="31" spans="2:30">
      <c r="B31" s="262" t="s">
        <v>6316</v>
      </c>
      <c r="C31" s="50"/>
      <c r="D31" s="50"/>
      <c r="E31" s="50"/>
      <c r="F31" s="50"/>
      <c r="G31" s="50"/>
      <c r="H31" s="50"/>
      <c r="I31" s="50"/>
      <c r="J31" s="50">
        <f t="shared" ref="J31:L31" si="16">+IFERROR(Y8/J8,0)</f>
        <v>0</v>
      </c>
      <c r="K31" s="50">
        <f t="shared" si="16"/>
        <v>0</v>
      </c>
      <c r="L31" s="50">
        <f t="shared" si="16"/>
        <v>0</v>
      </c>
      <c r="M31" s="50">
        <f t="shared" si="12"/>
        <v>2.2875E-2</v>
      </c>
      <c r="N31" s="50">
        <f t="shared" si="13"/>
        <v>0</v>
      </c>
      <c r="P31" s="497"/>
      <c r="Q31" s="94"/>
      <c r="R31" s="2"/>
      <c r="S31" s="2"/>
      <c r="T31" s="2"/>
      <c r="U31" s="2"/>
      <c r="V31" s="2"/>
      <c r="W31" s="2"/>
      <c r="X31" s="2"/>
      <c r="Y31" s="2"/>
      <c r="Z31" s="2"/>
      <c r="AA31" s="2"/>
      <c r="AB31" s="2"/>
      <c r="AC31" s="2"/>
    </row>
    <row r="32" spans="2:30">
      <c r="B32" s="262" t="s">
        <v>5483</v>
      </c>
      <c r="C32" s="50"/>
      <c r="D32" s="50"/>
      <c r="E32" s="50"/>
      <c r="F32" s="50"/>
      <c r="G32" s="50"/>
      <c r="H32" s="50"/>
      <c r="I32" s="50"/>
      <c r="J32" s="50">
        <f t="shared" ref="J32:L32" si="17">+IFERROR(Y9/J9,0)</f>
        <v>0</v>
      </c>
      <c r="K32" s="50">
        <f t="shared" si="17"/>
        <v>0</v>
      </c>
      <c r="L32" s="50">
        <f t="shared" si="17"/>
        <v>1.9166666666666667</v>
      </c>
      <c r="M32" s="50">
        <f t="shared" si="12"/>
        <v>2.6541666666666668</v>
      </c>
      <c r="N32" s="50">
        <f t="shared" si="13"/>
        <v>3.7791666666666668</v>
      </c>
      <c r="P32" s="91"/>
      <c r="Q32" s="262"/>
      <c r="R32" s="2"/>
      <c r="S32" s="2"/>
      <c r="T32" s="2"/>
      <c r="U32" s="2"/>
      <c r="V32" s="2"/>
      <c r="W32" s="2"/>
      <c r="X32" s="2"/>
      <c r="Y32" s="2"/>
      <c r="Z32" s="2"/>
      <c r="AA32" s="2"/>
      <c r="AB32" s="2"/>
      <c r="AC32" s="2"/>
    </row>
    <row r="33" spans="2:29">
      <c r="B33" s="94" t="s">
        <v>5775</v>
      </c>
      <c r="C33" s="50"/>
      <c r="D33" s="50"/>
      <c r="E33" s="50"/>
      <c r="F33" s="50"/>
      <c r="G33" s="50"/>
      <c r="H33" s="50"/>
      <c r="I33" s="50"/>
      <c r="J33" s="50">
        <f t="shared" ref="J33:L33" si="18">+IFERROR(Y10/J10,0)</f>
        <v>0</v>
      </c>
      <c r="K33" s="50">
        <f t="shared" si="18"/>
        <v>0</v>
      </c>
      <c r="L33" s="50">
        <f t="shared" si="18"/>
        <v>1.89</v>
      </c>
      <c r="M33" s="50">
        <f t="shared" si="12"/>
        <v>0.97016250000000004</v>
      </c>
      <c r="N33" s="50">
        <f t="shared" si="13"/>
        <v>4.1418499999999998</v>
      </c>
      <c r="P33" s="91"/>
      <c r="Q33" s="94"/>
      <c r="R33" s="2"/>
      <c r="S33" s="2"/>
      <c r="T33" s="2"/>
      <c r="U33" s="2"/>
      <c r="V33" s="2"/>
      <c r="W33" s="2"/>
      <c r="X33" s="2"/>
      <c r="Y33" s="2"/>
      <c r="Z33" s="2"/>
      <c r="AA33" s="2"/>
      <c r="AB33" s="2"/>
      <c r="AC33" s="2"/>
    </row>
    <row r="34" spans="2:29">
      <c r="B34" s="262" t="s">
        <v>8074</v>
      </c>
      <c r="C34" s="50"/>
      <c r="D34" s="50"/>
      <c r="E34" s="50"/>
      <c r="F34" s="50"/>
      <c r="G34" s="50"/>
      <c r="H34" s="50"/>
      <c r="I34" s="50"/>
      <c r="J34" s="50">
        <f t="shared" ref="J34:L34" si="19">+IFERROR(Y11/J11,0)</f>
        <v>0</v>
      </c>
      <c r="K34" s="50">
        <f t="shared" si="19"/>
        <v>0</v>
      </c>
      <c r="L34" s="50">
        <f t="shared" si="19"/>
        <v>0</v>
      </c>
      <c r="M34" s="50">
        <f t="shared" si="12"/>
        <v>0</v>
      </c>
      <c r="N34" s="50">
        <f t="shared" si="13"/>
        <v>0</v>
      </c>
      <c r="P34" s="91"/>
      <c r="Q34" s="94"/>
      <c r="R34" s="2"/>
      <c r="S34" s="2"/>
      <c r="T34" s="2"/>
      <c r="U34" s="2"/>
      <c r="V34" s="2"/>
      <c r="W34" s="2"/>
      <c r="X34" s="2"/>
    </row>
    <row r="35" spans="2:29">
      <c r="B35" s="262" t="s">
        <v>5066</v>
      </c>
      <c r="C35" s="50"/>
      <c r="D35" s="50"/>
      <c r="E35" s="50"/>
      <c r="F35" s="50"/>
      <c r="G35" s="50"/>
      <c r="H35" s="50"/>
      <c r="I35" s="50"/>
      <c r="J35" s="50">
        <f t="shared" ref="J35:L35" si="20">+IFERROR(Y12/J12,0)</f>
        <v>0</v>
      </c>
      <c r="K35" s="50">
        <f t="shared" si="20"/>
        <v>0.14285714285714285</v>
      </c>
      <c r="L35" s="50">
        <f t="shared" si="20"/>
        <v>0.14285714285714285</v>
      </c>
      <c r="M35" s="50">
        <f t="shared" si="12"/>
        <v>0.21428571428571427</v>
      </c>
      <c r="N35" s="50">
        <f t="shared" si="13"/>
        <v>0.14457614285714285</v>
      </c>
      <c r="P35" s="497"/>
      <c r="Q35" s="94"/>
      <c r="R35" s="2"/>
      <c r="S35" s="2"/>
      <c r="T35" s="2"/>
      <c r="U35" s="2"/>
      <c r="V35" s="2"/>
      <c r="W35" s="2"/>
      <c r="X35" s="2"/>
      <c r="Y35" s="2"/>
      <c r="Z35" s="2"/>
      <c r="AA35" s="2"/>
      <c r="AB35" s="2"/>
      <c r="AC35" s="2"/>
    </row>
    <row r="36" spans="2:29">
      <c r="B36" s="262" t="s">
        <v>7690</v>
      </c>
      <c r="C36" s="50"/>
      <c r="D36" s="50"/>
      <c r="E36" s="50"/>
      <c r="F36" s="50"/>
      <c r="G36" s="50"/>
      <c r="H36" s="50"/>
      <c r="I36" s="50"/>
      <c r="J36" s="50">
        <f t="shared" ref="J36:L36" si="21">+IFERROR(Y13/J13,0)</f>
        <v>0</v>
      </c>
      <c r="K36" s="50">
        <f t="shared" si="21"/>
        <v>0</v>
      </c>
      <c r="L36" s="50">
        <f t="shared" si="21"/>
        <v>0</v>
      </c>
      <c r="M36" s="50">
        <f t="shared" si="12"/>
        <v>0</v>
      </c>
      <c r="N36" s="50">
        <f t="shared" si="13"/>
        <v>0</v>
      </c>
      <c r="P36" s="91"/>
      <c r="Q36" s="94"/>
      <c r="R36" s="2"/>
      <c r="S36" s="2"/>
      <c r="T36" s="2"/>
      <c r="U36" s="2"/>
      <c r="V36" s="2"/>
      <c r="W36" s="2"/>
      <c r="X36" s="2"/>
      <c r="Y36" s="2"/>
      <c r="Z36" s="2"/>
      <c r="AA36" s="2"/>
      <c r="AB36" s="2"/>
      <c r="AC36" s="2"/>
    </row>
    <row r="37" spans="2:29">
      <c r="B37" s="94" t="s">
        <v>2421</v>
      </c>
      <c r="C37" s="50"/>
      <c r="D37" s="50"/>
      <c r="E37" s="50"/>
      <c r="F37" s="50"/>
      <c r="G37" s="50"/>
      <c r="H37" s="50"/>
      <c r="I37" s="50"/>
      <c r="J37" s="50">
        <f t="shared" ref="J37:L37" si="22">+IFERROR(Y14/J14,0)</f>
        <v>0.77067848999999999</v>
      </c>
      <c r="K37" s="50">
        <f t="shared" si="22"/>
        <v>0.80393848999999995</v>
      </c>
      <c r="L37" s="50">
        <f t="shared" si="22"/>
        <v>0.80374648000000004</v>
      </c>
      <c r="M37" s="50">
        <f t="shared" si="12"/>
        <v>0.52310800000000002</v>
      </c>
      <c r="N37" s="50">
        <f t="shared" si="13"/>
        <v>0.63396918918918921</v>
      </c>
      <c r="P37" s="2"/>
      <c r="Q37" s="69"/>
      <c r="R37" s="2"/>
      <c r="S37" s="2"/>
      <c r="T37" s="2"/>
      <c r="U37" s="2"/>
      <c r="V37" s="2"/>
      <c r="W37" s="2"/>
      <c r="X37" s="2"/>
      <c r="Y37" s="2"/>
      <c r="Z37" s="2"/>
      <c r="AA37" s="2"/>
      <c r="AB37" s="2"/>
    </row>
    <row r="38" spans="2:29" hidden="1">
      <c r="B38" s="69"/>
      <c r="C38" s="50"/>
      <c r="D38" s="50"/>
      <c r="E38" s="50"/>
      <c r="F38" s="50"/>
      <c r="G38" s="50"/>
      <c r="H38" s="50"/>
      <c r="I38" s="50"/>
      <c r="J38" s="50"/>
      <c r="K38" s="50"/>
      <c r="L38" s="50"/>
      <c r="M38" s="50"/>
      <c r="N38" s="50"/>
      <c r="P38" s="2"/>
      <c r="Q38" s="69"/>
      <c r="R38" s="2"/>
      <c r="S38" s="2"/>
      <c r="T38" s="2"/>
      <c r="U38" s="2"/>
      <c r="V38" s="2"/>
      <c r="W38" s="2"/>
      <c r="X38" s="2"/>
      <c r="Y38" s="2"/>
      <c r="Z38" s="2"/>
      <c r="AA38" s="2"/>
      <c r="AB38" s="2"/>
    </row>
    <row r="39" spans="2:29" hidden="1"/>
    <row r="40" spans="2:29">
      <c r="B40" s="262" t="s">
        <v>9</v>
      </c>
      <c r="C40" s="373"/>
      <c r="D40" s="373"/>
      <c r="E40" s="373"/>
      <c r="F40" s="373"/>
      <c r="G40" s="373"/>
      <c r="H40" s="373"/>
      <c r="I40" s="373"/>
      <c r="J40" s="95">
        <f>+SUM(J27:J36)</f>
        <v>0</v>
      </c>
      <c r="K40" s="95">
        <f>+SUM(K27:K36)</f>
        <v>7.0745589177489183</v>
      </c>
      <c r="L40" s="95">
        <f>+SUM(L27:L36)</f>
        <v>20.590217976190477</v>
      </c>
      <c r="M40" s="95">
        <f>+SUM(M27:M37)</f>
        <v>16.87563602813853</v>
      </c>
      <c r="N40" s="95">
        <f>+SUM(N27:N36)</f>
        <v>52.407182452380944</v>
      </c>
      <c r="P40" s="91">
        <f>+SUM(P27:P36)</f>
        <v>0</v>
      </c>
      <c r="Q40" s="262" t="s">
        <v>9</v>
      </c>
      <c r="R40" s="95">
        <f t="shared" ref="R40:AC40" si="23">+SUM(R27:R36)</f>
        <v>0</v>
      </c>
      <c r="S40" s="95">
        <f t="shared" si="23"/>
        <v>0</v>
      </c>
      <c r="T40" s="95">
        <f t="shared" si="23"/>
        <v>0</v>
      </c>
      <c r="U40" s="95">
        <f t="shared" si="23"/>
        <v>0</v>
      </c>
      <c r="V40" s="95">
        <f t="shared" si="23"/>
        <v>0</v>
      </c>
      <c r="W40" s="95">
        <f t="shared" si="23"/>
        <v>0</v>
      </c>
      <c r="X40" s="95">
        <f t="shared" si="23"/>
        <v>0</v>
      </c>
      <c r="Y40" s="95">
        <f t="shared" si="23"/>
        <v>0</v>
      </c>
      <c r="Z40" s="95">
        <f t="shared" si="23"/>
        <v>0</v>
      </c>
      <c r="AA40" s="95">
        <f t="shared" si="23"/>
        <v>0</v>
      </c>
      <c r="AB40" s="95">
        <f t="shared" si="23"/>
        <v>0</v>
      </c>
      <c r="AC40" s="95">
        <f t="shared" si="23"/>
        <v>0</v>
      </c>
    </row>
    <row r="41" spans="2:29">
      <c r="B41" s="92" t="s">
        <v>8075</v>
      </c>
      <c r="C41" s="91">
        <f t="shared" ref="C41:I41" si="24">+C17-R17</f>
        <v>0</v>
      </c>
      <c r="D41" s="91">
        <f t="shared" si="24"/>
        <v>0</v>
      </c>
      <c r="E41" s="91">
        <f t="shared" si="24"/>
        <v>0</v>
      </c>
      <c r="F41" s="91">
        <f t="shared" si="24"/>
        <v>0</v>
      </c>
      <c r="G41" s="91">
        <f t="shared" si="24"/>
        <v>0</v>
      </c>
      <c r="H41" s="91">
        <f t="shared" si="24"/>
        <v>0</v>
      </c>
      <c r="I41" s="91">
        <f t="shared" si="24"/>
        <v>-19377428.916666664</v>
      </c>
      <c r="J41" s="92"/>
      <c r="K41" s="92"/>
      <c r="L41" s="92"/>
      <c r="M41" s="92"/>
      <c r="N41" s="92"/>
    </row>
    <row r="43" spans="2:29">
      <c r="Q43" s="1102" t="s">
        <v>8073</v>
      </c>
      <c r="R43" s="1102"/>
      <c r="S43" s="1102"/>
      <c r="T43" s="1102"/>
      <c r="U43" s="1102"/>
      <c r="V43" s="1102"/>
      <c r="W43" s="1102"/>
      <c r="X43" s="1102"/>
      <c r="Y43" s="1102"/>
      <c r="Z43" s="1102"/>
      <c r="AA43" s="1102"/>
      <c r="AB43" s="1102"/>
      <c r="AC43" s="1102"/>
    </row>
    <row r="44" spans="2:29">
      <c r="C44" s="264">
        <v>45292</v>
      </c>
      <c r="D44" s="264">
        <v>45323</v>
      </c>
      <c r="E44" s="264">
        <v>45352</v>
      </c>
      <c r="F44" s="264">
        <v>45383</v>
      </c>
      <c r="G44" s="264">
        <v>45413</v>
      </c>
      <c r="H44" s="264">
        <v>45444</v>
      </c>
      <c r="I44" s="264">
        <v>45474</v>
      </c>
      <c r="J44" s="264">
        <v>45505</v>
      </c>
      <c r="K44" s="264">
        <v>45536</v>
      </c>
      <c r="L44" s="264">
        <v>45566</v>
      </c>
      <c r="M44" s="264">
        <v>45597</v>
      </c>
      <c r="N44" s="264">
        <v>45627</v>
      </c>
      <c r="P44" s="94" t="s">
        <v>8072</v>
      </c>
      <c r="R44" s="264">
        <v>45292</v>
      </c>
      <c r="S44" s="264">
        <v>45323</v>
      </c>
      <c r="T44" s="264">
        <v>45352</v>
      </c>
      <c r="U44" s="264">
        <v>45383</v>
      </c>
      <c r="V44" s="264">
        <v>45413</v>
      </c>
      <c r="W44" s="264">
        <v>45444</v>
      </c>
      <c r="X44" s="264">
        <v>45474</v>
      </c>
      <c r="Y44" s="264">
        <v>45505</v>
      </c>
      <c r="Z44" s="264">
        <v>45536</v>
      </c>
      <c r="AA44" s="264">
        <v>45566</v>
      </c>
      <c r="AB44" s="264">
        <v>45597</v>
      </c>
      <c r="AC44" s="264">
        <v>45627</v>
      </c>
    </row>
    <row r="45" spans="2:29">
      <c r="B45" s="266" t="s">
        <v>303</v>
      </c>
      <c r="C45" s="50">
        <f>+IFERROR(#REF!/#REF!,0)</f>
        <v>0</v>
      </c>
      <c r="D45" s="50">
        <f>+IFERROR(#REF!/#REF!,0)</f>
        <v>0</v>
      </c>
      <c r="E45" s="50">
        <f>+IFERROR(#REF!/#REF!,0)</f>
        <v>0</v>
      </c>
      <c r="F45" s="50">
        <f>+IFERROR(#REF!/#REF!,0)</f>
        <v>0</v>
      </c>
      <c r="G45" s="50">
        <f>+IFERROR(#REF!/#REF!,0)</f>
        <v>0</v>
      </c>
      <c r="H45" s="50">
        <f>+IFERROR(#REF!/#REF!,0)</f>
        <v>0</v>
      </c>
      <c r="I45" s="50">
        <f>+IFERROR(#REF!/#REF!,0)</f>
        <v>0</v>
      </c>
      <c r="J45" s="50">
        <f>+IFERROR(#REF!/#REF!,0)</f>
        <v>0</v>
      </c>
      <c r="K45" s="50">
        <f>+IFERROR(#REF!/#REF!,0)</f>
        <v>0</v>
      </c>
      <c r="L45" s="50">
        <f>+IFERROR(#REF!/#REF!,0)</f>
        <v>0</v>
      </c>
      <c r="M45" s="50">
        <f>+IFERROR(#REF!/#REF!,0)</f>
        <v>0</v>
      </c>
      <c r="N45" s="50">
        <f>+IFERROR(#REF!/#REF!,0)</f>
        <v>0</v>
      </c>
      <c r="P45" s="91" t="e">
        <f t="shared" ref="P45:P53" si="25">+SUM(R45:S45)</f>
        <v>#REF!</v>
      </c>
      <c r="Q45" s="265" t="str">
        <f t="shared" ref="Q45:Q52" si="26">+B45</f>
        <v>alimentacion</v>
      </c>
      <c r="R45" s="2" t="e">
        <f>+#REF!-#REF!</f>
        <v>#REF!</v>
      </c>
      <c r="S45" s="2" t="e">
        <f>+#REF!-#REF!</f>
        <v>#REF!</v>
      </c>
      <c r="T45" s="2" t="e">
        <f>+#REF!-#REF!</f>
        <v>#REF!</v>
      </c>
      <c r="U45" s="2" t="e">
        <f>+#REF!-#REF!</f>
        <v>#REF!</v>
      </c>
      <c r="V45" s="2" t="e">
        <f>+#REF!-#REF!</f>
        <v>#REF!</v>
      </c>
      <c r="W45" s="2" t="e">
        <f>+#REF!-#REF!</f>
        <v>#REF!</v>
      </c>
      <c r="X45" s="2" t="e">
        <f>+#REF!-#REF!</f>
        <v>#REF!</v>
      </c>
      <c r="Y45" s="2"/>
      <c r="Z45" s="2"/>
      <c r="AA45" s="2"/>
      <c r="AB45" s="2"/>
      <c r="AC45" s="2"/>
    </row>
    <row r="46" spans="2:29">
      <c r="B46" s="265" t="s">
        <v>1031</v>
      </c>
      <c r="C46" s="50">
        <f>+IFERROR(#REF!/#REF!,0)</f>
        <v>0</v>
      </c>
      <c r="D46" s="50">
        <f>+IFERROR(#REF!/#REF!,0)</f>
        <v>0</v>
      </c>
      <c r="E46" s="50">
        <f>+IFERROR(#REF!/#REF!,0)</f>
        <v>0</v>
      </c>
      <c r="F46" s="50">
        <f>+IFERROR(#REF!/#REF!,0)</f>
        <v>0</v>
      </c>
      <c r="G46" s="50">
        <f>+IFERROR(#REF!/#REF!,0)</f>
        <v>0</v>
      </c>
      <c r="H46" s="50">
        <f>+IFERROR(#REF!/#REF!,0)</f>
        <v>0</v>
      </c>
      <c r="I46" s="50">
        <f>+IFERROR(#REF!/#REF!,0)</f>
        <v>0</v>
      </c>
      <c r="J46" s="50">
        <f>+IFERROR(#REF!/#REF!,0)</f>
        <v>0</v>
      </c>
      <c r="K46" s="50">
        <f>+IFERROR(#REF!/#REF!,0)</f>
        <v>0</v>
      </c>
      <c r="L46" s="50">
        <f>+IFERROR(#REF!/#REF!,0)</f>
        <v>0</v>
      </c>
      <c r="M46" s="50">
        <f>+IFERROR(#REF!/#REF!,0)</f>
        <v>0</v>
      </c>
      <c r="N46" s="50">
        <f>+IFERROR(#REF!/#REF!,0)</f>
        <v>0</v>
      </c>
      <c r="P46" s="91" t="e">
        <f t="shared" si="25"/>
        <v>#REF!</v>
      </c>
      <c r="Q46" s="265" t="str">
        <f t="shared" si="26"/>
        <v>Comisiones</v>
      </c>
      <c r="R46" s="2" t="e">
        <f>+#REF!-#REF!</f>
        <v>#REF!</v>
      </c>
      <c r="S46" s="2" t="e">
        <f>+#REF!-#REF!</f>
        <v>#REF!</v>
      </c>
      <c r="T46" s="2" t="e">
        <f>+#REF!-#REF!</f>
        <v>#REF!</v>
      </c>
      <c r="U46" s="2" t="e">
        <f>+#REF!-#REF!</f>
        <v>#REF!</v>
      </c>
      <c r="V46" s="2" t="e">
        <f>+#REF!-#REF!</f>
        <v>#REF!</v>
      </c>
      <c r="W46" s="2" t="e">
        <f>+#REF!-#REF!</f>
        <v>#REF!</v>
      </c>
      <c r="X46" s="2" t="e">
        <f>+#REF!-#REF!</f>
        <v>#REF!</v>
      </c>
      <c r="Y46" s="2"/>
      <c r="Z46" s="2"/>
      <c r="AA46" s="2"/>
      <c r="AB46" s="2"/>
      <c r="AC46" s="2"/>
    </row>
    <row r="47" spans="2:29">
      <c r="B47" s="265" t="s">
        <v>406</v>
      </c>
      <c r="C47" s="50">
        <f>+IFERROR(#REF!/#REF!,0)</f>
        <v>0</v>
      </c>
      <c r="D47" s="50">
        <f>+IFERROR(#REF!/#REF!,0)</f>
        <v>0</v>
      </c>
      <c r="E47" s="50">
        <f>+IFERROR(#REF!/#REF!,0)</f>
        <v>0</v>
      </c>
      <c r="F47" s="50">
        <f>+IFERROR(#REF!/#REF!,0)</f>
        <v>0</v>
      </c>
      <c r="G47" s="50">
        <f>+IFERROR(#REF!/#REF!,0)</f>
        <v>0</v>
      </c>
      <c r="H47" s="50">
        <f>+IFERROR(#REF!/#REF!,0)</f>
        <v>0</v>
      </c>
      <c r="I47" s="50">
        <f>+IFERROR(#REF!/#REF!,0)</f>
        <v>0</v>
      </c>
      <c r="J47" s="50">
        <f>+IFERROR(#REF!/#REF!,0)</f>
        <v>0</v>
      </c>
      <c r="K47" s="50">
        <f>+IFERROR(#REF!/#REF!,0)</f>
        <v>0</v>
      </c>
      <c r="L47" s="50">
        <f>+IFERROR(#REF!/#REF!,0)</f>
        <v>0</v>
      </c>
      <c r="M47" s="50">
        <f>+IFERROR(#REF!/#REF!,0)</f>
        <v>0</v>
      </c>
      <c r="N47" s="50">
        <f>+IFERROR(#REF!/#REF!,0)</f>
        <v>0</v>
      </c>
      <c r="P47" s="91" t="e">
        <f t="shared" si="25"/>
        <v>#REF!</v>
      </c>
      <c r="Q47" s="265" t="str">
        <f t="shared" si="26"/>
        <v>Plan celular</v>
      </c>
      <c r="R47" s="2" t="e">
        <f>+#REF!-#REF!</f>
        <v>#REF!</v>
      </c>
      <c r="S47" s="2" t="e">
        <f>+#REF!-#REF!</f>
        <v>#REF!</v>
      </c>
      <c r="T47" s="2" t="e">
        <f>+#REF!-#REF!</f>
        <v>#REF!</v>
      </c>
      <c r="U47" s="2" t="e">
        <f>+#REF!-#REF!</f>
        <v>#REF!</v>
      </c>
      <c r="V47" s="2" t="e">
        <f>+#REF!-#REF!</f>
        <v>#REF!</v>
      </c>
      <c r="W47" s="2" t="e">
        <f>+#REF!-#REF!</f>
        <v>#REF!</v>
      </c>
      <c r="X47" s="2" t="e">
        <f>+#REF!-#REF!</f>
        <v>#REF!</v>
      </c>
      <c r="Y47" s="2"/>
      <c r="Z47" s="2"/>
      <c r="AA47" s="2"/>
      <c r="AB47" s="2"/>
      <c r="AC47" s="2"/>
    </row>
    <row r="48" spans="2:29">
      <c r="B48" s="265" t="s">
        <v>7252</v>
      </c>
      <c r="C48" s="50">
        <f>+IFERROR(#REF!/#REF!,0)</f>
        <v>0</v>
      </c>
      <c r="D48" s="50">
        <f>+IFERROR(#REF!/#REF!,0)</f>
        <v>0</v>
      </c>
      <c r="E48" s="50">
        <f>+IFERROR(#REF!/#REF!,0)</f>
        <v>0</v>
      </c>
      <c r="F48" s="50">
        <f>+IFERROR(#REF!/#REF!,0)</f>
        <v>0</v>
      </c>
      <c r="G48" s="50">
        <f>+IFERROR(#REF!/#REF!,0)</f>
        <v>0</v>
      </c>
      <c r="H48" s="50">
        <f>+IFERROR(#REF!/#REF!,0)</f>
        <v>0</v>
      </c>
      <c r="I48" s="50">
        <f>+IFERROR(#REF!/#REF!,0)</f>
        <v>0</v>
      </c>
      <c r="J48" s="50">
        <f>+IFERROR(#REF!/#REF!,0)</f>
        <v>0</v>
      </c>
      <c r="K48" s="50">
        <f>+IFERROR(#REF!/#REF!,0)</f>
        <v>0</v>
      </c>
      <c r="L48" s="50">
        <f>+IFERROR(#REF!/#REF!,0)</f>
        <v>0</v>
      </c>
      <c r="M48" s="50">
        <f>+IFERROR(#REF!/#REF!,0)</f>
        <v>0</v>
      </c>
      <c r="N48" s="50">
        <f>+IFERROR(#REF!/#REF!,0)</f>
        <v>0</v>
      </c>
      <c r="P48" s="91" t="e">
        <f t="shared" si="25"/>
        <v>#REF!</v>
      </c>
      <c r="Q48" s="265" t="str">
        <f t="shared" si="26"/>
        <v>publicidad</v>
      </c>
      <c r="R48" s="2" t="e">
        <f>+#REF!-#REF!</f>
        <v>#REF!</v>
      </c>
      <c r="S48" s="2" t="e">
        <f>+#REF!-#REF!</f>
        <v>#REF!</v>
      </c>
      <c r="T48" s="2" t="e">
        <f>+#REF!-#REF!</f>
        <v>#REF!</v>
      </c>
      <c r="U48" s="2" t="e">
        <f>+#REF!-#REF!</f>
        <v>#REF!</v>
      </c>
      <c r="V48" s="2" t="e">
        <f>+#REF!-#REF!</f>
        <v>#REF!</v>
      </c>
      <c r="W48" s="2" t="e">
        <f>+#REF!-#REF!</f>
        <v>#REF!</v>
      </c>
      <c r="X48" s="2" t="e">
        <f>+#REF!-#REF!</f>
        <v>#REF!</v>
      </c>
      <c r="Y48" s="2"/>
      <c r="Z48" s="2"/>
      <c r="AA48" s="2"/>
      <c r="AB48" s="2"/>
      <c r="AC48" s="2"/>
    </row>
    <row r="49" spans="2:29">
      <c r="B49" s="265" t="s">
        <v>2272</v>
      </c>
      <c r="C49" s="50">
        <f>+IFERROR(#REF!/#REF!,0)</f>
        <v>0</v>
      </c>
      <c r="D49" s="50">
        <f>+IFERROR(#REF!/#REF!,0)</f>
        <v>0</v>
      </c>
      <c r="E49" s="50">
        <f>+IFERROR(#REF!/#REF!,0)</f>
        <v>0</v>
      </c>
      <c r="F49" s="50">
        <f>+IFERROR(#REF!/#REF!,0)</f>
        <v>0</v>
      </c>
      <c r="G49" s="50">
        <f>+IFERROR(#REF!/#REF!,0)</f>
        <v>0</v>
      </c>
      <c r="H49" s="50">
        <f>+IFERROR(#REF!/#REF!,0)</f>
        <v>0</v>
      </c>
      <c r="I49" s="50">
        <f>+IFERROR(#REF!/#REF!,0)</f>
        <v>0</v>
      </c>
      <c r="J49" s="50">
        <f>+IFERROR(#REF!/#REF!,0)</f>
        <v>0</v>
      </c>
      <c r="K49" s="50">
        <f>+IFERROR(#REF!/#REF!,0)</f>
        <v>0</v>
      </c>
      <c r="L49" s="50">
        <f>+IFERROR(#REF!/#REF!,0)</f>
        <v>0</v>
      </c>
      <c r="M49" s="50">
        <f>+IFERROR(#REF!/#REF!,0)</f>
        <v>0</v>
      </c>
      <c r="N49" s="50">
        <f>+IFERROR(#REF!/#REF!,0)</f>
        <v>0</v>
      </c>
      <c r="P49" s="91" t="e">
        <f t="shared" si="25"/>
        <v>#REF!</v>
      </c>
      <c r="Q49" s="265" t="str">
        <f t="shared" si="26"/>
        <v>Tiquetes aeros</v>
      </c>
      <c r="R49" s="2" t="e">
        <f>+#REF!-#REF!</f>
        <v>#REF!</v>
      </c>
      <c r="S49" s="2" t="e">
        <f>+#REF!-#REF!</f>
        <v>#REF!</v>
      </c>
      <c r="T49" s="2" t="e">
        <f>+#REF!-#REF!</f>
        <v>#REF!</v>
      </c>
      <c r="U49" s="2" t="e">
        <f>+#REF!-#REF!</f>
        <v>#REF!</v>
      </c>
      <c r="V49" s="2" t="e">
        <f>+#REF!-#REF!</f>
        <v>#REF!</v>
      </c>
      <c r="W49" s="2" t="e">
        <f>+#REF!-#REF!</f>
        <v>#REF!</v>
      </c>
      <c r="X49" s="2" t="e">
        <f>+#REF!-#REF!</f>
        <v>#REF!</v>
      </c>
      <c r="Y49" s="2"/>
      <c r="Z49" s="2"/>
      <c r="AA49" s="2"/>
      <c r="AB49" s="2"/>
      <c r="AC49" s="2"/>
    </row>
    <row r="50" spans="2:29">
      <c r="B50" s="265" t="s">
        <v>6929</v>
      </c>
      <c r="C50" s="50">
        <f>+IFERROR(#REF!/#REF!,0)</f>
        <v>0</v>
      </c>
      <c r="D50" s="50">
        <f>+IFERROR(#REF!/#REF!,0)</f>
        <v>0</v>
      </c>
      <c r="E50" s="50">
        <f>+IFERROR(#REF!/#REF!,0)</f>
        <v>0</v>
      </c>
      <c r="F50" s="50">
        <f>+IFERROR(#REF!/#REF!,0)</f>
        <v>0</v>
      </c>
      <c r="G50" s="50">
        <f>+IFERROR(#REF!/#REF!,0)</f>
        <v>0</v>
      </c>
      <c r="H50" s="50">
        <f>+IFERROR(#REF!/#REF!,0)</f>
        <v>0</v>
      </c>
      <c r="I50" s="50">
        <f>+IFERROR(#REF!/#REF!,0)</f>
        <v>0</v>
      </c>
      <c r="J50" s="50">
        <f>+IFERROR(#REF!/#REF!,0)</f>
        <v>0</v>
      </c>
      <c r="K50" s="50">
        <f>+IFERROR(#REF!/#REF!,0)</f>
        <v>0</v>
      </c>
      <c r="L50" s="50">
        <f>+IFERROR(#REF!/#REF!,0)</f>
        <v>0</v>
      </c>
      <c r="M50" s="50">
        <f>+IFERROR(#REF!/#REF!,0)</f>
        <v>0</v>
      </c>
      <c r="N50" s="50">
        <f>+IFERROR(#REF!/#REF!,0)</f>
        <v>0</v>
      </c>
      <c r="P50" s="91" t="e">
        <f t="shared" si="25"/>
        <v>#REF!</v>
      </c>
      <c r="Q50" s="265" t="str">
        <f t="shared" si="26"/>
        <v>transporte personal</v>
      </c>
      <c r="R50" s="2" t="e">
        <f>+#REF!-#REF!</f>
        <v>#REF!</v>
      </c>
      <c r="S50" s="2" t="e">
        <f>+#REF!-#REF!</f>
        <v>#REF!</v>
      </c>
      <c r="T50" s="2" t="e">
        <f>+#REF!-#REF!</f>
        <v>#REF!</v>
      </c>
      <c r="U50" s="2" t="e">
        <f>+#REF!-#REF!</f>
        <v>#REF!</v>
      </c>
      <c r="V50" s="2" t="e">
        <f>+#REF!-#REF!</f>
        <v>#REF!</v>
      </c>
      <c r="W50" s="2" t="e">
        <f>+#REF!-#REF!</f>
        <v>#REF!</v>
      </c>
      <c r="X50" s="2" t="e">
        <f>+#REF!-#REF!</f>
        <v>#REF!</v>
      </c>
      <c r="Y50" s="2"/>
      <c r="Z50" s="2"/>
      <c r="AA50" s="2"/>
      <c r="AB50" s="2"/>
      <c r="AC50" s="2"/>
    </row>
    <row r="51" spans="2:29">
      <c r="B51" s="265" t="s">
        <v>659</v>
      </c>
      <c r="C51" s="50">
        <f>+IFERROR(#REF!/#REF!,0)</f>
        <v>0</v>
      </c>
      <c r="D51" s="50">
        <f>+IFERROR(#REF!/#REF!,0)</f>
        <v>0</v>
      </c>
      <c r="E51" s="50">
        <f>+IFERROR(#REF!/#REF!,0)</f>
        <v>0</v>
      </c>
      <c r="F51" s="50">
        <f>+IFERROR(#REF!/#REF!,0)</f>
        <v>0</v>
      </c>
      <c r="G51" s="50">
        <f>+IFERROR(#REF!/#REF!,0)</f>
        <v>0</v>
      </c>
      <c r="H51" s="50">
        <f>+IFERROR(#REF!/#REF!,0)</f>
        <v>0</v>
      </c>
      <c r="I51" s="50">
        <f>+IFERROR(#REF!/#REF!,0)</f>
        <v>0</v>
      </c>
      <c r="J51" s="50">
        <f>+IFERROR(#REF!/#REF!,0)</f>
        <v>0</v>
      </c>
      <c r="K51" s="50">
        <f>+IFERROR(#REF!/#REF!,0)</f>
        <v>0</v>
      </c>
      <c r="L51" s="50">
        <f>+IFERROR(#REF!/#REF!,0)</f>
        <v>0</v>
      </c>
      <c r="M51" s="50">
        <f>+IFERROR(#REF!/#REF!,0)</f>
        <v>0</v>
      </c>
      <c r="N51" s="50">
        <f>+IFERROR(#REF!/#REF!,0)</f>
        <v>0</v>
      </c>
      <c r="P51" s="91" t="e">
        <f t="shared" si="25"/>
        <v>#REF!</v>
      </c>
      <c r="Q51" s="265" t="str">
        <f t="shared" si="26"/>
        <v>reuniones</v>
      </c>
      <c r="R51" s="2" t="e">
        <f>+#REF!-#REF!</f>
        <v>#REF!</v>
      </c>
      <c r="S51" s="2" t="e">
        <f>+#REF!-#REF!</f>
        <v>#REF!</v>
      </c>
      <c r="T51" s="2" t="e">
        <f>+#REF!-#REF!</f>
        <v>#REF!</v>
      </c>
      <c r="U51" s="2" t="e">
        <f>+#REF!-#REF!</f>
        <v>#REF!</v>
      </c>
      <c r="V51" s="2" t="e">
        <f>+#REF!-#REF!</f>
        <v>#REF!</v>
      </c>
      <c r="W51" s="2" t="e">
        <f>+#REF!-#REF!</f>
        <v>#REF!</v>
      </c>
      <c r="X51" s="2" t="e">
        <f>+#REF!-#REF!</f>
        <v>#REF!</v>
      </c>
      <c r="Y51" s="2"/>
      <c r="Z51" s="2"/>
      <c r="AA51" s="2"/>
      <c r="AB51" s="2"/>
      <c r="AC51" s="2"/>
    </row>
    <row r="52" spans="2:29">
      <c r="B52" s="265" t="s">
        <v>1138</v>
      </c>
      <c r="C52" s="50">
        <f>+IFERROR(#REF!/#REF!,0)</f>
        <v>0</v>
      </c>
      <c r="D52" s="50">
        <f>+IFERROR(#REF!/#REF!,0)</f>
        <v>0</v>
      </c>
      <c r="E52" s="50">
        <f>+IFERROR(#REF!/#REF!,0)</f>
        <v>0</v>
      </c>
      <c r="F52" s="50">
        <f>+IFERROR(#REF!/#REF!,0)</f>
        <v>0</v>
      </c>
      <c r="G52" s="50">
        <f>+IFERROR(#REF!/#REF!,0)</f>
        <v>0</v>
      </c>
      <c r="H52" s="50">
        <f>+IFERROR(#REF!/#REF!,0)</f>
        <v>0</v>
      </c>
      <c r="I52" s="50">
        <f>+IFERROR(#REF!/#REF!,0)</f>
        <v>0</v>
      </c>
      <c r="J52" s="50">
        <f>+IFERROR(#REF!/#REF!,0)</f>
        <v>0</v>
      </c>
      <c r="K52" s="50">
        <f>+IFERROR(#REF!/#REF!,0)</f>
        <v>0</v>
      </c>
      <c r="L52" s="50">
        <f>+IFERROR(#REF!/#REF!,0)</f>
        <v>0</v>
      </c>
      <c r="M52" s="50">
        <f>+IFERROR(#REF!/#REF!,0)</f>
        <v>0</v>
      </c>
      <c r="N52" s="50">
        <f>+IFERROR(#REF!/#REF!,0)</f>
        <v>0</v>
      </c>
      <c r="P52" s="91" t="e">
        <f t="shared" si="25"/>
        <v>#REF!</v>
      </c>
      <c r="Q52" s="265" t="str">
        <f t="shared" si="26"/>
        <v xml:space="preserve">viaticos </v>
      </c>
      <c r="R52" s="2" t="e">
        <f>+#REF!-#REF!</f>
        <v>#REF!</v>
      </c>
      <c r="S52" s="2" t="e">
        <f>+#REF!-#REF!</f>
        <v>#REF!</v>
      </c>
      <c r="T52" s="2" t="e">
        <f>+#REF!-#REF!</f>
        <v>#REF!</v>
      </c>
      <c r="U52" s="2" t="e">
        <f>+#REF!-#REF!</f>
        <v>#REF!</v>
      </c>
      <c r="V52" s="2" t="e">
        <f>+#REF!-#REF!</f>
        <v>#REF!</v>
      </c>
      <c r="W52" s="2" t="e">
        <f>+#REF!-#REF!</f>
        <v>#REF!</v>
      </c>
      <c r="X52" s="2" t="e">
        <f>+#REF!-#REF!</f>
        <v>#REF!</v>
      </c>
    </row>
    <row r="53" spans="2:29">
      <c r="B53" s="266" t="s">
        <v>2724</v>
      </c>
      <c r="C53" s="50">
        <f>+IFERROR(#REF!/#REF!,0)</f>
        <v>0</v>
      </c>
      <c r="D53" s="50">
        <f>+IFERROR(#REF!/#REF!,0)</f>
        <v>0</v>
      </c>
      <c r="E53" s="50">
        <f>+IFERROR(#REF!/#REF!,0)</f>
        <v>0</v>
      </c>
      <c r="F53" s="50">
        <f>+IFERROR(#REF!/#REF!,0)</f>
        <v>0</v>
      </c>
      <c r="G53" s="50">
        <f>+IFERROR(#REF!/#REF!,0)</f>
        <v>0</v>
      </c>
      <c r="H53" s="50">
        <f>+IFERROR(#REF!/#REF!,0)</f>
        <v>0</v>
      </c>
      <c r="I53" s="50">
        <f>+IFERROR(#REF!/#REF!,0)</f>
        <v>0</v>
      </c>
      <c r="J53" s="50">
        <f>+IFERROR(#REF!/#REF!,0)</f>
        <v>0</v>
      </c>
      <c r="K53" s="50">
        <f>+IFERROR(#REF!/#REF!,0)</f>
        <v>0</v>
      </c>
      <c r="L53" s="50">
        <f>+IFERROR(#REF!/#REF!,0)</f>
        <v>0</v>
      </c>
      <c r="M53" s="50">
        <f>+IFERROR(#REF!/#REF!,0)</f>
        <v>0</v>
      </c>
      <c r="N53" s="50">
        <f>+IFERROR(#REF!/#REF!,0)</f>
        <v>0</v>
      </c>
      <c r="P53" s="91" t="e">
        <f t="shared" si="25"/>
        <v>#REF!</v>
      </c>
      <c r="Q53" s="265" t="s">
        <v>2724</v>
      </c>
      <c r="R53" s="2" t="e">
        <f>+#REF!-#REF!</f>
        <v>#REF!</v>
      </c>
      <c r="S53" s="2" t="e">
        <f>+#REF!-#REF!</f>
        <v>#REF!</v>
      </c>
      <c r="T53" s="2" t="e">
        <f>+#REF!-#REF!</f>
        <v>#REF!</v>
      </c>
      <c r="U53" s="2" t="e">
        <f>+#REF!-#REF!</f>
        <v>#REF!</v>
      </c>
      <c r="V53" s="2" t="e">
        <f>+#REF!-#REF!</f>
        <v>#REF!</v>
      </c>
      <c r="W53" s="2" t="e">
        <f>+#REF!-#REF!</f>
        <v>#REF!</v>
      </c>
      <c r="X53" s="2" t="e">
        <f>+#REF!-#REF!</f>
        <v>#REF!</v>
      </c>
      <c r="Y53" s="2"/>
      <c r="Z53" s="2"/>
      <c r="AA53" s="2"/>
      <c r="AB53" s="2"/>
      <c r="AC53" s="2"/>
    </row>
    <row r="54" spans="2:29">
      <c r="B54" s="81" t="s">
        <v>1175</v>
      </c>
      <c r="C54" s="50">
        <f>+IFERROR(#REF!/#REF!,0)</f>
        <v>0</v>
      </c>
      <c r="D54" s="50">
        <f>+IFERROR(#REF!/#REF!,0)</f>
        <v>0</v>
      </c>
      <c r="E54" s="50">
        <f>+IFERROR(#REF!/#REF!,0)</f>
        <v>0</v>
      </c>
      <c r="F54" s="50">
        <f>+IFERROR(#REF!/#REF!,0)</f>
        <v>0</v>
      </c>
      <c r="G54" s="50">
        <f>+IFERROR(#REF!/#REF!,0)</f>
        <v>0</v>
      </c>
      <c r="H54" s="50">
        <f>+IFERROR(#REF!/#REF!,0)</f>
        <v>0</v>
      </c>
      <c r="I54" s="50">
        <f>+IFERROR(#REF!/#REF!,0)</f>
        <v>0</v>
      </c>
      <c r="J54" s="50">
        <f>+IFERROR(#REF!/#REF!,0)</f>
        <v>0</v>
      </c>
      <c r="K54" s="50">
        <f>+IFERROR(#REF!/#REF!,0)</f>
        <v>0</v>
      </c>
      <c r="L54" s="50">
        <f>+IFERROR(#REF!/#REF!,0)</f>
        <v>0</v>
      </c>
      <c r="M54" s="50">
        <f>+IFERROR(#REF!/#REF!,0)</f>
        <v>0</v>
      </c>
      <c r="N54" s="50">
        <f>+IFERROR(#REF!/#REF!,0)</f>
        <v>0</v>
      </c>
      <c r="P54" s="91" t="e">
        <f>+SUM(R54:X54)</f>
        <v>#REF!</v>
      </c>
      <c r="Q54" s="265" t="str">
        <f>+B54</f>
        <v>Salarios</v>
      </c>
      <c r="R54" s="2" t="e">
        <f>+#REF!-#REF!</f>
        <v>#REF!</v>
      </c>
      <c r="S54" s="2" t="e">
        <f>+#REF!-#REF!</f>
        <v>#REF!</v>
      </c>
      <c r="T54" s="2" t="e">
        <f>+#REF!-#REF!</f>
        <v>#REF!</v>
      </c>
      <c r="U54" s="2" t="e">
        <f>+#REF!-#REF!</f>
        <v>#REF!</v>
      </c>
      <c r="V54" s="2" t="e">
        <f>+#REF!-#REF!</f>
        <v>#REF!</v>
      </c>
      <c r="W54" s="2" t="e">
        <f>+#REF!-#REF!</f>
        <v>#REF!</v>
      </c>
      <c r="X54" s="2" t="e">
        <f>+#REF!-#REF!</f>
        <v>#REF!</v>
      </c>
      <c r="Y54" s="2"/>
      <c r="Z54" s="2"/>
      <c r="AA54" s="2"/>
      <c r="AB54" s="2"/>
      <c r="AC54" s="2"/>
    </row>
    <row r="56" spans="2:29">
      <c r="B56" s="262" t="s">
        <v>9</v>
      </c>
      <c r="C56" s="373" t="e">
        <f>+#REF!/#REF!</f>
        <v>#REF!</v>
      </c>
      <c r="D56" s="373" t="e">
        <f>+#REF!/#REF!</f>
        <v>#REF!</v>
      </c>
      <c r="E56" s="373" t="e">
        <f>+#REF!/#REF!</f>
        <v>#REF!</v>
      </c>
      <c r="F56" s="373" t="e">
        <f>+#REF!/#REF!</f>
        <v>#REF!</v>
      </c>
      <c r="G56" s="373" t="e">
        <f>+#REF!/#REF!</f>
        <v>#REF!</v>
      </c>
      <c r="H56" s="373" t="e">
        <f>+#REF!/#REF!</f>
        <v>#REF!</v>
      </c>
      <c r="I56" s="373" t="e">
        <f>+#REF!/#REF!</f>
        <v>#REF!</v>
      </c>
      <c r="J56" s="95">
        <f>+SUM(J45:J53)</f>
        <v>0</v>
      </c>
      <c r="K56" s="95">
        <f>+SUM(K45:K53)</f>
        <v>0</v>
      </c>
      <c r="L56" s="95">
        <f>+SUM(L45:L53)</f>
        <v>0</v>
      </c>
      <c r="M56" s="95">
        <f>+SUM(M45:M53)</f>
        <v>0</v>
      </c>
      <c r="N56" s="95">
        <f>+SUM(N45:N53)</f>
        <v>0</v>
      </c>
      <c r="P56" s="91" t="e">
        <f>+SUM(P45:P53)</f>
        <v>#REF!</v>
      </c>
      <c r="Q56" s="262" t="s">
        <v>9</v>
      </c>
      <c r="R56" s="95" t="e">
        <f t="shared" ref="R56:X56" si="27">+SUM(R45:R54)</f>
        <v>#REF!</v>
      </c>
      <c r="S56" s="95" t="e">
        <f t="shared" si="27"/>
        <v>#REF!</v>
      </c>
      <c r="T56" s="95" t="e">
        <f t="shared" si="27"/>
        <v>#REF!</v>
      </c>
      <c r="U56" s="95" t="e">
        <f t="shared" si="27"/>
        <v>#REF!</v>
      </c>
      <c r="V56" s="95" t="e">
        <f t="shared" si="27"/>
        <v>#REF!</v>
      </c>
      <c r="W56" s="95" t="e">
        <f t="shared" si="27"/>
        <v>#REF!</v>
      </c>
      <c r="X56" s="95" t="e">
        <f t="shared" si="27"/>
        <v>#REF!</v>
      </c>
      <c r="Y56" s="95">
        <f>+SUM(Y45:Y53)</f>
        <v>0</v>
      </c>
      <c r="Z56" s="95">
        <f>+SUM(Z45:Z53)</f>
        <v>0</v>
      </c>
      <c r="AA56" s="95">
        <f>+SUM(AA45:AA53)</f>
        <v>0</v>
      </c>
      <c r="AB56" s="95">
        <f>+SUM(AB45:AB53)</f>
        <v>0</v>
      </c>
      <c r="AC56" s="95">
        <f>+SUM(AC45:AC53)</f>
        <v>0</v>
      </c>
    </row>
  </sheetData>
  <mergeCells count="4">
    <mergeCell ref="Q25:AC25"/>
    <mergeCell ref="Q43:AC43"/>
    <mergeCell ref="B2:N2"/>
    <mergeCell ref="Q2:AC2"/>
  </mergeCells>
  <conditionalFormatting sqref="C27:D38">
    <cfRule type="colorScale" priority="65">
      <colorScale>
        <cfvo type="min"/>
        <cfvo type="percentile" val="50"/>
        <cfvo type="max"/>
        <color rgb="FF63BE7B"/>
        <color rgb="FFFFEB84"/>
        <color rgb="FFF8696B"/>
      </colorScale>
    </cfRule>
  </conditionalFormatting>
  <conditionalFormatting sqref="C45:D54">
    <cfRule type="colorScale" priority="20">
      <colorScale>
        <cfvo type="min"/>
        <cfvo type="percentile" val="50"/>
        <cfvo type="max"/>
        <color rgb="FF63BE7B"/>
        <color rgb="FFFFEB84"/>
        <color rgb="FFF8696B"/>
      </colorScale>
    </cfRule>
  </conditionalFormatting>
  <conditionalFormatting sqref="E27:E36">
    <cfRule type="colorScale" priority="67">
      <colorScale>
        <cfvo type="min"/>
        <cfvo type="percentile" val="50"/>
        <cfvo type="max"/>
        <color rgb="FF63BE7B"/>
        <color rgb="FFFFEB84"/>
        <color rgb="FFF8696B"/>
      </colorScale>
    </cfRule>
  </conditionalFormatting>
  <conditionalFormatting sqref="E37:E38">
    <cfRule type="colorScale" priority="17">
      <colorScale>
        <cfvo type="min"/>
        <cfvo type="percentile" val="50"/>
        <cfvo type="max"/>
        <color rgb="FF63BE7B"/>
        <color rgb="FFFFEB84"/>
        <color rgb="FFF8696B"/>
      </colorScale>
    </cfRule>
  </conditionalFormatting>
  <conditionalFormatting sqref="E45:E54">
    <cfRule type="colorScale" priority="18">
      <colorScale>
        <cfvo type="min"/>
        <cfvo type="percentile" val="50"/>
        <cfvo type="max"/>
        <color rgb="FF63BE7B"/>
        <color rgb="FFFFEB84"/>
        <color rgb="FFF8696B"/>
      </colorScale>
    </cfRule>
  </conditionalFormatting>
  <conditionalFormatting sqref="F27:F36">
    <cfRule type="colorScale" priority="68">
      <colorScale>
        <cfvo type="min"/>
        <cfvo type="percentile" val="50"/>
        <cfvo type="max"/>
        <color rgb="FF63BE7B"/>
        <color rgb="FFFFEB84"/>
        <color rgb="FFF8696B"/>
      </colorScale>
    </cfRule>
  </conditionalFormatting>
  <conditionalFormatting sqref="F37:F38">
    <cfRule type="colorScale" priority="16">
      <colorScale>
        <cfvo type="min"/>
        <cfvo type="percentile" val="50"/>
        <cfvo type="max"/>
        <color rgb="FF63BE7B"/>
        <color rgb="FFFFEB84"/>
        <color rgb="FFF8696B"/>
      </colorScale>
    </cfRule>
  </conditionalFormatting>
  <conditionalFormatting sqref="F45:F54">
    <cfRule type="colorScale" priority="7">
      <colorScale>
        <cfvo type="min"/>
        <cfvo type="percentile" val="50"/>
        <cfvo type="max"/>
        <color rgb="FF63BE7B"/>
        <color rgb="FFFFEB84"/>
        <color rgb="FFF8696B"/>
      </colorScale>
    </cfRule>
  </conditionalFormatting>
  <conditionalFormatting sqref="G27:G36">
    <cfRule type="colorScale" priority="69">
      <colorScale>
        <cfvo type="min"/>
        <cfvo type="percentile" val="50"/>
        <cfvo type="max"/>
        <color rgb="FF63BE7B"/>
        <color rgb="FFFFEB84"/>
        <color rgb="FFF8696B"/>
      </colorScale>
    </cfRule>
  </conditionalFormatting>
  <conditionalFormatting sqref="G37:G38">
    <cfRule type="colorScale" priority="15">
      <colorScale>
        <cfvo type="min"/>
        <cfvo type="percentile" val="50"/>
        <cfvo type="max"/>
        <color rgb="FF63BE7B"/>
        <color rgb="FFFFEB84"/>
        <color rgb="FFF8696B"/>
      </colorScale>
    </cfRule>
  </conditionalFormatting>
  <conditionalFormatting sqref="G45:G54">
    <cfRule type="colorScale" priority="6">
      <colorScale>
        <cfvo type="min"/>
        <cfvo type="percentile" val="50"/>
        <cfvo type="max"/>
        <color rgb="FF63BE7B"/>
        <color rgb="FFFFEB84"/>
        <color rgb="FFF8696B"/>
      </colorScale>
    </cfRule>
  </conditionalFormatting>
  <conditionalFormatting sqref="H27:H36">
    <cfRule type="colorScale" priority="70">
      <colorScale>
        <cfvo type="min"/>
        <cfvo type="percentile" val="50"/>
        <cfvo type="max"/>
        <color rgb="FF63BE7B"/>
        <color rgb="FFFFEB84"/>
        <color rgb="FFF8696B"/>
      </colorScale>
    </cfRule>
  </conditionalFormatting>
  <conditionalFormatting sqref="H37:H38">
    <cfRule type="colorScale" priority="14">
      <colorScale>
        <cfvo type="min"/>
        <cfvo type="percentile" val="50"/>
        <cfvo type="max"/>
        <color rgb="FF63BE7B"/>
        <color rgb="FFFFEB84"/>
        <color rgb="FFF8696B"/>
      </colorScale>
    </cfRule>
  </conditionalFormatting>
  <conditionalFormatting sqref="H45:H54">
    <cfRule type="colorScale" priority="5">
      <colorScale>
        <cfvo type="min"/>
        <cfvo type="percentile" val="50"/>
        <cfvo type="max"/>
        <color rgb="FF63BE7B"/>
        <color rgb="FFFFEB84"/>
        <color rgb="FFF8696B"/>
      </colorScale>
    </cfRule>
  </conditionalFormatting>
  <conditionalFormatting sqref="I27:I36">
    <cfRule type="colorScale" priority="71">
      <colorScale>
        <cfvo type="min"/>
        <cfvo type="percentile" val="50"/>
        <cfvo type="max"/>
        <color rgb="FF63BE7B"/>
        <color rgb="FFFFEB84"/>
        <color rgb="FFF8696B"/>
      </colorScale>
    </cfRule>
  </conditionalFormatting>
  <conditionalFormatting sqref="I37:I38">
    <cfRule type="colorScale" priority="13">
      <colorScale>
        <cfvo type="min"/>
        <cfvo type="percentile" val="50"/>
        <cfvo type="max"/>
        <color rgb="FF63BE7B"/>
        <color rgb="FFFFEB84"/>
        <color rgb="FFF8696B"/>
      </colorScale>
    </cfRule>
  </conditionalFormatting>
  <conditionalFormatting sqref="I45:I54">
    <cfRule type="colorScale" priority="4">
      <colorScale>
        <cfvo type="min"/>
        <cfvo type="percentile" val="50"/>
        <cfvo type="max"/>
        <color rgb="FF63BE7B"/>
        <color rgb="FFFFEB84"/>
        <color rgb="FFF8696B"/>
      </colorScale>
    </cfRule>
  </conditionalFormatting>
  <conditionalFormatting sqref="J27:J37">
    <cfRule type="colorScale" priority="3">
      <colorScale>
        <cfvo type="min"/>
        <cfvo type="percentile" val="50"/>
        <cfvo type="max"/>
        <color rgb="FF63BE7B"/>
        <color rgb="FFFFEB84"/>
        <color rgb="FFF8696B"/>
      </colorScale>
    </cfRule>
  </conditionalFormatting>
  <conditionalFormatting sqref="K27:N37">
    <cfRule type="colorScale" priority="2">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54FE-C42E-467F-B8FC-7EE6E1CFC6CC}">
  <sheetPr>
    <tabColor rgb="FFFFFF00"/>
    <outlinePr summaryBelow="0" summaryRight="0"/>
  </sheetPr>
  <dimension ref="A1:U50"/>
  <sheetViews>
    <sheetView topLeftCell="F1" zoomScale="58" zoomScaleNormal="70" workbookViewId="0">
      <selection activeCell="R10" sqref="R10"/>
    </sheetView>
  </sheetViews>
  <sheetFormatPr defaultColWidth="14.3828125" defaultRowHeight="15" customHeight="1"/>
  <cols>
    <col min="1" max="2" width="14.3828125" style="6" customWidth="1"/>
    <col min="3" max="3" width="17" customWidth="1"/>
    <col min="4" max="4" width="9.15234375" customWidth="1"/>
    <col min="5" max="5" width="56.53515625" bestFit="1" customWidth="1"/>
    <col min="6" max="6" width="16.53515625" customWidth="1"/>
    <col min="7" max="7" width="9.15234375" customWidth="1"/>
    <col min="8" max="8" width="18.53515625" customWidth="1"/>
    <col min="9" max="9" width="16.3828125" style="6" customWidth="1"/>
    <col min="10" max="10" width="16.3828125" customWidth="1"/>
    <col min="11" max="11" width="17.3046875" customWidth="1"/>
    <col min="12" max="13" width="16.84375" customWidth="1"/>
    <col min="14" max="15" width="16.3828125" customWidth="1"/>
    <col min="16" max="16" width="18" bestFit="1" customWidth="1"/>
    <col min="17" max="17" width="20.3046875" customWidth="1"/>
    <col min="18" max="18" width="23.15234375" customWidth="1"/>
    <col min="19" max="19" width="21.53515625" bestFit="1" customWidth="1"/>
    <col min="20" max="20" width="20.15234375" bestFit="1" customWidth="1"/>
  </cols>
  <sheetData>
    <row r="1" spans="2:20" s="6" customFormat="1" ht="15.75" customHeight="1">
      <c r="C1" s="502" t="s">
        <v>8076</v>
      </c>
      <c r="D1" s="1"/>
      <c r="E1" s="1103" t="s">
        <v>30</v>
      </c>
      <c r="F1" s="1104"/>
      <c r="G1" s="3"/>
      <c r="H1" s="5"/>
      <c r="I1" s="2"/>
      <c r="J1" s="2"/>
      <c r="K1" s="5"/>
      <c r="L1" s="5"/>
      <c r="M1" s="5"/>
      <c r="N1" s="5"/>
      <c r="O1" s="5"/>
      <c r="P1" s="5"/>
      <c r="Q1" s="5"/>
      <c r="R1" s="5"/>
      <c r="S1" s="4"/>
      <c r="T1" s="4"/>
    </row>
    <row r="2" spans="2:20" s="6" customFormat="1" ht="5.5" customHeight="1">
      <c r="C2" s="1"/>
      <c r="D2" s="1"/>
      <c r="E2" s="3"/>
      <c r="F2" s="3"/>
      <c r="G2" s="3"/>
      <c r="H2" s="70"/>
    </row>
    <row r="3" spans="2:20" ht="15.75" customHeight="1">
      <c r="C3" s="1"/>
      <c r="D3" s="1"/>
      <c r="E3" s="1"/>
      <c r="F3" s="7">
        <v>2024</v>
      </c>
      <c r="G3" s="1"/>
      <c r="H3" s="8">
        <v>45292</v>
      </c>
      <c r="I3" s="8">
        <v>45323</v>
      </c>
      <c r="J3" s="9">
        <v>45352</v>
      </c>
      <c r="K3" s="8">
        <v>45383</v>
      </c>
      <c r="L3" s="8">
        <v>45413</v>
      </c>
      <c r="M3" s="9">
        <v>45444</v>
      </c>
      <c r="N3" s="8">
        <v>45474</v>
      </c>
      <c r="O3" s="8">
        <v>45505</v>
      </c>
      <c r="P3" s="9">
        <v>45536</v>
      </c>
      <c r="Q3" s="8">
        <v>45566</v>
      </c>
      <c r="R3" s="8">
        <v>45597</v>
      </c>
      <c r="S3" s="9">
        <v>45627</v>
      </c>
      <c r="T3" s="9">
        <v>45658</v>
      </c>
    </row>
    <row r="4" spans="2:20" ht="15.75" customHeight="1">
      <c r="C4" s="1" t="s">
        <v>257</v>
      </c>
      <c r="D4" s="1"/>
      <c r="E4" s="11" t="s">
        <v>3107</v>
      </c>
      <c r="F4" s="12"/>
      <c r="G4" s="11"/>
      <c r="H4" s="2">
        <f>+SUMIFS('Movimientos Reales'!$D$4:$D$1048576,'Movimientos Reales'!$E$4:$E$1048576,'Caja Real mensual '!$H$3,'Movimientos Reales'!$F$4:$F$1048576,'Caja Real mensual '!$C$4)</f>
        <v>0</v>
      </c>
      <c r="I4" s="2">
        <f>+SUMIFS('Movimientos Reales'!$D$4:$D$1048576,'Movimientos Reales'!$E$4:$E$1048576,'Caja Real mensual '!$H$3,'Movimientos Reales'!$F$4:$F$1048576,'Caja Real mensual '!$C$4)</f>
        <v>0</v>
      </c>
      <c r="J4" s="2">
        <f>+SUMIFS('Movimientos Reales'!$D$4:$D$1048576,'Movimientos Reales'!$E$4:$E$1048576,'Caja Real mensual '!$H$3,'Movimientos Reales'!$F$4:$F$1048576,'Caja Real mensual '!$C$4)</f>
        <v>0</v>
      </c>
      <c r="K4" s="2">
        <f>+SUMIFS('Movimientos Reales'!$D$4:$D$1048576,'Movimientos Reales'!$E$4:$E$1048576,'Caja Real mensual '!$K$3,'Movimientos Reales'!$F$4:$F$1048576,'Caja Real mensual '!$C$4)</f>
        <v>11142290</v>
      </c>
      <c r="L4" s="2">
        <f>+SUMIFS('Movimientos Reales'!$D$4:$D$1048576,'Movimientos Reales'!$E$4:$E$1048576,'Caja Real mensual '!$L$3,'Movimientos Reales'!$F$4:$F$1048576,'Caja Real mensual '!$C$4)</f>
        <v>0</v>
      </c>
      <c r="M4" s="2">
        <f>+SUMIFS('Movimientos Reales'!$D$4:$D$1048576,'Movimientos Reales'!$E$4:$E$1048576,'Caja Real mensual '!$M$3,'Movimientos Reales'!$F$4:$F$1048576,'Caja Real mensual '!$C$4)</f>
        <v>0</v>
      </c>
      <c r="N4" s="2">
        <f>+SUMIFS('Movimientos Reales'!$D$4:$D$1048576,'Movimientos Reales'!$E$4:$E$1048576,'Caja Real mensual '!$N$3,'Movimientos Reales'!$F$4:$F$1048576,'Caja Real mensual '!$C$4)</f>
        <v>0</v>
      </c>
      <c r="O4" s="2">
        <f>+SUMIFS('Movimientos Reales'!$D$4:$D$1048576,'Movimientos Reales'!$E$4:$E$1048576,'Caja Real mensual '!$O$3,'Movimientos Reales'!$F$4:$F$1048576,'Caja Real mensual '!$C$4)</f>
        <v>0</v>
      </c>
      <c r="P4" s="2">
        <f>+SUMIFS('Movimientos Reales'!$D$4:$D$1048576,'Movimientos Reales'!$E$4:$E$1048576,'Caja Real mensual '!$P$3,'Movimientos Reales'!$F$4:$F$1048576,'Caja Real mensual '!$C$4)</f>
        <v>0</v>
      </c>
      <c r="Q4" s="2">
        <f>+SUMIFS('Movimientos Reales'!$D$4:$D$1048576,'Movimientos Reales'!$E$4:$E$1048576,'Caja Real mensual '!$Q$3,'Movimientos Reales'!$F$4:$F$1048576,'Caja Real mensual '!$C$4)</f>
        <v>0</v>
      </c>
      <c r="R4" s="2">
        <f>+SUMIFS('Movimientos Reales'!$D$4:$D$1048576,'Movimientos Reales'!$E$4:$E$1048576,'Caja Real mensual '!$R$3,'Movimientos Reales'!$F$4:$F$1048576,'Caja Real mensual '!$C$4)</f>
        <v>0</v>
      </c>
      <c r="S4" s="2">
        <f>+SUMIFS('Movimientos Reales'!$D$4:$D$1048576,'Movimientos Reales'!$E$4:$E$1048576,'Caja Real mensual '!$S$3,'Movimientos Reales'!$F$4:$F$1048576,'Caja Real mensual '!$C$4)</f>
        <v>0</v>
      </c>
      <c r="T4" s="2">
        <f>+SUMIFS('Movimientos Reales'!$D$4:$D$1048576,'Movimientos Reales'!$E$4:$E$1048576,'Caja Real mensual '!$T$3,'Movimientos Reales'!$F$4:$F$1048576,'Caja Real mensual '!$C$4)</f>
        <v>0</v>
      </c>
    </row>
    <row r="5" spans="2:20" ht="15.75" customHeight="1">
      <c r="C5" s="1"/>
      <c r="D5" s="1"/>
      <c r="E5" s="11" t="s">
        <v>8077</v>
      </c>
      <c r="F5" s="12"/>
      <c r="G5" s="11"/>
      <c r="H5" s="2"/>
      <c r="I5" s="2"/>
      <c r="J5" s="13"/>
      <c r="K5" s="13"/>
      <c r="L5" s="13"/>
      <c r="M5" s="2"/>
      <c r="N5" s="2"/>
      <c r="O5" s="2"/>
      <c r="P5" s="2"/>
      <c r="Q5" s="2"/>
      <c r="R5" s="2"/>
      <c r="S5" s="13"/>
      <c r="T5" s="13"/>
    </row>
    <row r="6" spans="2:20" ht="15.75" customHeight="1">
      <c r="C6" s="1" t="s">
        <v>108</v>
      </c>
      <c r="D6" s="1"/>
      <c r="E6" s="11" t="s">
        <v>8078</v>
      </c>
      <c r="F6" s="12"/>
      <c r="G6" s="11"/>
      <c r="H6" s="2">
        <f>+SUMIFS('Movimientos Reales'!$D$4:$D$1048576,'Movimientos Reales'!$E$4:$E$1048576,'Caja Real mensual '!$H$3,'Movimientos Reales'!$F$4:$F$1048576,'Caja Real mensual '!$C$6)</f>
        <v>22824345.870000001</v>
      </c>
      <c r="I6" s="2">
        <f>+SUMIFS('Movimientos Reales'!$D$4:$D$1048576,'Movimientos Reales'!$E$4:$E$1048576,'Caja Real mensual '!$I$3,'Movimientos Reales'!$F$4:$F$1048576,'Caja Real mensual '!$C$6)</f>
        <v>29924782.07</v>
      </c>
      <c r="J6" s="2">
        <f>+SUMIFS('Movimientos Reales'!$D$4:$D$1048576,'Movimientos Reales'!$E$4:$E$1048576,'Caja Real mensual '!$J$3,'Movimientos Reales'!$F$4:$F$1048576,'Caja Real mensual '!$C$6)</f>
        <v>25440290.27</v>
      </c>
      <c r="K6" s="2">
        <f>+SUMIFS('Movimientos Reales'!$D$4:$D$1048576,'Movimientos Reales'!$E$4:$E$1048576,'Caja Real mensual '!$K$3,'Movimientos Reales'!$F$4:$F$1048576,'Caja Real mensual '!$C$6)</f>
        <v>43699208.510000005</v>
      </c>
      <c r="L6" s="2">
        <f>+SUMIFS('Movimientos Reales'!$D$4:$D$1048576,'Movimientos Reales'!$E$4:$E$1048576,'Caja Real mensual '!$L$3,'Movimientos Reales'!$F$4:$F$1048576,'Caja Real mensual '!$C$6)</f>
        <v>35244810</v>
      </c>
      <c r="M6" s="2">
        <f>+SUMIFS('Movimientos Reales'!$D$4:$D$1048576,'Movimientos Reales'!$E$4:$E$1048576,'Caja Real mensual '!$M$3,'Movimientos Reales'!$F$4:$F$1048576,'Caja Real mensual '!$C$6)</f>
        <v>55908865.729999997</v>
      </c>
      <c r="N6" s="2">
        <f>+SUMIFS('Movimientos Reales'!$D$4:$D$1048576,'Movimientos Reales'!$E$4:$E$1048576,'Caja Real mensual '!$N$3,'Movimientos Reales'!$F$4:$F$1048576,'Caja Real mensual '!$C$6)</f>
        <v>26974144</v>
      </c>
      <c r="O6" s="2">
        <f>+SUMIFS('Movimientos Reales'!$D$4:$D$1048576,'Movimientos Reales'!$E$4:$E$1048576,'Caja Real mensual '!$O$3,'Movimientos Reales'!$F$4:$F$1048576,'Caja Real mensual '!$C$6)</f>
        <v>52440020.119999997</v>
      </c>
      <c r="P6" s="2">
        <f>+SUMIFS('Movimientos Reales'!$D$4:$D$1048576,'Movimientos Reales'!$E$4:$E$1048576,'Caja Real mensual '!$P$3,'Movimientos Reales'!$F$4:$F$1048576,'Caja Real mensual '!$C$6)</f>
        <v>45743186.119999997</v>
      </c>
      <c r="Q6" s="532">
        <f>+SUMIFS('Movimientos Reales'!$D$4:$D$1048576,'Movimientos Reales'!$E$4:$E$1048576,'Caja Real mensual '!$Q$3,'Movimientos Reales'!$F$4:$F$1048576,'Caja Real mensual '!$C$6)</f>
        <v>42038315.359999999</v>
      </c>
      <c r="R6" s="532">
        <f>+SUMIFS('Movimientos Reales'!$D$4:$D$1048576,'Movimientos Reales'!$E$4:$E$1048576,'Caja Real mensual '!$R$3,'Movimientos Reales'!$F$4:$F$1048576,'Caja Real mensual '!$C$6)</f>
        <v>49904079.280000001</v>
      </c>
      <c r="S6" s="532">
        <f>+SUMIFS('Movimientos Reales'!$D$4:$D$1048576,'Movimientos Reales'!$E$4:$E$1048576,'Caja Real mensual '!$S$3,'Movimientos Reales'!$F$4:$F$1048576,'Caja Real mensual '!$C$6)</f>
        <v>71806635.739999995</v>
      </c>
      <c r="T6" s="532">
        <f>+SUMIFS('Movimientos Reales'!$D$4:$D$1048576,'Movimientos Reales'!$E$4:$E$1048576,'Caja Real mensual '!$T$3,'Movimientos Reales'!$F$4:$F$1048576,'Caja Real mensual '!$C$6)</f>
        <v>0</v>
      </c>
    </row>
    <row r="7" spans="2:20" ht="15.75" customHeight="1">
      <c r="C7" s="1" t="s">
        <v>207</v>
      </c>
      <c r="D7" s="1"/>
      <c r="E7" s="11" t="s">
        <v>8079</v>
      </c>
      <c r="F7" s="12"/>
      <c r="G7" s="11"/>
      <c r="H7" s="2">
        <f>+SUMIFS('Movimientos Reales'!$D$4:$D$1048576,'Movimientos Reales'!$E$4:$E$1048576,'Caja Real mensual '!$H$3,'Movimientos Reales'!$F$4:$F$1048576,'Caja Real mensual '!$C$7)</f>
        <v>-3224569</v>
      </c>
      <c r="I7" s="2">
        <f>+SUMIFS('Movimientos Reales'!$D$4:$D$1048576,'Movimientos Reales'!$E$4:$E$1048576,'Caja Real mensual '!$I$3,'Movimientos Reales'!$F$4:$F$1048576,'Caja Real mensual '!$C$7)</f>
        <v>-4037719</v>
      </c>
      <c r="J7" s="2">
        <f>+SUMIFS('Movimientos Reales'!$D$4:$D$1048576,'Movimientos Reales'!$E$4:$E$1048576,'Caja Real mensual '!$J$3,'Movimientos Reales'!$F$4:$F$1048576,'Caja Real mensual '!$C$7)</f>
        <v>-5030788</v>
      </c>
      <c r="K7" s="2">
        <f>+SUMIFS('Movimientos Reales'!$D$4:$D$1048576,'Movimientos Reales'!$E$4:$E$1048576,'Caja Real mensual '!$K$3,'Movimientos Reales'!$F$4:$F$1048576,'Caja Real mensual '!$C$7)</f>
        <v>-4091659</v>
      </c>
      <c r="L7" s="2">
        <f>+SUMIFS('Movimientos Reales'!$D$4:$D$1048576,'Movimientos Reales'!$E$4:$E$1048576,'Caja Real mensual '!$L$3,'Movimientos Reales'!$F$4:$F$1048576,'Caja Real mensual '!$C$7)</f>
        <v>-5592897.1489361702</v>
      </c>
      <c r="M7" s="2">
        <f>+SUMIFS('Movimientos Reales'!$D$4:$D$1048576,'Movimientos Reales'!$E$4:$E$1048576,'Caja Real mensual '!$M$3,'Movimientos Reales'!$F$4:$F$1048576,'Caja Real mensual '!$C$7)</f>
        <v>-6098857</v>
      </c>
      <c r="N7" s="2">
        <f>+SUMIFS('Movimientos Reales'!$D$4:$D$1048576,'Movimientos Reales'!$E$4:$E$1048576,'Caja Real mensual '!$N$3,'Movimientos Reales'!$F$4:$F$1048576,'Caja Real mensual '!$C$7)</f>
        <v>-24890815</v>
      </c>
      <c r="O7" s="2">
        <f>+SUMIFS('Movimientos Reales'!$D$4:$D$1048576,'Movimientos Reales'!$E$4:$E$1048576,'Caja Real mensual '!$O$3,'Movimientos Reales'!$F$4:$F$1048576,'Caja Real mensual '!$C$7)</f>
        <v>-9091198.666666666</v>
      </c>
      <c r="P7" s="2">
        <f>+SUMIFS('Movimientos Reales'!$D$4:$D$1048576,'Movimientos Reales'!$E$4:$E$1048576,'Caja Real mensual '!$P$3,'Movimientos Reales'!$F$4:$F$1048576,'Caja Real mensual '!$C$7)</f>
        <v>-1851709.6666666665</v>
      </c>
      <c r="Q7" s="532">
        <f>+SUMIFS('Movimientos Reales'!$D$4:$D$1048576,'Movimientos Reales'!$E$4:$E$1048576,'Caja Real mensual '!$Q$3,'Movimientos Reales'!$F$4:$F$1048576,'Caja Real mensual '!$C$7)</f>
        <v>-37703219</v>
      </c>
      <c r="R7" s="532">
        <f>+SUMIFS('Movimientos Reales'!$D$4:$D$1048576,'Movimientos Reales'!$E$4:$E$1048576,'Caja Real mensual '!$R$3,'Movimientos Reales'!$F$4:$F$1048576,'Caja Real mensual '!$C$7)</f>
        <v>-154147</v>
      </c>
      <c r="S7" s="532">
        <f>+SUMIFS('Movimientos Reales'!$D$4:$D$1048576,'Movimientos Reales'!$E$4:$E$1048576,'Caja Real mensual '!$S$3,'Movimientos Reales'!$F$4:$F$1048576,'Caja Real mensual '!$C$7)</f>
        <v>-121000</v>
      </c>
      <c r="T7" s="532">
        <f>+SUMIFS('Movimientos Reales'!$D$4:$D$1048576,'Movimientos Reales'!$E$4:$E$1048576,'Caja Real mensual '!$T$3,'Movimientos Reales'!$F$4:$F$1048576,'Caja Real mensual '!$C$7)</f>
        <v>0</v>
      </c>
    </row>
    <row r="8" spans="2:20" ht="15.75" customHeight="1">
      <c r="C8" s="55" t="s">
        <v>3800</v>
      </c>
      <c r="D8" s="1"/>
      <c r="E8" s="11" t="s">
        <v>8080</v>
      </c>
      <c r="F8" s="12"/>
      <c r="G8" s="11"/>
      <c r="H8" s="2"/>
      <c r="I8" s="2"/>
      <c r="J8" s="2"/>
      <c r="K8" s="2"/>
      <c r="L8" s="2"/>
      <c r="M8" s="2"/>
      <c r="N8" s="2">
        <f>+SUMIFS('Movimientos Reales'!$D$4:$D$1048576,'Movimientos Reales'!$E$4:$E$1048576,'Caja Real mensual '!$N$3,'Movimientos Reales'!$F$4:$F$1048576,'Caja Real mensual '!$C$8)</f>
        <v>399606</v>
      </c>
      <c r="O8" s="2">
        <f>+SUMIFS('Movimientos Reales'!$D$4:$D$1048576,'Movimientos Reales'!$E$4:$E$1048576,'Caja Real mensual '!$O$3,'Movimientos Reales'!$F$4:$F$1048576,'Caja Real mensual '!$C$8)</f>
        <v>2325936</v>
      </c>
      <c r="P8" s="2">
        <f>+SUMIFS('Movimientos Reales'!$D$4:$D$1048576,'Movimientos Reales'!$E$4:$E$1048576,'Caja Real mensual '!$P$3,'Movimientos Reales'!$F$4:$F$1048576,'Caja Real mensual '!$C$8)</f>
        <v>0</v>
      </c>
      <c r="Q8" s="2">
        <f>+SUMIFS('Movimientos Reales'!$D$4:$D$1048576,'Movimientos Reales'!$E$4:$E$1048576,'Caja Real mensual '!$Q$3,'Movimientos Reales'!$F$4:$F$1048576,'Caja Real mensual '!$C$8)</f>
        <v>0</v>
      </c>
      <c r="R8" s="2">
        <f>+SUMIFS('Movimientos Reales'!$D$4:$D$1048576,'Movimientos Reales'!$E$4:$E$1048576,'Caja Real mensual '!$R$3,'Movimientos Reales'!$F$4:$F$1048576,'Caja Real mensual '!$C$8)</f>
        <v>0</v>
      </c>
      <c r="S8" s="2">
        <f>+SUMIFS('Movimientos Reales'!$D$4:$D$1048576,'Movimientos Reales'!$E$4:$E$1048576,'Caja Real mensual '!$S$3,'Movimientos Reales'!$F$4:$F$1048576,'Caja Real mensual '!$C$8)</f>
        <v>0</v>
      </c>
      <c r="T8" s="2">
        <f>+SUMIFS('Movimientos Reales'!$D$4:$D$1048576,'Movimientos Reales'!$E$4:$E$1048576,'Caja Real mensual '!$T$3,'Movimientos Reales'!$F$4:$F$1048576,'Caja Real mensual '!$C$8)</f>
        <v>0</v>
      </c>
    </row>
    <row r="9" spans="2:20" ht="15.75" customHeight="1">
      <c r="C9" s="55"/>
      <c r="D9" s="1"/>
      <c r="E9" s="11" t="s">
        <v>8081</v>
      </c>
      <c r="F9" s="12"/>
      <c r="G9" s="11"/>
      <c r="H9" s="2"/>
      <c r="I9" s="2"/>
      <c r="J9" s="2"/>
      <c r="K9" s="2"/>
      <c r="L9" s="2"/>
      <c r="M9" s="2"/>
      <c r="N9" s="2"/>
      <c r="O9" s="2"/>
      <c r="P9" s="2"/>
      <c r="Q9" s="2"/>
      <c r="R9" s="2"/>
      <c r="S9" s="2"/>
      <c r="T9" s="2"/>
    </row>
    <row r="10" spans="2:20" ht="15.75" customHeight="1">
      <c r="C10" s="1"/>
      <c r="D10" s="1"/>
      <c r="E10" s="15" t="s">
        <v>8082</v>
      </c>
      <c r="F10" s="16"/>
      <c r="G10" s="17"/>
      <c r="H10" s="18">
        <f t="shared" ref="H10:L10" si="0">+SUM(H4:H7)</f>
        <v>19599776.870000001</v>
      </c>
      <c r="I10" s="18">
        <f t="shared" si="0"/>
        <v>25887063.07</v>
      </c>
      <c r="J10" s="18">
        <f t="shared" si="0"/>
        <v>20409502.27</v>
      </c>
      <c r="K10" s="18">
        <f t="shared" si="0"/>
        <v>50749839.510000005</v>
      </c>
      <c r="L10" s="18">
        <f t="shared" si="0"/>
        <v>29651912.851063829</v>
      </c>
      <c r="M10" s="18">
        <f>+SUM(M4:M7)</f>
        <v>49810008.729999997</v>
      </c>
      <c r="N10" s="18">
        <f t="shared" ref="N10:S10" si="1">+SUM(N4:N8)</f>
        <v>2482935</v>
      </c>
      <c r="O10" s="18">
        <f t="shared" si="1"/>
        <v>45674757.453333333</v>
      </c>
      <c r="P10" s="18">
        <f t="shared" si="1"/>
        <v>43891476.453333333</v>
      </c>
      <c r="Q10" s="18">
        <f t="shared" si="1"/>
        <v>4335096.3599999994</v>
      </c>
      <c r="R10" s="18">
        <f t="shared" si="1"/>
        <v>49749932.280000001</v>
      </c>
      <c r="S10" s="18">
        <f t="shared" si="1"/>
        <v>71685635.739999995</v>
      </c>
      <c r="T10" s="18">
        <f>+SUM(T4:T8)</f>
        <v>0</v>
      </c>
    </row>
    <row r="11" spans="2:20" ht="19.5" customHeight="1">
      <c r="C11" s="14" t="s">
        <v>104</v>
      </c>
      <c r="D11" s="14"/>
      <c r="E11" s="147" t="s">
        <v>8083</v>
      </c>
      <c r="F11" s="12"/>
      <c r="G11" s="11"/>
      <c r="H11" s="2">
        <f>+SUMIFS('Movimientos Reales'!$D$4:$D$1048576,'Movimientos Reales'!$E$4:$E$1048576,'Caja Real mensual '!$H$3,'Movimientos Reales'!$F$4:$F$1048576,'Caja Real mensual '!$C$11)-H14</f>
        <v>-77636060.129999995</v>
      </c>
      <c r="I11" s="2">
        <f>+SUMIFS('Movimientos Reales'!$D$4:$D$1048576,'Movimientos Reales'!$E$4:$E$1048576,'Caja Real mensual '!$I$3,'Movimientos Reales'!$F$4:$F$1048576,'Caja Real mensual '!$C$11)-I14</f>
        <v>-118454725.83340426</v>
      </c>
      <c r="J11" s="2">
        <f>+SUMIFS('Movimientos Reales'!$D$4:$D$1048576,'Movimientos Reales'!$E$4:$E$1048576,'Caja Real mensual '!$J$3,'Movimientos Reales'!$F$4:$F$1048576,'Caja Real mensual '!$C$11)-J14</f>
        <v>-62774933.667517722</v>
      </c>
      <c r="K11" s="2">
        <f>+SUMIFS('Movimientos Reales'!$D$4:$D$1048576,'Movimientos Reales'!$E$4:$E$1048576,'Caja Real mensual '!$K$3,'Movimientos Reales'!$F$4:$F$1048576,'Caja Real mensual '!$C$11)-K14</f>
        <v>-66303392.420000009</v>
      </c>
      <c r="L11" s="2">
        <f>+SUMIFS('Movimientos Reales'!$D$4:$D$1048576,'Movimientos Reales'!$E$4:$E$1048576,'Caja Real mensual '!$L$3,'Movimientos Reales'!$F$4:$F$1048576,'Caja Real mensual '!$C$11)-L14</f>
        <v>-85278274.964021295</v>
      </c>
      <c r="M11" s="2">
        <f>+SUMIFS('Movimientos Reales'!$D$4:$D$1048576,'Movimientos Reales'!$E$4:$E$1048576,'Caja Real mensual '!$M$3,'Movimientos Reales'!$F$4:$F$1048576,'Caja Real mensual '!$C$11)-M14</f>
        <v>-106506595.98333335</v>
      </c>
      <c r="N11" s="437">
        <f>+SUMIFS('Movimientos Reales'!$D$4:$D$1048576,'Movimientos Reales'!$E$4:$E$1048576,'Caja Real mensual '!$N$3,'Movimientos Reales'!$F$4:$F$1048576,'Caja Real mensual '!$C$11)-N14</f>
        <v>-71123399.006666675</v>
      </c>
      <c r="O11" s="2">
        <f>+SUMIFS('Movimientos Reales'!$D$4:$D$1048576,'Movimientos Reales'!$E$4:$E$1048576,'Caja Real mensual '!$O$3,'Movimientos Reales'!$F$4:$F$1048576,'Caja Real mensual '!$C$11)-O14</f>
        <v>-104303031.86841302</v>
      </c>
      <c r="P11" s="2">
        <f>+SUMIFS('Movimientos Reales'!$D$4:$D$1048576,'Movimientos Reales'!$E$4:$E$1048576,'Caja Real mensual '!$P$3,'Movimientos Reales'!$F$4:$F$1048576,'Caja Real mensual '!$C$11)-P14</f>
        <v>-71806675.680000007</v>
      </c>
      <c r="Q11" s="534">
        <f>+SUMIFS('Movimientos Reales'!$D$4:$D$1048576,'Movimientos Reales'!$E$4:$E$1048576,'Caja Real mensual '!$Q$3,'Movimientos Reales'!$F$4:$F$1048576,'Caja Real mensual '!$C$11)-Q14</f>
        <v>-104999804.94999999</v>
      </c>
      <c r="R11" s="534">
        <f>+SUMIFS('Movimientos Reales'!$D$4:$D$1048576,'Movimientos Reales'!$E$4:$E$1048576,'Caja Real mensual '!$R$3,'Movimientos Reales'!$F$4:$F$1048576,'Caja Real mensual '!$C$11)-R14</f>
        <v>-148871077.12999997</v>
      </c>
      <c r="S11" s="534">
        <f>+SUMIFS('Movimientos Reales'!$D$4:$D$1048576,'Movimientos Reales'!$E$4:$E$1048576,'Caja Real mensual '!$S$3,'Movimientos Reales'!$F$4:$F$1048576,'Caja Real mensual '!$C$11)-S14</f>
        <v>-223979867.77220231</v>
      </c>
      <c r="T11" s="534">
        <f>+SUMIFS('Movimientos Reales'!$D$4:$D$1048576,'Movimientos Reales'!$E$4:$E$1048576,'Caja Real mensual '!$T$3,'Movimientos Reales'!$F$4:$F$1048576,'Caja Real mensual '!$C$11)-T14</f>
        <v>-2002390</v>
      </c>
    </row>
    <row r="12" spans="2:20" ht="15.75" customHeight="1">
      <c r="C12" s="14"/>
      <c r="D12" s="14"/>
      <c r="E12" s="11" t="s">
        <v>8084</v>
      </c>
      <c r="F12" s="12"/>
      <c r="G12" s="11"/>
      <c r="H12" s="12">
        <f>+SUMIFS('Gastos Bancarios'!$E$5:$E$1048576,'Gastos Bancarios'!F5:$F$1048576,'Caja Real mensual '!H3)</f>
        <v>-6268097.4400000004</v>
      </c>
      <c r="I12" s="12">
        <f>+SUMIFS('Gastos Bancarios'!$E$5:$E$1048576,'Gastos Bancarios'!$F$5:$F$1048576,'Caja Real mensual '!I3)</f>
        <v>-1749004.37</v>
      </c>
      <c r="J12" s="12">
        <f>+SUMIFS('Gastos Bancarios'!$E$5:$E$1048576,'Gastos Bancarios'!$F$5:$F$1048576,'Caja Real mensual '!J3)</f>
        <v>-1443014.4000000004</v>
      </c>
      <c r="K12" s="12">
        <f>+SUMIFS('Gastos Bancarios'!$E$5:$E$1048576,'Gastos Bancarios'!$F$5:$F$1048576,'Caja Real mensual '!K3)</f>
        <v>-2800924.8499999996</v>
      </c>
      <c r="L12" s="12">
        <f>+SUMIFS('Gastos Bancarios'!$E$5:$E$1048576,'Gastos Bancarios'!$F$5:$F$1048576,'Caja Real mensual '!L3)</f>
        <v>-2085578.3133547639</v>
      </c>
      <c r="M12" s="12">
        <f>+SUMIFS('Gastos Bancarios'!$E$5:$E$1048576,'Gastos Bancarios'!$F$5:$F$1048576,'Caja Real mensual '!M3)</f>
        <v>-3843374.6074465653</v>
      </c>
      <c r="N12" s="12">
        <f>+SUMIFS('Gastos Bancarios'!$E$5:$E$1048576,'Gastos Bancarios'!$F$5:$F$1048576,'Caja Real mensual '!N3)</f>
        <v>-5982208.4000000004</v>
      </c>
      <c r="O12" s="12">
        <f>+SUMIFS('Gastos Bancarios'!$E$5:$E$1048576,'Gastos Bancarios'!$F$5:$F$1048576,'Caja Real mensual '!O3)</f>
        <v>-5898404.4700000007</v>
      </c>
      <c r="P12" s="12">
        <f>+SUMIFS('Gastos Bancarios'!$E$5:$E$1048576,'Gastos Bancarios'!$F$5:$F$1048576,'Caja Real mensual '!P3)</f>
        <v>-6100393.1099999994</v>
      </c>
      <c r="Q12" s="535">
        <f>+SUMIFS('Gastos Bancarios'!$E$5:$E$1048576,'Gastos Bancarios'!$F$5:$F$1048576,'Caja Real mensual '!Q3)</f>
        <v>-11262511.02</v>
      </c>
      <c r="R12" s="535">
        <f>+SUMIFS('Gastos Bancarios'!$E$5:$E$1048576,'Gastos Bancarios'!$F$5:$F$1048576,'Caja Real mensual '!R3)</f>
        <v>-11563053.790000001</v>
      </c>
      <c r="S12" s="535">
        <f>+SUMIFS('Gastos Bancarios'!$E$5:$E$1048576,'Gastos Bancarios'!$F$5:$F$1048576,'Caja Real mensual '!S3)</f>
        <v>-12247399.920000002</v>
      </c>
      <c r="T12" s="535">
        <f>+SUMIFS('Gastos Bancarios'!$E$5:$E$1048576,'Gastos Bancarios'!$F$5:$F$1048576,'Caja Real mensual '!T3)</f>
        <v>-254858.26</v>
      </c>
    </row>
    <row r="13" spans="2:20" ht="15.75" customHeight="1">
      <c r="C13" s="14" t="s">
        <v>118</v>
      </c>
      <c r="D13" s="14"/>
      <c r="E13" s="11" t="s">
        <v>8085</v>
      </c>
      <c r="F13" s="12"/>
      <c r="G13" s="11"/>
      <c r="H13" s="2">
        <f>+SUMIFS('Movimientos Reales'!$D$4:$D$1048576,'Movimientos Reales'!$E$4:$E$1048576,'Caja Real mensual '!$H$3,'Movimientos Reales'!$F$4:$F$1048576,'Caja Real mensual '!$C$13)</f>
        <v>-13477138.120000001</v>
      </c>
      <c r="I13" s="2">
        <f>+SUMIFS('Movimientos Reales'!$D$4:$D$1048576,'Movimientos Reales'!$E$4:$E$1048576,'Caja Real mensual '!$I$3,'Movimientos Reales'!$F$4:$F$1048576,'Caja Real mensual '!$C$13)</f>
        <v>-6408071.6000000006</v>
      </c>
      <c r="J13" s="2">
        <f>+SUMIFS('Movimientos Reales'!$D$4:$D$1048576,'Movimientos Reales'!$E$4:$E$1048576,'Caja Real mensual '!$J$3,'Movimientos Reales'!$F$4:$F$1048576,'Caja Real mensual '!$C$13)</f>
        <v>-8556729.8000000007</v>
      </c>
      <c r="K13" s="2">
        <f>+SUMIFS('Movimientos Reales'!$D$4:$D$1048576,'Movimientos Reales'!$E$4:$E$1048576,'Caja Real mensual '!$K$3,'Movimientos Reales'!$F$4:$F$1048576,'Caja Real mensual '!$C$13)</f>
        <v>-10196800.860000001</v>
      </c>
      <c r="L13" s="2">
        <f>+SUMIFS('Movimientos Reales'!$D$4:$D$1048576,'Movimientos Reales'!$E$4:$E$1048576,'Caja Real mensual '!$L$3,'Movimientos Reales'!$F$4:$F$1048576,'Caja Real mensual '!$C$13)</f>
        <v>-5177994</v>
      </c>
      <c r="M13" s="2">
        <f>+SUMIFS('Movimientos Reales'!$D$4:$D$1048576,'Movimientos Reales'!$E$4:$E$1048576,'Caja Real mensual '!$M$3,'Movimientos Reales'!$F$4:$F$1048576,'Caja Real mensual '!$C$13)</f>
        <v>-9933064.25</v>
      </c>
      <c r="N13" s="2">
        <f>+SUMIFS('Movimientos Reales'!$D$4:$D$1048576,'Movimientos Reales'!$E$4:$E$1048576,'Caja Real mensual '!$N$3,'Movimientos Reales'!$F$4:$F$1048576,'Caja Real mensual '!$C$13)</f>
        <v>-13293831.76</v>
      </c>
      <c r="O13" s="2">
        <f>+SUMIFS('Movimientos Reales'!$D$4:$D$1048576,'Movimientos Reales'!$E$4:$E$1048576,'Caja Real mensual '!$O$3,'Movimientos Reales'!$F$4:$F$1048576,'Caja Real mensual '!$C$13)</f>
        <v>-11148383.940000001</v>
      </c>
      <c r="P13" s="2">
        <f>+SUMIFS('Movimientos Reales'!$D$4:$D$1048576,'Movimientos Reales'!$E$4:$E$1048576,'Caja Real mensual '!$P$3,'Movimientos Reales'!$F$4:$F$1048576,'Caja Real mensual '!$C$13)</f>
        <v>-10817296</v>
      </c>
      <c r="Q13" s="534">
        <f>+SUMIFS('Movimientos Reales'!$D$4:$D$1048576,'Movimientos Reales'!$E$4:$E$1048576,'Caja Real mensual '!$Q$3,'Movimientos Reales'!$F$4:$F$1048576,'Caja Real mensual '!$C$13)</f>
        <v>-13073777</v>
      </c>
      <c r="R13" s="534">
        <f>+SUMIFS('Movimientos Reales'!$D$4:$D$1048576,'Movimientos Reales'!$E$4:$E$1048576,'Caja Real mensual '!$R$3,'Movimientos Reales'!$F$4:$F$1048576,'Caja Real mensual '!$C$13)</f>
        <v>-1231975</v>
      </c>
      <c r="S13" s="534">
        <f>+SUMIFS('Movimientos Reales'!$D$4:$D$1048576,'Movimientos Reales'!$E$4:$E$1048576,'Caja Real mensual '!$S$3,'Movimientos Reales'!$F$4:$F$1048576,'Caja Real mensual '!$C$13)</f>
        <v>-599012</v>
      </c>
      <c r="T13" s="534">
        <f>+SUMIFS('Movimientos Reales'!$D$4:$D$1048576,'Movimientos Reales'!$E$4:$E$1048576,'Caja Real mensual '!$T$3,'Movimientos Reales'!$F$4:$F$1048576,'Caja Real mensual '!$C$13)</f>
        <v>-3324414</v>
      </c>
    </row>
    <row r="14" spans="2:20" ht="15.75" customHeight="1">
      <c r="B14" s="6" t="s">
        <v>130</v>
      </c>
      <c r="C14" s="14" t="s">
        <v>257</v>
      </c>
      <c r="D14" s="14"/>
      <c r="E14" s="11" t="s">
        <v>8086</v>
      </c>
      <c r="F14" s="12"/>
      <c r="G14" s="11"/>
      <c r="H14" s="2">
        <f>+SUMIFS('Movimientos Reales'!$D$4:$D$1048576,'Movimientos Reales'!$E$4:$E$1048576,'Caja Real mensual '!$H$3,'Movimientos Reales'!$F$4:$F$1048576,'Caja Real mensual '!$B$14,'Movimientos Reales'!$G$4:$G$1048576,'Caja Real mensual '!$C$14)</f>
        <v>-3709121</v>
      </c>
      <c r="I14" s="2">
        <f>+SUMIFS('Movimientos Reales'!$D$4:$D$1048576,'Movimientos Reales'!$E$4:$E$1048576,'Caja Real mensual '!$I$3,'Movimientos Reales'!$F$4:$F$1048576,'Caja Real mensual '!$B$14,'Movimientos Reales'!$G$4:$G$1048576,'Caja Real mensual '!$C$14)</f>
        <v>-14162947.666666668</v>
      </c>
      <c r="J14" s="2">
        <f>+SUMIFS('Movimientos Reales'!$D$4:$D$1048576,'Movimientos Reales'!$E$4:$E$1048576,'Caja Real mensual '!$J$3,'Movimientos Reales'!$F$4:$F$1048576,'Caja Real mensual '!$B$14,'Movimientos Reales'!$G$4:$G$1048576,'Caja Real mensual '!$C$14)</f>
        <v>-18072157.194681048</v>
      </c>
      <c r="K14" s="2">
        <f>+SUMIFS('Movimientos Reales'!$D$4:$D$1048576,'Movimientos Reales'!$E$4:$E$1048576,'Caja Real mensual '!$K$3,'Movimientos Reales'!$F$4:$F$1048576,'Caja Real mensual '!$B$14,'Movimientos Reales'!$G$4:$G$1048576,'Caja Real mensual '!$C$14)</f>
        <v>-21359195.539999999</v>
      </c>
      <c r="L14" s="2">
        <f>+SUMIFS('Movimientos Reales'!$D$4:$D$1048576,'Movimientos Reales'!$E$4:$E$1048576,'Caja Real mensual '!$L$3,'Movimientos Reales'!$F$4:$F$1048576,'Caja Real mensual '!$B$14,'Movimientos Reales'!$G$4:$G$1048576,'Caja Real mensual '!$C$14)</f>
        <v>-28956215.849999994</v>
      </c>
      <c r="M14" s="2">
        <f>+SUMIFS('Movimientos Reales'!$D$4:$D$1048576,'Movimientos Reales'!$E$4:$E$1048576,'Caja Real mensual '!$M$3,'Movimientos Reales'!$F$4:$F$1048576,'Caja Real mensual '!$B$14,'Movimientos Reales'!$G$4:$G$1048576,'Caja Real mensual '!$C$14)</f>
        <v>-12841980.689999999</v>
      </c>
      <c r="N14" s="437">
        <f>+SUMIFS('Movimientos Reales'!$D$4:$D$1048576,'Movimientos Reales'!$E$4:$E$1048576,'Caja Real mensual '!$N$3,'Movimientos Reales'!$F$4:$F$1048576,'Caja Real mensual '!$B$14,'Movimientos Reales'!$G$4:$G$1048576,'Caja Real mensual '!$C$14)</f>
        <v>-26134125.887199998</v>
      </c>
      <c r="O14" s="2">
        <f>+SUMIFS('Movimientos Reales'!$D$4:$D$1048576,'Movimientos Reales'!$E$4:$E$1048576,'Caja Real mensual '!$O$3,'Movimientos Reales'!$F$4:$F$1048576,'Caja Real mensual '!$B$14,'Movimientos Reales'!$G$4:$G$1048576,'Caja Real mensual '!$C$14)</f>
        <v>-22270837.826491665</v>
      </c>
      <c r="P14" s="2">
        <f>+SUMIFS('Movimientos Reales'!$D$4:$D$1048576,'Movimientos Reales'!$E$4:$E$1048576,'Caja Real mensual '!$P$3,'Movimientos Reales'!$F$4:$F$1048576,'Caja Real mensual '!$B$14,'Movimientos Reales'!$G$4:$G$1048576,'Caja Real mensual '!$C$14)</f>
        <v>-25548565.309275001</v>
      </c>
      <c r="Q14" s="534">
        <f>+SUMIFS('Movimientos Reales'!$D$4:$D$1048576,'Movimientos Reales'!$E$4:$E$1048576,'Caja Real mensual '!$Q$3,'Movimientos Reales'!$F$4:$F$1048576,'Caja Real mensual '!$B$14,'Movimientos Reales'!$G$4:$G$1048576,'Caja Real mensual '!$C$14)</f>
        <v>-55712571</v>
      </c>
      <c r="R14" s="534">
        <f>+SUMIFS('Movimientos Reales'!$D$4:$D$1048576,'Movimientos Reales'!$E$4:$E$1048576,'Caja Real mensual '!$R$3,'Movimientos Reales'!$F$4:$F$1048576,'Caja Real mensual '!$B$14,'Movimientos Reales'!$G$4:$G$1048576,'Caja Real mensual '!$C$14)</f>
        <v>-32210741.68</v>
      </c>
      <c r="S14" s="534">
        <f>+SUMIFS('Movimientos Reales'!$D$4:$D$1048576,'Movimientos Reales'!$E$4:$E$1048576,'Caja Real mensual '!$S$3,'Movimientos Reales'!$F$4:$F$1048576,'Caja Real mensual '!$B$14,'Movimientos Reales'!$G$4:$G$1048576,'Caja Real mensual '!$C$14)</f>
        <v>-51285358.531600006</v>
      </c>
      <c r="T14" s="534">
        <f>+SUMIFS('Movimientos Reales'!$D$4:$D$1048576,'Movimientos Reales'!$E$4:$E$1048576,'Caja Real mensual '!$T$3,'Movimientos Reales'!$F$4:$F$1048576,'Caja Real mensual '!$B$14,'Movimientos Reales'!$G$4:$G$1048576,'Caja Real mensual '!$C$14)</f>
        <v>-6106046</v>
      </c>
    </row>
    <row r="15" spans="2:20" ht="15.75" customHeight="1">
      <c r="C15" s="1"/>
      <c r="D15" s="1"/>
      <c r="E15" s="15" t="s">
        <v>8087</v>
      </c>
      <c r="F15" s="16"/>
      <c r="G15" s="17"/>
      <c r="H15" s="18">
        <f t="shared" ref="H15:L15" si="2">+SUM(H10:H14)</f>
        <v>-81490639.819999993</v>
      </c>
      <c r="I15" s="18">
        <f t="shared" si="2"/>
        <v>-114887686.40007092</v>
      </c>
      <c r="J15" s="18">
        <f t="shared" si="2"/>
        <v>-70437332.792198777</v>
      </c>
      <c r="K15" s="18">
        <f t="shared" si="2"/>
        <v>-49910474.160000004</v>
      </c>
      <c r="L15" s="18">
        <f t="shared" si="2"/>
        <v>-91846150.276312217</v>
      </c>
      <c r="M15" s="18">
        <f t="shared" ref="M15:S15" si="3">+SUM(M10:M14)</f>
        <v>-83315006.800779909</v>
      </c>
      <c r="N15" s="18">
        <f t="shared" si="3"/>
        <v>-114050630.05386668</v>
      </c>
      <c r="O15" s="18">
        <f t="shared" si="3"/>
        <v>-97945900.651571348</v>
      </c>
      <c r="P15" s="18">
        <f t="shared" si="3"/>
        <v>-70381453.645941675</v>
      </c>
      <c r="Q15" s="18">
        <f t="shared" si="3"/>
        <v>-180713567.60999998</v>
      </c>
      <c r="R15" s="18">
        <f t="shared" si="3"/>
        <v>-144126915.31999996</v>
      </c>
      <c r="S15" s="18">
        <f t="shared" si="3"/>
        <v>-216426002.48380232</v>
      </c>
      <c r="T15" s="18">
        <f>+SUM(T10:T14)</f>
        <v>-11687708.26</v>
      </c>
    </row>
    <row r="16" spans="2:20" ht="15.75" customHeight="1">
      <c r="C16" s="1"/>
      <c r="D16" s="1"/>
      <c r="E16" s="11" t="s">
        <v>8088</v>
      </c>
      <c r="F16" s="12"/>
      <c r="G16" s="11"/>
      <c r="H16" s="21"/>
      <c r="I16" s="21"/>
      <c r="J16" s="21"/>
      <c r="K16" s="21"/>
      <c r="L16" s="21"/>
      <c r="M16" s="21"/>
    </row>
    <row r="17" spans="1:21" ht="15.75" customHeight="1">
      <c r="C17" s="1" t="s">
        <v>1974</v>
      </c>
      <c r="D17" s="1"/>
      <c r="E17" s="11" t="s">
        <v>8089</v>
      </c>
      <c r="F17" s="12"/>
      <c r="G17" s="11"/>
      <c r="H17" s="21"/>
      <c r="I17" s="21"/>
      <c r="J17" s="21"/>
      <c r="K17" s="2">
        <f>+SUMIFS('Movimientos Reales'!$D$4:$D$1048576,'Movimientos Reales'!$E$4:$E$1048576,'Caja Real mensual '!$K$3,'Movimientos Reales'!$F$4:$F$1048576,'Caja Real mensual '!$C$17)</f>
        <v>-13499000</v>
      </c>
      <c r="L17" s="21"/>
      <c r="M17" s="21"/>
    </row>
    <row r="18" spans="1:21" ht="15.75" customHeight="1">
      <c r="C18" s="1"/>
      <c r="D18" s="1"/>
      <c r="E18" s="11" t="s">
        <v>8090</v>
      </c>
      <c r="F18" s="12"/>
      <c r="G18" s="11"/>
      <c r="H18" s="21"/>
      <c r="I18" s="21"/>
      <c r="J18" s="21"/>
      <c r="K18" s="21"/>
      <c r="L18" s="21"/>
      <c r="M18" s="21"/>
    </row>
    <row r="19" spans="1:21" ht="15.75" customHeight="1">
      <c r="C19" s="14"/>
      <c r="D19" s="14"/>
      <c r="E19" s="15" t="s">
        <v>8091</v>
      </c>
      <c r="F19" s="16"/>
      <c r="G19" s="17"/>
      <c r="H19" s="18">
        <f t="shared" ref="H19:L19" si="4">+SUM(H15:H18)</f>
        <v>-81490639.819999993</v>
      </c>
      <c r="I19" s="18">
        <f t="shared" si="4"/>
        <v>-114887686.40007092</v>
      </c>
      <c r="J19" s="18">
        <f t="shared" si="4"/>
        <v>-70437332.792198777</v>
      </c>
      <c r="K19" s="18">
        <f t="shared" si="4"/>
        <v>-63409474.160000004</v>
      </c>
      <c r="L19" s="18">
        <f t="shared" si="4"/>
        <v>-91846150.276312217</v>
      </c>
      <c r="M19" s="18">
        <f t="shared" ref="M19:S19" si="5">+SUM(M15:M18)</f>
        <v>-83315006.800779909</v>
      </c>
      <c r="N19" s="18">
        <f t="shared" si="5"/>
        <v>-114050630.05386668</v>
      </c>
      <c r="O19" s="18">
        <f t="shared" si="5"/>
        <v>-97945900.651571348</v>
      </c>
      <c r="P19" s="18">
        <f t="shared" si="5"/>
        <v>-70381453.645941675</v>
      </c>
      <c r="Q19" s="18">
        <f t="shared" si="5"/>
        <v>-180713567.60999998</v>
      </c>
      <c r="R19" s="18">
        <f t="shared" si="5"/>
        <v>-144126915.31999996</v>
      </c>
      <c r="S19" s="18">
        <f t="shared" si="5"/>
        <v>-216426002.48380232</v>
      </c>
      <c r="T19" s="18">
        <f>+SUM(T15:T18)</f>
        <v>-11687708.26</v>
      </c>
    </row>
    <row r="20" spans="1:21" ht="15.75" customHeight="1">
      <c r="C20" s="14"/>
      <c r="D20" s="14"/>
      <c r="E20" s="11" t="s">
        <v>8092</v>
      </c>
      <c r="F20" s="12"/>
      <c r="G20" s="11"/>
      <c r="H20" s="13"/>
      <c r="I20" s="13"/>
      <c r="J20" s="13"/>
      <c r="K20" s="13"/>
      <c r="L20" s="13"/>
    </row>
    <row r="21" spans="1:21" ht="15.75" customHeight="1">
      <c r="C21" s="14"/>
      <c r="D21" s="14"/>
      <c r="E21" s="22" t="s">
        <v>8093</v>
      </c>
      <c r="F21" s="16"/>
      <c r="G21" s="17"/>
      <c r="H21" s="18">
        <f t="shared" ref="H21:L21" si="6">H19+H20</f>
        <v>-81490639.819999993</v>
      </c>
      <c r="I21" s="18">
        <f t="shared" si="6"/>
        <v>-114887686.40007092</v>
      </c>
      <c r="J21" s="18">
        <f t="shared" si="6"/>
        <v>-70437332.792198777</v>
      </c>
      <c r="K21" s="18">
        <f t="shared" si="6"/>
        <v>-63409474.160000004</v>
      </c>
      <c r="L21" s="18">
        <f t="shared" si="6"/>
        <v>-91846150.276312217</v>
      </c>
      <c r="M21" s="18">
        <f t="shared" ref="M21:S21" si="7">M19+M20</f>
        <v>-83315006.800779909</v>
      </c>
      <c r="N21" s="18">
        <f t="shared" si="7"/>
        <v>-114050630.05386668</v>
      </c>
      <c r="O21" s="18">
        <f t="shared" si="7"/>
        <v>-97945900.651571348</v>
      </c>
      <c r="P21" s="18">
        <f t="shared" si="7"/>
        <v>-70381453.645941675</v>
      </c>
      <c r="Q21" s="18">
        <f t="shared" si="7"/>
        <v>-180713567.60999998</v>
      </c>
      <c r="R21" s="18">
        <f t="shared" si="7"/>
        <v>-144126915.31999996</v>
      </c>
      <c r="S21" s="18">
        <f t="shared" si="7"/>
        <v>-216426002.48380232</v>
      </c>
      <c r="T21" s="18">
        <f>T19+T20</f>
        <v>-11687708.26</v>
      </c>
      <c r="U21" s="13"/>
    </row>
    <row r="22" spans="1:21" ht="15.75" customHeight="1">
      <c r="C22" s="411" t="s">
        <v>2986</v>
      </c>
      <c r="D22" s="14"/>
      <c r="E22" s="11" t="s">
        <v>8094</v>
      </c>
      <c r="F22" s="490"/>
      <c r="G22" s="17"/>
      <c r="H22" s="2">
        <f>+SUMIFS('Movimientos Reales'!$D$4:$D$1048576,'Movimientos Reales'!$E$4:$E$1048576,'Caja Real mensual '!$H$3,'Movimientos Reales'!$F$4:$F$1048576,'Caja Real mensual '!$C$22)</f>
        <v>0</v>
      </c>
      <c r="I22" s="2">
        <f>+SUMIFS('Movimientos Reales'!$D$4:$D$1048576,'Movimientos Reales'!$E$4:$E$1048576,'Caja Real mensual '!$H$3,'Movimientos Reales'!$F$4:$F$1048576,'Caja Real mensual '!$C$22)</f>
        <v>0</v>
      </c>
      <c r="J22" s="2">
        <f>+SUMIFS('Movimientos Reales'!$D$4:$D$1048576,'Movimientos Reales'!$E$4:$E$1048576,'Caja Real mensual '!$H$3,'Movimientos Reales'!$F$4:$F$1048576,'Caja Real mensual '!$C$22)</f>
        <v>0</v>
      </c>
      <c r="K22" s="2">
        <f>+SUMIFS('Movimientos Reales'!$D$4:$D$1048576,'Movimientos Reales'!$E$4:$E$1048576,'Caja Real mensual '!$H$3,'Movimientos Reales'!$F$4:$F$1048576,'Caja Real mensual '!$C$22)</f>
        <v>0</v>
      </c>
      <c r="L22" s="2">
        <f>+SUMIFS('Movimientos Reales'!$D$4:$D$1048576,'Movimientos Reales'!$E$4:$E$1048576,'Caja Real mensual '!$H$3,'Movimientos Reales'!$F$4:$F$1048576,'Caja Real mensual '!$C$22)</f>
        <v>0</v>
      </c>
      <c r="M22" s="2">
        <f>+SUMIFS('Movimientos Reales'!$D$4:$D$1048576,'Movimientos Reales'!$E$4:$E$1048576,'Caja Real mensual '!$M$3,'Movimientos Reales'!$F$4:$F$1048576,'Caja Real mensual '!$C$22)</f>
        <v>-32092599</v>
      </c>
      <c r="N22" s="2">
        <f>+SUMIFS('Movimientos Reales'!$D$4:$D$1048576,'Movimientos Reales'!$E$4:$E$1048576,'Caja Real mensual '!$N$3,'Movimientos Reales'!$F$4:$F$1048576,'Caja Real mensual '!$C$22)</f>
        <v>-176166643</v>
      </c>
      <c r="O22" s="2">
        <f>+SUMIFS('Movimientos Reales'!$D$4:$D$1048576,'Movimientos Reales'!$E$4:$E$1048576,'Caja Real mensual '!$O$3,'Movimientos Reales'!$F$4:$F$1048576,'Caja Real mensual '!$C$22)</f>
        <v>-80894527</v>
      </c>
      <c r="P22" s="2">
        <f>+SUMIFS('Movimientos Reales'!$D$4:$D$1048576,'Movimientos Reales'!$E$4:$E$1048576,'Caja Real mensual '!$P$3,'Movimientos Reales'!$F$4:$F$1048576,'Caja Real mensual '!$C$22)</f>
        <v>-70787637</v>
      </c>
      <c r="Q22" s="2">
        <f>+SUMIFS('Movimientos Reales'!$D$4:$D$1048576,'Movimientos Reales'!$E$4:$E$1048576,'Caja Real mensual '!$Q$3,'Movimientos Reales'!$F$4:$F$1048576,'Caja Real mensual '!$C$22)</f>
        <v>-208887974</v>
      </c>
      <c r="R22" s="2">
        <f>+SUMIFS('Movimientos Reales'!$D$4:$D$1048576,'Movimientos Reales'!$E$4:$E$1048576,'Caja Real mensual '!$R$3,'Movimientos Reales'!$F$4:$F$1048576,'Caja Real mensual '!$C$22)</f>
        <v>-40300869</v>
      </c>
      <c r="S22" s="2">
        <f>+SUMIFS('Movimientos Reales'!$D$4:$D$1048576,'Movimientos Reales'!$E$4:$E$1048576,'Caja Real mensual '!$S$3,'Movimientos Reales'!$F$4:$F$1048576,'Caja Real mensual '!$C$22)</f>
        <v>0</v>
      </c>
      <c r="T22" s="2">
        <f>+SUMIFS('Movimientos Reales'!$D$4:$D$1048576,'Movimientos Reales'!$E$4:$E$1048576,'Caja Real mensual '!$T$3,'Movimientos Reales'!$F$4:$F$1048576,'Caja Real mensual '!$C$22)</f>
        <v>0</v>
      </c>
      <c r="U22" s="13"/>
    </row>
    <row r="23" spans="1:21" ht="15.75" customHeight="1">
      <c r="C23" s="503" t="s">
        <v>4859</v>
      </c>
      <c r="D23" s="14"/>
      <c r="E23" s="11" t="s">
        <v>8095</v>
      </c>
      <c r="F23" s="490"/>
      <c r="G23" s="17"/>
      <c r="H23" s="2"/>
      <c r="I23" s="2"/>
      <c r="J23" s="2"/>
      <c r="K23" s="2"/>
      <c r="L23" s="2"/>
      <c r="M23" s="2"/>
      <c r="N23" s="2"/>
      <c r="O23" s="2">
        <f>+SUMIFS('Movimientos Reales'!$D$4:$D$1048576,'Movimientos Reales'!$E$4:$E$1048576,'Caja Real mensual '!$O$3,'Movimientos Reales'!$F$4:$F$1048576,'Caja Real mensual '!$C$23)</f>
        <v>0</v>
      </c>
      <c r="P23" s="2">
        <f>+SUMIFS('Movimientos Reales'!$D$4:$D$1048576,'Movimientos Reales'!$E$4:$E$1048576,'Caja Real mensual '!$P$3,'Movimientos Reales'!$F$4:$F$1048576,'Caja Real mensual '!$C$23)</f>
        <v>-217000000</v>
      </c>
      <c r="Q23" s="534">
        <f>+SUMIFS('Movimientos Reales'!$D$4:$D$1048576,'Movimientos Reales'!$E$4:$E$1048576,'Caja Real mensual '!$Q$3,'Movimientos Reales'!$F$4:$F$1048576,'Caja Real mensual '!$C$23)</f>
        <v>-325500000</v>
      </c>
      <c r="R23" s="534">
        <f>+SUMIFS('Movimientos Reales'!$D$4:$D$1048576,'Movimientos Reales'!$E$4:$E$1048576,'Caja Real mensual '!$R$3,'Movimientos Reales'!$F$4:$F$1048576,'Caja Real mensual '!$C$23)</f>
        <v>-325500000</v>
      </c>
      <c r="S23" s="534">
        <f>+SUMIFS('Movimientos Reales'!$D$4:$D$1048576,'Movimientos Reales'!$E$4:$E$1048576,'Caja Real mensual '!$S$3,'Movimientos Reales'!$F$4:$F$1048576,'Caja Real mensual '!$C$23)</f>
        <v>-108500000</v>
      </c>
      <c r="T23" s="534">
        <f>+SUMIFS('Movimientos Reales'!$D$4:$D$1048576,'Movimientos Reales'!$E$4:$E$1048576,'Caja Real mensual '!$T$3,'Movimientos Reales'!$F$4:$F$1048576,'Caja Real mensual '!$C$23)</f>
        <v>0</v>
      </c>
      <c r="U23" s="13"/>
    </row>
    <row r="24" spans="1:21" ht="15.75" customHeight="1">
      <c r="C24" s="503" t="s">
        <v>6974</v>
      </c>
      <c r="D24" s="14"/>
      <c r="E24" s="11" t="s">
        <v>8096</v>
      </c>
      <c r="F24" s="490"/>
      <c r="G24" s="17"/>
      <c r="H24" s="2"/>
      <c r="I24" s="2"/>
      <c r="J24" s="2"/>
      <c r="K24" s="2"/>
      <c r="L24" s="2"/>
      <c r="M24" s="2"/>
      <c r="N24" s="2"/>
      <c r="O24" s="2">
        <f>+SUMIFS('Movimientos Reales'!$D$4:$D$1048576,'Movimientos Reales'!$E$4:$E$1048576,'Caja Real mensual '!$O$3,'Movimientos Reales'!$F$4:$F$1048576,'Caja Real mensual '!$C$23)</f>
        <v>0</v>
      </c>
      <c r="P24" s="2">
        <f>+SUMIFS('Movimientos Reales'!$D$4:$D$1048576,'Movimientos Reales'!$E$4:$E$1048576,'Caja Real mensual '!$P$3,'Movimientos Reales'!$F$4:$F$1048576,'Caja Real mensual '!$C$24)</f>
        <v>0</v>
      </c>
      <c r="Q24" s="534">
        <f>+SUMIFS('Movimientos Reales'!$D$4:$D$1048576,'Movimientos Reales'!$E$4:$E$1048576,'Caja Real mensual '!$Q$3,'Movimientos Reales'!$F$4:$F$1048576,'Caja Real mensual '!$C$24)</f>
        <v>-208000000</v>
      </c>
      <c r="R24" s="534">
        <f>+SUMIFS('Movimientos Reales'!$D$4:$D$1048576,'Movimientos Reales'!$E$4:$E$1048576,'Caja Real mensual '!$R$3,'Movimientos Reales'!$F$4:$F$1048576,'Caja Real mensual '!$C$24)</f>
        <v>-104000000</v>
      </c>
      <c r="S24" s="534">
        <f>+SUMIFS('Movimientos Reales'!$D$4:$D$1048576,'Movimientos Reales'!$E$4:$E$1048576,'Caja Real mensual '!$S$3,'Movimientos Reales'!$F$4:$F$1048576,'Caja Real mensual '!$C$24)</f>
        <v>-212500000</v>
      </c>
      <c r="T24" s="534">
        <f>+SUMIFS('Movimientos Reales'!$D$4:$D$1048576,'Movimientos Reales'!$E$4:$E$1048576,'Caja Real mensual '!$T$3,'Movimientos Reales'!$F$4:$F$1048576,'Caja Real mensual '!$C$24)</f>
        <v>0</v>
      </c>
      <c r="U24" s="13"/>
    </row>
    <row r="25" spans="1:21" ht="15.75" customHeight="1">
      <c r="C25" s="332" t="s">
        <v>8097</v>
      </c>
      <c r="D25" s="14"/>
      <c r="E25" s="11" t="s">
        <v>8098</v>
      </c>
      <c r="F25" s="12"/>
      <c r="G25" s="11"/>
      <c r="H25" s="2">
        <f>+SUMIFS('Movimientos Reales'!$D$4:$D$1048576,'Movimientos Reales'!$E$4:$E$1048576,'Caja Real mensual '!$H$3,'Movimientos Reales'!$F$4:$F$1048576,'Caja Real mensual '!$C$25)</f>
        <v>-109791319.01999998</v>
      </c>
      <c r="I25" s="2">
        <f>+SUMIFS('Movimientos Reales'!$D$4:$D$1048576,'Movimientos Reales'!$E$4:$E$1048576,'Caja Real mensual '!$I$3,'Movimientos Reales'!$F$4:$F$1048576,'Caja Real mensual '!$C$25)-I26</f>
        <v>-37504888</v>
      </c>
      <c r="J25" s="2">
        <f>+SUMIFS('Movimientos Reales'!$D$4:$D$1048576,'Movimientos Reales'!$E$4:$E$1048576,'Caja Real mensual '!$J$3,'Movimientos Reales'!$F$4:$F$1048576,'Caja Real mensual '!$C$25)-J26</f>
        <v>-95852983</v>
      </c>
      <c r="K25" s="2">
        <f>+SUMIFS('Movimientos Reales'!$D$4:$D$1048576,'Movimientos Reales'!$E$4:$E$1048576,'Caja Real mensual '!$K$3,'Movimientos Reales'!$F$4:$F$1048576,'Caja Real mensual '!$C$25)-K26</f>
        <v>-41231725.799999982</v>
      </c>
      <c r="L25" s="2">
        <f>+SUMIFS('Movimientos Reales'!$D$4:$D$1048576,'Movimientos Reales'!$E$4:$E$1048576,'Caja Real mensual '!$L$3,'Movimientos Reales'!$F$4:$F$1048576,'Caja Real mensual '!$C$25)-L26</f>
        <v>-122409066.33333333</v>
      </c>
      <c r="M25" s="2">
        <f>+SUMIFS('Movimientos Reales'!$D$4:$D$1048576,'Movimientos Reales'!$E$4:$E$1048576,'Caja Real mensual '!$M$3,'Movimientos Reales'!$F$4:$F$1048576,'Caja Real mensual '!$C$25)-M26</f>
        <v>-100004762.93333332</v>
      </c>
      <c r="N25" s="2">
        <f>+SUMIFS('Movimientos Reales'!$D$4:$D$1048576,'Movimientos Reales'!$E$4:$E$1048576,'Caja Real mensual '!$N$3,'Movimientos Reales'!$F$4:$F$1048576,'Caja Real mensual '!$C$25)-N26</f>
        <v>-129533787.66671473</v>
      </c>
      <c r="O25" s="2">
        <f>+SUMIFS('Movimientos Reales'!$D$4:$D$1048576,'Movimientos Reales'!$E$4:$E$1048576,'Caja Real mensual '!$O$3,'Movimientos Reales'!$F$4:$F$1048576,'Caja Real mensual '!$C$25)-O26</f>
        <v>-247041281.90936089</v>
      </c>
      <c r="P25" s="2">
        <f>+SUMIFS('Movimientos Reales'!$D$4:$D$1048576,'Movimientos Reales'!$E$4:$E$1048576,'Caja Real mensual '!$P$3,'Movimientos Reales'!$F$4:$F$1048576,'Caja Real mensual '!$C$25)-P26</f>
        <v>-178049876.70733333</v>
      </c>
      <c r="Q25" s="534">
        <f>+SUMIFS('Movimientos Reales'!$D$4:$D$1048576,'Movimientos Reales'!$E$4:$E$1048576,'Caja Real mensual '!$Q$3,'Movimientos Reales'!$F$4:$F$1048576,'Caja Real mensual '!$C$25)-Q26</f>
        <v>-99878569.727333337</v>
      </c>
      <c r="R25" s="534">
        <f>+SUMIFS('Movimientos Reales'!$D$4:$D$1048576,'Movimientos Reales'!$E$4:$E$1048576,'Caja Real mensual '!$R$3,'Movimientos Reales'!$F$4:$F$1048576,'Caja Real mensual '!$C$25)-R26</f>
        <v>-202116068.49000007</v>
      </c>
      <c r="S25" s="534">
        <f>+SUMIFS('Movimientos Reales'!$D$4:$D$1048576,'Movimientos Reales'!$E$4:$E$1048576,'Caja Real mensual '!$S$3,'Movimientos Reales'!$F$4:$F$1048576,'Caja Real mensual '!$C$25)-S26</f>
        <v>-71537430.126075491</v>
      </c>
      <c r="T25" s="534">
        <f>+SUMIFS('Movimientos Reales'!$D$4:$D$1048576,'Movimientos Reales'!$E$4:$E$1048576,'Caja Real mensual '!$T$3,'Movimientos Reales'!$F$4:$F$1048576,'Caja Real mensual '!$C$25)-T26</f>
        <v>43795449.780000001</v>
      </c>
      <c r="U25" s="13"/>
    </row>
    <row r="26" spans="1:21" ht="15.75" customHeight="1">
      <c r="A26" s="92" t="s">
        <v>8097</v>
      </c>
      <c r="B26" s="92" t="s">
        <v>8099</v>
      </c>
      <c r="C26" s="338" t="s">
        <v>8100</v>
      </c>
      <c r="D26" s="1"/>
      <c r="E26" s="11" t="s">
        <v>8101</v>
      </c>
      <c r="F26" s="12"/>
      <c r="G26" s="11"/>
      <c r="H26" s="2">
        <f>+SUMIFS('Movimientos Reales'!$D$4:$D$1048576,'Movimientos Reales'!$E$4:$E$1048576,'Caja Real mensual '!$H$3,'Movimientos Reales'!$F$4:$F$1048576,'Caja Real mensual '!$A$26,'Movimientos Reales'!$H$4:$H$1048576,'Caja Real mensual '!C26)+SUMIFS('Movimientos Reales'!$D$4:$D$1048576,'Movimientos Reales'!$E$4:$E$1048576,'Caja Real mensual '!$H$3,'Movimientos Reales'!$F$4:$F$1048576,'Caja Real mensual '!$A$26,'Movimientos Reales'!$H$4:$H$1048576,'Caja Real mensual '!B26)</f>
        <v>0</v>
      </c>
      <c r="I26" s="2">
        <f>+SUMIFS('Movimientos Reales'!$D$4:$D$1048576,'Movimientos Reales'!$E$4:$E$1048576,'Caja Real mensual '!$I$3,'Movimientos Reales'!$F$4:$F$1048576,'Caja Real mensual '!$A$26,'Movimientos Reales'!$H$4:$H$1048576,'Caja Real mensual '!$C$26)+SUMIFS('Movimientos Reales'!$D$4:$D$1048576,'Movimientos Reales'!$E$4:$E$1048576,'Caja Real mensual '!$I$3,'Movimientos Reales'!$F$4:$F$1048576,'Caja Real mensual '!$A$26,'Movimientos Reales'!$H$4:$H$1048576,'Caja Real mensual '!$B$26)</f>
        <v>-9823440.085106384</v>
      </c>
      <c r="J26" s="2">
        <f>+SUMIFS('Movimientos Reales'!$D$4:$D$1048576,'Movimientos Reales'!$E$4:$E$1048576,'Caja Real mensual '!$J$3,'Movimientos Reales'!$F$4:$F$1048576,'Caja Real mensual '!$A$26,'Movimientos Reales'!$H$4:$H$1048576,'Caja Real mensual '!$C$26)+SUMIFS('Movimientos Reales'!$D$4:$D$1048576,'Movimientos Reales'!$E$4:$E$1048576,'Caja Real mensual '!$J$3,'Movimientos Reales'!$F$4:$F$1048576,'Caja Real mensual '!$A$26,'Movimientos Reales'!$H$4:$H$1048576,'Caja Real mensual '!$B$26)</f>
        <v>-16109046.940425532</v>
      </c>
      <c r="K26" s="2">
        <f>+SUMIFS('Movimientos Reales'!$D$4:$D$1048576,'Movimientos Reales'!$E$4:$E$1048576,'Caja Real mensual '!$K$3,'Movimientos Reales'!$F$4:$F$1048576,'Caja Real mensual '!$A$26,'Movimientos Reales'!$H$4:$H$1048576,'Caja Real mensual '!$C$26)+SUMIFS('Movimientos Reales'!$D$4:$D$1048576,'Movimientos Reales'!$E$4:$E$1048576,'Caja Real mensual '!$K$3,'Movimientos Reales'!$F$4:$F$1048576,'Caja Real mensual '!$A$26,'Movimientos Reales'!$H$4:$H$1048576,'Caja Real mensual '!$B$26)</f>
        <v>-20791507.93775887</v>
      </c>
      <c r="L26" s="2">
        <f>+SUMIFS('Movimientos Reales'!$D$4:$D$1048576,'Movimientos Reales'!$E$4:$E$1048576,'Caja Real mensual '!$L$3,'Movimientos Reales'!$F$4:$F$1048576,'Caja Real mensual '!$A$26,'Movimientos Reales'!$H$4:$H$1048576,'Caja Real mensual '!$C$26)+SUMIFS('Movimientos Reales'!$D$4:$D$1048576,'Movimientos Reales'!$E$4:$E$1048576,'Caja Real mensual '!$L$3,'Movimientos Reales'!$F$4:$F$1048576,'Caja Real mensual '!$A$26,'Movimientos Reales'!$H$4:$H$1048576,'Caja Real mensual '!$B$26)</f>
        <v>-9353629.6312056743</v>
      </c>
      <c r="M26" s="2">
        <f>+SUMIFS('Movimientos Reales'!$D$4:$D$1048576,'Movimientos Reales'!$E$4:$E$1048576,'Caja Real mensual '!$M$3,'Movimientos Reales'!$F$4:$F$1048576,'Caja Real mensual '!$A$26,'Movimientos Reales'!$H$4:$H$1048576,'Caja Real mensual '!$C$26)+SUMIFS('Movimientos Reales'!$D$4:$D$1048576,'Movimientos Reales'!$E$4:$E$1048576,'Caja Real mensual '!$M$3,'Movimientos Reales'!$F$4:$F$1048576,'Caja Real mensual '!$A$26,'Movimientos Reales'!$H$4:$H$1048576,'Caja Real mensual '!$B$26)</f>
        <v>-23590180</v>
      </c>
      <c r="N26" s="2">
        <f>+SUMIFS('Movimientos Reales'!$D$4:$D$1048576,'Movimientos Reales'!$E$4:$E$1048576,'Caja Real mensual '!$N$3,'Movimientos Reales'!$F$4:$F$1048576,'Caja Real mensual '!$A$26,'Movimientos Reales'!$H$4:$H$1048576,'Caja Real mensual '!$C$26)+SUMIFS('Movimientos Reales'!$D$4:$D$1048576,'Movimientos Reales'!$E$4:$E$1048576,'Caja Real mensual '!$M$3,'Movimientos Reales'!$F$4:$F$1048576,'Caja Real mensual '!$A$26,'Movimientos Reales'!$H$4:$H$1048576,'Caja Real mensual '!$B$26)</f>
        <v>-23590180</v>
      </c>
      <c r="O26" s="2">
        <f>+SUMIFS('Movimientos Reales'!$D$4:$D$1048576,'Movimientos Reales'!$E$4:$E$1048576,'Caja Real mensual '!$O$3,'Movimientos Reales'!$F$4:$F$1048576,'Caja Real mensual '!$A$26,'Movimientos Reales'!$H$4:$H$1048576,'Caja Real mensual '!$C$26)+SUMIFS('Movimientos Reales'!$D$4:$D$1048576,'Movimientos Reales'!$E$4:$E$1048576,'Caja Real mensual '!$O$3,'Movimientos Reales'!$F$4:$F$1048576,'Caja Real mensual '!$A$26,'Movimientos Reales'!$H$4:$H$1048576,'Caja Real mensual '!$B$26)</f>
        <v>-22716543.54933333</v>
      </c>
      <c r="P26" s="2">
        <f>+SUMIFS('Movimientos Reales'!$D$4:$D$1048576,'Movimientos Reales'!$E$4:$E$1048576,'Caja Real mensual '!$P$3,'Movimientos Reales'!$F$4:$F$1048576,'Caja Real mensual '!$A$26,'Movimientos Reales'!$H$4:$H$1048576,'Caja Real mensual '!$C$26)+SUMIFS('Movimientos Reales'!$D$4:$D$1048576,'Movimientos Reales'!$E$4:$E$1048576,'Caja Real mensual '!$O$3,'Movimientos Reales'!$F$4:$F$1048576,'Caja Real mensual '!$A$26,'Movimientos Reales'!$H$4:$H$1048576,'Caja Real mensual '!$B$26)</f>
        <v>-22716543.54933333</v>
      </c>
      <c r="Q26" s="534">
        <f>+SUMIFS('Movimientos Reales'!$D$4:$D$1048576,'Movimientos Reales'!$E$4:$E$1048576,'Caja Real mensual '!$Q$3,'Movimientos Reales'!$F$4:$F$1048576,'Caja Real mensual '!$A$26,'Movimientos Reales'!$H$4:$H$1048576,'Caja Real mensual '!$C$26)+SUMIFS('Movimientos Reales'!$D$4:$D$1048576,'Movimientos Reales'!$E$4:$E$1048576,'Caja Real mensual '!$P$3,'Movimientos Reales'!$F$4:$F$1048576,'Caja Real mensual '!$A$26,'Movimientos Reales'!$H$4:$H$1048576,'Caja Real mensual '!$B$26)</f>
        <v>-30047707.666666668</v>
      </c>
      <c r="R26" s="534">
        <f>+SUMIFS('Movimientos Reales'!$D$4:$D$1048576,'Movimientos Reales'!$E$4:$E$1048576,'Caja Real mensual '!$R$3,'Movimientos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S26" s="534">
        <f>+SUMIFS('Movimientos Reales'!$D$4:$D$1048576,'Movimientos Reales'!$E$4:$E$1048576,'Caja Real mensual '!$S$3,'Movimientos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T26" s="534">
        <f>+SUMIFS('Movimientos Reales'!$D$4:$D$1048576,'Movimientos Reales'!$E$4:$E$1048576,'Caja Real mensual '!$T$3,'Movimientos Reales'!$F$4:$F$1048576,'Caja Real mensual '!$A$26,'Movimientos Reales'!$H$4:$H$1048576,'Caja Real mensual '!$C$26)+SUMIFS('Movimientos Reales'!$D$4:$D$1048576,'Movimientos Reales'!$E$4:$E$1048576,'Caja Real mensual '!$Q$3,'Movimientos Reales'!$F$4:$F$1048576,'Caja Real mensual '!$A$26,'Movimientos Reales'!$H$4:$H$1048576,'Caja Real mensual '!$B$26)</f>
        <v>-43825449.780000001</v>
      </c>
      <c r="U26" s="13"/>
    </row>
    <row r="27" spans="1:21" s="6" customFormat="1" ht="15.75" customHeight="1">
      <c r="A27" s="126" t="s">
        <v>8050</v>
      </c>
      <c r="B27" s="126" t="s">
        <v>3644</v>
      </c>
      <c r="C27" s="126" t="s">
        <v>3644</v>
      </c>
      <c r="E27" s="58" t="s">
        <v>8102</v>
      </c>
      <c r="H27" s="2">
        <f>+SUMIFS('Movimientos Reales'!$D$4:$D$1048576,'Movimientos Reales'!$E$4:$E$1048576,'Caja Real mensual '!$H$3,'Movimientos Reales'!$F$4:$F$1048576,'Caja Real mensual '!#REF!,'Movimientos Reales'!$H$4:$H$1048576,'Caja Real mensual '!C27)+SUMIFS('Movimientos Reales'!$D$4:$D$1048576,'Movimientos Reales'!$E$4:$E$1048576,'Caja Real mensual '!$H$3,'Movimientos Reales'!$F$4:$F$1048576,'Caja Real mensual '!#REF!,'Movimientos Reales'!$H$4:$H$1048576,'Caja Real mensual '!B27)</f>
        <v>0</v>
      </c>
      <c r="I27" s="2">
        <f>+SUMIFS('Movimientos Reales'!$D$4:$D$1048576,'Movimientos Reales'!$E$4:$E$1048576,'Caja Real mensual '!$H$3,'Movimientos Reales'!$F$4:$F$1048576,'Caja Real mensual '!#REF!,'Movimientos Reales'!$H$4:$H$1048576,'Caja Real mensual '!D27)+SUMIFS('Movimientos Reales'!$D$4:$D$1048576,'Movimientos Reales'!$E$4:$E$1048576,'Caja Real mensual '!$H$3,'Movimientos Reales'!$F$4:$F$1048576,'Caja Real mensual '!#REF!,'Movimientos Reales'!$H$4:$H$1048576,'Caja Real mensual '!C27)</f>
        <v>0</v>
      </c>
      <c r="J27" s="2">
        <f>+SUMIFS('Movimientos Reales'!$D$4:$D$1048576,'Movimientos Reales'!$E$4:$E$1048576,'Caja Real mensual '!$H$3,'Movimientos Reales'!$F$4:$F$1048576,'Caja Real mensual '!#REF!,'Movimientos Reales'!$H$4:$H$1048576,'Caja Real mensual '!E27)+SUMIFS('Movimientos Reales'!$D$4:$D$1048576,'Movimientos Reales'!$E$4:$E$1048576,'Caja Real mensual '!$H$3,'Movimientos Reales'!$F$4:$F$1048576,'Caja Real mensual '!#REF!,'Movimientos Reales'!$H$4:$H$1048576,'Caja Real mensual '!D27)</f>
        <v>0</v>
      </c>
      <c r="K27" s="2">
        <f>+SUMIFS('Movimientos Reales'!$D$4:$D$1048576,'Movimientos Reales'!$E$4:$E$1048576,'Caja Real mensual '!$H$3,'Movimientos Reales'!$F$4:$F$1048576,'Caja Real mensual '!#REF!,'Movimientos Reales'!$H$4:$H$1048576,'Caja Real mensual '!F27)+SUMIFS('Movimientos Reales'!$D$4:$D$1048576,'Movimientos Reales'!$E$4:$E$1048576,'Caja Real mensual '!$H$3,'Movimientos Reales'!$F$4:$F$1048576,'Caja Real mensual '!#REF!,'Movimientos Reales'!$H$4:$H$1048576,'Caja Real mensual '!E27)</f>
        <v>0</v>
      </c>
      <c r="L27" s="2">
        <f>+SUMIFS('Movimientos Reales'!$D$4:$D$1048576,'Movimientos Reales'!$E$4:$E$1048576,'Caja Real mensual '!$H$3,'Movimientos Reales'!$F$4:$F$1048576,'Caja Real mensual '!#REF!,'Movimientos Reales'!$H$4:$H$1048576,'Caja Real mensual '!G27)+SUMIFS('Movimientos Reales'!$D$4:$D$1048576,'Movimientos Reales'!$E$4:$E$1048576,'Caja Real mensual '!$H$3,'Movimientos Reales'!$F$4:$F$1048576,'Caja Real mensual '!#REF!,'Movimientos Reales'!$H$4:$H$1048576,'Caja Real mensual '!F27)</f>
        <v>0</v>
      </c>
      <c r="M27" s="2">
        <f>+SUMIFS('Movimientos Reales'!$D$4:$D$1048576,'Movimientos Reales'!$E$4:$E$1048576,'Caja Real mensual '!$H$3,'Movimientos Reales'!$F$4:$F$1048576,'Caja Real mensual '!#REF!,'Movimientos Reales'!$H$4:$H$1048576,'Caja Real mensual '!H27)+SUMIFS('Movimientos Reales'!$D$4:$D$1048576,'Movimientos Reales'!$E$4:$E$1048576,'Caja Real mensual '!$H$3,'Movimientos Reales'!$F$4:$F$1048576,'Caja Real mensual '!#REF!,'Movimientos Reales'!$H$4:$H$1048576,'Caja Real mensual '!G27)</f>
        <v>0</v>
      </c>
      <c r="N27" s="2">
        <f>+SUMIFS('Movimientos Reales'!$D$4:$D$1048576,'Movimientos Reales'!$E$4:$E$1048576,'Caja Real mensual '!$N$3,'Movimientos Reales'!$F$4:$F$1048576,'Caja Real mensual '!$A$27,'Movimientos Reales'!$G$4:$G$1048576,'Caja Real mensual '!$B$27)</f>
        <v>-27132340.916666668</v>
      </c>
      <c r="O27" s="2">
        <f>+SUMIFS('Movimientos Reales'!$D$4:$D$1048576,'Movimientos Reales'!$E$4:$E$1048576,'Caja Real mensual '!$O$3,'Movimientos Reales'!$F$4:$F$1048576,'Caja Real mensual '!$A$27,'Movimientos Reales'!$G$4:$G$1048576,'Caja Real mensual '!$B$27)</f>
        <v>-66188355.25</v>
      </c>
      <c r="P27" s="2">
        <f>+SUMIFS('Movimientos Reales'!$D$4:$D$1048576,'Movimientos Reales'!$E$4:$E$1048576,'Caja Real mensual '!$P$3,'Movimientos Reales'!$F$4:$F$1048576,'Caja Real mensual '!$A$27,'Movimientos Reales'!$G$4:$G$1048576,'Caja Real mensual '!$B$27)</f>
        <v>-32443095.25</v>
      </c>
      <c r="Q27" s="534">
        <f>+SUMIFS('Movimientos Reales'!$D$4:$D$1048576,'Movimientos Reales'!$E$4:$E$1048576,'Caja Real mensual '!$Q$3,'Movimientos Reales'!$F$4:$F$1048576,'Caja Real mensual '!$A$27,'Movimientos Reales'!$G$4:$G$1048576,'Caja Real mensual '!$B$27)</f>
        <v>-53499132</v>
      </c>
      <c r="R27" s="534">
        <f>+SUMIFS('Movimientos Reales'!$D$4:$D$1048576,'Movimientos Reales'!$E$4:$E$1048576,'Caja Real mensual '!$R$3,'Movimientos Reales'!$F$4:$F$1048576,'Caja Real mensual '!$A$27,'Movimientos Reales'!$G$4:$G$1048576,'Caja Real mensual '!$B$27)</f>
        <v>-93556181.200000003</v>
      </c>
      <c r="S27" s="534">
        <f>+SUMIFS('Movimientos Reales'!$D$4:$D$1048576,'Movimientos Reales'!$E$4:$E$1048576,'Caja Real mensual '!$S$3,'Movimientos Reales'!$F$4:$F$1048576,'Caja Real mensual '!$A$27,'Movimientos Reales'!$G$4:$G$1048576,'Caja Real mensual '!$B$27)</f>
        <v>-157330373</v>
      </c>
      <c r="T27" s="534">
        <f>+SUMIFS('Movimientos Reales'!$D$4:$D$1048576,'Movimientos Reales'!$E$4:$E$1048576,'Caja Real mensual '!$T$3,'Movimientos Reales'!$F$4:$F$1048576,'Caja Real mensual '!$A$27,'Movimientos Reales'!$G$4:$G$1048576,'Caja Real mensual '!$B$27)</f>
        <v>0</v>
      </c>
      <c r="U27" s="13"/>
    </row>
    <row r="28" spans="1:21" ht="15.75" customHeight="1">
      <c r="A28" s="92" t="s">
        <v>8050</v>
      </c>
      <c r="B28" s="92" t="s">
        <v>8099</v>
      </c>
      <c r="C28" s="338" t="s">
        <v>8100</v>
      </c>
      <c r="D28" s="1"/>
      <c r="E28" s="11" t="s">
        <v>8103</v>
      </c>
      <c r="F28" s="13"/>
      <c r="G28" s="11"/>
      <c r="H28" s="2">
        <f>+SUMIFS('Movimientos Reales'!$D$4:$D$1048576,'Movimientos Reales'!$E$4:$E$1048576,'Caja Real mensual '!$H$3,'Movimientos Reales'!$F$4:$F$1048576,'Caja Real mensual '!#REF!,'Movimientos Reales'!$H$4:$H$1048576,'Caja Real mensual '!C28)+SUMIFS('Movimientos Reales'!$D$4:$D$1048576,'Movimientos Reales'!$E$4:$E$1048576,'Caja Real mensual '!$H$3,'Movimientos Reales'!$F$4:$F$1048576,'Caja Real mensual '!#REF!,'Movimientos Reales'!$H$4:$H$1048576,'Caja Real mensual '!B28)</f>
        <v>0</v>
      </c>
      <c r="I28" s="2">
        <f>+SUMIFS('Movimientos Reales'!$D$4:$D$1048576,'Movimientos Reales'!$E$4:$E$1048576,'Caja Real mensual '!$I$3,'Movimientos Reales'!$F$4:$F$1048576,'Caja Real mensual '!$A$28,'Movimientos Reales'!$H$4:$H$1048576,'Caja Real mensual '!$C$28)+SUMIFS('Movimientos Reales'!$D$4:$D$1048576,'Movimientos Reales'!$E$4:$E$1048576,'Caja Real mensual '!$I$3,'Movimientos Reales'!$F$4:$F$1048576,'Caja Real mensual '!$A$28,'Movimientos Reales'!$H$4:$H$1048576,'Caja Real mensual '!$B$28)</f>
        <v>-42939862.808510587</v>
      </c>
      <c r="J28" s="2">
        <f>+SUMIFS('Movimientos Reales'!$D$4:$D$1048576,'Movimientos Reales'!$E$4:$E$1048576,'Caja Real mensual '!$J$3,'Movimientos Reales'!$F$4:$F$1048576,'Caja Real mensual '!$A$28,'Movimientos Reales'!$H$4:$H$1048576,'Caja Real mensual '!$C$28)+SUMIFS('Movimientos Reales'!$D$4:$D$1048576,'Movimientos Reales'!$E$4:$E$1048576,'Caja Real mensual '!$J$3,'Movimientos Reales'!$F$4:$F$1048576,'Caja Real mensual '!$A$28,'Movimientos Reales'!$H$4:$H$1048576,'Caja Real mensual '!$B$28)</f>
        <v>-66901712.167375877</v>
      </c>
      <c r="K28" s="2">
        <f>+SUMIFS('Movimientos Reales'!$D$4:$D$1048576,'Movimientos Reales'!$E$4:$E$1048576,'Caja Real mensual '!$K$3,'Movimientos Reales'!$F$4:$F$1048576,'Caja Real mensual '!$A$28,'Movimientos Reales'!$H$4:$H$1048576,'Caja Real mensual '!$C$28)+SUMIFS('Movimientos Reales'!$D$4:$D$1048576,'Movimientos Reales'!$E$4:$E$1048576,'Caja Real mensual '!$K$3,'Movimientos Reales'!$F$4:$F$1048576,'Caja Real mensual '!$A$28,'Movimientos Reales'!$H$4:$H$1048576,'Caja Real mensual '!$B$28)</f>
        <v>-124554150.72224101</v>
      </c>
      <c r="L28" s="2">
        <f>+SUMIFS('Movimientos Reales'!$D$4:$D$1048576,'Movimientos Reales'!$E$4:$E$1048576,'Caja Real mensual '!$L$3,'Movimientos Reales'!$F$4:$F$1048576,'Caja Real mensual '!$A$28,'Movimientos Reales'!$H$4:$H$1048576,'Caja Real mensual '!$C$28)+SUMIFS('Movimientos Reales'!$D$4:$D$1048576,'Movimientos Reales'!$E$4:$E$1048576,'Caja Real mensual '!$L$3,'Movimientos Reales'!$F$4:$F$1048576,'Caja Real mensual '!$A$28,'Movimientos Reales'!$H$4:$H$1048576,'Caja Real mensual '!$B$28)</f>
        <v>-50705738.042553194</v>
      </c>
      <c r="M28" s="2">
        <f>+SUMIFS('Movimientos Reales'!$D$4:$D$1048576,'Movimientos Reales'!$E$4:$E$1048576,'Caja Real mensual '!$M$3,'Movimientos Reales'!$F$4:$F$1048576,'Caja Real mensual '!$A$28,'Movimientos Reales'!$H$4:$H$1048576,'Caja Real mensual '!$C$28)+SUMIFS('Movimientos Reales'!$D$4:$D$1048576,'Movimientos Reales'!$E$4:$E$1048576,'Caja Real mensual '!$M$3,'Movimientos Reales'!$F$4:$F$1048576,'Caja Real mensual '!$A$28,'Movimientos Reales'!$H$4:$H$1048576,'Caja Real mensual '!$B$28)</f>
        <v>-14233618</v>
      </c>
      <c r="N28" s="2">
        <f>+SUMIFS('Movimientos Reales'!$D$4:$D$1048576,'Movimientos Reales'!$E$4:$E$1048576,'Caja Real mensual '!$N$3,'Movimientos Reales'!$F$4:$F$1048576,'Caja Real mensual '!$A$28,'Movimientos Reales'!$H$4:$H$1048576,'Caja Real mensual '!$C$28)+SUMIFS('Movimientos Reales'!$D$4:$D$1048576,'Movimientos Reales'!$E$4:$E$1048576,'Caja Real mensual '!$M$3,'Movimientos Reales'!$F$4:$F$1048576,'Caja Real mensual '!$A$28,'Movimientos Reales'!$H$4:$H$1048576,'Caja Real mensual '!$B$28)</f>
        <v>-14233618</v>
      </c>
      <c r="O28" s="2">
        <f>+SUMIFS('Movimientos Reales'!$D$4:$D$1048576,'Movimientos Reales'!$E$4:$E$1048576,'Caja Real mensual '!$O$3,'Movimientos Reales'!$F$4:$F$1048576,'Caja Real mensual '!$A$28,'Movimientos Reales'!$H$4:$H$1048576,'Caja Real mensual '!$C$28)+SUMIFS('Movimientos Reales'!$D$4:$D$1048576,'Movimientos Reales'!$E$4:$E$1048576,'Caja Real mensual '!$O$3,'Movimientos Reales'!$F$4:$F$1048576,'Caja Real mensual '!$A$28,'Movimientos Reales'!$H$4:$H$1048576,'Caja Real mensual '!$B$28)</f>
        <v>-63393974.425333314</v>
      </c>
      <c r="P28" s="2">
        <f>+SUMIFS('Movimientos Reales'!$D$4:$D$1048576,'Movimientos Reales'!$E$4:$E$1048576,'Caja Real mensual '!$P$3,'Movimientos Reales'!$F$4:$F$1048576,'Caja Real mensual '!$A$28,'Movimientos Reales'!$H$4:$H$1048576,'Caja Real mensual '!$C$28)+SUMIFS('Movimientos Reales'!$D$4:$D$1048576,'Movimientos Reales'!$E$4:$E$1048576,'Caja Real mensual '!$P$3,'Movimientos Reales'!$F$4:$F$1048576,'Caja Real mensual '!$A$28,'Movimientos Reales'!$H$4:$H$1048576,'Caja Real mensual '!$B$28)</f>
        <v>-13029581.333333334</v>
      </c>
      <c r="Q28" s="534">
        <f>+SUMIFS('Movimientos Reales'!$D$4:$D$1048576,'Movimientos Reales'!$E$4:$E$1048576,'Caja Real mensual '!$Q$3,'Movimientos Reales'!$F$4:$F$1048576,'Caja Real mensual '!$A$28,'Movimientos Reales'!$H$4:$H$1048576,'Caja Real mensual '!$C$28)+SUMIFS('Movimientos Reales'!$D$4:$D$1048576,'Movimientos Reales'!$E$4:$E$1048576,'Caja Real mensual '!$P$3,'Movimientos Reales'!$F$4:$F$1048576,'Caja Real mensual '!$A$28,'Movimientos Reales'!$H$4:$H$1048576,'Caja Real mensual '!$B$28)</f>
        <v>-13029581.333333334</v>
      </c>
      <c r="R28" s="534">
        <f>+SUMIFS('Movimientos Reales'!$D$4:$D$1048576,'Movimientos Reales'!$E$4:$E$1048576,'Caja Real mensual '!$R$3,'Movimientos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S28" s="534">
        <f>+SUMIFS('Movimientos Reales'!$D$4:$D$1048576,'Movimientos Reales'!$E$4:$E$1048576,'Caja Real mensual '!$S$3,'Movimientos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T28" s="534">
        <f>+SUMIFS('Movimientos Reales'!$D$4:$D$1048576,'Movimientos Reales'!$E$4:$E$1048576,'Caja Real mensual '!$T$3,'Movimientos Reales'!$F$4:$F$1048576,'Caja Real mensual '!$A$28,'Movimientos Reales'!$H$4:$H$1048576,'Caja Real mensual '!$C$28)+SUMIFS('Movimientos Reales'!$D$4:$D$1048576,'Movimientos Reales'!$E$4:$E$1048576,'Caja Real mensual '!$Q$3,'Movimientos Reales'!$F$4:$F$1048576,'Caja Real mensual '!$A$28,'Movimientos Reales'!$H$4:$H$1048576,'Caja Real mensual '!$B$28)</f>
        <v>-23137466</v>
      </c>
      <c r="U28" s="13"/>
    </row>
    <row r="29" spans="1:21" ht="15.75" customHeight="1">
      <c r="C29" s="333" t="s">
        <v>109</v>
      </c>
      <c r="D29" s="1"/>
      <c r="E29" s="11" t="s">
        <v>8104</v>
      </c>
      <c r="F29" s="12"/>
      <c r="G29" s="11"/>
      <c r="H29" s="2">
        <f>+SUMIFS('Movimientos Reales'!$D$4:$D$1048576,'Movimientos Reales'!$E$4:$E$1048576,'Caja Real mensual '!$H$3,'Movimientos Reales'!$F$4:$F$1048576,'Caja Real mensual '!$C$29)-H28-H27</f>
        <v>-1044125205.98</v>
      </c>
      <c r="I29" s="2">
        <f>+SUMIFS('Movimientos Reales'!$D$4:$D$1048576,'Movimientos Reales'!$E$4:$E$1048576,'Caja Real mensual '!$I$3,'Movimientos Reales'!$F$4:$F$1048576,'Caja Real mensual '!$C$29)-I28</f>
        <v>-221628594.96631217</v>
      </c>
      <c r="J29" s="2">
        <f>+SUMIFS('Movimientos Reales'!$D$4:$D$1048576,'Movimientos Reales'!$E$4:$E$1048576,'Caja Real mensual '!$J$3,'Movimientos Reales'!$F$4:$F$1048576,'Caja Real mensual '!$C$29)-J28</f>
        <v>-31912423.000000015</v>
      </c>
      <c r="K29" s="2">
        <f>+SUMIFS('Movimientos Reales'!$D$4:$D$1048576,'Movimientos Reales'!$E$4:$E$1048576,'Caja Real mensual '!$K$3,'Movimientos Reales'!$F$4:$F$1048576,'Caja Real mensual '!$C$29)-K28</f>
        <v>-297684418.20000005</v>
      </c>
      <c r="L29" s="2">
        <f>+SUMIFS('Movimientos Reales'!$D$4:$D$1048576,'Movimientos Reales'!$E$4:$E$1048576,'Caja Real mensual '!$L$3,'Movimientos Reales'!$F$4:$F$1048576,'Caja Real mensual '!$C$29)-L28</f>
        <v>14500475.68085105</v>
      </c>
      <c r="M29" s="2">
        <f>+SUMIFS('Movimientos Reales'!$D$4:$D$1048576,'Movimientos Reales'!$E$4:$E$1048576,'Caja Real mensual '!$M$3,'Movimientos Reales'!$F$4:$F$1048576,'Caja Real mensual '!$C$29)-M28</f>
        <v>-408795195.73333329</v>
      </c>
      <c r="N29" s="2">
        <f>+SUMIFS('Movimientos Reales'!$D$4:$D$1048576,'Movimientos Reales'!$E$4:$E$1048576,'Caja Real mensual '!$N$3,'Movimientos Reales'!$F$4:$F$1048576,'Caja Real mensual '!$C$29)-N28-N27</f>
        <v>-754954055.9133333</v>
      </c>
      <c r="O29" s="2">
        <f>+SUMIFS('Movimientos Reales'!$D$4:$D$1048576,'Movimientos Reales'!$E$4:$E$1048576,'Caja Real mensual '!$O$3,'Movimientos Reales'!$F$4:$F$1048576,'Caja Real mensual '!$C$29)-O28-O27</f>
        <v>-476105974.58422589</v>
      </c>
      <c r="P29" s="2">
        <f>+SUMIFS('Movimientos Reales'!$D$4:$D$1048576,'Movimientos Reales'!$E$4:$E$1048576,'Caja Real mensual '!$P$3,'Movimientos Reales'!$F$4:$F$1048576,'Caja Real mensual '!$C$29)-P28-P27</f>
        <v>-839537531.62</v>
      </c>
      <c r="Q29" s="534">
        <f>+SUMIFS('Movimientos Reales'!$D$4:$D$1048576,'Movimientos Reales'!$E$4:$E$1048576,'Caja Real mensual '!$Q$3,'Movimientos Reales'!$F$4:$F$1048576,'Caja Real mensual '!$C$29)-Q28-Q27</f>
        <v>-612139062.16333342</v>
      </c>
      <c r="R29" s="534">
        <f>+SUMIFS('Movimientos Reales'!$D$4:$D$1048576,'Movimientos Reales'!$E$4:$E$1048576,'Caja Real mensual '!$R$3,'Movimientos Reales'!$F$4:$F$1048576,'Caja Real mensual '!$C$29)-R28-R27</f>
        <v>-1272286025.76</v>
      </c>
      <c r="S29" s="534">
        <f>+SUMIFS('Movimientos Reales'!$D$4:$D$1048576,'Movimientos Reales'!$E$4:$E$1048576,'Caja Real mensual '!$S$3,'Movimientos Reales'!$F$4:$F$1048576,'Caja Real mensual '!$C$29)-S28-S27</f>
        <v>-2977063251.0078034</v>
      </c>
      <c r="T29" s="534">
        <f>+SUMIFS('Movimientos Reales'!$D$4:$D$1048576,'Movimientos Reales'!$E$4:$E$1048576,'Caja Real mensual '!$T$3,'Movimientos Reales'!$F$4:$F$1048576,'Caja Real mensual '!$C$29)-T28-T27</f>
        <v>22137466</v>
      </c>
      <c r="U29" s="13"/>
    </row>
    <row r="30" spans="1:21" ht="15.75" customHeight="1">
      <c r="C30" s="367" t="s">
        <v>707</v>
      </c>
      <c r="D30" s="1"/>
      <c r="E30" s="11" t="s">
        <v>8105</v>
      </c>
      <c r="F30" s="12"/>
      <c r="G30" s="11"/>
      <c r="H30" s="2">
        <f>+SUMIFS('Movimientos Reales'!$D$4:$D$1048576,'Movimientos Reales'!$E$4:$E$1048576,'Caja Real mensual '!$H$3,'Movimientos Reales'!$F$4:$F$1048576,'Caja Real mensual '!$C$30)</f>
        <v>0</v>
      </c>
      <c r="I30" s="2">
        <f>+SUMIFS('Movimientos Reales'!$D$4:$D$1048576,'Movimientos Reales'!$E$4:$E$1048576,'Caja Real mensual '!$I$3,'Movimientos Reales'!$F$4:$F$1048576,'Caja Real mensual '!$C$30)</f>
        <v>500000000</v>
      </c>
      <c r="J30" s="2">
        <f>+SUMIFS('Movimientos Reales'!$D$4:$D$1048576,'Movimientos Reales'!$E$4:$E$1048576,'Caja Real mensual '!$J$3,'Movimientos Reales'!$F$4:$F$1048576,'Caja Real mensual '!$C$30)</f>
        <v>750000000</v>
      </c>
      <c r="K30" s="2">
        <f>+SUMIFS('Movimientos Reales'!$D$4:$D$1048576,'Movimientos Reales'!$E$4:$E$1048576,'Caja Real mensual '!$K$3,'Movimientos Reales'!$F$4:$F$1048576,'Caja Real mensual '!$C$30)</f>
        <v>0</v>
      </c>
      <c r="L30" s="2">
        <f>+SUMIFS('Movimientos Reales'!$D$4:$D$1048576,'Movimientos Reales'!$E$4:$E$1048576,'Caja Real mensual '!$L$3,'Movimientos Reales'!$F$4:$F$1048576,'Caja Real mensual '!$C$30)</f>
        <v>0</v>
      </c>
      <c r="M30" s="2">
        <f>+SUMIFS('Movimientos Reales'!$D$4:$D$1048576,'Movimientos Reales'!$E$4:$E$1048576,'Caja Real mensual '!$M$3,'Movimientos Reales'!$F$4:$F$1048576,'Caja Real mensual '!$C$30)</f>
        <v>265090591.19999999</v>
      </c>
      <c r="N30" s="2">
        <f>+SUMIFS('Movimientos Reales'!$D$4:$D$1048576,'Movimientos Reales'!$E$4:$E$1048576,'Caja Real mensual '!$N$3,'Movimientos Reales'!$F$4:$F$1048576,'Caja Real mensual '!$C$30)</f>
        <v>1300000000</v>
      </c>
      <c r="O30" s="2">
        <f>+SUMIFS('Movimientos Reales'!$D$4:$D$1048576,'Movimientos Reales'!$E$4:$E$1048576,'Caja Real mensual '!$O$3,'Movimientos Reales'!$F$4:$F$1048576,'Caja Real mensual '!$C$30)</f>
        <v>1048536716</v>
      </c>
      <c r="P30" s="2">
        <f>+SUMIFS('Movimientos Reales'!$D$4:$D$1048576,'Movimientos Reales'!$E$4:$E$1048576,'Caja Real mensual '!$P$3,'Movimientos Reales'!$F$4:$F$1048576,'Caja Real mensual '!$C$30)</f>
        <v>1810000000</v>
      </c>
      <c r="Q30" s="2">
        <f>+SUMIFS('Movimientos Reales'!$D$4:$D$1048576,'Movimientos Reales'!$E$4:$E$1048576,'Caja Real mensual '!$Q$3,'Movimientos Reales'!$F$4:$F$1048576,'Caja Real mensual '!$C$30)</f>
        <v>1620000000</v>
      </c>
      <c r="R30" s="2">
        <f>+SUMIFS('Movimientos Reales'!$D$4:$D$1048576,'Movimientos Reales'!$E$4:$E$1048576,'Caja Real mensual '!$R$3,'Movimientos Reales'!$F$4:$F$1048576,'Caja Real mensual '!$C$30)</f>
        <v>2230000000</v>
      </c>
      <c r="S30" s="2">
        <f>+SUMIFS('Movimientos Reales'!$D$4:$D$1048576,'Movimientos Reales'!$E$4:$E$1048576,'Caja Real mensual '!$S$3,'Movimientos Reales'!$F$4:$F$1048576,'Caja Real mensual '!$C$30)</f>
        <v>3560000000</v>
      </c>
      <c r="T30" s="2">
        <f>+SUMIFS('Movimientos Reales'!$D$4:$D$1048576,'Movimientos Reales'!$E$4:$E$1048576,'Caja Real mensual '!$T$3,'Movimientos Reales'!$F$4:$F$1048576,'Caja Real mensual '!$C$30)</f>
        <v>0</v>
      </c>
      <c r="U30" s="13"/>
    </row>
    <row r="31" spans="1:21" ht="15.75" customHeight="1">
      <c r="C31" s="367" t="s">
        <v>434</v>
      </c>
      <c r="D31" s="1"/>
      <c r="E31" s="11" t="s">
        <v>8106</v>
      </c>
      <c r="F31" s="12"/>
      <c r="G31" s="11"/>
      <c r="H31" s="2">
        <f>+SUMIFS('Movimientos Reales'!$D$4:$D$1048576,'Movimientos Reales'!$E$4:$E$1048576,'Caja Real mensual '!$H$3,'Movimientos Reales'!$F$4:$F$1048576,'Caja Real mensual '!$C$31)</f>
        <v>161856953</v>
      </c>
      <c r="I31" s="2">
        <f>+SUMIFS('Movimientos Reales'!$D$4:$D$1048576,'Movimientos Reales'!$E$4:$E$1048576,'Caja Real mensual '!$I$3,'Movimientos Reales'!$F$4:$F$1048576,'Caja Real mensual '!$C$31)</f>
        <v>0</v>
      </c>
      <c r="J31" s="2">
        <f>+SUMIFS('Movimientos Reales'!$D$4:$D$1048576,'Movimientos Reales'!$E$4:$E$1048576,'Caja Real mensual '!$J$3,'Movimientos Reales'!$F$4:$F$1048576,'Caja Real mensual '!$C$31)</f>
        <v>0</v>
      </c>
      <c r="K31" s="2">
        <f>+SUMIFS('Movimientos Reales'!$D$4:$D$1048576,'Movimientos Reales'!$E$4:$E$1048576,'Caja Real mensual '!$K$3,'Movimientos Reales'!$F$4:$F$1048576,'Caja Real mensual '!$C$31)</f>
        <v>0</v>
      </c>
      <c r="L31" s="2">
        <f>+SUMIFS('Movimientos Reales'!$D$4:$D$1048576,'Movimientos Reales'!$E$4:$E$1048576,'Caja Real mensual '!$L$3,'Movimientos Reales'!$F$4:$F$1048576,'Caja Real mensual '!$C$31)</f>
        <v>0</v>
      </c>
      <c r="M31" s="2">
        <f>+SUMIFS('Movimientos Reales'!$D$4:$D$1048576,'Movimientos Reales'!$E$4:$E$1048576,'Caja Real mensual '!$M$3,'Movimientos Reales'!$F$4:$F$1048576,'Caja Real mensual '!$C$31)</f>
        <v>0</v>
      </c>
      <c r="N31" s="2">
        <f>+SUMIFS('Movimientos Reales'!$D$4:$D$1048576,'Movimientos Reales'!$E$4:$E$1048576,'Caja Real mensual '!$N$3,'Movimientos Reales'!$F$4:$F$1048576,'Caja Real mensual '!$C$31)</f>
        <v>0</v>
      </c>
      <c r="O31" s="2">
        <f>+SUMIFS('Movimientos Reales'!$D$4:$D$1048576,'Movimientos Reales'!$E$4:$E$1048576,'Caja Real mensual '!$O$3,'Movimientos Reales'!$F$4:$F$1048576,'Caja Real mensual '!$C$31)</f>
        <v>0</v>
      </c>
      <c r="P31" s="2">
        <f>+SUMIFS('Movimientos Reales'!$D$4:$D$1048576,'Movimientos Reales'!$E$4:$E$1048576,'Caja Real mensual '!$P$3,'Movimientos Reales'!$F$4:$F$1048576,'Caja Real mensual '!$C$31)</f>
        <v>0</v>
      </c>
      <c r="Q31" s="2">
        <f>+SUMIFS('Movimientos Reales'!$D$4:$D$1048576,'Movimientos Reales'!$E$4:$E$1048576,'Caja Real mensual '!$Q$3,'Movimientos Reales'!$F$4:$F$1048576,'Caja Real mensual '!$C$31)</f>
        <v>0</v>
      </c>
      <c r="R31" s="2">
        <f>+SUMIFS('Movimientos Reales'!$D$4:$D$1048576,'Movimientos Reales'!$E$4:$E$1048576,'Caja Real mensual '!$R$3,'Movimientos Reales'!$F$4:$F$1048576,'Caja Real mensual '!$C$31)</f>
        <v>0</v>
      </c>
      <c r="S31" s="2">
        <f>+SUMIFS('Movimientos Reales'!$D$4:$D$1048576,'Movimientos Reales'!$E$4:$E$1048576,'Caja Real mensual '!$S$3,'Movimientos Reales'!$F$4:$F$1048576,'Caja Real mensual '!$C$31)</f>
        <v>280263347</v>
      </c>
      <c r="T31" s="2">
        <f>+SUMIFS('Movimientos Reales'!$D$4:$D$1048576,'Movimientos Reales'!$E$4:$E$1048576,'Caja Real mensual '!$T$3,'Movimientos Reales'!$F$4:$F$1048576,'Caja Real mensual '!$C$31)</f>
        <v>0</v>
      </c>
      <c r="U31" s="13"/>
    </row>
    <row r="32" spans="1:21" ht="15.75" customHeight="1">
      <c r="C32" s="206" t="s">
        <v>210</v>
      </c>
      <c r="D32" s="165"/>
      <c r="E32" s="11" t="s">
        <v>8107</v>
      </c>
      <c r="F32" s="12"/>
      <c r="G32" s="11"/>
      <c r="H32" s="2">
        <f>+SUMIFS('Movimientos Reales'!$D$4:$D$1048576,'Movimientos Reales'!$E$4:$E$1048576,'Caja Real mensual '!$H$3,'Movimientos Reales'!$F$4:$F$1048576,'Caja Real mensual '!$C$32)</f>
        <v>-42184000</v>
      </c>
      <c r="I32" s="2">
        <f>+SUMIFS('Movimientos Reales'!$D$4:$D$1048576,'Movimientos Reales'!$E$4:$E$1048576,'Caja Real mensual '!$I$3,'Movimientos Reales'!$F$4:$F$1048576,'Caja Real mensual '!$C$32)</f>
        <v>-7108000</v>
      </c>
      <c r="J32" s="2">
        <f>+SUMIFS('Movimientos Reales'!$D$4:$D$1048576,'Movimientos Reales'!$E$4:$E$1048576,'Caja Real mensual '!$J$3,'Movimientos Reales'!$F$4:$F$1048576,'Caja Real mensual '!$C$32)</f>
        <v>-6795000</v>
      </c>
      <c r="K32" s="2">
        <f>+SUMIFS('Movimientos Reales'!$D$4:$D$1048576,'Movimientos Reales'!$E$4:$E$1048576,'Caja Real mensual '!$K$3,'Movimientos Reales'!$F$4:$F$1048576,'Caja Real mensual '!$C$32)</f>
        <v>-20602000</v>
      </c>
      <c r="L32" s="2">
        <f>+SUMIFS('Movimientos Reales'!$D$4:$D$1048576,'Movimientos Reales'!$E$4:$E$1048576,'Caja Real mensual '!$L$3,'Movimientos Reales'!$F$4:$F$1048576,'Caja Real mensual '!$C$32)</f>
        <v>-18217300</v>
      </c>
      <c r="M32" s="2">
        <f>+SUMIFS('Movimientos Reales'!$D$4:$D$1048576,'Movimientos Reales'!$E$4:$E$1048576,'Caja Real mensual '!$M$3,'Movimientos Reales'!$F$4:$F$1048576,'Caja Real mensual '!$C$32)</f>
        <v>-1428000</v>
      </c>
      <c r="N32" s="2">
        <f>+SUMIFS('Movimientos Reales'!$D$4:$D$1048576,'Movimientos Reales'!$E$4:$E$1048576,'Caja Real mensual '!$N$3,'Movimientos Reales'!$F$4:$F$1048576,'Caja Real mensual '!$C$32)</f>
        <v>-56182000</v>
      </c>
      <c r="O32" s="2">
        <f>+SUMIFS('Movimientos Reales'!$D$4:$D$1048576,'Movimientos Reales'!$E$4:$E$1048576,'Caja Real mensual '!$O$3,'Movimientos Reales'!$F$4:$F$1048576,'Caja Real mensual '!$C$32)</f>
        <v>-19911000</v>
      </c>
      <c r="P32" s="2">
        <f>+SUMIFS('Movimientos Reales'!$D$4:$D$1048576,'Movimientos Reales'!$E$4:$E$1048576,'Caja Real mensual '!$P$3,'Movimientos Reales'!$F$4:$F$1048576,'Caja Real mensual '!$C$32)</f>
        <v>-28206000</v>
      </c>
      <c r="Q32" s="2">
        <f>+SUMIFS('Movimientos Reales'!$D$4:$D$1048576,'Movimientos Reales'!$E$4:$E$1048576,'Caja Real mensual '!$Q$3,'Movimientos Reales'!$F$4:$F$1048576,'Caja Real mensual '!$C$32)</f>
        <v>-34693000</v>
      </c>
      <c r="R32" s="2">
        <f>+SUMIFS('Movimientos Reales'!$D$4:$D$1048576,'Movimientos Reales'!$E$4:$E$1048576,'Caja Real mensual '!$R$3,'Movimientos Reales'!$F$4:$F$1048576,'Caja Real mensual '!$C$32)</f>
        <v>-57467000</v>
      </c>
      <c r="S32" s="2">
        <f>+SUMIFS('Movimientos Reales'!$D$4:$D$1048576,'Movimientos Reales'!$E$4:$E$1048576,'Caja Real mensual '!$S$3,'Movimientos Reales'!$F$4:$F$1048576,'Caja Real mensual '!$C$32)</f>
        <v>-83730000</v>
      </c>
      <c r="T32" s="2">
        <f>+SUMIFS('Movimientos Reales'!$D$4:$D$1048576,'Movimientos Reales'!$E$4:$E$1048576,'Caja Real mensual '!$T$3,'Movimientos Reales'!$F$4:$F$1048576,'Caja Real mensual '!$C$32)</f>
        <v>0</v>
      </c>
      <c r="U32" s="13"/>
    </row>
    <row r="33" spans="3:21" ht="27" customHeight="1">
      <c r="C33" s="1"/>
      <c r="D33" s="1"/>
      <c r="E33" s="23" t="s">
        <v>8108</v>
      </c>
      <c r="F33" s="24"/>
      <c r="G33" s="25"/>
      <c r="H33" s="26">
        <f>+H21+H25+H29+H32+H28+H31+H30</f>
        <v>-1115734211.8199999</v>
      </c>
      <c r="I33" s="26">
        <f>+I21+I25+I29+I32+I28+I26+I30+I31</f>
        <v>66107527.73999995</v>
      </c>
      <c r="J33" s="26">
        <f>+J21+J25+J29+J32+J28+J26+J30+J31</f>
        <v>461991502.09999985</v>
      </c>
      <c r="K33" s="26">
        <f>+K21+K25+K29+K32+K28+K26+K30+K31</f>
        <v>-568273276.81999993</v>
      </c>
      <c r="L33" s="26">
        <f>+L21+L25+L29+L32+L28+L26+L30+L31</f>
        <v>-278031408.60255337</v>
      </c>
      <c r="M33" s="26">
        <f>+M21+M25+M29+M32+M28+M26+M22+M30+M31</f>
        <v>-398368771.26744658</v>
      </c>
      <c r="N33" s="26">
        <f>+N21+N25+N29+N32+N28+N26+N22+N27+N30+N31</f>
        <v>4156744.4494185448</v>
      </c>
      <c r="O33" s="26">
        <f>+O21+O25+O29+O32+O28+O26+O22+O27+O23+O30+O31</f>
        <v>-25660841.369824648</v>
      </c>
      <c r="P33" s="26">
        <f>+P21+P25+P29+P32+P28+P26+P22+P27+P23+P30+P31</f>
        <v>337848280.89405847</v>
      </c>
      <c r="Q33" s="26">
        <f>+Q21+Q25+Q29+Q32+Q28+Q26+Q22+Q27+Q23+Q24+Q30+Q31</f>
        <v>-146388594.50066662</v>
      </c>
      <c r="R33" s="26">
        <f>+R21+R25+R29+R32+R28+R26+R22+R27+R23+R24+R30+R31</f>
        <v>-76315975.550000191</v>
      </c>
      <c r="S33" s="26">
        <f>+S21+S25+S29+S32+S28+S26+S22+S27+S23+S24+S30+S31</f>
        <v>-53786625.397681713</v>
      </c>
      <c r="T33" s="26">
        <f>+T21+T25+T29+T32+T28+T26+T22+T27+T23+T24+T30+T31</f>
        <v>-12717708.259999998</v>
      </c>
      <c r="U33" s="13"/>
    </row>
    <row r="34" spans="3:21" ht="14.15" customHeight="1">
      <c r="C34" s="1" t="s">
        <v>111</v>
      </c>
      <c r="D34" s="1"/>
      <c r="E34" s="11" t="s">
        <v>8109</v>
      </c>
      <c r="F34" s="12"/>
      <c r="G34" s="11"/>
      <c r="H34" s="2">
        <f>+SUMIFS('Movimientos Reales'!$D$4:$D$1048576,'Movimientos Reales'!$E$4:$E$1048576,'Caja Real mensual '!$H$3,'Movimientos Reales'!$F$4:$F$1048576,'Caja Real mensual '!$C$34)-Retenciones!B2</f>
        <v>-124810038.88000001</v>
      </c>
      <c r="I34" s="2">
        <f>+SUMIFS('Movimientos Reales'!$D$4:$D$1048576,'Movimientos Reales'!$E$4:$E$1048576,'Caja Real mensual '!$I$3,'Movimientos Reales'!$F$4:$F$1048576,'Caja Real mensual '!$C$34)-Retenciones!C2</f>
        <v>-6787009.9299999997</v>
      </c>
      <c r="J34" s="2">
        <f>+SUMIFS('Movimientos Reales'!$D$4:$D$1048576,'Movimientos Reales'!$E$4:$E$1048576,'Caja Real mensual '!$J$3,'Movimientos Reales'!$F$4:$F$1048576,'Caja Real mensual '!$C$34)-Retenciones!D2</f>
        <v>35942781.390000001</v>
      </c>
      <c r="K34" s="2">
        <f>+SUMIFS('Movimientos Reales'!$D$4:$D$1048576,'Movimientos Reales'!$E$4:$E$1048576,'Caja Real mensual '!$K$3,'Movimientos Reales'!$F$4:$F$1048576,'Caja Real mensual '!$C$34)-Retenciones!E2</f>
        <v>354697179.22000003</v>
      </c>
      <c r="L34" s="2">
        <f>+SUMIFS('Movimientos Reales'!$D$4:$D$1048576,'Movimientos Reales'!$E$4:$E$1048576,'Caja Real mensual '!$L$3,'Movimientos Reales'!$F$4:$F$1048576,'Caja Real mensual '!$C$34)-Retenciones!F2</f>
        <v>273695678.18000001</v>
      </c>
      <c r="M34" s="2">
        <f>+SUMIFS('Movimientos Reales'!$D$4:$D$1048576,'Movimientos Reales'!$E$4:$E$1048576,'Caja Real mensual '!$M$3,'Movimientos Reales'!$F$4:$F$1048576,'Caja Real mensual '!$C$34)-Retenciones!G2</f>
        <v>-9785290.1799999997</v>
      </c>
      <c r="N34" s="2">
        <f>+SUMIFS('Movimientos Reales'!$D$4:$D$1048576,'Movimientos Reales'!$E$4:$E$1048576,'Caja Real mensual '!$N$3,'Movimientos Reales'!$F$4:$F$1048576,'Caja Real mensual '!$C$34)-Retenciones!H2</f>
        <v>48754838.209999993</v>
      </c>
      <c r="O34" s="2">
        <f>+SUMIFS('Movimientos Reales'!$D$4:$D$1048576,'Movimientos Reales'!$E$4:$E$1048576,'Caja Real mensual '!$O$3,'Movimientos Reales'!$F$4:$F$1048576,'Caja Real mensual '!$C$34)-Retenciones!I2</f>
        <v>85186369</v>
      </c>
      <c r="P34" s="2">
        <f>+SUMIFS('Movimientos Reales'!$D$4:$D$1048576,'Movimientos Reales'!$E$4:$E$1048576,'Caja Real mensual '!$P$3,'Movimientos Reales'!$F$4:$F$1048576,'Caja Real mensual '!$C$34)-Retenciones!J2</f>
        <v>-135431945</v>
      </c>
      <c r="Q34" s="534">
        <f>+SUMIFS('Movimientos Reales'!$D$4:$D$1048576,'Movimientos Reales'!$E$4:$E$1048576,'Caja Real mensual '!$Q$3,'Movimientos Reales'!$F$4:$F$1048576,'Caja Real mensual '!$C$34)-Retenciones!K2</f>
        <v>-79438134.689999998</v>
      </c>
      <c r="R34" s="534">
        <f>+SUMIFS('Movimientos Reales'!$D$4:$D$1048576,'Movimientos Reales'!$E$4:$E$1048576,'Caja Real mensual '!$R$3,'Movimientos Reales'!$F$4:$F$1048576,'Caja Real mensual '!$C$34)-Retenciones!L2</f>
        <v>-36666772.600000009</v>
      </c>
      <c r="S34" s="534">
        <f>+SUMIFS('Movimientos Reales'!$D$4:$D$1048576,'Movimientos Reales'!$E$4:$E$1048576,'Caja Real mensual '!$S$3,'Movimientos Reales'!$F$4:$F$1048576,'Caja Real mensual '!$C$34)-Retenciones!M2</f>
        <v>-10385360.487</v>
      </c>
      <c r="T34" s="534">
        <f>+SUMIFS('Movimientos Reales'!$D$4:$D$1048576,'Movimientos Reales'!$E$4:$E$1048576,'Caja Real mensual '!$T$3,'Movimientos Reales'!$F$4:$F$1048576,'Caja Real mensual '!$C$34)-Retenciones!N2</f>
        <v>-16191532</v>
      </c>
    </row>
    <row r="35" spans="3:21" ht="21" customHeight="1">
      <c r="C35" s="14"/>
      <c r="D35" s="14"/>
      <c r="E35" s="15" t="s">
        <v>8110</v>
      </c>
      <c r="F35" s="16"/>
      <c r="G35" s="17"/>
      <c r="H35" s="18">
        <f t="shared" ref="H35:L35" si="8">+H33+H34</f>
        <v>-1240544250.7</v>
      </c>
      <c r="I35" s="18">
        <f t="shared" si="8"/>
        <v>59320517.80999995</v>
      </c>
      <c r="J35" s="18">
        <f t="shared" si="8"/>
        <v>497934283.48999983</v>
      </c>
      <c r="K35" s="18">
        <f t="shared" si="8"/>
        <v>-213576097.5999999</v>
      </c>
      <c r="L35" s="18">
        <f t="shared" si="8"/>
        <v>-4335730.4225533605</v>
      </c>
      <c r="M35" s="18">
        <f t="shared" ref="M35:S35" si="9">+M33+M34</f>
        <v>-408154061.44744658</v>
      </c>
      <c r="N35" s="18">
        <f t="shared" si="9"/>
        <v>52911582.659418538</v>
      </c>
      <c r="O35" s="18">
        <f t="shared" si="9"/>
        <v>59525527.630175352</v>
      </c>
      <c r="P35" s="18">
        <f t="shared" si="9"/>
        <v>202416335.89405847</v>
      </c>
      <c r="Q35" s="18">
        <f>+Q33+Q34</f>
        <v>-225826729.19066662</v>
      </c>
      <c r="R35" s="18">
        <f t="shared" si="9"/>
        <v>-112982748.1500002</v>
      </c>
      <c r="S35" s="18">
        <f t="shared" si="9"/>
        <v>-64171985.884681717</v>
      </c>
      <c r="T35" s="18">
        <f>+T33+T34</f>
        <v>-28909240.259999998</v>
      </c>
    </row>
    <row r="36" spans="3:21" ht="12" customHeight="1" thickBot="1">
      <c r="C36" s="14"/>
      <c r="D36" s="14"/>
      <c r="E36" s="11" t="s">
        <v>8111</v>
      </c>
      <c r="F36" s="12"/>
      <c r="G36" s="11"/>
      <c r="H36" s="2"/>
      <c r="I36" s="2"/>
      <c r="J36" s="2"/>
      <c r="K36" s="2"/>
      <c r="L36" s="2"/>
    </row>
    <row r="37" spans="3:21" ht="11.15" customHeight="1" thickBot="1">
      <c r="E37" s="11" t="s">
        <v>8112</v>
      </c>
      <c r="F37" s="12"/>
      <c r="G37" s="11"/>
      <c r="H37" s="2"/>
      <c r="I37" s="2"/>
      <c r="J37" s="2"/>
      <c r="K37" s="2"/>
      <c r="L37" s="2"/>
      <c r="M37" s="6"/>
      <c r="N37" s="6"/>
      <c r="O37" s="6"/>
      <c r="P37" s="6"/>
      <c r="Q37" s="6"/>
      <c r="R37" s="6"/>
      <c r="S37" s="336"/>
      <c r="T37" s="336"/>
    </row>
    <row r="38" spans="3:21" ht="14.15" customHeight="1">
      <c r="E38" s="11" t="s">
        <v>8113</v>
      </c>
      <c r="F38" s="11"/>
      <c r="G38" s="11"/>
      <c r="H38" s="6"/>
      <c r="J38" s="6"/>
      <c r="K38" s="6"/>
      <c r="L38" s="6"/>
      <c r="M38" s="6"/>
      <c r="N38" s="6"/>
      <c r="O38" s="6"/>
      <c r="P38" s="6"/>
      <c r="Q38" s="6"/>
      <c r="R38" s="6"/>
      <c r="S38" s="6"/>
      <c r="T38" s="6"/>
    </row>
    <row r="39" spans="3:21" ht="15.75" customHeight="1">
      <c r="E39" s="15" t="s">
        <v>8114</v>
      </c>
      <c r="F39" s="16"/>
      <c r="G39" s="17"/>
      <c r="H39" s="18">
        <f t="shared" ref="H39:L39" si="10">+H35+H36+H38</f>
        <v>-1240544250.7</v>
      </c>
      <c r="I39" s="18">
        <f t="shared" si="10"/>
        <v>59320517.80999995</v>
      </c>
      <c r="J39" s="18">
        <f t="shared" si="10"/>
        <v>497934283.48999983</v>
      </c>
      <c r="K39" s="18">
        <f t="shared" si="10"/>
        <v>-213576097.5999999</v>
      </c>
      <c r="L39" s="18">
        <f t="shared" si="10"/>
        <v>-4335730.4225533605</v>
      </c>
      <c r="M39" s="18">
        <f t="shared" ref="M39:S39" si="11">+M35+M36+M38</f>
        <v>-408154061.44744658</v>
      </c>
      <c r="N39" s="18">
        <f t="shared" si="11"/>
        <v>52911582.659418538</v>
      </c>
      <c r="O39" s="18">
        <f t="shared" si="11"/>
        <v>59525527.630175352</v>
      </c>
      <c r="P39" s="18">
        <f t="shared" si="11"/>
        <v>202416335.89405847</v>
      </c>
      <c r="Q39" s="18">
        <f>+Q35+Q36+Q38</f>
        <v>-225826729.19066662</v>
      </c>
      <c r="R39" s="18">
        <f t="shared" si="11"/>
        <v>-112982748.1500002</v>
      </c>
      <c r="S39" s="18">
        <f t="shared" si="11"/>
        <v>-64171985.884681717</v>
      </c>
      <c r="T39" s="18">
        <f>+T35+T36+T38</f>
        <v>-28909240.259999998</v>
      </c>
    </row>
    <row r="40" spans="3:21" ht="15.75" customHeight="1">
      <c r="E40" s="11" t="s">
        <v>8115</v>
      </c>
      <c r="F40" s="12"/>
      <c r="G40" s="11"/>
      <c r="H40" s="12">
        <f>+'Verificación Caja'!C26</f>
        <v>1626292257.0400002</v>
      </c>
      <c r="I40" s="12">
        <f t="shared" ref="I40:N40" si="12">+H41</f>
        <v>385748006.34000015</v>
      </c>
      <c r="J40" s="12">
        <f t="shared" si="12"/>
        <v>445068524.1500001</v>
      </c>
      <c r="K40" s="12">
        <f t="shared" si="12"/>
        <v>943002807.63999987</v>
      </c>
      <c r="L40" s="12">
        <f t="shared" si="12"/>
        <v>729426710.03999996</v>
      </c>
      <c r="M40" s="12">
        <f t="shared" si="12"/>
        <v>725090979.61744666</v>
      </c>
      <c r="N40" s="12">
        <f t="shared" si="12"/>
        <v>316936918.17000008</v>
      </c>
      <c r="O40" s="12">
        <f t="shared" ref="O40:T40" si="13">+N41</f>
        <v>369848500.8294186</v>
      </c>
      <c r="P40" s="12">
        <f t="shared" si="13"/>
        <v>429374028.45959395</v>
      </c>
      <c r="Q40" s="12">
        <f t="shared" si="13"/>
        <v>631790364.35365248</v>
      </c>
      <c r="R40" s="12">
        <f t="shared" si="13"/>
        <v>405963635.16298586</v>
      </c>
      <c r="S40" s="12">
        <f t="shared" si="13"/>
        <v>292980887.01298565</v>
      </c>
      <c r="T40" s="12">
        <f t="shared" si="13"/>
        <v>228808901.12830395</v>
      </c>
    </row>
    <row r="41" spans="3:21" ht="15.75" customHeight="1">
      <c r="E41" s="28" t="s">
        <v>8116</v>
      </c>
      <c r="F41" s="29"/>
      <c r="G41" s="30"/>
      <c r="H41" s="31">
        <f t="shared" ref="H41:L41" si="14">+H39+H40</f>
        <v>385748006.34000015</v>
      </c>
      <c r="I41" s="31">
        <f t="shared" si="14"/>
        <v>445068524.1500001</v>
      </c>
      <c r="J41" s="31">
        <f t="shared" si="14"/>
        <v>943002807.63999987</v>
      </c>
      <c r="K41" s="31">
        <f t="shared" si="14"/>
        <v>729426710.03999996</v>
      </c>
      <c r="L41" s="31">
        <f t="shared" si="14"/>
        <v>725090979.61744666</v>
      </c>
      <c r="M41" s="31">
        <f t="shared" ref="M41:Q41" si="15">+M39+M40</f>
        <v>316936918.17000008</v>
      </c>
      <c r="N41" s="31">
        <f t="shared" si="15"/>
        <v>369848500.8294186</v>
      </c>
      <c r="O41" s="31">
        <f t="shared" si="15"/>
        <v>429374028.45959395</v>
      </c>
      <c r="P41" s="31">
        <f t="shared" si="15"/>
        <v>631790364.35365248</v>
      </c>
      <c r="Q41" s="31">
        <f t="shared" si="15"/>
        <v>405963635.16298586</v>
      </c>
      <c r="R41" s="31">
        <f>+R39+R40</f>
        <v>292980887.01298565</v>
      </c>
      <c r="S41" s="31">
        <f>+S39+S40</f>
        <v>228808901.12830395</v>
      </c>
      <c r="T41" s="31">
        <f>+T39+T40</f>
        <v>199899660.86830395</v>
      </c>
    </row>
    <row r="42" spans="3:21" ht="15.75" customHeight="1">
      <c r="E42" s="30"/>
      <c r="F42" s="220"/>
      <c r="G42" s="30"/>
      <c r="H42" s="221"/>
      <c r="I42" s="221"/>
      <c r="J42" s="221"/>
      <c r="K42" s="221"/>
      <c r="L42" s="221"/>
      <c r="M42" s="221"/>
      <c r="N42" s="221"/>
      <c r="O42" s="221"/>
      <c r="P42" s="221"/>
      <c r="Q42" s="221"/>
      <c r="R42" s="221"/>
      <c r="S42" s="221"/>
      <c r="T42" s="221"/>
    </row>
    <row r="43" spans="3:21" ht="15.75" customHeight="1">
      <c r="E43" s="30"/>
      <c r="F43" s="220"/>
      <c r="G43" s="30"/>
      <c r="H43" s="221"/>
      <c r="I43" s="221"/>
      <c r="J43" s="221"/>
      <c r="K43" s="221"/>
      <c r="L43" s="221"/>
      <c r="M43" s="337"/>
      <c r="N43" s="221"/>
      <c r="O43" s="221"/>
      <c r="P43" s="221"/>
      <c r="Q43" s="221"/>
      <c r="R43" s="221"/>
      <c r="S43" s="221"/>
      <c r="T43" s="221"/>
    </row>
    <row r="44" spans="3:21" ht="15.75" customHeight="1">
      <c r="E44" s="1"/>
      <c r="F44" s="1"/>
      <c r="G44" s="1"/>
      <c r="H44" s="2"/>
      <c r="I44" s="2"/>
      <c r="J44" s="2"/>
      <c r="K44" s="2"/>
      <c r="L44" s="2"/>
      <c r="M44" s="2"/>
      <c r="N44" s="2"/>
      <c r="O44" s="2"/>
      <c r="P44" s="2"/>
      <c r="Q44" s="2"/>
      <c r="R44" s="6"/>
      <c r="S44" s="6"/>
      <c r="T44" s="6"/>
    </row>
    <row r="50" spans="19:20" ht="15" customHeight="1">
      <c r="S50" s="13"/>
      <c r="T50" s="13"/>
    </row>
  </sheetData>
  <mergeCells count="1">
    <mergeCell ref="E1:F1"/>
  </mergeCell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A7C38-B4B3-48C2-8EEE-A70D1413F81D}">
  <sheetPr filterMode="1">
    <outlinePr summaryBelow="0" summaryRight="0"/>
  </sheetPr>
  <dimension ref="A1:P6700"/>
  <sheetViews>
    <sheetView zoomScale="90" zoomScaleNormal="90" workbookViewId="0">
      <selection activeCell="E400" sqref="E400"/>
    </sheetView>
  </sheetViews>
  <sheetFormatPr defaultColWidth="14.3828125" defaultRowHeight="15" customHeight="1"/>
  <cols>
    <col min="1" max="2" width="14.3828125" style="209"/>
    <col min="3" max="3" width="34.3828125" style="209" customWidth="1"/>
    <col min="4" max="4" width="18.15234375" style="209" customWidth="1"/>
    <col min="5" max="5" width="20.3046875" style="695" bestFit="1" customWidth="1"/>
    <col min="6" max="8" width="14.3828125" style="209"/>
    <col min="9" max="9" width="24.15234375" style="209" customWidth="1"/>
    <col min="10" max="10" width="17.15234375" style="209" bestFit="1" customWidth="1"/>
    <col min="11" max="11" width="15.84375" style="209" bestFit="1" customWidth="1"/>
    <col min="12" max="12" width="17.15234375" style="209" bestFit="1" customWidth="1"/>
    <col min="13" max="13" width="14.69140625" style="209" bestFit="1" customWidth="1"/>
    <col min="14" max="14" width="24.3828125" style="209" bestFit="1" customWidth="1"/>
    <col min="15" max="15" width="18.3046875" style="209" bestFit="1" customWidth="1"/>
    <col min="16" max="16" width="18.3046875" style="209" customWidth="1"/>
    <col min="17" max="16384" width="14.3828125" style="209"/>
  </cols>
  <sheetData>
    <row r="1" spans="1:16" ht="15" customHeight="1">
      <c r="I1" s="1097" t="s">
        <v>102</v>
      </c>
      <c r="J1" s="1098" t="s">
        <v>103</v>
      </c>
      <c r="K1" s="1105"/>
      <c r="L1" s="1105"/>
      <c r="M1" s="1105"/>
      <c r="N1" s="1105"/>
      <c r="O1" s="1105"/>
      <c r="P1" s="1105"/>
    </row>
    <row r="2" spans="1:16" ht="15" customHeight="1">
      <c r="F2" s="564"/>
      <c r="I2" s="1097"/>
      <c r="J2" s="1106"/>
      <c r="K2" s="1107"/>
      <c r="L2" s="1107"/>
      <c r="M2" s="1107"/>
      <c r="N2" s="1107"/>
      <c r="O2" s="1107"/>
      <c r="P2" s="1107"/>
    </row>
    <row r="3" spans="1:16" ht="15.75" customHeight="1">
      <c r="B3" s="1108" t="s">
        <v>8117</v>
      </c>
      <c r="C3" s="1108"/>
      <c r="D3" s="1108"/>
      <c r="E3" s="1108"/>
      <c r="F3" s="1108"/>
      <c r="G3" s="692"/>
      <c r="I3" s="1097"/>
      <c r="J3" s="568" t="s">
        <v>8118</v>
      </c>
      <c r="K3" s="568" t="s">
        <v>8119</v>
      </c>
      <c r="L3" s="568" t="s">
        <v>8120</v>
      </c>
      <c r="M3" s="568" t="s">
        <v>8121</v>
      </c>
      <c r="N3" s="696" t="s">
        <v>8122</v>
      </c>
      <c r="O3" s="568" t="s">
        <v>9</v>
      </c>
      <c r="P3" s="568" t="s">
        <v>31</v>
      </c>
    </row>
    <row r="4" spans="1:16" ht="15.75" customHeight="1">
      <c r="B4" s="697" t="s">
        <v>102</v>
      </c>
      <c r="C4" s="697" t="s">
        <v>112</v>
      </c>
      <c r="D4" s="698" t="s">
        <v>113</v>
      </c>
      <c r="E4" s="699" t="s">
        <v>16</v>
      </c>
      <c r="F4" s="700" t="s">
        <v>8123</v>
      </c>
      <c r="G4" s="700" t="s">
        <v>104</v>
      </c>
      <c r="I4" s="579">
        <v>45292</v>
      </c>
      <c r="J4" s="577">
        <f>+SUMIFS($E$5:$E$1048576,$C$5:$C$1048576,J3,$F$5:$F$1048576,I4)</f>
        <v>-156440</v>
      </c>
      <c r="K4" s="577">
        <f>+SUMIFS($E$5:$E$1048576,$C$5:$C$1048576,K3,$F$5:$F$1048576,I4)</f>
        <v>-26282</v>
      </c>
      <c r="L4" s="577">
        <f>+SUMIFS($E$5:$E$1048576,$C$5:$C$1048576,L3,$F$5:$F$1048576,$I$4)</f>
        <v>-6092439</v>
      </c>
      <c r="M4" s="577">
        <f>+SUMIFS($E$5:$E$1048576,$C$5:$C$1048576,M3,$F$5:$F$1048576,$I$4)</f>
        <v>-14190</v>
      </c>
      <c r="N4" s="577">
        <f>+SUMIFS($E$5:$E$1048576,$C$5:$C$1048576,N3,$F$5:$F$1048576,$I$4)</f>
        <v>203.44</v>
      </c>
      <c r="O4" s="577">
        <f>+SUM(J4:N4)</f>
        <v>-6289147.5599999996</v>
      </c>
      <c r="P4" s="577" t="e">
        <f>+O4=#REF!</f>
        <v>#REF!</v>
      </c>
    </row>
    <row r="5" spans="1:16" s="182" customFormat="1" ht="15.75" hidden="1" customHeight="1">
      <c r="A5" s="175"/>
      <c r="B5" s="176">
        <v>45308</v>
      </c>
      <c r="C5" s="177" t="s">
        <v>8118</v>
      </c>
      <c r="D5" s="178" t="s">
        <v>27</v>
      </c>
      <c r="E5" s="276">
        <v>-49200</v>
      </c>
      <c r="F5" s="179">
        <v>45292</v>
      </c>
      <c r="G5" s="179" t="s">
        <v>130</v>
      </c>
      <c r="H5" s="180"/>
      <c r="I5" s="179">
        <v>45323</v>
      </c>
      <c r="J5" s="172">
        <f>+SUMIFS($E$5:$E$1048576,$C$5:$C$1048576,J3,$F$5:$F$1048576,I5)</f>
        <v>-159200</v>
      </c>
      <c r="K5" s="172">
        <f t="shared" ref="K5:K10" si="0">SUMIFS(E$5:E$221,F$5:F$221,I5,G$5:G$221,$K$3)</f>
        <v>0</v>
      </c>
      <c r="L5" s="172">
        <f t="shared" ref="L5:L20" si="1">+J5+K5</f>
        <v>-159200</v>
      </c>
      <c r="M5" s="172">
        <f t="shared" ref="M5:M10" si="2">SUMIFS(E$5:E$221,F$5:F$221,I5,G$5:G$221,$M$3)</f>
        <v>0</v>
      </c>
      <c r="N5" s="172">
        <f t="shared" ref="N5:N21" si="3">-SUMIFS(E$5:E$2272,F$5:F$2272,I5,G$5:G$2272,$N$3)</f>
        <v>0</v>
      </c>
      <c r="O5" s="172"/>
      <c r="P5" s="172"/>
    </row>
    <row r="6" spans="1:16" s="182" customFormat="1" ht="15.75" hidden="1" customHeight="1">
      <c r="A6" s="175"/>
      <c r="B6" s="176">
        <v>45308</v>
      </c>
      <c r="C6" s="177" t="s">
        <v>8124</v>
      </c>
      <c r="D6" s="178" t="s">
        <v>27</v>
      </c>
      <c r="E6" s="276">
        <v>-9356</v>
      </c>
      <c r="F6" s="179">
        <v>45292</v>
      </c>
      <c r="G6" s="179" t="s">
        <v>104</v>
      </c>
      <c r="H6" s="180"/>
      <c r="I6" s="171">
        <v>45352</v>
      </c>
      <c r="J6" s="172">
        <f>+SUMIFS($E$5:$E$1048576,$C$5:$C$1048576,J5,$F$5:$F$1048576,I6)</f>
        <v>0</v>
      </c>
      <c r="K6" s="172">
        <f t="shared" si="0"/>
        <v>0</v>
      </c>
      <c r="L6" s="172">
        <f t="shared" si="1"/>
        <v>0</v>
      </c>
      <c r="M6" s="183">
        <f t="shared" si="2"/>
        <v>0</v>
      </c>
      <c r="N6" s="172">
        <f t="shared" si="3"/>
        <v>0</v>
      </c>
      <c r="O6" s="172"/>
      <c r="P6" s="172"/>
    </row>
    <row r="7" spans="1:16" s="182" customFormat="1" ht="15.75" hidden="1" customHeight="1">
      <c r="A7" s="175"/>
      <c r="B7" s="176">
        <v>45308</v>
      </c>
      <c r="C7" s="185" t="s">
        <v>8120</v>
      </c>
      <c r="D7" s="178" t="s">
        <v>27</v>
      </c>
      <c r="E7" s="276">
        <v>-4558702</v>
      </c>
      <c r="F7" s="179">
        <v>45292</v>
      </c>
      <c r="G7" s="179" t="s">
        <v>8125</v>
      </c>
      <c r="H7" s="180"/>
      <c r="I7" s="179">
        <v>45383</v>
      </c>
      <c r="J7" s="172">
        <f>+SUMIFS($E$5:$E$1048576,$C$5:$C$1048576,J6,$F$5:$F$1048576,I7)</f>
        <v>0</v>
      </c>
      <c r="K7" s="172">
        <f t="shared" si="0"/>
        <v>0</v>
      </c>
      <c r="L7" s="172">
        <f t="shared" si="1"/>
        <v>0</v>
      </c>
      <c r="M7" s="183">
        <f t="shared" si="2"/>
        <v>0</v>
      </c>
      <c r="N7" s="172">
        <f t="shared" si="3"/>
        <v>0</v>
      </c>
      <c r="O7" s="172"/>
      <c r="P7" s="172"/>
    </row>
    <row r="8" spans="1:16" s="182" customFormat="1" ht="15.75" hidden="1" customHeight="1">
      <c r="A8" s="175"/>
      <c r="B8" s="176">
        <v>45308</v>
      </c>
      <c r="C8" s="185" t="s">
        <v>8118</v>
      </c>
      <c r="D8" s="178" t="s">
        <v>181</v>
      </c>
      <c r="E8" s="276">
        <v>-10400</v>
      </c>
      <c r="F8" s="179">
        <v>45292</v>
      </c>
      <c r="G8" s="179" t="s">
        <v>104</v>
      </c>
      <c r="H8" s="180"/>
      <c r="I8" s="171">
        <v>45413</v>
      </c>
      <c r="J8" s="172">
        <f>+SUMIFS($E$5:$E$1048576,$C$5:$C$1048576,J7,$F$5:$F$1048576,I8)</f>
        <v>0</v>
      </c>
      <c r="K8" s="172">
        <f t="shared" si="0"/>
        <v>0</v>
      </c>
      <c r="L8" s="172">
        <f t="shared" si="1"/>
        <v>0</v>
      </c>
      <c r="M8" s="183">
        <f t="shared" si="2"/>
        <v>0</v>
      </c>
      <c r="N8" s="172">
        <f t="shared" si="3"/>
        <v>0</v>
      </c>
      <c r="O8" s="172"/>
      <c r="P8" s="172"/>
    </row>
    <row r="9" spans="1:16" s="182" customFormat="1" ht="15.75" hidden="1" customHeight="1">
      <c r="A9" s="175"/>
      <c r="B9" s="176">
        <v>45307</v>
      </c>
      <c r="C9" s="177" t="s">
        <v>8121</v>
      </c>
      <c r="D9" s="178" t="s">
        <v>25</v>
      </c>
      <c r="E9" s="276">
        <v>-14190</v>
      </c>
      <c r="F9" s="179">
        <v>45292</v>
      </c>
      <c r="G9" s="179" t="s">
        <v>104</v>
      </c>
      <c r="H9" s="180"/>
      <c r="I9" s="171">
        <v>45474</v>
      </c>
      <c r="J9" s="172">
        <f>+SUMIFS($E$5:$E$1048576,$C$5:$C$1048576,J8,$F$5:$F$1048576,I9)</f>
        <v>0</v>
      </c>
      <c r="K9" s="172">
        <f t="shared" si="0"/>
        <v>0</v>
      </c>
      <c r="L9" s="172">
        <f t="shared" si="1"/>
        <v>0</v>
      </c>
      <c r="M9" s="172">
        <f t="shared" si="2"/>
        <v>0</v>
      </c>
      <c r="N9" s="172">
        <f t="shared" si="3"/>
        <v>0</v>
      </c>
      <c r="O9" s="172"/>
      <c r="P9" s="172"/>
    </row>
    <row r="10" spans="1:16" s="182" customFormat="1" ht="15.75" hidden="1" customHeight="1">
      <c r="A10" s="175"/>
      <c r="B10" s="176">
        <v>45307</v>
      </c>
      <c r="C10" s="185" t="s">
        <v>8122</v>
      </c>
      <c r="D10" s="178" t="s">
        <v>25</v>
      </c>
      <c r="E10" s="276">
        <v>67.39</v>
      </c>
      <c r="F10" s="179">
        <v>45292</v>
      </c>
      <c r="G10" s="179" t="s">
        <v>104</v>
      </c>
      <c r="H10" s="180"/>
      <c r="I10" s="179">
        <v>45505</v>
      </c>
      <c r="J10" s="172">
        <f>+SUMIFS($E$5:$E$1048576,$C$5:$C$1048576,J9,$F$5:$F$1048576,I10)</f>
        <v>0</v>
      </c>
      <c r="K10" s="172">
        <f t="shared" si="0"/>
        <v>0</v>
      </c>
      <c r="L10" s="172">
        <f t="shared" si="1"/>
        <v>0</v>
      </c>
      <c r="M10" s="172">
        <f t="shared" si="2"/>
        <v>0</v>
      </c>
      <c r="N10" s="172">
        <f t="shared" si="3"/>
        <v>0</v>
      </c>
      <c r="O10" s="172"/>
      <c r="P10" s="172"/>
    </row>
    <row r="11" spans="1:16" s="182" customFormat="1" ht="15.75" hidden="1" customHeight="1">
      <c r="A11" s="175"/>
      <c r="B11" s="176">
        <v>45317</v>
      </c>
      <c r="C11" s="185" t="s">
        <v>8122</v>
      </c>
      <c r="D11" s="178" t="s">
        <v>25</v>
      </c>
      <c r="E11" s="276">
        <v>36.93</v>
      </c>
      <c r="F11" s="179">
        <v>45292</v>
      </c>
      <c r="G11" s="179" t="s">
        <v>104</v>
      </c>
      <c r="H11" s="180"/>
      <c r="I11" s="171">
        <v>45597</v>
      </c>
      <c r="J11" s="172"/>
      <c r="K11" s="183">
        <f t="shared" ref="K11:K22" si="4">SUMIFS(E$5:E$2272,F$5:F$2272,I11,G$5:G$2272,$K$3)</f>
        <v>0</v>
      </c>
      <c r="L11" s="172">
        <f t="shared" si="1"/>
        <v>0</v>
      </c>
      <c r="M11" s="183">
        <f t="shared" ref="M11:M22" si="5">SUMIFS(E$5:E$2272,F$5:F$2272,I11,G$5:G$2272,$M$3)</f>
        <v>0</v>
      </c>
      <c r="N11" s="172">
        <f t="shared" si="3"/>
        <v>0</v>
      </c>
      <c r="O11" s="172"/>
      <c r="P11" s="172"/>
    </row>
    <row r="12" spans="1:16" s="182" customFormat="1" ht="15.75" hidden="1" customHeight="1">
      <c r="A12" s="175"/>
      <c r="B12" s="176">
        <v>45308</v>
      </c>
      <c r="C12" s="185" t="s">
        <v>8120</v>
      </c>
      <c r="D12" s="178" t="s">
        <v>181</v>
      </c>
      <c r="E12" s="276">
        <v>-32040</v>
      </c>
      <c r="F12" s="179">
        <v>45292</v>
      </c>
      <c r="G12" s="179" t="s">
        <v>8125</v>
      </c>
      <c r="H12" s="180"/>
      <c r="I12" s="179">
        <v>45627</v>
      </c>
      <c r="J12" s="172"/>
      <c r="K12" s="183">
        <f t="shared" si="4"/>
        <v>0</v>
      </c>
      <c r="L12" s="172">
        <f t="shared" si="1"/>
        <v>0</v>
      </c>
      <c r="M12" s="183">
        <f t="shared" si="5"/>
        <v>0</v>
      </c>
      <c r="N12" s="172">
        <f t="shared" si="3"/>
        <v>0</v>
      </c>
      <c r="O12" s="172"/>
      <c r="P12" s="172"/>
    </row>
    <row r="13" spans="1:16" s="182" customFormat="1" ht="15.75" hidden="1" customHeight="1">
      <c r="A13" s="175"/>
      <c r="B13" s="176">
        <v>45317</v>
      </c>
      <c r="C13" s="185" t="s">
        <v>8118</v>
      </c>
      <c r="D13" s="178" t="s">
        <v>181</v>
      </c>
      <c r="E13" s="276">
        <v>-81480</v>
      </c>
      <c r="F13" s="179">
        <v>45292</v>
      </c>
      <c r="G13" s="179" t="s">
        <v>104</v>
      </c>
      <c r="H13" s="180"/>
      <c r="I13" s="171">
        <v>45658</v>
      </c>
      <c r="J13" s="172"/>
      <c r="K13" s="183">
        <f t="shared" si="4"/>
        <v>0</v>
      </c>
      <c r="L13" s="172">
        <f t="shared" si="1"/>
        <v>0</v>
      </c>
      <c r="M13" s="183">
        <f t="shared" si="5"/>
        <v>0</v>
      </c>
      <c r="N13" s="172">
        <f t="shared" si="3"/>
        <v>0</v>
      </c>
      <c r="O13" s="172"/>
      <c r="P13" s="172"/>
    </row>
    <row r="14" spans="1:16" s="182" customFormat="1" ht="15.75" hidden="1" customHeight="1">
      <c r="A14" s="175"/>
      <c r="B14" s="176">
        <v>45317</v>
      </c>
      <c r="C14" s="177" t="s">
        <v>8124</v>
      </c>
      <c r="D14" s="178" t="s">
        <v>181</v>
      </c>
      <c r="E14" s="276">
        <v>-13999</v>
      </c>
      <c r="F14" s="179">
        <v>45292</v>
      </c>
      <c r="G14" s="179" t="s">
        <v>104</v>
      </c>
      <c r="H14" s="180"/>
      <c r="I14" s="179">
        <v>45689</v>
      </c>
      <c r="J14" s="172"/>
      <c r="K14" s="183">
        <f t="shared" si="4"/>
        <v>0</v>
      </c>
      <c r="L14" s="172">
        <f t="shared" si="1"/>
        <v>0</v>
      </c>
      <c r="M14" s="183">
        <f t="shared" si="5"/>
        <v>0</v>
      </c>
      <c r="N14" s="172">
        <f t="shared" si="3"/>
        <v>0</v>
      </c>
      <c r="O14" s="172"/>
      <c r="P14" s="172"/>
    </row>
    <row r="15" spans="1:16" s="182" customFormat="1" ht="15.75" hidden="1" customHeight="1">
      <c r="A15" s="175"/>
      <c r="B15" s="176">
        <v>45317</v>
      </c>
      <c r="C15" s="177" t="s">
        <v>8118</v>
      </c>
      <c r="D15" s="178" t="s">
        <v>27</v>
      </c>
      <c r="E15" s="276">
        <v>-10880</v>
      </c>
      <c r="F15" s="179">
        <v>45292</v>
      </c>
      <c r="G15" s="179" t="s">
        <v>130</v>
      </c>
      <c r="H15" s="180"/>
      <c r="I15" s="171">
        <v>45717</v>
      </c>
      <c r="J15" s="172"/>
      <c r="K15" s="183">
        <f t="shared" si="4"/>
        <v>0</v>
      </c>
      <c r="L15" s="172">
        <f t="shared" si="1"/>
        <v>0</v>
      </c>
      <c r="M15" s="183">
        <f t="shared" si="5"/>
        <v>0</v>
      </c>
      <c r="N15" s="172">
        <f t="shared" si="3"/>
        <v>0</v>
      </c>
      <c r="O15" s="172"/>
      <c r="P15" s="172"/>
    </row>
    <row r="16" spans="1:16" s="182" customFormat="1" ht="15.75" hidden="1" customHeight="1">
      <c r="A16" s="175"/>
      <c r="B16" s="176">
        <v>45317</v>
      </c>
      <c r="C16" s="177" t="s">
        <v>8124</v>
      </c>
      <c r="D16" s="178" t="s">
        <v>27</v>
      </c>
      <c r="E16" s="276">
        <v>-2074</v>
      </c>
      <c r="F16" s="179">
        <v>45292</v>
      </c>
      <c r="G16" s="179" t="s">
        <v>104</v>
      </c>
      <c r="H16" s="180"/>
      <c r="I16" s="179">
        <v>45748</v>
      </c>
      <c r="J16" s="172"/>
      <c r="K16" s="183">
        <f t="shared" si="4"/>
        <v>0</v>
      </c>
      <c r="L16" s="172">
        <f t="shared" si="1"/>
        <v>0</v>
      </c>
      <c r="M16" s="183">
        <f t="shared" si="5"/>
        <v>0</v>
      </c>
      <c r="N16" s="172">
        <f t="shared" si="3"/>
        <v>0</v>
      </c>
      <c r="O16" s="172"/>
      <c r="P16" s="172"/>
    </row>
    <row r="17" spans="1:16" s="182" customFormat="1" ht="15.75" hidden="1" customHeight="1">
      <c r="A17" s="175"/>
      <c r="B17" s="176">
        <v>45317</v>
      </c>
      <c r="C17" s="185" t="s">
        <v>8120</v>
      </c>
      <c r="D17" s="178" t="s">
        <v>27</v>
      </c>
      <c r="E17" s="276">
        <v>-1027852</v>
      </c>
      <c r="F17" s="179">
        <v>45292</v>
      </c>
      <c r="G17" s="179" t="s">
        <v>8125</v>
      </c>
      <c r="H17" s="180"/>
      <c r="I17" s="171">
        <v>45778</v>
      </c>
      <c r="J17" s="172"/>
      <c r="K17" s="183">
        <f t="shared" si="4"/>
        <v>0</v>
      </c>
      <c r="L17" s="172">
        <f t="shared" si="1"/>
        <v>0</v>
      </c>
      <c r="M17" s="183">
        <f t="shared" si="5"/>
        <v>0</v>
      </c>
      <c r="N17" s="172">
        <f t="shared" si="3"/>
        <v>0</v>
      </c>
      <c r="O17" s="172"/>
      <c r="P17" s="172"/>
    </row>
    <row r="18" spans="1:16" s="182" customFormat="1" ht="15.75" hidden="1" customHeight="1">
      <c r="A18" s="175"/>
      <c r="B18" s="176">
        <v>45322</v>
      </c>
      <c r="C18" s="177" t="s">
        <v>8118</v>
      </c>
      <c r="D18" s="178" t="s">
        <v>27</v>
      </c>
      <c r="E18" s="276">
        <v>-4480</v>
      </c>
      <c r="F18" s="179">
        <v>45292</v>
      </c>
      <c r="G18" s="179" t="s">
        <v>130</v>
      </c>
      <c r="H18" s="180"/>
      <c r="I18" s="179">
        <v>45809</v>
      </c>
      <c r="J18" s="172"/>
      <c r="K18" s="183">
        <f t="shared" si="4"/>
        <v>0</v>
      </c>
      <c r="L18" s="172">
        <f t="shared" si="1"/>
        <v>0</v>
      </c>
      <c r="M18" s="183">
        <f t="shared" si="5"/>
        <v>0</v>
      </c>
      <c r="N18" s="172">
        <f t="shared" si="3"/>
        <v>0</v>
      </c>
      <c r="O18" s="172"/>
      <c r="P18" s="172"/>
    </row>
    <row r="19" spans="1:16" s="182" customFormat="1" ht="15.75" hidden="1" customHeight="1">
      <c r="A19" s="175"/>
      <c r="B19" s="176">
        <v>45322</v>
      </c>
      <c r="C19" s="177" t="s">
        <v>8124</v>
      </c>
      <c r="D19" s="178" t="s">
        <v>27</v>
      </c>
      <c r="E19" s="276">
        <v>-853</v>
      </c>
      <c r="F19" s="179">
        <v>45292</v>
      </c>
      <c r="G19" s="179" t="s">
        <v>104</v>
      </c>
      <c r="H19" s="180"/>
      <c r="I19" s="179">
        <v>45870</v>
      </c>
      <c r="J19" s="172"/>
      <c r="K19" s="183">
        <f t="shared" si="4"/>
        <v>0</v>
      </c>
      <c r="L19" s="172">
        <f t="shared" si="1"/>
        <v>0</v>
      </c>
      <c r="M19" s="183">
        <f t="shared" si="5"/>
        <v>0</v>
      </c>
      <c r="N19" s="172">
        <f t="shared" si="3"/>
        <v>0</v>
      </c>
      <c r="O19" s="172"/>
      <c r="P19" s="172"/>
    </row>
    <row r="20" spans="1:16" s="182" customFormat="1" ht="15.75" hidden="1" customHeight="1">
      <c r="A20" s="175"/>
      <c r="B20" s="176">
        <v>45322</v>
      </c>
      <c r="C20" s="185" t="s">
        <v>8120</v>
      </c>
      <c r="D20" s="178" t="s">
        <v>27</v>
      </c>
      <c r="E20" s="276">
        <v>-446577</v>
      </c>
      <c r="F20" s="179">
        <v>45292</v>
      </c>
      <c r="G20" s="179" t="s">
        <v>8125</v>
      </c>
      <c r="H20" s="180"/>
      <c r="I20" s="171">
        <v>45901</v>
      </c>
      <c r="J20" s="172"/>
      <c r="K20" s="183">
        <f t="shared" si="4"/>
        <v>0</v>
      </c>
      <c r="L20" s="172">
        <f t="shared" si="1"/>
        <v>0</v>
      </c>
      <c r="M20" s="183">
        <f t="shared" si="5"/>
        <v>0</v>
      </c>
      <c r="N20" s="172">
        <f t="shared" si="3"/>
        <v>0</v>
      </c>
      <c r="O20" s="172"/>
      <c r="P20" s="172"/>
    </row>
    <row r="21" spans="1:16" s="182" customFormat="1" ht="15.75" hidden="1" customHeight="1">
      <c r="A21" s="175"/>
      <c r="B21" s="294">
        <v>45322</v>
      </c>
      <c r="C21" s="185" t="s">
        <v>8120</v>
      </c>
      <c r="D21" s="295" t="s">
        <v>181</v>
      </c>
      <c r="E21" s="296">
        <v>-27268</v>
      </c>
      <c r="F21" s="197">
        <v>45292</v>
      </c>
      <c r="G21" s="179" t="s">
        <v>8125</v>
      </c>
      <c r="H21" s="180"/>
      <c r="I21" s="179">
        <v>45931</v>
      </c>
      <c r="J21" s="172"/>
      <c r="K21" s="183">
        <f t="shared" si="4"/>
        <v>0</v>
      </c>
      <c r="L21" s="172">
        <f>+J21+K21</f>
        <v>0</v>
      </c>
      <c r="M21" s="183">
        <f t="shared" si="5"/>
        <v>0</v>
      </c>
      <c r="N21" s="172">
        <f t="shared" si="3"/>
        <v>0</v>
      </c>
      <c r="O21" s="172"/>
      <c r="P21" s="172"/>
    </row>
    <row r="22" spans="1:16" s="182" customFormat="1" ht="15.75" hidden="1" customHeight="1">
      <c r="A22" s="175"/>
      <c r="B22" s="297">
        <v>45322</v>
      </c>
      <c r="C22" s="185" t="s">
        <v>8122</v>
      </c>
      <c r="D22" s="299" t="s">
        <v>25</v>
      </c>
      <c r="E22" s="300">
        <v>99.12</v>
      </c>
      <c r="F22" s="173">
        <v>45292</v>
      </c>
      <c r="G22" s="173" t="s">
        <v>104</v>
      </c>
      <c r="H22" s="180"/>
      <c r="I22" s="171">
        <v>45962</v>
      </c>
      <c r="J22" s="172"/>
      <c r="K22" s="183">
        <f t="shared" si="4"/>
        <v>0</v>
      </c>
      <c r="L22" s="172">
        <f>+J22+K22</f>
        <v>0</v>
      </c>
      <c r="M22" s="183">
        <f t="shared" si="5"/>
        <v>0</v>
      </c>
      <c r="N22" s="172" t="e">
        <f>SUMIFS(#REF!,#REF!,I22,#REF!,$N$3)</f>
        <v>#REF!</v>
      </c>
      <c r="O22" s="172"/>
      <c r="P22" s="172"/>
    </row>
    <row r="23" spans="1:16" s="182" customFormat="1" ht="15.75" hidden="1" customHeight="1">
      <c r="A23" s="175"/>
      <c r="B23" s="297">
        <v>45322</v>
      </c>
      <c r="C23" s="298" t="s">
        <v>8126</v>
      </c>
      <c r="D23" s="299" t="s">
        <v>27</v>
      </c>
      <c r="E23" s="300">
        <f>21050.12</f>
        <v>21050.12</v>
      </c>
      <c r="F23" s="173">
        <v>45292</v>
      </c>
      <c r="G23" s="173" t="s">
        <v>104</v>
      </c>
      <c r="H23" s="180"/>
      <c r="I23" s="171"/>
      <c r="J23" s="172"/>
      <c r="K23" s="183"/>
      <c r="L23" s="172"/>
      <c r="M23" s="183"/>
      <c r="N23" s="172"/>
      <c r="O23" s="172"/>
      <c r="P23" s="172"/>
    </row>
    <row r="24" spans="1:16" s="182" customFormat="1" ht="15.75" hidden="1" customHeight="1">
      <c r="A24" s="175"/>
      <c r="B24" s="176">
        <v>45331</v>
      </c>
      <c r="C24" s="177" t="s">
        <v>8118</v>
      </c>
      <c r="D24" s="178" t="s">
        <v>27</v>
      </c>
      <c r="E24" s="276">
        <v>-14720</v>
      </c>
      <c r="F24" s="179">
        <v>45323</v>
      </c>
      <c r="G24" s="179" t="s">
        <v>130</v>
      </c>
      <c r="H24" s="180"/>
      <c r="I24" s="179">
        <v>45323</v>
      </c>
      <c r="J24" s="172">
        <f>+SUMIFS($E$5:$E$1048576,$C$5:$C$1048576,J23,$F$5:$F$1048576,I24)</f>
        <v>0</v>
      </c>
      <c r="K24" s="183">
        <f t="shared" ref="K24:K36" si="6">SUMIFS(E$5:E$2272,F$5:F$2272,I24,G$5:G$2272,$K$3)</f>
        <v>0</v>
      </c>
      <c r="L24" s="172">
        <f>+J24+K24</f>
        <v>0</v>
      </c>
      <c r="M24" s="183">
        <f t="shared" ref="M24:M30" si="7">SUMIFS(E$5:E$2272,F$5:F$2272,I24,G$5:G$2272,$M$3)</f>
        <v>0</v>
      </c>
      <c r="N24" s="172" t="e">
        <f>SUMIFS(#REF!,#REF!,I24,#REF!,$N$3)</f>
        <v>#REF!</v>
      </c>
      <c r="O24" s="172"/>
      <c r="P24" s="172"/>
    </row>
    <row r="25" spans="1:16" s="182" customFormat="1" ht="15.75" hidden="1" customHeight="1">
      <c r="A25" s="175"/>
      <c r="B25" s="176">
        <v>45331</v>
      </c>
      <c r="C25" s="177" t="s">
        <v>8124</v>
      </c>
      <c r="D25" s="178" t="s">
        <v>27</v>
      </c>
      <c r="E25" s="276">
        <v>-2806</v>
      </c>
      <c r="F25" s="179">
        <v>45323</v>
      </c>
      <c r="G25" s="179" t="s">
        <v>104</v>
      </c>
      <c r="H25" s="180"/>
      <c r="I25" s="171">
        <v>46023</v>
      </c>
      <c r="J25" s="172"/>
      <c r="K25" s="183">
        <f t="shared" si="6"/>
        <v>0</v>
      </c>
      <c r="L25" s="172">
        <f t="shared" ref="L25:L36" si="8">+J25+K25</f>
        <v>0</v>
      </c>
      <c r="M25" s="183">
        <f t="shared" si="7"/>
        <v>0</v>
      </c>
      <c r="N25" s="172" t="e">
        <f>SUMIFS(#REF!,#REF!,I25,#REF!,$N$3)</f>
        <v>#REF!</v>
      </c>
      <c r="O25" s="172"/>
      <c r="P25" s="172"/>
    </row>
    <row r="26" spans="1:16" s="182" customFormat="1" ht="15.75" hidden="1" customHeight="1">
      <c r="A26" s="175"/>
      <c r="B26" s="176">
        <v>45331</v>
      </c>
      <c r="C26" s="185" t="s">
        <v>8120</v>
      </c>
      <c r="D26" s="178" t="s">
        <v>27</v>
      </c>
      <c r="E26" s="276">
        <v>-799703</v>
      </c>
      <c r="F26" s="179">
        <v>45323</v>
      </c>
      <c r="G26" s="179" t="s">
        <v>8125</v>
      </c>
      <c r="H26" s="180"/>
      <c r="I26" s="179">
        <v>46054</v>
      </c>
      <c r="J26" s="172"/>
      <c r="K26" s="183">
        <f t="shared" si="6"/>
        <v>0</v>
      </c>
      <c r="L26" s="172">
        <f t="shared" si="8"/>
        <v>0</v>
      </c>
      <c r="M26" s="183">
        <f t="shared" si="7"/>
        <v>0</v>
      </c>
      <c r="N26" s="172" t="e">
        <f>SUMIFS(#REF!,#REF!,I26,#REF!,$N$3)</f>
        <v>#REF!</v>
      </c>
      <c r="O26" s="172"/>
      <c r="P26" s="172"/>
    </row>
    <row r="27" spans="1:16" s="182" customFormat="1" ht="15.75" hidden="1" customHeight="1">
      <c r="A27" s="175"/>
      <c r="B27" s="176">
        <v>45331</v>
      </c>
      <c r="C27" s="185" t="s">
        <v>8120</v>
      </c>
      <c r="D27" s="178" t="s">
        <v>181</v>
      </c>
      <c r="E27" s="276">
        <v>-16030</v>
      </c>
      <c r="F27" s="179">
        <v>45323</v>
      </c>
      <c r="G27" s="179" t="s">
        <v>8125</v>
      </c>
      <c r="H27" s="180"/>
      <c r="I27" s="171">
        <v>46082</v>
      </c>
      <c r="J27" s="172"/>
      <c r="K27" s="183">
        <f t="shared" si="6"/>
        <v>0</v>
      </c>
      <c r="L27" s="172">
        <f>+J27+K27</f>
        <v>0</v>
      </c>
      <c r="M27" s="183">
        <f t="shared" si="7"/>
        <v>0</v>
      </c>
      <c r="N27" s="172" t="e">
        <f>SUMIFS(#REF!,#REF!,I27,#REF!,$N$3)</f>
        <v>#REF!</v>
      </c>
      <c r="O27" s="172"/>
      <c r="P27" s="172"/>
    </row>
    <row r="28" spans="1:16" s="182" customFormat="1" ht="15.75" hidden="1" customHeight="1">
      <c r="A28" s="175"/>
      <c r="B28" s="176">
        <v>45331</v>
      </c>
      <c r="C28" s="185" t="s">
        <v>8118</v>
      </c>
      <c r="D28" s="178" t="s">
        <v>181</v>
      </c>
      <c r="E28" s="276">
        <v>-7800</v>
      </c>
      <c r="F28" s="179">
        <v>45323</v>
      </c>
      <c r="G28" s="179" t="s">
        <v>104</v>
      </c>
      <c r="H28" s="180"/>
      <c r="I28" s="179">
        <v>46113</v>
      </c>
      <c r="J28" s="172"/>
      <c r="K28" s="183">
        <f t="shared" si="6"/>
        <v>0</v>
      </c>
      <c r="L28" s="172">
        <f t="shared" si="8"/>
        <v>0</v>
      </c>
      <c r="M28" s="183">
        <f t="shared" si="7"/>
        <v>0</v>
      </c>
      <c r="N28" s="172" t="e">
        <f>SUMIFS(#REF!,#REF!,I28,#REF!,$N$3)</f>
        <v>#REF!</v>
      </c>
      <c r="O28" s="172"/>
      <c r="P28" s="172"/>
    </row>
    <row r="29" spans="1:16" s="182" customFormat="1" ht="15.75" hidden="1" customHeight="1">
      <c r="A29" s="175"/>
      <c r="B29" s="297">
        <v>45331</v>
      </c>
      <c r="C29" s="185" t="s">
        <v>8122</v>
      </c>
      <c r="D29" s="299" t="s">
        <v>25</v>
      </c>
      <c r="E29" s="300">
        <v>262.02999999999997</v>
      </c>
      <c r="F29" s="173">
        <v>45323</v>
      </c>
      <c r="G29" s="173" t="s">
        <v>104</v>
      </c>
      <c r="H29" s="180"/>
      <c r="I29" s="171">
        <v>46143</v>
      </c>
      <c r="J29" s="172"/>
      <c r="K29" s="183">
        <f t="shared" si="6"/>
        <v>0</v>
      </c>
      <c r="L29" s="172">
        <f t="shared" si="8"/>
        <v>0</v>
      </c>
      <c r="M29" s="183">
        <f t="shared" si="7"/>
        <v>0</v>
      </c>
      <c r="N29" s="172" t="e">
        <f>SUMIFS(#REF!,#REF!,I29,#REF!,$N$3)</f>
        <v>#REF!</v>
      </c>
      <c r="O29" s="172"/>
      <c r="P29" s="172"/>
    </row>
    <row r="30" spans="1:16" s="182" customFormat="1" ht="15.75" hidden="1" customHeight="1">
      <c r="A30" s="175"/>
      <c r="B30" s="297">
        <v>45341</v>
      </c>
      <c r="C30" s="185" t="s">
        <v>8122</v>
      </c>
      <c r="D30" s="299" t="s">
        <v>25</v>
      </c>
      <c r="E30" s="300">
        <v>405.16</v>
      </c>
      <c r="F30" s="173">
        <v>45323</v>
      </c>
      <c r="G30" s="173" t="s">
        <v>104</v>
      </c>
      <c r="H30" s="180"/>
      <c r="I30" s="179">
        <v>46174</v>
      </c>
      <c r="J30" s="172"/>
      <c r="K30" s="183">
        <f t="shared" si="6"/>
        <v>0</v>
      </c>
      <c r="L30" s="172">
        <f t="shared" si="8"/>
        <v>0</v>
      </c>
      <c r="M30" s="183">
        <f t="shared" si="7"/>
        <v>0</v>
      </c>
      <c r="N30" s="172" t="e">
        <f>SUMIFS(#REF!,#REF!,I30,#REF!,$N$3)</f>
        <v>#REF!</v>
      </c>
      <c r="O30" s="172"/>
      <c r="P30" s="172"/>
    </row>
    <row r="31" spans="1:16" s="182" customFormat="1" ht="15.75" hidden="1" customHeight="1">
      <c r="A31" s="175"/>
      <c r="B31" s="176">
        <v>45341</v>
      </c>
      <c r="C31" s="177" t="s">
        <v>8118</v>
      </c>
      <c r="D31" s="178" t="s">
        <v>27</v>
      </c>
      <c r="E31" s="276">
        <v>-10880</v>
      </c>
      <c r="F31" s="179">
        <v>45323</v>
      </c>
      <c r="G31" s="179" t="s">
        <v>130</v>
      </c>
      <c r="H31" s="180"/>
      <c r="I31" s="171">
        <v>46204</v>
      </c>
      <c r="J31" s="172"/>
      <c r="K31" s="183">
        <f t="shared" si="6"/>
        <v>0</v>
      </c>
      <c r="L31" s="172">
        <f>+J31+K31</f>
        <v>0</v>
      </c>
      <c r="M31" s="183">
        <f>SUMIFS(E$5:E$4975,F$5:F$4975,I31,G$5:G$4975,$M$3)</f>
        <v>0</v>
      </c>
      <c r="N31" s="172" t="e">
        <f>SUMIFS(#REF!,#REF!,I31,#REF!,$N$3)</f>
        <v>#REF!</v>
      </c>
      <c r="O31" s="172"/>
      <c r="P31" s="172"/>
    </row>
    <row r="32" spans="1:16" s="182" customFormat="1" ht="15.75" hidden="1" customHeight="1">
      <c r="A32" s="175"/>
      <c r="B32" s="176">
        <v>45341</v>
      </c>
      <c r="C32" s="177" t="s">
        <v>8124</v>
      </c>
      <c r="D32" s="178" t="s">
        <v>27</v>
      </c>
      <c r="E32" s="276">
        <v>-2072</v>
      </c>
      <c r="F32" s="179">
        <v>45323</v>
      </c>
      <c r="G32" s="179" t="s">
        <v>104</v>
      </c>
      <c r="H32" s="186"/>
      <c r="I32" s="179">
        <v>46235</v>
      </c>
      <c r="J32" s="172"/>
      <c r="K32" s="183">
        <f t="shared" si="6"/>
        <v>0</v>
      </c>
      <c r="L32" s="172">
        <f t="shared" si="8"/>
        <v>0</v>
      </c>
      <c r="M32" s="183">
        <f>SUMIFS(E$5:E$4975,F$5:F$4975,I32,G$5:G$4975,$M$3)</f>
        <v>0</v>
      </c>
      <c r="N32" s="172" t="e">
        <f>SUMIFS(#REF!,#REF!,I32,#REF!,$N$3)</f>
        <v>#REF!</v>
      </c>
      <c r="O32" s="172"/>
      <c r="P32" s="172"/>
    </row>
    <row r="33" spans="1:14" s="182" customFormat="1" ht="15.75" hidden="1" customHeight="1">
      <c r="A33" s="175"/>
      <c r="B33" s="176">
        <v>45341</v>
      </c>
      <c r="C33" s="185" t="s">
        <v>8120</v>
      </c>
      <c r="D33" s="178" t="s">
        <v>27</v>
      </c>
      <c r="E33" s="276">
        <v>-452253</v>
      </c>
      <c r="F33" s="179">
        <v>45323</v>
      </c>
      <c r="G33" s="179" t="s">
        <v>8125</v>
      </c>
      <c r="H33" s="180"/>
      <c r="I33" s="171">
        <v>46266</v>
      </c>
      <c r="J33" s="172"/>
      <c r="K33" s="183">
        <f t="shared" si="6"/>
        <v>0</v>
      </c>
      <c r="L33" s="172">
        <f t="shared" si="8"/>
        <v>0</v>
      </c>
      <c r="M33" s="183">
        <f>SUMIFS(E$5:E$4975,F$5:F$4975,I33,G$5:G$4975,$M$3)</f>
        <v>0</v>
      </c>
      <c r="N33" s="172" t="e">
        <f>SUMIFS(#REF!,#REF!,I33,#REF!,$N$3)</f>
        <v>#REF!</v>
      </c>
    </row>
    <row r="34" spans="1:14" s="182" customFormat="1" ht="15.75" hidden="1" customHeight="1">
      <c r="A34" s="175"/>
      <c r="B34" s="297">
        <v>45338</v>
      </c>
      <c r="C34" s="298" t="s">
        <v>8121</v>
      </c>
      <c r="D34" s="299" t="s">
        <v>141</v>
      </c>
      <c r="E34" s="300">
        <v>-14190</v>
      </c>
      <c r="F34" s="179">
        <v>45323</v>
      </c>
      <c r="G34" s="179" t="s">
        <v>104</v>
      </c>
      <c r="H34" s="180"/>
      <c r="I34" s="179">
        <v>46296</v>
      </c>
      <c r="J34" s="172"/>
      <c r="K34" s="183">
        <f t="shared" si="6"/>
        <v>0</v>
      </c>
      <c r="L34" s="172">
        <f t="shared" si="8"/>
        <v>0</v>
      </c>
      <c r="M34" s="183">
        <f>SUMIFS(E$5:E$2272,F$5:F$2272,I34,G$5:G$2272,$M$3)</f>
        <v>0</v>
      </c>
      <c r="N34" s="172" t="e">
        <f>SUMIFS(#REF!,#REF!,I34,#REF!,$N$3)</f>
        <v>#REF!</v>
      </c>
    </row>
    <row r="35" spans="1:14" s="182" customFormat="1" ht="15.75" hidden="1" customHeight="1">
      <c r="A35" s="175"/>
      <c r="B35" s="176">
        <v>45338</v>
      </c>
      <c r="C35" s="185" t="s">
        <v>8120</v>
      </c>
      <c r="D35" s="178" t="s">
        <v>181</v>
      </c>
      <c r="E35" s="276">
        <v>-24040</v>
      </c>
      <c r="F35" s="179">
        <v>45323</v>
      </c>
      <c r="G35" s="179" t="s">
        <v>8125</v>
      </c>
      <c r="H35" s="180"/>
      <c r="I35" s="171">
        <v>46327</v>
      </c>
      <c r="J35" s="172"/>
      <c r="K35" s="183">
        <f t="shared" si="6"/>
        <v>0</v>
      </c>
      <c r="L35" s="172">
        <f t="shared" si="8"/>
        <v>0</v>
      </c>
      <c r="M35" s="183">
        <f>SUMIFS(E$5:E$2272,F$5:F$2272,I35,G$5:G$2272,$M$3)</f>
        <v>0</v>
      </c>
      <c r="N35" s="172" t="e">
        <f>SUMIFS(#REF!,#REF!,I35,#REF!,$N$3)</f>
        <v>#REF!</v>
      </c>
    </row>
    <row r="36" spans="1:14" s="182" customFormat="1" ht="15.75" hidden="1" customHeight="1">
      <c r="A36" s="175"/>
      <c r="B36" s="176">
        <v>45337</v>
      </c>
      <c r="C36" s="185" t="s">
        <v>8118</v>
      </c>
      <c r="D36" s="178" t="s">
        <v>181</v>
      </c>
      <c r="E36" s="276">
        <v>-10400</v>
      </c>
      <c r="F36" s="179">
        <v>45323</v>
      </c>
      <c r="G36" s="179" t="s">
        <v>104</v>
      </c>
      <c r="H36" s="180"/>
      <c r="I36" s="179">
        <v>46357</v>
      </c>
      <c r="J36" s="172"/>
      <c r="K36" s="183">
        <f t="shared" si="6"/>
        <v>0</v>
      </c>
      <c r="L36" s="172">
        <f t="shared" si="8"/>
        <v>0</v>
      </c>
      <c r="M36" s="183">
        <f>SUMIFS(E$5:E$2272,F$5:F$2272,I36,G$5:G$2272,$M$3)</f>
        <v>0</v>
      </c>
      <c r="N36" s="172" t="e">
        <f>SUMIFS(#REF!,#REF!,I36,#REF!,$N$3)</f>
        <v>#REF!</v>
      </c>
    </row>
    <row r="37" spans="1:14" s="182" customFormat="1" ht="15.75" hidden="1" customHeight="1">
      <c r="A37" s="175"/>
      <c r="B37" s="184">
        <v>45342</v>
      </c>
      <c r="C37" s="185" t="s">
        <v>8126</v>
      </c>
      <c r="D37" s="178" t="s">
        <v>8126</v>
      </c>
      <c r="E37" s="276">
        <f>-139997.6+1034.8</f>
        <v>-138962.80000000002</v>
      </c>
      <c r="F37" s="179">
        <v>45323</v>
      </c>
      <c r="G37" s="179" t="s">
        <v>104</v>
      </c>
      <c r="H37" s="180"/>
      <c r="I37" s="180"/>
      <c r="J37" s="180"/>
      <c r="K37" s="187"/>
      <c r="L37" s="181"/>
      <c r="M37" s="180"/>
      <c r="N37" s="180"/>
    </row>
    <row r="38" spans="1:14" s="182" customFormat="1" ht="15" hidden="1" customHeight="1">
      <c r="A38" s="188"/>
      <c r="B38" s="176">
        <v>45345</v>
      </c>
      <c r="C38" s="185" t="s">
        <v>8120</v>
      </c>
      <c r="D38" s="178" t="s">
        <v>181</v>
      </c>
      <c r="E38" s="276">
        <v>-16835</v>
      </c>
      <c r="F38" s="179">
        <v>45323</v>
      </c>
      <c r="G38" s="179" t="s">
        <v>8125</v>
      </c>
      <c r="K38" s="189"/>
      <c r="L38" s="181"/>
    </row>
    <row r="39" spans="1:14" s="182" customFormat="1" ht="15.75" hidden="1" customHeight="1">
      <c r="A39" s="175"/>
      <c r="B39" s="176">
        <v>45345</v>
      </c>
      <c r="C39" s="185" t="s">
        <v>8118</v>
      </c>
      <c r="D39" s="178" t="s">
        <v>181</v>
      </c>
      <c r="E39" s="276">
        <v>-78880</v>
      </c>
      <c r="F39" s="179">
        <v>45323</v>
      </c>
      <c r="G39" s="179" t="s">
        <v>104</v>
      </c>
      <c r="H39" s="180"/>
      <c r="I39" s="180"/>
      <c r="J39" s="180"/>
      <c r="K39" s="187"/>
      <c r="L39" s="181"/>
      <c r="M39" s="180"/>
      <c r="N39" s="180"/>
    </row>
    <row r="40" spans="1:14" s="182" customFormat="1" ht="15.75" hidden="1" customHeight="1">
      <c r="A40" s="175"/>
      <c r="B40" s="176">
        <v>45345</v>
      </c>
      <c r="C40" s="177" t="s">
        <v>8124</v>
      </c>
      <c r="D40" s="178" t="s">
        <v>181</v>
      </c>
      <c r="E40" s="276">
        <v>-13999</v>
      </c>
      <c r="F40" s="179">
        <v>45323</v>
      </c>
      <c r="G40" s="179" t="s">
        <v>104</v>
      </c>
      <c r="H40" s="180"/>
      <c r="I40" s="180"/>
      <c r="J40" s="180"/>
      <c r="K40" s="187"/>
      <c r="L40" s="181"/>
      <c r="M40" s="180"/>
      <c r="N40" s="180"/>
    </row>
    <row r="41" spans="1:14" s="182" customFormat="1" ht="15.75" hidden="1" customHeight="1">
      <c r="A41" s="175"/>
      <c r="B41" s="297">
        <v>45342</v>
      </c>
      <c r="C41" s="185" t="s">
        <v>8122</v>
      </c>
      <c r="D41" s="299" t="s">
        <v>25</v>
      </c>
      <c r="E41" s="300">
        <v>162.84</v>
      </c>
      <c r="F41" s="173">
        <v>45323</v>
      </c>
      <c r="G41" s="173" t="s">
        <v>104</v>
      </c>
      <c r="H41" s="181"/>
      <c r="I41" s="180"/>
      <c r="J41" s="180"/>
      <c r="K41" s="187"/>
      <c r="L41" s="181"/>
      <c r="M41" s="180"/>
      <c r="N41" s="180"/>
    </row>
    <row r="42" spans="1:14" s="182" customFormat="1" ht="15.75" hidden="1" customHeight="1">
      <c r="A42" s="175"/>
      <c r="B42" s="176">
        <v>45345</v>
      </c>
      <c r="C42" s="177" t="s">
        <v>8118</v>
      </c>
      <c r="D42" s="178" t="s">
        <v>27</v>
      </c>
      <c r="E42" s="276">
        <v>-20440</v>
      </c>
      <c r="F42" s="179">
        <v>45323</v>
      </c>
      <c r="G42" s="179" t="s">
        <v>130</v>
      </c>
      <c r="H42" s="181"/>
      <c r="I42" s="180"/>
      <c r="J42" s="180"/>
      <c r="K42" s="187"/>
      <c r="L42" s="181"/>
      <c r="M42" s="180"/>
      <c r="N42" s="180"/>
    </row>
    <row r="43" spans="1:14" s="182" customFormat="1" ht="15.75" hidden="1" customHeight="1">
      <c r="A43" s="175"/>
      <c r="B43" s="176">
        <v>45345</v>
      </c>
      <c r="C43" s="177" t="s">
        <v>8124</v>
      </c>
      <c r="D43" s="178" t="s">
        <v>27</v>
      </c>
      <c r="E43" s="276">
        <v>-3886.4</v>
      </c>
      <c r="F43" s="179">
        <v>45323</v>
      </c>
      <c r="G43" s="179" t="s">
        <v>104</v>
      </c>
      <c r="H43" s="181"/>
      <c r="I43" s="180"/>
      <c r="J43" s="180"/>
      <c r="K43" s="180"/>
      <c r="L43" s="180"/>
      <c r="M43" s="180"/>
      <c r="N43" s="180"/>
    </row>
    <row r="44" spans="1:14" s="182" customFormat="1" ht="15.75" hidden="1" customHeight="1">
      <c r="A44" s="175"/>
      <c r="B44" s="176">
        <v>45345</v>
      </c>
      <c r="C44" s="185" t="s">
        <v>8120</v>
      </c>
      <c r="D44" s="178" t="s">
        <v>27</v>
      </c>
      <c r="E44" s="276">
        <v>-174290</v>
      </c>
      <c r="F44" s="179">
        <v>45323</v>
      </c>
      <c r="G44" s="179" t="s">
        <v>8125</v>
      </c>
      <c r="H44" s="181"/>
      <c r="I44" s="180"/>
      <c r="J44" s="180"/>
      <c r="K44" s="180"/>
      <c r="L44" s="180"/>
      <c r="M44" s="180"/>
      <c r="N44" s="180"/>
    </row>
    <row r="45" spans="1:14" s="182" customFormat="1" ht="15.75" hidden="1" customHeight="1">
      <c r="A45" s="175"/>
      <c r="B45" s="176">
        <v>45345</v>
      </c>
      <c r="C45" s="185" t="s">
        <v>8122</v>
      </c>
      <c r="D45" s="178" t="s">
        <v>40</v>
      </c>
      <c r="E45" s="276">
        <v>661817.36</v>
      </c>
      <c r="F45" s="179">
        <v>45323</v>
      </c>
      <c r="G45" s="179" t="s">
        <v>104</v>
      </c>
      <c r="H45" s="181"/>
      <c r="I45" s="180"/>
      <c r="J45" s="180"/>
      <c r="K45" s="180"/>
      <c r="L45" s="180"/>
      <c r="M45" s="180"/>
      <c r="N45" s="180"/>
    </row>
    <row r="46" spans="1:14" s="182" customFormat="1" ht="15.75" hidden="1" customHeight="1">
      <c r="A46" s="175"/>
      <c r="B46" s="184">
        <v>45351</v>
      </c>
      <c r="C46" s="185" t="s">
        <v>8127</v>
      </c>
      <c r="D46" s="178" t="s">
        <v>27</v>
      </c>
      <c r="E46" s="276">
        <v>-10880</v>
      </c>
      <c r="F46" s="179">
        <v>45323</v>
      </c>
      <c r="G46" s="179" t="s">
        <v>104</v>
      </c>
      <c r="H46" s="181"/>
      <c r="J46" s="180"/>
      <c r="K46" s="180"/>
      <c r="L46" s="180"/>
      <c r="M46" s="180"/>
      <c r="N46" s="180"/>
    </row>
    <row r="47" spans="1:14" s="182" customFormat="1" ht="15.75" hidden="1" customHeight="1">
      <c r="A47" s="175"/>
      <c r="B47" s="184">
        <v>45351</v>
      </c>
      <c r="C47" s="177" t="s">
        <v>8124</v>
      </c>
      <c r="D47" s="178" t="s">
        <v>27</v>
      </c>
      <c r="E47" s="276">
        <v>-2072</v>
      </c>
      <c r="F47" s="179">
        <v>45323</v>
      </c>
      <c r="G47" s="179" t="s">
        <v>104</v>
      </c>
      <c r="H47" s="180"/>
      <c r="J47" s="180"/>
      <c r="K47" s="180"/>
      <c r="L47" s="180"/>
      <c r="M47" s="180"/>
      <c r="N47" s="180"/>
    </row>
    <row r="48" spans="1:14" s="182" customFormat="1" ht="15.75" hidden="1" customHeight="1">
      <c r="A48" s="175"/>
      <c r="B48" s="184">
        <v>45351</v>
      </c>
      <c r="C48" s="185" t="s">
        <v>8120</v>
      </c>
      <c r="D48" s="178" t="s">
        <v>27</v>
      </c>
      <c r="E48" s="276">
        <v>-550447</v>
      </c>
      <c r="F48" s="179">
        <v>45323</v>
      </c>
      <c r="G48" s="179" t="s">
        <v>8125</v>
      </c>
    </row>
    <row r="49" spans="1:7" s="182" customFormat="1" ht="15.75" hidden="1" customHeight="1">
      <c r="A49" s="175"/>
      <c r="B49" s="184">
        <v>45351</v>
      </c>
      <c r="C49" s="185" t="s">
        <v>8122</v>
      </c>
      <c r="D49" s="299" t="s">
        <v>25</v>
      </c>
      <c r="E49" s="276">
        <v>162.44</v>
      </c>
      <c r="F49" s="179">
        <v>45323</v>
      </c>
      <c r="G49" s="179" t="s">
        <v>104</v>
      </c>
    </row>
    <row r="50" spans="1:7" s="182" customFormat="1" ht="15.75" hidden="1" customHeight="1">
      <c r="A50" s="175"/>
      <c r="B50" s="184">
        <v>45351</v>
      </c>
      <c r="C50" s="185" t="s">
        <v>8120</v>
      </c>
      <c r="D50" s="178" t="s">
        <v>181</v>
      </c>
      <c r="E50" s="276">
        <v>-26721</v>
      </c>
      <c r="F50" s="179">
        <v>45323</v>
      </c>
      <c r="G50" s="179" t="s">
        <v>8125</v>
      </c>
    </row>
    <row r="51" spans="1:7" s="182" customFormat="1" ht="15.75" hidden="1" customHeight="1">
      <c r="A51" s="175"/>
      <c r="B51" s="184">
        <v>45351</v>
      </c>
      <c r="C51" s="185" t="s">
        <v>8118</v>
      </c>
      <c r="D51" s="178" t="s">
        <v>181</v>
      </c>
      <c r="E51" s="276">
        <v>-5200</v>
      </c>
      <c r="F51" s="179">
        <v>45323</v>
      </c>
      <c r="G51" s="179" t="s">
        <v>104</v>
      </c>
    </row>
    <row r="52" spans="1:7" s="182" customFormat="1" ht="15.75" hidden="1" customHeight="1">
      <c r="A52" s="175"/>
      <c r="B52" s="184">
        <v>45351</v>
      </c>
      <c r="C52" s="185" t="s">
        <v>8121</v>
      </c>
      <c r="D52" s="178" t="s">
        <v>8128</v>
      </c>
      <c r="E52" s="278">
        <v>-14250</v>
      </c>
      <c r="F52" s="179">
        <v>45323</v>
      </c>
      <c r="G52" s="179" t="s">
        <v>104</v>
      </c>
    </row>
    <row r="53" spans="1:7" s="182" customFormat="1" ht="15.75" hidden="1" customHeight="1">
      <c r="A53" s="175"/>
      <c r="B53" s="184">
        <v>45351</v>
      </c>
      <c r="C53" s="185" t="s">
        <v>8120</v>
      </c>
      <c r="D53" s="178" t="s">
        <v>8128</v>
      </c>
      <c r="E53" s="278">
        <v>-57</v>
      </c>
      <c r="F53" s="179">
        <v>45323</v>
      </c>
      <c r="G53" s="179" t="s">
        <v>8125</v>
      </c>
    </row>
    <row r="54" spans="1:7" s="182" customFormat="1" ht="15.75" hidden="1" customHeight="1">
      <c r="A54" s="175"/>
      <c r="B54" s="176">
        <v>45359</v>
      </c>
      <c r="C54" s="177" t="s">
        <v>8118</v>
      </c>
      <c r="D54" s="178" t="s">
        <v>27</v>
      </c>
      <c r="E54" s="276">
        <v>-28760</v>
      </c>
      <c r="F54" s="179">
        <v>45352</v>
      </c>
      <c r="G54" s="179" t="s">
        <v>130</v>
      </c>
    </row>
    <row r="55" spans="1:7" s="182" customFormat="1" ht="15.75" hidden="1" customHeight="1">
      <c r="A55" s="175"/>
      <c r="B55" s="176">
        <v>45359</v>
      </c>
      <c r="C55" s="177" t="s">
        <v>8124</v>
      </c>
      <c r="D55" s="178" t="s">
        <v>27</v>
      </c>
      <c r="E55" s="276">
        <v>-5472.4</v>
      </c>
      <c r="F55" s="179">
        <v>45352</v>
      </c>
      <c r="G55" s="179" t="s">
        <v>104</v>
      </c>
    </row>
    <row r="56" spans="1:7" s="182" customFormat="1" ht="15.75" hidden="1" customHeight="1">
      <c r="A56" s="175"/>
      <c r="B56" s="176">
        <v>45359</v>
      </c>
      <c r="C56" s="185" t="s">
        <v>8120</v>
      </c>
      <c r="D56" s="178" t="s">
        <v>27</v>
      </c>
      <c r="E56" s="276">
        <v>-598911</v>
      </c>
      <c r="F56" s="179">
        <v>45352</v>
      </c>
      <c r="G56" s="179" t="s">
        <v>8125</v>
      </c>
    </row>
    <row r="57" spans="1:7" s="182" customFormat="1" ht="15.75" hidden="1" customHeight="1">
      <c r="A57" s="175"/>
      <c r="B57" s="176">
        <v>45359</v>
      </c>
      <c r="C57" s="185" t="s">
        <v>8120</v>
      </c>
      <c r="D57" s="178" t="s">
        <v>181</v>
      </c>
      <c r="E57" s="276">
        <v>-16020</v>
      </c>
      <c r="F57" s="179">
        <v>45352</v>
      </c>
      <c r="G57" s="179" t="s">
        <v>8125</v>
      </c>
    </row>
    <row r="58" spans="1:7" s="182" customFormat="1" ht="15.75" hidden="1" customHeight="1">
      <c r="A58" s="175"/>
      <c r="B58" s="176">
        <v>45359</v>
      </c>
      <c r="C58" s="185" t="s">
        <v>8118</v>
      </c>
      <c r="D58" s="178" t="s">
        <v>181</v>
      </c>
      <c r="E58" s="276">
        <v>-5200</v>
      </c>
      <c r="F58" s="179">
        <v>45352</v>
      </c>
      <c r="G58" s="179" t="s">
        <v>104</v>
      </c>
    </row>
    <row r="59" spans="1:7" s="182" customFormat="1" ht="15.75" hidden="1" customHeight="1">
      <c r="A59" s="175"/>
      <c r="B59" s="297">
        <v>45359</v>
      </c>
      <c r="C59" s="185" t="s">
        <v>8122</v>
      </c>
      <c r="D59" s="299" t="s">
        <v>25</v>
      </c>
      <c r="E59" s="300">
        <v>164.25</v>
      </c>
      <c r="F59" s="173">
        <v>45352</v>
      </c>
      <c r="G59" s="173" t="s">
        <v>104</v>
      </c>
    </row>
    <row r="60" spans="1:7" s="182" customFormat="1" ht="15.75" hidden="1" customHeight="1">
      <c r="A60" s="175"/>
      <c r="B60" s="184">
        <v>45342</v>
      </c>
      <c r="C60" s="185" t="s">
        <v>8126</v>
      </c>
      <c r="D60" s="178" t="s">
        <v>8126</v>
      </c>
      <c r="E60" s="276">
        <f>154+42-132.79-118</f>
        <v>-54.789999999999992</v>
      </c>
      <c r="F60" s="173">
        <v>45352</v>
      </c>
      <c r="G60" s="179" t="s">
        <v>104</v>
      </c>
    </row>
    <row r="61" spans="1:7" s="182" customFormat="1" ht="15.75" hidden="1" customHeight="1">
      <c r="A61" s="175"/>
      <c r="B61" s="176">
        <v>45365</v>
      </c>
      <c r="C61" s="177" t="s">
        <v>8118</v>
      </c>
      <c r="D61" s="178" t="s">
        <v>27</v>
      </c>
      <c r="E61" s="276">
        <v>-9600</v>
      </c>
      <c r="F61" s="179">
        <v>45352</v>
      </c>
      <c r="G61" s="179" t="s">
        <v>130</v>
      </c>
    </row>
    <row r="62" spans="1:7" s="182" customFormat="1" ht="15.75" hidden="1" customHeight="1">
      <c r="A62" s="175"/>
      <c r="B62" s="176">
        <v>45365</v>
      </c>
      <c r="C62" s="177" t="s">
        <v>8124</v>
      </c>
      <c r="D62" s="178" t="s">
        <v>27</v>
      </c>
      <c r="E62" s="276">
        <v>-1828</v>
      </c>
      <c r="F62" s="173">
        <v>45352</v>
      </c>
      <c r="G62" s="179" t="s">
        <v>104</v>
      </c>
    </row>
    <row r="63" spans="1:7" s="182" customFormat="1" ht="15.75" hidden="1" customHeight="1">
      <c r="A63" s="175"/>
      <c r="B63" s="176">
        <v>45366</v>
      </c>
      <c r="C63" s="185" t="s">
        <v>8120</v>
      </c>
      <c r="D63" s="178" t="s">
        <v>27</v>
      </c>
      <c r="E63" s="276">
        <v>-483035</v>
      </c>
      <c r="F63" s="173">
        <v>45352</v>
      </c>
      <c r="G63" s="179" t="s">
        <v>8125</v>
      </c>
    </row>
    <row r="64" spans="1:7" s="182" customFormat="1" ht="15.75" hidden="1" customHeight="1">
      <c r="A64" s="175"/>
      <c r="B64" s="176">
        <v>45362</v>
      </c>
      <c r="C64" s="185" t="s">
        <v>8120</v>
      </c>
      <c r="D64" s="178" t="s">
        <v>181</v>
      </c>
      <c r="E64" s="276">
        <v>-8010</v>
      </c>
      <c r="F64" s="179">
        <v>45352</v>
      </c>
      <c r="G64" s="179" t="s">
        <v>8125</v>
      </c>
    </row>
    <row r="65" spans="1:7" s="182" customFormat="1" ht="15.75" hidden="1" customHeight="1">
      <c r="A65" s="175"/>
      <c r="B65" s="176">
        <v>45362</v>
      </c>
      <c r="C65" s="185" t="s">
        <v>8118</v>
      </c>
      <c r="D65" s="178" t="s">
        <v>181</v>
      </c>
      <c r="E65" s="276">
        <v>-2600</v>
      </c>
      <c r="F65" s="179">
        <v>45352</v>
      </c>
      <c r="G65" s="179" t="s">
        <v>104</v>
      </c>
    </row>
    <row r="66" spans="1:7" s="182" customFormat="1" ht="15.75" hidden="1" customHeight="1">
      <c r="A66" s="175"/>
      <c r="B66" s="176">
        <v>45365</v>
      </c>
      <c r="C66" s="185" t="s">
        <v>8122</v>
      </c>
      <c r="D66" s="299" t="s">
        <v>25</v>
      </c>
      <c r="E66" s="300">
        <v>126.18</v>
      </c>
      <c r="F66" s="173">
        <v>45352</v>
      </c>
      <c r="G66" s="173" t="s">
        <v>104</v>
      </c>
    </row>
    <row r="67" spans="1:7" s="182" customFormat="1" ht="15.75" hidden="1" customHeight="1">
      <c r="A67" s="175"/>
      <c r="B67" s="176">
        <v>45373</v>
      </c>
      <c r="C67" s="177" t="s">
        <v>8118</v>
      </c>
      <c r="D67" s="178" t="s">
        <v>27</v>
      </c>
      <c r="E67" s="276">
        <v>-10880</v>
      </c>
      <c r="F67" s="179">
        <v>45352</v>
      </c>
      <c r="G67" s="179" t="s">
        <v>130</v>
      </c>
    </row>
    <row r="68" spans="1:7" s="182" customFormat="1" ht="15.75" hidden="1" customHeight="1">
      <c r="A68" s="180"/>
      <c r="B68" s="176">
        <v>45373</v>
      </c>
      <c r="C68" s="177" t="s">
        <v>8124</v>
      </c>
      <c r="D68" s="178" t="s">
        <v>27</v>
      </c>
      <c r="E68" s="276">
        <v>-2074</v>
      </c>
      <c r="F68" s="179">
        <v>45352</v>
      </c>
      <c r="G68" s="179" t="s">
        <v>104</v>
      </c>
    </row>
    <row r="69" spans="1:7" s="182" customFormat="1" ht="15.75" hidden="1" customHeight="1">
      <c r="A69" s="180"/>
      <c r="B69" s="176">
        <v>45373</v>
      </c>
      <c r="C69" s="185" t="s">
        <v>8120</v>
      </c>
      <c r="D69" s="178" t="s">
        <v>27</v>
      </c>
      <c r="E69" s="276">
        <v>-539435</v>
      </c>
      <c r="F69" s="179">
        <v>45352</v>
      </c>
      <c r="G69" s="179" t="s">
        <v>8125</v>
      </c>
    </row>
    <row r="70" spans="1:7" s="182" customFormat="1" ht="15.75" hidden="1" customHeight="1">
      <c r="A70" s="180"/>
      <c r="B70" s="176">
        <v>45373</v>
      </c>
      <c r="C70" s="185" t="s">
        <v>8120</v>
      </c>
      <c r="D70" s="178" t="s">
        <v>181</v>
      </c>
      <c r="E70" s="276">
        <v>-16020</v>
      </c>
      <c r="F70" s="179">
        <v>45352</v>
      </c>
      <c r="G70" s="179" t="s">
        <v>8125</v>
      </c>
    </row>
    <row r="71" spans="1:7" s="182" customFormat="1" ht="15.75" hidden="1" customHeight="1">
      <c r="A71" s="180"/>
      <c r="B71" s="176">
        <v>45373</v>
      </c>
      <c r="C71" s="185" t="s">
        <v>8118</v>
      </c>
      <c r="D71" s="178" t="s">
        <v>181</v>
      </c>
      <c r="E71" s="276">
        <v>-5200</v>
      </c>
      <c r="F71" s="179">
        <v>45352</v>
      </c>
      <c r="G71" s="179" t="s">
        <v>104</v>
      </c>
    </row>
    <row r="72" spans="1:7" s="182" customFormat="1" ht="15.75" hidden="1" customHeight="1">
      <c r="A72" s="180"/>
      <c r="B72" s="176">
        <v>45373</v>
      </c>
      <c r="C72" s="185" t="s">
        <v>8122</v>
      </c>
      <c r="D72" s="299" t="s">
        <v>25</v>
      </c>
      <c r="E72" s="300">
        <v>141.66</v>
      </c>
      <c r="F72" s="173">
        <v>45352</v>
      </c>
      <c r="G72" s="173" t="s">
        <v>104</v>
      </c>
    </row>
    <row r="73" spans="1:7" s="182" customFormat="1" ht="15.75" hidden="1" customHeight="1">
      <c r="A73" s="180"/>
      <c r="B73" s="297">
        <v>45336</v>
      </c>
      <c r="C73" s="298" t="s">
        <v>8121</v>
      </c>
      <c r="D73" s="299" t="s">
        <v>141</v>
      </c>
      <c r="E73" s="300">
        <f>-14190-0.02</f>
        <v>-14190.02</v>
      </c>
      <c r="F73" s="173">
        <v>45352</v>
      </c>
      <c r="G73" s="179" t="s">
        <v>104</v>
      </c>
    </row>
    <row r="74" spans="1:7" s="182" customFormat="1" ht="15.75" hidden="1" customHeight="1">
      <c r="A74" s="180"/>
      <c r="B74" s="176">
        <v>45378</v>
      </c>
      <c r="C74" s="177" t="s">
        <v>8118</v>
      </c>
      <c r="D74" s="178" t="s">
        <v>27</v>
      </c>
      <c r="E74" s="276">
        <v>-12160</v>
      </c>
      <c r="F74" s="179">
        <v>45352</v>
      </c>
      <c r="G74" s="179" t="s">
        <v>130</v>
      </c>
    </row>
    <row r="75" spans="1:7" s="182" customFormat="1" ht="15.75" hidden="1" customHeight="1">
      <c r="A75" s="180"/>
      <c r="B75" s="176">
        <v>45378</v>
      </c>
      <c r="C75" s="177" t="s">
        <v>8124</v>
      </c>
      <c r="D75" s="178" t="s">
        <v>27</v>
      </c>
      <c r="E75" s="276">
        <v>-2314</v>
      </c>
      <c r="F75" s="179">
        <v>45352</v>
      </c>
      <c r="G75" s="179" t="s">
        <v>104</v>
      </c>
    </row>
    <row r="76" spans="1:7" s="182" customFormat="1" ht="15.75" hidden="1" customHeight="1">
      <c r="A76" s="180"/>
      <c r="B76" s="176">
        <v>45378</v>
      </c>
      <c r="C76" s="185" t="s">
        <v>8120</v>
      </c>
      <c r="D76" s="178" t="s">
        <v>27</v>
      </c>
      <c r="E76" s="276">
        <v>-501039</v>
      </c>
      <c r="F76" s="179">
        <v>45352</v>
      </c>
      <c r="G76" s="179" t="s">
        <v>8125</v>
      </c>
    </row>
    <row r="77" spans="1:7" s="182" customFormat="1" ht="15.75" hidden="1" customHeight="1">
      <c r="A77" s="180"/>
      <c r="B77" s="176">
        <v>45382</v>
      </c>
      <c r="C77" s="185" t="s">
        <v>8122</v>
      </c>
      <c r="D77" s="299" t="s">
        <v>25</v>
      </c>
      <c r="E77" s="300">
        <v>217.15</v>
      </c>
      <c r="F77" s="173">
        <v>45352</v>
      </c>
      <c r="G77" s="173" t="s">
        <v>104</v>
      </c>
    </row>
    <row r="78" spans="1:7" s="182" customFormat="1" ht="15.75" hidden="1" customHeight="1">
      <c r="A78" s="180"/>
      <c r="B78" s="176">
        <v>45373</v>
      </c>
      <c r="C78" s="177" t="s">
        <v>8124</v>
      </c>
      <c r="D78" s="178" t="s">
        <v>181</v>
      </c>
      <c r="E78" s="276">
        <v>-13999</v>
      </c>
      <c r="F78" s="179">
        <v>45352</v>
      </c>
      <c r="G78" s="179" t="s">
        <v>104</v>
      </c>
    </row>
    <row r="79" spans="1:7" s="182" customFormat="1" ht="15.75" hidden="1" customHeight="1">
      <c r="A79" s="180"/>
      <c r="B79" s="176">
        <v>45378</v>
      </c>
      <c r="C79" s="185" t="s">
        <v>8118</v>
      </c>
      <c r="D79" s="178" t="s">
        <v>181</v>
      </c>
      <c r="E79" s="276">
        <v>-73680</v>
      </c>
      <c r="F79" s="179">
        <v>45352</v>
      </c>
      <c r="G79" s="179" t="s">
        <v>104</v>
      </c>
    </row>
    <row r="80" spans="1:7" s="182" customFormat="1" ht="15.75" hidden="1" customHeight="1">
      <c r="A80" s="180"/>
      <c r="B80" s="176">
        <v>45378</v>
      </c>
      <c r="C80" s="185" t="s">
        <v>8120</v>
      </c>
      <c r="D80" s="178" t="s">
        <v>181</v>
      </c>
      <c r="E80" s="276">
        <v>-10844</v>
      </c>
      <c r="F80" s="179">
        <v>45352</v>
      </c>
      <c r="G80" s="179" t="s">
        <v>8125</v>
      </c>
    </row>
    <row r="81" spans="1:7" s="182" customFormat="1" ht="15.75" hidden="1" customHeight="1">
      <c r="A81" s="180"/>
      <c r="B81" s="176">
        <v>45381</v>
      </c>
      <c r="C81" s="185" t="s">
        <v>8122</v>
      </c>
      <c r="D81" s="178" t="s">
        <v>40</v>
      </c>
      <c r="E81" s="276">
        <v>917662.57</v>
      </c>
      <c r="F81" s="179">
        <v>45352</v>
      </c>
      <c r="G81" s="179" t="s">
        <v>104</v>
      </c>
    </row>
    <row r="82" spans="1:7" s="182" customFormat="1" ht="15.75" hidden="1" customHeight="1">
      <c r="A82" s="180"/>
      <c r="B82" s="176">
        <v>45386</v>
      </c>
      <c r="C82" s="177" t="s">
        <v>8118</v>
      </c>
      <c r="D82" s="178" t="s">
        <v>27</v>
      </c>
      <c r="E82" s="443">
        <v>-9600</v>
      </c>
      <c r="F82" s="179">
        <v>45383</v>
      </c>
      <c r="G82" s="179" t="s">
        <v>130</v>
      </c>
    </row>
    <row r="83" spans="1:7" s="182" customFormat="1" ht="15.75" hidden="1" customHeight="1">
      <c r="A83" s="180"/>
      <c r="B83" s="176">
        <v>45386</v>
      </c>
      <c r="C83" s="177" t="s">
        <v>8124</v>
      </c>
      <c r="D83" s="178" t="s">
        <v>27</v>
      </c>
      <c r="E83" s="443">
        <v>-1830</v>
      </c>
      <c r="F83" s="179">
        <v>45383</v>
      </c>
      <c r="G83" s="179" t="s">
        <v>104</v>
      </c>
    </row>
    <row r="84" spans="1:7" s="182" customFormat="1" ht="15.75" hidden="1" customHeight="1">
      <c r="A84" s="180"/>
      <c r="B84" s="176">
        <v>45387</v>
      </c>
      <c r="C84" s="185" t="s">
        <v>8120</v>
      </c>
      <c r="D84" s="178" t="s">
        <v>27</v>
      </c>
      <c r="E84" s="443">
        <v>-236025</v>
      </c>
      <c r="F84" s="179">
        <v>45383</v>
      </c>
      <c r="G84" s="179" t="s">
        <v>8125</v>
      </c>
    </row>
    <row r="85" spans="1:7" s="182" customFormat="1" ht="15.75" hidden="1" customHeight="1">
      <c r="A85" s="180"/>
      <c r="B85" s="176">
        <v>45387</v>
      </c>
      <c r="C85" s="185" t="s">
        <v>8120</v>
      </c>
      <c r="D85" s="178" t="s">
        <v>181</v>
      </c>
      <c r="E85" s="276">
        <v>-16020</v>
      </c>
      <c r="F85" s="179">
        <v>45383</v>
      </c>
      <c r="G85" s="179" t="s">
        <v>8125</v>
      </c>
    </row>
    <row r="86" spans="1:7" s="182" customFormat="1" ht="15.75" hidden="1" customHeight="1">
      <c r="A86" s="180"/>
      <c r="B86" s="176">
        <v>45387</v>
      </c>
      <c r="C86" s="185" t="s">
        <v>8118</v>
      </c>
      <c r="D86" s="178" t="s">
        <v>181</v>
      </c>
      <c r="E86" s="276">
        <v>-5200</v>
      </c>
      <c r="F86" s="179">
        <v>45383</v>
      </c>
      <c r="G86" s="179" t="s">
        <v>104</v>
      </c>
    </row>
    <row r="87" spans="1:7" s="182" customFormat="1" ht="15.75" hidden="1" customHeight="1">
      <c r="A87" s="180"/>
      <c r="B87" s="176">
        <v>45387</v>
      </c>
      <c r="C87" s="185" t="s">
        <v>8118</v>
      </c>
      <c r="D87" s="178" t="s">
        <v>8126</v>
      </c>
      <c r="E87" s="276">
        <f>88+38+6</f>
        <v>132</v>
      </c>
      <c r="F87" s="179">
        <v>45383</v>
      </c>
      <c r="G87" s="179" t="s">
        <v>104</v>
      </c>
    </row>
    <row r="88" spans="1:7" s="182" customFormat="1" ht="15.75" hidden="1" customHeight="1">
      <c r="A88" s="180"/>
      <c r="B88" s="176">
        <v>45394</v>
      </c>
      <c r="C88" s="185" t="s">
        <v>8118</v>
      </c>
      <c r="D88" s="194" t="s">
        <v>27</v>
      </c>
      <c r="E88" s="445">
        <v>-24320</v>
      </c>
      <c r="F88" s="179">
        <v>45383</v>
      </c>
      <c r="G88" s="195" t="s">
        <v>130</v>
      </c>
    </row>
    <row r="89" spans="1:7" s="182" customFormat="1" ht="15.75" hidden="1" customHeight="1">
      <c r="A89" s="180"/>
      <c r="B89" s="176">
        <v>45394</v>
      </c>
      <c r="C89" s="177" t="s">
        <v>8124</v>
      </c>
      <c r="D89" s="193" t="s">
        <v>27</v>
      </c>
      <c r="E89" s="444">
        <v>-4630</v>
      </c>
      <c r="F89" s="179">
        <v>45383</v>
      </c>
      <c r="G89" s="179" t="s">
        <v>104</v>
      </c>
    </row>
    <row r="90" spans="1:7" s="182" customFormat="1" ht="15.75" hidden="1" customHeight="1">
      <c r="A90" s="180"/>
      <c r="B90" s="176">
        <v>45394</v>
      </c>
      <c r="C90" s="185" t="s">
        <v>8120</v>
      </c>
      <c r="D90" s="194" t="s">
        <v>27</v>
      </c>
      <c r="E90" s="444">
        <v>-796391</v>
      </c>
      <c r="F90" s="179">
        <v>45383</v>
      </c>
      <c r="G90" s="179" t="s">
        <v>8125</v>
      </c>
    </row>
    <row r="91" spans="1:7" s="182" customFormat="1" ht="15.75" hidden="1" customHeight="1">
      <c r="A91" s="180"/>
      <c r="B91" s="176">
        <v>45389</v>
      </c>
      <c r="C91" s="185" t="s">
        <v>8122</v>
      </c>
      <c r="D91" s="299" t="s">
        <v>25</v>
      </c>
      <c r="E91" s="300">
        <v>5550.58</v>
      </c>
      <c r="F91" s="179">
        <v>45383</v>
      </c>
      <c r="G91" s="173" t="s">
        <v>104</v>
      </c>
    </row>
    <row r="92" spans="1:7" s="182" customFormat="1" ht="15.75" hidden="1" customHeight="1">
      <c r="A92" s="180"/>
      <c r="B92" s="176">
        <v>45394</v>
      </c>
      <c r="C92" s="185" t="s">
        <v>8120</v>
      </c>
      <c r="D92" s="178" t="s">
        <v>181</v>
      </c>
      <c r="E92" s="276">
        <v>-8010</v>
      </c>
      <c r="F92" s="179">
        <v>45383</v>
      </c>
      <c r="G92" s="179" t="s">
        <v>8125</v>
      </c>
    </row>
    <row r="93" spans="1:7" s="182" customFormat="1" ht="15.75" hidden="1" customHeight="1">
      <c r="A93" s="180"/>
      <c r="B93" s="176">
        <v>45394</v>
      </c>
      <c r="C93" s="185" t="s">
        <v>8118</v>
      </c>
      <c r="D93" s="178" t="s">
        <v>181</v>
      </c>
      <c r="E93" s="276">
        <v>-2600</v>
      </c>
      <c r="F93" s="179">
        <v>45383</v>
      </c>
      <c r="G93" s="179" t="s">
        <v>104</v>
      </c>
    </row>
    <row r="94" spans="1:7" s="182" customFormat="1" ht="15.75" hidden="1" customHeight="1">
      <c r="A94" s="180"/>
      <c r="B94" s="176">
        <v>45390</v>
      </c>
      <c r="C94" s="185" t="s">
        <v>8120</v>
      </c>
      <c r="D94" s="299" t="s">
        <v>25</v>
      </c>
      <c r="E94" s="300">
        <v>-692531.18</v>
      </c>
      <c r="F94" s="179">
        <v>45383</v>
      </c>
      <c r="G94" s="179" t="s">
        <v>8125</v>
      </c>
    </row>
    <row r="95" spans="1:7" s="182" customFormat="1" ht="15.75" hidden="1" customHeight="1">
      <c r="A95" s="180"/>
      <c r="B95" s="176">
        <v>45401</v>
      </c>
      <c r="C95" s="185" t="s">
        <v>8118</v>
      </c>
      <c r="D95" s="194" t="s">
        <v>27</v>
      </c>
      <c r="E95" s="445">
        <v>-10240</v>
      </c>
      <c r="F95" s="179">
        <v>45383</v>
      </c>
      <c r="G95" s="195" t="s">
        <v>130</v>
      </c>
    </row>
    <row r="96" spans="1:7" s="182" customFormat="1" ht="15.75" hidden="1" customHeight="1">
      <c r="A96" s="180"/>
      <c r="B96" s="176">
        <v>45401</v>
      </c>
      <c r="C96" s="177" t="s">
        <v>8124</v>
      </c>
      <c r="D96" s="193" t="s">
        <v>27</v>
      </c>
      <c r="E96" s="444">
        <v>-1952</v>
      </c>
      <c r="F96" s="179">
        <v>45383</v>
      </c>
      <c r="G96" s="179" t="s">
        <v>104</v>
      </c>
    </row>
    <row r="97" spans="1:7" s="182" customFormat="1" ht="15.75" hidden="1" customHeight="1">
      <c r="A97" s="180"/>
      <c r="B97" s="176">
        <v>45401</v>
      </c>
      <c r="C97" s="185" t="s">
        <v>8120</v>
      </c>
      <c r="D97" s="194" t="s">
        <v>27</v>
      </c>
      <c r="E97" s="444">
        <v>-399143</v>
      </c>
      <c r="F97" s="179">
        <v>45383</v>
      </c>
      <c r="G97" s="179" t="s">
        <v>8125</v>
      </c>
    </row>
    <row r="98" spans="1:7" s="182" customFormat="1" ht="15.75" hidden="1" customHeight="1">
      <c r="A98" s="198"/>
      <c r="B98" s="176">
        <v>45396</v>
      </c>
      <c r="C98" s="185" t="s">
        <v>8122</v>
      </c>
      <c r="D98" s="299" t="s">
        <v>25</v>
      </c>
      <c r="E98" s="300">
        <v>20.7</v>
      </c>
      <c r="F98" s="179">
        <v>45383</v>
      </c>
      <c r="G98" s="173" t="s">
        <v>104</v>
      </c>
    </row>
    <row r="99" spans="1:7" s="182" customFormat="1" ht="15.75" hidden="1" customHeight="1">
      <c r="A99" s="181"/>
      <c r="B99" s="176">
        <v>45401</v>
      </c>
      <c r="C99" s="185" t="s">
        <v>8122</v>
      </c>
      <c r="D99" s="299" t="s">
        <v>25</v>
      </c>
      <c r="E99" s="300">
        <v>12.52</v>
      </c>
      <c r="F99" s="179">
        <v>45383</v>
      </c>
      <c r="G99" s="173" t="s">
        <v>104</v>
      </c>
    </row>
    <row r="100" spans="1:7" s="182" customFormat="1" ht="15.75" hidden="1" customHeight="1">
      <c r="A100" s="181"/>
      <c r="B100" s="297">
        <v>45394</v>
      </c>
      <c r="C100" s="298" t="s">
        <v>8121</v>
      </c>
      <c r="D100" s="299" t="s">
        <v>141</v>
      </c>
      <c r="E100" s="300">
        <f>-14190</f>
        <v>-14190</v>
      </c>
      <c r="F100" s="179">
        <v>45383</v>
      </c>
      <c r="G100" s="179" t="s">
        <v>104</v>
      </c>
    </row>
    <row r="101" spans="1:7" s="182" customFormat="1" ht="15.75" hidden="1" customHeight="1">
      <c r="A101" s="198"/>
      <c r="B101" s="176">
        <v>45401</v>
      </c>
      <c r="C101" s="185" t="s">
        <v>8120</v>
      </c>
      <c r="D101" s="299" t="s">
        <v>25</v>
      </c>
      <c r="E101" s="300">
        <v>-2472.2600000000002</v>
      </c>
      <c r="F101" s="179">
        <v>45383</v>
      </c>
      <c r="G101" s="179" t="s">
        <v>8125</v>
      </c>
    </row>
    <row r="102" spans="1:7" s="182" customFormat="1" ht="15.75" hidden="1" customHeight="1">
      <c r="A102" s="181"/>
      <c r="B102" s="176">
        <v>45400</v>
      </c>
      <c r="C102" s="185" t="s">
        <v>8120</v>
      </c>
      <c r="D102" s="178" t="s">
        <v>181</v>
      </c>
      <c r="E102" s="300">
        <v>-8010</v>
      </c>
      <c r="F102" s="179">
        <v>45383</v>
      </c>
      <c r="G102" s="179" t="s">
        <v>8125</v>
      </c>
    </row>
    <row r="103" spans="1:7" s="182" customFormat="1" ht="15.75" hidden="1" customHeight="1">
      <c r="A103" s="181"/>
      <c r="B103" s="176">
        <v>45400</v>
      </c>
      <c r="C103" s="185" t="s">
        <v>8118</v>
      </c>
      <c r="D103" s="178" t="s">
        <v>181</v>
      </c>
      <c r="E103" s="276">
        <v>-2600</v>
      </c>
      <c r="F103" s="179">
        <v>45383</v>
      </c>
      <c r="G103" s="179" t="s">
        <v>104</v>
      </c>
    </row>
    <row r="104" spans="1:7" s="182" customFormat="1" ht="15.75" hidden="1" customHeight="1">
      <c r="A104" s="198"/>
      <c r="B104" s="176">
        <v>45408</v>
      </c>
      <c r="C104" s="185" t="s">
        <v>8118</v>
      </c>
      <c r="D104" s="194" t="s">
        <v>27</v>
      </c>
      <c r="E104" s="445">
        <v>-11520</v>
      </c>
      <c r="F104" s="179">
        <v>45383</v>
      </c>
      <c r="G104" s="195" t="s">
        <v>130</v>
      </c>
    </row>
    <row r="105" spans="1:7" s="182" customFormat="1" ht="15.75" hidden="1" customHeight="1">
      <c r="A105" s="198"/>
      <c r="B105" s="176">
        <v>45408</v>
      </c>
      <c r="C105" s="177" t="s">
        <v>8124</v>
      </c>
      <c r="D105" s="193" t="s">
        <v>27</v>
      </c>
      <c r="E105" s="444">
        <v>-2196</v>
      </c>
      <c r="F105" s="179">
        <v>45383</v>
      </c>
      <c r="G105" s="179" t="s">
        <v>104</v>
      </c>
    </row>
    <row r="106" spans="1:7" s="182" customFormat="1" ht="15.75" hidden="1" customHeight="1">
      <c r="A106" s="198"/>
      <c r="B106" s="176">
        <v>45408</v>
      </c>
      <c r="C106" s="185" t="s">
        <v>8120</v>
      </c>
      <c r="D106" s="194" t="s">
        <v>27</v>
      </c>
      <c r="E106" s="444">
        <v>-550945</v>
      </c>
      <c r="F106" s="179">
        <v>45383</v>
      </c>
      <c r="G106" s="179" t="s">
        <v>8125</v>
      </c>
    </row>
    <row r="107" spans="1:7" s="182" customFormat="1" ht="15.75" hidden="1" customHeight="1">
      <c r="A107" s="199"/>
      <c r="B107" s="176">
        <v>45407</v>
      </c>
      <c r="C107" s="185" t="s">
        <v>8120</v>
      </c>
      <c r="D107" s="178" t="s">
        <v>181</v>
      </c>
      <c r="E107" s="276">
        <v>-470376</v>
      </c>
      <c r="F107" s="179">
        <v>45383</v>
      </c>
      <c r="G107" s="179" t="s">
        <v>8125</v>
      </c>
    </row>
    <row r="108" spans="1:7" s="182" customFormat="1" ht="15.75" hidden="1" customHeight="1">
      <c r="A108" s="199"/>
      <c r="B108" s="176">
        <v>45407</v>
      </c>
      <c r="C108" s="185" t="s">
        <v>8118</v>
      </c>
      <c r="D108" s="178" t="s">
        <v>181</v>
      </c>
      <c r="E108" s="276">
        <v>-91280</v>
      </c>
      <c r="F108" s="179">
        <v>45383</v>
      </c>
      <c r="G108" s="179" t="s">
        <v>104</v>
      </c>
    </row>
    <row r="109" spans="1:7" s="182" customFormat="1" ht="15.75" hidden="1" customHeight="1">
      <c r="A109" s="199"/>
      <c r="B109" s="176">
        <v>45411</v>
      </c>
      <c r="C109" s="177" t="s">
        <v>8124</v>
      </c>
      <c r="D109" s="178" t="s">
        <v>181</v>
      </c>
      <c r="E109" s="277">
        <v>-17202</v>
      </c>
      <c r="F109" s="179">
        <v>45383</v>
      </c>
      <c r="G109" s="179" t="s">
        <v>104</v>
      </c>
    </row>
    <row r="110" spans="1:7" s="182" customFormat="1" ht="15.75" hidden="1" customHeight="1">
      <c r="A110" s="199"/>
      <c r="B110" s="176">
        <v>45406</v>
      </c>
      <c r="C110" s="185" t="s">
        <v>8122</v>
      </c>
      <c r="D110" s="299" t="s">
        <v>25</v>
      </c>
      <c r="E110" s="300">
        <v>9.3000000000000007</v>
      </c>
      <c r="F110" s="179">
        <v>45383</v>
      </c>
      <c r="G110" s="173" t="s">
        <v>104</v>
      </c>
    </row>
    <row r="111" spans="1:7" s="182" customFormat="1" ht="15.75" hidden="1" customHeight="1">
      <c r="A111" s="199"/>
      <c r="B111" s="176">
        <v>45406</v>
      </c>
      <c r="C111" s="185" t="s">
        <v>8120</v>
      </c>
      <c r="D111" s="299" t="s">
        <v>25</v>
      </c>
      <c r="E111" s="300">
        <v>-4668.34</v>
      </c>
      <c r="F111" s="179">
        <v>45383</v>
      </c>
      <c r="G111" s="179" t="s">
        <v>8125</v>
      </c>
    </row>
    <row r="112" spans="1:7" s="182" customFormat="1" ht="15.75" hidden="1" customHeight="1">
      <c r="A112" s="199"/>
      <c r="B112" s="176">
        <v>45411</v>
      </c>
      <c r="C112" s="185" t="s">
        <v>8120</v>
      </c>
      <c r="D112" s="178" t="s">
        <v>181</v>
      </c>
      <c r="E112" s="276">
        <v>-108128</v>
      </c>
      <c r="F112" s="179">
        <v>45383</v>
      </c>
      <c r="G112" s="179" t="s">
        <v>8125</v>
      </c>
    </row>
    <row r="113" spans="1:7" s="182" customFormat="1" ht="15.75" hidden="1" customHeight="1">
      <c r="A113" s="199"/>
      <c r="B113" s="176">
        <v>45411</v>
      </c>
      <c r="C113" s="185" t="s">
        <v>8118</v>
      </c>
      <c r="D113" s="178" t="s">
        <v>181</v>
      </c>
      <c r="E113" s="276">
        <v>-4450</v>
      </c>
      <c r="F113" s="179">
        <v>45383</v>
      </c>
      <c r="G113" s="179" t="s">
        <v>104</v>
      </c>
    </row>
    <row r="114" spans="1:7" s="182" customFormat="1" ht="15.75" hidden="1" customHeight="1">
      <c r="A114" s="199"/>
      <c r="B114" s="176">
        <v>45411</v>
      </c>
      <c r="C114" s="185" t="s">
        <v>8118</v>
      </c>
      <c r="D114" s="194" t="s">
        <v>27</v>
      </c>
      <c r="E114" s="445">
        <v>-19840</v>
      </c>
      <c r="F114" s="179">
        <v>45383</v>
      </c>
      <c r="G114" s="195" t="s">
        <v>130</v>
      </c>
    </row>
    <row r="115" spans="1:7" s="182" customFormat="1" ht="15.75" hidden="1" customHeight="1">
      <c r="A115" s="199"/>
      <c r="B115" s="176">
        <v>45408</v>
      </c>
      <c r="C115" s="177" t="s">
        <v>8124</v>
      </c>
      <c r="D115" s="193" t="s">
        <v>27</v>
      </c>
      <c r="E115" s="444">
        <v>-3773</v>
      </c>
      <c r="F115" s="179">
        <v>45383</v>
      </c>
      <c r="G115" s="179" t="s">
        <v>104</v>
      </c>
    </row>
    <row r="116" spans="1:7" s="182" customFormat="1" ht="15.75" hidden="1" customHeight="1">
      <c r="A116" s="199"/>
      <c r="B116" s="176">
        <v>45412</v>
      </c>
      <c r="C116" s="185" t="s">
        <v>8120</v>
      </c>
      <c r="D116" s="194" t="s">
        <v>27</v>
      </c>
      <c r="E116" s="444">
        <v>-469908</v>
      </c>
      <c r="F116" s="179">
        <v>45383</v>
      </c>
      <c r="G116" s="179" t="s">
        <v>8125</v>
      </c>
    </row>
    <row r="117" spans="1:7" s="182" customFormat="1" ht="15.75" hidden="1" customHeight="1">
      <c r="A117" s="199"/>
      <c r="B117" s="176">
        <v>45412</v>
      </c>
      <c r="C117" s="185" t="s">
        <v>8122</v>
      </c>
      <c r="D117" s="193" t="s">
        <v>40</v>
      </c>
      <c r="E117" s="444">
        <v>1825474.83</v>
      </c>
      <c r="F117" s="179">
        <v>45383</v>
      </c>
      <c r="G117" s="195" t="s">
        <v>104</v>
      </c>
    </row>
    <row r="118" spans="1:7" s="182" customFormat="1" ht="15.75" hidden="1" customHeight="1">
      <c r="A118" s="199"/>
      <c r="B118" s="176">
        <v>45413</v>
      </c>
      <c r="C118" s="185" t="s">
        <v>8122</v>
      </c>
      <c r="D118" s="299" t="s">
        <v>25</v>
      </c>
      <c r="E118" s="300">
        <v>19.79</v>
      </c>
      <c r="F118" s="179">
        <v>45413</v>
      </c>
      <c r="G118" s="173" t="s">
        <v>104</v>
      </c>
    </row>
    <row r="119" spans="1:7" s="182" customFormat="1" ht="15.75" hidden="1" customHeight="1">
      <c r="A119" s="180"/>
      <c r="B119" s="176">
        <v>45415</v>
      </c>
      <c r="C119" s="185" t="s">
        <v>8118</v>
      </c>
      <c r="D119" s="194" t="s">
        <v>27</v>
      </c>
      <c r="E119" s="279">
        <v>-7680</v>
      </c>
      <c r="F119" s="179">
        <v>45413</v>
      </c>
      <c r="G119" s="195" t="s">
        <v>130</v>
      </c>
    </row>
    <row r="120" spans="1:7" s="182" customFormat="1" ht="15.75" hidden="1" customHeight="1">
      <c r="A120" s="180"/>
      <c r="B120" s="176">
        <v>45415</v>
      </c>
      <c r="C120" s="177" t="s">
        <v>8124</v>
      </c>
      <c r="D120" s="193" t="s">
        <v>27</v>
      </c>
      <c r="E120" s="277">
        <v>-1464</v>
      </c>
      <c r="F120" s="179">
        <v>45413</v>
      </c>
      <c r="G120" s="179" t="s">
        <v>104</v>
      </c>
    </row>
    <row r="121" spans="1:7" s="182" customFormat="1" ht="15.75" hidden="1" customHeight="1">
      <c r="A121" s="180"/>
      <c r="B121" s="176">
        <v>45415</v>
      </c>
      <c r="C121" s="185" t="s">
        <v>8120</v>
      </c>
      <c r="D121" s="194" t="s">
        <v>27</v>
      </c>
      <c r="E121" s="277">
        <v>-517312</v>
      </c>
      <c r="F121" s="179">
        <v>45413</v>
      </c>
      <c r="G121" s="179" t="s">
        <v>8125</v>
      </c>
    </row>
    <row r="122" spans="1:7" s="182" customFormat="1" ht="15.75" hidden="1" customHeight="1">
      <c r="A122" s="180"/>
      <c r="B122" s="176">
        <v>45415</v>
      </c>
      <c r="C122" s="177" t="s">
        <v>8124</v>
      </c>
      <c r="D122" s="178" t="s">
        <v>181</v>
      </c>
      <c r="E122" s="277">
        <v>-2538</v>
      </c>
      <c r="F122" s="179">
        <v>45413</v>
      </c>
      <c r="G122" s="179" t="s">
        <v>104</v>
      </c>
    </row>
    <row r="123" spans="1:7" s="182" customFormat="1" ht="15.75" hidden="1" customHeight="1">
      <c r="A123" s="180"/>
      <c r="B123" s="176">
        <v>45415</v>
      </c>
      <c r="C123" s="185" t="s">
        <v>8120</v>
      </c>
      <c r="D123" s="178" t="s">
        <v>181</v>
      </c>
      <c r="E123" s="276">
        <v>-176061</v>
      </c>
      <c r="F123" s="179">
        <v>45413</v>
      </c>
      <c r="G123" s="179" t="s">
        <v>8125</v>
      </c>
    </row>
    <row r="124" spans="1:7" s="182" customFormat="1" ht="15.75" hidden="1" customHeight="1">
      <c r="A124" s="180"/>
      <c r="B124" s="176">
        <v>45415</v>
      </c>
      <c r="C124" s="185" t="s">
        <v>8118</v>
      </c>
      <c r="D124" s="178" t="s">
        <v>181</v>
      </c>
      <c r="E124" s="276">
        <v>-18550</v>
      </c>
      <c r="F124" s="179">
        <v>45413</v>
      </c>
      <c r="G124" s="179" t="s">
        <v>104</v>
      </c>
    </row>
    <row r="125" spans="1:7" s="165" customFormat="1" ht="15" hidden="1" customHeight="1">
      <c r="B125" s="176">
        <v>45422</v>
      </c>
      <c r="C125" s="185" t="s">
        <v>8118</v>
      </c>
      <c r="D125" s="194" t="s">
        <v>27</v>
      </c>
      <c r="E125" s="279">
        <v>-12800</v>
      </c>
      <c r="F125" s="179">
        <v>45413</v>
      </c>
      <c r="G125" s="195" t="s">
        <v>130</v>
      </c>
    </row>
    <row r="126" spans="1:7" s="165" customFormat="1" ht="15" hidden="1" customHeight="1">
      <c r="B126" s="176">
        <v>45422</v>
      </c>
      <c r="C126" s="177" t="s">
        <v>8124</v>
      </c>
      <c r="D126" s="193" t="s">
        <v>27</v>
      </c>
      <c r="E126" s="277">
        <v>-2440</v>
      </c>
      <c r="F126" s="179">
        <v>45413</v>
      </c>
      <c r="G126" s="179" t="s">
        <v>104</v>
      </c>
    </row>
    <row r="127" spans="1:7" s="165" customFormat="1" ht="15" hidden="1" customHeight="1">
      <c r="B127" s="176">
        <v>45422</v>
      </c>
      <c r="C127" s="185" t="s">
        <v>8120</v>
      </c>
      <c r="D127" s="194" t="s">
        <v>27</v>
      </c>
      <c r="E127" s="277">
        <v>-522517</v>
      </c>
      <c r="F127" s="179">
        <v>45413</v>
      </c>
      <c r="G127" s="179" t="s">
        <v>8125</v>
      </c>
    </row>
    <row r="128" spans="1:7" s="165" customFormat="1" ht="15" hidden="1" customHeight="1">
      <c r="B128" s="176">
        <v>45422</v>
      </c>
      <c r="C128" s="185" t="s">
        <v>8120</v>
      </c>
      <c r="D128" s="178" t="s">
        <v>181</v>
      </c>
      <c r="E128" s="276">
        <v>-24030</v>
      </c>
      <c r="F128" s="179">
        <v>45413</v>
      </c>
      <c r="G128" s="179" t="s">
        <v>8125</v>
      </c>
    </row>
    <row r="129" spans="2:7" s="165" customFormat="1" ht="15" hidden="1" customHeight="1">
      <c r="B129" s="176">
        <v>45422</v>
      </c>
      <c r="C129" s="185" t="s">
        <v>8118</v>
      </c>
      <c r="D129" s="178" t="s">
        <v>181</v>
      </c>
      <c r="E129" s="276">
        <v>-7800</v>
      </c>
      <c r="F129" s="179">
        <v>45413</v>
      </c>
      <c r="G129" s="179" t="s">
        <v>104</v>
      </c>
    </row>
    <row r="130" spans="2:7" s="165" customFormat="1" ht="15" hidden="1" customHeight="1">
      <c r="B130" s="176">
        <v>45421</v>
      </c>
      <c r="C130" s="185" t="s">
        <v>8122</v>
      </c>
      <c r="D130" s="299" t="s">
        <v>25</v>
      </c>
      <c r="E130" s="300">
        <v>39.130000000000003</v>
      </c>
      <c r="F130" s="179">
        <v>45413</v>
      </c>
      <c r="G130" s="173" t="s">
        <v>104</v>
      </c>
    </row>
    <row r="131" spans="2:7" s="165" customFormat="1" ht="15" hidden="1" customHeight="1">
      <c r="B131" s="176">
        <v>45422</v>
      </c>
      <c r="C131" s="196" t="s">
        <v>8121</v>
      </c>
      <c r="D131" s="299" t="s">
        <v>25</v>
      </c>
      <c r="E131" s="277">
        <v>-14190</v>
      </c>
      <c r="F131" s="179">
        <v>45413</v>
      </c>
      <c r="G131" s="173" t="s">
        <v>104</v>
      </c>
    </row>
    <row r="132" spans="2:7" s="165" customFormat="1" ht="15" hidden="1" customHeight="1">
      <c r="B132" s="176">
        <v>45422</v>
      </c>
      <c r="C132" s="196" t="s">
        <v>8129</v>
      </c>
      <c r="D132" s="299" t="s">
        <v>25</v>
      </c>
      <c r="E132" s="277">
        <v>271.99</v>
      </c>
      <c r="F132" s="179">
        <v>45413</v>
      </c>
      <c r="G132" s="173" t="s">
        <v>104</v>
      </c>
    </row>
    <row r="133" spans="2:7" s="165" customFormat="1" ht="15" hidden="1" customHeight="1">
      <c r="B133" s="176">
        <v>45426</v>
      </c>
      <c r="C133" s="196" t="s">
        <v>8126</v>
      </c>
      <c r="D133" s="194" t="s">
        <v>27</v>
      </c>
      <c r="E133" s="277">
        <f>-642074</f>
        <v>-642074</v>
      </c>
      <c r="F133" s="179">
        <v>45383</v>
      </c>
      <c r="G133" s="195"/>
    </row>
    <row r="134" spans="2:7" s="165" customFormat="1" ht="15" hidden="1" customHeight="1">
      <c r="B134" s="176">
        <v>45426</v>
      </c>
      <c r="C134" s="196" t="s">
        <v>8126</v>
      </c>
      <c r="D134" s="193" t="s">
        <v>8126</v>
      </c>
      <c r="E134" s="277">
        <f>-7912-2501+20500+0.0966452360153198+460</f>
        <v>10547.096645236015</v>
      </c>
      <c r="F134" s="179">
        <v>45413</v>
      </c>
      <c r="G134" s="195"/>
    </row>
    <row r="135" spans="2:7" s="165" customFormat="1" ht="15" hidden="1" customHeight="1">
      <c r="B135" s="176">
        <v>45429</v>
      </c>
      <c r="C135" s="185" t="s">
        <v>8120</v>
      </c>
      <c r="D135" s="178" t="s">
        <v>181</v>
      </c>
      <c r="E135" s="276">
        <v>-10410</v>
      </c>
      <c r="F135" s="179">
        <v>45413</v>
      </c>
      <c r="G135" s="179" t="s">
        <v>8125</v>
      </c>
    </row>
    <row r="136" spans="2:7" s="165" customFormat="1" ht="15" hidden="1" customHeight="1">
      <c r="B136" s="176">
        <v>45429</v>
      </c>
      <c r="C136" s="185" t="s">
        <v>8118</v>
      </c>
      <c r="D136" s="178" t="s">
        <v>181</v>
      </c>
      <c r="E136" s="276">
        <v>-2600</v>
      </c>
      <c r="F136" s="179">
        <v>45413</v>
      </c>
      <c r="G136" s="179" t="s">
        <v>104</v>
      </c>
    </row>
    <row r="137" spans="2:7" s="165" customFormat="1" ht="15" hidden="1" customHeight="1">
      <c r="B137" s="176">
        <v>45429</v>
      </c>
      <c r="C137" s="185" t="s">
        <v>8118</v>
      </c>
      <c r="D137" s="194" t="s">
        <v>27</v>
      </c>
      <c r="E137" s="446">
        <v>-22400</v>
      </c>
      <c r="F137" s="179">
        <v>45413</v>
      </c>
      <c r="G137" s="195" t="s">
        <v>130</v>
      </c>
    </row>
    <row r="138" spans="2:7" s="165" customFormat="1" ht="15" hidden="1" customHeight="1">
      <c r="B138" s="176">
        <v>45429</v>
      </c>
      <c r="C138" s="177" t="s">
        <v>8124</v>
      </c>
      <c r="D138" s="193" t="s">
        <v>27</v>
      </c>
      <c r="E138" s="277">
        <v>-4262</v>
      </c>
      <c r="F138" s="179">
        <v>45413</v>
      </c>
      <c r="G138" s="179" t="s">
        <v>104</v>
      </c>
    </row>
    <row r="139" spans="2:7" s="165" customFormat="1" ht="15" hidden="1" customHeight="1">
      <c r="B139" s="176">
        <v>45429</v>
      </c>
      <c r="C139" s="185" t="s">
        <v>8120</v>
      </c>
      <c r="D139" s="194" t="s">
        <v>27</v>
      </c>
      <c r="E139" s="277">
        <v>-858035</v>
      </c>
      <c r="F139" s="179">
        <v>45413</v>
      </c>
      <c r="G139" s="179" t="s">
        <v>8125</v>
      </c>
    </row>
    <row r="140" spans="2:7" s="165" customFormat="1" ht="15" hidden="1" customHeight="1">
      <c r="B140" s="176">
        <v>45429</v>
      </c>
      <c r="C140" s="185" t="s">
        <v>8122</v>
      </c>
      <c r="D140" s="299" t="s">
        <v>25</v>
      </c>
      <c r="E140" s="300">
        <v>43</v>
      </c>
      <c r="F140" s="179">
        <v>45413</v>
      </c>
      <c r="G140" s="173" t="s">
        <v>104</v>
      </c>
    </row>
    <row r="141" spans="2:7" s="165" customFormat="1" ht="15" hidden="1" customHeight="1">
      <c r="B141" s="176">
        <v>45436</v>
      </c>
      <c r="C141" s="185" t="s">
        <v>8118</v>
      </c>
      <c r="D141" s="194" t="s">
        <v>27</v>
      </c>
      <c r="E141" s="446">
        <v>-7680</v>
      </c>
      <c r="F141" s="179">
        <v>45413</v>
      </c>
      <c r="G141" s="195" t="s">
        <v>130</v>
      </c>
    </row>
    <row r="142" spans="2:7" s="165" customFormat="1" ht="15" hidden="1" customHeight="1">
      <c r="B142" s="176">
        <v>45436</v>
      </c>
      <c r="C142" s="177" t="s">
        <v>8124</v>
      </c>
      <c r="D142" s="193" t="s">
        <v>27</v>
      </c>
      <c r="E142" s="277">
        <v>-1464</v>
      </c>
      <c r="F142" s="179">
        <v>45413</v>
      </c>
      <c r="G142" s="179" t="s">
        <v>104</v>
      </c>
    </row>
    <row r="143" spans="2:7" s="165" customFormat="1" ht="15" hidden="1" customHeight="1">
      <c r="B143" s="176">
        <v>45436</v>
      </c>
      <c r="C143" s="185" t="s">
        <v>8120</v>
      </c>
      <c r="D143" s="194" t="s">
        <v>27</v>
      </c>
      <c r="E143" s="277">
        <v>-757411</v>
      </c>
      <c r="F143" s="179">
        <v>45413</v>
      </c>
      <c r="G143" s="179" t="s">
        <v>8125</v>
      </c>
    </row>
    <row r="144" spans="2:7" s="165" customFormat="1" ht="15" hidden="1" customHeight="1">
      <c r="B144" s="176">
        <v>45436</v>
      </c>
      <c r="C144" s="196" t="s">
        <v>8129</v>
      </c>
      <c r="D144" s="299" t="s">
        <v>25</v>
      </c>
      <c r="E144" s="277">
        <v>38.32</v>
      </c>
      <c r="F144" s="179">
        <v>45413</v>
      </c>
      <c r="G144" s="173" t="s">
        <v>104</v>
      </c>
    </row>
    <row r="145" spans="2:14" s="165" customFormat="1" ht="15" hidden="1" customHeight="1">
      <c r="B145" s="176">
        <v>45436</v>
      </c>
      <c r="C145" s="185" t="s">
        <v>8122</v>
      </c>
      <c r="D145" s="299" t="s">
        <v>25</v>
      </c>
      <c r="E145" s="300">
        <v>101.99</v>
      </c>
      <c r="F145" s="179">
        <v>45413</v>
      </c>
      <c r="G145" s="173" t="s">
        <v>104</v>
      </c>
    </row>
    <row r="146" spans="2:14" s="165" customFormat="1" ht="15" hidden="1" customHeight="1">
      <c r="B146" s="176">
        <v>45436</v>
      </c>
      <c r="C146" s="185" t="s">
        <v>8120</v>
      </c>
      <c r="D146" s="178" t="s">
        <v>181</v>
      </c>
      <c r="E146" s="276">
        <v>-216191</v>
      </c>
      <c r="F146" s="179">
        <v>45413</v>
      </c>
      <c r="G146" s="179" t="s">
        <v>8125</v>
      </c>
    </row>
    <row r="147" spans="2:14" s="165" customFormat="1" ht="15" hidden="1" customHeight="1">
      <c r="B147" s="176">
        <v>45436</v>
      </c>
      <c r="C147" s="185" t="s">
        <v>8118</v>
      </c>
      <c r="D147" s="178" t="s">
        <v>181</v>
      </c>
      <c r="E147" s="276">
        <v>-43200</v>
      </c>
      <c r="F147" s="179">
        <v>45413</v>
      </c>
      <c r="G147" s="179" t="s">
        <v>104</v>
      </c>
    </row>
    <row r="148" spans="2:14" s="165" customFormat="1" ht="15" hidden="1" customHeight="1">
      <c r="B148" s="176">
        <v>45436</v>
      </c>
      <c r="C148" s="177" t="s">
        <v>8124</v>
      </c>
      <c r="D148" s="178" t="s">
        <v>181</v>
      </c>
      <c r="E148" s="277">
        <v>-7220</v>
      </c>
      <c r="F148" s="179">
        <v>45413</v>
      </c>
      <c r="G148" s="179" t="s">
        <v>104</v>
      </c>
    </row>
    <row r="149" spans="2:14" s="165" customFormat="1" ht="15" hidden="1" customHeight="1">
      <c r="B149" s="176">
        <v>45443</v>
      </c>
      <c r="C149" s="185" t="s">
        <v>8118</v>
      </c>
      <c r="D149" s="194" t="s">
        <v>27</v>
      </c>
      <c r="E149" s="446">
        <v>-32000</v>
      </c>
      <c r="F149" s="179">
        <v>45413</v>
      </c>
      <c r="G149" s="195" t="s">
        <v>130</v>
      </c>
    </row>
    <row r="150" spans="2:14" s="165" customFormat="1" ht="15" hidden="1" customHeight="1">
      <c r="B150" s="176">
        <v>45443</v>
      </c>
      <c r="C150" s="177" t="s">
        <v>8124</v>
      </c>
      <c r="D150" s="193" t="s">
        <v>27</v>
      </c>
      <c r="E150" s="277">
        <v>-6090</v>
      </c>
      <c r="F150" s="179">
        <v>45413</v>
      </c>
      <c r="G150" s="179" t="s">
        <v>104</v>
      </c>
    </row>
    <row r="151" spans="2:14" s="165" customFormat="1" ht="15" hidden="1" customHeight="1">
      <c r="B151" s="176">
        <v>45443</v>
      </c>
      <c r="C151" s="185" t="s">
        <v>8120</v>
      </c>
      <c r="D151" s="194" t="s">
        <v>27</v>
      </c>
      <c r="E151" s="277">
        <f>-726530+159641.21</f>
        <v>-566888.79</v>
      </c>
      <c r="F151" s="179">
        <v>45413</v>
      </c>
      <c r="G151" s="179" t="s">
        <v>8125</v>
      </c>
    </row>
    <row r="152" spans="2:14" s="165" customFormat="1" ht="15" hidden="1" customHeight="1">
      <c r="B152" s="176">
        <v>45443</v>
      </c>
      <c r="C152" s="185" t="s">
        <v>8120</v>
      </c>
      <c r="D152" s="178" t="s">
        <v>181</v>
      </c>
      <c r="E152" s="276">
        <v>-26195</v>
      </c>
      <c r="F152" s="179">
        <v>45413</v>
      </c>
      <c r="G152" s="179" t="s">
        <v>8125</v>
      </c>
    </row>
    <row r="153" spans="2:14" s="165" customFormat="1" ht="15" hidden="1" customHeight="1">
      <c r="B153" s="176">
        <v>45443</v>
      </c>
      <c r="C153" s="185" t="s">
        <v>8118</v>
      </c>
      <c r="D153" s="178" t="s">
        <v>181</v>
      </c>
      <c r="E153" s="276">
        <v>-5200</v>
      </c>
      <c r="F153" s="179">
        <v>45413</v>
      </c>
      <c r="G153" s="179" t="s">
        <v>104</v>
      </c>
    </row>
    <row r="154" spans="2:14" s="182" customFormat="1" ht="15.75" hidden="1" customHeight="1">
      <c r="B154" s="176">
        <v>45442</v>
      </c>
      <c r="C154" s="185" t="s">
        <v>8122</v>
      </c>
      <c r="D154" s="299" t="s">
        <v>25</v>
      </c>
      <c r="E154" s="300">
        <v>23.25</v>
      </c>
      <c r="F154" s="179">
        <v>45413</v>
      </c>
      <c r="G154" s="173" t="s">
        <v>104</v>
      </c>
      <c r="K154" s="180">
        <v>0.27500000000000002</v>
      </c>
      <c r="L154" s="181">
        <v>4000</v>
      </c>
      <c r="M154" s="180"/>
      <c r="N154" s="180"/>
    </row>
    <row r="155" spans="2:14" s="182" customFormat="1" ht="15.75" hidden="1" customHeight="1">
      <c r="B155" s="176">
        <v>45442</v>
      </c>
      <c r="C155" s="185" t="s">
        <v>8122</v>
      </c>
      <c r="D155" s="299" t="s">
        <v>40</v>
      </c>
      <c r="E155" s="300">
        <v>2018945.91</v>
      </c>
      <c r="F155" s="179">
        <v>45413</v>
      </c>
      <c r="G155" s="173" t="s">
        <v>104</v>
      </c>
      <c r="K155" s="180"/>
      <c r="L155" s="181"/>
      <c r="M155" s="180"/>
      <c r="N155" s="180"/>
    </row>
    <row r="156" spans="2:14" s="182" customFormat="1" ht="15.75" hidden="1" customHeight="1">
      <c r="B156" s="176">
        <v>45442</v>
      </c>
      <c r="C156" s="298" t="s">
        <v>8130</v>
      </c>
      <c r="D156" s="299" t="s">
        <v>40</v>
      </c>
      <c r="E156" s="300">
        <v>-240980</v>
      </c>
      <c r="F156" s="179">
        <v>45413</v>
      </c>
      <c r="G156" s="173" t="s">
        <v>104</v>
      </c>
      <c r="K156" s="180"/>
      <c r="L156" s="181"/>
      <c r="M156" s="180"/>
      <c r="N156" s="180"/>
    </row>
    <row r="157" spans="2:14" s="182" customFormat="1" ht="15.75" hidden="1" customHeight="1">
      <c r="B157" s="176">
        <v>45419</v>
      </c>
      <c r="C157" s="298" t="s">
        <v>8118</v>
      </c>
      <c r="D157" s="174" t="s">
        <v>27</v>
      </c>
      <c r="E157" s="461">
        <v>-9600</v>
      </c>
      <c r="F157" s="179">
        <v>45444</v>
      </c>
      <c r="G157" s="174" t="s">
        <v>130</v>
      </c>
      <c r="K157" s="180">
        <v>0.34</v>
      </c>
      <c r="L157" s="181">
        <f>+K157*L154*620*545</f>
        <v>459544000</v>
      </c>
      <c r="M157" s="180"/>
      <c r="N157" s="180"/>
    </row>
    <row r="158" spans="2:14" s="182" customFormat="1" ht="15.75" hidden="1" customHeight="1">
      <c r="B158" s="176">
        <v>45419</v>
      </c>
      <c r="C158" s="177" t="s">
        <v>8124</v>
      </c>
      <c r="D158" s="193" t="s">
        <v>27</v>
      </c>
      <c r="E158" s="279">
        <v>-1830</v>
      </c>
      <c r="F158" s="179">
        <v>45444</v>
      </c>
      <c r="G158" s="179" t="s">
        <v>104</v>
      </c>
      <c r="K158" s="180"/>
      <c r="L158" s="181">
        <f>+L157/620</f>
        <v>741200</v>
      </c>
      <c r="M158" s="180">
        <f>+L158/545</f>
        <v>1360</v>
      </c>
      <c r="N158" s="180">
        <v>1380</v>
      </c>
    </row>
    <row r="159" spans="2:14" s="165" customFormat="1" ht="15" hidden="1" customHeight="1">
      <c r="B159" s="176">
        <v>45419</v>
      </c>
      <c r="C159" s="185" t="s">
        <v>8120</v>
      </c>
      <c r="D159" s="194" t="s">
        <v>27</v>
      </c>
      <c r="E159" s="277">
        <v>-267148</v>
      </c>
      <c r="F159" s="179">
        <v>45444</v>
      </c>
      <c r="G159" s="179" t="s">
        <v>8125</v>
      </c>
    </row>
    <row r="160" spans="2:14" s="165" customFormat="1" ht="15" hidden="1" customHeight="1">
      <c r="B160" s="176">
        <v>45426</v>
      </c>
      <c r="C160" s="196" t="s">
        <v>8126</v>
      </c>
      <c r="D160" s="193" t="s">
        <v>8126</v>
      </c>
      <c r="E160" s="277">
        <f>-32522+11+16-33512.2174465656</f>
        <v>-66007.217446565599</v>
      </c>
      <c r="F160" s="179">
        <v>45444</v>
      </c>
      <c r="G160" s="179" t="s">
        <v>104</v>
      </c>
    </row>
    <row r="161" spans="2:9" s="165" customFormat="1" ht="15" hidden="1" customHeight="1">
      <c r="B161" s="176">
        <v>45447</v>
      </c>
      <c r="C161" s="185" t="s">
        <v>8122</v>
      </c>
      <c r="D161" s="178" t="s">
        <v>25</v>
      </c>
      <c r="E161" s="276">
        <v>23.17</v>
      </c>
      <c r="F161" s="179">
        <v>45444</v>
      </c>
      <c r="G161" s="179" t="s">
        <v>104</v>
      </c>
    </row>
    <row r="162" spans="2:9" s="165" customFormat="1" ht="15" hidden="1" customHeight="1">
      <c r="B162" s="176">
        <v>45449</v>
      </c>
      <c r="C162" s="185" t="s">
        <v>8118</v>
      </c>
      <c r="D162" s="178" t="s">
        <v>181</v>
      </c>
      <c r="E162" s="276">
        <v>-2600</v>
      </c>
      <c r="F162" s="179">
        <v>45444</v>
      </c>
      <c r="G162" s="179" t="s">
        <v>104</v>
      </c>
    </row>
    <row r="163" spans="2:9" s="165" customFormat="1" ht="15" hidden="1" customHeight="1">
      <c r="B163" s="176">
        <v>45450</v>
      </c>
      <c r="C163" s="185" t="s">
        <v>8120</v>
      </c>
      <c r="D163" s="193" t="s">
        <v>181</v>
      </c>
      <c r="E163" s="276">
        <v>-23156</v>
      </c>
      <c r="F163" s="179">
        <v>45444</v>
      </c>
      <c r="G163" s="179" t="s">
        <v>8125</v>
      </c>
    </row>
    <row r="164" spans="2:9" s="165" customFormat="1" ht="15" hidden="1" customHeight="1">
      <c r="B164" s="176">
        <v>45457</v>
      </c>
      <c r="C164" s="177" t="s">
        <v>8124</v>
      </c>
      <c r="D164" s="178" t="s">
        <v>181</v>
      </c>
      <c r="E164" s="277">
        <v>-21663</v>
      </c>
      <c r="F164" s="179">
        <v>45444</v>
      </c>
      <c r="G164" s="179" t="s">
        <v>104</v>
      </c>
    </row>
    <row r="165" spans="2:9" s="165" customFormat="1" ht="15" hidden="1" customHeight="1">
      <c r="B165" s="176">
        <v>45457</v>
      </c>
      <c r="C165" s="185" t="s">
        <v>8120</v>
      </c>
      <c r="D165" s="178" t="s">
        <v>181</v>
      </c>
      <c r="E165" s="276">
        <v>-272302</v>
      </c>
      <c r="F165" s="179">
        <v>45444</v>
      </c>
      <c r="G165" s="179" t="s">
        <v>8125</v>
      </c>
      <c r="I165" s="165">
        <v>-33512.217446565599</v>
      </c>
    </row>
    <row r="166" spans="2:9" s="165" customFormat="1" ht="15" hidden="1" customHeight="1">
      <c r="B166" s="176">
        <v>45457</v>
      </c>
      <c r="C166" s="185" t="s">
        <v>8118</v>
      </c>
      <c r="D166" s="178" t="s">
        <v>181</v>
      </c>
      <c r="E166" s="276">
        <v>-114618</v>
      </c>
      <c r="F166" s="179">
        <v>45444</v>
      </c>
      <c r="G166" s="179" t="s">
        <v>104</v>
      </c>
    </row>
    <row r="167" spans="2:9" s="165" customFormat="1" ht="15" hidden="1" customHeight="1">
      <c r="B167" s="176">
        <v>45457</v>
      </c>
      <c r="C167" s="185" t="s">
        <v>8118</v>
      </c>
      <c r="D167" s="460" t="s">
        <v>27</v>
      </c>
      <c r="E167" s="446">
        <v>-4480</v>
      </c>
      <c r="F167" s="179">
        <v>45444</v>
      </c>
      <c r="G167" s="195" t="s">
        <v>130</v>
      </c>
    </row>
    <row r="168" spans="2:9" s="165" customFormat="1" ht="15" hidden="1" customHeight="1">
      <c r="B168" s="176">
        <v>45457</v>
      </c>
      <c r="C168" s="177" t="s">
        <v>8124</v>
      </c>
      <c r="D168" s="193" t="s">
        <v>27</v>
      </c>
      <c r="E168" s="277">
        <v>-853</v>
      </c>
      <c r="F168" s="179">
        <v>45444</v>
      </c>
      <c r="G168" s="179" t="s">
        <v>104</v>
      </c>
    </row>
    <row r="169" spans="2:9" s="165" customFormat="1" ht="15" hidden="1" customHeight="1">
      <c r="B169" s="176">
        <v>45457</v>
      </c>
      <c r="C169" s="185" t="s">
        <v>8120</v>
      </c>
      <c r="D169" s="460" t="s">
        <v>27</v>
      </c>
      <c r="E169" s="277">
        <v>-332919</v>
      </c>
      <c r="F169" s="179">
        <v>45444</v>
      </c>
      <c r="G169" s="179" t="s">
        <v>8125</v>
      </c>
    </row>
    <row r="170" spans="2:9" s="165" customFormat="1" ht="15" hidden="1" customHeight="1">
      <c r="B170" s="176">
        <v>45457</v>
      </c>
      <c r="C170" s="185" t="s">
        <v>8122</v>
      </c>
      <c r="D170" s="194" t="s">
        <v>643</v>
      </c>
      <c r="E170" s="277">
        <v>34.85</v>
      </c>
      <c r="F170" s="179">
        <v>45444</v>
      </c>
      <c r="G170" s="173" t="s">
        <v>104</v>
      </c>
    </row>
    <row r="171" spans="2:9" s="165" customFormat="1" ht="15" hidden="1" customHeight="1">
      <c r="B171" s="176">
        <v>45464</v>
      </c>
      <c r="C171" s="177" t="s">
        <v>8124</v>
      </c>
      <c r="D171" s="178" t="s">
        <v>181</v>
      </c>
      <c r="E171" s="277">
        <v>-18430</v>
      </c>
      <c r="F171" s="179">
        <v>45444</v>
      </c>
      <c r="G171" s="179" t="s">
        <v>104</v>
      </c>
    </row>
    <row r="172" spans="2:9" s="165" customFormat="1" ht="15" hidden="1" customHeight="1">
      <c r="B172" s="176">
        <v>45464</v>
      </c>
      <c r="C172" s="185" t="s">
        <v>8120</v>
      </c>
      <c r="D172" s="178" t="s">
        <v>181</v>
      </c>
      <c r="E172" s="276">
        <v>-693907</v>
      </c>
      <c r="F172" s="179">
        <v>45444</v>
      </c>
      <c r="G172" s="179" t="s">
        <v>8125</v>
      </c>
    </row>
    <row r="173" spans="2:9" s="165" customFormat="1" ht="15" hidden="1" customHeight="1">
      <c r="B173" s="176">
        <v>45464</v>
      </c>
      <c r="C173" s="185" t="s">
        <v>8118</v>
      </c>
      <c r="D173" s="178" t="s">
        <v>181</v>
      </c>
      <c r="E173" s="276">
        <v>-102200</v>
      </c>
      <c r="F173" s="179">
        <v>45444</v>
      </c>
      <c r="G173" s="179" t="s">
        <v>104</v>
      </c>
    </row>
    <row r="174" spans="2:9" s="165" customFormat="1" ht="15" hidden="1" customHeight="1">
      <c r="B174" s="176">
        <v>45473</v>
      </c>
      <c r="C174" s="185" t="s">
        <v>8122</v>
      </c>
      <c r="D174" s="194" t="s">
        <v>643</v>
      </c>
      <c r="E174" s="277">
        <v>56.81</v>
      </c>
      <c r="F174" s="179">
        <v>45444</v>
      </c>
      <c r="G174" s="173" t="s">
        <v>104</v>
      </c>
    </row>
    <row r="175" spans="2:9" s="165" customFormat="1" ht="15" hidden="1" customHeight="1">
      <c r="B175" s="176">
        <v>45467</v>
      </c>
      <c r="C175" s="185" t="s">
        <v>8120</v>
      </c>
      <c r="D175" s="460" t="s">
        <v>27</v>
      </c>
      <c r="E175" s="277">
        <v>-1200176</v>
      </c>
      <c r="F175" s="179">
        <v>45444</v>
      </c>
      <c r="G175" s="179" t="s">
        <v>8125</v>
      </c>
    </row>
    <row r="176" spans="2:9" s="165" customFormat="1" ht="15" hidden="1" customHeight="1">
      <c r="B176" s="176">
        <v>45471</v>
      </c>
      <c r="C176" s="177" t="s">
        <v>8124</v>
      </c>
      <c r="D176" s="178" t="s">
        <v>181</v>
      </c>
      <c r="E176" s="277">
        <v>-25270</v>
      </c>
      <c r="F176" s="179">
        <v>45444</v>
      </c>
      <c r="G176" s="179" t="s">
        <v>104</v>
      </c>
    </row>
    <row r="177" spans="2:9" s="165" customFormat="1" ht="15" hidden="1" customHeight="1">
      <c r="B177" s="176">
        <v>45471</v>
      </c>
      <c r="C177" s="185" t="s">
        <v>8120</v>
      </c>
      <c r="D177" s="178" t="s">
        <v>181</v>
      </c>
      <c r="E177" s="276">
        <v>-950300</v>
      </c>
      <c r="F177" s="179">
        <v>45444</v>
      </c>
      <c r="G177" s="179" t="s">
        <v>8125</v>
      </c>
    </row>
    <row r="178" spans="2:9" s="165" customFormat="1" ht="15" hidden="1" customHeight="1">
      <c r="B178" s="176">
        <v>45471</v>
      </c>
      <c r="C178" s="185" t="s">
        <v>8118</v>
      </c>
      <c r="D178" s="178" t="s">
        <v>181</v>
      </c>
      <c r="E178" s="276">
        <v>-138200</v>
      </c>
      <c r="F178" s="179">
        <v>45444</v>
      </c>
      <c r="G178" s="179" t="s">
        <v>104</v>
      </c>
    </row>
    <row r="179" spans="2:9" s="165" customFormat="1" ht="15" hidden="1" customHeight="1">
      <c r="B179" s="176">
        <v>45473</v>
      </c>
      <c r="C179" s="185" t="s">
        <v>8122</v>
      </c>
      <c r="D179" s="299" t="s">
        <v>40</v>
      </c>
      <c r="E179" s="300">
        <v>362169.78</v>
      </c>
      <c r="F179" s="179">
        <v>45444</v>
      </c>
      <c r="G179" s="173" t="s">
        <v>104</v>
      </c>
    </row>
    <row r="180" spans="2:9" s="165" customFormat="1" ht="15" hidden="1" customHeight="1">
      <c r="B180" s="176">
        <v>45478</v>
      </c>
      <c r="C180" s="177" t="s">
        <v>8124</v>
      </c>
      <c r="D180" s="178" t="s">
        <v>181</v>
      </c>
      <c r="E180" s="481">
        <v>-10640</v>
      </c>
      <c r="F180" s="179">
        <v>45474</v>
      </c>
      <c r="G180" s="179" t="s">
        <v>104</v>
      </c>
    </row>
    <row r="181" spans="2:9" s="165" customFormat="1" ht="15" hidden="1" customHeight="1">
      <c r="B181" s="176">
        <v>45478</v>
      </c>
      <c r="C181" s="185" t="s">
        <v>8120</v>
      </c>
      <c r="D181" s="178" t="s">
        <v>181</v>
      </c>
      <c r="E181" s="482">
        <v>-359010</v>
      </c>
      <c r="F181" s="179">
        <v>45474</v>
      </c>
      <c r="G181" s="179" t="s">
        <v>8125</v>
      </c>
    </row>
    <row r="182" spans="2:9" s="182" customFormat="1" ht="15.75" hidden="1" customHeight="1">
      <c r="B182" s="176">
        <v>45478</v>
      </c>
      <c r="C182" s="185" t="s">
        <v>8118</v>
      </c>
      <c r="D182" s="178" t="s">
        <v>181</v>
      </c>
      <c r="E182" s="483">
        <v>-61200</v>
      </c>
      <c r="F182" s="179">
        <v>45474</v>
      </c>
      <c r="G182" s="179" t="s">
        <v>104</v>
      </c>
      <c r="I182" s="180">
        <v>2000</v>
      </c>
    </row>
    <row r="183" spans="2:9" s="182" customFormat="1" ht="15.75" hidden="1" customHeight="1">
      <c r="B183" s="176">
        <v>45448</v>
      </c>
      <c r="C183" s="196" t="s">
        <v>8126</v>
      </c>
      <c r="D183" s="193" t="s">
        <v>8126</v>
      </c>
      <c r="E183" s="277">
        <v>40000</v>
      </c>
      <c r="F183" s="179">
        <v>45444</v>
      </c>
      <c r="G183" s="179" t="s">
        <v>104</v>
      </c>
      <c r="I183" s="180">
        <f>+I182*19%</f>
        <v>380</v>
      </c>
    </row>
    <row r="184" spans="2:9" s="165" customFormat="1" ht="15" hidden="1" customHeight="1">
      <c r="B184" s="176">
        <v>45485</v>
      </c>
      <c r="C184" s="185" t="s">
        <v>8118</v>
      </c>
      <c r="D184" s="460" t="s">
        <v>27</v>
      </c>
      <c r="E184" s="480">
        <v>-1280</v>
      </c>
      <c r="F184" s="179">
        <v>45474</v>
      </c>
      <c r="G184" s="195" t="s">
        <v>130</v>
      </c>
    </row>
    <row r="185" spans="2:9" s="165" customFormat="1" ht="15" hidden="1" customHeight="1">
      <c r="B185" s="176">
        <v>45485</v>
      </c>
      <c r="C185" s="177" t="s">
        <v>8124</v>
      </c>
      <c r="D185" s="193" t="s">
        <v>27</v>
      </c>
      <c r="E185" s="479">
        <v>-244</v>
      </c>
      <c r="F185" s="179">
        <v>45474</v>
      </c>
      <c r="G185" s="179" t="s">
        <v>104</v>
      </c>
    </row>
    <row r="186" spans="2:9" s="165" customFormat="1" ht="15" hidden="1" customHeight="1">
      <c r="B186" s="176">
        <v>45485</v>
      </c>
      <c r="C186" s="185" t="s">
        <v>8120</v>
      </c>
      <c r="D186" s="460" t="s">
        <v>27</v>
      </c>
      <c r="E186" s="478">
        <v>-7907</v>
      </c>
      <c r="F186" s="179">
        <v>45474</v>
      </c>
      <c r="G186" s="179" t="s">
        <v>8125</v>
      </c>
    </row>
    <row r="187" spans="2:9" s="165" customFormat="1" ht="15" hidden="1" customHeight="1">
      <c r="B187" s="176">
        <v>45485</v>
      </c>
      <c r="C187" s="185" t="s">
        <v>8122</v>
      </c>
      <c r="D187" s="194" t="s">
        <v>643</v>
      </c>
      <c r="E187" s="277">
        <v>1.1000000000000001</v>
      </c>
      <c r="F187" s="179">
        <v>45474</v>
      </c>
      <c r="G187" s="173" t="s">
        <v>104</v>
      </c>
    </row>
    <row r="188" spans="2:9" s="165" customFormat="1" ht="15" hidden="1" customHeight="1">
      <c r="B188" s="176">
        <v>45485</v>
      </c>
      <c r="C188" s="177" t="s">
        <v>8124</v>
      </c>
      <c r="D188" s="178" t="s">
        <v>181</v>
      </c>
      <c r="E188" s="481">
        <v>-27740</v>
      </c>
      <c r="F188" s="179">
        <v>45474</v>
      </c>
      <c r="G188" s="179" t="s">
        <v>104</v>
      </c>
    </row>
    <row r="189" spans="2:9" s="165" customFormat="1" ht="15" hidden="1" customHeight="1">
      <c r="B189" s="176">
        <v>45485</v>
      </c>
      <c r="C189" s="185" t="s">
        <v>8120</v>
      </c>
      <c r="D189" s="178" t="s">
        <v>181</v>
      </c>
      <c r="E189" s="482">
        <v>-601176</v>
      </c>
      <c r="F189" s="179">
        <v>45474</v>
      </c>
      <c r="G189" s="179" t="s">
        <v>8125</v>
      </c>
    </row>
    <row r="190" spans="2:9" s="165" customFormat="1" ht="15" hidden="1" customHeight="1">
      <c r="B190" s="176">
        <v>45485</v>
      </c>
      <c r="C190" s="185" t="s">
        <v>8118</v>
      </c>
      <c r="D190" s="178" t="s">
        <v>181</v>
      </c>
      <c r="E190" s="483">
        <v>-147200</v>
      </c>
      <c r="F190" s="179">
        <v>45474</v>
      </c>
      <c r="G190" s="179" t="s">
        <v>104</v>
      </c>
    </row>
    <row r="191" spans="2:9" s="165" customFormat="1" ht="15" hidden="1" customHeight="1">
      <c r="B191" s="176">
        <v>45492</v>
      </c>
      <c r="C191" s="177" t="s">
        <v>8124</v>
      </c>
      <c r="D191" s="193" t="s">
        <v>27</v>
      </c>
      <c r="E191" s="479">
        <v>-2196</v>
      </c>
      <c r="F191" s="179">
        <v>45474</v>
      </c>
      <c r="G191" s="179" t="s">
        <v>104</v>
      </c>
    </row>
    <row r="192" spans="2:9" s="165" customFormat="1" ht="15" hidden="1" customHeight="1">
      <c r="B192" s="176">
        <v>45492</v>
      </c>
      <c r="C192" s="185" t="s">
        <v>8120</v>
      </c>
      <c r="D192" s="460" t="s">
        <v>27</v>
      </c>
      <c r="E192" s="478">
        <v>-1816678</v>
      </c>
      <c r="F192" s="179">
        <v>45474</v>
      </c>
      <c r="G192" s="179" t="s">
        <v>8125</v>
      </c>
    </row>
    <row r="193" spans="2:7" s="165" customFormat="1" ht="15" hidden="1" customHeight="1">
      <c r="B193" s="176">
        <v>45492</v>
      </c>
      <c r="C193" s="185" t="s">
        <v>8118</v>
      </c>
      <c r="D193" s="460" t="s">
        <v>27</v>
      </c>
      <c r="E193" s="481">
        <v>-11520</v>
      </c>
      <c r="F193" s="179">
        <v>45474</v>
      </c>
      <c r="G193" s="195" t="s">
        <v>130</v>
      </c>
    </row>
    <row r="194" spans="2:7" s="165" customFormat="1" ht="15" hidden="1" customHeight="1">
      <c r="B194" s="176">
        <v>45492</v>
      </c>
      <c r="C194" s="185" t="s">
        <v>8122</v>
      </c>
      <c r="D194" s="194" t="s">
        <v>643</v>
      </c>
      <c r="E194" s="277">
        <v>2.34</v>
      </c>
      <c r="F194" s="179">
        <v>45474</v>
      </c>
      <c r="G194" s="173" t="s">
        <v>104</v>
      </c>
    </row>
    <row r="195" spans="2:7" s="165" customFormat="1" ht="15" hidden="1" customHeight="1">
      <c r="B195" s="176">
        <v>45492</v>
      </c>
      <c r="C195" s="177" t="s">
        <v>8124</v>
      </c>
      <c r="D195" s="178" t="s">
        <v>181</v>
      </c>
      <c r="E195" s="481">
        <v>-1520</v>
      </c>
      <c r="F195" s="179">
        <v>45474</v>
      </c>
      <c r="G195" s="179" t="s">
        <v>104</v>
      </c>
    </row>
    <row r="196" spans="2:7" s="165" customFormat="1" ht="15" hidden="1" customHeight="1">
      <c r="B196" s="176">
        <v>45492</v>
      </c>
      <c r="C196" s="185" t="s">
        <v>8120</v>
      </c>
      <c r="D196" s="178" t="s">
        <v>181</v>
      </c>
      <c r="E196" s="482">
        <v>-20984</v>
      </c>
      <c r="F196" s="179">
        <v>45474</v>
      </c>
      <c r="G196" s="179" t="s">
        <v>8125</v>
      </c>
    </row>
    <row r="197" spans="2:7" s="165" customFormat="1" ht="15" hidden="1" customHeight="1">
      <c r="B197" s="176">
        <v>45492</v>
      </c>
      <c r="C197" s="185" t="s">
        <v>8118</v>
      </c>
      <c r="D197" s="178" t="s">
        <v>181</v>
      </c>
      <c r="E197" s="483">
        <v>-19800</v>
      </c>
      <c r="F197" s="179">
        <v>45474</v>
      </c>
      <c r="G197" s="179" t="s">
        <v>104</v>
      </c>
    </row>
    <row r="198" spans="2:7" s="165" customFormat="1" ht="15" hidden="1" customHeight="1">
      <c r="B198" s="176">
        <v>45504</v>
      </c>
      <c r="C198" s="196" t="s">
        <v>8126</v>
      </c>
      <c r="D198" s="193" t="s">
        <v>8126</v>
      </c>
      <c r="E198" s="277">
        <v>-2760</v>
      </c>
      <c r="F198" s="179">
        <v>45474</v>
      </c>
      <c r="G198" s="179" t="s">
        <v>104</v>
      </c>
    </row>
    <row r="199" spans="2:7" s="165" customFormat="1" ht="15" hidden="1" customHeight="1">
      <c r="B199" s="176">
        <v>45499</v>
      </c>
      <c r="C199" s="177" t="s">
        <v>8124</v>
      </c>
      <c r="D199" s="193" t="s">
        <v>27</v>
      </c>
      <c r="E199" s="479">
        <v>-1342</v>
      </c>
      <c r="F199" s="179">
        <v>45474</v>
      </c>
      <c r="G199" s="179" t="s">
        <v>104</v>
      </c>
    </row>
    <row r="200" spans="2:7" s="165" customFormat="1" ht="15" hidden="1" customHeight="1">
      <c r="B200" s="176">
        <v>45499</v>
      </c>
      <c r="C200" s="185" t="s">
        <v>8120</v>
      </c>
      <c r="D200" s="460" t="s">
        <v>27</v>
      </c>
      <c r="E200" s="478">
        <v>-856961</v>
      </c>
      <c r="F200" s="179">
        <v>45474</v>
      </c>
      <c r="G200" s="179" t="s">
        <v>8125</v>
      </c>
    </row>
    <row r="201" spans="2:7" s="165" customFormat="1" ht="15" hidden="1" customHeight="1">
      <c r="B201" s="176">
        <v>45499</v>
      </c>
      <c r="C201" s="185" t="s">
        <v>8118</v>
      </c>
      <c r="D201" s="460" t="s">
        <v>27</v>
      </c>
      <c r="E201" s="481">
        <v>-7040</v>
      </c>
      <c r="F201" s="179">
        <v>45474</v>
      </c>
      <c r="G201" s="195" t="s">
        <v>130</v>
      </c>
    </row>
    <row r="202" spans="2:7" s="165" customFormat="1" ht="15" hidden="1" customHeight="1">
      <c r="B202" s="176">
        <v>45499</v>
      </c>
      <c r="C202" s="177" t="s">
        <v>8124</v>
      </c>
      <c r="D202" s="178" t="s">
        <v>181</v>
      </c>
      <c r="E202" s="481">
        <v>-7220</v>
      </c>
      <c r="F202" s="179">
        <v>45474</v>
      </c>
      <c r="G202" s="179" t="s">
        <v>104</v>
      </c>
    </row>
    <row r="203" spans="2:7" s="165" customFormat="1" ht="15" hidden="1" customHeight="1">
      <c r="B203" s="176">
        <v>45499</v>
      </c>
      <c r="C203" s="185" t="s">
        <v>8120</v>
      </c>
      <c r="D203" s="178" t="s">
        <v>181</v>
      </c>
      <c r="E203" s="482">
        <v>-8191</v>
      </c>
      <c r="F203" s="179">
        <v>45474</v>
      </c>
      <c r="G203" s="179" t="s">
        <v>8125</v>
      </c>
    </row>
    <row r="204" spans="2:7" s="165" customFormat="1" ht="15" hidden="1" customHeight="1">
      <c r="B204" s="176">
        <v>45499</v>
      </c>
      <c r="C204" s="185" t="s">
        <v>8118</v>
      </c>
      <c r="D204" s="178" t="s">
        <v>181</v>
      </c>
      <c r="E204" s="483">
        <v>-40600</v>
      </c>
      <c r="F204" s="179">
        <v>45474</v>
      </c>
      <c r="G204" s="179" t="s">
        <v>104</v>
      </c>
    </row>
    <row r="205" spans="2:7" s="165" customFormat="1" ht="15" hidden="1" customHeight="1">
      <c r="B205" s="176">
        <v>45499</v>
      </c>
      <c r="C205" s="185" t="s">
        <v>8122</v>
      </c>
      <c r="D205" s="194" t="s">
        <v>643</v>
      </c>
      <c r="E205" s="277">
        <v>60.36</v>
      </c>
      <c r="F205" s="179">
        <v>45474</v>
      </c>
      <c r="G205" s="173" t="s">
        <v>104</v>
      </c>
    </row>
    <row r="206" spans="2:7" s="165" customFormat="1" ht="15" hidden="1" customHeight="1">
      <c r="B206" s="176">
        <v>45499</v>
      </c>
      <c r="C206" s="196" t="s">
        <v>8121</v>
      </c>
      <c r="D206" s="299" t="s">
        <v>25</v>
      </c>
      <c r="E206" s="277">
        <v>-14190</v>
      </c>
      <c r="F206" s="179">
        <v>45474</v>
      </c>
      <c r="G206" s="173" t="s">
        <v>104</v>
      </c>
    </row>
    <row r="207" spans="2:7" s="165" customFormat="1" ht="15" hidden="1" customHeight="1">
      <c r="B207" s="176">
        <v>45504</v>
      </c>
      <c r="C207" s="177" t="s">
        <v>8124</v>
      </c>
      <c r="D207" s="193" t="s">
        <v>27</v>
      </c>
      <c r="E207" s="479">
        <v>-6940</v>
      </c>
      <c r="F207" s="179">
        <v>45474</v>
      </c>
      <c r="G207" s="179" t="s">
        <v>104</v>
      </c>
    </row>
    <row r="208" spans="2:7" s="165" customFormat="1" ht="15" hidden="1" customHeight="1">
      <c r="B208" s="176">
        <v>45504</v>
      </c>
      <c r="C208" s="185" t="s">
        <v>8120</v>
      </c>
      <c r="D208" s="460" t="s">
        <v>27</v>
      </c>
      <c r="E208" s="478">
        <v>-2148839</v>
      </c>
      <c r="F208" s="179">
        <v>45474</v>
      </c>
      <c r="G208" s="179" t="s">
        <v>8125</v>
      </c>
    </row>
    <row r="209" spans="2:7" s="165" customFormat="1" ht="15" hidden="1" customHeight="1">
      <c r="B209" s="176">
        <v>45504</v>
      </c>
      <c r="C209" s="185" t="s">
        <v>8118</v>
      </c>
      <c r="D209" s="460" t="s">
        <v>27</v>
      </c>
      <c r="E209" s="481">
        <v>-36480</v>
      </c>
      <c r="F209" s="179">
        <v>45474</v>
      </c>
      <c r="G209" s="195" t="s">
        <v>130</v>
      </c>
    </row>
    <row r="210" spans="2:7" s="165" customFormat="1" ht="15" hidden="1" customHeight="1">
      <c r="B210" s="176">
        <v>45504</v>
      </c>
      <c r="C210" s="185" t="s">
        <v>8120</v>
      </c>
      <c r="D210" s="178" t="s">
        <v>181</v>
      </c>
      <c r="E210" s="482">
        <v>-8010</v>
      </c>
      <c r="F210" s="179">
        <v>45474</v>
      </c>
      <c r="G210" s="179" t="s">
        <v>8125</v>
      </c>
    </row>
    <row r="211" spans="2:7" s="165" customFormat="1" ht="15" hidden="1" customHeight="1">
      <c r="B211" s="176">
        <v>45504</v>
      </c>
      <c r="C211" s="185" t="s">
        <v>8118</v>
      </c>
      <c r="D211" s="178" t="s">
        <v>181</v>
      </c>
      <c r="E211" s="483">
        <v>-2600</v>
      </c>
      <c r="F211" s="179">
        <v>45474</v>
      </c>
      <c r="G211" s="179" t="s">
        <v>104</v>
      </c>
    </row>
    <row r="212" spans="2:7" s="165" customFormat="1" ht="15" hidden="1" customHeight="1">
      <c r="B212" s="176">
        <v>45504</v>
      </c>
      <c r="C212" s="185" t="s">
        <v>8122</v>
      </c>
      <c r="D212" s="194" t="s">
        <v>643</v>
      </c>
      <c r="E212" s="277">
        <v>22.53</v>
      </c>
      <c r="F212" s="179">
        <v>45474</v>
      </c>
      <c r="G212" s="173" t="s">
        <v>104</v>
      </c>
    </row>
    <row r="213" spans="2:7" s="165" customFormat="1" ht="15" hidden="1" customHeight="1">
      <c r="B213" s="176">
        <v>45504</v>
      </c>
      <c r="C213" s="185" t="s">
        <v>8122</v>
      </c>
      <c r="D213" s="299" t="s">
        <v>40</v>
      </c>
      <c r="E213" s="300">
        <v>301495.27</v>
      </c>
      <c r="F213" s="179">
        <v>45474</v>
      </c>
      <c r="G213" s="173" t="s">
        <v>104</v>
      </c>
    </row>
    <row r="214" spans="2:7" s="165" customFormat="1" ht="15" hidden="1" customHeight="1">
      <c r="B214" s="176">
        <v>45504</v>
      </c>
      <c r="C214" s="298" t="s">
        <v>8130</v>
      </c>
      <c r="D214" s="299" t="s">
        <v>40</v>
      </c>
      <c r="E214" s="300">
        <v>-53522</v>
      </c>
      <c r="F214" s="179">
        <v>45474</v>
      </c>
      <c r="G214" s="173" t="s">
        <v>104</v>
      </c>
    </row>
    <row r="215" spans="2:7" s="165" customFormat="1" ht="15" hidden="1" customHeight="1">
      <c r="B215" s="176">
        <v>45506</v>
      </c>
      <c r="C215" s="177" t="s">
        <v>8124</v>
      </c>
      <c r="D215" s="193" t="s">
        <v>27</v>
      </c>
      <c r="E215" s="487">
        <v>-1098</v>
      </c>
      <c r="F215" s="179">
        <v>45505</v>
      </c>
      <c r="G215" s="179" t="s">
        <v>104</v>
      </c>
    </row>
    <row r="216" spans="2:7" s="165" customFormat="1" ht="15" hidden="1" customHeight="1">
      <c r="B216" s="176">
        <v>45506</v>
      </c>
      <c r="C216" s="185" t="s">
        <v>8120</v>
      </c>
      <c r="D216" s="460" t="s">
        <v>27</v>
      </c>
      <c r="E216" s="488">
        <v>-173396</v>
      </c>
      <c r="F216" s="179">
        <v>45505</v>
      </c>
      <c r="G216" s="179" t="s">
        <v>8125</v>
      </c>
    </row>
    <row r="217" spans="2:7" s="165" customFormat="1" ht="15" hidden="1" customHeight="1">
      <c r="B217" s="176">
        <v>45506</v>
      </c>
      <c r="C217" s="185" t="s">
        <v>8118</v>
      </c>
      <c r="D217" s="460" t="s">
        <v>27</v>
      </c>
      <c r="E217" s="489">
        <v>-5760</v>
      </c>
      <c r="F217" s="179">
        <v>45505</v>
      </c>
      <c r="G217" s="195" t="s">
        <v>130</v>
      </c>
    </row>
    <row r="218" spans="2:7" s="165" customFormat="1" ht="15" hidden="1" customHeight="1">
      <c r="B218" s="176">
        <v>45506</v>
      </c>
      <c r="C218" s="185" t="s">
        <v>8120</v>
      </c>
      <c r="D218" s="178" t="s">
        <v>181</v>
      </c>
      <c r="E218" s="482">
        <v>-78013</v>
      </c>
      <c r="F218" s="179">
        <v>45505</v>
      </c>
      <c r="G218" s="179" t="s">
        <v>8125</v>
      </c>
    </row>
    <row r="219" spans="2:7" s="165" customFormat="1" ht="15" hidden="1" customHeight="1">
      <c r="B219" s="176">
        <v>45506</v>
      </c>
      <c r="C219" s="185" t="s">
        <v>8118</v>
      </c>
      <c r="D219" s="178" t="s">
        <v>181</v>
      </c>
      <c r="E219" s="483">
        <v>-5200</v>
      </c>
      <c r="F219" s="179">
        <v>45505</v>
      </c>
      <c r="G219" s="179" t="s">
        <v>104</v>
      </c>
    </row>
    <row r="220" spans="2:7" s="165" customFormat="1" ht="15" hidden="1" customHeight="1">
      <c r="B220" s="176">
        <v>45506</v>
      </c>
      <c r="C220" s="196" t="s">
        <v>8126</v>
      </c>
      <c r="D220" s="193" t="s">
        <v>8126</v>
      </c>
      <c r="E220" s="277">
        <v>-4140</v>
      </c>
      <c r="F220" s="179">
        <v>45505</v>
      </c>
      <c r="G220" s="179" t="s">
        <v>104</v>
      </c>
    </row>
    <row r="221" spans="2:7" s="165" customFormat="1" ht="15" hidden="1" customHeight="1">
      <c r="B221" s="176">
        <v>45513</v>
      </c>
      <c r="C221" s="177" t="s">
        <v>8124</v>
      </c>
      <c r="D221" s="193" t="s">
        <v>27</v>
      </c>
      <c r="E221" s="487">
        <v>-2440</v>
      </c>
      <c r="F221" s="179">
        <v>45505</v>
      </c>
      <c r="G221" s="179" t="s">
        <v>104</v>
      </c>
    </row>
    <row r="222" spans="2:7" s="165" customFormat="1" ht="15" hidden="1" customHeight="1">
      <c r="B222" s="176">
        <v>45513</v>
      </c>
      <c r="C222" s="185" t="s">
        <v>8120</v>
      </c>
      <c r="D222" s="460" t="s">
        <v>27</v>
      </c>
      <c r="E222" s="488">
        <v>-795555</v>
      </c>
      <c r="F222" s="179">
        <v>45505</v>
      </c>
      <c r="G222" s="179" t="s">
        <v>8125</v>
      </c>
    </row>
    <row r="223" spans="2:7" s="165" customFormat="1" ht="15" hidden="1" customHeight="1">
      <c r="B223" s="176">
        <v>45513</v>
      </c>
      <c r="C223" s="185" t="s">
        <v>8118</v>
      </c>
      <c r="D223" s="460" t="s">
        <v>27</v>
      </c>
      <c r="E223" s="489">
        <v>-12800</v>
      </c>
      <c r="F223" s="179">
        <v>45505</v>
      </c>
      <c r="G223" s="195" t="s">
        <v>130</v>
      </c>
    </row>
    <row r="224" spans="2:7" s="165" customFormat="1" ht="15" hidden="1" customHeight="1">
      <c r="B224" s="176">
        <v>45513</v>
      </c>
      <c r="C224" s="185" t="s">
        <v>8120</v>
      </c>
      <c r="D224" s="178" t="s">
        <v>181</v>
      </c>
      <c r="E224" s="482">
        <v>-16101</v>
      </c>
      <c r="F224" s="179">
        <v>45505</v>
      </c>
      <c r="G224" s="179" t="s">
        <v>8125</v>
      </c>
    </row>
    <row r="225" spans="2:7" s="165" customFormat="1" ht="15" hidden="1" customHeight="1">
      <c r="B225" s="176">
        <v>45513</v>
      </c>
      <c r="C225" s="185" t="s">
        <v>8118</v>
      </c>
      <c r="D225" s="178" t="s">
        <v>181</v>
      </c>
      <c r="E225" s="483">
        <v>-5200</v>
      </c>
      <c r="F225" s="179">
        <v>45505</v>
      </c>
      <c r="G225" s="179" t="s">
        <v>104</v>
      </c>
    </row>
    <row r="226" spans="2:7" s="165" customFormat="1" ht="15" hidden="1" customHeight="1">
      <c r="B226" s="176">
        <v>45513</v>
      </c>
      <c r="C226" s="185" t="s">
        <v>8122</v>
      </c>
      <c r="D226" s="194" t="s">
        <v>643</v>
      </c>
      <c r="E226" s="277">
        <v>5.46</v>
      </c>
      <c r="F226" s="179">
        <v>45505</v>
      </c>
      <c r="G226" s="173" t="s">
        <v>104</v>
      </c>
    </row>
    <row r="227" spans="2:7" s="165" customFormat="1" ht="15" hidden="1" customHeight="1">
      <c r="B227" s="176">
        <v>45513</v>
      </c>
      <c r="C227" s="196" t="s">
        <v>8129</v>
      </c>
      <c r="D227" s="194" t="s">
        <v>643</v>
      </c>
      <c r="E227" s="277">
        <v>-40.57</v>
      </c>
      <c r="F227" s="179">
        <v>45505</v>
      </c>
      <c r="G227" s="173" t="s">
        <v>104</v>
      </c>
    </row>
    <row r="228" spans="2:7" s="165" customFormat="1" ht="15" hidden="1" customHeight="1">
      <c r="B228" s="176">
        <v>45520</v>
      </c>
      <c r="C228" s="177" t="s">
        <v>8124</v>
      </c>
      <c r="D228" s="193" t="s">
        <v>27</v>
      </c>
      <c r="E228" s="487">
        <v>-5968</v>
      </c>
      <c r="F228" s="179">
        <v>45505</v>
      </c>
      <c r="G228" s="179" t="s">
        <v>104</v>
      </c>
    </row>
    <row r="229" spans="2:7" s="165" customFormat="1" ht="15" hidden="1" customHeight="1">
      <c r="B229" s="176">
        <v>45520</v>
      </c>
      <c r="C229" s="185" t="s">
        <v>8120</v>
      </c>
      <c r="D229" s="460" t="s">
        <v>27</v>
      </c>
      <c r="E229" s="488">
        <v>-2150595</v>
      </c>
      <c r="F229" s="179">
        <v>45505</v>
      </c>
      <c r="G229" s="179" t="s">
        <v>8125</v>
      </c>
    </row>
    <row r="230" spans="2:7" s="165" customFormat="1" ht="15" hidden="1" customHeight="1">
      <c r="B230" s="176">
        <v>45520</v>
      </c>
      <c r="C230" s="185" t="s">
        <v>8118</v>
      </c>
      <c r="D230" s="460" t="s">
        <v>27</v>
      </c>
      <c r="E230" s="489">
        <v>-31360</v>
      </c>
      <c r="F230" s="179">
        <v>45505</v>
      </c>
      <c r="G230" s="195" t="s">
        <v>130</v>
      </c>
    </row>
    <row r="231" spans="2:7" s="165" customFormat="1" ht="15" hidden="1" customHeight="1">
      <c r="B231" s="176">
        <v>45520</v>
      </c>
      <c r="C231" s="196" t="s">
        <v>8131</v>
      </c>
      <c r="D231" s="193" t="s">
        <v>27</v>
      </c>
      <c r="E231" s="277">
        <v>3084</v>
      </c>
      <c r="F231" s="179">
        <v>45505</v>
      </c>
      <c r="G231" s="195" t="s">
        <v>130</v>
      </c>
    </row>
    <row r="232" spans="2:7" s="165" customFormat="1" ht="15" hidden="1" customHeight="1">
      <c r="B232" s="176">
        <v>45520</v>
      </c>
      <c r="C232" s="185" t="s">
        <v>8122</v>
      </c>
      <c r="D232" s="194" t="s">
        <v>643</v>
      </c>
      <c r="E232" s="277">
        <v>1.27</v>
      </c>
      <c r="F232" s="179">
        <v>45505</v>
      </c>
      <c r="G232" s="173" t="s">
        <v>104</v>
      </c>
    </row>
    <row r="233" spans="2:7" s="165" customFormat="1" ht="15" hidden="1" customHeight="1">
      <c r="B233" s="176">
        <v>45520</v>
      </c>
      <c r="C233" s="196" t="s">
        <v>8121</v>
      </c>
      <c r="D233" s="194" t="s">
        <v>643</v>
      </c>
      <c r="E233" s="277">
        <v>-14190</v>
      </c>
      <c r="F233" s="179">
        <v>45505</v>
      </c>
      <c r="G233" s="173" t="s">
        <v>104</v>
      </c>
    </row>
    <row r="234" spans="2:7" s="165" customFormat="1" ht="15" hidden="1" customHeight="1">
      <c r="B234" s="176">
        <v>45520</v>
      </c>
      <c r="C234" s="185" t="s">
        <v>8120</v>
      </c>
      <c r="D234" s="178" t="s">
        <v>181</v>
      </c>
      <c r="E234" s="482">
        <v>-16101</v>
      </c>
      <c r="F234" s="179">
        <v>45505</v>
      </c>
      <c r="G234" s="179" t="s">
        <v>8125</v>
      </c>
    </row>
    <row r="235" spans="2:7" s="165" customFormat="1" ht="15" hidden="1" customHeight="1">
      <c r="B235" s="176">
        <v>45520</v>
      </c>
      <c r="C235" s="185" t="s">
        <v>8118</v>
      </c>
      <c r="D235" s="178" t="s">
        <v>181</v>
      </c>
      <c r="E235" s="483">
        <v>-22080</v>
      </c>
      <c r="F235" s="179">
        <v>45505</v>
      </c>
      <c r="G235" s="179" t="s">
        <v>104</v>
      </c>
    </row>
    <row r="236" spans="2:7" s="165" customFormat="1" ht="15" hidden="1" customHeight="1">
      <c r="B236" s="176">
        <v>45527</v>
      </c>
      <c r="C236" s="185" t="s">
        <v>8120</v>
      </c>
      <c r="D236" s="460" t="s">
        <v>27</v>
      </c>
      <c r="E236" s="488">
        <v>-1091426</v>
      </c>
      <c r="F236" s="179">
        <v>45505</v>
      </c>
      <c r="G236" s="179" t="s">
        <v>8125</v>
      </c>
    </row>
    <row r="237" spans="2:7" s="165" customFormat="1" ht="15" hidden="1" customHeight="1">
      <c r="B237" s="176">
        <v>45527</v>
      </c>
      <c r="C237" s="185" t="s">
        <v>8118</v>
      </c>
      <c r="D237" s="460" t="s">
        <v>27</v>
      </c>
      <c r="E237" s="489">
        <v>-13440</v>
      </c>
      <c r="F237" s="179">
        <v>45505</v>
      </c>
      <c r="G237" s="195" t="s">
        <v>130</v>
      </c>
    </row>
    <row r="238" spans="2:7" s="165" customFormat="1" ht="15" hidden="1" customHeight="1">
      <c r="B238" s="176">
        <v>45527</v>
      </c>
      <c r="C238" s="196" t="s">
        <v>8131</v>
      </c>
      <c r="D238" s="193" t="s">
        <v>27</v>
      </c>
      <c r="E238" s="277">
        <v>1109</v>
      </c>
      <c r="F238" s="179">
        <v>45505</v>
      </c>
      <c r="G238" s="195" t="s">
        <v>130</v>
      </c>
    </row>
    <row r="239" spans="2:7" s="165" customFormat="1" ht="15" hidden="1" customHeight="1">
      <c r="B239" s="176">
        <v>45527</v>
      </c>
      <c r="C239" s="177" t="s">
        <v>8124</v>
      </c>
      <c r="D239" s="193" t="s">
        <v>27</v>
      </c>
      <c r="E239" s="487">
        <v>-2562</v>
      </c>
      <c r="F239" s="179">
        <v>45505</v>
      </c>
      <c r="G239" s="179" t="s">
        <v>104</v>
      </c>
    </row>
    <row r="240" spans="2:7" s="165" customFormat="1" ht="15" hidden="1" customHeight="1">
      <c r="B240" s="176">
        <v>45527</v>
      </c>
      <c r="C240" s="185" t="s">
        <v>8120</v>
      </c>
      <c r="D240" s="178" t="s">
        <v>181</v>
      </c>
      <c r="E240" s="482">
        <v>-31705</v>
      </c>
      <c r="F240" s="179">
        <v>45505</v>
      </c>
      <c r="G240" s="179" t="s">
        <v>8125</v>
      </c>
    </row>
    <row r="241" spans="2:9" s="165" customFormat="1" ht="15" hidden="1" customHeight="1">
      <c r="B241" s="176">
        <v>45527</v>
      </c>
      <c r="C241" s="185" t="s">
        <v>8118</v>
      </c>
      <c r="D241" s="178" t="s">
        <v>181</v>
      </c>
      <c r="E241" s="483">
        <v>-40600</v>
      </c>
      <c r="F241" s="179">
        <v>45505</v>
      </c>
      <c r="G241" s="179" t="s">
        <v>104</v>
      </c>
    </row>
    <row r="242" spans="2:9" s="165" customFormat="1" ht="15" hidden="1" customHeight="1">
      <c r="B242" s="176">
        <v>45527</v>
      </c>
      <c r="C242" s="177" t="s">
        <v>8124</v>
      </c>
      <c r="D242" s="178" t="s">
        <v>181</v>
      </c>
      <c r="E242" s="481">
        <v>-10427</v>
      </c>
      <c r="F242" s="179">
        <v>45505</v>
      </c>
      <c r="G242" s="179" t="s">
        <v>104</v>
      </c>
    </row>
    <row r="243" spans="2:9" s="165" customFormat="1" ht="15" hidden="1" customHeight="1">
      <c r="B243" s="176">
        <v>45534</v>
      </c>
      <c r="C243" s="185" t="s">
        <v>8120</v>
      </c>
      <c r="D243" s="178" t="s">
        <v>181</v>
      </c>
      <c r="E243" s="482">
        <v>-772692</v>
      </c>
      <c r="F243" s="179">
        <v>45505</v>
      </c>
      <c r="G243" s="179" t="s">
        <v>8125</v>
      </c>
    </row>
    <row r="244" spans="2:9" s="165" customFormat="1" ht="15" hidden="1" customHeight="1">
      <c r="B244" s="176">
        <v>45534</v>
      </c>
      <c r="C244" s="185" t="s">
        <v>8118</v>
      </c>
      <c r="D244" s="178" t="s">
        <v>181</v>
      </c>
      <c r="E244" s="483">
        <v>-61800</v>
      </c>
      <c r="F244" s="179">
        <v>45505</v>
      </c>
      <c r="G244" s="179" t="s">
        <v>104</v>
      </c>
    </row>
    <row r="245" spans="2:9" s="165" customFormat="1" ht="15" hidden="1" customHeight="1">
      <c r="B245" s="176">
        <v>45534</v>
      </c>
      <c r="C245" s="177" t="s">
        <v>8124</v>
      </c>
      <c r="D245" s="178" t="s">
        <v>181</v>
      </c>
      <c r="E245" s="481">
        <v>-10260</v>
      </c>
      <c r="F245" s="179">
        <v>45505</v>
      </c>
      <c r="G245" s="179" t="s">
        <v>104</v>
      </c>
    </row>
    <row r="246" spans="2:9" s="165" customFormat="1" ht="15" hidden="1" customHeight="1">
      <c r="B246" s="176">
        <v>45534</v>
      </c>
      <c r="C246" s="185" t="s">
        <v>8118</v>
      </c>
      <c r="D246" s="460" t="s">
        <v>27</v>
      </c>
      <c r="E246" s="489">
        <v>-26880</v>
      </c>
      <c r="F246" s="179">
        <v>45505</v>
      </c>
      <c r="G246" s="195" t="s">
        <v>130</v>
      </c>
    </row>
    <row r="247" spans="2:9" s="165" customFormat="1" ht="15" hidden="1" customHeight="1">
      <c r="B247" s="176">
        <v>45534</v>
      </c>
      <c r="C247" s="196" t="s">
        <v>8131</v>
      </c>
      <c r="D247" s="193" t="s">
        <v>27</v>
      </c>
      <c r="E247" s="277">
        <v>2716</v>
      </c>
      <c r="F247" s="179">
        <v>45505</v>
      </c>
      <c r="G247" s="195" t="s">
        <v>130</v>
      </c>
    </row>
    <row r="248" spans="2:9" s="165" customFormat="1" ht="15" hidden="1" customHeight="1">
      <c r="B248" s="176">
        <v>45534</v>
      </c>
      <c r="C248" s="177" t="s">
        <v>8124</v>
      </c>
      <c r="D248" s="193" t="s">
        <v>27</v>
      </c>
      <c r="E248" s="487">
        <v>-5108</v>
      </c>
      <c r="F248" s="179">
        <v>45505</v>
      </c>
      <c r="G248" s="179" t="s">
        <v>104</v>
      </c>
    </row>
    <row r="249" spans="2:9" s="165" customFormat="1" ht="15" hidden="1" customHeight="1">
      <c r="B249" s="176">
        <v>45534</v>
      </c>
      <c r="C249" s="185" t="s">
        <v>8120</v>
      </c>
      <c r="D249" s="460" t="s">
        <v>27</v>
      </c>
      <c r="E249" s="488">
        <v>-594105</v>
      </c>
      <c r="F249" s="179">
        <v>45505</v>
      </c>
      <c r="G249" s="179" t="s">
        <v>8125</v>
      </c>
    </row>
    <row r="250" spans="2:9" s="165" customFormat="1" ht="15" hidden="1" customHeight="1">
      <c r="B250" s="176">
        <v>45535</v>
      </c>
      <c r="C250" s="185" t="s">
        <v>8122</v>
      </c>
      <c r="D250" s="194" t="s">
        <v>643</v>
      </c>
      <c r="E250" s="277">
        <v>48.64</v>
      </c>
      <c r="F250" s="179">
        <v>45505</v>
      </c>
      <c r="G250" s="173" t="s">
        <v>104</v>
      </c>
    </row>
    <row r="251" spans="2:9" s="165" customFormat="1" ht="15" hidden="1" customHeight="1">
      <c r="B251" s="176">
        <v>45535</v>
      </c>
      <c r="C251" s="185" t="s">
        <v>8122</v>
      </c>
      <c r="D251" s="299" t="s">
        <v>66</v>
      </c>
      <c r="E251" s="300">
        <v>4041.05</v>
      </c>
      <c r="F251" s="179">
        <v>45505</v>
      </c>
      <c r="G251" s="173" t="s">
        <v>104</v>
      </c>
    </row>
    <row r="252" spans="2:9" s="165" customFormat="1" ht="15" hidden="1" customHeight="1">
      <c r="B252" s="176">
        <v>45535</v>
      </c>
      <c r="C252" s="185" t="s">
        <v>8122</v>
      </c>
      <c r="D252" s="299" t="s">
        <v>40</v>
      </c>
      <c r="E252" s="300">
        <v>92473.68</v>
      </c>
      <c r="F252" s="179">
        <v>45505</v>
      </c>
      <c r="G252" s="173" t="s">
        <v>104</v>
      </c>
    </row>
    <row r="253" spans="2:9" s="165" customFormat="1" ht="15" hidden="1" customHeight="1">
      <c r="B253" s="176">
        <v>45535</v>
      </c>
      <c r="C253" s="298" t="s">
        <v>8130</v>
      </c>
      <c r="D253" s="299" t="s">
        <v>40</v>
      </c>
      <c r="E253" s="300">
        <v>-841</v>
      </c>
      <c r="F253" s="179">
        <v>45505</v>
      </c>
      <c r="G253" s="173" t="s">
        <v>104</v>
      </c>
    </row>
    <row r="254" spans="2:9" s="165" customFormat="1" ht="15" hidden="1" customHeight="1">
      <c r="B254" s="536">
        <v>45541</v>
      </c>
      <c r="C254" s="540" t="s">
        <v>8124</v>
      </c>
      <c r="D254" s="547" t="s">
        <v>27</v>
      </c>
      <c r="E254" s="545">
        <v>-3294</v>
      </c>
      <c r="F254" s="539">
        <v>45536</v>
      </c>
      <c r="G254" s="539" t="s">
        <v>104</v>
      </c>
    </row>
    <row r="255" spans="2:9" s="182" customFormat="1" ht="15.75" hidden="1" customHeight="1">
      <c r="B255" s="536">
        <v>45541</v>
      </c>
      <c r="C255" s="537" t="s">
        <v>8120</v>
      </c>
      <c r="D255" s="544" t="s">
        <v>27</v>
      </c>
      <c r="E255" s="545">
        <v>-641314</v>
      </c>
      <c r="F255" s="539">
        <v>45536</v>
      </c>
      <c r="G255" s="539" t="s">
        <v>8125</v>
      </c>
      <c r="I255" s="181">
        <f>+E255+E256+E257</f>
        <v>-736055</v>
      </c>
    </row>
    <row r="256" spans="2:9" s="182" customFormat="1" ht="15.75" hidden="1" customHeight="1">
      <c r="B256" s="536">
        <v>45541</v>
      </c>
      <c r="C256" s="537" t="s">
        <v>8118</v>
      </c>
      <c r="D256" s="544" t="s">
        <v>27</v>
      </c>
      <c r="E256" s="545">
        <v>-17280</v>
      </c>
      <c r="F256" s="539">
        <v>45536</v>
      </c>
      <c r="G256" s="546" t="s">
        <v>130</v>
      </c>
      <c r="I256" s="180">
        <v>309417</v>
      </c>
    </row>
    <row r="257" spans="2:7" s="165" customFormat="1" ht="15" hidden="1" customHeight="1">
      <c r="B257" s="536">
        <v>45541</v>
      </c>
      <c r="C257" s="537" t="s">
        <v>8120</v>
      </c>
      <c r="D257" s="538" t="s">
        <v>181</v>
      </c>
      <c r="E257" s="443">
        <v>-77461</v>
      </c>
      <c r="F257" s="539">
        <v>45536</v>
      </c>
      <c r="G257" s="539" t="s">
        <v>8125</v>
      </c>
    </row>
    <row r="258" spans="2:7" s="165" customFormat="1" ht="15" hidden="1" customHeight="1">
      <c r="B258" s="536">
        <v>45541</v>
      </c>
      <c r="C258" s="537" t="s">
        <v>8118</v>
      </c>
      <c r="D258" s="538" t="s">
        <v>181</v>
      </c>
      <c r="E258" s="443">
        <v>-5200</v>
      </c>
      <c r="F258" s="539">
        <v>45536</v>
      </c>
      <c r="G258" s="539" t="s">
        <v>104</v>
      </c>
    </row>
    <row r="259" spans="2:7" s="165" customFormat="1" ht="15" hidden="1" customHeight="1">
      <c r="B259" s="536">
        <v>45541</v>
      </c>
      <c r="C259" s="537" t="s">
        <v>8122</v>
      </c>
      <c r="D259" s="542" t="s">
        <v>643</v>
      </c>
      <c r="E259" s="444">
        <v>3.77</v>
      </c>
      <c r="F259" s="539">
        <v>45536</v>
      </c>
      <c r="G259" s="543" t="s">
        <v>104</v>
      </c>
    </row>
    <row r="260" spans="2:7" s="165" customFormat="1" ht="15" hidden="1" customHeight="1">
      <c r="B260" s="536">
        <v>45541</v>
      </c>
      <c r="C260" s="537" t="s">
        <v>8120</v>
      </c>
      <c r="D260" s="538" t="s">
        <v>4783</v>
      </c>
      <c r="E260" s="443">
        <v>-888596.73</v>
      </c>
      <c r="F260" s="539">
        <v>45536</v>
      </c>
      <c r="G260" s="539" t="s">
        <v>8125</v>
      </c>
    </row>
    <row r="261" spans="2:7" s="165" customFormat="1" ht="15" hidden="1" customHeight="1">
      <c r="B261" s="536">
        <v>45548</v>
      </c>
      <c r="C261" s="540" t="s">
        <v>8124</v>
      </c>
      <c r="D261" s="547" t="s">
        <v>27</v>
      </c>
      <c r="E261" s="545">
        <v>-4622</v>
      </c>
      <c r="F261" s="539">
        <v>45536</v>
      </c>
      <c r="G261" s="539" t="s">
        <v>104</v>
      </c>
    </row>
    <row r="262" spans="2:7" s="165" customFormat="1" ht="15" hidden="1" customHeight="1">
      <c r="B262" s="536">
        <v>45548</v>
      </c>
      <c r="C262" s="537" t="s">
        <v>8120</v>
      </c>
      <c r="D262" s="544" t="s">
        <v>27</v>
      </c>
      <c r="E262" s="545">
        <v>-926394</v>
      </c>
      <c r="F262" s="539">
        <v>45536</v>
      </c>
      <c r="G262" s="539" t="s">
        <v>8125</v>
      </c>
    </row>
    <row r="263" spans="2:7" s="165" customFormat="1" ht="15" hidden="1" customHeight="1">
      <c r="B263" s="536">
        <v>45548</v>
      </c>
      <c r="C263" s="537" t="s">
        <v>8118</v>
      </c>
      <c r="D263" s="544" t="s">
        <v>27</v>
      </c>
      <c r="E263" s="545">
        <v>-24320</v>
      </c>
      <c r="F263" s="539">
        <v>45536</v>
      </c>
      <c r="G263" s="546" t="s">
        <v>130</v>
      </c>
    </row>
    <row r="264" spans="2:7" s="165" customFormat="1" ht="15" hidden="1" customHeight="1">
      <c r="B264" s="536">
        <v>45548</v>
      </c>
      <c r="C264" s="540" t="s">
        <v>8124</v>
      </c>
      <c r="D264" s="538" t="s">
        <v>181</v>
      </c>
      <c r="E264" s="444">
        <v>-380</v>
      </c>
      <c r="F264" s="539">
        <v>45536</v>
      </c>
      <c r="G264" s="539" t="s">
        <v>104</v>
      </c>
    </row>
    <row r="265" spans="2:7" s="165" customFormat="1" ht="15" hidden="1" customHeight="1">
      <c r="B265" s="536">
        <v>45548</v>
      </c>
      <c r="C265" s="537" t="s">
        <v>8120</v>
      </c>
      <c r="D265" s="538" t="s">
        <v>181</v>
      </c>
      <c r="E265" s="443">
        <v>-246203</v>
      </c>
      <c r="F265" s="539">
        <v>45536</v>
      </c>
      <c r="G265" s="539" t="s">
        <v>8125</v>
      </c>
    </row>
    <row r="266" spans="2:7" s="165" customFormat="1" ht="15" hidden="1" customHeight="1">
      <c r="B266" s="536">
        <v>45548</v>
      </c>
      <c r="C266" s="537" t="s">
        <v>8118</v>
      </c>
      <c r="D266" s="538" t="s">
        <v>181</v>
      </c>
      <c r="E266" s="443">
        <v>-7200</v>
      </c>
      <c r="F266" s="539">
        <v>45536</v>
      </c>
      <c r="G266" s="539" t="s">
        <v>104</v>
      </c>
    </row>
    <row r="267" spans="2:7" s="165" customFormat="1" ht="15" hidden="1" customHeight="1">
      <c r="B267" s="536">
        <v>45548</v>
      </c>
      <c r="C267" s="537" t="s">
        <v>8120</v>
      </c>
      <c r="D267" s="538" t="s">
        <v>4783</v>
      </c>
      <c r="E267" s="443">
        <v>-2070279.86</v>
      </c>
      <c r="F267" s="539">
        <v>45536</v>
      </c>
      <c r="G267" s="539" t="s">
        <v>8125</v>
      </c>
    </row>
    <row r="268" spans="2:7" s="165" customFormat="1" ht="15" hidden="1" customHeight="1">
      <c r="B268" s="536">
        <v>45548</v>
      </c>
      <c r="C268" s="540" t="s">
        <v>8124</v>
      </c>
      <c r="D268" s="538" t="s">
        <v>4783</v>
      </c>
      <c r="E268" s="444">
        <v>-36556</v>
      </c>
      <c r="F268" s="539">
        <v>45536</v>
      </c>
      <c r="G268" s="539" t="s">
        <v>104</v>
      </c>
    </row>
    <row r="269" spans="2:7" s="165" customFormat="1" ht="15" hidden="1" customHeight="1">
      <c r="B269" s="536">
        <v>45548</v>
      </c>
      <c r="C269" s="537" t="s">
        <v>8118</v>
      </c>
      <c r="D269" s="538" t="s">
        <v>4783</v>
      </c>
      <c r="E269" s="443">
        <v>-192400</v>
      </c>
      <c r="F269" s="539">
        <v>45536</v>
      </c>
      <c r="G269" s="539" t="s">
        <v>104</v>
      </c>
    </row>
    <row r="270" spans="2:7" s="165" customFormat="1" ht="15" hidden="1" customHeight="1">
      <c r="B270" s="536">
        <v>45548</v>
      </c>
      <c r="C270" s="537" t="s">
        <v>8122</v>
      </c>
      <c r="D270" s="542" t="s">
        <v>643</v>
      </c>
      <c r="E270" s="444">
        <v>10.24</v>
      </c>
      <c r="F270" s="539">
        <v>45536</v>
      </c>
      <c r="G270" s="543" t="s">
        <v>104</v>
      </c>
    </row>
    <row r="271" spans="2:7" s="165" customFormat="1" ht="15" hidden="1" customHeight="1">
      <c r="B271" s="536">
        <v>45555</v>
      </c>
      <c r="C271" s="541" t="s">
        <v>8118</v>
      </c>
      <c r="D271" s="542" t="s">
        <v>27</v>
      </c>
      <c r="E271" s="444">
        <v>-14720</v>
      </c>
      <c r="F271" s="539">
        <v>45536</v>
      </c>
      <c r="G271" s="546" t="s">
        <v>104</v>
      </c>
    </row>
    <row r="272" spans="2:7" s="165" customFormat="1" ht="15" hidden="1" customHeight="1">
      <c r="B272" s="536">
        <v>45555</v>
      </c>
      <c r="C272" s="537" t="s">
        <v>8120</v>
      </c>
      <c r="D272" s="542" t="s">
        <v>27</v>
      </c>
      <c r="E272" s="444">
        <v>-364096</v>
      </c>
      <c r="F272" s="539">
        <v>45536</v>
      </c>
      <c r="G272" s="539" t="s">
        <v>8125</v>
      </c>
    </row>
    <row r="273" spans="2:7" s="165" customFormat="1" ht="15" hidden="1" customHeight="1">
      <c r="B273" s="536">
        <v>45555</v>
      </c>
      <c r="C273" s="540" t="s">
        <v>8124</v>
      </c>
      <c r="D273" s="542" t="s">
        <v>27</v>
      </c>
      <c r="E273" s="444">
        <v>-2806</v>
      </c>
      <c r="F273" s="539">
        <v>45536</v>
      </c>
      <c r="G273" s="539" t="s">
        <v>104</v>
      </c>
    </row>
    <row r="274" spans="2:7" s="165" customFormat="1" ht="15" hidden="1" customHeight="1">
      <c r="B274" s="536">
        <v>45555</v>
      </c>
      <c r="C274" s="541" t="s">
        <v>8118</v>
      </c>
      <c r="D274" s="538" t="s">
        <v>181</v>
      </c>
      <c r="E274" s="444">
        <v>-2600</v>
      </c>
      <c r="F274" s="539">
        <v>45536</v>
      </c>
      <c r="G274" s="539" t="s">
        <v>104</v>
      </c>
    </row>
    <row r="275" spans="2:7" s="165" customFormat="1" ht="15" hidden="1" customHeight="1">
      <c r="B275" s="536">
        <v>45551</v>
      </c>
      <c r="C275" s="537" t="s">
        <v>8120</v>
      </c>
      <c r="D275" s="542" t="s">
        <v>181</v>
      </c>
      <c r="E275" s="444">
        <v>-8010</v>
      </c>
      <c r="F275" s="539">
        <v>45536</v>
      </c>
      <c r="G275" s="539" t="s">
        <v>8125</v>
      </c>
    </row>
    <row r="276" spans="2:7" s="165" customFormat="1" ht="15" hidden="1" customHeight="1">
      <c r="B276" s="536">
        <v>45555</v>
      </c>
      <c r="C276" s="537" t="s">
        <v>8122</v>
      </c>
      <c r="D276" s="542" t="s">
        <v>643</v>
      </c>
      <c r="E276" s="444">
        <f>52.75-E270-E259</f>
        <v>38.739999999999995</v>
      </c>
      <c r="F276" s="539">
        <v>45536</v>
      </c>
      <c r="G276" s="543" t="s">
        <v>104</v>
      </c>
    </row>
    <row r="277" spans="2:7" s="165" customFormat="1" ht="15" hidden="1" customHeight="1">
      <c r="B277" s="536">
        <v>45548</v>
      </c>
      <c r="C277" s="541" t="s">
        <v>8132</v>
      </c>
      <c r="D277" s="542" t="s">
        <v>643</v>
      </c>
      <c r="E277" s="444">
        <v>-14190</v>
      </c>
      <c r="F277" s="539">
        <v>45536</v>
      </c>
      <c r="G277" s="543" t="s">
        <v>104</v>
      </c>
    </row>
    <row r="278" spans="2:7" s="165" customFormat="1" ht="15" hidden="1" customHeight="1">
      <c r="B278" s="536">
        <v>45555</v>
      </c>
      <c r="C278" s="540" t="s">
        <v>8124</v>
      </c>
      <c r="D278" s="538" t="s">
        <v>181</v>
      </c>
      <c r="E278" s="444">
        <v>-7220</v>
      </c>
      <c r="F278" s="539">
        <v>45536</v>
      </c>
      <c r="G278" s="539" t="s">
        <v>104</v>
      </c>
    </row>
    <row r="279" spans="2:7" s="165" customFormat="1" ht="15" hidden="1" customHeight="1">
      <c r="B279" s="536">
        <v>45555</v>
      </c>
      <c r="C279" s="541" t="s">
        <v>8118</v>
      </c>
      <c r="D279" s="538" t="s">
        <v>181</v>
      </c>
      <c r="E279" s="444">
        <v>-54200</v>
      </c>
      <c r="F279" s="539">
        <v>45536</v>
      </c>
      <c r="G279" s="539" t="s">
        <v>104</v>
      </c>
    </row>
    <row r="280" spans="2:7" s="165" customFormat="1" ht="15" hidden="1" customHeight="1">
      <c r="B280" s="536">
        <v>45565</v>
      </c>
      <c r="C280" s="537" t="s">
        <v>8120</v>
      </c>
      <c r="D280" s="542" t="s">
        <v>181</v>
      </c>
      <c r="E280" s="444">
        <v>-58757</v>
      </c>
      <c r="F280" s="539">
        <v>45536</v>
      </c>
      <c r="G280" s="539" t="s">
        <v>8125</v>
      </c>
    </row>
    <row r="281" spans="2:7" s="165" customFormat="1" ht="15" hidden="1" customHeight="1">
      <c r="B281" s="536">
        <v>45562</v>
      </c>
      <c r="C281" s="540" t="s">
        <v>8124</v>
      </c>
      <c r="D281" s="542" t="s">
        <v>27</v>
      </c>
      <c r="E281" s="444">
        <v>-8764</v>
      </c>
      <c r="F281" s="539">
        <v>45536</v>
      </c>
      <c r="G281" s="539" t="s">
        <v>104</v>
      </c>
    </row>
    <row r="282" spans="2:7" s="165" customFormat="1" ht="15" hidden="1" customHeight="1">
      <c r="B282" s="536">
        <v>45562</v>
      </c>
      <c r="C282" s="541" t="s">
        <v>8118</v>
      </c>
      <c r="D282" s="542" t="s">
        <v>27</v>
      </c>
      <c r="E282" s="444">
        <v>-46080</v>
      </c>
      <c r="F282" s="539">
        <v>45536</v>
      </c>
      <c r="G282" s="546" t="s">
        <v>104</v>
      </c>
    </row>
    <row r="283" spans="2:7" s="165" customFormat="1" ht="15" hidden="1" customHeight="1">
      <c r="B283" s="536">
        <v>45565</v>
      </c>
      <c r="C283" s="537" t="s">
        <v>8120</v>
      </c>
      <c r="D283" s="542" t="s">
        <v>27</v>
      </c>
      <c r="E283" s="444">
        <v>-1083379</v>
      </c>
      <c r="F283" s="539">
        <v>45536</v>
      </c>
      <c r="G283" s="539" t="s">
        <v>8125</v>
      </c>
    </row>
    <row r="284" spans="2:7" s="165" customFormat="1" ht="15" hidden="1" customHeight="1">
      <c r="B284" s="536">
        <v>45565</v>
      </c>
      <c r="C284" s="537" t="s">
        <v>8120</v>
      </c>
      <c r="D284" s="547" t="s">
        <v>4783</v>
      </c>
      <c r="E284" s="444">
        <v>-1288301.47</v>
      </c>
      <c r="F284" s="539">
        <v>45536</v>
      </c>
      <c r="G284" s="539" t="s">
        <v>8125</v>
      </c>
    </row>
    <row r="285" spans="2:7" s="165" customFormat="1" ht="15" hidden="1" customHeight="1">
      <c r="B285" s="536">
        <v>45565</v>
      </c>
      <c r="C285" s="537" t="s">
        <v>8122</v>
      </c>
      <c r="D285" s="548" t="s">
        <v>66</v>
      </c>
      <c r="E285" s="549">
        <v>1988975.44</v>
      </c>
      <c r="F285" s="539">
        <v>45536</v>
      </c>
      <c r="G285" s="543" t="s">
        <v>104</v>
      </c>
    </row>
    <row r="286" spans="2:7" s="165" customFormat="1" ht="15" hidden="1" customHeight="1">
      <c r="B286" s="536">
        <v>45565</v>
      </c>
      <c r="C286" s="550" t="s">
        <v>8130</v>
      </c>
      <c r="D286" s="548" t="s">
        <v>66</v>
      </c>
      <c r="E286" s="444">
        <v>-45262.23</v>
      </c>
      <c r="F286" s="539">
        <v>45536</v>
      </c>
      <c r="G286" s="543" t="s">
        <v>104</v>
      </c>
    </row>
    <row r="287" spans="2:7" s="165" customFormat="1" ht="15" hidden="1" customHeight="1">
      <c r="B287" s="536">
        <v>45565</v>
      </c>
      <c r="C287" s="537" t="s">
        <v>8122</v>
      </c>
      <c r="D287" s="548" t="s">
        <v>40</v>
      </c>
      <c r="E287" s="549">
        <v>56878.99</v>
      </c>
      <c r="F287" s="539">
        <v>45536</v>
      </c>
      <c r="G287" s="543" t="s">
        <v>104</v>
      </c>
    </row>
    <row r="288" spans="2:7" ht="14.5" hidden="1" customHeight="1">
      <c r="B288" s="701">
        <v>45566</v>
      </c>
      <c r="C288" s="702" t="s">
        <v>8121</v>
      </c>
      <c r="D288" s="703" t="s">
        <v>4783</v>
      </c>
      <c r="E288" s="277">
        <v>-80000</v>
      </c>
      <c r="F288" s="576">
        <v>45566</v>
      </c>
      <c r="G288" s="576" t="s">
        <v>104</v>
      </c>
    </row>
    <row r="289" spans="2:9" ht="15" hidden="1" customHeight="1">
      <c r="B289" s="701">
        <v>45566</v>
      </c>
      <c r="C289" s="704" t="s">
        <v>8124</v>
      </c>
      <c r="D289" s="705" t="s">
        <v>4783</v>
      </c>
      <c r="E289" s="277">
        <v>-15200</v>
      </c>
      <c r="F289" s="576">
        <v>45566</v>
      </c>
      <c r="G289" s="576" t="s">
        <v>104</v>
      </c>
    </row>
    <row r="290" spans="2:9" ht="15" hidden="1" customHeight="1">
      <c r="B290" s="701">
        <v>45566</v>
      </c>
      <c r="C290" s="704" t="s">
        <v>8120</v>
      </c>
      <c r="D290" s="705" t="s">
        <v>4783</v>
      </c>
      <c r="E290" s="277">
        <v>-20972.73</v>
      </c>
      <c r="F290" s="576">
        <v>45566</v>
      </c>
      <c r="G290" s="576" t="s">
        <v>8125</v>
      </c>
    </row>
    <row r="291" spans="2:9" ht="15" hidden="1" customHeight="1">
      <c r="B291" s="701">
        <v>45569</v>
      </c>
      <c r="C291" s="702" t="s">
        <v>8118</v>
      </c>
      <c r="D291" s="705" t="s">
        <v>181</v>
      </c>
      <c r="E291" s="277">
        <v>-5200</v>
      </c>
      <c r="F291" s="576">
        <v>45566</v>
      </c>
      <c r="G291" s="576" t="s">
        <v>104</v>
      </c>
    </row>
    <row r="292" spans="2:9" s="202" customFormat="1" ht="15.75" hidden="1" customHeight="1">
      <c r="B292" s="701">
        <v>45569</v>
      </c>
      <c r="C292" s="704" t="s">
        <v>8120</v>
      </c>
      <c r="D292" s="706" t="s">
        <v>181</v>
      </c>
      <c r="E292" s="277">
        <v>-67863</v>
      </c>
      <c r="F292" s="576">
        <v>45566</v>
      </c>
      <c r="G292" s="576" t="s">
        <v>8125</v>
      </c>
      <c r="I292" s="707"/>
    </row>
    <row r="293" spans="2:9" ht="15" hidden="1" customHeight="1">
      <c r="B293" s="701">
        <v>45569</v>
      </c>
      <c r="C293" s="704" t="s">
        <v>8124</v>
      </c>
      <c r="D293" s="706" t="s">
        <v>27</v>
      </c>
      <c r="E293" s="277">
        <v>-3294</v>
      </c>
      <c r="F293" s="576">
        <v>45566</v>
      </c>
      <c r="G293" s="708" t="s">
        <v>104</v>
      </c>
    </row>
    <row r="294" spans="2:9" ht="15" hidden="1" customHeight="1">
      <c r="B294" s="701">
        <v>45569</v>
      </c>
      <c r="C294" s="702" t="s">
        <v>8118</v>
      </c>
      <c r="D294" s="706" t="s">
        <v>27</v>
      </c>
      <c r="E294" s="277">
        <v>-17280</v>
      </c>
      <c r="F294" s="576">
        <v>45566</v>
      </c>
      <c r="G294" s="201" t="s">
        <v>104</v>
      </c>
    </row>
    <row r="295" spans="2:9" ht="15" hidden="1" customHeight="1">
      <c r="B295" s="701">
        <v>45569</v>
      </c>
      <c r="C295" s="704" t="s">
        <v>8120</v>
      </c>
      <c r="D295" s="706" t="s">
        <v>27</v>
      </c>
      <c r="E295" s="277">
        <v>-2022422</v>
      </c>
      <c r="F295" s="576">
        <v>45566</v>
      </c>
      <c r="G295" s="576" t="s">
        <v>8125</v>
      </c>
    </row>
    <row r="296" spans="2:9" ht="15" hidden="1" customHeight="1">
      <c r="B296" s="701">
        <v>45569</v>
      </c>
      <c r="C296" s="704" t="s">
        <v>8122</v>
      </c>
      <c r="D296" s="706" t="s">
        <v>643</v>
      </c>
      <c r="E296" s="277">
        <v>4.72</v>
      </c>
      <c r="F296" s="576">
        <v>45566</v>
      </c>
      <c r="G296" s="576" t="s">
        <v>104</v>
      </c>
    </row>
    <row r="297" spans="2:9" s="165" customFormat="1" ht="15" hidden="1" customHeight="1">
      <c r="B297" s="536">
        <v>45565</v>
      </c>
      <c r="C297" s="550" t="s">
        <v>8130</v>
      </c>
      <c r="D297" s="548" t="s">
        <v>40</v>
      </c>
      <c r="E297" s="549">
        <v>-7018</v>
      </c>
      <c r="F297" s="539">
        <v>45536</v>
      </c>
      <c r="G297" s="543" t="s">
        <v>104</v>
      </c>
    </row>
    <row r="298" spans="2:9" s="165" customFormat="1" ht="15" hidden="1" customHeight="1">
      <c r="B298" s="176">
        <v>45565</v>
      </c>
      <c r="C298" s="196" t="s">
        <v>8126</v>
      </c>
      <c r="D298" s="193" t="s">
        <v>8133</v>
      </c>
      <c r="E298" s="277">
        <v>604</v>
      </c>
      <c r="F298" s="179">
        <v>45536</v>
      </c>
      <c r="G298" s="179" t="s">
        <v>104</v>
      </c>
    </row>
    <row r="299" spans="2:9" ht="15" hidden="1" customHeight="1">
      <c r="B299" s="701">
        <v>45569</v>
      </c>
      <c r="C299" s="704" t="s">
        <v>8122</v>
      </c>
      <c r="D299" s="706" t="s">
        <v>66</v>
      </c>
      <c r="E299" s="277">
        <v>416131.69</v>
      </c>
      <c r="F299" s="576">
        <v>45566</v>
      </c>
      <c r="G299" s="708" t="s">
        <v>104</v>
      </c>
    </row>
    <row r="300" spans="2:9" ht="15" hidden="1" customHeight="1">
      <c r="B300" s="701">
        <v>45572</v>
      </c>
      <c r="C300" s="704" t="s">
        <v>8118</v>
      </c>
      <c r="D300" s="705" t="s">
        <v>181</v>
      </c>
      <c r="E300" s="277">
        <v>-11200</v>
      </c>
      <c r="F300" s="576">
        <v>45566</v>
      </c>
      <c r="G300" s="576" t="s">
        <v>104</v>
      </c>
    </row>
    <row r="301" spans="2:9" ht="15" hidden="1" customHeight="1">
      <c r="B301" s="701">
        <v>45572</v>
      </c>
      <c r="C301" s="702" t="s">
        <v>8120</v>
      </c>
      <c r="D301" s="706" t="s">
        <v>181</v>
      </c>
      <c r="E301" s="277">
        <v>-37713</v>
      </c>
      <c r="F301" s="576">
        <v>45566</v>
      </c>
      <c r="G301" s="576" t="s">
        <v>8125</v>
      </c>
    </row>
    <row r="302" spans="2:9" ht="15" hidden="1" customHeight="1">
      <c r="B302" s="701">
        <v>45572</v>
      </c>
      <c r="C302" s="704" t="s">
        <v>8124</v>
      </c>
      <c r="D302" s="705" t="s">
        <v>181</v>
      </c>
      <c r="E302" s="277">
        <v>-1140</v>
      </c>
      <c r="F302" s="576">
        <v>45566</v>
      </c>
      <c r="G302" s="576" t="s">
        <v>104</v>
      </c>
    </row>
    <row r="303" spans="2:9" ht="15" hidden="1" customHeight="1">
      <c r="B303" s="701">
        <v>45572</v>
      </c>
      <c r="C303" s="702" t="s">
        <v>8124</v>
      </c>
      <c r="D303" s="705" t="s">
        <v>4783</v>
      </c>
      <c r="E303" s="277">
        <v>-2812</v>
      </c>
      <c r="F303" s="576">
        <v>45566</v>
      </c>
      <c r="G303" s="580" t="s">
        <v>104</v>
      </c>
    </row>
    <row r="304" spans="2:9" ht="15" hidden="1" customHeight="1">
      <c r="B304" s="701">
        <v>45572</v>
      </c>
      <c r="C304" s="702" t="s">
        <v>8120</v>
      </c>
      <c r="D304" s="580" t="s">
        <v>4783</v>
      </c>
      <c r="E304" s="277">
        <v>-3232070</v>
      </c>
      <c r="F304" s="576">
        <v>45566</v>
      </c>
      <c r="G304" s="580" t="s">
        <v>8125</v>
      </c>
    </row>
    <row r="305" spans="2:7" ht="15" hidden="1" customHeight="1">
      <c r="B305" s="701">
        <v>45572</v>
      </c>
      <c r="C305" s="704" t="s">
        <v>8127</v>
      </c>
      <c r="D305" s="705" t="s">
        <v>4783</v>
      </c>
      <c r="E305" s="277">
        <v>-14800</v>
      </c>
      <c r="F305" s="576">
        <v>45566</v>
      </c>
      <c r="G305" s="580" t="s">
        <v>104</v>
      </c>
    </row>
    <row r="306" spans="2:7" ht="15" hidden="1" customHeight="1">
      <c r="B306" s="701">
        <v>45572</v>
      </c>
      <c r="C306" s="704" t="s">
        <v>8122</v>
      </c>
      <c r="D306" s="580" t="s">
        <v>643</v>
      </c>
      <c r="E306" s="277">
        <v>4.25</v>
      </c>
      <c r="F306" s="576">
        <v>45566</v>
      </c>
      <c r="G306" s="576" t="s">
        <v>104</v>
      </c>
    </row>
    <row r="307" spans="2:7" ht="15" hidden="1" customHeight="1">
      <c r="B307" s="701">
        <v>45576</v>
      </c>
      <c r="C307" s="702" t="s">
        <v>8124</v>
      </c>
      <c r="D307" s="706" t="s">
        <v>27</v>
      </c>
      <c r="E307" s="277">
        <v>-8767</v>
      </c>
      <c r="F307" s="576">
        <v>45566</v>
      </c>
      <c r="G307" s="576" t="s">
        <v>104</v>
      </c>
    </row>
    <row r="308" spans="2:7" ht="15" hidden="1" customHeight="1">
      <c r="B308" s="701">
        <v>45576</v>
      </c>
      <c r="C308" s="702" t="s">
        <v>8118</v>
      </c>
      <c r="D308" s="706" t="s">
        <v>27</v>
      </c>
      <c r="E308" s="277">
        <v>-46080</v>
      </c>
      <c r="F308" s="576">
        <v>45566</v>
      </c>
      <c r="G308" s="580" t="s">
        <v>104</v>
      </c>
    </row>
    <row r="309" spans="2:7" ht="15" hidden="1" customHeight="1">
      <c r="B309" s="701">
        <v>45576</v>
      </c>
      <c r="C309" s="702" t="s">
        <v>8120</v>
      </c>
      <c r="D309" s="706" t="s">
        <v>27</v>
      </c>
      <c r="E309" s="277">
        <v>-1728037</v>
      </c>
      <c r="F309" s="576">
        <v>45566</v>
      </c>
      <c r="G309" s="576" t="s">
        <v>8125</v>
      </c>
    </row>
    <row r="310" spans="2:7" ht="15" hidden="1" customHeight="1">
      <c r="B310" s="701">
        <v>45576</v>
      </c>
      <c r="C310" s="704" t="s">
        <v>8131</v>
      </c>
      <c r="D310" s="706" t="s">
        <v>27</v>
      </c>
      <c r="E310" s="277">
        <v>5070</v>
      </c>
      <c r="F310" s="576">
        <v>45566</v>
      </c>
      <c r="G310" s="201" t="s">
        <v>8125</v>
      </c>
    </row>
    <row r="311" spans="2:7" ht="15" hidden="1" customHeight="1">
      <c r="B311" s="701">
        <v>45583</v>
      </c>
      <c r="C311" s="704" t="s">
        <v>8124</v>
      </c>
      <c r="D311" s="706" t="s">
        <v>27</v>
      </c>
      <c r="E311" s="277">
        <v>-4026</v>
      </c>
      <c r="F311" s="576">
        <v>45566</v>
      </c>
      <c r="G311" s="576" t="s">
        <v>104</v>
      </c>
    </row>
    <row r="312" spans="2:7" ht="15" hidden="1" customHeight="1">
      <c r="B312" s="701">
        <v>45583</v>
      </c>
      <c r="C312" s="702" t="s">
        <v>8118</v>
      </c>
      <c r="D312" s="706" t="s">
        <v>27</v>
      </c>
      <c r="E312" s="277">
        <v>-21120</v>
      </c>
      <c r="F312" s="576">
        <v>45566</v>
      </c>
      <c r="G312" s="580" t="s">
        <v>104</v>
      </c>
    </row>
    <row r="313" spans="2:7" ht="15" hidden="1" customHeight="1">
      <c r="B313" s="701">
        <v>45583</v>
      </c>
      <c r="C313" s="704" t="s">
        <v>8120</v>
      </c>
      <c r="D313" s="706" t="s">
        <v>27</v>
      </c>
      <c r="E313" s="277">
        <v>-1644929</v>
      </c>
      <c r="F313" s="576">
        <v>45566</v>
      </c>
      <c r="G313" s="576" t="s">
        <v>8125</v>
      </c>
    </row>
    <row r="314" spans="2:7" ht="15" hidden="1" customHeight="1">
      <c r="B314" s="701">
        <v>45583</v>
      </c>
      <c r="C314" s="702" t="s">
        <v>8118</v>
      </c>
      <c r="D314" s="703" t="s">
        <v>181</v>
      </c>
      <c r="E314" s="277">
        <v>-2600</v>
      </c>
      <c r="F314" s="576">
        <v>45566</v>
      </c>
      <c r="G314" s="576" t="s">
        <v>104</v>
      </c>
    </row>
    <row r="315" spans="2:7" ht="15" hidden="1" customHeight="1">
      <c r="B315" s="701">
        <v>45583</v>
      </c>
      <c r="C315" s="704" t="s">
        <v>8120</v>
      </c>
      <c r="D315" s="706" t="s">
        <v>181</v>
      </c>
      <c r="E315" s="277">
        <v>-9579</v>
      </c>
      <c r="F315" s="576">
        <v>45566</v>
      </c>
      <c r="G315" s="576" t="s">
        <v>8125</v>
      </c>
    </row>
    <row r="316" spans="2:7" ht="15" hidden="1" customHeight="1">
      <c r="B316" s="701">
        <v>45583</v>
      </c>
      <c r="C316" s="702" t="s">
        <v>8131</v>
      </c>
      <c r="D316" s="706" t="s">
        <v>27</v>
      </c>
      <c r="E316" s="277">
        <v>4000</v>
      </c>
      <c r="F316" s="576">
        <v>45566</v>
      </c>
      <c r="G316" s="580" t="s">
        <v>8125</v>
      </c>
    </row>
    <row r="317" spans="2:7" ht="15" hidden="1" customHeight="1">
      <c r="B317" s="701">
        <v>45583</v>
      </c>
      <c r="C317" s="704" t="s">
        <v>8122</v>
      </c>
      <c r="D317" s="706" t="s">
        <v>643</v>
      </c>
      <c r="E317" s="277">
        <v>1036.6500000000001</v>
      </c>
      <c r="F317" s="576">
        <v>45566</v>
      </c>
      <c r="G317" s="708" t="s">
        <v>104</v>
      </c>
    </row>
    <row r="318" spans="2:7" ht="15" hidden="1" customHeight="1">
      <c r="B318" s="701">
        <v>45583</v>
      </c>
      <c r="C318" s="702" t="s">
        <v>8132</v>
      </c>
      <c r="D318" s="706" t="s">
        <v>643</v>
      </c>
      <c r="E318" s="277">
        <v>-14190</v>
      </c>
      <c r="F318" s="576">
        <v>45566</v>
      </c>
      <c r="G318" s="708" t="s">
        <v>104</v>
      </c>
    </row>
    <row r="319" spans="2:7" ht="15" hidden="1" customHeight="1">
      <c r="B319" s="701">
        <v>45589</v>
      </c>
      <c r="C319" s="702" t="s">
        <v>8124</v>
      </c>
      <c r="D319" s="709" t="s">
        <v>27</v>
      </c>
      <c r="E319" s="277">
        <v>-2806</v>
      </c>
      <c r="F319" s="576">
        <v>45566</v>
      </c>
      <c r="G319" s="576" t="s">
        <v>104</v>
      </c>
    </row>
    <row r="320" spans="2:7" ht="15" hidden="1" customHeight="1">
      <c r="B320" s="701">
        <v>45589</v>
      </c>
      <c r="C320" s="704" t="s">
        <v>8118</v>
      </c>
      <c r="D320" s="709" t="s">
        <v>27</v>
      </c>
      <c r="E320" s="277">
        <v>-14720</v>
      </c>
      <c r="F320" s="576">
        <v>45566</v>
      </c>
      <c r="G320" s="710" t="s">
        <v>104</v>
      </c>
    </row>
    <row r="321" spans="2:7" ht="15" hidden="1" customHeight="1">
      <c r="B321" s="701">
        <v>45589</v>
      </c>
      <c r="C321" s="704" t="s">
        <v>8120</v>
      </c>
      <c r="D321" s="710" t="s">
        <v>27</v>
      </c>
      <c r="E321" s="277">
        <v>-293188</v>
      </c>
      <c r="F321" s="576">
        <v>45566</v>
      </c>
      <c r="G321" s="576" t="s">
        <v>8125</v>
      </c>
    </row>
    <row r="322" spans="2:7" ht="15" hidden="1" customHeight="1">
      <c r="B322" s="701">
        <v>45590</v>
      </c>
      <c r="C322" s="702" t="s">
        <v>8124</v>
      </c>
      <c r="D322" s="703" t="s">
        <v>181</v>
      </c>
      <c r="E322" s="711">
        <v>-9310</v>
      </c>
      <c r="F322" s="576">
        <v>45566</v>
      </c>
      <c r="G322" s="576" t="s">
        <v>104</v>
      </c>
    </row>
    <row r="323" spans="2:7" ht="15" hidden="1" customHeight="1">
      <c r="B323" s="701">
        <v>45590</v>
      </c>
      <c r="C323" s="704" t="s">
        <v>8118</v>
      </c>
      <c r="D323" s="705" t="s">
        <v>181</v>
      </c>
      <c r="E323" s="711">
        <v>-54200</v>
      </c>
      <c r="F323" s="576">
        <v>45566</v>
      </c>
      <c r="G323" s="576" t="s">
        <v>104</v>
      </c>
    </row>
    <row r="324" spans="2:7" ht="15" hidden="1" customHeight="1">
      <c r="B324" s="701">
        <v>45590</v>
      </c>
      <c r="C324" s="702" t="s">
        <v>8120</v>
      </c>
      <c r="D324" s="709" t="s">
        <v>181</v>
      </c>
      <c r="E324" s="711">
        <v>-283163</v>
      </c>
      <c r="F324" s="576">
        <v>45566</v>
      </c>
      <c r="G324" s="576" t="s">
        <v>8125</v>
      </c>
    </row>
    <row r="325" spans="2:7" ht="15" hidden="1" customHeight="1">
      <c r="B325" s="701">
        <v>45590</v>
      </c>
      <c r="C325" s="702" t="s">
        <v>8120</v>
      </c>
      <c r="D325" s="706" t="s">
        <v>4783</v>
      </c>
      <c r="E325" s="277">
        <v>-153341.41</v>
      </c>
      <c r="F325" s="576">
        <v>45566</v>
      </c>
      <c r="G325" s="580" t="s">
        <v>8125</v>
      </c>
    </row>
    <row r="326" spans="2:7" ht="15" hidden="1" customHeight="1">
      <c r="B326" s="701">
        <v>45590</v>
      </c>
      <c r="C326" s="704" t="s">
        <v>8122</v>
      </c>
      <c r="D326" s="709" t="s">
        <v>643</v>
      </c>
      <c r="E326" s="711">
        <v>2276.5500000000002</v>
      </c>
      <c r="F326" s="576">
        <v>45566</v>
      </c>
      <c r="G326" s="708" t="s">
        <v>104</v>
      </c>
    </row>
    <row r="327" spans="2:7" ht="15" hidden="1" customHeight="1">
      <c r="B327" s="701">
        <v>45590</v>
      </c>
      <c r="C327" s="704" t="s">
        <v>8120</v>
      </c>
      <c r="D327" s="712" t="s">
        <v>25</v>
      </c>
      <c r="E327" s="300">
        <v>-358384.87</v>
      </c>
      <c r="F327" s="576">
        <v>45566</v>
      </c>
      <c r="G327" s="576" t="s">
        <v>8125</v>
      </c>
    </row>
    <row r="328" spans="2:7" ht="15" hidden="1" customHeight="1">
      <c r="B328" s="701">
        <v>45596</v>
      </c>
      <c r="C328" s="702" t="s">
        <v>8131</v>
      </c>
      <c r="D328" s="706" t="s">
        <v>27</v>
      </c>
      <c r="E328" s="277">
        <v>5367</v>
      </c>
      <c r="F328" s="576">
        <v>45566</v>
      </c>
      <c r="G328" s="580" t="s">
        <v>8125</v>
      </c>
    </row>
    <row r="329" spans="2:7" ht="15" hidden="1" customHeight="1">
      <c r="B329" s="701">
        <v>45596</v>
      </c>
      <c r="C329" s="704" t="s">
        <v>8124</v>
      </c>
      <c r="D329" s="709" t="s">
        <v>27</v>
      </c>
      <c r="E329" s="277">
        <v>-6930</v>
      </c>
      <c r="F329" s="576">
        <v>45566</v>
      </c>
      <c r="G329" s="576" t="s">
        <v>104</v>
      </c>
    </row>
    <row r="330" spans="2:7" ht="15" hidden="1" customHeight="1">
      <c r="B330" s="701">
        <v>45596</v>
      </c>
      <c r="C330" s="702" t="s">
        <v>8118</v>
      </c>
      <c r="D330" s="709" t="s">
        <v>27</v>
      </c>
      <c r="E330" s="277">
        <v>-36480</v>
      </c>
      <c r="F330" s="576">
        <v>45566</v>
      </c>
      <c r="G330" s="710" t="s">
        <v>104</v>
      </c>
    </row>
    <row r="331" spans="2:7" ht="15" hidden="1" customHeight="1">
      <c r="B331" s="701">
        <v>45596</v>
      </c>
      <c r="C331" s="704" t="s">
        <v>8120</v>
      </c>
      <c r="D331" s="709" t="s">
        <v>27</v>
      </c>
      <c r="E331" s="277">
        <v>-929506</v>
      </c>
      <c r="F331" s="576">
        <v>45566</v>
      </c>
      <c r="G331" s="576" t="s">
        <v>8125</v>
      </c>
    </row>
    <row r="332" spans="2:7" ht="15" hidden="1" customHeight="1">
      <c r="B332" s="701">
        <v>45596</v>
      </c>
      <c r="C332" s="702" t="s">
        <v>8118</v>
      </c>
      <c r="D332" s="703" t="s">
        <v>181</v>
      </c>
      <c r="E332" s="711">
        <v>-7800</v>
      </c>
      <c r="F332" s="576">
        <v>45566</v>
      </c>
      <c r="G332" s="576" t="s">
        <v>104</v>
      </c>
    </row>
    <row r="333" spans="2:7" ht="15" hidden="1" customHeight="1">
      <c r="B333" s="701">
        <v>45596</v>
      </c>
      <c r="C333" s="704" t="s">
        <v>8120</v>
      </c>
      <c r="D333" s="709" t="s">
        <v>181</v>
      </c>
      <c r="E333" s="711">
        <v>-35706</v>
      </c>
      <c r="F333" s="576">
        <v>45566</v>
      </c>
      <c r="G333" s="576" t="s">
        <v>8125</v>
      </c>
    </row>
    <row r="334" spans="2:7" ht="15" hidden="1" customHeight="1">
      <c r="B334" s="701">
        <v>45596</v>
      </c>
      <c r="C334" s="702" t="s">
        <v>8134</v>
      </c>
      <c r="D334" s="709" t="s">
        <v>181</v>
      </c>
      <c r="E334" s="277">
        <v>38360</v>
      </c>
      <c r="F334" s="576">
        <v>45566</v>
      </c>
      <c r="G334" s="576" t="s">
        <v>8125</v>
      </c>
    </row>
    <row r="335" spans="2:7" ht="15" hidden="1" customHeight="1">
      <c r="B335" s="701">
        <v>45596</v>
      </c>
      <c r="C335" s="702" t="s">
        <v>8124</v>
      </c>
      <c r="D335" s="705" t="s">
        <v>4783</v>
      </c>
      <c r="E335" s="277">
        <v>-11248</v>
      </c>
      <c r="F335" s="576">
        <v>45566</v>
      </c>
      <c r="G335" s="580" t="s">
        <v>104</v>
      </c>
    </row>
    <row r="336" spans="2:7" ht="15" hidden="1" customHeight="1">
      <c r="B336" s="701">
        <v>45596</v>
      </c>
      <c r="C336" s="702" t="s">
        <v>8120</v>
      </c>
      <c r="D336" s="706" t="s">
        <v>4783</v>
      </c>
      <c r="E336" s="277">
        <v>-388607</v>
      </c>
      <c r="F336" s="576">
        <v>45566</v>
      </c>
      <c r="G336" s="580" t="s">
        <v>8125</v>
      </c>
    </row>
    <row r="337" spans="2:7" ht="15" hidden="1" customHeight="1">
      <c r="B337" s="701">
        <v>45596</v>
      </c>
      <c r="C337" s="702" t="s">
        <v>8127</v>
      </c>
      <c r="D337" s="705" t="s">
        <v>4783</v>
      </c>
      <c r="E337" s="277">
        <v>-59200</v>
      </c>
      <c r="F337" s="576">
        <v>45566</v>
      </c>
      <c r="G337" s="580" t="s">
        <v>104</v>
      </c>
    </row>
    <row r="338" spans="2:7" ht="15" hidden="1" customHeight="1">
      <c r="B338" s="701">
        <v>45596</v>
      </c>
      <c r="C338" s="704" t="s">
        <v>8122</v>
      </c>
      <c r="D338" s="709" t="s">
        <v>643</v>
      </c>
      <c r="E338" s="277">
        <f>7.45+317.25</f>
        <v>324.7</v>
      </c>
      <c r="F338" s="576">
        <v>45566</v>
      </c>
      <c r="G338" s="708" t="s">
        <v>104</v>
      </c>
    </row>
    <row r="339" spans="2:7" ht="15" hidden="1" customHeight="1">
      <c r="B339" s="701">
        <v>45596</v>
      </c>
      <c r="C339" s="704" t="s">
        <v>8120</v>
      </c>
      <c r="D339" s="712" t="s">
        <v>25</v>
      </c>
      <c r="E339" s="300">
        <v>-5848.83</v>
      </c>
      <c r="F339" s="576">
        <v>45566</v>
      </c>
      <c r="G339" s="576" t="s">
        <v>8125</v>
      </c>
    </row>
    <row r="340" spans="2:7" ht="15" hidden="1" customHeight="1">
      <c r="B340" s="701">
        <v>45596</v>
      </c>
      <c r="C340" s="704" t="s">
        <v>8122</v>
      </c>
      <c r="D340" s="712" t="s">
        <v>40</v>
      </c>
      <c r="E340" s="277">
        <v>42406.68</v>
      </c>
      <c r="F340" s="576">
        <v>45566</v>
      </c>
      <c r="G340" s="708" t="s">
        <v>104</v>
      </c>
    </row>
    <row r="341" spans="2:7" ht="15" hidden="1" customHeight="1">
      <c r="B341" s="701">
        <v>45595</v>
      </c>
      <c r="C341" s="593" t="s">
        <v>8130</v>
      </c>
      <c r="D341" s="712" t="s">
        <v>66</v>
      </c>
      <c r="E341" s="277">
        <v>-115759.42</v>
      </c>
      <c r="F341" s="576">
        <v>45566</v>
      </c>
      <c r="G341" s="708" t="s">
        <v>104</v>
      </c>
    </row>
    <row r="342" spans="2:7" ht="15" hidden="1" customHeight="1">
      <c r="B342" s="701">
        <v>45604</v>
      </c>
      <c r="C342" s="704" t="s">
        <v>8120</v>
      </c>
      <c r="D342" s="709" t="s">
        <v>27</v>
      </c>
      <c r="E342" s="782">
        <v>-2643226</v>
      </c>
      <c r="F342" s="576">
        <v>45597</v>
      </c>
      <c r="G342" s="576" t="s">
        <v>8125</v>
      </c>
    </row>
    <row r="343" spans="2:7" ht="15" hidden="1" customHeight="1">
      <c r="B343" s="701">
        <v>45604</v>
      </c>
      <c r="C343" s="702" t="s">
        <v>8118</v>
      </c>
      <c r="D343" s="703" t="s">
        <v>181</v>
      </c>
      <c r="E343" s="783">
        <v>-13500</v>
      </c>
      <c r="F343" s="576">
        <v>45597</v>
      </c>
      <c r="G343" s="576" t="s">
        <v>104</v>
      </c>
    </row>
    <row r="344" spans="2:7" ht="15" hidden="1" customHeight="1">
      <c r="B344" s="701">
        <v>45604</v>
      </c>
      <c r="C344" s="704" t="s">
        <v>8120</v>
      </c>
      <c r="D344" s="709" t="s">
        <v>181</v>
      </c>
      <c r="E344" s="783">
        <v>-99439</v>
      </c>
      <c r="F344" s="576">
        <v>45597</v>
      </c>
      <c r="G344" s="576" t="s">
        <v>8125</v>
      </c>
    </row>
    <row r="345" spans="2:7" ht="15" hidden="1" customHeight="1">
      <c r="B345" s="701">
        <v>45604</v>
      </c>
      <c r="C345" s="702" t="s">
        <v>8124</v>
      </c>
      <c r="D345" s="705" t="s">
        <v>4783</v>
      </c>
      <c r="E345" s="783">
        <v>-27854</v>
      </c>
      <c r="F345" s="576">
        <v>45597</v>
      </c>
      <c r="G345" s="580" t="s">
        <v>104</v>
      </c>
    </row>
    <row r="346" spans="2:7" ht="15" hidden="1" customHeight="1">
      <c r="B346" s="701">
        <v>45604</v>
      </c>
      <c r="C346" s="702" t="s">
        <v>8120</v>
      </c>
      <c r="D346" s="709" t="s">
        <v>4783</v>
      </c>
      <c r="E346" s="782">
        <v>-2547770.52</v>
      </c>
      <c r="F346" s="576">
        <v>45597</v>
      </c>
      <c r="G346" s="580" t="s">
        <v>8125</v>
      </c>
    </row>
    <row r="347" spans="2:7" ht="15" hidden="1" customHeight="1">
      <c r="B347" s="701">
        <v>45604</v>
      </c>
      <c r="C347" s="702" t="s">
        <v>8127</v>
      </c>
      <c r="D347" s="705" t="s">
        <v>4783</v>
      </c>
      <c r="E347" s="782">
        <v>-66600</v>
      </c>
      <c r="F347" s="576">
        <v>45597</v>
      </c>
      <c r="G347" s="580" t="s">
        <v>104</v>
      </c>
    </row>
    <row r="348" spans="2:7" ht="15" hidden="1" customHeight="1">
      <c r="B348" s="701">
        <v>45604</v>
      </c>
      <c r="C348" s="702" t="s">
        <v>8132</v>
      </c>
      <c r="D348" s="709" t="s">
        <v>4783</v>
      </c>
      <c r="E348" s="783">
        <v>-80000</v>
      </c>
      <c r="F348" s="576">
        <v>45597</v>
      </c>
      <c r="G348" s="580" t="s">
        <v>130</v>
      </c>
    </row>
    <row r="349" spans="2:7" ht="15" hidden="1" customHeight="1">
      <c r="B349" s="701">
        <v>45604</v>
      </c>
      <c r="C349" s="704" t="s">
        <v>8122</v>
      </c>
      <c r="D349" s="709" t="s">
        <v>643</v>
      </c>
      <c r="E349" s="277">
        <v>20.52</v>
      </c>
      <c r="F349" s="576">
        <v>45597</v>
      </c>
      <c r="G349" s="708" t="s">
        <v>104</v>
      </c>
    </row>
    <row r="350" spans="2:7" ht="15" hidden="1" customHeight="1">
      <c r="B350" s="701">
        <v>45604</v>
      </c>
      <c r="C350" s="702" t="s">
        <v>8126</v>
      </c>
      <c r="D350" s="705" t="s">
        <v>8126</v>
      </c>
      <c r="E350" s="277">
        <v>-3039</v>
      </c>
      <c r="F350" s="576">
        <v>45597</v>
      </c>
      <c r="G350" s="580" t="s">
        <v>104</v>
      </c>
    </row>
    <row r="351" spans="2:7" ht="15" hidden="1" customHeight="1">
      <c r="B351" s="701">
        <v>45610</v>
      </c>
      <c r="C351" s="702" t="s">
        <v>8132</v>
      </c>
      <c r="D351" s="706" t="s">
        <v>643</v>
      </c>
      <c r="E351" s="277">
        <v>-14190</v>
      </c>
      <c r="F351" s="576">
        <v>45597</v>
      </c>
      <c r="G351" s="580" t="s">
        <v>104</v>
      </c>
    </row>
    <row r="352" spans="2:7" ht="15" hidden="1" customHeight="1">
      <c r="B352" s="701">
        <v>45611</v>
      </c>
      <c r="C352" s="702" t="s">
        <v>8120</v>
      </c>
      <c r="D352" s="709" t="s">
        <v>27</v>
      </c>
      <c r="E352" s="782">
        <v>-845889</v>
      </c>
      <c r="F352" s="576">
        <v>45597</v>
      </c>
      <c r="G352" s="710" t="s">
        <v>8125</v>
      </c>
    </row>
    <row r="353" spans="2:7" ht="15" hidden="1" customHeight="1">
      <c r="B353" s="701">
        <v>45616</v>
      </c>
      <c r="C353" s="702" t="s">
        <v>8124</v>
      </c>
      <c r="D353" s="705" t="s">
        <v>181</v>
      </c>
      <c r="E353" s="782">
        <v>-7220</v>
      </c>
      <c r="F353" s="576">
        <v>45597</v>
      </c>
      <c r="G353" s="710" t="s">
        <v>8125</v>
      </c>
    </row>
    <row r="354" spans="2:7" ht="15" hidden="1" customHeight="1">
      <c r="B354" s="701">
        <v>45616</v>
      </c>
      <c r="C354" s="702" t="s">
        <v>8118</v>
      </c>
      <c r="D354" s="706" t="s">
        <v>181</v>
      </c>
      <c r="E354" s="782">
        <v>-43400</v>
      </c>
      <c r="F354" s="576">
        <v>45597</v>
      </c>
      <c r="G354" s="580" t="s">
        <v>104</v>
      </c>
    </row>
    <row r="355" spans="2:7" ht="15" hidden="1" customHeight="1">
      <c r="B355" s="701">
        <v>45616</v>
      </c>
      <c r="C355" s="702" t="s">
        <v>8118</v>
      </c>
      <c r="D355" s="706" t="s">
        <v>181</v>
      </c>
      <c r="E355" s="782">
        <v>-8100</v>
      </c>
      <c r="F355" s="576">
        <v>45597</v>
      </c>
      <c r="G355" s="580" t="s">
        <v>104</v>
      </c>
    </row>
    <row r="356" spans="2:7" ht="15" hidden="1" customHeight="1">
      <c r="B356" s="701">
        <v>45618</v>
      </c>
      <c r="C356" s="704" t="s">
        <v>8120</v>
      </c>
      <c r="D356" s="709" t="s">
        <v>27</v>
      </c>
      <c r="E356" s="782">
        <v>-2218450</v>
      </c>
      <c r="F356" s="576">
        <v>45597</v>
      </c>
      <c r="G356" s="710" t="s">
        <v>8125</v>
      </c>
    </row>
    <row r="357" spans="2:7" ht="15" hidden="1" customHeight="1">
      <c r="B357" s="701">
        <v>45618</v>
      </c>
      <c r="C357" s="702" t="s">
        <v>8120</v>
      </c>
      <c r="D357" s="709" t="s">
        <v>181</v>
      </c>
      <c r="E357" s="782">
        <v>-18717</v>
      </c>
      <c r="F357" s="576">
        <v>45597</v>
      </c>
      <c r="G357" s="710" t="s">
        <v>8125</v>
      </c>
    </row>
    <row r="358" spans="2:7" ht="15" hidden="1" customHeight="1">
      <c r="B358" s="701">
        <v>45618</v>
      </c>
      <c r="C358" s="702" t="s">
        <v>8126</v>
      </c>
      <c r="D358" s="705" t="s">
        <v>8126</v>
      </c>
      <c r="E358" s="277">
        <f>67+79</f>
        <v>146</v>
      </c>
      <c r="F358" s="576">
        <v>45597</v>
      </c>
      <c r="G358" s="580" t="s">
        <v>104</v>
      </c>
    </row>
    <row r="359" spans="2:7" ht="15" hidden="1" customHeight="1">
      <c r="B359" s="701">
        <v>45625</v>
      </c>
      <c r="C359" s="702" t="s">
        <v>8127</v>
      </c>
      <c r="D359" s="709" t="s">
        <v>27</v>
      </c>
      <c r="E359" s="782">
        <v>-15960</v>
      </c>
      <c r="F359" s="576">
        <v>45597</v>
      </c>
      <c r="G359" s="580" t="s">
        <v>104</v>
      </c>
    </row>
    <row r="360" spans="2:7" ht="15" hidden="1" customHeight="1">
      <c r="B360" s="701">
        <v>45625</v>
      </c>
      <c r="C360" s="702" t="s">
        <v>8124</v>
      </c>
      <c r="D360" s="706" t="s">
        <v>27</v>
      </c>
      <c r="E360" s="782">
        <v>-3032.4</v>
      </c>
      <c r="F360" s="576">
        <v>45597</v>
      </c>
      <c r="G360" s="580" t="s">
        <v>8125</v>
      </c>
    </row>
    <row r="361" spans="2:7" ht="15" hidden="1" customHeight="1">
      <c r="B361" s="701">
        <v>45625</v>
      </c>
      <c r="C361" s="702" t="s">
        <v>8120</v>
      </c>
      <c r="D361" s="705" t="s">
        <v>27</v>
      </c>
      <c r="E361" s="782">
        <v>-1815895</v>
      </c>
      <c r="F361" s="576">
        <v>45597</v>
      </c>
      <c r="G361" s="580" t="s">
        <v>8125</v>
      </c>
    </row>
    <row r="362" spans="2:7" ht="15" hidden="1" customHeight="1">
      <c r="B362" s="701">
        <v>45625</v>
      </c>
      <c r="C362" s="702" t="s">
        <v>8120</v>
      </c>
      <c r="D362" s="709" t="s">
        <v>181</v>
      </c>
      <c r="E362" s="782">
        <v>-24256</v>
      </c>
      <c r="F362" s="576">
        <v>45597</v>
      </c>
      <c r="G362" s="580" t="s">
        <v>8125</v>
      </c>
    </row>
    <row r="363" spans="2:7" ht="15" hidden="1" customHeight="1">
      <c r="B363" s="701">
        <v>45625</v>
      </c>
      <c r="C363" s="704" t="s">
        <v>8122</v>
      </c>
      <c r="D363" s="709" t="s">
        <v>643</v>
      </c>
      <c r="E363" s="277">
        <v>32.29</v>
      </c>
      <c r="F363" s="576">
        <v>45597</v>
      </c>
      <c r="G363" s="580" t="s">
        <v>104</v>
      </c>
    </row>
    <row r="364" spans="2:7" ht="15" hidden="1" customHeight="1">
      <c r="B364" s="701">
        <v>45625</v>
      </c>
      <c r="C364" s="702" t="s">
        <v>8120</v>
      </c>
      <c r="D364" s="709" t="s">
        <v>4783</v>
      </c>
      <c r="E364" s="782">
        <v>-179495.67999999999</v>
      </c>
      <c r="F364" s="576">
        <v>45597</v>
      </c>
      <c r="G364" s="580" t="s">
        <v>8125</v>
      </c>
    </row>
    <row r="365" spans="2:7" ht="15" hidden="1" customHeight="1">
      <c r="B365" s="701">
        <v>45625</v>
      </c>
      <c r="C365" s="702" t="s">
        <v>8124</v>
      </c>
      <c r="D365" s="705" t="s">
        <v>4783</v>
      </c>
      <c r="E365" s="783">
        <v>4503</v>
      </c>
      <c r="F365" s="576">
        <v>45597</v>
      </c>
      <c r="G365" s="580" t="s">
        <v>8125</v>
      </c>
    </row>
    <row r="366" spans="2:7" ht="15" hidden="1" customHeight="1">
      <c r="B366" s="701">
        <v>45625</v>
      </c>
      <c r="C366" s="702" t="s">
        <v>8127</v>
      </c>
      <c r="D366" s="706" t="s">
        <v>4783</v>
      </c>
      <c r="E366" s="782">
        <v>-23700</v>
      </c>
      <c r="F366" s="576">
        <v>45597</v>
      </c>
      <c r="G366" s="580" t="s">
        <v>104</v>
      </c>
    </row>
    <row r="367" spans="2:7" ht="15" hidden="1" customHeight="1">
      <c r="B367" s="701">
        <v>45626</v>
      </c>
      <c r="C367" s="702" t="s">
        <v>8120</v>
      </c>
      <c r="D367" s="705" t="s">
        <v>27</v>
      </c>
      <c r="E367" s="277">
        <v>-866294</v>
      </c>
      <c r="F367" s="576">
        <v>45597</v>
      </c>
      <c r="G367" s="580" t="s">
        <v>8125</v>
      </c>
    </row>
    <row r="368" spans="2:7" ht="15" hidden="1" customHeight="1">
      <c r="B368" s="701">
        <v>45626</v>
      </c>
      <c r="C368" s="702" t="s">
        <v>8126</v>
      </c>
      <c r="D368" s="706" t="s">
        <v>27</v>
      </c>
      <c r="E368" s="277">
        <v>-1728</v>
      </c>
      <c r="F368" s="576">
        <v>45597</v>
      </c>
      <c r="G368" s="580" t="s">
        <v>104</v>
      </c>
    </row>
    <row r="369" spans="2:11" ht="15" hidden="1" customHeight="1">
      <c r="B369" s="701">
        <v>45628</v>
      </c>
      <c r="C369" s="702" t="s">
        <v>8120</v>
      </c>
      <c r="D369" s="706" t="s">
        <v>181</v>
      </c>
      <c r="E369" s="277">
        <v>-57873</v>
      </c>
      <c r="F369" s="576">
        <v>45627</v>
      </c>
      <c r="G369" s="580" t="s">
        <v>8125</v>
      </c>
    </row>
    <row r="370" spans="2:11" ht="15" hidden="1" customHeight="1">
      <c r="B370" s="701">
        <v>45628</v>
      </c>
      <c r="C370" s="702" t="s">
        <v>8120</v>
      </c>
      <c r="D370" s="706" t="s">
        <v>4783</v>
      </c>
      <c r="E370" s="277">
        <v>-22011.66</v>
      </c>
      <c r="F370" s="576">
        <v>45627</v>
      </c>
      <c r="G370" s="580" t="s">
        <v>8125</v>
      </c>
    </row>
    <row r="371" spans="2:11" ht="15" hidden="1" customHeight="1">
      <c r="B371" s="701">
        <v>45628</v>
      </c>
      <c r="C371" s="702" t="s">
        <v>8124</v>
      </c>
      <c r="D371" s="706" t="s">
        <v>4783</v>
      </c>
      <c r="E371" s="277">
        <v>-17651</v>
      </c>
      <c r="F371" s="576">
        <v>45627</v>
      </c>
      <c r="G371" s="580" t="s">
        <v>104</v>
      </c>
    </row>
    <row r="372" spans="2:11" ht="15" hidden="1" customHeight="1">
      <c r="B372" s="701">
        <v>45628</v>
      </c>
      <c r="C372" s="702" t="s">
        <v>8120</v>
      </c>
      <c r="D372" s="706" t="s">
        <v>27</v>
      </c>
      <c r="E372" s="277">
        <v>-602707</v>
      </c>
      <c r="F372" s="576">
        <v>45627</v>
      </c>
      <c r="G372" s="580" t="s">
        <v>8125</v>
      </c>
    </row>
    <row r="373" spans="2:11" ht="15" hidden="1" customHeight="1">
      <c r="B373" s="701">
        <v>45632</v>
      </c>
      <c r="C373" s="704" t="s">
        <v>8122</v>
      </c>
      <c r="D373" s="709" t="s">
        <v>643</v>
      </c>
      <c r="E373" s="277">
        <v>32.29</v>
      </c>
      <c r="F373" s="576">
        <v>45627</v>
      </c>
      <c r="G373" s="580" t="s">
        <v>104</v>
      </c>
    </row>
    <row r="374" spans="2:11" ht="15" hidden="1" customHeight="1">
      <c r="B374" s="701">
        <v>45632</v>
      </c>
      <c r="C374" s="702" t="s">
        <v>8120</v>
      </c>
      <c r="D374" s="705" t="s">
        <v>27</v>
      </c>
      <c r="E374" s="277">
        <v>-1151816</v>
      </c>
      <c r="F374" s="576">
        <v>45627</v>
      </c>
      <c r="G374" s="580" t="s">
        <v>8125</v>
      </c>
    </row>
    <row r="375" spans="2:11" ht="15" hidden="1" customHeight="1">
      <c r="B375" s="701">
        <v>45632</v>
      </c>
      <c r="C375" s="702" t="s">
        <v>8118</v>
      </c>
      <c r="D375" s="706" t="s">
        <v>181</v>
      </c>
      <c r="E375" s="277">
        <v>-5400</v>
      </c>
      <c r="F375" s="576">
        <v>45627</v>
      </c>
      <c r="G375" s="580" t="s">
        <v>104</v>
      </c>
    </row>
    <row r="376" spans="2:11" ht="15" hidden="1" customHeight="1">
      <c r="B376" s="701">
        <v>45632</v>
      </c>
      <c r="C376" s="702" t="s">
        <v>8120</v>
      </c>
      <c r="D376" s="709" t="s">
        <v>181</v>
      </c>
      <c r="E376" s="277">
        <v>-15995</v>
      </c>
      <c r="F376" s="576">
        <v>45627</v>
      </c>
      <c r="G376" s="580" t="s">
        <v>8125</v>
      </c>
    </row>
    <row r="377" spans="2:11" ht="15" hidden="1" customHeight="1">
      <c r="B377" s="701">
        <v>45632</v>
      </c>
      <c r="C377" s="702" t="s">
        <v>8124</v>
      </c>
      <c r="D377" s="705" t="s">
        <v>4783</v>
      </c>
      <c r="E377" s="277">
        <v>-1501</v>
      </c>
      <c r="F377" s="576">
        <v>45627</v>
      </c>
      <c r="G377" s="580" t="s">
        <v>8125</v>
      </c>
    </row>
    <row r="378" spans="2:11" ht="15" hidden="1" customHeight="1">
      <c r="B378" s="701">
        <v>45632</v>
      </c>
      <c r="C378" s="702" t="s">
        <v>8120</v>
      </c>
      <c r="D378" s="705" t="s">
        <v>4783</v>
      </c>
      <c r="E378" s="277">
        <f>-2767237.71-298+619000</f>
        <v>-2148535.71</v>
      </c>
      <c r="F378" s="576">
        <v>45627</v>
      </c>
      <c r="G378" s="580" t="s">
        <v>8125</v>
      </c>
    </row>
    <row r="379" spans="2:11" ht="15" hidden="1" customHeight="1">
      <c r="B379" s="701">
        <v>45632</v>
      </c>
      <c r="C379" s="702" t="s">
        <v>8118</v>
      </c>
      <c r="D379" s="705" t="s">
        <v>4783</v>
      </c>
      <c r="E379" s="277">
        <v>-15800</v>
      </c>
      <c r="F379" s="576">
        <v>45627</v>
      </c>
      <c r="G379" s="580" t="s">
        <v>104</v>
      </c>
    </row>
    <row r="380" spans="2:11" ht="15" hidden="1" customHeight="1">
      <c r="B380" s="701">
        <v>45628</v>
      </c>
      <c r="C380" s="702" t="s">
        <v>8132</v>
      </c>
      <c r="D380" s="709" t="s">
        <v>4783</v>
      </c>
      <c r="E380" s="277">
        <v>-85000</v>
      </c>
      <c r="F380" s="576">
        <v>45627</v>
      </c>
      <c r="G380" s="580" t="s">
        <v>104</v>
      </c>
    </row>
    <row r="381" spans="2:11" ht="15" hidden="1" customHeight="1">
      <c r="B381" s="701">
        <v>45632</v>
      </c>
      <c r="C381" s="702" t="s">
        <v>8126</v>
      </c>
      <c r="D381" s="705" t="s">
        <v>27</v>
      </c>
      <c r="E381" s="277">
        <v>-2705</v>
      </c>
      <c r="F381" s="576">
        <v>45627</v>
      </c>
      <c r="G381" s="580" t="s">
        <v>104</v>
      </c>
    </row>
    <row r="382" spans="2:11" ht="15" hidden="1" customHeight="1">
      <c r="B382" s="701">
        <v>45638</v>
      </c>
      <c r="C382" s="702" t="s">
        <v>8120</v>
      </c>
      <c r="D382" s="705" t="s">
        <v>27</v>
      </c>
      <c r="E382" s="277">
        <v>-1186021</v>
      </c>
      <c r="F382" s="576">
        <v>45627</v>
      </c>
      <c r="G382" s="580" t="s">
        <v>8125</v>
      </c>
    </row>
    <row r="383" spans="2:11" ht="15" hidden="1" customHeight="1">
      <c r="B383" s="701">
        <v>45638</v>
      </c>
      <c r="C383" s="702" t="s">
        <v>8118</v>
      </c>
      <c r="D383" s="709" t="s">
        <v>181</v>
      </c>
      <c r="E383" s="277">
        <v>-8100</v>
      </c>
      <c r="F383" s="576">
        <v>45627</v>
      </c>
      <c r="G383" s="580" t="s">
        <v>104</v>
      </c>
    </row>
    <row r="384" spans="2:11" ht="15" hidden="1" customHeight="1">
      <c r="B384" s="701">
        <v>45638</v>
      </c>
      <c r="C384" s="702" t="s">
        <v>8120</v>
      </c>
      <c r="D384" s="706" t="s">
        <v>181</v>
      </c>
      <c r="E384" s="277">
        <v>-35830</v>
      </c>
      <c r="F384" s="576">
        <v>45627</v>
      </c>
      <c r="G384" s="580" t="s">
        <v>8125</v>
      </c>
      <c r="K384" s="695"/>
    </row>
    <row r="385" spans="2:7" ht="15" hidden="1" customHeight="1">
      <c r="B385" s="701">
        <v>45638</v>
      </c>
      <c r="C385" s="702" t="s">
        <v>8120</v>
      </c>
      <c r="D385" s="705" t="s">
        <v>4783</v>
      </c>
      <c r="E385" s="277">
        <v>-1120853.6200000001</v>
      </c>
      <c r="F385" s="576">
        <v>45627</v>
      </c>
      <c r="G385" s="580" t="s">
        <v>8125</v>
      </c>
    </row>
    <row r="386" spans="2:7" ht="15" hidden="1" customHeight="1">
      <c r="B386" s="701">
        <v>45638</v>
      </c>
      <c r="C386" s="702" t="s">
        <v>8124</v>
      </c>
      <c r="D386" s="705" t="s">
        <v>4783</v>
      </c>
      <c r="E386" s="277">
        <v>-4503</v>
      </c>
      <c r="F386" s="576">
        <v>45627</v>
      </c>
      <c r="G386" s="580" t="s">
        <v>8125</v>
      </c>
    </row>
    <row r="387" spans="2:7" ht="15" hidden="1" customHeight="1">
      <c r="B387" s="701">
        <v>45638</v>
      </c>
      <c r="C387" s="702" t="s">
        <v>8118</v>
      </c>
      <c r="D387" s="705" t="s">
        <v>4783</v>
      </c>
      <c r="E387" s="277">
        <v>-23700</v>
      </c>
      <c r="F387" s="576">
        <v>45627</v>
      </c>
      <c r="G387" s="580" t="s">
        <v>104</v>
      </c>
    </row>
    <row r="388" spans="2:7" ht="15" hidden="1" customHeight="1">
      <c r="B388" s="701">
        <v>45638</v>
      </c>
      <c r="C388" s="704" t="s">
        <v>8122</v>
      </c>
      <c r="D388" s="709" t="s">
        <v>643</v>
      </c>
      <c r="E388" s="277">
        <v>70.260000000000005</v>
      </c>
      <c r="F388" s="576">
        <v>45627</v>
      </c>
      <c r="G388" s="580" t="s">
        <v>104</v>
      </c>
    </row>
    <row r="389" spans="2:7" ht="15" hidden="1" customHeight="1">
      <c r="B389" s="701">
        <v>45639</v>
      </c>
      <c r="C389" s="702" t="s">
        <v>8126</v>
      </c>
      <c r="D389" s="705" t="s">
        <v>27</v>
      </c>
      <c r="E389" s="277">
        <v>31</v>
      </c>
      <c r="F389" s="576">
        <v>45627</v>
      </c>
      <c r="G389" s="580" t="s">
        <v>104</v>
      </c>
    </row>
    <row r="390" spans="2:7" ht="15" hidden="1" customHeight="1">
      <c r="B390" s="701">
        <v>45646</v>
      </c>
      <c r="C390" s="702" t="s">
        <v>8120</v>
      </c>
      <c r="D390" s="705" t="s">
        <v>27</v>
      </c>
      <c r="E390" s="277">
        <v>-1322830</v>
      </c>
      <c r="F390" s="576">
        <v>45627</v>
      </c>
      <c r="G390" s="580" t="s">
        <v>8125</v>
      </c>
    </row>
    <row r="391" spans="2:7" ht="15" hidden="1" customHeight="1">
      <c r="B391" s="701">
        <v>45646</v>
      </c>
      <c r="C391" s="702" t="s">
        <v>8132</v>
      </c>
      <c r="D391" s="709" t="s">
        <v>643</v>
      </c>
      <c r="E391" s="277">
        <v>-14200</v>
      </c>
      <c r="F391" s="576">
        <v>45627</v>
      </c>
      <c r="G391" s="580" t="s">
        <v>104</v>
      </c>
    </row>
    <row r="392" spans="2:7" ht="15" hidden="1" customHeight="1">
      <c r="B392" s="701">
        <v>45646</v>
      </c>
      <c r="C392" s="704" t="s">
        <v>8122</v>
      </c>
      <c r="D392" s="709" t="s">
        <v>643</v>
      </c>
      <c r="E392" s="277">
        <v>20.100000000000001</v>
      </c>
      <c r="F392" s="576">
        <v>45627</v>
      </c>
      <c r="G392" s="710" t="s">
        <v>104</v>
      </c>
    </row>
    <row r="393" spans="2:7" ht="15" hidden="1" customHeight="1">
      <c r="B393" s="701">
        <v>45646</v>
      </c>
      <c r="C393" s="702" t="s">
        <v>8118</v>
      </c>
      <c r="D393" s="705" t="s">
        <v>4783</v>
      </c>
      <c r="E393" s="277">
        <v>-197500</v>
      </c>
      <c r="F393" s="576">
        <v>45627</v>
      </c>
      <c r="G393" s="580" t="s">
        <v>104</v>
      </c>
    </row>
    <row r="394" spans="2:7" ht="15" hidden="1" customHeight="1">
      <c r="B394" s="701">
        <v>45646</v>
      </c>
      <c r="C394" s="702" t="s">
        <v>8124</v>
      </c>
      <c r="D394" s="705" t="s">
        <v>4783</v>
      </c>
      <c r="E394" s="277">
        <v>-37525</v>
      </c>
      <c r="F394" s="576">
        <v>45627</v>
      </c>
      <c r="G394" s="580" t="s">
        <v>8125</v>
      </c>
    </row>
    <row r="395" spans="2:7" ht="15" hidden="1" customHeight="1">
      <c r="B395" s="701">
        <v>45656</v>
      </c>
      <c r="C395" s="702" t="s">
        <v>8120</v>
      </c>
      <c r="D395" s="705" t="s">
        <v>4783</v>
      </c>
      <c r="E395" s="277">
        <v>-3530338.58</v>
      </c>
      <c r="F395" s="576">
        <v>45627</v>
      </c>
      <c r="G395" s="580" t="s">
        <v>8125</v>
      </c>
    </row>
    <row r="396" spans="2:7" ht="15" hidden="1" customHeight="1">
      <c r="B396" s="701">
        <v>45646</v>
      </c>
      <c r="C396" s="702" t="s">
        <v>8118</v>
      </c>
      <c r="D396" s="709" t="s">
        <v>181</v>
      </c>
      <c r="E396" s="277">
        <v>-5400</v>
      </c>
      <c r="F396" s="576">
        <v>45627</v>
      </c>
      <c r="G396" s="580" t="s">
        <v>104</v>
      </c>
    </row>
    <row r="397" spans="2:7" ht="15" hidden="1" customHeight="1">
      <c r="B397" s="701">
        <v>45657</v>
      </c>
      <c r="C397" s="702" t="s">
        <v>8120</v>
      </c>
      <c r="D397" s="706" t="s">
        <v>181</v>
      </c>
      <c r="E397" s="277">
        <v>-56523</v>
      </c>
      <c r="F397" s="576">
        <v>45627</v>
      </c>
      <c r="G397" s="580" t="s">
        <v>8125</v>
      </c>
    </row>
    <row r="398" spans="2:7" ht="15" hidden="1" customHeight="1">
      <c r="B398" s="851">
        <v>45656</v>
      </c>
      <c r="C398" s="852" t="s">
        <v>8120</v>
      </c>
      <c r="D398" s="853" t="s">
        <v>27</v>
      </c>
      <c r="E398" s="711">
        <v>-577463</v>
      </c>
      <c r="F398" s="854">
        <v>45627</v>
      </c>
      <c r="G398" s="852" t="s">
        <v>8125</v>
      </c>
    </row>
    <row r="399" spans="2:7" ht="15" hidden="1" customHeight="1">
      <c r="B399" s="701">
        <v>45656</v>
      </c>
      <c r="C399" s="702" t="s">
        <v>8126</v>
      </c>
      <c r="D399" s="706" t="s">
        <v>4783</v>
      </c>
      <c r="E399" s="277">
        <v>189</v>
      </c>
      <c r="F399" s="576">
        <v>45627</v>
      </c>
      <c r="G399" s="580" t="s">
        <v>104</v>
      </c>
    </row>
    <row r="400" spans="2:7" ht="15" hidden="1" customHeight="1">
      <c r="B400" s="701">
        <v>45657</v>
      </c>
      <c r="C400" s="704" t="s">
        <v>8122</v>
      </c>
      <c r="D400" s="709" t="s">
        <v>643</v>
      </c>
      <c r="E400" s="277">
        <v>40</v>
      </c>
      <c r="F400" s="576">
        <v>45627</v>
      </c>
      <c r="G400" s="580" t="s">
        <v>104</v>
      </c>
    </row>
    <row r="401" spans="2:7" ht="15" customHeight="1">
      <c r="B401" s="701">
        <v>45294</v>
      </c>
      <c r="C401" s="702" t="s">
        <v>8120</v>
      </c>
      <c r="D401" s="706" t="s">
        <v>181</v>
      </c>
      <c r="E401" s="277">
        <v>-57742</v>
      </c>
      <c r="F401" s="576">
        <v>45658</v>
      </c>
      <c r="G401" s="580" t="s">
        <v>8125</v>
      </c>
    </row>
    <row r="402" spans="2:7" ht="15" customHeight="1">
      <c r="B402" s="701">
        <v>45294</v>
      </c>
      <c r="C402" s="702" t="s">
        <v>8124</v>
      </c>
      <c r="D402" s="705" t="s">
        <v>4783</v>
      </c>
      <c r="E402" s="277">
        <v>-16150</v>
      </c>
      <c r="F402" s="576">
        <v>45658</v>
      </c>
      <c r="G402" s="580" t="s">
        <v>8125</v>
      </c>
    </row>
    <row r="403" spans="2:7" ht="15" customHeight="1">
      <c r="B403" s="701">
        <v>45294</v>
      </c>
      <c r="C403" s="702" t="s">
        <v>8120</v>
      </c>
      <c r="D403" s="705" t="s">
        <v>4783</v>
      </c>
      <c r="E403" s="277">
        <v>-20726.259999999998</v>
      </c>
      <c r="F403" s="576">
        <v>45658</v>
      </c>
      <c r="G403" s="580" t="s">
        <v>8125</v>
      </c>
    </row>
    <row r="404" spans="2:7" ht="15" customHeight="1">
      <c r="B404" s="701">
        <v>45294</v>
      </c>
      <c r="C404" s="702" t="s">
        <v>8132</v>
      </c>
      <c r="D404" s="709" t="s">
        <v>4783</v>
      </c>
      <c r="E404" s="277">
        <v>-85000</v>
      </c>
      <c r="F404" s="576">
        <v>45658</v>
      </c>
      <c r="G404" s="580" t="s">
        <v>104</v>
      </c>
    </row>
    <row r="405" spans="2:7" ht="15" customHeight="1">
      <c r="B405" s="701">
        <v>45629</v>
      </c>
      <c r="C405" s="881" t="s">
        <v>8120</v>
      </c>
      <c r="D405" s="882" t="s">
        <v>27</v>
      </c>
      <c r="E405" s="277">
        <v>-75240</v>
      </c>
      <c r="F405" s="880">
        <v>45658</v>
      </c>
      <c r="G405" s="881" t="s">
        <v>8125</v>
      </c>
    </row>
    <row r="406" spans="2:7" ht="15" customHeight="1">
      <c r="B406" s="701"/>
      <c r="C406" s="702"/>
      <c r="D406" s="705"/>
      <c r="E406" s="277"/>
      <c r="F406" s="576"/>
      <c r="G406" s="580"/>
    </row>
    <row r="407" spans="2:7" ht="15" customHeight="1">
      <c r="B407" s="701"/>
      <c r="C407" s="702"/>
      <c r="D407" s="706"/>
      <c r="E407" s="277"/>
      <c r="F407" s="576"/>
      <c r="G407" s="580"/>
    </row>
    <row r="408" spans="2:7" ht="15" customHeight="1">
      <c r="B408" s="701"/>
      <c r="C408" s="702"/>
      <c r="D408" s="705"/>
      <c r="E408" s="277"/>
      <c r="F408" s="576"/>
      <c r="G408" s="580"/>
    </row>
    <row r="409" spans="2:7" ht="15" customHeight="1">
      <c r="B409" s="701"/>
      <c r="C409" s="702"/>
      <c r="D409" s="706"/>
      <c r="E409" s="277"/>
      <c r="F409" s="576"/>
      <c r="G409" s="580"/>
    </row>
    <row r="410" spans="2:7" ht="15" customHeight="1">
      <c r="B410" s="701"/>
      <c r="C410" s="702"/>
      <c r="D410" s="705"/>
      <c r="E410" s="277"/>
      <c r="F410" s="576"/>
      <c r="G410" s="580"/>
    </row>
    <row r="411" spans="2:7" ht="15" customHeight="1">
      <c r="B411" s="701"/>
      <c r="C411" s="702"/>
      <c r="D411" s="706"/>
      <c r="E411" s="277"/>
      <c r="F411" s="576"/>
      <c r="G411" s="580"/>
    </row>
    <row r="412" spans="2:7" ht="15" customHeight="1">
      <c r="B412" s="701"/>
      <c r="C412" s="702"/>
      <c r="D412" s="705"/>
      <c r="E412" s="277"/>
      <c r="F412" s="576"/>
      <c r="G412" s="580"/>
    </row>
    <row r="413" spans="2:7" ht="15" customHeight="1">
      <c r="B413" s="701"/>
      <c r="C413" s="702"/>
      <c r="D413" s="706"/>
      <c r="E413" s="277"/>
      <c r="F413" s="576"/>
      <c r="G413" s="580"/>
    </row>
    <row r="414" spans="2:7" ht="15" customHeight="1">
      <c r="B414" s="701"/>
      <c r="C414" s="702"/>
      <c r="D414" s="705"/>
      <c r="E414" s="277"/>
      <c r="F414" s="576"/>
      <c r="G414" s="580"/>
    </row>
    <row r="415" spans="2:7" ht="15" customHeight="1">
      <c r="B415" s="701"/>
      <c r="C415" s="702"/>
      <c r="D415" s="706"/>
      <c r="E415" s="277"/>
      <c r="F415" s="576"/>
      <c r="G415" s="580"/>
    </row>
    <row r="416" spans="2:7" ht="15" customHeight="1">
      <c r="B416" s="701"/>
      <c r="C416" s="702"/>
      <c r="D416" s="705"/>
      <c r="E416" s="277"/>
      <c r="F416" s="576"/>
      <c r="G416" s="580"/>
    </row>
    <row r="417" spans="2:7" ht="15" customHeight="1">
      <c r="B417" s="701"/>
      <c r="C417" s="702"/>
      <c r="D417" s="706"/>
      <c r="E417" s="277"/>
      <c r="F417" s="576"/>
      <c r="G417" s="580"/>
    </row>
    <row r="418" spans="2:7" ht="15" customHeight="1">
      <c r="B418" s="701"/>
      <c r="C418" s="702"/>
      <c r="D418" s="705"/>
      <c r="E418" s="277"/>
      <c r="F418" s="576"/>
      <c r="G418" s="580"/>
    </row>
    <row r="419" spans="2:7" ht="15" customHeight="1">
      <c r="B419" s="701"/>
      <c r="C419" s="702"/>
      <c r="D419" s="706"/>
      <c r="E419" s="277"/>
      <c r="F419" s="576"/>
      <c r="G419" s="580"/>
    </row>
    <row r="420" spans="2:7" ht="15" customHeight="1">
      <c r="B420" s="701"/>
      <c r="C420" s="702"/>
      <c r="D420" s="705"/>
      <c r="E420" s="277"/>
      <c r="F420" s="576"/>
      <c r="G420" s="580"/>
    </row>
    <row r="421" spans="2:7" ht="15" customHeight="1">
      <c r="B421" s="701"/>
      <c r="C421" s="702"/>
      <c r="D421" s="706"/>
      <c r="E421" s="277"/>
      <c r="F421" s="576"/>
      <c r="G421" s="580"/>
    </row>
    <row r="422" spans="2:7" ht="15" customHeight="1">
      <c r="B422" s="701"/>
      <c r="C422" s="702"/>
      <c r="D422" s="705"/>
      <c r="E422" s="277"/>
      <c r="F422" s="576"/>
      <c r="G422" s="580"/>
    </row>
    <row r="423" spans="2:7" ht="15" customHeight="1">
      <c r="B423" s="701"/>
      <c r="C423" s="702"/>
      <c r="D423" s="706"/>
      <c r="E423" s="277"/>
      <c r="F423" s="576"/>
      <c r="G423" s="580"/>
    </row>
    <row r="424" spans="2:7" ht="15" customHeight="1">
      <c r="B424" s="701"/>
      <c r="C424" s="702"/>
      <c r="D424" s="705"/>
      <c r="E424" s="277"/>
      <c r="F424" s="576"/>
      <c r="G424" s="580"/>
    </row>
    <row r="425" spans="2:7" ht="15" customHeight="1">
      <c r="B425" s="701"/>
      <c r="C425" s="702"/>
      <c r="D425" s="706"/>
      <c r="E425" s="277"/>
      <c r="F425" s="576"/>
      <c r="G425" s="580"/>
    </row>
    <row r="426" spans="2:7" ht="15" customHeight="1">
      <c r="B426" s="701"/>
      <c r="C426" s="702"/>
      <c r="D426" s="705"/>
      <c r="E426" s="277"/>
      <c r="F426" s="576"/>
      <c r="G426" s="580"/>
    </row>
    <row r="427" spans="2:7" ht="15" customHeight="1">
      <c r="B427" s="701"/>
      <c r="C427" s="702"/>
      <c r="D427" s="706"/>
      <c r="E427" s="277"/>
      <c r="F427" s="576"/>
      <c r="G427" s="580"/>
    </row>
    <row r="428" spans="2:7" ht="15" customHeight="1">
      <c r="B428" s="701"/>
      <c r="C428" s="702"/>
      <c r="D428" s="705"/>
      <c r="E428" s="277"/>
      <c r="F428" s="576"/>
      <c r="G428" s="580"/>
    </row>
    <row r="429" spans="2:7" ht="15" customHeight="1">
      <c r="B429" s="701"/>
      <c r="C429" s="702"/>
      <c r="D429" s="706"/>
      <c r="E429" s="277"/>
      <c r="F429" s="576"/>
      <c r="G429" s="580"/>
    </row>
    <row r="430" spans="2:7" ht="15" customHeight="1">
      <c r="B430" s="701"/>
      <c r="C430" s="702"/>
      <c r="D430" s="705"/>
      <c r="E430" s="277"/>
      <c r="F430" s="576"/>
      <c r="G430" s="580"/>
    </row>
    <row r="431" spans="2:7" ht="15" customHeight="1">
      <c r="B431" s="701"/>
      <c r="C431" s="702"/>
      <c r="D431" s="706"/>
      <c r="E431" s="277"/>
      <c r="F431" s="576"/>
      <c r="G431" s="580"/>
    </row>
    <row r="432" spans="2:7" ht="15" customHeight="1">
      <c r="B432" s="701"/>
      <c r="C432" s="702"/>
      <c r="D432" s="705"/>
      <c r="E432" s="277"/>
      <c r="F432" s="576"/>
      <c r="G432" s="580"/>
    </row>
    <row r="433" spans="2:8" ht="15" customHeight="1">
      <c r="B433" s="701"/>
      <c r="C433" s="702"/>
      <c r="D433" s="706"/>
      <c r="E433" s="277"/>
      <c r="F433" s="576"/>
      <c r="G433" s="580"/>
    </row>
    <row r="434" spans="2:8" ht="15" customHeight="1">
      <c r="B434" s="701"/>
      <c r="C434" s="702"/>
      <c r="D434" s="705"/>
      <c r="E434" s="277"/>
      <c r="F434" s="576"/>
      <c r="G434" s="580"/>
    </row>
    <row r="435" spans="2:8" ht="15" customHeight="1">
      <c r="B435" s="701"/>
      <c r="C435" s="702"/>
      <c r="D435" s="706"/>
      <c r="E435" s="277"/>
      <c r="F435" s="576"/>
      <c r="G435" s="580"/>
    </row>
    <row r="436" spans="2:8" ht="15" customHeight="1">
      <c r="B436" s="701"/>
      <c r="C436" s="702"/>
      <c r="D436" s="705"/>
      <c r="E436" s="277"/>
      <c r="F436" s="576"/>
      <c r="G436" s="580"/>
    </row>
    <row r="437" spans="2:8" ht="15" customHeight="1">
      <c r="B437" s="701"/>
      <c r="C437" s="702"/>
      <c r="D437" s="706"/>
      <c r="E437" s="277"/>
      <c r="F437" s="576"/>
      <c r="G437" s="580"/>
    </row>
    <row r="438" spans="2:8" ht="15" customHeight="1">
      <c r="B438" s="701"/>
      <c r="C438" s="702"/>
      <c r="D438" s="705"/>
      <c r="E438" s="277"/>
      <c r="F438" s="576"/>
      <c r="G438" s="580"/>
    </row>
    <row r="439" spans="2:8" ht="15" customHeight="1">
      <c r="B439" s="701"/>
      <c r="C439" s="702"/>
      <c r="D439" s="706"/>
      <c r="E439" s="277"/>
      <c r="F439" s="576"/>
      <c r="G439" s="580"/>
    </row>
    <row r="440" spans="2:8" ht="15" customHeight="1">
      <c r="B440" s="701"/>
      <c r="C440" s="702"/>
      <c r="D440" s="705"/>
      <c r="E440" s="277"/>
      <c r="F440" s="576"/>
      <c r="G440" s="580"/>
    </row>
    <row r="441" spans="2:8" ht="15" customHeight="1">
      <c r="B441" s="701"/>
      <c r="C441" s="702"/>
      <c r="D441" s="706"/>
      <c r="E441" s="277"/>
      <c r="F441" s="576"/>
      <c r="G441" s="580"/>
    </row>
    <row r="442" spans="2:8" ht="15" customHeight="1">
      <c r="B442" s="701"/>
      <c r="C442" s="702"/>
      <c r="D442" s="705"/>
      <c r="E442" s="277"/>
      <c r="F442" s="576"/>
      <c r="G442" s="580"/>
    </row>
    <row r="443" spans="2:8" s="202" customFormat="1" ht="15.75" customHeight="1">
      <c r="B443" s="701"/>
      <c r="C443" s="702"/>
      <c r="D443" s="706"/>
      <c r="E443" s="277"/>
      <c r="F443" s="576"/>
      <c r="G443" s="580"/>
      <c r="H443" s="202" t="s">
        <v>101</v>
      </c>
    </row>
    <row r="444" spans="2:8" ht="15" customHeight="1">
      <c r="B444" s="701"/>
      <c r="C444" s="702"/>
      <c r="D444" s="705"/>
      <c r="E444" s="277"/>
      <c r="F444" s="576"/>
      <c r="G444" s="580"/>
    </row>
    <row r="445" spans="2:8" ht="15" customHeight="1">
      <c r="B445" s="701"/>
      <c r="C445" s="702"/>
      <c r="D445" s="706"/>
      <c r="E445" s="277"/>
      <c r="F445" s="576"/>
      <c r="G445" s="580"/>
    </row>
    <row r="446" spans="2:8" ht="15" customHeight="1">
      <c r="B446" s="701"/>
      <c r="C446" s="702"/>
      <c r="D446" s="705"/>
      <c r="E446" s="277"/>
      <c r="F446" s="576"/>
      <c r="G446" s="580"/>
    </row>
    <row r="447" spans="2:8" ht="15" customHeight="1">
      <c r="B447" s="701"/>
      <c r="C447" s="702"/>
      <c r="D447" s="706"/>
      <c r="E447" s="277"/>
      <c r="F447" s="576"/>
      <c r="G447" s="580"/>
    </row>
    <row r="448" spans="2:8" ht="15" customHeight="1">
      <c r="B448" s="701"/>
      <c r="C448" s="702"/>
      <c r="D448" s="705"/>
      <c r="E448" s="277"/>
      <c r="F448" s="576"/>
      <c r="G448" s="580"/>
    </row>
    <row r="449" spans="2:7" ht="15" customHeight="1">
      <c r="B449" s="701"/>
      <c r="C449" s="702"/>
      <c r="D449" s="706"/>
      <c r="E449" s="277"/>
      <c r="F449" s="576"/>
      <c r="G449" s="580"/>
    </row>
    <row r="450" spans="2:7" ht="15" customHeight="1">
      <c r="B450" s="701"/>
      <c r="C450" s="702"/>
      <c r="D450" s="705"/>
      <c r="E450" s="277"/>
      <c r="F450" s="576"/>
      <c r="G450" s="580"/>
    </row>
    <row r="451" spans="2:7" ht="15" customHeight="1">
      <c r="B451" s="701"/>
      <c r="C451" s="702"/>
      <c r="D451" s="706"/>
      <c r="E451" s="277"/>
      <c r="F451" s="576"/>
      <c r="G451" s="580"/>
    </row>
    <row r="452" spans="2:7" ht="15" customHeight="1">
      <c r="B452" s="701"/>
      <c r="C452" s="702"/>
      <c r="D452" s="705"/>
      <c r="E452" s="277"/>
      <c r="F452" s="576"/>
      <c r="G452" s="580"/>
    </row>
    <row r="453" spans="2:7" ht="15" customHeight="1">
      <c r="B453" s="701"/>
      <c r="C453" s="702"/>
      <c r="D453" s="706"/>
      <c r="E453" s="277"/>
      <c r="F453" s="576"/>
      <c r="G453" s="580"/>
    </row>
    <row r="454" spans="2:7" ht="15" customHeight="1">
      <c r="B454" s="701"/>
      <c r="C454" s="702"/>
      <c r="D454" s="705"/>
      <c r="E454" s="277"/>
      <c r="F454" s="576"/>
      <c r="G454" s="580"/>
    </row>
    <row r="455" spans="2:7" ht="15" customHeight="1">
      <c r="B455" s="701"/>
      <c r="C455" s="702"/>
      <c r="D455" s="706"/>
      <c r="E455" s="277"/>
      <c r="F455" s="576"/>
      <c r="G455" s="580"/>
    </row>
    <row r="456" spans="2:7" ht="15" customHeight="1">
      <c r="B456" s="701"/>
      <c r="C456" s="702"/>
      <c r="D456" s="705"/>
      <c r="E456" s="277"/>
      <c r="F456" s="576"/>
      <c r="G456" s="580"/>
    </row>
    <row r="457" spans="2:7" ht="15" customHeight="1">
      <c r="B457" s="701"/>
      <c r="C457" s="702"/>
      <c r="D457" s="706"/>
      <c r="E457" s="277"/>
      <c r="F457" s="576"/>
      <c r="G457" s="580"/>
    </row>
    <row r="458" spans="2:7" ht="15" customHeight="1">
      <c r="B458" s="701"/>
      <c r="C458" s="702"/>
      <c r="D458" s="705"/>
      <c r="E458" s="277"/>
      <c r="F458" s="576"/>
      <c r="G458" s="580"/>
    </row>
    <row r="459" spans="2:7" ht="15" customHeight="1">
      <c r="B459" s="701"/>
      <c r="C459" s="702"/>
      <c r="D459" s="706"/>
      <c r="E459" s="277"/>
      <c r="F459" s="576"/>
      <c r="G459" s="580"/>
    </row>
    <row r="460" spans="2:7" ht="15" customHeight="1">
      <c r="B460" s="701"/>
      <c r="C460" s="702"/>
      <c r="D460" s="705"/>
      <c r="E460" s="277"/>
      <c r="F460" s="576"/>
      <c r="G460" s="580"/>
    </row>
    <row r="461" spans="2:7" ht="15" customHeight="1">
      <c r="B461" s="701"/>
      <c r="C461" s="702"/>
      <c r="D461" s="706"/>
      <c r="E461" s="277"/>
      <c r="F461" s="576"/>
      <c r="G461" s="580"/>
    </row>
    <row r="462" spans="2:7" ht="15" customHeight="1">
      <c r="B462" s="701"/>
      <c r="C462" s="702"/>
      <c r="D462" s="705"/>
      <c r="E462" s="277"/>
      <c r="F462" s="576"/>
      <c r="G462" s="580"/>
    </row>
    <row r="463" spans="2:7" ht="15" customHeight="1">
      <c r="B463" s="701"/>
      <c r="C463" s="702"/>
      <c r="D463" s="706"/>
      <c r="E463" s="277"/>
      <c r="F463" s="576"/>
      <c r="G463" s="580"/>
    </row>
    <row r="464" spans="2:7" ht="15" customHeight="1">
      <c r="B464" s="701"/>
      <c r="C464" s="702"/>
      <c r="D464" s="705"/>
      <c r="E464" s="277"/>
      <c r="F464" s="576"/>
      <c r="G464" s="580"/>
    </row>
    <row r="465" spans="2:8" ht="15" customHeight="1">
      <c r="B465" s="701"/>
      <c r="C465" s="702"/>
      <c r="D465" s="706"/>
      <c r="E465" s="277"/>
      <c r="F465" s="576"/>
      <c r="G465" s="580"/>
    </row>
    <row r="466" spans="2:8" ht="15" customHeight="1">
      <c r="B466" s="701"/>
      <c r="C466" s="702"/>
      <c r="D466" s="705"/>
      <c r="E466" s="277"/>
      <c r="F466" s="576"/>
      <c r="G466" s="580"/>
    </row>
    <row r="467" spans="2:8" ht="15" customHeight="1">
      <c r="B467" s="701"/>
      <c r="C467" s="702"/>
      <c r="D467" s="706"/>
      <c r="E467" s="277"/>
      <c r="F467" s="576"/>
      <c r="G467" s="580"/>
    </row>
    <row r="468" spans="2:8" ht="15" customHeight="1">
      <c r="B468" s="701"/>
      <c r="C468" s="702"/>
      <c r="D468" s="705"/>
      <c r="E468" s="277"/>
      <c r="F468" s="576"/>
      <c r="G468" s="580"/>
    </row>
    <row r="469" spans="2:8" ht="15" customHeight="1">
      <c r="B469" s="701"/>
      <c r="C469" s="702"/>
      <c r="D469" s="706"/>
      <c r="E469" s="277"/>
      <c r="F469" s="576"/>
      <c r="G469" s="580"/>
    </row>
    <row r="470" spans="2:8" ht="15" customHeight="1">
      <c r="B470" s="701"/>
      <c r="C470" s="702"/>
      <c r="D470" s="705"/>
      <c r="E470" s="277"/>
      <c r="F470" s="576"/>
      <c r="G470" s="580"/>
    </row>
    <row r="471" spans="2:8" ht="15" customHeight="1">
      <c r="B471" s="701"/>
      <c r="C471" s="702"/>
      <c r="D471" s="706"/>
      <c r="E471" s="277"/>
      <c r="F471" s="576"/>
      <c r="G471" s="580"/>
    </row>
    <row r="472" spans="2:8" ht="15" customHeight="1">
      <c r="B472" s="701"/>
      <c r="C472" s="702"/>
      <c r="D472" s="705"/>
      <c r="E472" s="277"/>
      <c r="F472" s="576"/>
      <c r="G472" s="580"/>
    </row>
    <row r="473" spans="2:8" ht="15" customHeight="1">
      <c r="B473" s="701"/>
      <c r="C473" s="702"/>
      <c r="D473" s="706"/>
      <c r="E473" s="277"/>
      <c r="F473" s="576"/>
      <c r="G473" s="580"/>
    </row>
    <row r="474" spans="2:8" ht="15" customHeight="1">
      <c r="B474" s="701"/>
      <c r="C474" s="702"/>
      <c r="D474" s="705"/>
      <c r="E474" s="277"/>
      <c r="F474" s="576"/>
      <c r="G474" s="580"/>
    </row>
    <row r="475" spans="2:8" ht="15" customHeight="1">
      <c r="B475" s="701"/>
      <c r="C475" s="702"/>
      <c r="D475" s="706"/>
      <c r="E475" s="277"/>
      <c r="F475" s="576"/>
      <c r="G475" s="580"/>
    </row>
    <row r="476" spans="2:8" ht="15" customHeight="1">
      <c r="B476" s="701"/>
      <c r="C476" s="702"/>
      <c r="D476" s="705"/>
      <c r="E476" s="277"/>
      <c r="F476" s="576"/>
      <c r="G476" s="580"/>
    </row>
    <row r="477" spans="2:8" s="202" customFormat="1" ht="15.75" customHeight="1">
      <c r="B477" s="701"/>
      <c r="C477" s="702"/>
      <c r="D477" s="706"/>
      <c r="E477" s="277"/>
      <c r="F477" s="576"/>
      <c r="G477" s="580"/>
      <c r="H477" s="565">
        <f>+E476+E482</f>
        <v>0</v>
      </c>
    </row>
    <row r="478" spans="2:8" s="202" customFormat="1" ht="15.75" customHeight="1">
      <c r="B478" s="701"/>
      <c r="C478" s="702"/>
      <c r="D478" s="705"/>
      <c r="E478" s="277"/>
      <c r="F478" s="576"/>
      <c r="G478" s="580"/>
    </row>
    <row r="479" spans="2:8" s="202" customFormat="1" ht="15.75" customHeight="1">
      <c r="B479" s="701"/>
      <c r="C479" s="702"/>
      <c r="D479" s="706"/>
      <c r="E479" s="277"/>
      <c r="F479" s="576"/>
      <c r="G479" s="580"/>
    </row>
    <row r="480" spans="2:8" s="202" customFormat="1" ht="15.75" customHeight="1">
      <c r="B480" s="701"/>
      <c r="C480" s="702"/>
      <c r="D480" s="705"/>
      <c r="E480" s="277"/>
      <c r="F480" s="576"/>
      <c r="G480" s="580"/>
    </row>
    <row r="481" spans="2:8" s="202" customFormat="1" ht="15.75" customHeight="1">
      <c r="B481" s="701"/>
      <c r="C481" s="702"/>
      <c r="D481" s="706"/>
      <c r="E481" s="277"/>
      <c r="F481" s="576"/>
      <c r="G481" s="580"/>
      <c r="H481" s="291">
        <v>28889</v>
      </c>
    </row>
    <row r="482" spans="2:8" s="202" customFormat="1" ht="15.75" customHeight="1">
      <c r="B482" s="701"/>
      <c r="C482" s="702"/>
      <c r="D482" s="705"/>
      <c r="E482" s="277"/>
      <c r="F482" s="576"/>
      <c r="G482" s="580"/>
      <c r="H482" s="291">
        <v>127664</v>
      </c>
    </row>
    <row r="483" spans="2:8" s="202" customFormat="1" ht="15.75" customHeight="1">
      <c r="B483" s="701"/>
      <c r="C483" s="702"/>
      <c r="D483" s="706"/>
      <c r="E483" s="277"/>
      <c r="F483" s="576"/>
      <c r="G483" s="580"/>
    </row>
    <row r="484" spans="2:8" s="202" customFormat="1" ht="15.75" customHeight="1">
      <c r="B484" s="701"/>
      <c r="C484" s="702"/>
      <c r="D484" s="705"/>
      <c r="E484" s="277"/>
      <c r="F484" s="576"/>
      <c r="G484" s="580"/>
    </row>
    <row r="485" spans="2:8" s="202" customFormat="1" ht="15.75" customHeight="1">
      <c r="B485" s="701"/>
      <c r="C485" s="702"/>
      <c r="D485" s="706"/>
      <c r="E485" s="277"/>
      <c r="F485" s="576"/>
      <c r="G485" s="580"/>
    </row>
    <row r="486" spans="2:8" s="202" customFormat="1" ht="15.75" customHeight="1">
      <c r="B486" s="701"/>
      <c r="C486" s="702"/>
      <c r="D486" s="705"/>
      <c r="E486" s="277"/>
      <c r="F486" s="576"/>
      <c r="G486" s="580"/>
    </row>
    <row r="487" spans="2:8" s="202" customFormat="1" ht="15.75" customHeight="1">
      <c r="B487" s="701"/>
      <c r="C487" s="702"/>
      <c r="D487" s="706"/>
      <c r="E487" s="277"/>
      <c r="F487" s="576"/>
      <c r="G487" s="580"/>
    </row>
    <row r="488" spans="2:8" s="202" customFormat="1" ht="15.75" customHeight="1">
      <c r="B488" s="701"/>
      <c r="C488" s="702"/>
      <c r="D488" s="705"/>
      <c r="E488" s="277"/>
      <c r="F488" s="576"/>
      <c r="G488" s="580"/>
      <c r="H488" s="565">
        <f>127664-194170</f>
        <v>-66506</v>
      </c>
    </row>
    <row r="489" spans="2:8" ht="15" customHeight="1">
      <c r="B489" s="701"/>
      <c r="C489" s="702"/>
      <c r="D489" s="706"/>
      <c r="E489" s="277"/>
      <c r="F489" s="576"/>
      <c r="G489" s="580"/>
    </row>
    <row r="490" spans="2:8" ht="15" customHeight="1">
      <c r="B490" s="701"/>
      <c r="C490" s="702"/>
      <c r="D490" s="705"/>
      <c r="E490" s="277"/>
      <c r="F490" s="576"/>
      <c r="G490" s="580"/>
    </row>
    <row r="491" spans="2:8" ht="15" customHeight="1">
      <c r="B491" s="701"/>
      <c r="C491" s="702"/>
      <c r="D491" s="706"/>
      <c r="E491" s="277"/>
      <c r="F491" s="576"/>
      <c r="G491" s="580"/>
    </row>
    <row r="492" spans="2:8" ht="15" customHeight="1">
      <c r="B492" s="701"/>
      <c r="C492" s="702"/>
      <c r="D492" s="705"/>
      <c r="E492" s="277"/>
      <c r="F492" s="576"/>
      <c r="G492" s="580"/>
    </row>
    <row r="493" spans="2:8" ht="15" customHeight="1">
      <c r="B493" s="701"/>
      <c r="C493" s="702"/>
      <c r="D493" s="706"/>
      <c r="E493" s="277"/>
      <c r="F493" s="576"/>
      <c r="G493" s="580"/>
    </row>
    <row r="494" spans="2:8" ht="15" customHeight="1">
      <c r="B494" s="701"/>
      <c r="C494" s="702"/>
      <c r="D494" s="705"/>
      <c r="E494" s="277"/>
      <c r="F494" s="576"/>
      <c r="G494" s="580"/>
    </row>
    <row r="495" spans="2:8" ht="15" customHeight="1">
      <c r="B495" s="701"/>
      <c r="C495" s="702"/>
      <c r="D495" s="706"/>
      <c r="E495" s="277"/>
      <c r="F495" s="576"/>
      <c r="G495" s="580"/>
    </row>
    <row r="496" spans="2:8" ht="15" customHeight="1">
      <c r="B496" s="701"/>
      <c r="C496" s="702"/>
      <c r="D496" s="705"/>
      <c r="E496" s="277"/>
      <c r="F496" s="576"/>
      <c r="G496" s="580"/>
    </row>
    <row r="497" spans="2:7" ht="15" customHeight="1">
      <c r="B497" s="701"/>
      <c r="C497" s="702"/>
      <c r="D497" s="706"/>
      <c r="E497" s="277"/>
      <c r="F497" s="576"/>
      <c r="G497" s="580"/>
    </row>
    <row r="498" spans="2:7" ht="15" customHeight="1">
      <c r="B498" s="701"/>
      <c r="C498" s="702"/>
      <c r="D498" s="705"/>
      <c r="E498" s="277"/>
      <c r="F498" s="576"/>
      <c r="G498" s="580"/>
    </row>
    <row r="499" spans="2:7" ht="15" customHeight="1">
      <c r="B499" s="701"/>
      <c r="C499" s="702"/>
      <c r="D499" s="706"/>
      <c r="E499" s="277"/>
      <c r="F499" s="576"/>
      <c r="G499" s="580"/>
    </row>
    <row r="500" spans="2:7" ht="15" customHeight="1">
      <c r="B500" s="701"/>
      <c r="C500" s="702"/>
      <c r="D500" s="705"/>
      <c r="E500" s="277"/>
      <c r="F500" s="576"/>
      <c r="G500" s="580"/>
    </row>
    <row r="501" spans="2:7" ht="15" customHeight="1">
      <c r="B501" s="701"/>
      <c r="C501" s="702"/>
      <c r="D501" s="706"/>
      <c r="E501" s="277"/>
      <c r="F501" s="576"/>
      <c r="G501" s="580"/>
    </row>
    <row r="502" spans="2:7" ht="15" customHeight="1">
      <c r="B502" s="701"/>
      <c r="C502" s="702"/>
      <c r="D502" s="705"/>
      <c r="E502" s="277"/>
      <c r="F502" s="576"/>
      <c r="G502" s="580"/>
    </row>
    <row r="503" spans="2:7" ht="15" customHeight="1">
      <c r="B503" s="701"/>
      <c r="C503" s="702"/>
      <c r="D503" s="706"/>
      <c r="E503" s="277"/>
      <c r="F503" s="576"/>
      <c r="G503" s="580"/>
    </row>
    <row r="504" spans="2:7" ht="15" customHeight="1">
      <c r="B504" s="701"/>
      <c r="C504" s="702"/>
      <c r="D504" s="705"/>
      <c r="E504" s="277"/>
      <c r="F504" s="576"/>
      <c r="G504" s="580"/>
    </row>
    <row r="505" spans="2:7" ht="15" customHeight="1">
      <c r="B505" s="701"/>
      <c r="C505" s="702"/>
      <c r="D505" s="706"/>
      <c r="E505" s="277"/>
      <c r="F505" s="576"/>
      <c r="G505" s="580"/>
    </row>
    <row r="506" spans="2:7" ht="15" customHeight="1">
      <c r="B506" s="701"/>
      <c r="C506" s="702"/>
      <c r="D506" s="705"/>
      <c r="E506" s="277"/>
      <c r="F506" s="576"/>
      <c r="G506" s="580"/>
    </row>
    <row r="507" spans="2:7" ht="15" customHeight="1">
      <c r="B507" s="701"/>
      <c r="C507" s="702"/>
      <c r="D507" s="706"/>
      <c r="E507" s="277"/>
      <c r="F507" s="576"/>
      <c r="G507" s="580"/>
    </row>
    <row r="508" spans="2:7" ht="15" customHeight="1">
      <c r="B508" s="701"/>
      <c r="C508" s="702"/>
      <c r="D508" s="705"/>
      <c r="E508" s="277"/>
      <c r="F508" s="576"/>
      <c r="G508" s="580"/>
    </row>
    <row r="509" spans="2:7" ht="15" customHeight="1">
      <c r="B509" s="701"/>
      <c r="C509" s="702"/>
      <c r="D509" s="706"/>
      <c r="E509" s="277"/>
      <c r="F509" s="576"/>
      <c r="G509" s="580"/>
    </row>
    <row r="510" spans="2:7" ht="15" customHeight="1">
      <c r="B510" s="701"/>
      <c r="C510" s="702"/>
      <c r="D510" s="705"/>
      <c r="E510" s="277"/>
      <c r="F510" s="576"/>
      <c r="G510" s="580"/>
    </row>
    <row r="511" spans="2:7" ht="15" customHeight="1">
      <c r="B511" s="701"/>
      <c r="C511" s="702"/>
      <c r="D511" s="706"/>
      <c r="E511" s="277"/>
      <c r="F511" s="576"/>
      <c r="G511" s="580"/>
    </row>
    <row r="512" spans="2:7" ht="15" customHeight="1">
      <c r="B512" s="701"/>
      <c r="C512" s="702"/>
      <c r="D512" s="705"/>
      <c r="E512" s="277"/>
      <c r="F512" s="576"/>
      <c r="G512" s="580"/>
    </row>
    <row r="513" spans="2:8" ht="15" customHeight="1">
      <c r="B513" s="701"/>
      <c r="C513" s="702"/>
      <c r="D513" s="706"/>
      <c r="E513" s="277"/>
      <c r="F513" s="576"/>
      <c r="G513" s="580"/>
    </row>
    <row r="514" spans="2:8" ht="15" customHeight="1">
      <c r="B514" s="701"/>
      <c r="C514" s="702"/>
      <c r="D514" s="705"/>
      <c r="E514" s="277"/>
      <c r="F514" s="576"/>
      <c r="G514" s="580"/>
    </row>
    <row r="515" spans="2:8" ht="15" customHeight="1">
      <c r="B515" s="701"/>
      <c r="C515" s="702"/>
      <c r="D515" s="706"/>
      <c r="E515" s="277"/>
      <c r="F515" s="576"/>
      <c r="G515" s="580"/>
    </row>
    <row r="516" spans="2:8" ht="15" customHeight="1">
      <c r="B516" s="701"/>
      <c r="C516" s="702"/>
      <c r="D516" s="705"/>
      <c r="E516" s="277"/>
      <c r="F516" s="576"/>
      <c r="G516" s="580"/>
    </row>
    <row r="517" spans="2:8" ht="15" customHeight="1">
      <c r="B517" s="701"/>
      <c r="C517" s="702"/>
      <c r="D517" s="706"/>
      <c r="E517" s="277"/>
      <c r="F517" s="576"/>
      <c r="G517" s="580"/>
    </row>
    <row r="518" spans="2:8" ht="15" customHeight="1">
      <c r="B518" s="701"/>
      <c r="C518" s="702"/>
      <c r="D518" s="705"/>
      <c r="E518" s="277"/>
      <c r="F518" s="576"/>
      <c r="G518" s="580"/>
    </row>
    <row r="519" spans="2:8" ht="15" customHeight="1">
      <c r="B519" s="701"/>
      <c r="C519" s="702"/>
      <c r="D519" s="706"/>
      <c r="E519" s="277"/>
      <c r="F519" s="576"/>
      <c r="G519" s="580"/>
    </row>
    <row r="520" spans="2:8" ht="15" customHeight="1">
      <c r="B520" s="701"/>
      <c r="C520" s="702"/>
      <c r="D520" s="705"/>
      <c r="E520" s="277"/>
      <c r="F520" s="576"/>
      <c r="G520" s="580"/>
    </row>
    <row r="521" spans="2:8" ht="15" customHeight="1">
      <c r="B521" s="701"/>
      <c r="C521" s="702"/>
      <c r="D521" s="706"/>
      <c r="E521" s="277"/>
      <c r="F521" s="576"/>
      <c r="G521" s="580"/>
    </row>
    <row r="522" spans="2:8" ht="15" customHeight="1">
      <c r="B522" s="701"/>
      <c r="C522" s="702"/>
      <c r="D522" s="705"/>
      <c r="E522" s="277"/>
      <c r="F522" s="576"/>
      <c r="G522" s="580"/>
    </row>
    <row r="523" spans="2:8" s="202" customFormat="1" ht="15.75" customHeight="1">
      <c r="B523" s="701"/>
      <c r="C523" s="702"/>
      <c r="D523" s="706"/>
      <c r="E523" s="277"/>
      <c r="F523" s="576"/>
      <c r="G523" s="580"/>
      <c r="H523" s="202">
        <v>1072436</v>
      </c>
    </row>
    <row r="524" spans="2:8" ht="15" customHeight="1">
      <c r="B524" s="701"/>
      <c r="C524" s="702"/>
      <c r="D524" s="705"/>
      <c r="E524" s="277"/>
      <c r="F524" s="576"/>
      <c r="G524" s="580"/>
    </row>
    <row r="525" spans="2:8" ht="15" customHeight="1">
      <c r="B525" s="701"/>
      <c r="C525" s="702"/>
      <c r="D525" s="706"/>
      <c r="E525" s="277"/>
      <c r="F525" s="576"/>
      <c r="G525" s="580"/>
    </row>
    <row r="526" spans="2:8" ht="15" customHeight="1">
      <c r="B526" s="701"/>
      <c r="C526" s="702"/>
      <c r="D526" s="705"/>
      <c r="E526" s="277"/>
      <c r="F526" s="576"/>
      <c r="G526" s="580"/>
    </row>
    <row r="527" spans="2:8" ht="15" customHeight="1">
      <c r="B527" s="701"/>
      <c r="C527" s="702"/>
      <c r="D527" s="706"/>
      <c r="E527" s="277"/>
      <c r="F527" s="576"/>
      <c r="G527" s="580"/>
    </row>
    <row r="528" spans="2:8" ht="15" customHeight="1">
      <c r="B528" s="701"/>
      <c r="C528" s="702"/>
      <c r="D528" s="705"/>
      <c r="E528" s="277"/>
      <c r="F528" s="576"/>
      <c r="G528" s="580"/>
    </row>
    <row r="529" spans="2:7" ht="15" customHeight="1">
      <c r="B529" s="701"/>
      <c r="C529" s="702"/>
      <c r="D529" s="706"/>
      <c r="E529" s="277"/>
      <c r="F529" s="576"/>
      <c r="G529" s="580"/>
    </row>
    <row r="530" spans="2:7" ht="15" customHeight="1">
      <c r="B530" s="701"/>
      <c r="C530" s="702"/>
      <c r="D530" s="705"/>
      <c r="E530" s="277"/>
      <c r="F530" s="576"/>
      <c r="G530" s="580"/>
    </row>
    <row r="531" spans="2:7" ht="15" customHeight="1">
      <c r="B531" s="701"/>
      <c r="C531" s="702"/>
      <c r="D531" s="706"/>
      <c r="E531" s="277"/>
      <c r="F531" s="576"/>
      <c r="G531" s="580"/>
    </row>
    <row r="532" spans="2:7" ht="15" customHeight="1">
      <c r="B532" s="701"/>
      <c r="C532" s="702"/>
      <c r="D532" s="705"/>
      <c r="E532" s="277"/>
      <c r="F532" s="576"/>
      <c r="G532" s="580"/>
    </row>
    <row r="533" spans="2:7" ht="15" customHeight="1">
      <c r="B533" s="701"/>
      <c r="C533" s="702"/>
      <c r="D533" s="706"/>
      <c r="E533" s="277"/>
      <c r="F533" s="576"/>
      <c r="G533" s="580"/>
    </row>
    <row r="534" spans="2:7" ht="15" customHeight="1">
      <c r="B534" s="701"/>
      <c r="C534" s="702"/>
      <c r="D534" s="705"/>
      <c r="E534" s="277"/>
      <c r="F534" s="576"/>
      <c r="G534" s="580"/>
    </row>
    <row r="535" spans="2:7" ht="15" customHeight="1">
      <c r="B535" s="701"/>
      <c r="C535" s="702"/>
      <c r="D535" s="706"/>
      <c r="E535" s="277"/>
      <c r="F535" s="576"/>
      <c r="G535" s="580"/>
    </row>
    <row r="536" spans="2:7" ht="15" customHeight="1">
      <c r="B536" s="701"/>
      <c r="C536" s="702"/>
      <c r="D536" s="705"/>
      <c r="E536" s="277"/>
      <c r="F536" s="576"/>
      <c r="G536" s="580"/>
    </row>
    <row r="537" spans="2:7" ht="15" customHeight="1">
      <c r="B537" s="701"/>
      <c r="C537" s="702"/>
      <c r="D537" s="706"/>
      <c r="E537" s="277"/>
      <c r="F537" s="576"/>
      <c r="G537" s="580"/>
    </row>
    <row r="538" spans="2:7" ht="15" customHeight="1">
      <c r="B538" s="701"/>
      <c r="C538" s="702"/>
      <c r="D538" s="705"/>
      <c r="E538" s="277"/>
      <c r="F538" s="576"/>
      <c r="G538" s="580"/>
    </row>
    <row r="539" spans="2:7" ht="15" customHeight="1">
      <c r="B539" s="701"/>
      <c r="C539" s="702"/>
      <c r="D539" s="706"/>
      <c r="E539" s="277"/>
      <c r="F539" s="576"/>
      <c r="G539" s="580"/>
    </row>
    <row r="540" spans="2:7" ht="15" customHeight="1">
      <c r="B540" s="701"/>
      <c r="C540" s="702"/>
      <c r="D540" s="705"/>
      <c r="E540" s="277"/>
      <c r="F540" s="576"/>
      <c r="G540" s="580"/>
    </row>
    <row r="541" spans="2:7" ht="15" customHeight="1">
      <c r="B541" s="701"/>
      <c r="C541" s="702"/>
      <c r="D541" s="706"/>
      <c r="E541" s="277"/>
      <c r="F541" s="576"/>
      <c r="G541" s="580"/>
    </row>
    <row r="542" spans="2:7" ht="15" customHeight="1">
      <c r="B542" s="701"/>
      <c r="C542" s="702"/>
      <c r="D542" s="705"/>
      <c r="E542" s="277"/>
      <c r="F542" s="576"/>
      <c r="G542" s="580"/>
    </row>
    <row r="543" spans="2:7" ht="15" customHeight="1">
      <c r="B543" s="701"/>
      <c r="C543" s="702"/>
      <c r="D543" s="706"/>
      <c r="E543" s="277"/>
      <c r="F543" s="576"/>
      <c r="G543" s="580"/>
    </row>
    <row r="544" spans="2:7" ht="15" customHeight="1">
      <c r="B544" s="701"/>
      <c r="C544" s="702"/>
      <c r="D544" s="705"/>
      <c r="E544" s="277"/>
      <c r="F544" s="576"/>
      <c r="G544" s="580"/>
    </row>
    <row r="545" spans="2:7" ht="15" customHeight="1">
      <c r="B545" s="701"/>
      <c r="C545" s="702"/>
      <c r="D545" s="706"/>
      <c r="E545" s="277"/>
      <c r="F545" s="576"/>
      <c r="G545" s="580"/>
    </row>
    <row r="546" spans="2:7" ht="15" customHeight="1">
      <c r="B546" s="701"/>
      <c r="C546" s="702"/>
      <c r="D546" s="705"/>
      <c r="E546" s="277"/>
      <c r="F546" s="576"/>
      <c r="G546" s="580"/>
    </row>
    <row r="547" spans="2:7" ht="15" customHeight="1">
      <c r="B547" s="701"/>
      <c r="C547" s="702"/>
      <c r="D547" s="706"/>
      <c r="E547" s="277"/>
      <c r="F547" s="576"/>
      <c r="G547" s="580"/>
    </row>
    <row r="548" spans="2:7" ht="15" customHeight="1">
      <c r="B548" s="701"/>
      <c r="C548" s="702"/>
      <c r="D548" s="705"/>
      <c r="E548" s="277"/>
      <c r="F548" s="576"/>
      <c r="G548" s="580"/>
    </row>
    <row r="549" spans="2:7" ht="15" customHeight="1">
      <c r="B549" s="701"/>
      <c r="C549" s="702"/>
      <c r="D549" s="706"/>
      <c r="E549" s="277"/>
      <c r="F549" s="576"/>
      <c r="G549" s="580"/>
    </row>
    <row r="550" spans="2:7" ht="15" customHeight="1">
      <c r="B550" s="701"/>
      <c r="C550" s="702"/>
      <c r="D550" s="705"/>
      <c r="E550" s="277"/>
      <c r="F550" s="576"/>
      <c r="G550" s="580"/>
    </row>
    <row r="551" spans="2:7" ht="15" customHeight="1">
      <c r="B551" s="701"/>
      <c r="C551" s="702"/>
      <c r="D551" s="706"/>
      <c r="E551" s="277"/>
      <c r="F551" s="576"/>
      <c r="G551" s="580"/>
    </row>
    <row r="552" spans="2:7" ht="15" customHeight="1">
      <c r="B552" s="701"/>
      <c r="C552" s="702"/>
      <c r="D552" s="705"/>
      <c r="E552" s="277"/>
      <c r="F552" s="576"/>
      <c r="G552" s="580"/>
    </row>
    <row r="553" spans="2:7" ht="15" customHeight="1">
      <c r="B553" s="701"/>
      <c r="C553" s="702"/>
      <c r="D553" s="706"/>
      <c r="E553" s="277"/>
      <c r="F553" s="576"/>
      <c r="G553" s="580"/>
    </row>
    <row r="554" spans="2:7" ht="15" customHeight="1">
      <c r="B554" s="701"/>
      <c r="C554" s="702"/>
      <c r="D554" s="705"/>
      <c r="E554" s="277"/>
      <c r="F554" s="576"/>
      <c r="G554" s="580"/>
    </row>
    <row r="555" spans="2:7" ht="15" customHeight="1">
      <c r="B555" s="701"/>
      <c r="C555" s="702"/>
      <c r="D555" s="706"/>
      <c r="E555" s="277"/>
      <c r="F555" s="576"/>
      <c r="G555" s="580"/>
    </row>
    <row r="556" spans="2:7" ht="15" customHeight="1">
      <c r="B556" s="701"/>
      <c r="C556" s="702"/>
      <c r="D556" s="705"/>
      <c r="E556" s="277"/>
      <c r="F556" s="576"/>
      <c r="G556" s="580"/>
    </row>
    <row r="557" spans="2:7" ht="15" customHeight="1">
      <c r="B557" s="701"/>
      <c r="C557" s="702"/>
      <c r="D557" s="706"/>
      <c r="E557" s="277"/>
      <c r="F557" s="576"/>
      <c r="G557" s="580"/>
    </row>
    <row r="558" spans="2:7" ht="15" customHeight="1">
      <c r="B558" s="701"/>
      <c r="C558" s="702"/>
      <c r="D558" s="705"/>
      <c r="E558" s="277"/>
      <c r="F558" s="576"/>
      <c r="G558" s="580"/>
    </row>
    <row r="559" spans="2:7" ht="15" customHeight="1">
      <c r="B559" s="701"/>
      <c r="C559" s="702"/>
      <c r="D559" s="706"/>
      <c r="E559" s="277"/>
      <c r="F559" s="576"/>
      <c r="G559" s="580"/>
    </row>
    <row r="560" spans="2:7" ht="15" customHeight="1">
      <c r="B560" s="701"/>
      <c r="C560" s="702"/>
      <c r="D560" s="705"/>
      <c r="E560" s="277"/>
      <c r="F560" s="576"/>
      <c r="G560" s="580"/>
    </row>
    <row r="561" spans="2:7" ht="15" customHeight="1">
      <c r="B561" s="701"/>
      <c r="C561" s="702"/>
      <c r="D561" s="706"/>
      <c r="E561" s="277"/>
      <c r="F561" s="576"/>
      <c r="G561" s="580"/>
    </row>
    <row r="562" spans="2:7" ht="15" customHeight="1">
      <c r="B562" s="701"/>
      <c r="C562" s="702"/>
      <c r="D562" s="705"/>
      <c r="E562" s="277"/>
      <c r="F562" s="576"/>
      <c r="G562" s="580"/>
    </row>
    <row r="563" spans="2:7" ht="15" customHeight="1">
      <c r="B563" s="701"/>
      <c r="C563" s="702"/>
      <c r="D563" s="706"/>
      <c r="E563" s="277"/>
      <c r="F563" s="576"/>
      <c r="G563" s="580"/>
    </row>
    <row r="564" spans="2:7" ht="15" customHeight="1">
      <c r="B564" s="701"/>
      <c r="C564" s="702"/>
      <c r="D564" s="705"/>
      <c r="E564" s="277"/>
      <c r="F564" s="576"/>
      <c r="G564" s="580"/>
    </row>
    <row r="565" spans="2:7" ht="15" customHeight="1">
      <c r="B565" s="701"/>
      <c r="C565" s="702"/>
      <c r="D565" s="706"/>
      <c r="E565" s="277"/>
      <c r="F565" s="576"/>
      <c r="G565" s="580"/>
    </row>
    <row r="566" spans="2:7" ht="15" customHeight="1">
      <c r="B566" s="701"/>
      <c r="C566" s="702"/>
      <c r="D566" s="705"/>
      <c r="E566" s="277"/>
      <c r="F566" s="576"/>
      <c r="G566" s="580"/>
    </row>
    <row r="567" spans="2:7" ht="15" customHeight="1">
      <c r="B567" s="701"/>
      <c r="C567" s="702"/>
      <c r="D567" s="706"/>
      <c r="E567" s="277"/>
      <c r="F567" s="576"/>
      <c r="G567" s="580"/>
    </row>
    <row r="568" spans="2:7" ht="15" customHeight="1">
      <c r="B568" s="701"/>
      <c r="C568" s="702"/>
      <c r="D568" s="705"/>
      <c r="E568" s="277"/>
      <c r="F568" s="576"/>
      <c r="G568" s="580"/>
    </row>
    <row r="569" spans="2:7" ht="15" customHeight="1">
      <c r="B569" s="701"/>
      <c r="C569" s="702"/>
      <c r="D569" s="706"/>
      <c r="E569" s="277"/>
      <c r="F569" s="576"/>
      <c r="G569" s="580"/>
    </row>
    <row r="570" spans="2:7" ht="15" customHeight="1">
      <c r="B570" s="701"/>
      <c r="C570" s="702"/>
      <c r="D570" s="705"/>
      <c r="E570" s="277"/>
      <c r="F570" s="576"/>
      <c r="G570" s="580"/>
    </row>
    <row r="571" spans="2:7" ht="15" customHeight="1">
      <c r="B571" s="701"/>
      <c r="C571" s="702"/>
      <c r="D571" s="706"/>
      <c r="E571" s="277"/>
      <c r="F571" s="576"/>
      <c r="G571" s="580"/>
    </row>
    <row r="572" spans="2:7" ht="15" customHeight="1">
      <c r="B572" s="701"/>
      <c r="C572" s="702"/>
      <c r="D572" s="705"/>
      <c r="E572" s="277"/>
      <c r="F572" s="576"/>
      <c r="G572" s="580"/>
    </row>
    <row r="573" spans="2:7" ht="15" customHeight="1">
      <c r="B573" s="701"/>
      <c r="C573" s="702"/>
      <c r="D573" s="706"/>
      <c r="E573" s="277"/>
      <c r="F573" s="576"/>
      <c r="G573" s="580"/>
    </row>
    <row r="574" spans="2:7" ht="15" customHeight="1">
      <c r="B574" s="701"/>
      <c r="C574" s="702"/>
      <c r="D574" s="705"/>
      <c r="E574" s="277"/>
      <c r="F574" s="576"/>
      <c r="G574" s="580"/>
    </row>
    <row r="575" spans="2:7" ht="15" customHeight="1">
      <c r="B575" s="701"/>
      <c r="C575" s="702"/>
      <c r="D575" s="706"/>
      <c r="E575" s="277"/>
      <c r="F575" s="576"/>
      <c r="G575" s="580"/>
    </row>
    <row r="576" spans="2:7" ht="15" customHeight="1">
      <c r="B576" s="701"/>
      <c r="C576" s="702"/>
      <c r="D576" s="705"/>
      <c r="E576" s="277"/>
      <c r="F576" s="576"/>
      <c r="G576" s="580"/>
    </row>
    <row r="577" spans="2:7" ht="15" customHeight="1">
      <c r="B577" s="701"/>
      <c r="C577" s="702"/>
      <c r="D577" s="706"/>
      <c r="E577" s="277"/>
      <c r="F577" s="576"/>
      <c r="G577" s="580"/>
    </row>
    <row r="578" spans="2:7" ht="15" customHeight="1">
      <c r="B578" s="701"/>
      <c r="C578" s="702"/>
      <c r="D578" s="705"/>
      <c r="E578" s="277"/>
      <c r="F578" s="576"/>
      <c r="G578" s="580"/>
    </row>
    <row r="579" spans="2:7" ht="15" customHeight="1">
      <c r="B579" s="701"/>
      <c r="C579" s="702"/>
      <c r="D579" s="706"/>
      <c r="E579" s="277"/>
      <c r="F579" s="576"/>
      <c r="G579" s="580"/>
    </row>
    <row r="580" spans="2:7" ht="15" customHeight="1">
      <c r="B580" s="701"/>
      <c r="C580" s="702"/>
      <c r="D580" s="705"/>
      <c r="E580" s="277"/>
      <c r="F580" s="576"/>
      <c r="G580" s="580"/>
    </row>
    <row r="581" spans="2:7" ht="15" customHeight="1">
      <c r="B581" s="701"/>
      <c r="C581" s="702"/>
      <c r="D581" s="706"/>
      <c r="E581" s="277"/>
      <c r="F581" s="576"/>
      <c r="G581" s="580"/>
    </row>
    <row r="582" spans="2:7" ht="15" customHeight="1">
      <c r="B582" s="701"/>
      <c r="C582" s="702"/>
      <c r="D582" s="705"/>
      <c r="E582" s="277"/>
      <c r="F582" s="576"/>
      <c r="G582" s="580"/>
    </row>
    <row r="583" spans="2:7" ht="15" customHeight="1">
      <c r="B583" s="701"/>
      <c r="C583" s="702"/>
      <c r="D583" s="706"/>
      <c r="E583" s="277"/>
      <c r="F583" s="576"/>
      <c r="G583" s="580"/>
    </row>
    <row r="584" spans="2:7" ht="15" customHeight="1">
      <c r="B584" s="701"/>
      <c r="C584" s="702"/>
      <c r="D584" s="705"/>
      <c r="E584" s="277"/>
      <c r="F584" s="576"/>
      <c r="G584" s="580"/>
    </row>
    <row r="585" spans="2:7" ht="15" customHeight="1">
      <c r="B585" s="701"/>
      <c r="C585" s="702"/>
      <c r="D585" s="706"/>
      <c r="E585" s="277"/>
      <c r="F585" s="576"/>
      <c r="G585" s="580"/>
    </row>
    <row r="586" spans="2:7" ht="15" customHeight="1">
      <c r="B586" s="701"/>
      <c r="C586" s="702"/>
      <c r="D586" s="705"/>
      <c r="E586" s="277"/>
      <c r="F586" s="576"/>
      <c r="G586" s="580"/>
    </row>
    <row r="587" spans="2:7" ht="15" customHeight="1">
      <c r="B587" s="701"/>
      <c r="C587" s="702"/>
      <c r="D587" s="706"/>
      <c r="E587" s="277"/>
      <c r="F587" s="576"/>
      <c r="G587" s="580"/>
    </row>
    <row r="588" spans="2:7" ht="15" customHeight="1">
      <c r="B588" s="701"/>
      <c r="C588" s="702"/>
      <c r="D588" s="705"/>
      <c r="E588" s="277"/>
      <c r="F588" s="576"/>
      <c r="G588" s="580"/>
    </row>
    <row r="589" spans="2:7" ht="15" customHeight="1">
      <c r="B589" s="701"/>
      <c r="C589" s="702"/>
      <c r="D589" s="706"/>
      <c r="E589" s="277"/>
      <c r="F589" s="576"/>
      <c r="G589" s="580"/>
    </row>
    <row r="590" spans="2:7" ht="15" customHeight="1">
      <c r="B590" s="701"/>
      <c r="C590" s="702"/>
      <c r="D590" s="705"/>
      <c r="E590" s="277"/>
      <c r="F590" s="576"/>
      <c r="G590" s="580"/>
    </row>
    <row r="591" spans="2:7" ht="15" customHeight="1">
      <c r="B591" s="701"/>
      <c r="C591" s="702"/>
      <c r="D591" s="706"/>
      <c r="E591" s="277"/>
      <c r="F591" s="576"/>
      <c r="G591" s="580"/>
    </row>
    <row r="592" spans="2:7" ht="15" customHeight="1">
      <c r="B592" s="701"/>
      <c r="C592" s="702"/>
      <c r="D592" s="705"/>
      <c r="E592" s="277"/>
      <c r="F592" s="576"/>
      <c r="G592" s="580"/>
    </row>
    <row r="593" spans="2:7" ht="15" customHeight="1">
      <c r="B593" s="701"/>
      <c r="C593" s="702"/>
      <c r="D593" s="706"/>
      <c r="E593" s="277"/>
      <c r="F593" s="576"/>
      <c r="G593" s="580"/>
    </row>
    <row r="594" spans="2:7" ht="15" customHeight="1">
      <c r="B594" s="701"/>
      <c r="C594" s="702"/>
      <c r="D594" s="705"/>
      <c r="E594" s="277"/>
      <c r="F594" s="576"/>
      <c r="G594" s="580"/>
    </row>
    <row r="595" spans="2:7" ht="15" customHeight="1">
      <c r="B595" s="701"/>
      <c r="C595" s="702"/>
      <c r="D595" s="706"/>
      <c r="E595" s="277"/>
      <c r="F595" s="576"/>
      <c r="G595" s="580"/>
    </row>
    <row r="596" spans="2:7" ht="15" customHeight="1">
      <c r="B596" s="701"/>
      <c r="C596" s="702"/>
      <c r="D596" s="705"/>
      <c r="E596" s="277"/>
      <c r="F596" s="576"/>
      <c r="G596" s="580"/>
    </row>
    <row r="597" spans="2:7" ht="15" customHeight="1">
      <c r="B597" s="701"/>
      <c r="C597" s="702"/>
      <c r="D597" s="706"/>
      <c r="E597" s="277"/>
      <c r="F597" s="576"/>
      <c r="G597" s="580"/>
    </row>
    <row r="598" spans="2:7" ht="15" customHeight="1">
      <c r="B598" s="701"/>
      <c r="C598" s="702"/>
      <c r="D598" s="705"/>
      <c r="E598" s="277"/>
      <c r="F598" s="576"/>
      <c r="G598" s="580"/>
    </row>
    <row r="599" spans="2:7" ht="15" customHeight="1">
      <c r="B599" s="701"/>
      <c r="C599" s="702"/>
      <c r="D599" s="706"/>
      <c r="E599" s="277"/>
      <c r="F599" s="576"/>
      <c r="G599" s="580"/>
    </row>
    <row r="600" spans="2:7" ht="15" customHeight="1">
      <c r="B600" s="701"/>
      <c r="C600" s="702"/>
      <c r="D600" s="705"/>
      <c r="E600" s="277"/>
      <c r="F600" s="576"/>
      <c r="G600" s="580"/>
    </row>
    <row r="601" spans="2:7" ht="15" customHeight="1">
      <c r="B601" s="701"/>
      <c r="C601" s="702"/>
      <c r="D601" s="706"/>
      <c r="E601" s="277"/>
      <c r="F601" s="576"/>
      <c r="G601" s="580"/>
    </row>
    <row r="602" spans="2:7" ht="15" customHeight="1">
      <c r="B602" s="701"/>
      <c r="C602" s="702"/>
      <c r="D602" s="705"/>
      <c r="E602" s="277"/>
      <c r="F602" s="576"/>
      <c r="G602" s="580"/>
    </row>
    <row r="603" spans="2:7" ht="15" customHeight="1">
      <c r="B603" s="701"/>
      <c r="C603" s="702"/>
      <c r="D603" s="706"/>
      <c r="E603" s="277"/>
      <c r="F603" s="576"/>
      <c r="G603" s="580"/>
    </row>
    <row r="604" spans="2:7" ht="15" customHeight="1">
      <c r="B604" s="701"/>
      <c r="C604" s="702"/>
      <c r="D604" s="705"/>
      <c r="E604" s="277"/>
      <c r="F604" s="576"/>
      <c r="G604" s="580"/>
    </row>
    <row r="605" spans="2:7" ht="15" customHeight="1">
      <c r="B605" s="701"/>
      <c r="C605" s="702"/>
      <c r="D605" s="706"/>
      <c r="E605" s="277"/>
      <c r="F605" s="576"/>
      <c r="G605" s="580"/>
    </row>
    <row r="606" spans="2:7" ht="15" customHeight="1">
      <c r="B606" s="701"/>
      <c r="C606" s="702"/>
      <c r="D606" s="705"/>
      <c r="E606" s="277"/>
      <c r="F606" s="576"/>
      <c r="G606" s="580"/>
    </row>
    <row r="607" spans="2:7" ht="15" customHeight="1">
      <c r="B607" s="701"/>
      <c r="C607" s="702"/>
      <c r="D607" s="706"/>
      <c r="E607" s="277"/>
      <c r="F607" s="576"/>
      <c r="G607" s="580"/>
    </row>
    <row r="608" spans="2:7" ht="15" customHeight="1">
      <c r="B608" s="701"/>
      <c r="C608" s="702"/>
      <c r="D608" s="705"/>
      <c r="E608" s="277"/>
      <c r="F608" s="576"/>
      <c r="G608" s="580"/>
    </row>
    <row r="609" spans="2:7" ht="15" customHeight="1">
      <c r="B609" s="701"/>
      <c r="C609" s="702"/>
      <c r="D609" s="706"/>
      <c r="E609" s="277"/>
      <c r="F609" s="576"/>
      <c r="G609" s="580"/>
    </row>
    <row r="610" spans="2:7" ht="15" customHeight="1">
      <c r="B610" s="701"/>
      <c r="C610" s="702"/>
      <c r="D610" s="705"/>
      <c r="E610" s="277"/>
      <c r="F610" s="576"/>
      <c r="G610" s="580"/>
    </row>
    <row r="611" spans="2:7" ht="15" customHeight="1">
      <c r="B611" s="701"/>
      <c r="C611" s="702"/>
      <c r="D611" s="706"/>
      <c r="E611" s="277"/>
      <c r="F611" s="576"/>
      <c r="G611" s="580"/>
    </row>
    <row r="612" spans="2:7" ht="15" customHeight="1">
      <c r="B612" s="701"/>
      <c r="C612" s="702"/>
      <c r="D612" s="705"/>
      <c r="E612" s="277"/>
      <c r="F612" s="576"/>
      <c r="G612" s="580"/>
    </row>
    <row r="613" spans="2:7" ht="15" customHeight="1">
      <c r="B613" s="701"/>
      <c r="C613" s="702"/>
      <c r="D613" s="706"/>
      <c r="E613" s="277"/>
      <c r="F613" s="576"/>
      <c r="G613" s="580"/>
    </row>
    <row r="614" spans="2:7" ht="15" customHeight="1">
      <c r="B614" s="701"/>
      <c r="C614" s="702"/>
      <c r="D614" s="705"/>
      <c r="E614" s="277"/>
      <c r="F614" s="576"/>
      <c r="G614" s="580"/>
    </row>
    <row r="615" spans="2:7" ht="15" customHeight="1">
      <c r="B615" s="701"/>
      <c r="C615" s="702"/>
      <c r="D615" s="706"/>
      <c r="E615" s="277"/>
      <c r="F615" s="576"/>
      <c r="G615" s="580"/>
    </row>
    <row r="616" spans="2:7" ht="15" customHeight="1">
      <c r="B616" s="701"/>
      <c r="C616" s="702"/>
      <c r="D616" s="705"/>
      <c r="E616" s="277"/>
      <c r="F616" s="576"/>
      <c r="G616" s="580"/>
    </row>
    <row r="617" spans="2:7" ht="15" customHeight="1">
      <c r="B617" s="701"/>
      <c r="C617" s="702"/>
      <c r="D617" s="706"/>
      <c r="E617" s="277"/>
      <c r="F617" s="576"/>
      <c r="G617" s="580"/>
    </row>
    <row r="618" spans="2:7" ht="15" customHeight="1">
      <c r="B618" s="701"/>
      <c r="C618" s="702"/>
      <c r="D618" s="705"/>
      <c r="E618" s="277"/>
      <c r="F618" s="576"/>
      <c r="G618" s="580"/>
    </row>
    <row r="619" spans="2:7" ht="15" customHeight="1">
      <c r="B619" s="701"/>
      <c r="C619" s="702"/>
      <c r="D619" s="706"/>
      <c r="E619" s="277"/>
      <c r="F619" s="576"/>
      <c r="G619" s="580"/>
    </row>
    <row r="620" spans="2:7" ht="15" customHeight="1">
      <c r="B620" s="701"/>
      <c r="C620" s="702"/>
      <c r="D620" s="705"/>
      <c r="E620" s="277"/>
      <c r="F620" s="576"/>
      <c r="G620" s="580"/>
    </row>
    <row r="621" spans="2:7" ht="15" customHeight="1">
      <c r="B621" s="701"/>
      <c r="C621" s="702"/>
      <c r="D621" s="706"/>
      <c r="E621" s="277"/>
      <c r="F621" s="576"/>
      <c r="G621" s="580"/>
    </row>
    <row r="622" spans="2:7" ht="15" customHeight="1">
      <c r="B622" s="701"/>
      <c r="C622" s="702"/>
      <c r="D622" s="705"/>
      <c r="E622" s="277"/>
      <c r="F622" s="576"/>
      <c r="G622" s="580"/>
    </row>
    <row r="623" spans="2:7" ht="15" customHeight="1">
      <c r="B623" s="701"/>
      <c r="C623" s="702"/>
      <c r="D623" s="706"/>
      <c r="E623" s="277"/>
      <c r="F623" s="576"/>
      <c r="G623" s="580"/>
    </row>
    <row r="624" spans="2:7" ht="15" customHeight="1">
      <c r="B624" s="701"/>
      <c r="C624" s="702"/>
      <c r="D624" s="705"/>
      <c r="E624" s="277"/>
      <c r="F624" s="576"/>
      <c r="G624" s="580"/>
    </row>
    <row r="625" spans="2:7" ht="15" customHeight="1">
      <c r="B625" s="701"/>
      <c r="C625" s="702"/>
      <c r="D625" s="706"/>
      <c r="E625" s="277"/>
      <c r="F625" s="576"/>
      <c r="G625" s="580"/>
    </row>
    <row r="626" spans="2:7" ht="15" customHeight="1">
      <c r="B626" s="701"/>
      <c r="C626" s="702"/>
      <c r="D626" s="705"/>
      <c r="E626" s="277"/>
      <c r="F626" s="576"/>
      <c r="G626" s="580"/>
    </row>
    <row r="627" spans="2:7" ht="15" customHeight="1">
      <c r="B627" s="701"/>
      <c r="C627" s="702"/>
      <c r="D627" s="706"/>
      <c r="E627" s="277"/>
      <c r="F627" s="576"/>
      <c r="G627" s="580"/>
    </row>
    <row r="628" spans="2:7" ht="15" customHeight="1">
      <c r="B628" s="701"/>
      <c r="C628" s="702"/>
      <c r="D628" s="705"/>
      <c r="E628" s="277"/>
      <c r="F628" s="576"/>
      <c r="G628" s="580"/>
    </row>
    <row r="629" spans="2:7" ht="15" customHeight="1">
      <c r="B629" s="701"/>
      <c r="C629" s="702"/>
      <c r="D629" s="706"/>
      <c r="E629" s="277"/>
      <c r="F629" s="576"/>
      <c r="G629" s="580"/>
    </row>
    <row r="630" spans="2:7" ht="15" customHeight="1">
      <c r="B630" s="701"/>
      <c r="C630" s="702"/>
      <c r="D630" s="705"/>
      <c r="E630" s="277"/>
      <c r="F630" s="576"/>
      <c r="G630" s="580"/>
    </row>
    <row r="631" spans="2:7" ht="15" customHeight="1">
      <c r="B631" s="701"/>
      <c r="C631" s="702"/>
      <c r="D631" s="706"/>
      <c r="E631" s="277"/>
      <c r="F631" s="576"/>
      <c r="G631" s="580"/>
    </row>
    <row r="632" spans="2:7" ht="15" customHeight="1">
      <c r="B632" s="701"/>
      <c r="C632" s="702"/>
      <c r="D632" s="705"/>
      <c r="E632" s="277"/>
      <c r="F632" s="576"/>
      <c r="G632" s="580"/>
    </row>
    <row r="633" spans="2:7" ht="15" customHeight="1">
      <c r="B633" s="701"/>
      <c r="C633" s="702"/>
      <c r="D633" s="706"/>
      <c r="E633" s="277"/>
      <c r="F633" s="576"/>
      <c r="G633" s="580"/>
    </row>
    <row r="634" spans="2:7" ht="15" customHeight="1">
      <c r="B634" s="701"/>
      <c r="C634" s="702"/>
      <c r="D634" s="705"/>
      <c r="E634" s="277"/>
      <c r="F634" s="576"/>
      <c r="G634" s="580"/>
    </row>
    <row r="635" spans="2:7" ht="15" customHeight="1">
      <c r="B635" s="701"/>
      <c r="C635" s="702"/>
      <c r="D635" s="706"/>
      <c r="E635" s="277"/>
      <c r="F635" s="576"/>
      <c r="G635" s="580"/>
    </row>
    <row r="636" spans="2:7" ht="15" customHeight="1">
      <c r="B636" s="701"/>
      <c r="C636" s="702"/>
      <c r="D636" s="705"/>
      <c r="E636" s="277"/>
      <c r="F636" s="576"/>
      <c r="G636" s="580"/>
    </row>
    <row r="637" spans="2:7" ht="15" customHeight="1">
      <c r="B637" s="701"/>
      <c r="C637" s="702"/>
      <c r="D637" s="706"/>
      <c r="E637" s="277"/>
      <c r="F637" s="576"/>
      <c r="G637" s="580"/>
    </row>
    <row r="638" spans="2:7" ht="15" customHeight="1">
      <c r="B638" s="701"/>
      <c r="C638" s="702"/>
      <c r="D638" s="705"/>
      <c r="E638" s="277"/>
      <c r="F638" s="576"/>
      <c r="G638" s="580"/>
    </row>
    <row r="639" spans="2:7" ht="15" customHeight="1">
      <c r="B639" s="701"/>
      <c r="C639" s="702"/>
      <c r="D639" s="706"/>
      <c r="E639" s="277"/>
      <c r="F639" s="576"/>
      <c r="G639" s="580"/>
    </row>
    <row r="640" spans="2:7" ht="15" customHeight="1">
      <c r="B640" s="701"/>
      <c r="C640" s="702"/>
      <c r="D640" s="705"/>
      <c r="E640" s="277"/>
      <c r="F640" s="576"/>
      <c r="G640" s="580"/>
    </row>
    <row r="641" spans="2:7" ht="15" customHeight="1">
      <c r="B641" s="701"/>
      <c r="C641" s="702"/>
      <c r="D641" s="706"/>
      <c r="E641" s="277"/>
      <c r="F641" s="576"/>
      <c r="G641" s="580"/>
    </row>
    <row r="642" spans="2:7" ht="15" customHeight="1">
      <c r="B642" s="701"/>
      <c r="C642" s="702"/>
      <c r="D642" s="705"/>
      <c r="E642" s="277"/>
      <c r="F642" s="576"/>
      <c r="G642" s="580"/>
    </row>
    <row r="643" spans="2:7" ht="15" customHeight="1">
      <c r="B643" s="701"/>
      <c r="C643" s="702"/>
      <c r="D643" s="706"/>
      <c r="E643" s="277"/>
      <c r="F643" s="576"/>
      <c r="G643" s="580"/>
    </row>
    <row r="644" spans="2:7" ht="15" customHeight="1">
      <c r="B644" s="701"/>
      <c r="C644" s="702"/>
      <c r="D644" s="705"/>
      <c r="E644" s="277"/>
      <c r="F644" s="576"/>
      <c r="G644" s="580"/>
    </row>
    <row r="645" spans="2:7" ht="15" customHeight="1">
      <c r="B645" s="701"/>
      <c r="C645" s="702"/>
      <c r="D645" s="706"/>
      <c r="E645" s="277"/>
      <c r="F645" s="576"/>
      <c r="G645" s="580"/>
    </row>
    <row r="646" spans="2:7" ht="15" customHeight="1">
      <c r="B646" s="701"/>
      <c r="C646" s="702"/>
      <c r="D646" s="705"/>
      <c r="E646" s="277"/>
      <c r="F646" s="576"/>
      <c r="G646" s="580"/>
    </row>
    <row r="647" spans="2:7" ht="15" customHeight="1">
      <c r="B647" s="701"/>
      <c r="C647" s="702"/>
      <c r="D647" s="706"/>
      <c r="E647" s="277"/>
      <c r="F647" s="576"/>
      <c r="G647" s="580"/>
    </row>
    <row r="648" spans="2:7" ht="15" customHeight="1">
      <c r="B648" s="701"/>
      <c r="C648" s="702"/>
      <c r="D648" s="705"/>
      <c r="E648" s="277"/>
      <c r="F648" s="576"/>
      <c r="G648" s="580"/>
    </row>
    <row r="649" spans="2:7" ht="15" customHeight="1">
      <c r="B649" s="701"/>
      <c r="C649" s="702"/>
      <c r="D649" s="706"/>
      <c r="E649" s="277"/>
      <c r="F649" s="576"/>
      <c r="G649" s="580"/>
    </row>
    <row r="650" spans="2:7" ht="15" customHeight="1">
      <c r="B650" s="701"/>
      <c r="C650" s="702"/>
      <c r="D650" s="705"/>
      <c r="E650" s="277"/>
      <c r="F650" s="576"/>
      <c r="G650" s="580"/>
    </row>
    <row r="651" spans="2:7" ht="15" customHeight="1">
      <c r="B651" s="701"/>
      <c r="C651" s="702"/>
      <c r="D651" s="706"/>
      <c r="E651" s="277"/>
      <c r="F651" s="576"/>
      <c r="G651" s="580"/>
    </row>
    <row r="652" spans="2:7" ht="15" customHeight="1">
      <c r="B652" s="701"/>
      <c r="C652" s="702"/>
      <c r="D652" s="705"/>
      <c r="E652" s="277"/>
      <c r="F652" s="576"/>
      <c r="G652" s="580"/>
    </row>
    <row r="653" spans="2:7" ht="15" customHeight="1">
      <c r="B653" s="701"/>
      <c r="C653" s="702"/>
      <c r="D653" s="706"/>
      <c r="E653" s="277"/>
      <c r="F653" s="576"/>
      <c r="G653" s="580"/>
    </row>
    <row r="654" spans="2:7" ht="15" customHeight="1">
      <c r="B654" s="701"/>
      <c r="C654" s="702"/>
      <c r="D654" s="705"/>
      <c r="E654" s="277"/>
      <c r="F654" s="576"/>
      <c r="G654" s="580"/>
    </row>
    <row r="655" spans="2:7" ht="15" customHeight="1">
      <c r="B655" s="701"/>
      <c r="C655" s="702"/>
      <c r="D655" s="706"/>
      <c r="E655" s="277"/>
      <c r="F655" s="576"/>
      <c r="G655" s="580"/>
    </row>
    <row r="656" spans="2:7" ht="15" customHeight="1">
      <c r="B656" s="701"/>
      <c r="C656" s="702"/>
      <c r="D656" s="705"/>
      <c r="E656" s="277"/>
      <c r="F656" s="576"/>
      <c r="G656" s="580"/>
    </row>
    <row r="657" spans="2:7" ht="15" customHeight="1">
      <c r="B657" s="701"/>
      <c r="C657" s="702"/>
      <c r="D657" s="706"/>
      <c r="E657" s="277"/>
      <c r="F657" s="576"/>
      <c r="G657" s="580"/>
    </row>
    <row r="658" spans="2:7" ht="15" customHeight="1">
      <c r="B658" s="701"/>
      <c r="C658" s="702"/>
      <c r="D658" s="705"/>
      <c r="E658" s="277"/>
      <c r="F658" s="576"/>
      <c r="G658" s="580"/>
    </row>
    <row r="659" spans="2:7" ht="15" customHeight="1">
      <c r="B659" s="701"/>
      <c r="C659" s="702"/>
      <c r="D659" s="706"/>
      <c r="E659" s="277"/>
      <c r="F659" s="576"/>
      <c r="G659" s="580"/>
    </row>
    <row r="660" spans="2:7" ht="15" customHeight="1">
      <c r="B660" s="701"/>
      <c r="C660" s="702"/>
      <c r="D660" s="705"/>
      <c r="E660" s="277"/>
      <c r="F660" s="576"/>
      <c r="G660" s="580"/>
    </row>
    <row r="661" spans="2:7" ht="15" customHeight="1">
      <c r="B661" s="701"/>
      <c r="C661" s="702"/>
      <c r="D661" s="706"/>
      <c r="E661" s="277"/>
      <c r="F661" s="576"/>
      <c r="G661" s="580"/>
    </row>
    <row r="662" spans="2:7" ht="15" customHeight="1">
      <c r="B662" s="701"/>
      <c r="C662" s="702"/>
      <c r="D662" s="705"/>
      <c r="E662" s="277"/>
      <c r="F662" s="576"/>
      <c r="G662" s="580"/>
    </row>
    <row r="663" spans="2:7" ht="15" customHeight="1">
      <c r="B663" s="701"/>
      <c r="C663" s="702"/>
      <c r="D663" s="706"/>
      <c r="E663" s="277"/>
      <c r="F663" s="576"/>
      <c r="G663" s="580"/>
    </row>
    <row r="664" spans="2:7" ht="15" customHeight="1">
      <c r="B664" s="701"/>
      <c r="C664" s="702"/>
      <c r="D664" s="705"/>
      <c r="E664" s="277"/>
      <c r="F664" s="576"/>
      <c r="G664" s="580"/>
    </row>
    <row r="665" spans="2:7" ht="15" customHeight="1">
      <c r="B665" s="701"/>
      <c r="C665" s="702"/>
      <c r="D665" s="706"/>
      <c r="E665" s="277"/>
      <c r="F665" s="576"/>
      <c r="G665" s="580"/>
    </row>
    <row r="666" spans="2:7" ht="15" customHeight="1">
      <c r="B666" s="701"/>
      <c r="C666" s="702"/>
      <c r="D666" s="705"/>
      <c r="E666" s="277"/>
      <c r="F666" s="576"/>
      <c r="G666" s="580"/>
    </row>
    <row r="667" spans="2:7" ht="15" customHeight="1">
      <c r="B667" s="701"/>
      <c r="C667" s="702"/>
      <c r="D667" s="706"/>
      <c r="E667" s="277"/>
      <c r="F667" s="576"/>
      <c r="G667" s="580"/>
    </row>
    <row r="668" spans="2:7" ht="15" customHeight="1">
      <c r="B668" s="701"/>
      <c r="C668" s="702"/>
      <c r="D668" s="705"/>
      <c r="E668" s="277"/>
      <c r="F668" s="576"/>
      <c r="G668" s="580"/>
    </row>
    <row r="669" spans="2:7" ht="15" customHeight="1">
      <c r="B669" s="701"/>
      <c r="C669" s="702"/>
      <c r="D669" s="706"/>
      <c r="E669" s="277"/>
      <c r="F669" s="576"/>
      <c r="G669" s="580"/>
    </row>
    <row r="670" spans="2:7" ht="15" customHeight="1">
      <c r="B670" s="701"/>
      <c r="C670" s="702"/>
      <c r="D670" s="705"/>
      <c r="E670" s="277"/>
      <c r="F670" s="576"/>
      <c r="G670" s="580"/>
    </row>
    <row r="671" spans="2:7" ht="15" customHeight="1">
      <c r="B671" s="701"/>
      <c r="C671" s="702"/>
      <c r="D671" s="706"/>
      <c r="E671" s="277"/>
      <c r="F671" s="576"/>
      <c r="G671" s="580"/>
    </row>
    <row r="672" spans="2:7" ht="15" customHeight="1">
      <c r="B672" s="701"/>
      <c r="C672" s="702"/>
      <c r="D672" s="705"/>
      <c r="E672" s="277"/>
      <c r="F672" s="576"/>
      <c r="G672" s="580"/>
    </row>
    <row r="673" spans="2:7" ht="15" customHeight="1">
      <c r="B673" s="701"/>
      <c r="C673" s="702"/>
      <c r="D673" s="706"/>
      <c r="E673" s="277"/>
      <c r="F673" s="576"/>
      <c r="G673" s="580"/>
    </row>
    <row r="674" spans="2:7" ht="15" customHeight="1">
      <c r="B674" s="701"/>
      <c r="C674" s="702"/>
      <c r="D674" s="705"/>
      <c r="E674" s="277"/>
      <c r="F674" s="576"/>
      <c r="G674" s="580"/>
    </row>
    <row r="675" spans="2:7" ht="15" customHeight="1">
      <c r="B675" s="701"/>
      <c r="C675" s="702"/>
      <c r="D675" s="706"/>
      <c r="E675" s="277"/>
      <c r="F675" s="576"/>
      <c r="G675" s="580"/>
    </row>
    <row r="676" spans="2:7" ht="15" customHeight="1">
      <c r="B676" s="701"/>
      <c r="C676" s="702"/>
      <c r="D676" s="705"/>
      <c r="E676" s="277"/>
      <c r="F676" s="576"/>
      <c r="G676" s="580"/>
    </row>
    <row r="677" spans="2:7" ht="15" customHeight="1">
      <c r="B677" s="701"/>
      <c r="C677" s="702"/>
      <c r="D677" s="706"/>
      <c r="E677" s="277"/>
      <c r="F677" s="576"/>
      <c r="G677" s="580"/>
    </row>
    <row r="678" spans="2:7" ht="15" customHeight="1">
      <c r="B678" s="701"/>
      <c r="C678" s="702"/>
      <c r="D678" s="705"/>
      <c r="E678" s="277"/>
      <c r="F678" s="576"/>
      <c r="G678" s="580"/>
    </row>
    <row r="679" spans="2:7" ht="15" customHeight="1">
      <c r="B679" s="701"/>
      <c r="C679" s="702"/>
      <c r="D679" s="706"/>
      <c r="E679" s="277"/>
      <c r="F679" s="576"/>
      <c r="G679" s="580"/>
    </row>
    <row r="680" spans="2:7" ht="15" customHeight="1">
      <c r="B680" s="701"/>
      <c r="C680" s="702"/>
      <c r="D680" s="705"/>
      <c r="E680" s="277"/>
      <c r="F680" s="576"/>
      <c r="G680" s="580"/>
    </row>
    <row r="681" spans="2:7" ht="15" customHeight="1">
      <c r="B681" s="701"/>
      <c r="C681" s="702"/>
      <c r="D681" s="706"/>
      <c r="E681" s="277"/>
      <c r="F681" s="576"/>
      <c r="G681" s="580"/>
    </row>
    <row r="682" spans="2:7" ht="15" customHeight="1">
      <c r="B682" s="701"/>
      <c r="C682" s="702"/>
      <c r="D682" s="705"/>
      <c r="E682" s="277"/>
      <c r="F682" s="576"/>
      <c r="G682" s="580"/>
    </row>
    <row r="683" spans="2:7" ht="15" customHeight="1">
      <c r="B683" s="701"/>
      <c r="C683" s="702"/>
      <c r="D683" s="706"/>
      <c r="E683" s="277"/>
      <c r="F683" s="576"/>
      <c r="G683" s="580"/>
    </row>
    <row r="684" spans="2:7" ht="15" customHeight="1">
      <c r="B684" s="701"/>
      <c r="C684" s="702"/>
      <c r="D684" s="705"/>
      <c r="E684" s="277"/>
      <c r="F684" s="576"/>
      <c r="G684" s="580"/>
    </row>
    <row r="685" spans="2:7" ht="15" customHeight="1">
      <c r="B685" s="701"/>
      <c r="C685" s="702"/>
      <c r="D685" s="706"/>
      <c r="E685" s="277"/>
      <c r="F685" s="576"/>
      <c r="G685" s="580"/>
    </row>
    <row r="686" spans="2:7" ht="15" customHeight="1">
      <c r="B686" s="701"/>
      <c r="C686" s="702"/>
      <c r="D686" s="705"/>
      <c r="E686" s="277"/>
      <c r="F686" s="576"/>
      <c r="G686" s="580"/>
    </row>
    <row r="687" spans="2:7" ht="15" customHeight="1">
      <c r="B687" s="701"/>
      <c r="C687" s="702"/>
      <c r="D687" s="706"/>
      <c r="E687" s="277"/>
      <c r="F687" s="576"/>
      <c r="G687" s="580"/>
    </row>
    <row r="688" spans="2:7" ht="15" customHeight="1">
      <c r="B688" s="701"/>
      <c r="C688" s="702"/>
      <c r="D688" s="705"/>
      <c r="E688" s="277"/>
      <c r="F688" s="576"/>
      <c r="G688" s="580"/>
    </row>
    <row r="689" spans="2:7" ht="15" customHeight="1">
      <c r="B689" s="701"/>
      <c r="C689" s="702"/>
      <c r="D689" s="706"/>
      <c r="E689" s="277"/>
      <c r="F689" s="576"/>
      <c r="G689" s="580"/>
    </row>
    <row r="690" spans="2:7" ht="15" customHeight="1">
      <c r="B690" s="701"/>
      <c r="C690" s="702"/>
      <c r="D690" s="705"/>
      <c r="E690" s="277"/>
      <c r="F690" s="576"/>
      <c r="G690" s="580"/>
    </row>
    <row r="691" spans="2:7" ht="15" customHeight="1">
      <c r="B691" s="701"/>
      <c r="C691" s="702"/>
      <c r="D691" s="706"/>
      <c r="E691" s="277"/>
      <c r="F691" s="576"/>
      <c r="G691" s="580"/>
    </row>
    <row r="692" spans="2:7" ht="15" customHeight="1">
      <c r="B692" s="701"/>
      <c r="C692" s="702"/>
      <c r="D692" s="705"/>
      <c r="E692" s="277"/>
      <c r="F692" s="576"/>
      <c r="G692" s="580"/>
    </row>
    <row r="693" spans="2:7" ht="15" customHeight="1">
      <c r="B693" s="701"/>
      <c r="C693" s="702"/>
      <c r="D693" s="706"/>
      <c r="E693" s="277"/>
      <c r="F693" s="576"/>
      <c r="G693" s="580"/>
    </row>
    <row r="694" spans="2:7" ht="15" customHeight="1">
      <c r="B694" s="701"/>
      <c r="C694" s="702"/>
      <c r="D694" s="705"/>
      <c r="E694" s="277"/>
      <c r="F694" s="576"/>
      <c r="G694" s="580"/>
    </row>
    <row r="695" spans="2:7" ht="15" customHeight="1">
      <c r="B695" s="701"/>
      <c r="C695" s="702"/>
      <c r="D695" s="706"/>
      <c r="E695" s="277"/>
      <c r="F695" s="576"/>
      <c r="G695" s="580"/>
    </row>
    <row r="696" spans="2:7" ht="15" customHeight="1">
      <c r="B696" s="701"/>
      <c r="C696" s="702"/>
      <c r="D696" s="705"/>
      <c r="E696" s="277"/>
      <c r="F696" s="576"/>
      <c r="G696" s="580"/>
    </row>
    <row r="697" spans="2:7" ht="15" customHeight="1">
      <c r="B697" s="701"/>
      <c r="C697" s="702"/>
      <c r="D697" s="706"/>
      <c r="E697" s="277"/>
      <c r="F697" s="576"/>
      <c r="G697" s="580"/>
    </row>
    <row r="698" spans="2:7" ht="15" customHeight="1">
      <c r="B698" s="701"/>
      <c r="C698" s="702"/>
      <c r="D698" s="705"/>
      <c r="E698" s="277"/>
      <c r="F698" s="576"/>
      <c r="G698" s="580"/>
    </row>
    <row r="699" spans="2:7" ht="15" customHeight="1">
      <c r="B699" s="701"/>
      <c r="C699" s="702"/>
      <c r="D699" s="706"/>
      <c r="E699" s="277"/>
      <c r="F699" s="576"/>
      <c r="G699" s="580"/>
    </row>
    <row r="700" spans="2:7" ht="15" customHeight="1">
      <c r="B700" s="701"/>
      <c r="C700" s="702"/>
      <c r="D700" s="705"/>
      <c r="E700" s="277"/>
      <c r="F700" s="576"/>
      <c r="G700" s="580"/>
    </row>
    <row r="701" spans="2:7" ht="15" customHeight="1">
      <c r="B701" s="701"/>
      <c r="C701" s="702"/>
      <c r="D701" s="706"/>
      <c r="E701" s="277"/>
      <c r="F701" s="576"/>
      <c r="G701" s="580"/>
    </row>
    <row r="702" spans="2:7" ht="15" customHeight="1">
      <c r="B702" s="701"/>
      <c r="C702" s="702"/>
      <c r="D702" s="705"/>
      <c r="E702" s="277"/>
      <c r="F702" s="576"/>
      <c r="G702" s="580"/>
    </row>
    <row r="703" spans="2:7" ht="15" customHeight="1">
      <c r="B703" s="701"/>
      <c r="C703" s="702"/>
      <c r="D703" s="706"/>
      <c r="E703" s="277"/>
      <c r="F703" s="576"/>
      <c r="G703" s="580"/>
    </row>
    <row r="704" spans="2:7" ht="15" customHeight="1">
      <c r="B704" s="701"/>
      <c r="C704" s="702"/>
      <c r="D704" s="705"/>
      <c r="E704" s="277"/>
      <c r="F704" s="576"/>
      <c r="G704" s="580"/>
    </row>
    <row r="705" spans="1:7" ht="15" customHeight="1">
      <c r="B705" s="701"/>
      <c r="C705" s="702"/>
      <c r="D705" s="706"/>
      <c r="E705" s="277"/>
      <c r="F705" s="576"/>
      <c r="G705" s="580"/>
    </row>
    <row r="706" spans="1:7" ht="15" customHeight="1">
      <c r="B706" s="701"/>
      <c r="C706" s="702"/>
      <c r="D706" s="705"/>
      <c r="E706" s="277"/>
      <c r="F706" s="576"/>
      <c r="G706" s="580"/>
    </row>
    <row r="707" spans="1:7" ht="15" customHeight="1">
      <c r="B707" s="701"/>
      <c r="C707" s="702"/>
      <c r="D707" s="706"/>
      <c r="E707" s="277"/>
      <c r="F707" s="576"/>
      <c r="G707" s="580"/>
    </row>
    <row r="708" spans="1:7" ht="15" customHeight="1">
      <c r="B708" s="701"/>
      <c r="C708" s="702"/>
      <c r="D708" s="705"/>
      <c r="E708" s="277"/>
      <c r="F708" s="576"/>
      <c r="G708" s="580"/>
    </row>
    <row r="709" spans="1:7" ht="15" customHeight="1">
      <c r="B709" s="701"/>
      <c r="C709" s="702"/>
      <c r="D709" s="706"/>
      <c r="E709" s="277"/>
      <c r="F709" s="576"/>
      <c r="G709" s="580"/>
    </row>
    <row r="710" spans="1:7" ht="15" customHeight="1">
      <c r="B710" s="701"/>
      <c r="C710" s="702"/>
      <c r="D710" s="705"/>
      <c r="E710" s="277"/>
      <c r="F710" s="576"/>
      <c r="G710" s="580"/>
    </row>
    <row r="711" spans="1:7" ht="15" customHeight="1">
      <c r="B711" s="701"/>
      <c r="C711" s="702"/>
      <c r="D711" s="706"/>
      <c r="E711" s="277"/>
      <c r="F711" s="576"/>
      <c r="G711" s="580"/>
    </row>
    <row r="712" spans="1:7" ht="15" customHeight="1">
      <c r="B712" s="701"/>
      <c r="C712" s="702"/>
      <c r="D712" s="705"/>
      <c r="E712" s="277"/>
      <c r="F712" s="576"/>
      <c r="G712" s="580"/>
    </row>
    <row r="713" spans="1:7" ht="15" customHeight="1">
      <c r="B713" s="701"/>
      <c r="C713" s="702"/>
      <c r="D713" s="706"/>
      <c r="E713" s="277"/>
      <c r="F713" s="576"/>
      <c r="G713" s="580"/>
    </row>
    <row r="714" spans="1:7" ht="15" customHeight="1">
      <c r="B714" s="701"/>
      <c r="C714" s="702"/>
      <c r="D714" s="705"/>
      <c r="E714" s="277"/>
      <c r="F714" s="576"/>
      <c r="G714" s="580"/>
    </row>
    <row r="715" spans="1:7" ht="15" customHeight="1">
      <c r="B715" s="701"/>
      <c r="C715" s="702"/>
      <c r="D715" s="706"/>
      <c r="E715" s="277"/>
      <c r="F715" s="576"/>
      <c r="G715" s="580"/>
    </row>
    <row r="716" spans="1:7" s="202" customFormat="1" ht="15.75" customHeight="1">
      <c r="A716" s="565" t="e">
        <f>+#REF!*#REF!/#REF!</f>
        <v>#REF!</v>
      </c>
      <c r="B716" s="701"/>
      <c r="C716" s="702"/>
      <c r="D716" s="705"/>
      <c r="E716" s="277"/>
      <c r="F716" s="576"/>
      <c r="G716" s="580"/>
    </row>
    <row r="717" spans="1:7" ht="15" customHeight="1">
      <c r="B717" s="701"/>
      <c r="C717" s="702"/>
      <c r="D717" s="706"/>
      <c r="E717" s="277"/>
      <c r="F717" s="576"/>
      <c r="G717" s="580"/>
    </row>
    <row r="718" spans="1:7" ht="15" customHeight="1">
      <c r="B718" s="701"/>
      <c r="C718" s="702"/>
      <c r="D718" s="705"/>
      <c r="E718" s="277"/>
      <c r="F718" s="576"/>
      <c r="G718" s="580"/>
    </row>
    <row r="719" spans="1:7" ht="15" customHeight="1">
      <c r="B719" s="701"/>
      <c r="C719" s="702"/>
      <c r="D719" s="706"/>
      <c r="E719" s="277"/>
      <c r="F719" s="576"/>
      <c r="G719" s="580"/>
    </row>
    <row r="720" spans="1:7" ht="15" customHeight="1">
      <c r="B720" s="701"/>
      <c r="C720" s="702"/>
      <c r="D720" s="705"/>
      <c r="E720" s="277"/>
      <c r="F720" s="576"/>
      <c r="G720" s="580"/>
    </row>
    <row r="6700" spans="7:7" ht="15" customHeight="1">
      <c r="G6700" s="695">
        <f>'Gastos Bancarios'!E288+'Gastos Bancarios'!E289</f>
        <v>-95200</v>
      </c>
    </row>
  </sheetData>
  <autoFilter ref="B4:G405" xr:uid="{C11A7C38-B4B3-48C2-8EEE-A70D1413F81D}">
    <filterColumn colId="4">
      <filters>
        <dateGroupItem year="2025" dateTimeGrouping="year"/>
      </filters>
    </filterColumn>
    <sortState xmlns:xlrd2="http://schemas.microsoft.com/office/spreadsheetml/2017/richdata2" ref="B373:G392">
      <sortCondition ref="B4:B398"/>
    </sortState>
  </autoFilter>
  <mergeCells count="3">
    <mergeCell ref="I1:I3"/>
    <mergeCell ref="J1:P2"/>
    <mergeCell ref="B3:F3"/>
  </mergeCells>
  <pageMargins left="0.7" right="0.7" top="0.75" bottom="0.75"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59909-C3A2-4E6A-A72C-DAD2F3E65529}">
  <sheetPr filterMode="1"/>
  <dimension ref="B1:M411"/>
  <sheetViews>
    <sheetView topLeftCell="E3" workbookViewId="0">
      <selection activeCell="M3" sqref="M3"/>
    </sheetView>
  </sheetViews>
  <sheetFormatPr defaultColWidth="11.3828125" defaultRowHeight="12.45"/>
  <cols>
    <col min="1" max="1" width="5.3046875" customWidth="1"/>
    <col min="2" max="2" width="37.84375" customWidth="1"/>
    <col min="3" max="3" width="51.84375" customWidth="1"/>
    <col min="4" max="4" width="25.69140625" bestFit="1" customWidth="1"/>
    <col min="5" max="5" width="15" customWidth="1"/>
    <col min="6" max="6" width="12.69140625" bestFit="1" customWidth="1"/>
    <col min="8" max="8" width="29.84375" bestFit="1" customWidth="1"/>
    <col min="9" max="9" width="18" customWidth="1"/>
    <col min="10" max="10" width="15.69140625" bestFit="1" customWidth="1"/>
    <col min="11" max="11" width="12.3828125" bestFit="1" customWidth="1"/>
    <col min="12" max="12" width="15.3046875" bestFit="1" customWidth="1"/>
    <col min="13" max="13" width="14.69140625" bestFit="1" customWidth="1"/>
  </cols>
  <sheetData>
    <row r="1" spans="2:13">
      <c r="B1" s="8">
        <v>45292</v>
      </c>
      <c r="C1" s="8">
        <v>45323</v>
      </c>
      <c r="D1" s="9">
        <v>45352</v>
      </c>
      <c r="E1" s="8">
        <v>45383</v>
      </c>
      <c r="F1" s="8">
        <v>45413</v>
      </c>
      <c r="G1" s="9">
        <v>45444</v>
      </c>
      <c r="H1" s="8">
        <v>45474</v>
      </c>
      <c r="I1" s="8">
        <v>45505</v>
      </c>
      <c r="J1" s="9">
        <v>45536</v>
      </c>
      <c r="K1" s="8">
        <v>45566</v>
      </c>
      <c r="L1" s="8">
        <v>45597</v>
      </c>
      <c r="M1" s="9">
        <v>45627</v>
      </c>
    </row>
    <row r="2" spans="2:13">
      <c r="B2" s="13">
        <f>+SUMIFS($E$9:$E$60,$F$9:$F$60,B1)</f>
        <v>-6034059.71</v>
      </c>
      <c r="C2" s="13">
        <f>+SUMIFS($E$9:$E$84,$F$9:$F$84,C1)</f>
        <v>-2626395</v>
      </c>
      <c r="D2" s="13">
        <f>+SUMIFS($E$9:$E$84,$F$9:$F$84,D1)</f>
        <v>-764516</v>
      </c>
      <c r="E2" s="13">
        <f>+SUMIFS($E$9:$E$91,$F$9:$F$91,E1)</f>
        <v>-1139950</v>
      </c>
      <c r="F2" s="13">
        <f>+SUMIFS($E$9:$E$110,$F$9:$F$110,F1)</f>
        <v>-482716</v>
      </c>
      <c r="G2" s="13">
        <f>+SUMIFS($E$9:$E$136,$F$9:$F$136,G1)</f>
        <v>-49992</v>
      </c>
      <c r="H2" s="13">
        <f>+SUMIFS($E$9:$E$157,$F$9:$F$157,H1)</f>
        <v>-45568</v>
      </c>
      <c r="I2" s="13">
        <f>+SUMIFS($E$9:$E$163,$F$9:$F$163,I1)</f>
        <v>-4854984</v>
      </c>
      <c r="J2" s="13">
        <f>+SUMIFS($E$9:$E$262,$F$9:$F$262,J1)</f>
        <v>-2835688</v>
      </c>
      <c r="K2" s="13">
        <f>+SUMIFS($E$9:$E$262,$F$9:$F$262,K1)</f>
        <v>-38992</v>
      </c>
      <c r="L2" s="13">
        <f>+SUMIFS($E$9:$E$262,$F$9:$F$262,L1)</f>
        <v>-5865073.5199999996</v>
      </c>
      <c r="M2" s="13">
        <f>+SUMIFS($E$264:$E$362,$F$264:$F$362,M1)</f>
        <v>-13447772.933000002</v>
      </c>
    </row>
    <row r="4" spans="2:13">
      <c r="D4" s="48"/>
      <c r="E4" s="87">
        <f>-SUM(E7:E1048576)</f>
        <v>38273049.162999988</v>
      </c>
    </row>
    <row r="5" spans="2:13">
      <c r="D5" s="48"/>
      <c r="E5" s="362"/>
    </row>
    <row r="6" spans="2:13">
      <c r="D6" s="48"/>
      <c r="E6" s="362"/>
    </row>
    <row r="8" spans="2:13" ht="14.15">
      <c r="B8" s="167" t="s">
        <v>102</v>
      </c>
      <c r="C8" s="224" t="s">
        <v>112</v>
      </c>
      <c r="D8" s="168" t="s">
        <v>113</v>
      </c>
      <c r="E8" s="169" t="s">
        <v>16</v>
      </c>
      <c r="F8" s="170" t="s">
        <v>8135</v>
      </c>
      <c r="G8" s="170" t="s">
        <v>8136</v>
      </c>
    </row>
    <row r="9" spans="2:13" ht="14.15" hidden="1">
      <c r="B9" s="205">
        <v>45293</v>
      </c>
      <c r="C9" s="208" t="s">
        <v>132</v>
      </c>
      <c r="D9" s="206" t="s">
        <v>133</v>
      </c>
      <c r="E9" s="210">
        <v>-83815</v>
      </c>
      <c r="F9" s="207">
        <v>45292</v>
      </c>
      <c r="G9" s="206" t="s">
        <v>130</v>
      </c>
      <c r="H9" s="206"/>
    </row>
    <row r="10" spans="2:13" ht="14.15" hidden="1">
      <c r="B10" s="205">
        <v>45293</v>
      </c>
      <c r="C10" s="208" t="s">
        <v>134</v>
      </c>
      <c r="D10" s="206" t="s">
        <v>133</v>
      </c>
      <c r="E10" s="210">
        <v>-27880</v>
      </c>
      <c r="F10" s="207">
        <v>45292</v>
      </c>
      <c r="G10" s="206" t="s">
        <v>111</v>
      </c>
      <c r="H10" s="206"/>
    </row>
    <row r="11" spans="2:13" ht="14.15" hidden="1">
      <c r="B11" s="205">
        <v>45302</v>
      </c>
      <c r="C11" s="208" t="s">
        <v>158</v>
      </c>
      <c r="D11" s="206" t="s">
        <v>133</v>
      </c>
      <c r="E11" s="210">
        <v>-19915</v>
      </c>
      <c r="F11" s="207">
        <v>45292</v>
      </c>
      <c r="G11" s="206" t="s">
        <v>109</v>
      </c>
      <c r="H11" s="206" t="s">
        <v>8137</v>
      </c>
    </row>
    <row r="12" spans="2:13" ht="14.15" hidden="1">
      <c r="B12" s="205">
        <v>45302</v>
      </c>
      <c r="C12" s="208" t="s">
        <v>159</v>
      </c>
      <c r="D12" s="206" t="s">
        <v>133</v>
      </c>
      <c r="E12" s="210">
        <v>-82983</v>
      </c>
      <c r="F12" s="207">
        <v>45292</v>
      </c>
      <c r="G12" s="206" t="s">
        <v>109</v>
      </c>
      <c r="H12" s="206" t="s">
        <v>8137</v>
      </c>
    </row>
    <row r="13" spans="2:13" ht="14.15" hidden="1">
      <c r="B13" s="205">
        <v>45302</v>
      </c>
      <c r="C13" s="208" t="s">
        <v>161</v>
      </c>
      <c r="D13" s="206" t="s">
        <v>133</v>
      </c>
      <c r="E13" s="210">
        <v>-4376</v>
      </c>
      <c r="F13" s="207">
        <v>45292</v>
      </c>
      <c r="G13" s="206" t="s">
        <v>109</v>
      </c>
      <c r="H13" s="206" t="s">
        <v>8137</v>
      </c>
    </row>
    <row r="14" spans="2:13" ht="14.15" hidden="1">
      <c r="B14" s="205">
        <v>45302</v>
      </c>
      <c r="C14" s="208" t="s">
        <v>165</v>
      </c>
      <c r="D14" s="206" t="s">
        <v>133</v>
      </c>
      <c r="E14" s="210">
        <v>-51600</v>
      </c>
      <c r="F14" s="207">
        <v>45292</v>
      </c>
      <c r="G14" s="206" t="s">
        <v>130</v>
      </c>
      <c r="H14" s="206"/>
    </row>
    <row r="15" spans="2:13" ht="14.15" hidden="1">
      <c r="B15" s="205">
        <v>45302</v>
      </c>
      <c r="C15" s="208" t="s">
        <v>166</v>
      </c>
      <c r="D15" s="206" t="s">
        <v>133</v>
      </c>
      <c r="E15" s="210">
        <v>-51600</v>
      </c>
      <c r="F15" s="207">
        <v>45292</v>
      </c>
      <c r="G15" s="206" t="s">
        <v>130</v>
      </c>
      <c r="H15" s="206"/>
    </row>
    <row r="16" spans="2:13" ht="14.15" hidden="1">
      <c r="B16" s="205">
        <v>45303</v>
      </c>
      <c r="C16" s="208" t="s">
        <v>221</v>
      </c>
      <c r="D16" s="206" t="s">
        <v>133</v>
      </c>
      <c r="E16" s="210">
        <v>-27915</v>
      </c>
      <c r="F16" s="207">
        <v>45292</v>
      </c>
      <c r="G16" s="206" t="s">
        <v>111</v>
      </c>
      <c r="H16" s="206"/>
    </row>
    <row r="17" spans="2:9" ht="14.15" hidden="1">
      <c r="B17" s="205">
        <v>45308</v>
      </c>
      <c r="C17" s="208" t="s">
        <v>293</v>
      </c>
      <c r="D17" s="206" t="s">
        <v>133</v>
      </c>
      <c r="E17" s="210">
        <v>-300000</v>
      </c>
      <c r="F17" s="207">
        <v>45292</v>
      </c>
      <c r="G17" s="206" t="s">
        <v>109</v>
      </c>
      <c r="H17" s="206" t="s">
        <v>8137</v>
      </c>
    </row>
    <row r="18" spans="2:9" ht="14.15" hidden="1">
      <c r="B18" s="205">
        <v>45308</v>
      </c>
      <c r="C18" s="208" t="s">
        <v>296</v>
      </c>
      <c r="D18" s="206" t="s">
        <v>133</v>
      </c>
      <c r="E18" s="210">
        <v>-21084</v>
      </c>
      <c r="F18" s="207">
        <v>45292</v>
      </c>
      <c r="G18" s="206" t="s">
        <v>118</v>
      </c>
      <c r="H18" s="206"/>
    </row>
    <row r="19" spans="2:9" ht="14.15" hidden="1">
      <c r="B19" s="205">
        <v>45308</v>
      </c>
      <c r="C19" s="208" t="s">
        <v>297</v>
      </c>
      <c r="D19" s="206" t="s">
        <v>133</v>
      </c>
      <c r="E19" s="210">
        <v>-245980</v>
      </c>
      <c r="F19" s="207">
        <v>45292</v>
      </c>
      <c r="G19" s="206" t="s">
        <v>118</v>
      </c>
      <c r="H19" s="206"/>
    </row>
    <row r="20" spans="2:9" ht="14.15" hidden="1">
      <c r="B20" s="205">
        <v>45309</v>
      </c>
      <c r="C20" s="208" t="s">
        <v>319</v>
      </c>
      <c r="D20" s="206" t="s">
        <v>133</v>
      </c>
      <c r="E20" s="210">
        <v>-30800</v>
      </c>
      <c r="F20" s="207">
        <v>45292</v>
      </c>
      <c r="G20" s="206" t="s">
        <v>109</v>
      </c>
      <c r="H20" s="206" t="s">
        <v>8138</v>
      </c>
    </row>
    <row r="21" spans="2:9" ht="14.15" hidden="1">
      <c r="B21" s="205">
        <v>45310</v>
      </c>
      <c r="C21" s="208" t="s">
        <v>333</v>
      </c>
      <c r="D21" s="206" t="s">
        <v>133</v>
      </c>
      <c r="E21" s="210">
        <v>-1877</v>
      </c>
      <c r="F21" s="207">
        <v>45292</v>
      </c>
      <c r="G21" s="206" t="s">
        <v>111</v>
      </c>
      <c r="H21" s="206"/>
    </row>
    <row r="22" spans="2:9" ht="14.15" hidden="1">
      <c r="B22" s="205">
        <v>45310</v>
      </c>
      <c r="C22" s="208" t="s">
        <v>334</v>
      </c>
      <c r="D22" s="206" t="s">
        <v>133</v>
      </c>
      <c r="E22" s="210">
        <v>-10565</v>
      </c>
      <c r="F22" s="207">
        <v>45292</v>
      </c>
      <c r="G22" s="206" t="s">
        <v>111</v>
      </c>
      <c r="H22" s="206"/>
    </row>
    <row r="23" spans="2:9" ht="14.15" hidden="1">
      <c r="B23" s="205">
        <v>45313</v>
      </c>
      <c r="C23" s="208" t="s">
        <v>365</v>
      </c>
      <c r="D23" s="206" t="s">
        <v>133</v>
      </c>
      <c r="E23" s="210">
        <v>-86922</v>
      </c>
      <c r="F23" s="207">
        <v>45292</v>
      </c>
      <c r="G23" s="206" t="s">
        <v>111</v>
      </c>
      <c r="H23" s="206"/>
    </row>
    <row r="24" spans="2:9" ht="14.15" hidden="1">
      <c r="B24" s="205">
        <v>45313</v>
      </c>
      <c r="C24" s="208" t="s">
        <v>372</v>
      </c>
      <c r="D24" s="206" t="s">
        <v>133</v>
      </c>
      <c r="E24" s="210">
        <v>-149532.71</v>
      </c>
      <c r="F24" s="207">
        <v>45292</v>
      </c>
      <c r="G24" s="206" t="s">
        <v>118</v>
      </c>
      <c r="H24" s="206"/>
    </row>
    <row r="25" spans="2:9" ht="14.15" hidden="1">
      <c r="B25" s="205">
        <v>45313</v>
      </c>
      <c r="C25" s="208" t="s">
        <v>377</v>
      </c>
      <c r="D25" s="206" t="s">
        <v>133</v>
      </c>
      <c r="E25" s="210">
        <v>-99750</v>
      </c>
      <c r="F25" s="207">
        <v>45292</v>
      </c>
      <c r="G25" s="206" t="s">
        <v>109</v>
      </c>
      <c r="H25" s="206" t="s">
        <v>8137</v>
      </c>
    </row>
    <row r="26" spans="2:9" ht="14.15" hidden="1">
      <c r="B26" s="205">
        <v>45313</v>
      </c>
      <c r="C26" s="208" t="s">
        <v>378</v>
      </c>
      <c r="D26" s="206" t="s">
        <v>133</v>
      </c>
      <c r="E26" s="210">
        <v>-67185</v>
      </c>
      <c r="F26" s="207">
        <v>45292</v>
      </c>
      <c r="G26" s="206" t="s">
        <v>111</v>
      </c>
      <c r="H26" s="206"/>
    </row>
    <row r="27" spans="2:9" ht="14.15" hidden="1">
      <c r="B27" s="205">
        <v>45314</v>
      </c>
      <c r="C27" s="208" t="s">
        <v>388</v>
      </c>
      <c r="D27" s="206" t="s">
        <v>133</v>
      </c>
      <c r="E27" s="210">
        <v>-56000</v>
      </c>
      <c r="F27" s="207">
        <v>45292</v>
      </c>
      <c r="G27" s="206" t="s">
        <v>109</v>
      </c>
      <c r="H27" s="206" t="s">
        <v>8137</v>
      </c>
    </row>
    <row r="28" spans="2:9" ht="14.15" hidden="1">
      <c r="B28" s="205">
        <v>45316</v>
      </c>
      <c r="C28" s="208" t="s">
        <v>423</v>
      </c>
      <c r="D28" s="206" t="s">
        <v>133</v>
      </c>
      <c r="E28" s="210">
        <v>-4457</v>
      </c>
      <c r="F28" s="207">
        <v>45292</v>
      </c>
      <c r="G28" s="206" t="s">
        <v>109</v>
      </c>
      <c r="H28" s="206" t="s">
        <v>8139</v>
      </c>
    </row>
    <row r="29" spans="2:9" ht="14.15" hidden="1">
      <c r="B29" s="205">
        <v>45316</v>
      </c>
      <c r="C29" s="208" t="s">
        <v>424</v>
      </c>
      <c r="D29" s="206" t="s">
        <v>133</v>
      </c>
      <c r="E29" s="210">
        <v>-814320</v>
      </c>
      <c r="F29" s="207">
        <v>45292</v>
      </c>
      <c r="G29" s="206" t="s">
        <v>109</v>
      </c>
      <c r="H29" s="206" t="s">
        <v>8140</v>
      </c>
      <c r="I29" t="s">
        <v>8141</v>
      </c>
    </row>
    <row r="30" spans="2:9" ht="14.15" hidden="1">
      <c r="B30" s="205">
        <v>45316</v>
      </c>
      <c r="C30" s="208" t="s">
        <v>424</v>
      </c>
      <c r="D30" s="206" t="s">
        <v>133</v>
      </c>
      <c r="E30" s="210">
        <v>-127237.5</v>
      </c>
      <c r="F30" s="207">
        <v>45292</v>
      </c>
      <c r="G30" s="206" t="s">
        <v>109</v>
      </c>
      <c r="H30" s="206" t="s">
        <v>8142</v>
      </c>
      <c r="I30" t="s">
        <v>8141</v>
      </c>
    </row>
    <row r="31" spans="2:9" ht="14.15" hidden="1">
      <c r="B31" s="205">
        <v>45316</v>
      </c>
      <c r="C31" s="208" t="s">
        <v>424</v>
      </c>
      <c r="D31" s="206" t="s">
        <v>133</v>
      </c>
      <c r="E31" s="210">
        <v>-101790</v>
      </c>
      <c r="F31" s="207">
        <v>45292</v>
      </c>
      <c r="G31" s="206" t="s">
        <v>109</v>
      </c>
      <c r="H31" s="206" t="s">
        <v>8143</v>
      </c>
      <c r="I31" t="s">
        <v>8141</v>
      </c>
    </row>
    <row r="32" spans="2:9" ht="14.15" hidden="1">
      <c r="B32" s="205">
        <v>45316</v>
      </c>
      <c r="C32" s="208" t="s">
        <v>425</v>
      </c>
      <c r="D32" s="206" t="s">
        <v>133</v>
      </c>
      <c r="E32" s="210">
        <v>-176887</v>
      </c>
      <c r="F32" s="207">
        <v>45292</v>
      </c>
      <c r="G32" s="206" t="s">
        <v>109</v>
      </c>
      <c r="H32" s="206" t="s">
        <v>8140</v>
      </c>
      <c r="I32" t="s">
        <v>212</v>
      </c>
    </row>
    <row r="33" spans="2:9" ht="14.15" hidden="1">
      <c r="B33" s="205">
        <v>45316</v>
      </c>
      <c r="C33" s="208" t="s">
        <v>425</v>
      </c>
      <c r="D33" s="206" t="s">
        <v>133</v>
      </c>
      <c r="E33" s="210">
        <v>-41510.5</v>
      </c>
      <c r="F33" s="207">
        <v>45292</v>
      </c>
      <c r="G33" s="206" t="s">
        <v>109</v>
      </c>
      <c r="H33" s="206" t="s">
        <v>8142</v>
      </c>
      <c r="I33" t="s">
        <v>212</v>
      </c>
    </row>
    <row r="34" spans="2:9" ht="14.15" hidden="1">
      <c r="B34" s="205">
        <v>45316</v>
      </c>
      <c r="C34" s="208" t="s">
        <v>425</v>
      </c>
      <c r="D34" s="206" t="s">
        <v>133</v>
      </c>
      <c r="E34" s="210">
        <v>-24567</v>
      </c>
      <c r="F34" s="207">
        <v>45292</v>
      </c>
      <c r="G34" s="206" t="s">
        <v>109</v>
      </c>
      <c r="H34" s="206" t="s">
        <v>8143</v>
      </c>
      <c r="I34" t="s">
        <v>212</v>
      </c>
    </row>
    <row r="35" spans="2:9" ht="14.15" hidden="1">
      <c r="B35" s="205">
        <v>45316</v>
      </c>
      <c r="C35" s="208" t="s">
        <v>426</v>
      </c>
      <c r="D35" s="206" t="s">
        <v>133</v>
      </c>
      <c r="E35" s="210">
        <v>-9000</v>
      </c>
      <c r="F35" s="207">
        <v>45292</v>
      </c>
      <c r="G35" s="206" t="s">
        <v>109</v>
      </c>
      <c r="H35" s="206" t="s">
        <v>8140</v>
      </c>
      <c r="I35" t="s">
        <v>8144</v>
      </c>
    </row>
    <row r="36" spans="2:9" ht="14.15" hidden="1">
      <c r="B36" s="205">
        <v>45316</v>
      </c>
      <c r="C36" s="208" t="s">
        <v>426</v>
      </c>
      <c r="D36" s="206" t="s">
        <v>133</v>
      </c>
      <c r="E36" s="210">
        <v>-2500</v>
      </c>
      <c r="F36" s="207">
        <v>45292</v>
      </c>
      <c r="G36" s="206" t="s">
        <v>109</v>
      </c>
      <c r="H36" s="206" t="s">
        <v>8142</v>
      </c>
      <c r="I36" t="s">
        <v>8144</v>
      </c>
    </row>
    <row r="37" spans="2:9" ht="14.15" hidden="1">
      <c r="B37" s="205">
        <v>45316</v>
      </c>
      <c r="C37" s="208" t="s">
        <v>426</v>
      </c>
      <c r="D37" s="206" t="s">
        <v>133</v>
      </c>
      <c r="E37" s="210">
        <v>-2500</v>
      </c>
      <c r="F37" s="207">
        <v>45292</v>
      </c>
      <c r="G37" s="206" t="s">
        <v>109</v>
      </c>
      <c r="H37" s="206" t="s">
        <v>8143</v>
      </c>
      <c r="I37" t="s">
        <v>8144</v>
      </c>
    </row>
    <row r="38" spans="2:9" ht="14.15" hidden="1">
      <c r="B38" s="205">
        <v>45316</v>
      </c>
      <c r="C38" s="208" t="s">
        <v>427</v>
      </c>
      <c r="D38" s="206" t="s">
        <v>133</v>
      </c>
      <c r="E38" s="210">
        <v>-345750</v>
      </c>
      <c r="F38" s="207">
        <v>45292</v>
      </c>
      <c r="G38" s="206" t="s">
        <v>109</v>
      </c>
      <c r="H38" s="206" t="s">
        <v>8140</v>
      </c>
      <c r="I38" t="s">
        <v>8145</v>
      </c>
    </row>
    <row r="39" spans="2:9" ht="14.15" hidden="1">
      <c r="B39" s="205">
        <v>45316</v>
      </c>
      <c r="C39" s="208" t="s">
        <v>424</v>
      </c>
      <c r="D39" s="206" t="s">
        <v>133</v>
      </c>
      <c r="E39" s="210">
        <v>-493350</v>
      </c>
      <c r="F39" s="207">
        <v>45292</v>
      </c>
      <c r="G39" s="206" t="s">
        <v>109</v>
      </c>
      <c r="H39" s="206" t="s">
        <v>8140</v>
      </c>
      <c r="I39" t="s">
        <v>8141</v>
      </c>
    </row>
    <row r="40" spans="2:9" ht="14.15" hidden="1">
      <c r="B40" s="205">
        <v>45316</v>
      </c>
      <c r="C40" s="208" t="s">
        <v>427</v>
      </c>
      <c r="D40" s="206" t="s">
        <v>133</v>
      </c>
      <c r="E40" s="210">
        <v>-217250</v>
      </c>
      <c r="F40" s="207">
        <v>45292</v>
      </c>
      <c r="G40" s="206" t="s">
        <v>109</v>
      </c>
      <c r="H40" s="206" t="s">
        <v>8140</v>
      </c>
      <c r="I40" t="s">
        <v>8145</v>
      </c>
    </row>
    <row r="41" spans="2:9" ht="14.15" hidden="1">
      <c r="B41" s="205">
        <v>45316</v>
      </c>
      <c r="C41" s="208" t="s">
        <v>425</v>
      </c>
      <c r="D41" s="206" t="s">
        <v>133</v>
      </c>
      <c r="E41" s="210">
        <v>-626357</v>
      </c>
      <c r="F41" s="207">
        <v>45292</v>
      </c>
      <c r="G41" s="206" t="s">
        <v>109</v>
      </c>
      <c r="H41" s="206" t="s">
        <v>8140</v>
      </c>
      <c r="I41" t="s">
        <v>212</v>
      </c>
    </row>
    <row r="42" spans="2:9" ht="14.15" hidden="1">
      <c r="B42" s="205">
        <v>45316</v>
      </c>
      <c r="C42" s="208" t="s">
        <v>426</v>
      </c>
      <c r="D42" s="206" t="s">
        <v>133</v>
      </c>
      <c r="E42" s="210">
        <v>-9000</v>
      </c>
      <c r="F42" s="207">
        <v>45292</v>
      </c>
      <c r="G42" s="206" t="s">
        <v>109</v>
      </c>
      <c r="H42" s="206" t="s">
        <v>8140</v>
      </c>
      <c r="I42" t="s">
        <v>8144</v>
      </c>
    </row>
    <row r="43" spans="2:9" ht="14.15" hidden="1">
      <c r="B43" s="205">
        <v>45316</v>
      </c>
      <c r="C43" s="208" t="s">
        <v>424</v>
      </c>
      <c r="D43" s="206" t="s">
        <v>133</v>
      </c>
      <c r="E43" s="210">
        <v>-63618.75</v>
      </c>
      <c r="F43" s="207">
        <v>45292</v>
      </c>
      <c r="G43" s="206" t="s">
        <v>109</v>
      </c>
      <c r="H43" s="206" t="s">
        <v>8146</v>
      </c>
      <c r="I43" t="s">
        <v>8141</v>
      </c>
    </row>
    <row r="44" spans="2:9" ht="14.15" hidden="1">
      <c r="B44" s="205">
        <v>45316</v>
      </c>
      <c r="C44" s="208" t="s">
        <v>427</v>
      </c>
      <c r="D44" s="206" t="s">
        <v>133</v>
      </c>
      <c r="E44" s="210">
        <v>-84750</v>
      </c>
      <c r="F44" s="207">
        <v>45292</v>
      </c>
      <c r="G44" s="206" t="s">
        <v>109</v>
      </c>
      <c r="H44" s="206" t="s">
        <v>8146</v>
      </c>
      <c r="I44" t="s">
        <v>8145</v>
      </c>
    </row>
    <row r="45" spans="2:9" ht="14.15" hidden="1">
      <c r="B45" s="205">
        <v>45316</v>
      </c>
      <c r="C45" s="208" t="s">
        <v>425</v>
      </c>
      <c r="D45" s="206" t="s">
        <v>133</v>
      </c>
      <c r="E45" s="210">
        <v>-14820.25</v>
      </c>
      <c r="F45" s="207">
        <v>45292</v>
      </c>
      <c r="G45" s="206" t="s">
        <v>109</v>
      </c>
      <c r="H45" s="206" t="s">
        <v>8146</v>
      </c>
      <c r="I45" t="s">
        <v>212</v>
      </c>
    </row>
    <row r="46" spans="2:9" ht="14.15" hidden="1">
      <c r="B46" s="205">
        <v>45316</v>
      </c>
      <c r="C46" s="208" t="s">
        <v>426</v>
      </c>
      <c r="D46" s="206" t="s">
        <v>133</v>
      </c>
      <c r="E46" s="210">
        <v>-13380</v>
      </c>
      <c r="F46" s="207">
        <v>45292</v>
      </c>
      <c r="G46" s="206" t="s">
        <v>109</v>
      </c>
      <c r="H46" s="206" t="s">
        <v>8146</v>
      </c>
      <c r="I46" t="s">
        <v>8144</v>
      </c>
    </row>
    <row r="47" spans="2:9" ht="14.15" hidden="1">
      <c r="B47" s="205">
        <v>45316</v>
      </c>
      <c r="C47" s="208" t="s">
        <v>442</v>
      </c>
      <c r="D47" s="206" t="s">
        <v>133</v>
      </c>
      <c r="E47" s="210">
        <v>-75145</v>
      </c>
      <c r="F47" s="207">
        <v>45292</v>
      </c>
      <c r="G47" s="206" t="s">
        <v>111</v>
      </c>
      <c r="H47" s="206"/>
      <c r="I47" t="s">
        <v>8141</v>
      </c>
    </row>
    <row r="48" spans="2:9" ht="14.15" hidden="1">
      <c r="B48" s="205">
        <v>45317</v>
      </c>
      <c r="C48" s="208" t="s">
        <v>451</v>
      </c>
      <c r="D48" s="206" t="s">
        <v>133</v>
      </c>
      <c r="E48" s="210">
        <v>-220896</v>
      </c>
      <c r="F48" s="207">
        <v>45292</v>
      </c>
      <c r="G48" s="206" t="s">
        <v>110</v>
      </c>
      <c r="H48" s="206" t="s">
        <v>450</v>
      </c>
      <c r="I48" t="s">
        <v>8141</v>
      </c>
    </row>
    <row r="49" spans="2:9" ht="14.15" hidden="1">
      <c r="B49" s="190">
        <v>45317</v>
      </c>
      <c r="C49" s="174" t="s">
        <v>451</v>
      </c>
      <c r="D49" s="206" t="s">
        <v>133</v>
      </c>
      <c r="E49" s="291">
        <v>-676494</v>
      </c>
      <c r="F49" s="207">
        <v>45292</v>
      </c>
      <c r="G49" s="191" t="s">
        <v>110</v>
      </c>
      <c r="H49" s="174" t="s">
        <v>8147</v>
      </c>
    </row>
    <row r="50" spans="2:9" ht="14.15" hidden="1">
      <c r="B50" s="190">
        <v>45321</v>
      </c>
      <c r="C50" s="174" t="s">
        <v>486</v>
      </c>
      <c r="D50" s="206" t="s">
        <v>133</v>
      </c>
      <c r="E50" s="291">
        <v>-99000</v>
      </c>
      <c r="F50" s="207">
        <v>45292</v>
      </c>
      <c r="G50" s="191" t="s">
        <v>130</v>
      </c>
      <c r="H50" s="174"/>
    </row>
    <row r="51" spans="2:9" ht="14.15" hidden="1">
      <c r="B51" s="190">
        <v>45322</v>
      </c>
      <c r="C51" s="174" t="s">
        <v>529</v>
      </c>
      <c r="D51" s="206" t="s">
        <v>133</v>
      </c>
      <c r="E51" s="291">
        <v>-49500</v>
      </c>
      <c r="F51" s="207">
        <v>45292</v>
      </c>
      <c r="G51" s="191" t="s">
        <v>130</v>
      </c>
      <c r="H51" s="174"/>
    </row>
    <row r="52" spans="2:9" ht="14.15" hidden="1">
      <c r="B52" s="190">
        <v>45317</v>
      </c>
      <c r="C52" s="174" t="s">
        <v>468</v>
      </c>
      <c r="D52" s="174" t="s">
        <v>133</v>
      </c>
      <c r="E52" s="291">
        <v>-312211</v>
      </c>
      <c r="F52" s="207">
        <v>45292</v>
      </c>
      <c r="G52" s="191" t="s">
        <v>111</v>
      </c>
    </row>
    <row r="53" spans="2:9" ht="14.15" hidden="1">
      <c r="B53" s="190">
        <v>45322</v>
      </c>
      <c r="C53" s="174" t="s">
        <v>527</v>
      </c>
      <c r="D53" s="206" t="s">
        <v>133</v>
      </c>
      <c r="E53" s="293">
        <v>-7989</v>
      </c>
      <c r="F53" s="207">
        <v>45292</v>
      </c>
      <c r="G53" s="191" t="s">
        <v>111</v>
      </c>
    </row>
    <row r="54" spans="2:9" ht="14.15" hidden="1">
      <c r="B54" s="222">
        <v>45323</v>
      </c>
      <c r="C54" s="201" t="s">
        <v>132</v>
      </c>
      <c r="D54" s="201" t="s">
        <v>133</v>
      </c>
      <c r="E54" s="291">
        <v>-86760</v>
      </c>
      <c r="F54" s="212">
        <v>45323</v>
      </c>
      <c r="G54" s="291" t="s">
        <v>130</v>
      </c>
      <c r="H54" s="208" t="s">
        <v>130</v>
      </c>
      <c r="I54" s="201" t="s">
        <v>131</v>
      </c>
    </row>
    <row r="55" spans="2:9" ht="14.15" hidden="1">
      <c r="B55" s="222">
        <v>45323</v>
      </c>
      <c r="C55" s="201" t="s">
        <v>540</v>
      </c>
      <c r="D55" s="201" t="s">
        <v>133</v>
      </c>
      <c r="E55" s="291">
        <v>-53350</v>
      </c>
      <c r="F55" s="212">
        <v>45323</v>
      </c>
      <c r="G55" s="291" t="s">
        <v>130</v>
      </c>
      <c r="H55" s="208" t="s">
        <v>130</v>
      </c>
      <c r="I55" s="201" t="s">
        <v>323</v>
      </c>
    </row>
    <row r="56" spans="2:9" ht="14.15" hidden="1">
      <c r="B56" s="222">
        <v>45323</v>
      </c>
      <c r="C56" s="201" t="s">
        <v>541</v>
      </c>
      <c r="D56" s="201" t="s">
        <v>133</v>
      </c>
      <c r="E56" s="291">
        <v>-2910</v>
      </c>
      <c r="F56" s="212">
        <v>45323</v>
      </c>
      <c r="G56" s="291" t="s">
        <v>130</v>
      </c>
      <c r="H56" s="208" t="s">
        <v>130</v>
      </c>
      <c r="I56" s="201" t="s">
        <v>323</v>
      </c>
    </row>
    <row r="57" spans="2:9" ht="14.15" hidden="1">
      <c r="B57" s="222">
        <v>45323</v>
      </c>
      <c r="C57" s="201" t="s">
        <v>543</v>
      </c>
      <c r="D57" s="201" t="s">
        <v>133</v>
      </c>
      <c r="E57" s="291">
        <v>-203109</v>
      </c>
      <c r="F57" s="212">
        <v>45323</v>
      </c>
      <c r="G57" s="291" t="s">
        <v>109</v>
      </c>
      <c r="H57" s="208" t="s">
        <v>8137</v>
      </c>
      <c r="I57" s="201" t="s">
        <v>175</v>
      </c>
    </row>
    <row r="58" spans="2:9" ht="14.15" hidden="1">
      <c r="B58" s="222">
        <v>45323</v>
      </c>
      <c r="C58" s="201" t="s">
        <v>550</v>
      </c>
      <c r="D58" s="201" t="s">
        <v>133</v>
      </c>
      <c r="E58" s="291">
        <v>-34250</v>
      </c>
      <c r="F58" s="212">
        <v>45323</v>
      </c>
      <c r="G58" s="291" t="s">
        <v>109</v>
      </c>
      <c r="H58" s="208" t="s">
        <v>8148</v>
      </c>
      <c r="I58" s="201" t="s">
        <v>8149</v>
      </c>
    </row>
    <row r="59" spans="2:9" ht="14.15" hidden="1">
      <c r="B59" s="222">
        <v>45324</v>
      </c>
      <c r="C59" s="201" t="s">
        <v>576</v>
      </c>
      <c r="D59" s="201" t="s">
        <v>133</v>
      </c>
      <c r="E59" s="291">
        <v>-3628</v>
      </c>
      <c r="F59" s="212">
        <v>45323</v>
      </c>
      <c r="G59" s="291" t="s">
        <v>109</v>
      </c>
      <c r="H59" s="201" t="s">
        <v>8138</v>
      </c>
      <c r="I59" s="201" t="s">
        <v>323</v>
      </c>
    </row>
    <row r="60" spans="2:9" ht="14.15" hidden="1">
      <c r="B60" s="222">
        <v>45324</v>
      </c>
      <c r="C60" s="201" t="s">
        <v>587</v>
      </c>
      <c r="D60" s="201" t="s">
        <v>133</v>
      </c>
      <c r="E60" s="291">
        <v>-47150</v>
      </c>
      <c r="F60" s="212">
        <v>45323</v>
      </c>
      <c r="G60" s="291" t="s">
        <v>109</v>
      </c>
      <c r="H60" s="201" t="s">
        <v>8137</v>
      </c>
      <c r="I60" s="201" t="s">
        <v>8099</v>
      </c>
    </row>
    <row r="61" spans="2:9" ht="14.15" hidden="1">
      <c r="B61" s="222">
        <v>45327</v>
      </c>
      <c r="C61" s="201" t="s">
        <v>635</v>
      </c>
      <c r="D61" s="201" t="s">
        <v>133</v>
      </c>
      <c r="E61" s="291">
        <v>-7207</v>
      </c>
      <c r="F61" s="212">
        <v>45323</v>
      </c>
      <c r="G61" s="291" t="s">
        <v>130</v>
      </c>
      <c r="H61" s="201" t="s">
        <v>130</v>
      </c>
      <c r="I61" s="201" t="s">
        <v>323</v>
      </c>
    </row>
    <row r="62" spans="2:9" ht="14.15" hidden="1">
      <c r="B62" s="222">
        <v>45328</v>
      </c>
      <c r="C62" s="201" t="s">
        <v>649</v>
      </c>
      <c r="D62" s="201" t="s">
        <v>133</v>
      </c>
      <c r="E62" s="291">
        <v>-6683</v>
      </c>
      <c r="F62" s="212">
        <v>45323</v>
      </c>
      <c r="G62" s="291" t="s">
        <v>110</v>
      </c>
      <c r="H62" s="201" t="s">
        <v>450</v>
      </c>
      <c r="I62" s="201" t="s">
        <v>175</v>
      </c>
    </row>
    <row r="63" spans="2:9" ht="14.15" hidden="1">
      <c r="B63" s="222">
        <v>45329</v>
      </c>
      <c r="C63" s="201" t="s">
        <v>661</v>
      </c>
      <c r="D63" s="201" t="s">
        <v>133</v>
      </c>
      <c r="E63" s="291">
        <v>-1330144</v>
      </c>
      <c r="F63" s="212">
        <v>45323</v>
      </c>
      <c r="G63" s="291" t="s">
        <v>109</v>
      </c>
      <c r="H63" s="201" t="s">
        <v>317</v>
      </c>
      <c r="I63" s="201"/>
    </row>
    <row r="64" spans="2:9" ht="14.15" hidden="1">
      <c r="B64" s="222">
        <v>45329</v>
      </c>
      <c r="C64" s="201" t="s">
        <v>666</v>
      </c>
      <c r="D64" s="201" t="s">
        <v>133</v>
      </c>
      <c r="E64" s="291">
        <v>-4663</v>
      </c>
      <c r="F64" s="212">
        <v>45323</v>
      </c>
      <c r="G64" s="291" t="s">
        <v>130</v>
      </c>
      <c r="H64" s="201" t="s">
        <v>130</v>
      </c>
      <c r="I64" s="201" t="s">
        <v>323</v>
      </c>
    </row>
    <row r="65" spans="2:9" ht="14.15" hidden="1">
      <c r="B65" s="222">
        <v>45330</v>
      </c>
      <c r="C65" s="201" t="s">
        <v>686</v>
      </c>
      <c r="D65" s="201" t="s">
        <v>133</v>
      </c>
      <c r="E65" s="291">
        <v>-3150</v>
      </c>
      <c r="F65" s="212">
        <v>45323</v>
      </c>
      <c r="G65" s="291" t="s">
        <v>110</v>
      </c>
      <c r="H65" s="201" t="s">
        <v>450</v>
      </c>
      <c r="I65" s="201"/>
    </row>
    <row r="66" spans="2:9" ht="14.15" hidden="1">
      <c r="B66" s="404">
        <v>45336</v>
      </c>
      <c r="C66" s="405" t="s">
        <v>794</v>
      </c>
      <c r="D66" s="201" t="s">
        <v>133</v>
      </c>
      <c r="E66" s="402">
        <v>-65454</v>
      </c>
      <c r="F66" s="212">
        <v>45323</v>
      </c>
      <c r="G66" s="174" t="s">
        <v>109</v>
      </c>
      <c r="H66" s="174" t="s">
        <v>8138</v>
      </c>
      <c r="I66" s="275" t="s">
        <v>8099</v>
      </c>
    </row>
    <row r="67" spans="2:9" ht="14.15" hidden="1">
      <c r="B67" s="190">
        <v>45336</v>
      </c>
      <c r="C67" s="174" t="s">
        <v>796</v>
      </c>
      <c r="D67" s="201" t="s">
        <v>133</v>
      </c>
      <c r="E67" s="291">
        <v>-17050</v>
      </c>
      <c r="F67" s="212">
        <v>45323</v>
      </c>
      <c r="G67" s="174" t="s">
        <v>130</v>
      </c>
      <c r="H67" s="174" t="s">
        <v>130</v>
      </c>
      <c r="I67" s="174" t="s">
        <v>323</v>
      </c>
    </row>
    <row r="68" spans="2:9" ht="14.15" hidden="1">
      <c r="B68" s="190">
        <v>45336</v>
      </c>
      <c r="C68" s="174" t="s">
        <v>801</v>
      </c>
      <c r="D68" s="201" t="s">
        <v>133</v>
      </c>
      <c r="E68" s="291">
        <v>-198647</v>
      </c>
      <c r="F68" s="212">
        <v>45323</v>
      </c>
      <c r="G68" s="291" t="s">
        <v>110</v>
      </c>
      <c r="H68" s="206" t="s">
        <v>8147</v>
      </c>
      <c r="I68" s="174" t="s">
        <v>212</v>
      </c>
    </row>
    <row r="69" spans="2:9" ht="14.15" hidden="1">
      <c r="B69" s="190">
        <v>45338</v>
      </c>
      <c r="C69" s="174" t="s">
        <v>867</v>
      </c>
      <c r="D69" s="201" t="s">
        <v>133</v>
      </c>
      <c r="E69" s="409">
        <v>-7200</v>
      </c>
      <c r="F69" s="212">
        <v>45323</v>
      </c>
      <c r="G69" s="174" t="s">
        <v>130</v>
      </c>
      <c r="H69" s="174" t="s">
        <v>257</v>
      </c>
      <c r="I69" s="174" t="s">
        <v>663</v>
      </c>
    </row>
    <row r="70" spans="2:9" ht="14.15" hidden="1">
      <c r="B70" s="190">
        <v>45342</v>
      </c>
      <c r="C70" s="174" t="s">
        <v>885</v>
      </c>
      <c r="D70" s="201" t="s">
        <v>133</v>
      </c>
      <c r="E70" s="291">
        <v>-12000</v>
      </c>
      <c r="F70" s="212">
        <v>45323</v>
      </c>
      <c r="G70" s="174" t="s">
        <v>109</v>
      </c>
      <c r="H70" s="174" t="s">
        <v>8148</v>
      </c>
      <c r="I70" s="174"/>
    </row>
    <row r="71" spans="2:9" ht="14.15" hidden="1">
      <c r="B71" s="190">
        <v>45342</v>
      </c>
      <c r="C71" s="174" t="s">
        <v>886</v>
      </c>
      <c r="D71" s="201" t="s">
        <v>133</v>
      </c>
      <c r="E71" s="291">
        <v>-80000</v>
      </c>
      <c r="F71" s="212">
        <v>45323</v>
      </c>
      <c r="G71" s="174" t="s">
        <v>109</v>
      </c>
      <c r="H71" s="174" t="s">
        <v>8148</v>
      </c>
      <c r="I71" s="174"/>
    </row>
    <row r="72" spans="2:9" hidden="1">
      <c r="B72" s="190">
        <v>45345</v>
      </c>
      <c r="C72" s="174" t="s">
        <v>922</v>
      </c>
      <c r="D72" s="174" t="s">
        <v>133</v>
      </c>
      <c r="E72" s="291">
        <v>-40705</v>
      </c>
      <c r="F72" s="192">
        <v>45323</v>
      </c>
      <c r="G72" s="174" t="s">
        <v>110</v>
      </c>
      <c r="H72" s="174" t="s">
        <v>8150</v>
      </c>
      <c r="I72" s="81"/>
    </row>
    <row r="73" spans="2:9" hidden="1">
      <c r="B73" s="81">
        <v>45350</v>
      </c>
      <c r="C73" s="81" t="s">
        <v>1054</v>
      </c>
      <c r="D73" s="81" t="s">
        <v>133</v>
      </c>
      <c r="E73" s="83">
        <v>-57734</v>
      </c>
      <c r="F73" s="81">
        <v>45323</v>
      </c>
      <c r="G73" s="81" t="s">
        <v>109</v>
      </c>
      <c r="H73" s="81" t="s">
        <v>8147</v>
      </c>
      <c r="I73" s="81" t="s">
        <v>8149</v>
      </c>
    </row>
    <row r="74" spans="2:9" hidden="1">
      <c r="B74" s="81">
        <v>45351</v>
      </c>
      <c r="C74" s="81" t="s">
        <v>1071</v>
      </c>
      <c r="D74" s="81" t="s">
        <v>133</v>
      </c>
      <c r="E74" s="83">
        <v>-364601</v>
      </c>
      <c r="F74" s="81">
        <v>45323</v>
      </c>
      <c r="G74" s="81" t="s">
        <v>109</v>
      </c>
      <c r="H74" s="81" t="s">
        <v>8138</v>
      </c>
      <c r="I74" s="81" t="s">
        <v>175</v>
      </c>
    </row>
    <row r="75" spans="2:9" ht="14.15" hidden="1">
      <c r="B75" s="190">
        <v>45352</v>
      </c>
      <c r="C75" s="174" t="s">
        <v>132</v>
      </c>
      <c r="D75" s="174" t="s">
        <v>133</v>
      </c>
      <c r="E75" s="291">
        <v>-89936</v>
      </c>
      <c r="F75" s="192">
        <v>45352</v>
      </c>
      <c r="G75" s="174" t="s">
        <v>130</v>
      </c>
      <c r="H75" s="204" t="s">
        <v>130</v>
      </c>
      <c r="I75" s="200" t="s">
        <v>184</v>
      </c>
    </row>
    <row r="76" spans="2:9" ht="14.15" hidden="1">
      <c r="B76" s="190">
        <v>45355</v>
      </c>
      <c r="C76" s="174" t="s">
        <v>1152</v>
      </c>
      <c r="D76" s="174" t="s">
        <v>133</v>
      </c>
      <c r="E76" s="291">
        <v>-310000</v>
      </c>
      <c r="F76" s="192">
        <v>45352</v>
      </c>
      <c r="G76" s="174" t="s">
        <v>109</v>
      </c>
      <c r="H76" s="204" t="s">
        <v>8138</v>
      </c>
      <c r="I76" s="200" t="s">
        <v>8099</v>
      </c>
    </row>
    <row r="77" spans="2:9" ht="14.15" hidden="1">
      <c r="B77" s="190">
        <v>45355</v>
      </c>
      <c r="C77" s="174" t="s">
        <v>1153</v>
      </c>
      <c r="D77" s="174" t="s">
        <v>133</v>
      </c>
      <c r="E77" s="291">
        <v>-108000</v>
      </c>
      <c r="F77" s="192">
        <v>45352</v>
      </c>
      <c r="G77" s="174" t="s">
        <v>109</v>
      </c>
      <c r="H77" s="204" t="s">
        <v>8151</v>
      </c>
      <c r="I77" s="200" t="s">
        <v>8099</v>
      </c>
    </row>
    <row r="78" spans="2:9" ht="14.15" hidden="1">
      <c r="B78" s="190">
        <v>45355</v>
      </c>
      <c r="C78" s="174" t="s">
        <v>1154</v>
      </c>
      <c r="D78" s="174" t="s">
        <v>133</v>
      </c>
      <c r="E78" s="291">
        <v>-108000</v>
      </c>
      <c r="F78" s="192">
        <v>45352</v>
      </c>
      <c r="G78" s="174" t="s">
        <v>109</v>
      </c>
      <c r="H78" s="204" t="s">
        <v>8152</v>
      </c>
      <c r="I78" s="200" t="s">
        <v>8099</v>
      </c>
    </row>
    <row r="79" spans="2:9" ht="14.15" hidden="1">
      <c r="B79" s="190">
        <v>45355</v>
      </c>
      <c r="C79" s="174" t="s">
        <v>1157</v>
      </c>
      <c r="D79" s="174" t="s">
        <v>133</v>
      </c>
      <c r="E79" s="291">
        <v>-6600</v>
      </c>
      <c r="F79" s="192">
        <v>45352</v>
      </c>
      <c r="G79" s="174" t="s">
        <v>130</v>
      </c>
      <c r="H79" s="204" t="s">
        <v>130</v>
      </c>
      <c r="I79" s="200" t="s">
        <v>184</v>
      </c>
    </row>
    <row r="80" spans="2:9" ht="14.15" hidden="1">
      <c r="B80" s="190">
        <v>45355</v>
      </c>
      <c r="C80" s="174" t="s">
        <v>1158</v>
      </c>
      <c r="D80" s="174" t="s">
        <v>133</v>
      </c>
      <c r="E80" s="291">
        <v>-1980</v>
      </c>
      <c r="F80" s="192">
        <v>45352</v>
      </c>
      <c r="G80" s="174" t="s">
        <v>130</v>
      </c>
      <c r="H80" s="204" t="s">
        <v>130</v>
      </c>
      <c r="I80" s="200" t="s">
        <v>184</v>
      </c>
    </row>
    <row r="81" spans="2:10" ht="14.15" hidden="1">
      <c r="B81" s="427">
        <v>45356</v>
      </c>
      <c r="C81" s="441" t="s">
        <v>1163</v>
      </c>
      <c r="D81" s="441" t="s">
        <v>133</v>
      </c>
      <c r="E81" s="425">
        <v>-140000</v>
      </c>
      <c r="F81" s="429">
        <v>45352</v>
      </c>
      <c r="G81" s="441" t="s">
        <v>109</v>
      </c>
      <c r="H81" s="442" t="s">
        <v>317</v>
      </c>
      <c r="I81" s="428" t="s">
        <v>8099</v>
      </c>
    </row>
    <row r="82" spans="2:10" hidden="1">
      <c r="B82" s="440">
        <v>45383</v>
      </c>
      <c r="C82" s="81" t="s">
        <v>1481</v>
      </c>
      <c r="D82" s="81" t="s">
        <v>133</v>
      </c>
      <c r="E82" s="291">
        <v>-95731</v>
      </c>
      <c r="F82" s="192">
        <v>45383</v>
      </c>
      <c r="G82" s="81" t="s">
        <v>130</v>
      </c>
      <c r="H82" s="81" t="s">
        <v>130</v>
      </c>
      <c r="I82" s="81" t="s">
        <v>184</v>
      </c>
      <c r="J82" s="81"/>
    </row>
    <row r="83" spans="2:10" hidden="1">
      <c r="B83" s="190">
        <v>45383</v>
      </c>
      <c r="C83" s="200" t="s">
        <v>1484</v>
      </c>
      <c r="D83" s="174" t="s">
        <v>133</v>
      </c>
      <c r="E83" s="291">
        <v>-3134</v>
      </c>
      <c r="F83" s="192">
        <v>45383</v>
      </c>
      <c r="G83" s="200" t="s">
        <v>109</v>
      </c>
      <c r="H83" s="200" t="s">
        <v>8138</v>
      </c>
      <c r="I83" s="81"/>
      <c r="J83" s="81"/>
    </row>
    <row r="84" spans="2:10" hidden="1">
      <c r="B84" s="190">
        <v>45383</v>
      </c>
      <c r="C84" s="200" t="s">
        <v>1486</v>
      </c>
      <c r="D84" s="174" t="s">
        <v>133</v>
      </c>
      <c r="E84" s="291">
        <v>-39988</v>
      </c>
      <c r="F84" s="192">
        <v>45383</v>
      </c>
      <c r="G84" s="200" t="s">
        <v>109</v>
      </c>
      <c r="H84" s="200" t="s">
        <v>8138</v>
      </c>
      <c r="I84" s="81"/>
      <c r="J84" s="81"/>
    </row>
    <row r="85" spans="2:10" hidden="1">
      <c r="B85" s="190">
        <v>45383</v>
      </c>
      <c r="C85" s="200" t="s">
        <v>1487</v>
      </c>
      <c r="D85" s="174" t="s">
        <v>133</v>
      </c>
      <c r="E85" s="291">
        <v>-7997</v>
      </c>
      <c r="F85" s="192">
        <v>45383</v>
      </c>
      <c r="G85" s="200" t="s">
        <v>109</v>
      </c>
      <c r="H85" s="200" t="s">
        <v>8138</v>
      </c>
      <c r="I85" s="81"/>
      <c r="J85" s="81"/>
    </row>
    <row r="86" spans="2:10" hidden="1">
      <c r="B86" s="190">
        <v>45383</v>
      </c>
      <c r="C86" s="200" t="s">
        <v>1488</v>
      </c>
      <c r="D86" s="174" t="s">
        <v>133</v>
      </c>
      <c r="E86" s="291">
        <v>-78400</v>
      </c>
      <c r="F86" s="192">
        <v>45383</v>
      </c>
      <c r="G86" s="200" t="s">
        <v>109</v>
      </c>
      <c r="H86" s="200" t="s">
        <v>317</v>
      </c>
      <c r="I86" s="81"/>
      <c r="J86" s="81"/>
    </row>
    <row r="87" spans="2:10" ht="14.15" hidden="1">
      <c r="B87" s="190">
        <v>45392</v>
      </c>
      <c r="C87" s="200" t="s">
        <v>1692</v>
      </c>
      <c r="D87" s="174" t="s">
        <v>133</v>
      </c>
      <c r="E87" s="291">
        <v>-189000</v>
      </c>
      <c r="F87" s="192">
        <v>45383</v>
      </c>
      <c r="G87" s="200" t="s">
        <v>109</v>
      </c>
      <c r="H87" s="204" t="s">
        <v>8138</v>
      </c>
      <c r="I87" s="81"/>
      <c r="J87" s="81"/>
    </row>
    <row r="88" spans="2:10" hidden="1">
      <c r="B88" s="190">
        <v>45392</v>
      </c>
      <c r="C88" s="200" t="s">
        <v>1693</v>
      </c>
      <c r="D88" s="200" t="s">
        <v>133</v>
      </c>
      <c r="E88" s="291">
        <v>-315000</v>
      </c>
      <c r="F88" s="192">
        <v>45383</v>
      </c>
      <c r="G88" s="200" t="s">
        <v>109</v>
      </c>
      <c r="H88" s="200" t="s">
        <v>8138</v>
      </c>
      <c r="I88" s="81"/>
      <c r="J88" s="81"/>
    </row>
    <row r="89" spans="2:10" hidden="1">
      <c r="B89" s="190">
        <v>45393</v>
      </c>
      <c r="C89" s="200" t="s">
        <v>1705</v>
      </c>
      <c r="D89" s="200" t="s">
        <v>133</v>
      </c>
      <c r="E89" s="291">
        <v>-376000</v>
      </c>
      <c r="F89" s="192">
        <v>45383</v>
      </c>
      <c r="G89" s="200" t="s">
        <v>109</v>
      </c>
      <c r="H89" s="200" t="s">
        <v>8138</v>
      </c>
      <c r="I89" s="81"/>
      <c r="J89" s="81"/>
    </row>
    <row r="90" spans="2:10" hidden="1">
      <c r="B90" s="190">
        <v>45391</v>
      </c>
      <c r="C90" s="200" t="s">
        <v>1730</v>
      </c>
      <c r="D90" s="200" t="s">
        <v>133</v>
      </c>
      <c r="E90" s="291">
        <v>-14700</v>
      </c>
      <c r="F90" s="192">
        <v>45383</v>
      </c>
      <c r="G90" s="200" t="s">
        <v>109</v>
      </c>
      <c r="H90" s="200" t="s">
        <v>8138</v>
      </c>
      <c r="I90" s="81"/>
      <c r="J90" s="81"/>
    </row>
    <row r="91" spans="2:10" hidden="1">
      <c r="B91" s="190">
        <v>45026</v>
      </c>
      <c r="C91" s="81" t="s">
        <v>1796</v>
      </c>
      <c r="D91" s="81" t="s">
        <v>133</v>
      </c>
      <c r="E91" s="83">
        <v>-20000</v>
      </c>
      <c r="F91" s="192">
        <v>45383</v>
      </c>
      <c r="G91" s="81" t="s">
        <v>109</v>
      </c>
      <c r="H91" s="81" t="s">
        <v>8138</v>
      </c>
      <c r="I91" s="81"/>
      <c r="J91" s="81"/>
    </row>
    <row r="92" spans="2:10" hidden="1">
      <c r="B92" s="190">
        <v>45419</v>
      </c>
      <c r="C92" s="190" t="s">
        <v>2074</v>
      </c>
      <c r="D92" s="190" t="s">
        <v>133</v>
      </c>
      <c r="E92" s="83">
        <v>-5500</v>
      </c>
      <c r="F92" s="190">
        <v>45413</v>
      </c>
      <c r="G92" s="190" t="s">
        <v>109</v>
      </c>
      <c r="H92" s="190" t="s">
        <v>8138</v>
      </c>
      <c r="I92" s="190"/>
      <c r="J92" s="190"/>
    </row>
    <row r="93" spans="2:10" hidden="1">
      <c r="B93" s="190">
        <v>45419</v>
      </c>
      <c r="C93" s="190" t="s">
        <v>2075</v>
      </c>
      <c r="D93" s="190" t="s">
        <v>133</v>
      </c>
      <c r="E93" s="83">
        <v>-3300</v>
      </c>
      <c r="F93" s="190">
        <v>45413</v>
      </c>
      <c r="G93" s="190" t="s">
        <v>109</v>
      </c>
      <c r="H93" s="190" t="s">
        <v>8138</v>
      </c>
      <c r="I93" s="190"/>
      <c r="J93" s="190"/>
    </row>
    <row r="94" spans="2:10" hidden="1">
      <c r="B94" s="190">
        <v>45418</v>
      </c>
      <c r="C94" s="190" t="s">
        <v>2142</v>
      </c>
      <c r="D94" s="190" t="s">
        <v>133</v>
      </c>
      <c r="E94" s="83">
        <v>-3200</v>
      </c>
      <c r="F94" s="190">
        <v>45413</v>
      </c>
      <c r="G94" s="190" t="s">
        <v>110</v>
      </c>
      <c r="H94" s="190" t="s">
        <v>774</v>
      </c>
      <c r="I94" s="190" t="s">
        <v>6929</v>
      </c>
      <c r="J94" s="190"/>
    </row>
    <row r="95" spans="2:10" hidden="1">
      <c r="B95" s="190">
        <v>45422</v>
      </c>
      <c r="C95" s="190" t="s">
        <v>2250</v>
      </c>
      <c r="D95" s="190" t="s">
        <v>133</v>
      </c>
      <c r="E95" s="83">
        <v>-36400</v>
      </c>
      <c r="F95" s="190">
        <v>45413</v>
      </c>
      <c r="G95" s="190" t="s">
        <v>109</v>
      </c>
      <c r="H95" s="190" t="s">
        <v>8138</v>
      </c>
      <c r="I95" s="190"/>
      <c r="J95" s="190"/>
    </row>
    <row r="96" spans="2:10" hidden="1">
      <c r="B96" s="190">
        <v>45426</v>
      </c>
      <c r="C96" s="190" t="s">
        <v>2265</v>
      </c>
      <c r="D96" s="190" t="s">
        <v>133</v>
      </c>
      <c r="E96" s="83">
        <v>-104000</v>
      </c>
      <c r="F96" s="190">
        <v>45413</v>
      </c>
      <c r="G96" s="190" t="s">
        <v>130</v>
      </c>
      <c r="H96" s="190" t="s">
        <v>130</v>
      </c>
      <c r="I96" s="190"/>
      <c r="J96" s="190"/>
    </row>
    <row r="97" spans="2:10" hidden="1">
      <c r="B97" s="190">
        <v>45426</v>
      </c>
      <c r="C97" s="190" t="s">
        <v>2269</v>
      </c>
      <c r="D97" s="190" t="s">
        <v>133</v>
      </c>
      <c r="E97" s="83">
        <v>-14000</v>
      </c>
      <c r="F97" s="190">
        <v>45413</v>
      </c>
      <c r="G97" s="190" t="s">
        <v>130</v>
      </c>
      <c r="H97" s="190" t="s">
        <v>130</v>
      </c>
      <c r="I97" s="190"/>
      <c r="J97" s="190"/>
    </row>
    <row r="98" spans="2:10" hidden="1">
      <c r="B98" s="190">
        <v>45426</v>
      </c>
      <c r="C98" s="190" t="s">
        <v>2279</v>
      </c>
      <c r="D98" s="190" t="s">
        <v>133</v>
      </c>
      <c r="E98" s="83">
        <v>-12000</v>
      </c>
      <c r="F98" s="190">
        <v>45413</v>
      </c>
      <c r="G98" s="190" t="s">
        <v>130</v>
      </c>
      <c r="H98" s="190" t="s">
        <v>130</v>
      </c>
      <c r="I98" s="190" t="s">
        <v>1245</v>
      </c>
      <c r="J98" s="190"/>
    </row>
    <row r="99" spans="2:10" hidden="1">
      <c r="B99" s="190">
        <v>45426</v>
      </c>
      <c r="C99" s="190" t="s">
        <v>2280</v>
      </c>
      <c r="D99" s="190" t="s">
        <v>133</v>
      </c>
      <c r="E99" s="83">
        <v>-80000</v>
      </c>
      <c r="F99" s="190">
        <v>45413</v>
      </c>
      <c r="G99" s="190" t="s">
        <v>130</v>
      </c>
      <c r="H99" s="190" t="s">
        <v>130</v>
      </c>
      <c r="I99" s="190" t="s">
        <v>1245</v>
      </c>
      <c r="J99" s="190"/>
    </row>
    <row r="100" spans="2:10" hidden="1">
      <c r="B100" s="190">
        <v>45426</v>
      </c>
      <c r="C100" s="190" t="s">
        <v>2282</v>
      </c>
      <c r="D100" s="190" t="s">
        <v>133</v>
      </c>
      <c r="E100" s="83">
        <v>-84000</v>
      </c>
      <c r="F100" s="190">
        <v>45413</v>
      </c>
      <c r="G100" s="190" t="s">
        <v>109</v>
      </c>
      <c r="H100" s="190" t="s">
        <v>8138</v>
      </c>
      <c r="I100" s="190"/>
      <c r="J100" s="190"/>
    </row>
    <row r="101" spans="2:10" hidden="1">
      <c r="B101" s="190">
        <v>45429</v>
      </c>
      <c r="C101" s="190" t="s">
        <v>8153</v>
      </c>
      <c r="D101" s="190" t="s">
        <v>133</v>
      </c>
      <c r="E101" s="83">
        <v>-9500</v>
      </c>
      <c r="F101" s="190">
        <v>45413</v>
      </c>
      <c r="G101" s="190" t="s">
        <v>109</v>
      </c>
      <c r="H101" s="190" t="s">
        <v>8137</v>
      </c>
      <c r="I101" s="190"/>
      <c r="J101" s="190"/>
    </row>
    <row r="102" spans="2:10" hidden="1">
      <c r="B102" s="190">
        <v>45429</v>
      </c>
      <c r="C102" s="190" t="s">
        <v>2359</v>
      </c>
      <c r="D102" s="190" t="s">
        <v>133</v>
      </c>
      <c r="E102" s="83">
        <v>-5700</v>
      </c>
      <c r="F102" s="190">
        <v>45413</v>
      </c>
      <c r="G102" s="190" t="s">
        <v>109</v>
      </c>
      <c r="H102" s="190" t="s">
        <v>8137</v>
      </c>
      <c r="I102" s="190"/>
      <c r="J102" s="190"/>
    </row>
    <row r="103" spans="2:10" hidden="1">
      <c r="B103" s="190">
        <v>45432</v>
      </c>
      <c r="C103" s="190" t="s">
        <v>2487</v>
      </c>
      <c r="D103" s="190" t="s">
        <v>133</v>
      </c>
      <c r="E103" s="83">
        <v>-2400</v>
      </c>
      <c r="F103" s="190">
        <v>45413</v>
      </c>
      <c r="G103" s="190" t="s">
        <v>130</v>
      </c>
      <c r="H103" s="190" t="s">
        <v>130</v>
      </c>
      <c r="I103" s="190" t="s">
        <v>6929</v>
      </c>
      <c r="J103" s="190"/>
    </row>
    <row r="104" spans="2:10" hidden="1">
      <c r="B104" s="274">
        <v>45432</v>
      </c>
      <c r="C104" s="274" t="s">
        <v>2488</v>
      </c>
      <c r="D104" s="274" t="s">
        <v>133</v>
      </c>
      <c r="E104" s="83">
        <v>-1440</v>
      </c>
      <c r="F104" s="274">
        <v>45413</v>
      </c>
      <c r="G104" s="274" t="s">
        <v>130</v>
      </c>
      <c r="H104" s="274" t="s">
        <v>130</v>
      </c>
      <c r="I104" s="274" t="s">
        <v>6929</v>
      </c>
      <c r="J104" s="274"/>
    </row>
    <row r="105" spans="2:10" ht="14.15" hidden="1">
      <c r="B105" s="205">
        <v>45440</v>
      </c>
      <c r="C105" s="208" t="s">
        <v>2359</v>
      </c>
      <c r="D105" s="206" t="s">
        <v>133</v>
      </c>
      <c r="E105" s="211">
        <v>-3150</v>
      </c>
      <c r="F105" s="207">
        <v>45413</v>
      </c>
      <c r="G105" s="206" t="s">
        <v>130</v>
      </c>
      <c r="H105" s="206" t="s">
        <v>130</v>
      </c>
      <c r="I105" s="206" t="s">
        <v>6929</v>
      </c>
    </row>
    <row r="106" spans="2:10" ht="14.15" hidden="1">
      <c r="B106" s="205">
        <v>45440</v>
      </c>
      <c r="C106" s="208" t="s">
        <v>2359</v>
      </c>
      <c r="D106" s="206" t="s">
        <v>133</v>
      </c>
      <c r="E106" s="211">
        <v>-1890</v>
      </c>
      <c r="F106" s="207">
        <v>45413</v>
      </c>
      <c r="G106" s="206" t="s">
        <v>130</v>
      </c>
      <c r="H106" s="206" t="s">
        <v>130</v>
      </c>
      <c r="I106" s="206" t="s">
        <v>6929</v>
      </c>
    </row>
    <row r="107" spans="2:10" ht="14.15" hidden="1">
      <c r="B107" s="205">
        <v>45439</v>
      </c>
      <c r="C107" s="208" t="s">
        <v>2599</v>
      </c>
      <c r="D107" s="206" t="s">
        <v>133</v>
      </c>
      <c r="E107" s="211">
        <v>-103200</v>
      </c>
      <c r="F107" s="207">
        <v>45413</v>
      </c>
      <c r="G107" s="206" t="s">
        <v>130</v>
      </c>
      <c r="H107" s="206" t="s">
        <v>130</v>
      </c>
      <c r="I107" s="206"/>
    </row>
    <row r="108" spans="2:10" ht="14.15" hidden="1">
      <c r="B108" s="205">
        <v>45442</v>
      </c>
      <c r="C108" s="208" t="s">
        <v>2619</v>
      </c>
      <c r="D108" s="206" t="s">
        <v>133</v>
      </c>
      <c r="E108" s="211">
        <v>-2210</v>
      </c>
      <c r="F108" s="207">
        <v>45413</v>
      </c>
      <c r="G108" s="206" t="s">
        <v>130</v>
      </c>
      <c r="H108" s="206" t="s">
        <v>130</v>
      </c>
      <c r="I108" s="206" t="s">
        <v>6929</v>
      </c>
    </row>
    <row r="109" spans="2:10" ht="14.15" hidden="1">
      <c r="B109" s="205">
        <v>45442</v>
      </c>
      <c r="C109" s="208" t="s">
        <v>2620</v>
      </c>
      <c r="D109" s="206" t="s">
        <v>133</v>
      </c>
      <c r="E109" s="211">
        <v>-1326</v>
      </c>
      <c r="F109" s="207">
        <v>45413</v>
      </c>
      <c r="G109" s="206" t="s">
        <v>130</v>
      </c>
      <c r="H109" s="206" t="s">
        <v>130</v>
      </c>
      <c r="I109" s="206" t="s">
        <v>6929</v>
      </c>
    </row>
    <row r="110" spans="2:10" ht="14.15" hidden="1">
      <c r="B110" s="205">
        <v>45442</v>
      </c>
      <c r="C110" s="208" t="s">
        <v>2621</v>
      </c>
      <c r="D110" s="206" t="s">
        <v>133</v>
      </c>
      <c r="E110" s="211">
        <v>-9500</v>
      </c>
      <c r="F110" s="207">
        <v>45413</v>
      </c>
      <c r="G110" s="206" t="s">
        <v>130</v>
      </c>
      <c r="H110" s="206" t="s">
        <v>130</v>
      </c>
      <c r="I110" s="206"/>
    </row>
    <row r="111" spans="2:10" ht="14.15" hidden="1">
      <c r="B111" s="205">
        <v>45442</v>
      </c>
      <c r="C111" s="208" t="s">
        <v>2622</v>
      </c>
      <c r="D111" s="206" t="s">
        <v>133</v>
      </c>
      <c r="E111" s="211">
        <v>-1858</v>
      </c>
      <c r="F111" s="207">
        <v>45413</v>
      </c>
      <c r="G111" s="206" t="s">
        <v>130</v>
      </c>
      <c r="H111" s="206" t="s">
        <v>130</v>
      </c>
      <c r="I111" s="206"/>
    </row>
    <row r="112" spans="2:10" ht="14.15" hidden="1">
      <c r="B112" s="205">
        <v>45442</v>
      </c>
      <c r="C112" s="208" t="s">
        <v>2622</v>
      </c>
      <c r="D112" s="206" t="s">
        <v>133</v>
      </c>
      <c r="E112" s="211">
        <v>-2885</v>
      </c>
      <c r="F112" s="207">
        <v>45413</v>
      </c>
      <c r="G112" s="206" t="s">
        <v>130</v>
      </c>
      <c r="H112" s="206" t="s">
        <v>130</v>
      </c>
      <c r="I112" s="206"/>
    </row>
    <row r="113" spans="2:9" ht="14.15" hidden="1">
      <c r="B113" s="205">
        <v>45442</v>
      </c>
      <c r="C113" s="208" t="s">
        <v>2622</v>
      </c>
      <c r="D113" s="206" t="s">
        <v>133</v>
      </c>
      <c r="E113" s="211">
        <v>-4433</v>
      </c>
      <c r="F113" s="207">
        <v>45413</v>
      </c>
      <c r="G113" s="206" t="s">
        <v>8050</v>
      </c>
      <c r="H113" s="206" t="s">
        <v>8154</v>
      </c>
      <c r="I113" s="206"/>
    </row>
    <row r="114" spans="2:9" ht="14.15" hidden="1">
      <c r="B114" s="205">
        <v>45442</v>
      </c>
      <c r="C114" s="208" t="s">
        <v>2623</v>
      </c>
      <c r="D114" s="206" t="s">
        <v>133</v>
      </c>
      <c r="E114" s="211">
        <v>-14355</v>
      </c>
      <c r="F114" s="207">
        <v>45413</v>
      </c>
      <c r="G114" s="206" t="s">
        <v>130</v>
      </c>
      <c r="H114" s="206" t="s">
        <v>130</v>
      </c>
      <c r="I114" s="206"/>
    </row>
    <row r="115" spans="2:9" ht="14.15" hidden="1">
      <c r="B115" s="205">
        <v>45442</v>
      </c>
      <c r="C115" s="208" t="s">
        <v>2624</v>
      </c>
      <c r="D115" s="206" t="s">
        <v>133</v>
      </c>
      <c r="E115" s="211">
        <v>-59811</v>
      </c>
      <c r="F115" s="207">
        <v>45413</v>
      </c>
      <c r="G115" s="206" t="s">
        <v>130</v>
      </c>
      <c r="H115" s="206" t="s">
        <v>130</v>
      </c>
      <c r="I115" s="206"/>
    </row>
    <row r="116" spans="2:9" ht="14.15" hidden="1">
      <c r="B116" s="205">
        <v>45448</v>
      </c>
      <c r="C116" s="208" t="s">
        <v>2840</v>
      </c>
      <c r="D116" s="206" t="s">
        <v>133</v>
      </c>
      <c r="E116" s="211">
        <v>-3145</v>
      </c>
      <c r="F116" s="207">
        <v>45444</v>
      </c>
      <c r="G116" s="206" t="s">
        <v>109</v>
      </c>
      <c r="H116" s="206" t="s">
        <v>8155</v>
      </c>
      <c r="I116" s="206" t="s">
        <v>6929</v>
      </c>
    </row>
    <row r="117" spans="2:9" ht="14.15" hidden="1">
      <c r="B117" s="205">
        <v>45448</v>
      </c>
      <c r="C117" s="208" t="s">
        <v>2841</v>
      </c>
      <c r="D117" s="206" t="s">
        <v>133</v>
      </c>
      <c r="E117" s="211">
        <v>-1887</v>
      </c>
      <c r="F117" s="207">
        <v>45444</v>
      </c>
      <c r="G117" s="206" t="s">
        <v>109</v>
      </c>
      <c r="H117" s="206" t="s">
        <v>8155</v>
      </c>
      <c r="I117" s="206" t="s">
        <v>6929</v>
      </c>
    </row>
    <row r="118" spans="2:9" ht="14.15" hidden="1">
      <c r="B118" s="205">
        <v>45449</v>
      </c>
      <c r="C118" s="208" t="s">
        <v>2851</v>
      </c>
      <c r="D118" s="206" t="s">
        <v>133</v>
      </c>
      <c r="E118" s="211">
        <v>-8510</v>
      </c>
      <c r="F118" s="207">
        <v>45444</v>
      </c>
      <c r="G118" s="206" t="s">
        <v>109</v>
      </c>
      <c r="H118" s="206" t="s">
        <v>8137</v>
      </c>
      <c r="I118" s="206"/>
    </row>
    <row r="119" spans="2:9" ht="14.15" hidden="1">
      <c r="B119" s="205">
        <v>45449</v>
      </c>
      <c r="C119" s="208" t="s">
        <v>2852</v>
      </c>
      <c r="D119" s="206" t="s">
        <v>133</v>
      </c>
      <c r="E119" s="211">
        <v>-5106</v>
      </c>
      <c r="F119" s="207">
        <v>45444</v>
      </c>
      <c r="G119" s="206" t="s">
        <v>109</v>
      </c>
      <c r="H119" s="206" t="s">
        <v>8137</v>
      </c>
      <c r="I119" s="206"/>
    </row>
    <row r="120" spans="2:9" ht="14.15" hidden="1">
      <c r="B120" s="205">
        <v>45456</v>
      </c>
      <c r="C120" s="208" t="s">
        <v>2885</v>
      </c>
      <c r="D120" s="206" t="s">
        <v>133</v>
      </c>
      <c r="E120" s="211">
        <v>-2920</v>
      </c>
      <c r="F120" s="207">
        <v>45444</v>
      </c>
      <c r="G120" s="206" t="s">
        <v>110</v>
      </c>
      <c r="H120" s="206" t="s">
        <v>8156</v>
      </c>
      <c r="I120" s="206"/>
    </row>
    <row r="121" spans="2:9" ht="14.15" hidden="1">
      <c r="B121" s="205">
        <v>45456</v>
      </c>
      <c r="C121" s="208" t="s">
        <v>2886</v>
      </c>
      <c r="D121" s="206" t="s">
        <v>133</v>
      </c>
      <c r="E121" s="211">
        <v>-1752</v>
      </c>
      <c r="F121" s="207">
        <v>45444</v>
      </c>
      <c r="G121" s="206" t="s">
        <v>110</v>
      </c>
      <c r="H121" s="206" t="s">
        <v>8156</v>
      </c>
      <c r="I121" s="206"/>
    </row>
    <row r="122" spans="2:9" ht="14.15" hidden="1">
      <c r="B122" s="205">
        <v>45456</v>
      </c>
      <c r="C122" s="208" t="s">
        <v>2887</v>
      </c>
      <c r="D122" s="206" t="s">
        <v>133</v>
      </c>
      <c r="E122" s="211">
        <v>-1960</v>
      </c>
      <c r="F122" s="207">
        <v>45444</v>
      </c>
      <c r="G122" s="206" t="s">
        <v>110</v>
      </c>
      <c r="H122" s="206" t="s">
        <v>8157</v>
      </c>
      <c r="I122" s="206"/>
    </row>
    <row r="123" spans="2:9" ht="14.15" hidden="1">
      <c r="B123" s="205">
        <v>45456</v>
      </c>
      <c r="C123" s="208" t="s">
        <v>2888</v>
      </c>
      <c r="D123" s="206" t="s">
        <v>133</v>
      </c>
      <c r="E123" s="211">
        <v>-1176</v>
      </c>
      <c r="F123" s="207">
        <v>45444</v>
      </c>
      <c r="G123" s="206" t="s">
        <v>110</v>
      </c>
      <c r="H123" s="206" t="s">
        <v>8157</v>
      </c>
      <c r="I123" s="206"/>
    </row>
    <row r="124" spans="2:9" ht="15" hidden="1">
      <c r="B124" s="205">
        <v>45455</v>
      </c>
      <c r="C124" s="208" t="s">
        <v>2934</v>
      </c>
      <c r="D124" s="206" t="s">
        <v>133</v>
      </c>
      <c r="E124" s="211">
        <v>-3000</v>
      </c>
      <c r="F124" s="456">
        <v>45444</v>
      </c>
      <c r="G124" s="206" t="s">
        <v>109</v>
      </c>
      <c r="H124" s="223" t="s">
        <v>8137</v>
      </c>
      <c r="I124" s="206" t="s">
        <v>6929</v>
      </c>
    </row>
    <row r="125" spans="2:9" ht="15" hidden="1">
      <c r="B125" s="205">
        <v>45455</v>
      </c>
      <c r="C125" s="208" t="s">
        <v>2935</v>
      </c>
      <c r="D125" s="206" t="s">
        <v>133</v>
      </c>
      <c r="E125" s="211">
        <v>-1800</v>
      </c>
      <c r="F125" s="456">
        <v>45444</v>
      </c>
      <c r="G125" s="206" t="s">
        <v>109</v>
      </c>
      <c r="H125" s="223" t="s">
        <v>8137</v>
      </c>
      <c r="I125" s="206" t="s">
        <v>6929</v>
      </c>
    </row>
    <row r="126" spans="2:9" ht="15.45" hidden="1">
      <c r="B126" s="457">
        <v>45460</v>
      </c>
      <c r="C126" s="208" t="s">
        <v>3025</v>
      </c>
      <c r="D126" s="223" t="s">
        <v>133</v>
      </c>
      <c r="E126" s="450">
        <v>-1970</v>
      </c>
      <c r="F126" s="207">
        <v>45444</v>
      </c>
      <c r="G126" s="206" t="s">
        <v>110</v>
      </c>
      <c r="H126" s="223" t="s">
        <v>774</v>
      </c>
      <c r="I126" s="206" t="s">
        <v>6929</v>
      </c>
    </row>
    <row r="127" spans="2:9" ht="15.45" hidden="1">
      <c r="B127" s="457">
        <v>45460</v>
      </c>
      <c r="C127" s="208" t="s">
        <v>3026</v>
      </c>
      <c r="D127" s="223" t="s">
        <v>133</v>
      </c>
      <c r="E127" s="450">
        <v>-1182</v>
      </c>
      <c r="F127" s="207">
        <v>45444</v>
      </c>
      <c r="G127" s="206" t="s">
        <v>110</v>
      </c>
      <c r="H127" s="223" t="s">
        <v>774</v>
      </c>
      <c r="I127" s="206" t="s">
        <v>6929</v>
      </c>
    </row>
    <row r="128" spans="2:9" ht="15.45" hidden="1">
      <c r="B128" s="457">
        <v>45461</v>
      </c>
      <c r="C128" s="208" t="s">
        <v>3027</v>
      </c>
      <c r="D128" s="223" t="s">
        <v>133</v>
      </c>
      <c r="E128" s="450">
        <v>-1806</v>
      </c>
      <c r="F128" s="207">
        <v>45444</v>
      </c>
      <c r="G128" s="206" t="s">
        <v>109</v>
      </c>
      <c r="H128" s="223" t="s">
        <v>8158</v>
      </c>
      <c r="I128" s="206" t="s">
        <v>6929</v>
      </c>
    </row>
    <row r="129" spans="2:9" ht="15.45" hidden="1">
      <c r="B129" s="457">
        <v>45461</v>
      </c>
      <c r="C129" s="208" t="s">
        <v>2886</v>
      </c>
      <c r="D129" s="223" t="s">
        <v>133</v>
      </c>
      <c r="E129" s="450">
        <v>-3010</v>
      </c>
      <c r="F129" s="207">
        <v>45444</v>
      </c>
      <c r="G129" s="206" t="s">
        <v>109</v>
      </c>
      <c r="H129" s="223" t="s">
        <v>8158</v>
      </c>
      <c r="I129" s="206" t="s">
        <v>6929</v>
      </c>
    </row>
    <row r="130" spans="2:9" ht="15.45" hidden="1">
      <c r="B130" s="457">
        <v>45463</v>
      </c>
      <c r="C130" s="208" t="s">
        <v>3029</v>
      </c>
      <c r="D130" s="223" t="s">
        <v>133</v>
      </c>
      <c r="E130" s="450">
        <v>-1920</v>
      </c>
      <c r="F130" s="207">
        <v>45444</v>
      </c>
      <c r="G130" s="206" t="s">
        <v>130</v>
      </c>
      <c r="H130" s="223" t="s">
        <v>130</v>
      </c>
      <c r="I130" s="206" t="s">
        <v>6929</v>
      </c>
    </row>
    <row r="131" spans="2:9" ht="15.45" hidden="1">
      <c r="B131" s="457">
        <v>45463</v>
      </c>
      <c r="C131" s="208" t="s">
        <v>3030</v>
      </c>
      <c r="D131" s="223" t="s">
        <v>133</v>
      </c>
      <c r="E131" s="450">
        <v>-1152</v>
      </c>
      <c r="F131" s="207">
        <v>45444</v>
      </c>
      <c r="G131" s="206" t="s">
        <v>130</v>
      </c>
      <c r="H131" s="223" t="s">
        <v>130</v>
      </c>
      <c r="I131" s="206" t="s">
        <v>6929</v>
      </c>
    </row>
    <row r="132" spans="2:9" ht="15.45" hidden="1">
      <c r="B132" s="457">
        <v>45468</v>
      </c>
      <c r="C132" t="s">
        <v>3187</v>
      </c>
      <c r="D132" t="s">
        <v>133</v>
      </c>
      <c r="E132">
        <v>-1980</v>
      </c>
      <c r="F132" s="207">
        <v>45444</v>
      </c>
      <c r="G132" t="s">
        <v>110</v>
      </c>
      <c r="H132" t="s">
        <v>8159</v>
      </c>
      <c r="I132" t="s">
        <v>8160</v>
      </c>
    </row>
    <row r="133" spans="2:9" ht="15.45" hidden="1">
      <c r="B133" s="457">
        <v>45468</v>
      </c>
      <c r="C133" t="s">
        <v>3188</v>
      </c>
      <c r="D133" t="s">
        <v>133</v>
      </c>
      <c r="E133">
        <v>-1188</v>
      </c>
      <c r="F133" s="207">
        <v>45444</v>
      </c>
      <c r="G133" t="s">
        <v>110</v>
      </c>
      <c r="H133" t="s">
        <v>8159</v>
      </c>
      <c r="I133" t="s">
        <v>8160</v>
      </c>
    </row>
    <row r="134" spans="2:9" ht="15.45" hidden="1">
      <c r="B134" s="457">
        <v>45471</v>
      </c>
      <c r="C134" t="s">
        <v>3190</v>
      </c>
      <c r="D134" t="s">
        <v>133</v>
      </c>
      <c r="E134">
        <v>-2830</v>
      </c>
      <c r="F134" s="207">
        <v>45444</v>
      </c>
      <c r="G134" t="s">
        <v>109</v>
      </c>
      <c r="H134" t="s">
        <v>8161</v>
      </c>
      <c r="I134" t="s">
        <v>8160</v>
      </c>
    </row>
    <row r="135" spans="2:9" ht="15.45" hidden="1">
      <c r="B135" s="457">
        <v>45471</v>
      </c>
      <c r="C135" t="s">
        <v>3191</v>
      </c>
      <c r="D135" t="s">
        <v>133</v>
      </c>
      <c r="E135">
        <v>-1698</v>
      </c>
      <c r="F135" s="207">
        <v>45444</v>
      </c>
      <c r="G135" t="s">
        <v>109</v>
      </c>
      <c r="H135" t="s">
        <v>8161</v>
      </c>
      <c r="I135" t="s">
        <v>8160</v>
      </c>
    </row>
    <row r="136" spans="2:9" ht="14.15" hidden="1">
      <c r="B136" s="468">
        <v>45477</v>
      </c>
      <c r="C136" s="208" t="s">
        <v>3187</v>
      </c>
      <c r="D136" s="208" t="s">
        <v>133</v>
      </c>
      <c r="E136" s="450">
        <v>-1940</v>
      </c>
      <c r="F136" s="212">
        <v>45474</v>
      </c>
      <c r="G136" s="206" t="s">
        <v>109</v>
      </c>
      <c r="H136" s="206" t="s">
        <v>8161</v>
      </c>
    </row>
    <row r="137" spans="2:9" ht="14.15" hidden="1">
      <c r="B137" s="468">
        <v>45477</v>
      </c>
      <c r="C137" s="208" t="s">
        <v>3292</v>
      </c>
      <c r="D137" s="208" t="s">
        <v>133</v>
      </c>
      <c r="E137" s="450">
        <v>-1164</v>
      </c>
      <c r="F137" s="212">
        <v>45474</v>
      </c>
      <c r="G137" s="206" t="s">
        <v>109</v>
      </c>
      <c r="H137" s="206" t="s">
        <v>8161</v>
      </c>
    </row>
    <row r="138" spans="2:9" ht="14.15" hidden="1">
      <c r="B138" s="468">
        <v>45477</v>
      </c>
      <c r="C138" s="208" t="s">
        <v>3294</v>
      </c>
      <c r="D138" s="206" t="s">
        <v>133</v>
      </c>
      <c r="E138" s="450">
        <v>-3500</v>
      </c>
      <c r="F138" s="212">
        <v>45474</v>
      </c>
      <c r="G138" s="206" t="s">
        <v>207</v>
      </c>
      <c r="H138" s="206" t="s">
        <v>8162</v>
      </c>
    </row>
    <row r="139" spans="2:9" ht="14.15" hidden="1">
      <c r="B139" s="468">
        <v>45477</v>
      </c>
      <c r="C139" s="208" t="s">
        <v>3295</v>
      </c>
      <c r="D139" s="206" t="s">
        <v>133</v>
      </c>
      <c r="E139" s="450">
        <v>-2100</v>
      </c>
      <c r="F139" s="212">
        <v>45474</v>
      </c>
      <c r="G139" s="206" t="s">
        <v>207</v>
      </c>
      <c r="H139" s="206" t="s">
        <v>8162</v>
      </c>
    </row>
    <row r="140" spans="2:9" ht="14.15" hidden="1">
      <c r="B140" s="205">
        <v>45475</v>
      </c>
      <c r="C140" s="208" t="s">
        <v>3298</v>
      </c>
      <c r="D140" s="206" t="s">
        <v>133</v>
      </c>
      <c r="E140" s="450">
        <v>-2460</v>
      </c>
      <c r="F140" s="471">
        <v>45474</v>
      </c>
      <c r="G140" s="206" t="s">
        <v>207</v>
      </c>
      <c r="H140" s="206" t="s">
        <v>8163</v>
      </c>
    </row>
    <row r="141" spans="2:9" ht="14.15" hidden="1">
      <c r="B141" s="205">
        <v>45475</v>
      </c>
      <c r="C141" s="208" t="s">
        <v>3299</v>
      </c>
      <c r="D141" s="206" t="s">
        <v>133</v>
      </c>
      <c r="E141" s="450">
        <v>-1476</v>
      </c>
      <c r="F141" s="471">
        <v>45474</v>
      </c>
      <c r="G141" s="206" t="s">
        <v>207</v>
      </c>
      <c r="H141" s="206" t="s">
        <v>8163</v>
      </c>
    </row>
    <row r="142" spans="2:9" ht="14.15" hidden="1">
      <c r="B142" s="205">
        <v>45481</v>
      </c>
      <c r="C142" s="208" t="s">
        <v>3561</v>
      </c>
      <c r="D142" s="206" t="s">
        <v>4314</v>
      </c>
      <c r="E142" s="450">
        <v>-6300</v>
      </c>
      <c r="F142" s="207">
        <v>45474</v>
      </c>
      <c r="G142" s="206" t="s">
        <v>110</v>
      </c>
      <c r="H142" s="206" t="s">
        <v>8159</v>
      </c>
    </row>
    <row r="143" spans="2:9" ht="14.15" hidden="1">
      <c r="B143" s="205">
        <v>45481</v>
      </c>
      <c r="C143" s="208" t="s">
        <v>3562</v>
      </c>
      <c r="D143" s="206" t="s">
        <v>4314</v>
      </c>
      <c r="E143" s="450">
        <v>-3780</v>
      </c>
      <c r="F143" s="207">
        <v>45474</v>
      </c>
      <c r="G143" s="206" t="s">
        <v>110</v>
      </c>
      <c r="H143" s="206" t="s">
        <v>8159</v>
      </c>
    </row>
    <row r="144" spans="2:9" ht="14.15" hidden="1">
      <c r="B144" s="205">
        <v>45491</v>
      </c>
      <c r="C144" s="208" t="s">
        <v>3187</v>
      </c>
      <c r="D144" s="206" t="s">
        <v>4314</v>
      </c>
      <c r="E144" s="450">
        <v>-1910</v>
      </c>
      <c r="F144" s="207">
        <v>45474</v>
      </c>
      <c r="G144" s="206" t="s">
        <v>109</v>
      </c>
      <c r="H144" s="206" t="s">
        <v>8164</v>
      </c>
    </row>
    <row r="145" spans="2:8" ht="14.15" hidden="1">
      <c r="B145" s="205">
        <v>45491</v>
      </c>
      <c r="C145" s="208" t="s">
        <v>3714</v>
      </c>
      <c r="D145" s="206" t="s">
        <v>4314</v>
      </c>
      <c r="E145" s="450">
        <v>-1146</v>
      </c>
      <c r="F145" s="207">
        <v>45474</v>
      </c>
      <c r="G145" s="206" t="s">
        <v>109</v>
      </c>
      <c r="H145" s="206" t="s">
        <v>8164</v>
      </c>
    </row>
    <row r="146" spans="2:8" ht="14.15" hidden="1">
      <c r="B146" s="205">
        <v>45490</v>
      </c>
      <c r="C146" s="208" t="s">
        <v>3716</v>
      </c>
      <c r="D146" s="206" t="s">
        <v>4314</v>
      </c>
      <c r="E146" s="450">
        <v>-7680</v>
      </c>
      <c r="F146" s="207">
        <v>45474</v>
      </c>
      <c r="G146" s="206" t="s">
        <v>109</v>
      </c>
      <c r="H146" s="206" t="s">
        <v>8165</v>
      </c>
    </row>
    <row r="147" spans="2:8" ht="14.15" hidden="1">
      <c r="B147" s="205">
        <v>45490</v>
      </c>
      <c r="C147" s="208" t="s">
        <v>3717</v>
      </c>
      <c r="D147" s="206" t="s">
        <v>4314</v>
      </c>
      <c r="E147" s="450">
        <v>-4608</v>
      </c>
      <c r="F147" s="207">
        <v>45474</v>
      </c>
      <c r="G147" s="206" t="s">
        <v>109</v>
      </c>
      <c r="H147" s="206" t="s">
        <v>8165</v>
      </c>
    </row>
    <row r="148" spans="2:8" ht="14.15" hidden="1">
      <c r="B148" s="205">
        <v>45497</v>
      </c>
      <c r="C148" s="208" t="s">
        <v>3716</v>
      </c>
      <c r="D148" s="206" t="s">
        <v>133</v>
      </c>
      <c r="E148" s="450">
        <v>-4690</v>
      </c>
      <c r="F148" s="212">
        <v>45474</v>
      </c>
      <c r="G148" s="206" t="s">
        <v>109</v>
      </c>
      <c r="H148" s="206" t="s">
        <v>2585</v>
      </c>
    </row>
    <row r="149" spans="2:8" ht="14.15" hidden="1">
      <c r="B149" s="205">
        <v>45497</v>
      </c>
      <c r="C149" s="208" t="s">
        <v>3717</v>
      </c>
      <c r="D149" s="206" t="s">
        <v>133</v>
      </c>
      <c r="E149" s="450">
        <v>-2814</v>
      </c>
      <c r="F149" s="212">
        <v>45474</v>
      </c>
      <c r="G149" s="206" t="s">
        <v>109</v>
      </c>
      <c r="H149" s="206" t="s">
        <v>2585</v>
      </c>
    </row>
    <row r="150" spans="2:8" ht="14.15" hidden="1">
      <c r="B150" s="205">
        <v>45519</v>
      </c>
      <c r="C150" s="208" t="s">
        <v>3190</v>
      </c>
      <c r="D150" s="206" t="s">
        <v>133</v>
      </c>
      <c r="E150" s="450">
        <v>-5020</v>
      </c>
      <c r="F150" s="207">
        <v>45505</v>
      </c>
      <c r="G150" s="206" t="s">
        <v>109</v>
      </c>
      <c r="H150" s="206" t="s">
        <v>8166</v>
      </c>
    </row>
    <row r="151" spans="2:8" ht="14.15" hidden="1">
      <c r="B151" s="205">
        <v>45519</v>
      </c>
      <c r="C151" s="208" t="s">
        <v>4133</v>
      </c>
      <c r="D151" s="206" t="s">
        <v>133</v>
      </c>
      <c r="E151" s="450">
        <v>-3012</v>
      </c>
      <c r="F151" s="207">
        <v>45505</v>
      </c>
      <c r="G151" s="206" t="s">
        <v>109</v>
      </c>
      <c r="H151" s="206" t="s">
        <v>8166</v>
      </c>
    </row>
    <row r="152" spans="2:8" ht="14.15" hidden="1">
      <c r="B152" s="205">
        <v>45520</v>
      </c>
      <c r="C152" s="208" t="s">
        <v>3187</v>
      </c>
      <c r="D152" s="206" t="s">
        <v>133</v>
      </c>
      <c r="E152" s="450">
        <v>-1830</v>
      </c>
      <c r="F152" s="207">
        <v>45505</v>
      </c>
      <c r="G152" s="206" t="s">
        <v>110</v>
      </c>
      <c r="H152" s="206" t="s">
        <v>8167</v>
      </c>
    </row>
    <row r="153" spans="2:8" ht="14.15" hidden="1">
      <c r="B153" s="205">
        <v>45520</v>
      </c>
      <c r="C153" s="208" t="s">
        <v>3292</v>
      </c>
      <c r="D153" s="206" t="s">
        <v>133</v>
      </c>
      <c r="E153" s="450">
        <v>-1098</v>
      </c>
      <c r="F153" s="207">
        <v>45505</v>
      </c>
      <c r="G153" s="206" t="s">
        <v>110</v>
      </c>
      <c r="H153" s="206" t="s">
        <v>8167</v>
      </c>
    </row>
    <row r="154" spans="2:8" ht="14.15" hidden="1">
      <c r="B154" s="205">
        <v>45518</v>
      </c>
      <c r="C154" s="208" t="s">
        <v>4314</v>
      </c>
      <c r="D154" s="206" t="s">
        <v>133</v>
      </c>
      <c r="E154" s="498">
        <v>-465500</v>
      </c>
      <c r="F154" s="207">
        <v>45505</v>
      </c>
      <c r="G154" s="206" t="s">
        <v>109</v>
      </c>
      <c r="H154" s="206" t="s">
        <v>8168</v>
      </c>
    </row>
    <row r="155" spans="2:8" ht="14.15" hidden="1">
      <c r="B155" s="205">
        <v>45518</v>
      </c>
      <c r="C155" s="208" t="s">
        <v>4315</v>
      </c>
      <c r="D155" s="206" t="s">
        <v>133</v>
      </c>
      <c r="E155" s="498">
        <v>-79800</v>
      </c>
      <c r="F155" s="207">
        <v>45505</v>
      </c>
      <c r="G155" s="206" t="s">
        <v>109</v>
      </c>
      <c r="H155" s="206" t="s">
        <v>8168</v>
      </c>
    </row>
    <row r="156" spans="2:8" ht="14.15" hidden="1">
      <c r="B156" s="205">
        <v>45518</v>
      </c>
      <c r="C156" s="208" t="s">
        <v>4314</v>
      </c>
      <c r="D156" s="206" t="s">
        <v>133</v>
      </c>
      <c r="E156" s="498">
        <v>-465500</v>
      </c>
      <c r="F156" s="207">
        <v>45505</v>
      </c>
      <c r="G156" s="206" t="s">
        <v>109</v>
      </c>
      <c r="H156" s="206" t="s">
        <v>8168</v>
      </c>
    </row>
    <row r="157" spans="2:8" ht="14.15" hidden="1">
      <c r="B157" s="205">
        <v>45518</v>
      </c>
      <c r="C157" s="208" t="s">
        <v>4315</v>
      </c>
      <c r="D157" s="206" t="s">
        <v>133</v>
      </c>
      <c r="E157" s="498">
        <v>-79800</v>
      </c>
      <c r="F157" s="207">
        <v>45505</v>
      </c>
      <c r="G157" s="206" t="s">
        <v>109</v>
      </c>
      <c r="H157" s="206" t="s">
        <v>8168</v>
      </c>
    </row>
    <row r="158" spans="2:8" ht="14.15" hidden="1">
      <c r="B158" s="205">
        <v>45518</v>
      </c>
      <c r="C158" s="208" t="s">
        <v>4319</v>
      </c>
      <c r="D158" s="206" t="s">
        <v>133</v>
      </c>
      <c r="E158" s="498">
        <v>-3750000</v>
      </c>
      <c r="F158" s="207">
        <v>45505</v>
      </c>
      <c r="G158" s="206" t="s">
        <v>130</v>
      </c>
      <c r="H158" s="206" t="s">
        <v>8168</v>
      </c>
    </row>
    <row r="159" spans="2:8" ht="14.15" hidden="1">
      <c r="B159" s="205">
        <v>45526</v>
      </c>
      <c r="C159" s="208" t="s">
        <v>4380</v>
      </c>
      <c r="D159" s="206" t="s">
        <v>133</v>
      </c>
      <c r="E159" s="211">
        <v>-2140</v>
      </c>
      <c r="F159" s="207">
        <v>45505</v>
      </c>
      <c r="G159" s="206" t="s">
        <v>110</v>
      </c>
      <c r="H159" s="206" t="s">
        <v>774</v>
      </c>
    </row>
    <row r="160" spans="2:8" ht="14.15" hidden="1">
      <c r="B160" s="205">
        <v>45526</v>
      </c>
      <c r="C160" s="208" t="s">
        <v>4381</v>
      </c>
      <c r="D160" s="206" t="s">
        <v>133</v>
      </c>
      <c r="E160" s="211">
        <v>-1284</v>
      </c>
      <c r="F160" s="207">
        <v>45505</v>
      </c>
      <c r="G160" s="206" t="s">
        <v>110</v>
      </c>
      <c r="H160" s="206" t="s">
        <v>774</v>
      </c>
    </row>
    <row r="161" spans="2:8" ht="14.15" hidden="1">
      <c r="B161" s="205">
        <v>45537</v>
      </c>
      <c r="C161" s="208" t="s">
        <v>3716</v>
      </c>
      <c r="D161" s="206" t="s">
        <v>4314</v>
      </c>
      <c r="E161" s="211">
        <v>-4030</v>
      </c>
      <c r="F161" s="207">
        <v>45536</v>
      </c>
      <c r="G161" s="206" t="s">
        <v>109</v>
      </c>
      <c r="H161" s="206" t="s">
        <v>8166</v>
      </c>
    </row>
    <row r="162" spans="2:8" ht="14.15" hidden="1">
      <c r="B162" s="205">
        <v>45537</v>
      </c>
      <c r="C162" s="208" t="s">
        <v>3717</v>
      </c>
      <c r="D162" s="206" t="s">
        <v>4314</v>
      </c>
      <c r="E162" s="211">
        <v>-2418</v>
      </c>
      <c r="F162" s="207">
        <v>45536</v>
      </c>
      <c r="G162" s="206" t="s">
        <v>109</v>
      </c>
      <c r="H162" s="206" t="s">
        <v>8166</v>
      </c>
    </row>
    <row r="163" spans="2:8" ht="14.15" hidden="1">
      <c r="B163" s="205">
        <v>45541</v>
      </c>
      <c r="C163" s="208" t="s">
        <v>3716</v>
      </c>
      <c r="D163" s="206" t="s">
        <v>4314</v>
      </c>
      <c r="E163" s="211">
        <v>-3460</v>
      </c>
      <c r="F163" s="207">
        <v>45536</v>
      </c>
      <c r="G163" s="206" t="s">
        <v>110</v>
      </c>
      <c r="H163" s="206" t="s">
        <v>8169</v>
      </c>
    </row>
    <row r="164" spans="2:8" ht="14.15" hidden="1">
      <c r="B164" s="205">
        <v>45541</v>
      </c>
      <c r="C164" s="208" t="s">
        <v>3717</v>
      </c>
      <c r="D164" s="206" t="s">
        <v>4314</v>
      </c>
      <c r="E164" s="211">
        <v>-2076</v>
      </c>
      <c r="F164" s="207">
        <v>45536</v>
      </c>
      <c r="G164" s="206" t="s">
        <v>110</v>
      </c>
      <c r="H164" s="206" t="s">
        <v>8169</v>
      </c>
    </row>
    <row r="165" spans="2:8" ht="14.15" hidden="1">
      <c r="B165" s="205">
        <v>45547</v>
      </c>
      <c r="C165" s="208" t="s">
        <v>4992</v>
      </c>
      <c r="D165" s="206" t="s">
        <v>4314</v>
      </c>
      <c r="E165" s="211">
        <v>-695675</v>
      </c>
      <c r="F165" s="207">
        <v>45536</v>
      </c>
      <c r="G165" s="206" t="s">
        <v>111</v>
      </c>
      <c r="H165" s="206"/>
    </row>
    <row r="166" spans="2:8" ht="14.15" hidden="1">
      <c r="B166" s="205">
        <v>45551</v>
      </c>
      <c r="C166" s="208" t="s">
        <v>5051</v>
      </c>
      <c r="D166" s="206" t="s">
        <v>4314</v>
      </c>
      <c r="E166" s="211">
        <v>-6240</v>
      </c>
      <c r="F166" s="207">
        <v>45536</v>
      </c>
      <c r="G166" s="206" t="s">
        <v>2531</v>
      </c>
      <c r="H166" s="206" t="s">
        <v>8157</v>
      </c>
    </row>
    <row r="167" spans="2:8" ht="14.15" hidden="1">
      <c r="B167" s="205">
        <v>45551</v>
      </c>
      <c r="C167" s="208" t="s">
        <v>5052</v>
      </c>
      <c r="D167" s="206" t="s">
        <v>4314</v>
      </c>
      <c r="E167" s="211">
        <v>-3740</v>
      </c>
      <c r="F167" s="207">
        <v>45536</v>
      </c>
      <c r="G167" s="206" t="s">
        <v>2531</v>
      </c>
      <c r="H167" s="206" t="s">
        <v>8157</v>
      </c>
    </row>
    <row r="168" spans="2:8" ht="14.15" hidden="1">
      <c r="B168" s="205">
        <v>45370</v>
      </c>
      <c r="C168" s="208" t="s">
        <v>5153</v>
      </c>
      <c r="D168" s="206" t="s">
        <v>8170</v>
      </c>
      <c r="E168" s="211">
        <v>-1785</v>
      </c>
      <c r="F168" s="207">
        <v>45536</v>
      </c>
      <c r="G168" s="206" t="s">
        <v>2531</v>
      </c>
      <c r="H168" s="206" t="s">
        <v>8157</v>
      </c>
    </row>
    <row r="169" spans="2:8" ht="14.15" hidden="1">
      <c r="B169" s="205">
        <v>45555</v>
      </c>
      <c r="C169" s="208" t="s">
        <v>5208</v>
      </c>
      <c r="D169" s="206" t="s">
        <v>4314</v>
      </c>
      <c r="E169" s="211">
        <v>-100000</v>
      </c>
      <c r="F169" s="207">
        <v>45536</v>
      </c>
      <c r="G169" s="206" t="s">
        <v>2531</v>
      </c>
      <c r="H169" s="206" t="s">
        <v>2590</v>
      </c>
    </row>
    <row r="170" spans="2:8" ht="14.15" hidden="1">
      <c r="B170" s="205">
        <v>45555</v>
      </c>
      <c r="C170" s="208" t="s">
        <v>5209</v>
      </c>
      <c r="D170" s="206" t="s">
        <v>4314</v>
      </c>
      <c r="E170" s="211">
        <v>-15000</v>
      </c>
      <c r="F170" s="207">
        <v>45536</v>
      </c>
      <c r="G170" s="206" t="s">
        <v>2531</v>
      </c>
      <c r="H170" s="206" t="s">
        <v>2590</v>
      </c>
    </row>
    <row r="171" spans="2:8" ht="14.15" hidden="1">
      <c r="B171" s="205">
        <v>45555</v>
      </c>
      <c r="C171" s="208" t="s">
        <v>5211</v>
      </c>
      <c r="D171" s="206" t="s">
        <v>4314</v>
      </c>
      <c r="E171" s="211">
        <v>-100000</v>
      </c>
      <c r="F171" s="207">
        <v>45536</v>
      </c>
      <c r="G171" s="206" t="s">
        <v>2531</v>
      </c>
      <c r="H171" s="206" t="s">
        <v>2590</v>
      </c>
    </row>
    <row r="172" spans="2:8" ht="14.15" hidden="1">
      <c r="B172" s="205">
        <v>45555</v>
      </c>
      <c r="C172" s="208" t="s">
        <v>5233</v>
      </c>
      <c r="D172" s="206" t="s">
        <v>4314</v>
      </c>
      <c r="E172" s="211">
        <v>-15000</v>
      </c>
      <c r="F172" s="207">
        <v>45536</v>
      </c>
      <c r="G172" s="206" t="s">
        <v>2531</v>
      </c>
      <c r="H172" s="206" t="s">
        <v>2590</v>
      </c>
    </row>
    <row r="173" spans="2:8" ht="14.15" hidden="1">
      <c r="B173" s="205">
        <v>45555</v>
      </c>
      <c r="C173" s="208" t="s">
        <v>5234</v>
      </c>
      <c r="D173" s="206" t="s">
        <v>4314</v>
      </c>
      <c r="E173" s="211">
        <v>-10500</v>
      </c>
      <c r="F173" s="207">
        <v>45536</v>
      </c>
      <c r="G173" s="206" t="s">
        <v>109</v>
      </c>
      <c r="H173" s="206" t="s">
        <v>8171</v>
      </c>
    </row>
    <row r="174" spans="2:8" ht="14.15" hidden="1">
      <c r="B174" s="205">
        <v>45555</v>
      </c>
      <c r="C174" s="208" t="s">
        <v>5213</v>
      </c>
      <c r="D174" s="206" t="s">
        <v>4314</v>
      </c>
      <c r="E174" s="211">
        <v>-1800</v>
      </c>
      <c r="F174" s="207">
        <v>45536</v>
      </c>
      <c r="G174" s="206" t="s">
        <v>109</v>
      </c>
      <c r="H174" s="206" t="s">
        <v>8171</v>
      </c>
    </row>
    <row r="175" spans="2:8" ht="14.15" hidden="1">
      <c r="B175" s="205">
        <v>45556</v>
      </c>
      <c r="C175" t="s">
        <v>5238</v>
      </c>
      <c r="D175" s="206" t="s">
        <v>4314</v>
      </c>
      <c r="E175" s="211">
        <v>-31875</v>
      </c>
      <c r="F175" s="207">
        <v>45536</v>
      </c>
      <c r="G175" s="206" t="s">
        <v>109</v>
      </c>
      <c r="H175" s="206" t="s">
        <v>8172</v>
      </c>
    </row>
    <row r="176" spans="2:8" ht="14.15" hidden="1">
      <c r="B176" s="205">
        <v>45557</v>
      </c>
      <c r="C176" t="s">
        <v>5259</v>
      </c>
      <c r="D176" s="206" t="s">
        <v>4314</v>
      </c>
      <c r="E176" s="211">
        <v>-7650</v>
      </c>
      <c r="F176" s="207">
        <v>45536</v>
      </c>
      <c r="G176" s="206" t="s">
        <v>109</v>
      </c>
      <c r="H176" s="206" t="s">
        <v>8172</v>
      </c>
    </row>
    <row r="177" spans="2:9" ht="14.15" hidden="1">
      <c r="B177" s="205">
        <v>45558</v>
      </c>
      <c r="C177" t="s">
        <v>5261</v>
      </c>
      <c r="D177" s="206" t="s">
        <v>4314</v>
      </c>
      <c r="E177" s="211">
        <v>-1654000</v>
      </c>
      <c r="F177" s="207">
        <v>45536</v>
      </c>
      <c r="G177" s="206" t="s">
        <v>109</v>
      </c>
      <c r="H177" s="206" t="s">
        <v>5990</v>
      </c>
    </row>
    <row r="178" spans="2:9" ht="14.15" hidden="1">
      <c r="B178" s="205">
        <v>45559</v>
      </c>
      <c r="C178" t="s">
        <v>5267</v>
      </c>
      <c r="D178" s="206" t="s">
        <v>4314</v>
      </c>
      <c r="E178" s="211">
        <v>-12600</v>
      </c>
      <c r="F178" s="207">
        <v>45536</v>
      </c>
      <c r="G178" s="206" t="s">
        <v>109</v>
      </c>
      <c r="H178" s="206" t="s">
        <v>8173</v>
      </c>
      <c r="I178" t="s">
        <v>8174</v>
      </c>
    </row>
    <row r="179" spans="2:9" ht="14.15" hidden="1">
      <c r="B179" s="205">
        <v>45560</v>
      </c>
      <c r="C179" t="s">
        <v>5269</v>
      </c>
      <c r="D179" s="206" t="s">
        <v>4314</v>
      </c>
      <c r="E179" s="211">
        <v>-2443</v>
      </c>
      <c r="F179" s="207">
        <v>45536</v>
      </c>
      <c r="G179" s="206" t="s">
        <v>109</v>
      </c>
      <c r="H179" s="206" t="s">
        <v>8175</v>
      </c>
      <c r="I179" t="s">
        <v>1156</v>
      </c>
    </row>
    <row r="180" spans="2:9" ht="14.15" hidden="1">
      <c r="B180" s="205">
        <v>45561</v>
      </c>
      <c r="C180" t="s">
        <v>5304</v>
      </c>
      <c r="D180" s="206" t="s">
        <v>4314</v>
      </c>
      <c r="E180" s="211">
        <v>-8350</v>
      </c>
      <c r="F180" s="207">
        <v>45536</v>
      </c>
      <c r="G180" s="206" t="s">
        <v>109</v>
      </c>
      <c r="H180" s="206" t="s">
        <v>8166</v>
      </c>
      <c r="I180" t="s">
        <v>8176</v>
      </c>
    </row>
    <row r="181" spans="2:9" ht="14.15" hidden="1">
      <c r="B181" s="205">
        <v>45562</v>
      </c>
      <c r="C181" t="s">
        <v>5305</v>
      </c>
      <c r="D181" s="206" t="s">
        <v>4314</v>
      </c>
      <c r="E181" s="211">
        <v>-5010</v>
      </c>
      <c r="F181" s="207">
        <v>45536</v>
      </c>
      <c r="G181" s="206" t="s">
        <v>109</v>
      </c>
      <c r="H181" s="206" t="s">
        <v>8166</v>
      </c>
      <c r="I181" t="s">
        <v>8176</v>
      </c>
    </row>
    <row r="182" spans="2:9" ht="14.15" hidden="1">
      <c r="B182" s="205">
        <v>45563</v>
      </c>
      <c r="C182" t="s">
        <v>5288</v>
      </c>
      <c r="D182" s="206" t="s">
        <v>4314</v>
      </c>
      <c r="E182" s="211">
        <v>-118377</v>
      </c>
      <c r="F182" s="207">
        <v>45536</v>
      </c>
      <c r="G182" s="206" t="s">
        <v>109</v>
      </c>
      <c r="H182" s="206" t="s">
        <v>8172</v>
      </c>
      <c r="I182" t="s">
        <v>8174</v>
      </c>
    </row>
    <row r="183" spans="2:9" ht="14.15" hidden="1">
      <c r="B183" s="205">
        <v>45564</v>
      </c>
      <c r="C183" t="s">
        <v>5288</v>
      </c>
      <c r="D183" s="206" t="s">
        <v>4314</v>
      </c>
      <c r="E183" s="211">
        <v>-23675</v>
      </c>
      <c r="F183" s="207">
        <v>45536</v>
      </c>
      <c r="G183" s="206" t="s">
        <v>109</v>
      </c>
      <c r="H183" s="206" t="s">
        <v>8172</v>
      </c>
      <c r="I183" t="s">
        <v>8174</v>
      </c>
    </row>
    <row r="184" spans="2:9" ht="14.15" hidden="1">
      <c r="B184" s="205">
        <v>45551</v>
      </c>
      <c r="C184" s="208" t="s">
        <v>3190</v>
      </c>
      <c r="D184" s="206" t="s">
        <v>4314</v>
      </c>
      <c r="E184" s="211">
        <v>-6240</v>
      </c>
      <c r="F184" s="212">
        <v>45536</v>
      </c>
      <c r="G184" s="206" t="s">
        <v>2531</v>
      </c>
      <c r="H184" s="206" t="s">
        <v>8172</v>
      </c>
    </row>
    <row r="185" spans="2:9" ht="14.15" hidden="1">
      <c r="B185" s="205">
        <v>45551</v>
      </c>
      <c r="C185" s="208" t="s">
        <v>4133</v>
      </c>
      <c r="D185" s="206" t="s">
        <v>4314</v>
      </c>
      <c r="E185" s="211">
        <v>-3744</v>
      </c>
      <c r="F185" s="212">
        <v>45536</v>
      </c>
      <c r="G185" s="206" t="s">
        <v>2531</v>
      </c>
      <c r="H185" s="206" t="s">
        <v>8172</v>
      </c>
    </row>
    <row r="186" spans="2:9" ht="14.15" hidden="1">
      <c r="B186" s="205">
        <v>45567</v>
      </c>
      <c r="C186" s="208" t="s">
        <v>3716</v>
      </c>
      <c r="D186" s="206" t="s">
        <v>4314</v>
      </c>
      <c r="E186" s="211">
        <v>-6580</v>
      </c>
      <c r="F186" s="207">
        <v>45566</v>
      </c>
      <c r="G186" s="206" t="s">
        <v>110</v>
      </c>
      <c r="H186" s="206" t="s">
        <v>8157</v>
      </c>
    </row>
    <row r="187" spans="2:9" ht="14.15" hidden="1">
      <c r="B187" s="205">
        <v>45567</v>
      </c>
      <c r="C187" s="208" t="s">
        <v>4133</v>
      </c>
      <c r="D187" s="206" t="s">
        <v>4314</v>
      </c>
      <c r="E187" s="211">
        <v>-3948</v>
      </c>
      <c r="F187" s="207">
        <v>45566</v>
      </c>
      <c r="G187" s="206" t="s">
        <v>110</v>
      </c>
      <c r="H187" s="206" t="s">
        <v>8157</v>
      </c>
    </row>
    <row r="188" spans="2:9" ht="14.15" hidden="1">
      <c r="B188" s="205">
        <v>45575</v>
      </c>
      <c r="C188" s="208" t="s">
        <v>3190</v>
      </c>
      <c r="D188" s="206" t="s">
        <v>4314</v>
      </c>
      <c r="E188" s="211">
        <v>-7490</v>
      </c>
      <c r="F188" s="207">
        <v>45566</v>
      </c>
      <c r="G188" s="206" t="s">
        <v>110</v>
      </c>
      <c r="H188" s="206" t="s">
        <v>8177</v>
      </c>
    </row>
    <row r="189" spans="2:9" ht="14.15" hidden="1">
      <c r="B189" s="205">
        <v>45575</v>
      </c>
      <c r="C189" s="208" t="s">
        <v>4133</v>
      </c>
      <c r="D189" s="206" t="s">
        <v>4314</v>
      </c>
      <c r="E189" s="211">
        <v>-4494</v>
      </c>
      <c r="F189" s="207">
        <v>45566</v>
      </c>
      <c r="G189" s="206" t="s">
        <v>110</v>
      </c>
      <c r="H189" s="206" t="s">
        <v>8177</v>
      </c>
    </row>
    <row r="190" spans="2:9" ht="14.15" hidden="1">
      <c r="B190" s="205">
        <v>45588</v>
      </c>
      <c r="C190" s="208" t="s">
        <v>5852</v>
      </c>
      <c r="D190" s="206" t="s">
        <v>4314</v>
      </c>
      <c r="E190" s="450">
        <v>-6520</v>
      </c>
      <c r="F190" s="207">
        <v>45566</v>
      </c>
      <c r="G190" s="206" t="s">
        <v>110</v>
      </c>
      <c r="H190" s="206" t="s">
        <v>8177</v>
      </c>
      <c r="I190" s="206" t="s">
        <v>8178</v>
      </c>
    </row>
    <row r="191" spans="2:9" ht="14.15" hidden="1">
      <c r="B191" s="205">
        <v>45588</v>
      </c>
      <c r="C191" s="208" t="s">
        <v>4133</v>
      </c>
      <c r="D191" s="206" t="s">
        <v>4314</v>
      </c>
      <c r="E191" s="450">
        <v>-3912</v>
      </c>
      <c r="F191" s="207">
        <v>45566</v>
      </c>
      <c r="G191" s="206" t="s">
        <v>110</v>
      </c>
      <c r="H191" s="206" t="s">
        <v>8177</v>
      </c>
      <c r="I191" s="206" t="s">
        <v>8178</v>
      </c>
    </row>
    <row r="192" spans="2:9" ht="14.15" hidden="1">
      <c r="B192" s="205">
        <v>45595</v>
      </c>
      <c r="C192" s="208" t="s">
        <v>5961</v>
      </c>
      <c r="D192" s="206" t="s">
        <v>4314</v>
      </c>
      <c r="E192" s="211">
        <v>-3780</v>
      </c>
      <c r="F192" s="207">
        <v>45566</v>
      </c>
      <c r="G192" s="206" t="s">
        <v>110</v>
      </c>
      <c r="H192" s="206" t="s">
        <v>8169</v>
      </c>
      <c r="I192" s="206" t="s">
        <v>8178</v>
      </c>
    </row>
    <row r="193" spans="2:9" ht="14.15" hidden="1">
      <c r="B193" s="205">
        <v>45595</v>
      </c>
      <c r="C193" s="208" t="s">
        <v>4133</v>
      </c>
      <c r="D193" s="206" t="s">
        <v>4314</v>
      </c>
      <c r="E193" s="211">
        <v>-2268</v>
      </c>
      <c r="F193" s="207">
        <v>45566</v>
      </c>
      <c r="G193" s="206" t="s">
        <v>110</v>
      </c>
      <c r="H193" s="206" t="s">
        <v>8169</v>
      </c>
      <c r="I193" s="206" t="s">
        <v>8178</v>
      </c>
    </row>
    <row r="194" spans="2:9" ht="14.15" hidden="1">
      <c r="B194" s="205">
        <v>45602</v>
      </c>
      <c r="C194" s="208" t="s">
        <v>3190</v>
      </c>
      <c r="D194" s="206" t="s">
        <v>4314</v>
      </c>
      <c r="E194" s="211">
        <v>-9540</v>
      </c>
      <c r="F194" s="207">
        <v>45597</v>
      </c>
      <c r="G194" s="206" t="s">
        <v>109</v>
      </c>
      <c r="H194" s="206" t="s">
        <v>8168</v>
      </c>
    </row>
    <row r="195" spans="2:9" ht="14.15" hidden="1">
      <c r="B195" s="205">
        <v>45602</v>
      </c>
      <c r="C195" s="208" t="s">
        <v>4133</v>
      </c>
      <c r="D195" s="206" t="s">
        <v>4314</v>
      </c>
      <c r="E195" s="211">
        <v>-5724</v>
      </c>
      <c r="F195" s="207">
        <v>45597</v>
      </c>
      <c r="G195" s="206" t="s">
        <v>109</v>
      </c>
      <c r="H195" s="206" t="s">
        <v>8168</v>
      </c>
    </row>
    <row r="196" spans="2:9" ht="14.15" hidden="1">
      <c r="B196" s="205">
        <v>45608</v>
      </c>
      <c r="C196" s="208" t="s">
        <v>3187</v>
      </c>
      <c r="D196" s="206" t="s">
        <v>4314</v>
      </c>
      <c r="E196" s="211">
        <v>-1460</v>
      </c>
      <c r="F196" s="207">
        <v>45597</v>
      </c>
      <c r="G196" s="206" t="s">
        <v>110</v>
      </c>
      <c r="H196" s="206" t="s">
        <v>8179</v>
      </c>
    </row>
    <row r="197" spans="2:9" ht="14.15" hidden="1">
      <c r="B197" s="205">
        <v>45608</v>
      </c>
      <c r="C197" s="208" t="s">
        <v>6284</v>
      </c>
      <c r="D197" s="206" t="s">
        <v>4314</v>
      </c>
      <c r="E197" s="211">
        <v>-876</v>
      </c>
      <c r="F197" s="207">
        <v>45597</v>
      </c>
      <c r="G197" s="206" t="s">
        <v>110</v>
      </c>
      <c r="H197" s="206" t="s">
        <v>8179</v>
      </c>
    </row>
    <row r="198" spans="2:9" ht="14.15" hidden="1">
      <c r="B198" s="205">
        <v>45609</v>
      </c>
      <c r="C198" s="208" t="s">
        <v>3958</v>
      </c>
      <c r="D198" s="206" t="s">
        <v>4314</v>
      </c>
      <c r="E198" s="211">
        <v>-2530</v>
      </c>
      <c r="F198" s="207">
        <v>45597</v>
      </c>
      <c r="G198" s="206" t="s">
        <v>109</v>
      </c>
      <c r="H198" s="206" t="s">
        <v>8168</v>
      </c>
    </row>
    <row r="199" spans="2:9" ht="14.15" hidden="1">
      <c r="B199" s="205">
        <v>45609</v>
      </c>
      <c r="C199" s="208" t="s">
        <v>6290</v>
      </c>
      <c r="D199" s="206" t="s">
        <v>4314</v>
      </c>
      <c r="E199" s="211">
        <v>-1518</v>
      </c>
      <c r="F199" s="207">
        <v>45597</v>
      </c>
      <c r="G199" s="206" t="s">
        <v>109</v>
      </c>
      <c r="H199" s="206" t="s">
        <v>8168</v>
      </c>
    </row>
    <row r="200" spans="2:9" ht="14.15" hidden="1">
      <c r="B200" s="205">
        <v>45609</v>
      </c>
      <c r="C200" s="208" t="s">
        <v>6314</v>
      </c>
      <c r="D200" s="206" t="s">
        <v>4314</v>
      </c>
      <c r="E200" s="450">
        <v>-3040.12</v>
      </c>
      <c r="F200" s="207">
        <v>45597</v>
      </c>
      <c r="G200" s="206" t="s">
        <v>4314</v>
      </c>
      <c r="H200" s="206" t="s">
        <v>8168</v>
      </c>
    </row>
    <row r="201" spans="2:9" ht="14.15" hidden="1">
      <c r="B201" s="205">
        <v>45611</v>
      </c>
      <c r="C201" s="208" t="s">
        <v>6414</v>
      </c>
      <c r="D201" s="206" t="s">
        <v>4314</v>
      </c>
      <c r="E201" s="450">
        <v>-189938.44</v>
      </c>
      <c r="F201" s="207">
        <v>45597</v>
      </c>
      <c r="G201" s="206" t="s">
        <v>130</v>
      </c>
      <c r="H201" s="206" t="s">
        <v>130</v>
      </c>
    </row>
    <row r="202" spans="2:9" ht="14.15" hidden="1">
      <c r="B202" s="205">
        <v>45611</v>
      </c>
      <c r="C202" s="208" t="s">
        <v>6417</v>
      </c>
      <c r="D202" s="206" t="s">
        <v>4314</v>
      </c>
      <c r="E202" s="450">
        <v>-244183.85</v>
      </c>
      <c r="F202" s="207">
        <v>45597</v>
      </c>
      <c r="G202" s="206" t="s">
        <v>109</v>
      </c>
      <c r="H202" s="206" t="s">
        <v>8168</v>
      </c>
    </row>
    <row r="203" spans="2:9" ht="14.15" hidden="1">
      <c r="B203" s="205">
        <v>45611</v>
      </c>
      <c r="C203" s="208" t="s">
        <v>6420</v>
      </c>
      <c r="D203" s="206" t="s">
        <v>4314</v>
      </c>
      <c r="E203" s="450">
        <v>-19820</v>
      </c>
      <c r="F203" s="207">
        <v>45597</v>
      </c>
      <c r="G203" s="206" t="s">
        <v>130</v>
      </c>
      <c r="H203" s="754" t="s">
        <v>130</v>
      </c>
    </row>
    <row r="204" spans="2:9" ht="14.15" hidden="1">
      <c r="B204" s="205">
        <v>45616</v>
      </c>
      <c r="C204" s="208" t="s">
        <v>6546</v>
      </c>
      <c r="D204" s="206" t="s">
        <v>4314</v>
      </c>
      <c r="E204" s="211">
        <v>-84873.98</v>
      </c>
      <c r="F204" s="212">
        <v>45597</v>
      </c>
      <c r="G204" s="206" t="s">
        <v>130</v>
      </c>
      <c r="H204" s="206" t="s">
        <v>130</v>
      </c>
    </row>
    <row r="205" spans="2:9" ht="14.15" hidden="1">
      <c r="B205" s="205">
        <v>45616</v>
      </c>
      <c r="C205" s="208" t="s">
        <v>6547</v>
      </c>
      <c r="D205" s="206" t="s">
        <v>4314</v>
      </c>
      <c r="E205" s="211">
        <v>-20369.759999999998</v>
      </c>
      <c r="F205" s="212">
        <v>45597</v>
      </c>
      <c r="G205" s="206" t="s">
        <v>130</v>
      </c>
      <c r="H205" s="206" t="s">
        <v>130</v>
      </c>
    </row>
    <row r="206" spans="2:9" ht="14.15" hidden="1">
      <c r="B206" s="205">
        <v>45616</v>
      </c>
      <c r="C206" s="208" t="s">
        <v>6497</v>
      </c>
      <c r="D206" s="206" t="s">
        <v>4314</v>
      </c>
      <c r="E206" s="211">
        <v>-18575.88</v>
      </c>
      <c r="F206" s="212">
        <v>45597</v>
      </c>
      <c r="G206" s="206" t="s">
        <v>109</v>
      </c>
      <c r="H206" s="206" t="s">
        <v>120</v>
      </c>
    </row>
    <row r="207" spans="2:9" ht="14.15" hidden="1">
      <c r="B207" s="205">
        <v>45616</v>
      </c>
      <c r="C207" s="208" t="s">
        <v>6497</v>
      </c>
      <c r="D207" s="206" t="s">
        <v>4314</v>
      </c>
      <c r="E207" s="211">
        <v>-18575.88</v>
      </c>
      <c r="F207" s="212">
        <v>45597</v>
      </c>
      <c r="G207" s="206" t="s">
        <v>109</v>
      </c>
      <c r="H207" s="206" t="s">
        <v>581</v>
      </c>
    </row>
    <row r="208" spans="2:9" ht="14.15" hidden="1">
      <c r="B208" s="205">
        <v>45616</v>
      </c>
      <c r="C208" s="208" t="s">
        <v>6497</v>
      </c>
      <c r="D208" s="206" t="s">
        <v>4314</v>
      </c>
      <c r="E208" s="211">
        <v>-18575.88</v>
      </c>
      <c r="F208" s="212">
        <v>45597</v>
      </c>
      <c r="G208" s="206" t="s">
        <v>109</v>
      </c>
      <c r="H208" s="206" t="s">
        <v>583</v>
      </c>
    </row>
    <row r="209" spans="2:8" ht="14.15" hidden="1">
      <c r="B209" s="205">
        <v>45616</v>
      </c>
      <c r="C209" s="208" t="s">
        <v>6497</v>
      </c>
      <c r="D209" s="206" t="s">
        <v>4314</v>
      </c>
      <c r="E209" s="211">
        <v>-18575.88</v>
      </c>
      <c r="F209" s="212">
        <v>45597</v>
      </c>
      <c r="G209" s="206" t="s">
        <v>109</v>
      </c>
      <c r="H209" s="206" t="s">
        <v>6198</v>
      </c>
    </row>
    <row r="210" spans="2:8" ht="14.15" hidden="1">
      <c r="B210" s="205">
        <v>45616</v>
      </c>
      <c r="C210" s="208" t="s">
        <v>6498</v>
      </c>
      <c r="D210" s="206" t="s">
        <v>4314</v>
      </c>
      <c r="E210" s="211">
        <v>-77399.5</v>
      </c>
      <c r="F210" s="212">
        <v>45597</v>
      </c>
      <c r="G210" s="206" t="s">
        <v>109</v>
      </c>
      <c r="H210" s="206" t="s">
        <v>120</v>
      </c>
    </row>
    <row r="211" spans="2:8" ht="14.15" hidden="1">
      <c r="B211" s="205">
        <v>45616</v>
      </c>
      <c r="C211" s="208" t="s">
        <v>6498</v>
      </c>
      <c r="D211" s="206" t="s">
        <v>4314</v>
      </c>
      <c r="E211" s="211">
        <v>-77399.5</v>
      </c>
      <c r="F211" s="212">
        <v>45597</v>
      </c>
      <c r="G211" s="206" t="s">
        <v>109</v>
      </c>
      <c r="H211" s="206" t="s">
        <v>581</v>
      </c>
    </row>
    <row r="212" spans="2:8" ht="14.15" hidden="1">
      <c r="B212" s="205">
        <v>45616</v>
      </c>
      <c r="C212" s="208" t="s">
        <v>6498</v>
      </c>
      <c r="D212" s="206" t="s">
        <v>4314</v>
      </c>
      <c r="E212" s="211">
        <v>-77399.5</v>
      </c>
      <c r="F212" s="212">
        <v>45597</v>
      </c>
      <c r="G212" s="206" t="s">
        <v>109</v>
      </c>
      <c r="H212" s="206" t="s">
        <v>583</v>
      </c>
    </row>
    <row r="213" spans="2:8" ht="14.15" hidden="1">
      <c r="B213" s="205">
        <v>45616</v>
      </c>
      <c r="C213" s="208" t="s">
        <v>6498</v>
      </c>
      <c r="D213" s="206" t="s">
        <v>4314</v>
      </c>
      <c r="E213" s="211">
        <v>-77399.5</v>
      </c>
      <c r="F213" s="212">
        <v>45597</v>
      </c>
      <c r="G213" s="206" t="s">
        <v>109</v>
      </c>
      <c r="H213" s="206" t="s">
        <v>6198</v>
      </c>
    </row>
    <row r="214" spans="2:8" ht="14.15" hidden="1">
      <c r="B214" s="205">
        <v>45616</v>
      </c>
      <c r="C214" s="208" t="s">
        <v>6501</v>
      </c>
      <c r="D214" s="206" t="s">
        <v>4314</v>
      </c>
      <c r="E214" s="211">
        <v>-266000</v>
      </c>
      <c r="F214" s="212">
        <v>45597</v>
      </c>
      <c r="G214" s="206" t="s">
        <v>109</v>
      </c>
      <c r="H214" s="206" t="s">
        <v>6198</v>
      </c>
    </row>
    <row r="215" spans="2:8" ht="14.15" hidden="1">
      <c r="B215" s="205">
        <v>45616</v>
      </c>
      <c r="C215" s="208" t="s">
        <v>6502</v>
      </c>
      <c r="D215" s="206" t="s">
        <v>4314</v>
      </c>
      <c r="E215" s="211">
        <v>-39900</v>
      </c>
      <c r="F215" s="212">
        <v>45597</v>
      </c>
      <c r="G215" s="206" t="s">
        <v>109</v>
      </c>
      <c r="H215" s="206" t="s">
        <v>6198</v>
      </c>
    </row>
    <row r="216" spans="2:8" ht="14.15" hidden="1">
      <c r="B216" s="205">
        <v>45616</v>
      </c>
      <c r="C216" s="208" t="s">
        <v>6508</v>
      </c>
      <c r="D216" s="206" t="s">
        <v>4314</v>
      </c>
      <c r="E216" s="211">
        <v>-337300</v>
      </c>
      <c r="F216" s="212">
        <v>45597</v>
      </c>
      <c r="G216" s="206" t="s">
        <v>109</v>
      </c>
      <c r="H216" s="206" t="s">
        <v>581</v>
      </c>
    </row>
    <row r="217" spans="2:8" ht="14.15" hidden="1">
      <c r="B217" s="205">
        <v>45616</v>
      </c>
      <c r="C217" s="208" t="s">
        <v>6509</v>
      </c>
      <c r="D217" s="206" t="s">
        <v>4314</v>
      </c>
      <c r="E217" s="211">
        <v>-101190</v>
      </c>
      <c r="F217" s="212">
        <v>45597</v>
      </c>
      <c r="G217" s="206" t="s">
        <v>109</v>
      </c>
      <c r="H217" s="206" t="s">
        <v>581</v>
      </c>
    </row>
    <row r="218" spans="2:8" ht="14.15" hidden="1">
      <c r="B218" s="205">
        <v>45616</v>
      </c>
      <c r="C218" s="208" t="s">
        <v>6510</v>
      </c>
      <c r="D218" s="206" t="s">
        <v>4314</v>
      </c>
      <c r="E218" s="211">
        <v>-2960</v>
      </c>
      <c r="F218" s="212">
        <v>45597</v>
      </c>
      <c r="G218" s="753" t="s">
        <v>109</v>
      </c>
      <c r="H218" s="736" t="s">
        <v>3644</v>
      </c>
    </row>
    <row r="219" spans="2:8" ht="14.15" hidden="1">
      <c r="B219" s="205">
        <v>45616</v>
      </c>
      <c r="C219" s="208" t="s">
        <v>6523</v>
      </c>
      <c r="D219" s="206" t="s">
        <v>4314</v>
      </c>
      <c r="E219" s="211">
        <v>-8000</v>
      </c>
      <c r="F219" s="212">
        <v>45597</v>
      </c>
      <c r="G219" s="753" t="s">
        <v>130</v>
      </c>
      <c r="H219" s="736" t="s">
        <v>130</v>
      </c>
    </row>
    <row r="220" spans="2:8" ht="14.15" hidden="1">
      <c r="B220" s="205">
        <v>45616</v>
      </c>
      <c r="C220" s="208" t="s">
        <v>6530</v>
      </c>
      <c r="D220" s="206" t="s">
        <v>4314</v>
      </c>
      <c r="E220" s="211">
        <v>-66192</v>
      </c>
      <c r="F220" s="212">
        <v>45597</v>
      </c>
      <c r="G220" s="206" t="s">
        <v>109</v>
      </c>
      <c r="H220" s="206" t="s">
        <v>583</v>
      </c>
    </row>
    <row r="221" spans="2:8" ht="14.15" hidden="1">
      <c r="B221" s="205">
        <v>45616</v>
      </c>
      <c r="C221" s="208" t="s">
        <v>6532</v>
      </c>
      <c r="D221" s="206" t="s">
        <v>4314</v>
      </c>
      <c r="E221" s="211">
        <v>-154000</v>
      </c>
      <c r="F221" s="212">
        <v>45597</v>
      </c>
      <c r="G221" s="206" t="s">
        <v>110</v>
      </c>
      <c r="H221" s="206" t="s">
        <v>4990</v>
      </c>
    </row>
    <row r="222" spans="2:8" ht="14.15" hidden="1">
      <c r="B222" s="205">
        <v>45616</v>
      </c>
      <c r="C222" s="208" t="s">
        <v>6534</v>
      </c>
      <c r="D222" s="206" t="s">
        <v>4314</v>
      </c>
      <c r="E222" s="211">
        <v>-35544.080000000002</v>
      </c>
      <c r="F222" s="212">
        <v>45597</v>
      </c>
      <c r="G222" s="206" t="s">
        <v>109</v>
      </c>
      <c r="H222" s="206" t="s">
        <v>581</v>
      </c>
    </row>
    <row r="223" spans="2:8" ht="14.15" hidden="1">
      <c r="B223" s="205">
        <v>45616</v>
      </c>
      <c r="C223" s="208" t="s">
        <v>6535</v>
      </c>
      <c r="D223" s="206" t="s">
        <v>4314</v>
      </c>
      <c r="E223" s="211">
        <v>-49950</v>
      </c>
      <c r="F223" s="212">
        <v>45597</v>
      </c>
      <c r="G223" s="206" t="s">
        <v>109</v>
      </c>
      <c r="H223" s="206" t="s">
        <v>581</v>
      </c>
    </row>
    <row r="224" spans="2:8" ht="14.15" hidden="1">
      <c r="B224" s="205">
        <v>45616</v>
      </c>
      <c r="C224" s="208" t="s">
        <v>6538</v>
      </c>
      <c r="D224" s="206" t="s">
        <v>4314</v>
      </c>
      <c r="E224" s="211">
        <v>-65444</v>
      </c>
      <c r="F224" s="212">
        <v>45597</v>
      </c>
      <c r="G224" s="206" t="s">
        <v>109</v>
      </c>
      <c r="H224" s="206" t="s">
        <v>6198</v>
      </c>
    </row>
    <row r="225" spans="2:8" ht="14.15" hidden="1">
      <c r="B225" s="205">
        <v>45616</v>
      </c>
      <c r="C225" s="208" t="s">
        <v>6539</v>
      </c>
      <c r="D225" s="206" t="s">
        <v>4314</v>
      </c>
      <c r="E225" s="211">
        <v>-39264</v>
      </c>
      <c r="F225" s="212">
        <v>45597</v>
      </c>
      <c r="G225" s="206" t="s">
        <v>109</v>
      </c>
      <c r="H225" s="206" t="s">
        <v>6198</v>
      </c>
    </row>
    <row r="226" spans="2:8" ht="14.15" hidden="1">
      <c r="B226" s="205">
        <v>45616</v>
      </c>
      <c r="C226" s="208" t="s">
        <v>6541</v>
      </c>
      <c r="D226" s="206" t="s">
        <v>4314</v>
      </c>
      <c r="E226" s="211">
        <v>-544840</v>
      </c>
      <c r="F226" s="212">
        <v>45597</v>
      </c>
      <c r="G226" s="206" t="s">
        <v>109</v>
      </c>
      <c r="H226" s="206" t="s">
        <v>6198</v>
      </c>
    </row>
    <row r="227" spans="2:8" ht="14.15" hidden="1">
      <c r="B227" s="205">
        <v>45616</v>
      </c>
      <c r="C227" s="208" t="s">
        <v>6542</v>
      </c>
      <c r="D227" s="206" t="s">
        <v>4314</v>
      </c>
      <c r="E227" s="211">
        <v>-326904</v>
      </c>
      <c r="F227" s="212">
        <v>45597</v>
      </c>
      <c r="G227" s="206" t="s">
        <v>109</v>
      </c>
      <c r="H227" s="206" t="s">
        <v>6198</v>
      </c>
    </row>
    <row r="228" spans="2:8" ht="14.15" hidden="1">
      <c r="B228" s="205">
        <v>45616</v>
      </c>
      <c r="C228" s="208" t="s">
        <v>6544</v>
      </c>
      <c r="D228" s="206" t="s">
        <v>4314</v>
      </c>
      <c r="E228" s="211">
        <v>-825000</v>
      </c>
      <c r="F228" s="212">
        <v>45597</v>
      </c>
      <c r="G228" s="206" t="s">
        <v>109</v>
      </c>
      <c r="H228" s="206" t="s">
        <v>3644</v>
      </c>
    </row>
    <row r="229" spans="2:8" ht="14.15" hidden="1">
      <c r="B229" s="205">
        <v>45617</v>
      </c>
      <c r="C229" s="208" t="s">
        <v>6645</v>
      </c>
      <c r="D229" s="206" t="s">
        <v>4314</v>
      </c>
      <c r="E229" s="718">
        <v>-237250</v>
      </c>
      <c r="F229" s="207">
        <v>45597</v>
      </c>
      <c r="G229" s="206" t="s">
        <v>109</v>
      </c>
      <c r="H229" s="206" t="s">
        <v>5911</v>
      </c>
    </row>
    <row r="230" spans="2:8" ht="14.15" hidden="1">
      <c r="B230" s="205">
        <v>45617</v>
      </c>
      <c r="C230" s="208" t="s">
        <v>6647</v>
      </c>
      <c r="D230" s="206" t="s">
        <v>4314</v>
      </c>
      <c r="E230" s="718">
        <v>-82278.78</v>
      </c>
      <c r="F230" s="207">
        <v>45597</v>
      </c>
      <c r="G230" s="206" t="s">
        <v>109</v>
      </c>
      <c r="H230" s="206" t="s">
        <v>3529</v>
      </c>
    </row>
    <row r="231" spans="2:8" ht="14.15" hidden="1">
      <c r="B231" s="205">
        <v>45617</v>
      </c>
      <c r="C231" s="208" t="s">
        <v>6650</v>
      </c>
      <c r="D231" s="206" t="s">
        <v>4314</v>
      </c>
      <c r="E231" s="211">
        <v>-4016.96</v>
      </c>
      <c r="F231" s="207">
        <v>45597</v>
      </c>
      <c r="G231" s="206" t="s">
        <v>109</v>
      </c>
      <c r="H231" s="206" t="s">
        <v>581</v>
      </c>
    </row>
    <row r="232" spans="2:8" ht="14.15" hidden="1">
      <c r="B232" s="205">
        <v>45611</v>
      </c>
      <c r="C232" s="208" t="s">
        <v>6723</v>
      </c>
      <c r="D232" s="206" t="s">
        <v>4314</v>
      </c>
      <c r="E232" s="211">
        <v>-22824.44</v>
      </c>
      <c r="F232" s="207">
        <v>45597</v>
      </c>
      <c r="G232" s="206" t="s">
        <v>130</v>
      </c>
      <c r="H232" s="206" t="s">
        <v>130</v>
      </c>
    </row>
    <row r="233" spans="2:8" s="773" customFormat="1" ht="14.15" hidden="1">
      <c r="B233" s="769">
        <v>45621</v>
      </c>
      <c r="C233" s="770" t="s">
        <v>6739</v>
      </c>
      <c r="D233" s="768" t="s">
        <v>4314</v>
      </c>
      <c r="E233" s="771">
        <v>-4600</v>
      </c>
      <c r="F233" s="772">
        <v>45597</v>
      </c>
      <c r="G233" s="770" t="s">
        <v>109</v>
      </c>
      <c r="H233" s="770" t="s">
        <v>581</v>
      </c>
    </row>
    <row r="234" spans="2:8" ht="14.15" hidden="1">
      <c r="B234" s="205">
        <v>45621</v>
      </c>
      <c r="C234" s="736" t="s">
        <v>6740</v>
      </c>
      <c r="D234" s="206" t="s">
        <v>4314</v>
      </c>
      <c r="E234" s="211">
        <v>-7680</v>
      </c>
      <c r="F234" s="207">
        <v>45597</v>
      </c>
      <c r="G234" s="736" t="s">
        <v>109</v>
      </c>
      <c r="H234" s="736" t="s">
        <v>581</v>
      </c>
    </row>
    <row r="235" spans="2:8" ht="14.15" hidden="1">
      <c r="B235" s="205">
        <v>45624</v>
      </c>
      <c r="C235" s="208" t="s">
        <v>6798</v>
      </c>
      <c r="D235" s="206" t="s">
        <v>4314</v>
      </c>
      <c r="E235" s="718">
        <v>-1248</v>
      </c>
      <c r="F235" s="207">
        <v>45597</v>
      </c>
      <c r="G235" s="206" t="s">
        <v>109</v>
      </c>
      <c r="H235" s="206" t="s">
        <v>4986</v>
      </c>
    </row>
    <row r="236" spans="2:8" ht="14.15" hidden="1">
      <c r="B236" s="205">
        <v>45624</v>
      </c>
      <c r="C236" s="208" t="s">
        <v>6799</v>
      </c>
      <c r="D236" s="206" t="s">
        <v>4314</v>
      </c>
      <c r="E236" s="718">
        <v>-2080</v>
      </c>
      <c r="F236" s="207">
        <v>45597</v>
      </c>
      <c r="G236" s="206" t="s">
        <v>109</v>
      </c>
      <c r="H236" s="206" t="s">
        <v>4986</v>
      </c>
    </row>
    <row r="237" spans="2:8" ht="14.15" hidden="1">
      <c r="B237" s="205">
        <v>45624</v>
      </c>
      <c r="C237" s="208" t="s">
        <v>6802</v>
      </c>
      <c r="D237" s="206" t="s">
        <v>4314</v>
      </c>
      <c r="E237" s="718">
        <v>-924</v>
      </c>
      <c r="F237" s="207">
        <v>45597</v>
      </c>
      <c r="G237" s="206" t="s">
        <v>109</v>
      </c>
      <c r="H237" s="206" t="s">
        <v>4986</v>
      </c>
    </row>
    <row r="238" spans="2:8" ht="14.15" hidden="1">
      <c r="B238" s="205">
        <v>45624</v>
      </c>
      <c r="C238" s="208" t="s">
        <v>6803</v>
      </c>
      <c r="D238" s="206" t="s">
        <v>4314</v>
      </c>
      <c r="E238" s="718">
        <v>-1540</v>
      </c>
      <c r="F238" s="207">
        <v>45597</v>
      </c>
      <c r="G238" s="206" t="s">
        <v>109</v>
      </c>
      <c r="H238" s="206" t="s">
        <v>4986</v>
      </c>
    </row>
    <row r="239" spans="2:8" ht="14.15" hidden="1">
      <c r="B239" s="205">
        <v>45622</v>
      </c>
      <c r="C239" s="208" t="s">
        <v>6805</v>
      </c>
      <c r="D239" s="206" t="s">
        <v>4314</v>
      </c>
      <c r="E239" s="211">
        <v>-649000</v>
      </c>
      <c r="F239" s="212">
        <v>45597</v>
      </c>
      <c r="G239" s="206" t="s">
        <v>109</v>
      </c>
      <c r="H239" s="206" t="s">
        <v>5990</v>
      </c>
    </row>
    <row r="240" spans="2:8" ht="14.15" hidden="1">
      <c r="B240" s="205">
        <v>45622</v>
      </c>
      <c r="C240" s="208" t="s">
        <v>6808</v>
      </c>
      <c r="D240" s="206" t="s">
        <v>4314</v>
      </c>
      <c r="E240" s="211">
        <v>-58500</v>
      </c>
      <c r="F240" s="212">
        <v>45597</v>
      </c>
      <c r="G240" s="206" t="s">
        <v>109</v>
      </c>
      <c r="H240" s="206" t="s">
        <v>5990</v>
      </c>
    </row>
    <row r="241" spans="2:8" ht="14.15" hidden="1">
      <c r="B241" s="205">
        <v>45622</v>
      </c>
      <c r="C241" s="208" t="s">
        <v>6809</v>
      </c>
      <c r="D241" s="206" t="s">
        <v>4314</v>
      </c>
      <c r="E241" s="211">
        <v>-97500</v>
      </c>
      <c r="F241" s="212">
        <v>45597</v>
      </c>
      <c r="G241" s="206" t="s">
        <v>109</v>
      </c>
      <c r="H241" s="206" t="s">
        <v>5990</v>
      </c>
    </row>
    <row r="242" spans="2:8" ht="14.15" hidden="1">
      <c r="B242" s="205">
        <v>45622</v>
      </c>
      <c r="C242" s="208" t="s">
        <v>6812</v>
      </c>
      <c r="D242" s="206" t="s">
        <v>4314</v>
      </c>
      <c r="E242" s="211">
        <v>-6048.33</v>
      </c>
      <c r="F242" s="212">
        <v>45597</v>
      </c>
      <c r="G242" s="206" t="s">
        <v>130</v>
      </c>
      <c r="H242" s="206" t="s">
        <v>3107</v>
      </c>
    </row>
    <row r="243" spans="2:8" ht="14.15" hidden="1">
      <c r="B243" s="205">
        <v>45622</v>
      </c>
      <c r="C243" s="208" t="s">
        <v>6813</v>
      </c>
      <c r="D243" s="206" t="s">
        <v>4314</v>
      </c>
      <c r="E243" s="211">
        <v>-35281.93</v>
      </c>
      <c r="F243" s="212">
        <v>45597</v>
      </c>
      <c r="G243" s="206" t="s">
        <v>130</v>
      </c>
      <c r="H243" s="206" t="s">
        <v>3107</v>
      </c>
    </row>
    <row r="244" spans="2:8" ht="14.15" hidden="1">
      <c r="B244" s="205">
        <v>45623</v>
      </c>
      <c r="C244" s="208" t="s">
        <v>6821</v>
      </c>
      <c r="D244" s="206" t="s">
        <v>4314</v>
      </c>
      <c r="E244" s="211">
        <v>-6349.25</v>
      </c>
      <c r="F244" s="212">
        <v>45597</v>
      </c>
      <c r="G244" s="206" t="s">
        <v>109</v>
      </c>
      <c r="H244" s="206" t="s">
        <v>581</v>
      </c>
    </row>
    <row r="245" spans="2:8" ht="14.15" hidden="1">
      <c r="B245" s="205">
        <v>45623</v>
      </c>
      <c r="C245" s="208" t="s">
        <v>6822</v>
      </c>
      <c r="D245" s="206" t="s">
        <v>4314</v>
      </c>
      <c r="E245" s="211">
        <v>-47676.68</v>
      </c>
      <c r="F245" s="212">
        <v>45597</v>
      </c>
      <c r="G245" s="206" t="s">
        <v>110</v>
      </c>
      <c r="H245" s="206" t="s">
        <v>5469</v>
      </c>
    </row>
    <row r="246" spans="2:8" ht="14.15" hidden="1">
      <c r="B246" s="205">
        <v>45623</v>
      </c>
      <c r="C246" s="208" t="s">
        <v>6821</v>
      </c>
      <c r="D246" s="206" t="s">
        <v>4314</v>
      </c>
      <c r="E246" s="211">
        <v>-9535.34</v>
      </c>
      <c r="F246" s="212">
        <v>45597</v>
      </c>
      <c r="G246" s="206" t="s">
        <v>110</v>
      </c>
      <c r="H246" s="206" t="s">
        <v>5469</v>
      </c>
    </row>
    <row r="247" spans="2:8" ht="14.15" hidden="1">
      <c r="B247" s="205">
        <v>45623</v>
      </c>
      <c r="C247" s="208" t="s">
        <v>6825</v>
      </c>
      <c r="D247" s="206" t="s">
        <v>4314</v>
      </c>
      <c r="E247" s="450">
        <v>-74800</v>
      </c>
      <c r="F247" s="212">
        <v>45597</v>
      </c>
      <c r="G247" s="206" t="s">
        <v>130</v>
      </c>
      <c r="H247" s="206" t="s">
        <v>323</v>
      </c>
    </row>
    <row r="248" spans="2:8" ht="14.15" hidden="1">
      <c r="B248" s="205">
        <v>45623</v>
      </c>
      <c r="C248" s="655" t="s">
        <v>6832</v>
      </c>
      <c r="D248" s="206" t="s">
        <v>4314</v>
      </c>
      <c r="E248" s="450">
        <v>-82025</v>
      </c>
      <c r="F248" s="212">
        <v>45597</v>
      </c>
      <c r="G248" s="206" t="s">
        <v>109</v>
      </c>
      <c r="H248" s="206" t="s">
        <v>5990</v>
      </c>
    </row>
    <row r="249" spans="2:8" ht="14.15" hidden="1">
      <c r="B249" s="205">
        <v>45617</v>
      </c>
      <c r="C249" s="208" t="s">
        <v>8180</v>
      </c>
      <c r="D249" s="206" t="s">
        <v>4314</v>
      </c>
      <c r="E249" s="211">
        <v>-2541</v>
      </c>
      <c r="F249" s="212">
        <v>45597</v>
      </c>
      <c r="G249" s="206" t="s">
        <v>130</v>
      </c>
      <c r="H249" s="206" t="s">
        <v>130</v>
      </c>
    </row>
    <row r="250" spans="2:8" ht="14.15" hidden="1">
      <c r="B250" s="205">
        <v>45617</v>
      </c>
      <c r="C250" s="208" t="s">
        <v>6949</v>
      </c>
      <c r="D250" s="206" t="s">
        <v>4314</v>
      </c>
      <c r="E250" s="211">
        <v>-1524</v>
      </c>
      <c r="F250" s="212">
        <v>45597</v>
      </c>
      <c r="G250" s="206" t="s">
        <v>130</v>
      </c>
      <c r="H250" s="206" t="s">
        <v>130</v>
      </c>
    </row>
    <row r="251" spans="2:8" ht="14.15" hidden="1">
      <c r="B251" s="205">
        <v>45624</v>
      </c>
      <c r="C251" s="736" t="s">
        <v>6950</v>
      </c>
      <c r="D251" s="736" t="s">
        <v>4314</v>
      </c>
      <c r="E251" s="736">
        <v>-27003</v>
      </c>
      <c r="F251" s="212">
        <v>45597</v>
      </c>
      <c r="G251" s="736" t="s">
        <v>130</v>
      </c>
      <c r="H251" s="787" t="s">
        <v>8181</v>
      </c>
    </row>
    <row r="252" spans="2:8" ht="14.15" hidden="1">
      <c r="B252" s="205">
        <v>45624</v>
      </c>
      <c r="C252" s="736" t="s">
        <v>6951</v>
      </c>
      <c r="D252" s="736" t="s">
        <v>4314</v>
      </c>
      <c r="E252" s="736">
        <v>-4629.82</v>
      </c>
      <c r="F252" s="212">
        <v>45597</v>
      </c>
      <c r="G252" s="736" t="s">
        <v>130</v>
      </c>
      <c r="H252" s="736" t="s">
        <v>130</v>
      </c>
    </row>
    <row r="253" spans="2:8" ht="14.15" hidden="1">
      <c r="B253" s="205">
        <v>45624</v>
      </c>
      <c r="C253" s="736" t="s">
        <v>6958</v>
      </c>
      <c r="D253" s="736" t="s">
        <v>4314</v>
      </c>
      <c r="E253" s="736">
        <v>-84480</v>
      </c>
      <c r="F253" s="212">
        <v>45597</v>
      </c>
      <c r="G253" s="736" t="s">
        <v>109</v>
      </c>
      <c r="H253" s="736" t="s">
        <v>5990</v>
      </c>
    </row>
    <row r="254" spans="2:8" ht="14.15" hidden="1">
      <c r="B254" s="205">
        <v>45622</v>
      </c>
      <c r="C254" s="736" t="s">
        <v>6742</v>
      </c>
      <c r="D254" s="736" t="s">
        <v>4314</v>
      </c>
      <c r="E254" s="736">
        <v>-2380</v>
      </c>
      <c r="F254" s="212">
        <v>45597</v>
      </c>
      <c r="G254" s="736" t="s">
        <v>130</v>
      </c>
      <c r="H254" s="736" t="s">
        <v>130</v>
      </c>
    </row>
    <row r="255" spans="2:8" ht="14.15" hidden="1">
      <c r="B255" s="205">
        <v>45622</v>
      </c>
      <c r="C255" s="736" t="s">
        <v>6743</v>
      </c>
      <c r="D255" s="736" t="s">
        <v>4314</v>
      </c>
      <c r="E255" s="736">
        <v>-3980</v>
      </c>
      <c r="F255" s="212">
        <v>45597</v>
      </c>
      <c r="G255" s="736" t="s">
        <v>130</v>
      </c>
      <c r="H255" s="736" t="s">
        <v>130</v>
      </c>
    </row>
    <row r="256" spans="2:8" ht="14.15" hidden="1">
      <c r="B256" s="205">
        <v>45617</v>
      </c>
      <c r="C256" s="736" t="s">
        <v>6948</v>
      </c>
      <c r="D256" s="736" t="s">
        <v>4314</v>
      </c>
      <c r="E256" s="736">
        <v>-2541</v>
      </c>
      <c r="F256" s="212">
        <v>45597</v>
      </c>
      <c r="G256" s="736" t="s">
        <v>130</v>
      </c>
      <c r="H256" s="736" t="s">
        <v>130</v>
      </c>
    </row>
    <row r="257" spans="2:8" ht="14.15" hidden="1">
      <c r="B257" s="205">
        <v>45617</v>
      </c>
      <c r="C257" s="736" t="s">
        <v>6949</v>
      </c>
      <c r="D257" s="736" t="s">
        <v>4314</v>
      </c>
      <c r="E257" s="736">
        <v>-1524</v>
      </c>
      <c r="F257" s="212">
        <v>45597</v>
      </c>
      <c r="G257" s="736" t="s">
        <v>130</v>
      </c>
      <c r="H257" s="736" t="s">
        <v>130</v>
      </c>
    </row>
    <row r="258" spans="2:8" ht="14.15" hidden="1">
      <c r="B258" s="205">
        <v>45623</v>
      </c>
      <c r="C258" s="736" t="s">
        <v>6952</v>
      </c>
      <c r="D258" s="736" t="s">
        <v>4314</v>
      </c>
      <c r="E258" s="736">
        <v>-64500</v>
      </c>
      <c r="F258" s="212">
        <v>45597</v>
      </c>
      <c r="G258" s="736" t="s">
        <v>130</v>
      </c>
      <c r="H258" s="736" t="s">
        <v>130</v>
      </c>
    </row>
    <row r="259" spans="2:8" ht="14.15" hidden="1">
      <c r="B259" s="205">
        <v>45623</v>
      </c>
      <c r="C259" s="736" t="s">
        <v>6953</v>
      </c>
      <c r="D259" s="736" t="s">
        <v>4314</v>
      </c>
      <c r="E259" s="736">
        <v>-47512.959999999999</v>
      </c>
      <c r="F259" s="212">
        <v>45597</v>
      </c>
      <c r="G259" s="736" t="s">
        <v>109</v>
      </c>
      <c r="H259" s="736" t="s">
        <v>6954</v>
      </c>
    </row>
    <row r="260" spans="2:8" ht="14.15" hidden="1">
      <c r="B260" s="205">
        <v>45623</v>
      </c>
      <c r="C260" s="736" t="s">
        <v>6955</v>
      </c>
      <c r="D260" s="736" t="s">
        <v>4314</v>
      </c>
      <c r="E260" s="736">
        <v>-183529.4</v>
      </c>
      <c r="F260" s="212">
        <v>45597</v>
      </c>
      <c r="G260" s="736" t="s">
        <v>109</v>
      </c>
      <c r="H260" s="736" t="s">
        <v>4986</v>
      </c>
    </row>
    <row r="261" spans="2:8" ht="14.15" hidden="1">
      <c r="B261" s="205">
        <v>45623</v>
      </c>
      <c r="C261" s="736" t="s">
        <v>6956</v>
      </c>
      <c r="D261" s="736" t="s">
        <v>4314</v>
      </c>
      <c r="E261" s="736">
        <v>-36705.879999999997</v>
      </c>
      <c r="F261" s="212">
        <v>45597</v>
      </c>
      <c r="G261" s="736" t="s">
        <v>109</v>
      </c>
      <c r="H261" s="736" t="s">
        <v>4986</v>
      </c>
    </row>
    <row r="262" spans="2:8" ht="14.15" hidden="1">
      <c r="B262" s="205">
        <v>45624</v>
      </c>
      <c r="C262" s="736" t="s">
        <v>6957</v>
      </c>
      <c r="D262" s="736" t="s">
        <v>4314</v>
      </c>
      <c r="E262" s="736">
        <v>-140800</v>
      </c>
      <c r="F262" s="212">
        <v>45597</v>
      </c>
      <c r="G262" s="736" t="s">
        <v>109</v>
      </c>
      <c r="H262" s="736" t="s">
        <v>2809</v>
      </c>
    </row>
    <row r="263" spans="2:8" ht="14.15" hidden="1">
      <c r="B263" s="205">
        <v>45624</v>
      </c>
      <c r="C263" s="736" t="s">
        <v>6959</v>
      </c>
      <c r="D263" s="736" t="s">
        <v>4314</v>
      </c>
      <c r="E263" s="736">
        <v>-4000</v>
      </c>
      <c r="F263" s="212">
        <v>45597</v>
      </c>
      <c r="G263" s="736" t="s">
        <v>109</v>
      </c>
      <c r="H263" s="736" t="s">
        <v>5990</v>
      </c>
    </row>
    <row r="264" spans="2:8" ht="14.15">
      <c r="B264" s="792">
        <v>45629</v>
      </c>
      <c r="C264" s="201" t="s">
        <v>6992</v>
      </c>
      <c r="D264" s="200" t="s">
        <v>4314</v>
      </c>
      <c r="E264" s="793">
        <v>-5870</v>
      </c>
      <c r="F264" s="794">
        <v>45627</v>
      </c>
      <c r="G264" s="206" t="s">
        <v>109</v>
      </c>
      <c r="H264" s="200" t="s">
        <v>4986</v>
      </c>
    </row>
    <row r="265" spans="2:8" ht="14.15">
      <c r="B265" s="792">
        <v>45629</v>
      </c>
      <c r="C265" s="201" t="s">
        <v>6992</v>
      </c>
      <c r="D265" s="200" t="s">
        <v>4314</v>
      </c>
      <c r="E265" s="793">
        <v>-5870</v>
      </c>
      <c r="F265" s="794">
        <v>45627</v>
      </c>
      <c r="G265" s="206" t="s">
        <v>109</v>
      </c>
      <c r="H265" s="200" t="s">
        <v>4986</v>
      </c>
    </row>
    <row r="266" spans="2:8" ht="14.15">
      <c r="B266" s="205">
        <v>45631</v>
      </c>
      <c r="C266" s="208" t="s">
        <v>7066</v>
      </c>
      <c r="D266" s="206" t="s">
        <v>4314</v>
      </c>
      <c r="E266" s="816">
        <v>-3522</v>
      </c>
      <c r="F266" s="815">
        <v>45627</v>
      </c>
      <c r="G266" s="206" t="s">
        <v>109</v>
      </c>
      <c r="H266" s="206" t="s">
        <v>6994</v>
      </c>
    </row>
    <row r="267" spans="2:8" ht="14.15">
      <c r="B267" s="205">
        <v>45631</v>
      </c>
      <c r="C267" s="208" t="s">
        <v>7067</v>
      </c>
      <c r="D267" s="206" t="s">
        <v>4314</v>
      </c>
      <c r="E267" s="211">
        <v>-2410</v>
      </c>
      <c r="F267" s="815">
        <v>45627</v>
      </c>
      <c r="G267" s="206" t="s">
        <v>109</v>
      </c>
      <c r="H267" s="206" t="s">
        <v>6994</v>
      </c>
    </row>
    <row r="268" spans="2:8" ht="14.15">
      <c r="B268" s="205">
        <v>45631</v>
      </c>
      <c r="C268" s="208" t="s">
        <v>7090</v>
      </c>
      <c r="D268" s="206" t="s">
        <v>4314</v>
      </c>
      <c r="E268" s="211">
        <v>-1446</v>
      </c>
      <c r="F268" s="815">
        <v>45627</v>
      </c>
      <c r="G268" s="206" t="s">
        <v>110</v>
      </c>
      <c r="H268" s="206" t="s">
        <v>5469</v>
      </c>
    </row>
    <row r="269" spans="2:8" ht="14.15">
      <c r="B269" s="205">
        <v>45631</v>
      </c>
      <c r="C269" s="208" t="s">
        <v>7091</v>
      </c>
      <c r="D269" s="206" t="s">
        <v>4314</v>
      </c>
      <c r="E269" s="211">
        <v>-3657</v>
      </c>
      <c r="F269" s="815">
        <v>45627</v>
      </c>
      <c r="G269" s="206" t="s">
        <v>109</v>
      </c>
      <c r="H269" s="206" t="s">
        <v>6994</v>
      </c>
    </row>
    <row r="270" spans="2:8" ht="14.15">
      <c r="B270" s="205">
        <v>45631</v>
      </c>
      <c r="C270" s="208" t="s">
        <v>7098</v>
      </c>
      <c r="D270" s="206" t="s">
        <v>4314</v>
      </c>
      <c r="E270" s="211">
        <v>-1487</v>
      </c>
      <c r="F270" s="815">
        <v>45627</v>
      </c>
      <c r="G270" s="206" t="s">
        <v>109</v>
      </c>
      <c r="H270" s="206" t="s">
        <v>6994</v>
      </c>
    </row>
    <row r="271" spans="2:8" ht="14.15">
      <c r="B271" s="205">
        <v>45631</v>
      </c>
      <c r="C271" s="208" t="s">
        <v>7105</v>
      </c>
      <c r="D271" s="206" t="s">
        <v>4314</v>
      </c>
      <c r="E271" s="211">
        <v>-3000</v>
      </c>
      <c r="F271" s="815">
        <v>45627</v>
      </c>
      <c r="G271" s="206" t="s">
        <v>109</v>
      </c>
      <c r="H271" s="206" t="s">
        <v>6903</v>
      </c>
    </row>
    <row r="272" spans="2:8" ht="14.15">
      <c r="B272" s="205">
        <v>45631</v>
      </c>
      <c r="C272" s="208" t="s">
        <v>7115</v>
      </c>
      <c r="D272" s="206" t="s">
        <v>4314</v>
      </c>
      <c r="E272" s="211">
        <v>-529475</v>
      </c>
      <c r="F272" s="815">
        <v>45627</v>
      </c>
      <c r="G272" s="206" t="s">
        <v>130</v>
      </c>
      <c r="H272" s="206" t="s">
        <v>130</v>
      </c>
    </row>
    <row r="273" spans="2:9" ht="14.15">
      <c r="B273" s="205">
        <v>45630</v>
      </c>
      <c r="C273" s="208" t="s">
        <v>7129</v>
      </c>
      <c r="D273" s="206" t="s">
        <v>4314</v>
      </c>
      <c r="E273" s="211">
        <v>-290000</v>
      </c>
      <c r="F273" s="815">
        <v>45627</v>
      </c>
      <c r="G273" s="206" t="s">
        <v>109</v>
      </c>
      <c r="H273" s="206" t="s">
        <v>5990</v>
      </c>
    </row>
    <row r="274" spans="2:9" ht="14.15">
      <c r="B274" s="205">
        <v>45630</v>
      </c>
      <c r="C274" s="208" t="s">
        <v>7130</v>
      </c>
      <c r="D274" s="206" t="s">
        <v>4314</v>
      </c>
      <c r="E274" s="211">
        <v>-176500</v>
      </c>
      <c r="F274" s="815">
        <v>45627</v>
      </c>
      <c r="G274" s="206" t="s">
        <v>109</v>
      </c>
      <c r="H274" s="206" t="s">
        <v>5990</v>
      </c>
    </row>
    <row r="275" spans="2:9" ht="14.15">
      <c r="B275" s="205">
        <v>45630</v>
      </c>
      <c r="C275" s="208" t="s">
        <v>7143</v>
      </c>
      <c r="D275" s="206" t="s">
        <v>4314</v>
      </c>
      <c r="E275" s="211">
        <v>-105900</v>
      </c>
      <c r="F275" s="815">
        <v>45627</v>
      </c>
      <c r="G275" s="206" t="s">
        <v>109</v>
      </c>
      <c r="H275" s="206" t="s">
        <v>6954</v>
      </c>
    </row>
    <row r="276" spans="2:9" ht="14.15">
      <c r="B276" s="205">
        <v>45630</v>
      </c>
      <c r="C276" s="208" t="s">
        <v>7145</v>
      </c>
      <c r="D276" s="206" t="s">
        <v>4314</v>
      </c>
      <c r="E276" s="211">
        <v>-72734.59</v>
      </c>
      <c r="F276" s="815">
        <v>45627</v>
      </c>
      <c r="G276" s="206" t="s">
        <v>109</v>
      </c>
      <c r="H276" s="206" t="s">
        <v>4225</v>
      </c>
    </row>
    <row r="277" spans="2:9" ht="14.15">
      <c r="B277" s="205">
        <v>45630</v>
      </c>
      <c r="C277" s="208" t="s">
        <v>7147</v>
      </c>
      <c r="D277" s="206" t="s">
        <v>4314</v>
      </c>
      <c r="E277" s="211">
        <v>-1891.25</v>
      </c>
      <c r="F277" s="815">
        <v>45627</v>
      </c>
      <c r="G277" s="206" t="s">
        <v>110</v>
      </c>
      <c r="H277" s="206" t="s">
        <v>5469</v>
      </c>
    </row>
    <row r="278" spans="2:9" ht="14.15">
      <c r="B278" s="205">
        <v>45630</v>
      </c>
      <c r="C278" s="208" t="s">
        <v>7148</v>
      </c>
      <c r="D278" s="206" t="s">
        <v>4314</v>
      </c>
      <c r="E278" s="211">
        <v>-44201</v>
      </c>
      <c r="F278" s="815">
        <v>45627</v>
      </c>
      <c r="G278" s="206" t="s">
        <v>110</v>
      </c>
      <c r="H278" s="206" t="s">
        <v>5469</v>
      </c>
    </row>
    <row r="279" spans="2:9" ht="14.15">
      <c r="B279" s="205">
        <v>45630</v>
      </c>
      <c r="C279" s="208" t="s">
        <v>7152</v>
      </c>
      <c r="D279" s="206" t="s">
        <v>4314</v>
      </c>
      <c r="E279" s="211">
        <v>-8840.2099999999991</v>
      </c>
      <c r="F279" s="815">
        <v>45627</v>
      </c>
      <c r="G279" s="206" t="s">
        <v>109</v>
      </c>
      <c r="H279" s="206" t="s">
        <v>5990</v>
      </c>
    </row>
    <row r="280" spans="2:9" ht="14.15">
      <c r="B280" s="205">
        <v>45630</v>
      </c>
      <c r="C280" s="208" t="s">
        <v>7158</v>
      </c>
      <c r="D280" s="206" t="s">
        <v>4314</v>
      </c>
      <c r="E280" s="211">
        <v>-6720</v>
      </c>
      <c r="F280" s="815">
        <v>45627</v>
      </c>
      <c r="G280" s="206" t="s">
        <v>109</v>
      </c>
      <c r="H280" s="206" t="s">
        <v>6994</v>
      </c>
    </row>
    <row r="281" spans="2:9" ht="14.15">
      <c r="B281" s="205">
        <v>45628</v>
      </c>
      <c r="C281" s="208" t="s">
        <v>7162</v>
      </c>
      <c r="D281" s="206" t="s">
        <v>4314</v>
      </c>
      <c r="E281" s="211">
        <v>-43160.639999999999</v>
      </c>
      <c r="F281" s="815">
        <v>45627</v>
      </c>
      <c r="G281" s="206" t="s">
        <v>109</v>
      </c>
      <c r="H281" s="206" t="s">
        <v>5990</v>
      </c>
    </row>
    <row r="282" spans="2:9" ht="14.15">
      <c r="B282" s="205">
        <v>45628</v>
      </c>
      <c r="C282" s="208" t="s">
        <v>7163</v>
      </c>
      <c r="D282" s="206" t="s">
        <v>4314</v>
      </c>
      <c r="E282" s="211">
        <v>-215992.78</v>
      </c>
      <c r="F282" s="815">
        <v>45627</v>
      </c>
      <c r="G282" s="206" t="s">
        <v>109</v>
      </c>
      <c r="H282" s="206" t="s">
        <v>5990</v>
      </c>
    </row>
    <row r="283" spans="2:9" ht="14.15">
      <c r="B283" s="468">
        <v>45635</v>
      </c>
      <c r="C283" s="208" t="s">
        <v>7224</v>
      </c>
      <c r="D283" s="208" t="s">
        <v>4314</v>
      </c>
      <c r="E283" s="450">
        <v>-8830</v>
      </c>
      <c r="F283" s="212">
        <v>45627</v>
      </c>
      <c r="G283" s="208" t="s">
        <v>109</v>
      </c>
      <c r="H283" s="601" t="s">
        <v>5990</v>
      </c>
      <c r="I283" s="81" t="s">
        <v>6266</v>
      </c>
    </row>
    <row r="284" spans="2:9" ht="14.15">
      <c r="B284" s="468">
        <v>45635</v>
      </c>
      <c r="C284" s="208" t="s">
        <v>7225</v>
      </c>
      <c r="D284" s="208" t="s">
        <v>4314</v>
      </c>
      <c r="E284" s="450">
        <v>-5296</v>
      </c>
      <c r="F284" s="212">
        <v>45627</v>
      </c>
      <c r="G284" s="208" t="s">
        <v>109</v>
      </c>
      <c r="H284" s="601" t="s">
        <v>5990</v>
      </c>
      <c r="I284" s="81" t="s">
        <v>6266</v>
      </c>
    </row>
    <row r="285" spans="2:9" ht="14.15">
      <c r="B285" s="468">
        <v>45639</v>
      </c>
      <c r="C285" s="208" t="s">
        <v>7066</v>
      </c>
      <c r="D285" s="208" t="s">
        <v>4314</v>
      </c>
      <c r="E285" s="450">
        <v>-2690</v>
      </c>
      <c r="F285" s="212">
        <v>45627</v>
      </c>
      <c r="G285" s="208" t="s">
        <v>109</v>
      </c>
      <c r="H285" s="601" t="s">
        <v>4986</v>
      </c>
      <c r="I285" s="81"/>
    </row>
    <row r="286" spans="2:9" ht="14.15">
      <c r="B286" s="468">
        <v>45639</v>
      </c>
      <c r="C286" s="208" t="s">
        <v>7067</v>
      </c>
      <c r="D286" s="208" t="s">
        <v>4314</v>
      </c>
      <c r="E286" s="450">
        <v>-1614</v>
      </c>
      <c r="F286" s="212">
        <v>45627</v>
      </c>
      <c r="G286" s="208" t="s">
        <v>109</v>
      </c>
      <c r="H286" s="601" t="s">
        <v>4986</v>
      </c>
      <c r="I286" s="81"/>
    </row>
    <row r="287" spans="2:9" ht="14.15">
      <c r="B287" s="468">
        <v>45639</v>
      </c>
      <c r="C287" s="208" t="s">
        <v>7224</v>
      </c>
      <c r="D287" s="208" t="s">
        <v>4314</v>
      </c>
      <c r="E287" s="450">
        <v>-6250</v>
      </c>
      <c r="F287" s="212">
        <v>45627</v>
      </c>
      <c r="G287" s="208" t="s">
        <v>109</v>
      </c>
      <c r="H287" s="601" t="s">
        <v>6994</v>
      </c>
      <c r="I287" s="81"/>
    </row>
    <row r="288" spans="2:9" ht="14.15">
      <c r="B288" s="468">
        <v>45639</v>
      </c>
      <c r="C288" s="208" t="s">
        <v>7225</v>
      </c>
      <c r="D288" s="208" t="s">
        <v>4314</v>
      </c>
      <c r="E288" s="450">
        <v>-3750</v>
      </c>
      <c r="F288" s="212">
        <v>45627</v>
      </c>
      <c r="G288" s="208" t="s">
        <v>109</v>
      </c>
      <c r="H288" s="601" t="s">
        <v>6994</v>
      </c>
      <c r="I288" s="81"/>
    </row>
    <row r="289" spans="2:9" ht="14.15">
      <c r="B289" s="468">
        <v>45636</v>
      </c>
      <c r="C289" s="208" t="s">
        <v>7257</v>
      </c>
      <c r="D289" s="208" t="s">
        <v>4314</v>
      </c>
      <c r="E289" s="450">
        <v>-1929</v>
      </c>
      <c r="F289" s="212">
        <v>45627</v>
      </c>
      <c r="G289" s="208" t="s">
        <v>109</v>
      </c>
      <c r="H289" s="601" t="s">
        <v>3529</v>
      </c>
      <c r="I289" s="81"/>
    </row>
    <row r="290" spans="2:9" ht="14.15">
      <c r="B290" s="468">
        <v>45636</v>
      </c>
      <c r="C290" s="208" t="s">
        <v>7261</v>
      </c>
      <c r="D290" s="208" t="s">
        <v>4314</v>
      </c>
      <c r="E290" s="450">
        <v>-68500</v>
      </c>
      <c r="F290" s="212">
        <v>45627</v>
      </c>
      <c r="G290" s="208" t="s">
        <v>109</v>
      </c>
      <c r="H290" s="601" t="s">
        <v>5805</v>
      </c>
      <c r="I290" s="81"/>
    </row>
    <row r="291" spans="2:9" ht="14.15">
      <c r="B291" s="468">
        <v>45636</v>
      </c>
      <c r="C291" s="208" t="s">
        <v>7264</v>
      </c>
      <c r="D291" s="208" t="s">
        <v>4314</v>
      </c>
      <c r="E291" s="450">
        <v>-39285.71</v>
      </c>
      <c r="F291" s="212">
        <v>45627</v>
      </c>
      <c r="G291" s="208" t="s">
        <v>109</v>
      </c>
      <c r="H291" s="601" t="s">
        <v>6994</v>
      </c>
      <c r="I291" s="81"/>
    </row>
    <row r="292" spans="2:9" ht="14.15">
      <c r="B292" s="468">
        <v>45636</v>
      </c>
      <c r="C292" s="208" t="s">
        <v>7265</v>
      </c>
      <c r="D292" s="208" t="s">
        <v>4314</v>
      </c>
      <c r="E292" s="450">
        <v>-9428.57</v>
      </c>
      <c r="F292" s="212">
        <v>45627</v>
      </c>
      <c r="G292" s="208" t="s">
        <v>109</v>
      </c>
      <c r="H292" s="601" t="s">
        <v>6994</v>
      </c>
      <c r="I292" s="81"/>
    </row>
    <row r="293" spans="2:9" ht="14.15">
      <c r="B293" s="468">
        <v>45636</v>
      </c>
      <c r="C293" s="208" t="s">
        <v>7267</v>
      </c>
      <c r="D293" s="208" t="s">
        <v>4314</v>
      </c>
      <c r="E293" s="450">
        <v>-397765.5</v>
      </c>
      <c r="F293" s="212">
        <v>45627</v>
      </c>
      <c r="G293" s="208" t="s">
        <v>110</v>
      </c>
      <c r="H293" s="601" t="s">
        <v>5503</v>
      </c>
      <c r="I293" s="81"/>
    </row>
    <row r="294" spans="2:9" ht="14.15">
      <c r="B294" s="468">
        <v>45638</v>
      </c>
      <c r="C294" s="208" t="s">
        <v>7282</v>
      </c>
      <c r="D294" s="208" t="s">
        <v>4314</v>
      </c>
      <c r="E294" s="450">
        <v>-5757.57</v>
      </c>
      <c r="F294" s="212">
        <v>45627</v>
      </c>
      <c r="G294" s="208" t="s">
        <v>110</v>
      </c>
      <c r="H294" s="601" t="s">
        <v>5469</v>
      </c>
      <c r="I294" s="81"/>
    </row>
    <row r="295" spans="2:9" ht="14.15">
      <c r="B295" s="468">
        <v>45638</v>
      </c>
      <c r="C295" s="208" t="s">
        <v>7286</v>
      </c>
      <c r="D295" s="208" t="s">
        <v>4314</v>
      </c>
      <c r="E295" s="450">
        <v>-83549.399999999994</v>
      </c>
      <c r="F295" s="212">
        <v>45627</v>
      </c>
      <c r="G295" s="208" t="s">
        <v>109</v>
      </c>
      <c r="H295" s="601" t="s">
        <v>8182</v>
      </c>
      <c r="I295" s="81"/>
    </row>
    <row r="296" spans="2:9" ht="14.15">
      <c r="B296" s="468">
        <v>45638</v>
      </c>
      <c r="C296" s="208" t="s">
        <v>7287</v>
      </c>
      <c r="D296" s="208" t="s">
        <v>4314</v>
      </c>
      <c r="E296" s="450">
        <v>-16709.88</v>
      </c>
      <c r="F296" s="212">
        <v>45627</v>
      </c>
      <c r="G296" s="208" t="s">
        <v>109</v>
      </c>
      <c r="H296" s="601" t="s">
        <v>8182</v>
      </c>
      <c r="I296" s="81"/>
    </row>
    <row r="297" spans="2:9" ht="14.15">
      <c r="B297" s="468">
        <v>45638</v>
      </c>
      <c r="C297" s="208" t="s">
        <v>7287</v>
      </c>
      <c r="D297" s="208" t="s">
        <v>4314</v>
      </c>
      <c r="E297" s="450">
        <v>-6068.433</v>
      </c>
      <c r="F297" s="212">
        <v>45627</v>
      </c>
      <c r="G297" s="208" t="s">
        <v>109</v>
      </c>
      <c r="H297" s="601" t="s">
        <v>6994</v>
      </c>
      <c r="I297" s="81"/>
    </row>
    <row r="298" spans="2:9" ht="14.15">
      <c r="B298" s="468">
        <v>45638</v>
      </c>
      <c r="C298" s="208" t="s">
        <v>7294</v>
      </c>
      <c r="D298" s="208" t="s">
        <v>4314</v>
      </c>
      <c r="E298" s="450">
        <v>-35000</v>
      </c>
      <c r="F298" s="212">
        <v>45627</v>
      </c>
      <c r="G298" s="208" t="s">
        <v>109</v>
      </c>
      <c r="H298" s="601" t="s">
        <v>5990</v>
      </c>
      <c r="I298" s="81"/>
    </row>
    <row r="299" spans="2:9" ht="14.15">
      <c r="B299" s="468">
        <v>45638</v>
      </c>
      <c r="C299" s="208" t="s">
        <v>7295</v>
      </c>
      <c r="D299" s="208" t="s">
        <v>4314</v>
      </c>
      <c r="E299" s="450">
        <v>-21000</v>
      </c>
      <c r="F299" s="212">
        <v>45627</v>
      </c>
      <c r="G299" s="208" t="s">
        <v>109</v>
      </c>
      <c r="H299" s="601" t="s">
        <v>5990</v>
      </c>
      <c r="I299" s="81"/>
    </row>
    <row r="300" spans="2:9" ht="14.15">
      <c r="B300" s="468">
        <v>45638</v>
      </c>
      <c r="C300" s="208" t="s">
        <v>7299</v>
      </c>
      <c r="D300" s="208" t="s">
        <v>4314</v>
      </c>
      <c r="E300" s="450">
        <v>-6280</v>
      </c>
      <c r="F300" s="212">
        <v>45627</v>
      </c>
      <c r="G300" s="208" t="s">
        <v>130</v>
      </c>
      <c r="H300" s="601" t="s">
        <v>130</v>
      </c>
      <c r="I300" s="81"/>
    </row>
    <row r="301" spans="2:9" ht="14.15">
      <c r="B301" s="468">
        <v>45638</v>
      </c>
      <c r="C301" s="208" t="s">
        <v>7300</v>
      </c>
      <c r="D301" s="208" t="s">
        <v>4314</v>
      </c>
      <c r="E301" s="450">
        <v>-1884</v>
      </c>
      <c r="F301" s="212">
        <v>45627</v>
      </c>
      <c r="G301" s="208" t="s">
        <v>130</v>
      </c>
      <c r="H301" s="601" t="s">
        <v>130</v>
      </c>
      <c r="I301" s="81"/>
    </row>
    <row r="302" spans="2:9" ht="14.15">
      <c r="B302" s="468">
        <v>45638</v>
      </c>
      <c r="C302" s="208" t="s">
        <v>7304</v>
      </c>
      <c r="D302" s="208" t="s">
        <v>4314</v>
      </c>
      <c r="E302" s="450">
        <v>-35544.080000000002</v>
      </c>
      <c r="F302" s="212">
        <v>45627</v>
      </c>
      <c r="G302" s="208" t="s">
        <v>109</v>
      </c>
      <c r="H302" s="601" t="s">
        <v>6994</v>
      </c>
      <c r="I302" s="81"/>
    </row>
    <row r="303" spans="2:9" ht="14.15">
      <c r="B303" s="468">
        <v>45638</v>
      </c>
      <c r="C303" s="208" t="s">
        <v>7309</v>
      </c>
      <c r="D303" s="208" t="s">
        <v>4314</v>
      </c>
      <c r="E303" s="450">
        <v>-155700</v>
      </c>
      <c r="F303" s="212">
        <v>45627</v>
      </c>
      <c r="G303" s="208" t="s">
        <v>109</v>
      </c>
      <c r="H303" s="601" t="s">
        <v>5911</v>
      </c>
      <c r="I303" s="81"/>
    </row>
    <row r="304" spans="2:9" ht="14.15">
      <c r="B304" s="468">
        <v>45639</v>
      </c>
      <c r="C304" s="208" t="s">
        <v>7337</v>
      </c>
      <c r="D304" s="208" t="s">
        <v>4314</v>
      </c>
      <c r="E304" s="450">
        <v>-21000</v>
      </c>
      <c r="F304" s="212">
        <v>45627</v>
      </c>
      <c r="G304" s="208" t="s">
        <v>110</v>
      </c>
      <c r="H304" s="601" t="s">
        <v>5469</v>
      </c>
      <c r="I304" s="81"/>
    </row>
    <row r="305" spans="2:9" ht="14.15">
      <c r="B305" s="468">
        <v>45639</v>
      </c>
      <c r="C305" s="208" t="s">
        <v>7338</v>
      </c>
      <c r="D305" s="208" t="s">
        <v>4314</v>
      </c>
      <c r="E305" s="450">
        <v>-2100</v>
      </c>
      <c r="F305" s="212">
        <v>45627</v>
      </c>
      <c r="G305" s="208" t="s">
        <v>110</v>
      </c>
      <c r="H305" s="601" t="s">
        <v>5469</v>
      </c>
      <c r="I305" s="81"/>
    </row>
    <row r="306" spans="2:9" ht="14.15">
      <c r="B306" s="468">
        <v>45645</v>
      </c>
      <c r="C306" s="208" t="s">
        <v>7366</v>
      </c>
      <c r="D306" s="208" t="s">
        <v>4314</v>
      </c>
      <c r="E306" s="450">
        <v>-894</v>
      </c>
      <c r="F306" s="212">
        <v>45627</v>
      </c>
      <c r="G306" s="208" t="s">
        <v>109</v>
      </c>
      <c r="H306" s="601" t="s">
        <v>4986</v>
      </c>
      <c r="I306" t="s">
        <v>6929</v>
      </c>
    </row>
    <row r="307" spans="2:9" ht="14.15">
      <c r="B307" s="468">
        <v>45645</v>
      </c>
      <c r="C307" s="208" t="s">
        <v>7367</v>
      </c>
      <c r="D307" s="208" t="s">
        <v>4314</v>
      </c>
      <c r="E307" s="450">
        <v>-1440</v>
      </c>
      <c r="F307" s="212">
        <v>45627</v>
      </c>
      <c r="G307" s="208" t="s">
        <v>109</v>
      </c>
      <c r="H307" s="601" t="s">
        <v>4986</v>
      </c>
      <c r="I307" t="s">
        <v>6929</v>
      </c>
    </row>
    <row r="308" spans="2:9" ht="14.15">
      <c r="B308" s="468">
        <v>45643</v>
      </c>
      <c r="C308" s="208" t="s">
        <v>7366</v>
      </c>
      <c r="D308" s="208" t="s">
        <v>4314</v>
      </c>
      <c r="E308" s="450">
        <v>-1812</v>
      </c>
      <c r="F308" s="212">
        <v>45627</v>
      </c>
      <c r="G308" s="208" t="s">
        <v>110</v>
      </c>
      <c r="H308" s="601" t="s">
        <v>5469</v>
      </c>
      <c r="I308" t="s">
        <v>6929</v>
      </c>
    </row>
    <row r="309" spans="2:9" ht="14.15">
      <c r="B309" s="468">
        <v>45643</v>
      </c>
      <c r="C309" s="208" t="s">
        <v>7367</v>
      </c>
      <c r="D309" s="208" t="s">
        <v>4314</v>
      </c>
      <c r="E309" s="450">
        <v>-3020</v>
      </c>
      <c r="F309" s="212">
        <v>45627</v>
      </c>
      <c r="G309" s="208" t="s">
        <v>110</v>
      </c>
      <c r="H309" s="601" t="s">
        <v>5469</v>
      </c>
      <c r="I309" t="s">
        <v>6929</v>
      </c>
    </row>
    <row r="310" spans="2:9" ht="14.15">
      <c r="B310" s="468">
        <v>45645</v>
      </c>
      <c r="C310" s="208" t="s">
        <v>7369</v>
      </c>
      <c r="D310" s="208" t="s">
        <v>4314</v>
      </c>
      <c r="E310" s="450">
        <v>-8240</v>
      </c>
      <c r="F310" s="212">
        <v>45627</v>
      </c>
      <c r="G310" s="208" t="s">
        <v>109</v>
      </c>
      <c r="H310" s="601" t="s">
        <v>6994</v>
      </c>
      <c r="I310" t="s">
        <v>6266</v>
      </c>
    </row>
    <row r="311" spans="2:9" ht="14.15">
      <c r="B311" s="468">
        <v>45645</v>
      </c>
      <c r="C311" s="208" t="s">
        <v>7370</v>
      </c>
      <c r="D311" s="208" t="s">
        <v>4314</v>
      </c>
      <c r="E311" s="450">
        <v>-4944</v>
      </c>
      <c r="F311" s="212">
        <v>45627</v>
      </c>
      <c r="G311" s="208" t="s">
        <v>109</v>
      </c>
      <c r="H311" s="601" t="s">
        <v>6994</v>
      </c>
      <c r="I311" t="s">
        <v>6266</v>
      </c>
    </row>
    <row r="312" spans="2:9" ht="14.15">
      <c r="B312" s="468">
        <v>45645</v>
      </c>
      <c r="C312" s="208" t="s">
        <v>7372</v>
      </c>
      <c r="D312" s="208" t="s">
        <v>4314</v>
      </c>
      <c r="E312" s="450">
        <v>-1100</v>
      </c>
      <c r="F312" s="212">
        <v>45627</v>
      </c>
      <c r="G312" s="208" t="s">
        <v>110</v>
      </c>
      <c r="H312" s="601" t="s">
        <v>5469</v>
      </c>
      <c r="I312" t="s">
        <v>6929</v>
      </c>
    </row>
    <row r="313" spans="2:9" ht="14.15">
      <c r="B313" s="468">
        <v>45645</v>
      </c>
      <c r="C313" s="208" t="s">
        <v>7373</v>
      </c>
      <c r="D313" s="208" t="s">
        <v>4314</v>
      </c>
      <c r="E313" s="450">
        <v>-660</v>
      </c>
      <c r="F313" s="212">
        <v>45627</v>
      </c>
      <c r="G313" s="208" t="s">
        <v>110</v>
      </c>
      <c r="H313" s="601" t="s">
        <v>5469</v>
      </c>
      <c r="I313" t="s">
        <v>6929</v>
      </c>
    </row>
    <row r="314" spans="2:9" ht="14.15">
      <c r="B314" s="468">
        <v>45643</v>
      </c>
      <c r="C314" s="208" t="s">
        <v>7606</v>
      </c>
      <c r="D314" s="208" t="s">
        <v>4314</v>
      </c>
      <c r="E314" s="450">
        <v>-22688</v>
      </c>
      <c r="F314" s="212">
        <v>45627</v>
      </c>
      <c r="G314" s="208" t="s">
        <v>109</v>
      </c>
      <c r="H314" s="601" t="s">
        <v>6994</v>
      </c>
      <c r="I314" t="s">
        <v>7604</v>
      </c>
    </row>
    <row r="315" spans="2:9" ht="14.15">
      <c r="B315" s="468">
        <v>45643</v>
      </c>
      <c r="C315" s="208" t="s">
        <v>7607</v>
      </c>
      <c r="D315" s="208" t="s">
        <v>4314</v>
      </c>
      <c r="E315" s="450">
        <v>-3400.2</v>
      </c>
      <c r="F315" s="212">
        <v>45627</v>
      </c>
      <c r="G315" s="208" t="s">
        <v>109</v>
      </c>
      <c r="H315" s="601" t="s">
        <v>5990</v>
      </c>
      <c r="I315" t="s">
        <v>7604</v>
      </c>
    </row>
    <row r="316" spans="2:9" ht="14.15">
      <c r="B316" s="468">
        <v>45643</v>
      </c>
      <c r="C316" s="208" t="s">
        <v>7608</v>
      </c>
      <c r="D316" s="208" t="s">
        <v>4314</v>
      </c>
      <c r="E316" s="450">
        <v>-22688</v>
      </c>
      <c r="F316" s="212">
        <v>45627</v>
      </c>
      <c r="G316" s="208" t="s">
        <v>109</v>
      </c>
      <c r="H316" s="601" t="s">
        <v>6994</v>
      </c>
      <c r="I316" t="s">
        <v>7604</v>
      </c>
    </row>
    <row r="317" spans="2:9" ht="14.15">
      <c r="B317" s="468">
        <v>45643</v>
      </c>
      <c r="C317" s="208" t="s">
        <v>7609</v>
      </c>
      <c r="D317" s="208" t="s">
        <v>4314</v>
      </c>
      <c r="E317" s="450">
        <v>-3400.2</v>
      </c>
      <c r="F317" s="212">
        <v>45627</v>
      </c>
      <c r="G317" s="208" t="s">
        <v>109</v>
      </c>
      <c r="H317" s="601" t="s">
        <v>5990</v>
      </c>
      <c r="I317" t="s">
        <v>7604</v>
      </c>
    </row>
    <row r="318" spans="2:9" ht="14.15">
      <c r="B318" s="468">
        <v>45643</v>
      </c>
      <c r="C318" s="208" t="s">
        <v>7611</v>
      </c>
      <c r="D318" s="208" t="s">
        <v>4314</v>
      </c>
      <c r="E318" s="450">
        <v>-155000</v>
      </c>
      <c r="F318" s="212">
        <v>45627</v>
      </c>
      <c r="G318" s="208" t="s">
        <v>109</v>
      </c>
      <c r="H318" s="601" t="s">
        <v>4986</v>
      </c>
      <c r="I318" t="s">
        <v>212</v>
      </c>
    </row>
    <row r="319" spans="2:9" ht="14.15">
      <c r="B319" s="468">
        <v>45643</v>
      </c>
      <c r="C319" s="208" t="s">
        <v>7612</v>
      </c>
      <c r="D319" s="208" t="s">
        <v>4314</v>
      </c>
      <c r="E319" s="450">
        <v>-46500</v>
      </c>
      <c r="F319" s="212">
        <v>45627</v>
      </c>
      <c r="G319" s="208" t="s">
        <v>109</v>
      </c>
      <c r="H319" s="601" t="s">
        <v>6994</v>
      </c>
      <c r="I319" t="s">
        <v>6687</v>
      </c>
    </row>
    <row r="320" spans="2:9" ht="14.15">
      <c r="B320" s="468">
        <v>45643</v>
      </c>
      <c r="C320" s="208" t="s">
        <v>7611</v>
      </c>
      <c r="D320" s="208" t="s">
        <v>4314</v>
      </c>
      <c r="E320" s="450">
        <v>-179800</v>
      </c>
      <c r="F320" s="212">
        <v>45627</v>
      </c>
      <c r="G320" s="208" t="s">
        <v>109</v>
      </c>
      <c r="H320" s="601" t="s">
        <v>6954</v>
      </c>
      <c r="I320" t="s">
        <v>6687</v>
      </c>
    </row>
    <row r="321" spans="2:9" ht="14.15">
      <c r="B321" s="468">
        <v>45643</v>
      </c>
      <c r="C321" s="208" t="s">
        <v>7612</v>
      </c>
      <c r="D321" s="208" t="s">
        <v>4314</v>
      </c>
      <c r="E321" s="450">
        <v>-56940</v>
      </c>
      <c r="F321" s="212">
        <v>45627</v>
      </c>
      <c r="G321" s="208" t="s">
        <v>109</v>
      </c>
      <c r="H321" s="601" t="s">
        <v>5990</v>
      </c>
      <c r="I321" t="s">
        <v>6687</v>
      </c>
    </row>
    <row r="322" spans="2:9" ht="14.15">
      <c r="B322" s="468">
        <v>45643</v>
      </c>
      <c r="C322" s="208" t="s">
        <v>7611</v>
      </c>
      <c r="D322" s="208" t="s">
        <v>4314</v>
      </c>
      <c r="E322" s="450">
        <v>-301300</v>
      </c>
      <c r="F322" s="212">
        <v>45627</v>
      </c>
      <c r="G322" s="208" t="s">
        <v>109</v>
      </c>
      <c r="H322" s="601" t="s">
        <v>4986</v>
      </c>
      <c r="I322" t="s">
        <v>212</v>
      </c>
    </row>
    <row r="323" spans="2:9" ht="14.15">
      <c r="B323" s="468">
        <v>45643</v>
      </c>
      <c r="C323" s="208" t="s">
        <v>7612</v>
      </c>
      <c r="D323" s="208" t="s">
        <v>4314</v>
      </c>
      <c r="E323" s="450">
        <v>-90390</v>
      </c>
      <c r="F323" s="212">
        <v>45627</v>
      </c>
      <c r="G323" s="208" t="s">
        <v>109</v>
      </c>
      <c r="H323" s="601" t="s">
        <v>6994</v>
      </c>
      <c r="I323" t="s">
        <v>6687</v>
      </c>
    </row>
    <row r="324" spans="2:9" ht="14.15">
      <c r="B324" s="468">
        <v>45643</v>
      </c>
      <c r="C324" s="208" t="s">
        <v>7611</v>
      </c>
      <c r="D324" s="208" t="s">
        <v>4314</v>
      </c>
      <c r="E324" s="450">
        <v>-10800</v>
      </c>
      <c r="F324" s="212">
        <v>45627</v>
      </c>
      <c r="G324" s="208" t="s">
        <v>109</v>
      </c>
      <c r="H324" s="601" t="s">
        <v>6954</v>
      </c>
      <c r="I324" t="s">
        <v>6687</v>
      </c>
    </row>
    <row r="325" spans="2:9" ht="14.15">
      <c r="B325" s="468">
        <v>45643</v>
      </c>
      <c r="C325" s="208" t="s">
        <v>7612</v>
      </c>
      <c r="D325" s="208" t="s">
        <v>4314</v>
      </c>
      <c r="E325" s="450">
        <v>-3240</v>
      </c>
      <c r="F325" s="212">
        <v>45627</v>
      </c>
      <c r="G325" s="208" t="s">
        <v>109</v>
      </c>
      <c r="H325" s="601" t="s">
        <v>5990</v>
      </c>
      <c r="I325" t="s">
        <v>6687</v>
      </c>
    </row>
    <row r="326" spans="2:9" ht="14.15">
      <c r="B326" s="468">
        <v>45644</v>
      </c>
      <c r="C326" s="208" t="s">
        <v>7615</v>
      </c>
      <c r="D326" s="208" t="s">
        <v>4314</v>
      </c>
      <c r="E326" s="450">
        <v>-1138.6600000000001</v>
      </c>
      <c r="F326" s="212">
        <v>45627</v>
      </c>
      <c r="G326" s="208" t="s">
        <v>110</v>
      </c>
      <c r="H326" s="601" t="s">
        <v>5469</v>
      </c>
      <c r="I326" t="s">
        <v>2941</v>
      </c>
    </row>
    <row r="327" spans="2:9" ht="14.15">
      <c r="B327" s="468">
        <v>45644</v>
      </c>
      <c r="C327" s="208" t="s">
        <v>7616</v>
      </c>
      <c r="D327" s="208" t="s">
        <v>4314</v>
      </c>
      <c r="E327" s="450">
        <v>-1798.49</v>
      </c>
      <c r="F327" s="212">
        <v>45627</v>
      </c>
      <c r="G327" s="208" t="s">
        <v>109</v>
      </c>
      <c r="H327" s="601" t="s">
        <v>4986</v>
      </c>
      <c r="I327" t="s">
        <v>2941</v>
      </c>
    </row>
    <row r="328" spans="2:9" ht="14.15">
      <c r="B328" s="468">
        <v>45644</v>
      </c>
      <c r="C328" s="208" t="s">
        <v>7616</v>
      </c>
      <c r="D328" s="208" t="s">
        <v>4314</v>
      </c>
      <c r="E328" s="450">
        <v>-979.83</v>
      </c>
      <c r="F328" s="212">
        <v>45627</v>
      </c>
      <c r="G328" s="208" t="s">
        <v>109</v>
      </c>
      <c r="H328" s="601" t="s">
        <v>6875</v>
      </c>
      <c r="I328" t="s">
        <v>2941</v>
      </c>
    </row>
    <row r="329" spans="2:9" ht="14.15">
      <c r="B329" s="468">
        <v>45644</v>
      </c>
      <c r="C329" s="208" t="s">
        <v>7619</v>
      </c>
      <c r="D329" s="208" t="s">
        <v>4314</v>
      </c>
      <c r="E329" s="450">
        <v>-10648.74</v>
      </c>
      <c r="F329" s="212">
        <v>45627</v>
      </c>
      <c r="G329" s="208" t="s">
        <v>109</v>
      </c>
      <c r="H329" s="601" t="s">
        <v>6994</v>
      </c>
      <c r="I329" t="s">
        <v>6973</v>
      </c>
    </row>
    <row r="330" spans="2:9" ht="14.15">
      <c r="B330" s="468">
        <v>45644</v>
      </c>
      <c r="C330" s="208" t="s">
        <v>7621</v>
      </c>
      <c r="D330" s="208" t="s">
        <v>4314</v>
      </c>
      <c r="E330" s="450">
        <v>-825000</v>
      </c>
      <c r="F330" s="212">
        <v>45627</v>
      </c>
      <c r="G330" s="208" t="s">
        <v>130</v>
      </c>
      <c r="H330" s="601" t="s">
        <v>130</v>
      </c>
      <c r="I330" t="s">
        <v>360</v>
      </c>
    </row>
    <row r="331" spans="2:9" ht="14.15">
      <c r="B331" s="468">
        <v>45644</v>
      </c>
      <c r="C331" s="208" t="s">
        <v>7628</v>
      </c>
      <c r="D331" s="208" t="s">
        <v>4314</v>
      </c>
      <c r="E331" s="450">
        <v>-4344.2</v>
      </c>
      <c r="F331" s="212">
        <v>45627</v>
      </c>
      <c r="G331" s="208" t="s">
        <v>130</v>
      </c>
      <c r="H331" s="601" t="s">
        <v>130</v>
      </c>
      <c r="I331" t="s">
        <v>1156</v>
      </c>
    </row>
    <row r="332" spans="2:9" ht="14.15">
      <c r="B332" s="468">
        <v>45644</v>
      </c>
      <c r="C332" s="208" t="s">
        <v>7633</v>
      </c>
      <c r="D332" s="208" t="s">
        <v>4314</v>
      </c>
      <c r="E332" s="450">
        <v>-41720</v>
      </c>
      <c r="F332" s="212">
        <v>45627</v>
      </c>
      <c r="G332" s="208" t="s">
        <v>109</v>
      </c>
      <c r="H332" s="601" t="s">
        <v>6954</v>
      </c>
      <c r="I332" t="s">
        <v>6529</v>
      </c>
    </row>
    <row r="333" spans="2:9" ht="14.15">
      <c r="B333" s="468">
        <v>45644</v>
      </c>
      <c r="C333" s="208" t="s">
        <v>7636</v>
      </c>
      <c r="D333" s="208" t="s">
        <v>4314</v>
      </c>
      <c r="E333" s="450">
        <v>-46000</v>
      </c>
      <c r="F333" s="212">
        <v>45627</v>
      </c>
      <c r="G333" s="208" t="s">
        <v>109</v>
      </c>
      <c r="H333" s="601" t="s">
        <v>6994</v>
      </c>
      <c r="I333" t="s">
        <v>6266</v>
      </c>
    </row>
    <row r="334" spans="2:9" ht="14.15">
      <c r="B334" s="468">
        <v>45644</v>
      </c>
      <c r="C334" s="208" t="s">
        <v>7637</v>
      </c>
      <c r="D334" s="208" t="s">
        <v>4314</v>
      </c>
      <c r="E334" s="450">
        <v>-6900</v>
      </c>
      <c r="F334" s="212">
        <v>45627</v>
      </c>
      <c r="G334" s="208" t="s">
        <v>109</v>
      </c>
      <c r="H334" s="601" t="s">
        <v>6954</v>
      </c>
      <c r="I334" t="s">
        <v>6266</v>
      </c>
    </row>
    <row r="335" spans="2:9" ht="14.15">
      <c r="B335" s="468">
        <v>45644</v>
      </c>
      <c r="C335" s="208" t="s">
        <v>7640</v>
      </c>
      <c r="D335" s="208" t="s">
        <v>4314</v>
      </c>
      <c r="E335" s="450">
        <v>-132300</v>
      </c>
      <c r="F335" s="212">
        <v>45627</v>
      </c>
      <c r="G335" s="208" t="s">
        <v>109</v>
      </c>
      <c r="H335" s="601" t="s">
        <v>6994</v>
      </c>
      <c r="I335" t="s">
        <v>6482</v>
      </c>
    </row>
    <row r="336" spans="2:9" ht="14.15">
      <c r="B336" s="468">
        <v>45644</v>
      </c>
      <c r="C336" s="208" t="s">
        <v>7640</v>
      </c>
      <c r="D336" s="208" t="s">
        <v>4314</v>
      </c>
      <c r="E336" s="450">
        <v>-31752</v>
      </c>
      <c r="F336" s="212">
        <v>45627</v>
      </c>
      <c r="G336" s="208" t="s">
        <v>109</v>
      </c>
      <c r="H336" s="601" t="s">
        <v>6954</v>
      </c>
      <c r="I336" t="s">
        <v>6482</v>
      </c>
    </row>
    <row r="337" spans="2:9" ht="14.15">
      <c r="B337" s="468">
        <v>45644</v>
      </c>
      <c r="C337" s="208" t="s">
        <v>7649</v>
      </c>
      <c r="D337" s="208" t="s">
        <v>4314</v>
      </c>
      <c r="E337" s="450">
        <v>-90000</v>
      </c>
      <c r="F337" s="212">
        <v>45627</v>
      </c>
      <c r="G337" s="208" t="s">
        <v>109</v>
      </c>
      <c r="H337" s="601" t="s">
        <v>5990</v>
      </c>
      <c r="I337" t="s">
        <v>7648</v>
      </c>
    </row>
    <row r="338" spans="2:9" ht="14.15">
      <c r="B338" s="468">
        <v>45644</v>
      </c>
      <c r="C338" s="208" t="s">
        <v>7650</v>
      </c>
      <c r="D338" s="208" t="s">
        <v>4314</v>
      </c>
      <c r="E338" s="450">
        <v>-54000</v>
      </c>
      <c r="F338" s="212">
        <v>45627</v>
      </c>
      <c r="G338" s="208" t="s">
        <v>109</v>
      </c>
      <c r="H338" s="601" t="s">
        <v>5990</v>
      </c>
      <c r="I338" t="s">
        <v>7648</v>
      </c>
    </row>
    <row r="339" spans="2:9" ht="14.15">
      <c r="B339" s="468">
        <v>45646</v>
      </c>
      <c r="C339" s="208" t="s">
        <v>7654</v>
      </c>
      <c r="D339" s="208" t="s">
        <v>4314</v>
      </c>
      <c r="E339" s="450">
        <v>-3045</v>
      </c>
      <c r="F339" s="212">
        <v>45627</v>
      </c>
      <c r="G339" s="208" t="s">
        <v>110</v>
      </c>
      <c r="H339" s="601" t="s">
        <v>5469</v>
      </c>
      <c r="I339" t="s">
        <v>310</v>
      </c>
    </row>
    <row r="340" spans="2:9" ht="14.15">
      <c r="B340" s="468">
        <v>45646</v>
      </c>
      <c r="C340" s="208" t="s">
        <v>7658</v>
      </c>
      <c r="D340" s="208" t="s">
        <v>4314</v>
      </c>
      <c r="E340" s="450">
        <v>-6696</v>
      </c>
      <c r="F340" s="212">
        <v>45627</v>
      </c>
      <c r="G340" s="208" t="s">
        <v>109</v>
      </c>
      <c r="H340" s="601" t="s">
        <v>6994</v>
      </c>
      <c r="I340" t="s">
        <v>6973</v>
      </c>
    </row>
    <row r="341" spans="2:9" ht="14.15">
      <c r="B341" s="468">
        <v>45645</v>
      </c>
      <c r="C341" s="208" t="s">
        <v>7665</v>
      </c>
      <c r="D341" s="208" t="s">
        <v>4314</v>
      </c>
      <c r="E341" s="450">
        <v>-1232100</v>
      </c>
      <c r="F341" s="212">
        <v>45627</v>
      </c>
      <c r="G341" s="208" t="s">
        <v>109</v>
      </c>
      <c r="H341" s="601" t="s">
        <v>2809</v>
      </c>
      <c r="I341" t="s">
        <v>5775</v>
      </c>
    </row>
    <row r="342" spans="2:9" ht="14.15">
      <c r="B342" s="468">
        <v>45645</v>
      </c>
      <c r="C342" s="208" t="s">
        <v>7665</v>
      </c>
      <c r="D342" s="208" t="s">
        <v>4314</v>
      </c>
      <c r="E342" s="450">
        <v>-606060</v>
      </c>
      <c r="F342" s="212">
        <v>45627</v>
      </c>
      <c r="G342" s="208" t="s">
        <v>109</v>
      </c>
      <c r="H342" s="601" t="s">
        <v>2809</v>
      </c>
      <c r="I342" t="s">
        <v>3652</v>
      </c>
    </row>
    <row r="343" spans="2:9" ht="14.15">
      <c r="B343" s="468">
        <v>45645</v>
      </c>
      <c r="C343" s="208" t="s">
        <v>7665</v>
      </c>
      <c r="D343" s="208" t="s">
        <v>4314</v>
      </c>
      <c r="E343" s="450">
        <v>-1798200</v>
      </c>
      <c r="F343" s="212">
        <v>45627</v>
      </c>
      <c r="G343" s="208" t="s">
        <v>109</v>
      </c>
      <c r="H343" s="601" t="s">
        <v>2809</v>
      </c>
      <c r="I343" t="s">
        <v>5775</v>
      </c>
    </row>
    <row r="344" spans="2:9" ht="14.15">
      <c r="B344" s="468">
        <v>45645</v>
      </c>
      <c r="C344" s="208" t="s">
        <v>7665</v>
      </c>
      <c r="D344" s="208" t="s">
        <v>4314</v>
      </c>
      <c r="E344" s="450">
        <v>-871350</v>
      </c>
      <c r="F344" s="212">
        <v>45627</v>
      </c>
      <c r="G344" s="208" t="s">
        <v>109</v>
      </c>
      <c r="H344" s="601" t="s">
        <v>2809</v>
      </c>
      <c r="I344" t="s">
        <v>3652</v>
      </c>
    </row>
    <row r="345" spans="2:9" ht="14.15">
      <c r="B345" s="468">
        <v>45645</v>
      </c>
      <c r="C345" s="208" t="s">
        <v>7665</v>
      </c>
      <c r="D345" s="208" t="s">
        <v>4314</v>
      </c>
      <c r="E345" s="450">
        <v>-1365300</v>
      </c>
      <c r="F345" s="212">
        <v>45627</v>
      </c>
      <c r="G345" s="208" t="s">
        <v>109</v>
      </c>
      <c r="H345" s="601" t="s">
        <v>2809</v>
      </c>
      <c r="I345" t="s">
        <v>5775</v>
      </c>
    </row>
    <row r="346" spans="2:9" ht="14.15">
      <c r="B346" s="468">
        <v>45645</v>
      </c>
      <c r="C346" s="208" t="s">
        <v>7665</v>
      </c>
      <c r="D346" s="208" t="s">
        <v>4314</v>
      </c>
      <c r="E346" s="450">
        <v>-599400</v>
      </c>
      <c r="F346" s="212">
        <v>45627</v>
      </c>
      <c r="G346" s="208" t="s">
        <v>109</v>
      </c>
      <c r="H346" s="601" t="s">
        <v>2809</v>
      </c>
      <c r="I346" t="s">
        <v>3652</v>
      </c>
    </row>
    <row r="347" spans="2:9" ht="14.15">
      <c r="B347" s="468">
        <v>45645</v>
      </c>
      <c r="C347" s="208" t="s">
        <v>7665</v>
      </c>
      <c r="D347" s="208" t="s">
        <v>4314</v>
      </c>
      <c r="E347" s="450">
        <v>-222000</v>
      </c>
      <c r="F347" s="212">
        <v>45627</v>
      </c>
      <c r="G347" s="208" t="s">
        <v>109</v>
      </c>
      <c r="H347" s="601" t="s">
        <v>2809</v>
      </c>
      <c r="I347" t="s">
        <v>3652</v>
      </c>
    </row>
    <row r="348" spans="2:9" ht="14.15">
      <c r="B348" s="468">
        <v>45645</v>
      </c>
      <c r="C348" s="208" t="s">
        <v>7665</v>
      </c>
      <c r="D348" s="208" t="s">
        <v>4314</v>
      </c>
      <c r="E348" s="450">
        <v>-1454100</v>
      </c>
      <c r="F348" s="212">
        <v>45627</v>
      </c>
      <c r="G348" s="208" t="s">
        <v>109</v>
      </c>
      <c r="H348" s="601" t="s">
        <v>2809</v>
      </c>
      <c r="I348" t="s">
        <v>3652</v>
      </c>
    </row>
    <row r="349" spans="2:9" ht="14.15">
      <c r="B349" s="468">
        <v>45645</v>
      </c>
      <c r="C349" s="208" t="s">
        <v>7668</v>
      </c>
      <c r="D349" s="208" t="s">
        <v>4314</v>
      </c>
      <c r="E349" s="450">
        <v>-89400</v>
      </c>
      <c r="F349" s="212">
        <v>45627</v>
      </c>
      <c r="G349" s="208" t="s">
        <v>109</v>
      </c>
      <c r="H349" s="601" t="s">
        <v>6994</v>
      </c>
      <c r="I349" t="s">
        <v>6667</v>
      </c>
    </row>
    <row r="350" spans="2:9" ht="14.15">
      <c r="B350" s="468">
        <v>45645</v>
      </c>
      <c r="C350" s="208" t="s">
        <v>7669</v>
      </c>
      <c r="D350" s="208" t="s">
        <v>4314</v>
      </c>
      <c r="E350" s="450">
        <v>-26820</v>
      </c>
      <c r="F350" s="212">
        <v>45627</v>
      </c>
      <c r="G350" s="208" t="s">
        <v>109</v>
      </c>
      <c r="H350" s="601" t="s">
        <v>6903</v>
      </c>
      <c r="I350" t="s">
        <v>363</v>
      </c>
    </row>
    <row r="351" spans="2:9" ht="14.15">
      <c r="B351" s="468">
        <v>45645</v>
      </c>
      <c r="C351" s="208" t="s">
        <v>7670</v>
      </c>
      <c r="D351" s="208" t="s">
        <v>4314</v>
      </c>
      <c r="E351" s="450">
        <v>-37800</v>
      </c>
      <c r="F351" s="212">
        <v>45627</v>
      </c>
      <c r="G351" s="208" t="s">
        <v>109</v>
      </c>
      <c r="H351" s="601" t="s">
        <v>6994</v>
      </c>
      <c r="I351" t="s">
        <v>6667</v>
      </c>
    </row>
    <row r="352" spans="2:9" ht="14.15">
      <c r="B352" s="468">
        <v>45645</v>
      </c>
      <c r="C352" s="208" t="s">
        <v>7671</v>
      </c>
      <c r="D352" s="208" t="s">
        <v>4314</v>
      </c>
      <c r="E352" s="450">
        <v>-1524</v>
      </c>
      <c r="F352" s="212">
        <v>45627</v>
      </c>
      <c r="G352" s="208" t="s">
        <v>109</v>
      </c>
      <c r="H352" s="601" t="s">
        <v>6903</v>
      </c>
      <c r="I352" t="s">
        <v>363</v>
      </c>
    </row>
    <row r="353" spans="2:9" ht="14.15">
      <c r="B353" s="468">
        <v>45645</v>
      </c>
      <c r="C353" s="208" t="s">
        <v>7676</v>
      </c>
      <c r="D353" s="208" t="s">
        <v>4314</v>
      </c>
      <c r="E353" s="450">
        <v>-30000</v>
      </c>
      <c r="F353" s="212">
        <v>45627</v>
      </c>
      <c r="G353" s="208" t="s">
        <v>109</v>
      </c>
      <c r="H353" s="601" t="s">
        <v>6994</v>
      </c>
      <c r="I353" t="s">
        <v>7648</v>
      </c>
    </row>
    <row r="354" spans="2:9" ht="14.15">
      <c r="B354" s="468">
        <v>45645</v>
      </c>
      <c r="C354" s="208" t="s">
        <v>7677</v>
      </c>
      <c r="D354" s="208" t="s">
        <v>4314</v>
      </c>
      <c r="E354" s="450">
        <v>-18000</v>
      </c>
      <c r="F354" s="212">
        <v>45627</v>
      </c>
      <c r="G354" s="208" t="s">
        <v>109</v>
      </c>
      <c r="H354" s="601" t="s">
        <v>6954</v>
      </c>
      <c r="I354" t="s">
        <v>7648</v>
      </c>
    </row>
    <row r="355" spans="2:9" ht="14.15">
      <c r="B355" s="468">
        <v>45645</v>
      </c>
      <c r="C355" s="208" t="s">
        <v>7680</v>
      </c>
      <c r="D355" s="208" t="s">
        <v>4314</v>
      </c>
      <c r="E355" s="450">
        <v>-152000</v>
      </c>
      <c r="F355" s="212">
        <v>45627</v>
      </c>
      <c r="G355" s="208" t="s">
        <v>109</v>
      </c>
      <c r="H355" s="601" t="s">
        <v>6974</v>
      </c>
      <c r="I355" t="s">
        <v>7679</v>
      </c>
    </row>
    <row r="356" spans="2:9" ht="14.15">
      <c r="B356" s="468">
        <v>45645</v>
      </c>
      <c r="C356" s="208" t="s">
        <v>7681</v>
      </c>
      <c r="D356" s="208" t="s">
        <v>4314</v>
      </c>
      <c r="E356" s="450">
        <v>-22800</v>
      </c>
      <c r="F356" s="212">
        <v>45627</v>
      </c>
      <c r="G356" s="208" t="s">
        <v>109</v>
      </c>
      <c r="H356" s="601" t="s">
        <v>6954</v>
      </c>
      <c r="I356" t="s">
        <v>7679</v>
      </c>
    </row>
    <row r="357" spans="2:9" ht="14.15">
      <c r="B357" s="468">
        <v>45645</v>
      </c>
      <c r="C357" s="208" t="s">
        <v>7680</v>
      </c>
      <c r="D357" s="208" t="s">
        <v>4314</v>
      </c>
      <c r="E357" s="450">
        <v>-152000</v>
      </c>
      <c r="F357" s="212">
        <v>45627</v>
      </c>
      <c r="G357" s="208" t="s">
        <v>109</v>
      </c>
      <c r="H357" s="601" t="s">
        <v>6974</v>
      </c>
      <c r="I357" t="s">
        <v>7679</v>
      </c>
    </row>
    <row r="358" spans="2:9" ht="14.15">
      <c r="B358" s="468">
        <v>45645</v>
      </c>
      <c r="C358" s="208" t="s">
        <v>7681</v>
      </c>
      <c r="D358" s="208" t="s">
        <v>4314</v>
      </c>
      <c r="E358" s="450">
        <v>-22800</v>
      </c>
      <c r="F358" s="212">
        <v>45627</v>
      </c>
      <c r="G358" s="208" t="s">
        <v>109</v>
      </c>
      <c r="H358" s="601" t="s">
        <v>6954</v>
      </c>
      <c r="I358" t="s">
        <v>7679</v>
      </c>
    </row>
    <row r="359" spans="2:9" ht="14.15">
      <c r="B359" s="468">
        <v>45645</v>
      </c>
      <c r="C359" s="208" t="s">
        <v>7683</v>
      </c>
      <c r="D359" s="208" t="s">
        <v>4314</v>
      </c>
      <c r="E359" s="450">
        <v>-35000</v>
      </c>
      <c r="F359" s="212">
        <v>45627</v>
      </c>
      <c r="G359" s="208" t="s">
        <v>110</v>
      </c>
      <c r="H359" s="601" t="s">
        <v>5469</v>
      </c>
      <c r="I359" t="s">
        <v>1166</v>
      </c>
    </row>
    <row r="360" spans="2:9" ht="14.15">
      <c r="B360" s="468">
        <v>45645</v>
      </c>
      <c r="C360" s="208" t="s">
        <v>7684</v>
      </c>
      <c r="D360" s="208" t="s">
        <v>4314</v>
      </c>
      <c r="E360" s="450">
        <v>-5250</v>
      </c>
      <c r="F360" s="212">
        <v>45627</v>
      </c>
      <c r="G360" s="208" t="s">
        <v>110</v>
      </c>
      <c r="H360" s="601" t="s">
        <v>5469</v>
      </c>
      <c r="I360" t="s">
        <v>1166</v>
      </c>
    </row>
    <row r="361" spans="2:9" ht="14.15">
      <c r="B361" s="468">
        <v>45646</v>
      </c>
      <c r="C361" s="208" t="s">
        <v>7841</v>
      </c>
      <c r="D361" s="208" t="s">
        <v>4314</v>
      </c>
      <c r="E361" s="450">
        <v>-58613</v>
      </c>
      <c r="F361" s="212">
        <v>45627</v>
      </c>
      <c r="G361" s="208" t="s">
        <v>130</v>
      </c>
      <c r="H361" s="601" t="s">
        <v>130</v>
      </c>
      <c r="I361" t="s">
        <v>1156</v>
      </c>
    </row>
    <row r="362" spans="2:9" ht="14.15">
      <c r="B362" s="468">
        <v>45646</v>
      </c>
      <c r="C362" s="208" t="s">
        <v>7842</v>
      </c>
      <c r="D362" s="208" t="s">
        <v>4314</v>
      </c>
      <c r="E362" s="450">
        <v>-14067</v>
      </c>
      <c r="F362" s="212">
        <v>45627</v>
      </c>
      <c r="G362" s="208" t="s">
        <v>130</v>
      </c>
      <c r="H362" s="601" t="s">
        <v>130</v>
      </c>
      <c r="I362" t="s">
        <v>1156</v>
      </c>
    </row>
    <row r="363" spans="2:9" ht="14.15">
      <c r="B363" s="468"/>
      <c r="C363" s="208"/>
      <c r="D363" s="208"/>
      <c r="E363" s="450"/>
      <c r="F363" s="212"/>
      <c r="G363" s="208"/>
      <c r="H363" s="601"/>
    </row>
    <row r="364" spans="2:9" ht="14.15">
      <c r="B364" s="468"/>
      <c r="C364" s="208"/>
      <c r="D364" s="208"/>
      <c r="E364" s="450"/>
      <c r="F364" s="212"/>
      <c r="G364" s="208"/>
      <c r="H364" s="601"/>
    </row>
    <row r="365" spans="2:9" ht="14.15">
      <c r="B365" s="468"/>
      <c r="C365" s="208"/>
      <c r="D365" s="208"/>
      <c r="E365" s="450"/>
      <c r="F365" s="212"/>
      <c r="G365" s="208"/>
      <c r="H365" s="601"/>
    </row>
    <row r="366" spans="2:9" ht="14.15">
      <c r="B366" s="468"/>
      <c r="C366" s="208"/>
      <c r="D366" s="208"/>
      <c r="E366" s="450"/>
      <c r="F366" s="212"/>
      <c r="G366" s="208"/>
      <c r="H366" s="601"/>
    </row>
    <row r="367" spans="2:9" ht="14.15">
      <c r="B367" s="468"/>
      <c r="C367" s="208"/>
      <c r="D367" s="208"/>
      <c r="E367" s="450"/>
      <c r="F367" s="212"/>
      <c r="G367" s="208"/>
      <c r="H367" s="601"/>
    </row>
    <row r="368" spans="2:9" ht="14.15">
      <c r="B368" s="468"/>
      <c r="C368" s="208"/>
      <c r="D368" s="208"/>
      <c r="E368" s="450"/>
      <c r="F368" s="212"/>
      <c r="G368" s="208"/>
      <c r="H368" s="601"/>
    </row>
    <row r="369" spans="2:8" ht="14.15">
      <c r="B369" s="468"/>
      <c r="C369" s="208"/>
      <c r="D369" s="208"/>
      <c r="E369" s="450"/>
      <c r="F369" s="212"/>
      <c r="G369" s="208"/>
      <c r="H369" s="601"/>
    </row>
    <row r="370" spans="2:8" ht="14.15">
      <c r="B370" s="468"/>
      <c r="C370" s="208"/>
      <c r="D370" s="208"/>
      <c r="E370" s="450"/>
      <c r="F370" s="212"/>
      <c r="G370" s="208"/>
      <c r="H370" s="601"/>
    </row>
    <row r="371" spans="2:8" ht="14.15">
      <c r="B371" s="468"/>
      <c r="C371" s="208"/>
      <c r="D371" s="208"/>
      <c r="E371" s="450"/>
      <c r="F371" s="212"/>
      <c r="G371" s="208"/>
      <c r="H371" s="601"/>
    </row>
    <row r="372" spans="2:8" ht="14.15">
      <c r="B372" s="468"/>
      <c r="C372" s="208"/>
      <c r="D372" s="208"/>
      <c r="E372" s="450"/>
      <c r="F372" s="212"/>
      <c r="G372" s="208"/>
      <c r="H372" s="601"/>
    </row>
    <row r="373" spans="2:8" ht="14.15">
      <c r="B373" s="468"/>
      <c r="C373" s="208"/>
      <c r="D373" s="208"/>
      <c r="E373" s="450"/>
      <c r="F373" s="212"/>
      <c r="G373" s="208"/>
      <c r="H373" s="601"/>
    </row>
    <row r="374" spans="2:8" ht="14.15">
      <c r="B374" s="468"/>
      <c r="C374" s="208"/>
      <c r="D374" s="208"/>
      <c r="E374" s="450"/>
      <c r="F374" s="212"/>
      <c r="G374" s="208"/>
      <c r="H374" s="601"/>
    </row>
    <row r="375" spans="2:8" ht="14.15">
      <c r="B375" s="468"/>
      <c r="C375" s="208"/>
      <c r="D375" s="208"/>
      <c r="E375" s="450"/>
      <c r="F375" s="212"/>
      <c r="G375" s="208"/>
      <c r="H375" s="601"/>
    </row>
    <row r="376" spans="2:8" ht="14.15">
      <c r="B376" s="468"/>
      <c r="C376" s="208"/>
      <c r="D376" s="208"/>
      <c r="E376" s="450"/>
      <c r="F376" s="212"/>
      <c r="G376" s="208"/>
      <c r="H376" s="601"/>
    </row>
    <row r="377" spans="2:8" ht="14.15">
      <c r="B377" s="468"/>
      <c r="C377" s="208"/>
      <c r="D377" s="208"/>
      <c r="E377" s="450"/>
      <c r="F377" s="212"/>
      <c r="G377" s="208"/>
      <c r="H377" s="601"/>
    </row>
    <row r="378" spans="2:8" ht="14.15">
      <c r="B378" s="468"/>
      <c r="C378" s="208"/>
      <c r="D378" s="208"/>
      <c r="E378" s="450"/>
      <c r="F378" s="212"/>
      <c r="G378" s="208"/>
      <c r="H378" s="601"/>
    </row>
    <row r="379" spans="2:8" ht="14.15">
      <c r="B379" s="468"/>
      <c r="C379" s="208"/>
      <c r="D379" s="208"/>
      <c r="E379" s="450"/>
      <c r="F379" s="212"/>
      <c r="G379" s="208"/>
      <c r="H379" s="601"/>
    </row>
    <row r="380" spans="2:8" ht="14.15">
      <c r="B380" s="468"/>
      <c r="C380" s="208"/>
      <c r="D380" s="208"/>
      <c r="E380" s="450"/>
      <c r="F380" s="212"/>
      <c r="G380" s="208"/>
      <c r="H380" s="601"/>
    </row>
    <row r="381" spans="2:8" ht="14.15">
      <c r="B381" s="468"/>
      <c r="C381" s="208"/>
      <c r="D381" s="208"/>
      <c r="E381" s="450"/>
      <c r="F381" s="212"/>
      <c r="G381" s="208"/>
      <c r="H381" s="601"/>
    </row>
    <row r="382" spans="2:8" ht="14.15">
      <c r="B382" s="468"/>
      <c r="C382" s="208"/>
      <c r="D382" s="208"/>
      <c r="E382" s="450"/>
      <c r="F382" s="212"/>
      <c r="G382" s="208"/>
      <c r="H382" s="601"/>
    </row>
    <row r="383" spans="2:8" ht="14.15">
      <c r="B383" s="468"/>
      <c r="C383" s="208"/>
      <c r="D383" s="208"/>
      <c r="E383" s="450"/>
      <c r="F383" s="212"/>
      <c r="G383" s="208"/>
      <c r="H383" s="601"/>
    </row>
    <row r="384" spans="2:8" ht="14.15">
      <c r="B384" s="468"/>
      <c r="C384" s="208"/>
      <c r="D384" s="208"/>
      <c r="E384" s="450"/>
      <c r="F384" s="212"/>
      <c r="G384" s="208"/>
      <c r="H384" s="601"/>
    </row>
    <row r="385" spans="2:8" ht="14.15">
      <c r="B385" s="468"/>
      <c r="C385" s="208"/>
      <c r="D385" s="208"/>
      <c r="E385" s="450"/>
      <c r="F385" s="212"/>
      <c r="G385" s="208"/>
      <c r="H385" s="601"/>
    </row>
    <row r="386" spans="2:8" ht="14.15">
      <c r="B386" s="468"/>
      <c r="C386" s="208"/>
      <c r="D386" s="208"/>
      <c r="E386" s="450"/>
      <c r="F386" s="212"/>
      <c r="G386" s="208"/>
      <c r="H386" s="601"/>
    </row>
    <row r="387" spans="2:8" ht="14.15">
      <c r="B387" s="468"/>
      <c r="C387" s="208"/>
      <c r="D387" s="208"/>
      <c r="E387" s="450"/>
      <c r="F387" s="212"/>
      <c r="G387" s="208"/>
      <c r="H387" s="601"/>
    </row>
    <row r="388" spans="2:8" ht="14.15">
      <c r="B388" s="468"/>
      <c r="C388" s="208"/>
      <c r="D388" s="208"/>
      <c r="E388" s="450"/>
      <c r="F388" s="212"/>
      <c r="G388" s="208"/>
      <c r="H388" s="601"/>
    </row>
    <row r="389" spans="2:8" ht="14.15">
      <c r="B389" s="468"/>
      <c r="C389" s="208"/>
      <c r="D389" s="208"/>
      <c r="E389" s="450"/>
      <c r="F389" s="212"/>
      <c r="G389" s="208"/>
      <c r="H389" s="601"/>
    </row>
    <row r="390" spans="2:8" ht="14.15">
      <c r="B390" s="468"/>
      <c r="C390" s="208"/>
      <c r="D390" s="208"/>
      <c r="E390" s="450"/>
      <c r="F390" s="212"/>
      <c r="G390" s="208"/>
      <c r="H390" s="601"/>
    </row>
    <row r="391" spans="2:8" ht="14.15">
      <c r="B391" s="468"/>
      <c r="C391" s="208"/>
      <c r="D391" s="208"/>
      <c r="E391" s="450"/>
      <c r="F391" s="212"/>
      <c r="G391" s="208"/>
      <c r="H391" s="601"/>
    </row>
    <row r="392" spans="2:8" ht="14.15">
      <c r="B392" s="468"/>
      <c r="C392" s="208"/>
      <c r="D392" s="208"/>
      <c r="E392" s="450"/>
      <c r="F392" s="212"/>
      <c r="G392" s="208"/>
      <c r="H392" s="601"/>
    </row>
    <row r="393" spans="2:8" ht="14.15">
      <c r="B393" s="468"/>
      <c r="C393" s="208"/>
      <c r="D393" s="208"/>
      <c r="E393" s="450"/>
      <c r="F393" s="212"/>
      <c r="G393" s="208"/>
      <c r="H393" s="601"/>
    </row>
    <row r="394" spans="2:8" ht="14.15">
      <c r="B394" s="468"/>
      <c r="C394" s="208"/>
      <c r="D394" s="208"/>
      <c r="E394" s="450"/>
      <c r="F394" s="212"/>
      <c r="G394" s="208"/>
      <c r="H394" s="601"/>
    </row>
    <row r="395" spans="2:8" ht="14.15">
      <c r="B395" s="468"/>
      <c r="C395" s="208"/>
      <c r="D395" s="208"/>
      <c r="E395" s="450"/>
      <c r="F395" s="212"/>
      <c r="G395" s="208"/>
      <c r="H395" s="601"/>
    </row>
    <row r="396" spans="2:8" ht="14.15">
      <c r="B396" s="468"/>
      <c r="C396" s="208"/>
      <c r="D396" s="208"/>
      <c r="E396" s="450"/>
      <c r="F396" s="212"/>
      <c r="G396" s="208"/>
      <c r="H396" s="601"/>
    </row>
    <row r="397" spans="2:8" ht="14.15">
      <c r="B397" s="468"/>
      <c r="C397" s="208"/>
      <c r="D397" s="208"/>
      <c r="E397" s="450"/>
      <c r="F397" s="212"/>
      <c r="G397" s="208"/>
      <c r="H397" s="601"/>
    </row>
    <row r="398" spans="2:8" ht="14.15">
      <c r="B398" s="468"/>
      <c r="C398" s="208"/>
      <c r="D398" s="208"/>
      <c r="E398" s="450"/>
      <c r="F398" s="212"/>
      <c r="G398" s="208"/>
      <c r="H398" s="601"/>
    </row>
    <row r="399" spans="2:8" ht="14.15">
      <c r="B399" s="468"/>
      <c r="C399" s="208"/>
      <c r="D399" s="208"/>
      <c r="E399" s="450"/>
      <c r="F399" s="212"/>
      <c r="G399" s="208"/>
      <c r="H399" s="601"/>
    </row>
    <row r="400" spans="2:8" ht="14.15">
      <c r="B400" s="468"/>
      <c r="C400" s="208"/>
      <c r="D400" s="208"/>
      <c r="E400" s="450"/>
      <c r="F400" s="212"/>
      <c r="G400" s="208"/>
      <c r="H400" s="601"/>
    </row>
    <row r="401" spans="2:8" ht="14.15">
      <c r="B401" s="468"/>
      <c r="C401" s="208"/>
      <c r="D401" s="208"/>
      <c r="E401" s="450"/>
      <c r="F401" s="212"/>
      <c r="G401" s="208"/>
      <c r="H401" s="601"/>
    </row>
    <row r="402" spans="2:8" ht="14.15">
      <c r="B402" s="468"/>
      <c r="C402" s="208"/>
      <c r="D402" s="208"/>
      <c r="E402" s="450"/>
      <c r="F402" s="212"/>
      <c r="G402" s="208"/>
      <c r="H402" s="601"/>
    </row>
    <row r="403" spans="2:8" ht="14.15">
      <c r="B403" s="468"/>
      <c r="C403" s="208"/>
      <c r="D403" s="208"/>
      <c r="E403" s="450"/>
      <c r="F403" s="212"/>
      <c r="G403" s="208"/>
      <c r="H403" s="601"/>
    </row>
    <row r="404" spans="2:8" ht="14.15">
      <c r="B404" s="468"/>
      <c r="C404" s="208"/>
      <c r="D404" s="208"/>
      <c r="E404" s="450"/>
      <c r="F404" s="212"/>
      <c r="G404" s="208"/>
      <c r="H404" s="601"/>
    </row>
    <row r="405" spans="2:8" ht="14.15">
      <c r="B405" s="468"/>
      <c r="C405" s="208"/>
      <c r="D405" s="208"/>
      <c r="E405" s="450"/>
      <c r="F405" s="212"/>
      <c r="G405" s="208"/>
      <c r="H405" s="601"/>
    </row>
    <row r="406" spans="2:8" ht="14.15">
      <c r="B406" s="468"/>
      <c r="C406" s="208"/>
      <c r="D406" s="208"/>
      <c r="E406" s="450"/>
      <c r="F406" s="212"/>
      <c r="G406" s="208"/>
      <c r="H406" s="601"/>
    </row>
    <row r="407" spans="2:8" ht="14.15">
      <c r="B407" s="468"/>
      <c r="C407" s="208"/>
      <c r="D407" s="208"/>
      <c r="E407" s="450"/>
      <c r="F407" s="212"/>
      <c r="G407" s="208"/>
      <c r="H407" s="601"/>
    </row>
    <row r="408" spans="2:8" ht="14.15">
      <c r="B408" s="468"/>
      <c r="C408" s="208"/>
      <c r="D408" s="208"/>
      <c r="E408" s="450"/>
      <c r="F408" s="212"/>
      <c r="G408" s="208"/>
      <c r="H408" s="601"/>
    </row>
    <row r="409" spans="2:8" ht="14.15">
      <c r="B409" s="468"/>
      <c r="C409" s="208"/>
      <c r="D409" s="208"/>
      <c r="E409" s="450"/>
      <c r="F409" s="212"/>
      <c r="G409" s="208"/>
      <c r="H409" s="601"/>
    </row>
    <row r="410" spans="2:8" ht="14.15">
      <c r="B410" s="468"/>
      <c r="C410" s="208"/>
      <c r="D410" s="208"/>
      <c r="E410" s="450"/>
      <c r="F410" s="212"/>
      <c r="G410" s="208"/>
      <c r="H410" s="601"/>
    </row>
    <row r="411" spans="2:8">
      <c r="B411" s="81"/>
      <c r="C411" s="81"/>
      <c r="D411" s="81"/>
      <c r="E411" s="81"/>
      <c r="F411" s="81"/>
      <c r="G411" s="81"/>
      <c r="H411" s="81"/>
    </row>
  </sheetData>
  <autoFilter ref="B8:M305" xr:uid="{F7059909-C3A2-4E6A-A72C-DAD2F3E65529}">
    <filterColumn colId="4">
      <filters>
        <dateGroupItem year="2024" month="12" dateTimeGrouping="month"/>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74D8B-96A4-4277-B1DE-AA5262EE46DB}">
  <dimension ref="B1:K39"/>
  <sheetViews>
    <sheetView view="pageBreakPreview" zoomScale="85" zoomScaleNormal="70" zoomScaleSheetLayoutView="85" workbookViewId="0"/>
  </sheetViews>
  <sheetFormatPr defaultColWidth="11.3828125" defaultRowHeight="12.45"/>
  <cols>
    <col min="2" max="2" width="45.84375" bestFit="1" customWidth="1"/>
    <col min="4" max="4" width="20.84375" customWidth="1"/>
    <col min="5" max="5" width="22.69140625" bestFit="1" customWidth="1"/>
    <col min="6" max="6" width="22.69140625" style="248" customWidth="1"/>
    <col min="7" max="9" width="22.69140625" customWidth="1"/>
    <col min="10" max="10" width="27.69140625" style="248" customWidth="1"/>
  </cols>
  <sheetData>
    <row r="1" spans="2:11">
      <c r="B1" s="6"/>
      <c r="C1" s="6"/>
      <c r="D1" t="s">
        <v>8183</v>
      </c>
      <c r="E1" s="37" t="s">
        <v>8184</v>
      </c>
      <c r="F1" s="559" t="s">
        <v>8185</v>
      </c>
      <c r="G1" s="58" t="s">
        <v>8186</v>
      </c>
      <c r="H1" s="6" t="s">
        <v>8187</v>
      </c>
      <c r="I1" s="799">
        <v>45632</v>
      </c>
      <c r="K1" s="248"/>
    </row>
    <row r="2" spans="2:11">
      <c r="B2" s="1"/>
      <c r="C2" s="1"/>
      <c r="D2" s="8">
        <v>45566</v>
      </c>
      <c r="E2" s="9">
        <v>45597</v>
      </c>
      <c r="F2" s="8">
        <v>45597</v>
      </c>
      <c r="G2" s="8">
        <v>45598</v>
      </c>
      <c r="H2" s="8">
        <v>45599</v>
      </c>
      <c r="I2" s="796">
        <v>45632</v>
      </c>
      <c r="K2" s="248"/>
    </row>
    <row r="3" spans="2:11">
      <c r="B3" s="11" t="s">
        <v>3107</v>
      </c>
      <c r="C3" s="11"/>
      <c r="D3" s="2">
        <v>0</v>
      </c>
      <c r="E3" s="2">
        <v>0</v>
      </c>
      <c r="F3" s="2">
        <v>0</v>
      </c>
      <c r="G3" s="2">
        <v>0</v>
      </c>
      <c r="H3" s="2">
        <v>0</v>
      </c>
      <c r="I3" s="2">
        <v>0</v>
      </c>
    </row>
    <row r="4" spans="2:11">
      <c r="B4" s="11" t="s">
        <v>8077</v>
      </c>
      <c r="C4" s="11"/>
      <c r="D4" s="2"/>
      <c r="E4" s="2"/>
      <c r="F4" s="2"/>
      <c r="G4" s="2"/>
      <c r="H4" s="2"/>
      <c r="I4" s="2"/>
    </row>
    <row r="5" spans="2:11">
      <c r="B5" s="11" t="s">
        <v>8078</v>
      </c>
      <c r="C5" s="11"/>
      <c r="D5" s="532">
        <v>34512877.109999999</v>
      </c>
      <c r="E5" s="2">
        <v>1268760</v>
      </c>
      <c r="F5" s="532">
        <v>11811914.73</v>
      </c>
      <c r="G5" s="532">
        <v>9309991.0800000001</v>
      </c>
      <c r="H5" s="532">
        <f>21121905.81-G5</f>
        <v>11811914.729999999</v>
      </c>
      <c r="I5" s="532">
        <f>+SUMIFS('Movimientos Reales'!$D$4:$D$1048576,'Movimientos Reales'!$E$4:$E$1048576,'Caja Real mensual '!$S$3,'Movimientos Reales'!$F$4:$F$1048576,'Caja Real mensual '!$C$6)</f>
        <v>71806635.739999995</v>
      </c>
      <c r="J5" s="248">
        <f>+F5/E5-1</f>
        <v>8.309810153220468</v>
      </c>
    </row>
    <row r="6" spans="2:11">
      <c r="B6" s="11" t="s">
        <v>8079</v>
      </c>
      <c r="C6" s="11"/>
      <c r="D6" s="532">
        <v>-988300</v>
      </c>
      <c r="E6" s="2">
        <v>0</v>
      </c>
      <c r="F6" s="532">
        <v>-52000</v>
      </c>
      <c r="G6" s="532">
        <f>575647+F6</f>
        <v>523647</v>
      </c>
      <c r="H6" s="532"/>
      <c r="I6" s="532">
        <f>+SUMIFS('Movimientos Reales'!$D$4:$D$1048576,'Movimientos Reales'!$E$4:$E$1048576,'Caja Real mensual '!$S$3,'Movimientos Reales'!$F$4:$F$1048576,'Caja Real mensual '!$C$7)</f>
        <v>-121000</v>
      </c>
    </row>
    <row r="7" spans="2:11">
      <c r="B7" s="11" t="s">
        <v>8080</v>
      </c>
      <c r="C7" s="11"/>
      <c r="D7" s="2">
        <v>0</v>
      </c>
      <c r="E7" s="2">
        <v>0</v>
      </c>
      <c r="F7" s="2">
        <v>0</v>
      </c>
      <c r="G7" s="2"/>
      <c r="H7" s="2"/>
      <c r="I7" s="2"/>
    </row>
    <row r="8" spans="2:11">
      <c r="B8" s="15" t="s">
        <v>8082</v>
      </c>
      <c r="C8" s="17"/>
      <c r="D8" s="18">
        <v>33524577.109999999</v>
      </c>
      <c r="E8" s="18">
        <v>1268760</v>
      </c>
      <c r="F8" s="18">
        <v>11759914.73</v>
      </c>
      <c r="G8" s="18">
        <f>+G5+G6</f>
        <v>9833638.0800000001</v>
      </c>
      <c r="H8" s="490"/>
      <c r="I8" s="18">
        <f>+SUM(I2:I6)</f>
        <v>71731267.739999995</v>
      </c>
      <c r="J8" s="248">
        <f t="shared" ref="J8:J38" si="0">+F8/E8-1</f>
        <v>8.2688252545792746</v>
      </c>
    </row>
    <row r="9" spans="2:11" ht="24.9">
      <c r="B9" s="147" t="s">
        <v>8083</v>
      </c>
      <c r="C9" s="11"/>
      <c r="D9" s="534">
        <v>-106876042.55999999</v>
      </c>
      <c r="E9" s="2">
        <v>-13440587.609999999</v>
      </c>
      <c r="F9" s="534">
        <v>-75614978.400000006</v>
      </c>
      <c r="G9" s="534"/>
      <c r="H9" s="534"/>
      <c r="I9" s="534">
        <f>+SUMIFS('Movimientos Reales'!$D$4:$D$1048576,'Movimientos Reales'!$E$4:$E$1048576,'Caja Real mensual '!$S$3,'Movimientos Reales'!$F$4:$F$1048576,'Caja Real mensual '!$C$11)-I12</f>
        <v>-223979867.77220231</v>
      </c>
      <c r="J9" s="248">
        <f t="shared" si="0"/>
        <v>4.6258684957896721</v>
      </c>
    </row>
    <row r="10" spans="2:11">
      <c r="B10" s="11" t="s">
        <v>8084</v>
      </c>
      <c r="C10" s="11"/>
      <c r="D10" s="535">
        <v>-10109281.079999998</v>
      </c>
      <c r="E10" s="12">
        <v>-5266497.38</v>
      </c>
      <c r="F10" s="535">
        <v>-6341487</v>
      </c>
      <c r="G10" s="535"/>
      <c r="H10" s="535"/>
      <c r="I10" s="535">
        <f>+SUMIFS('Gastos Bancarios'!$E$5:$E$1048576,'Gastos Bancarios'!$F$5:$F$1048576,'Caja Real mensual '!#REF!)</f>
        <v>0</v>
      </c>
      <c r="J10" s="248">
        <f t="shared" si="0"/>
        <v>0.20411851415370874</v>
      </c>
    </row>
    <row r="11" spans="2:11">
      <c r="B11" s="11" t="s">
        <v>8085</v>
      </c>
      <c r="C11" s="11"/>
      <c r="D11" s="534">
        <v>-13073777</v>
      </c>
      <c r="E11" s="2">
        <v>-3702784</v>
      </c>
      <c r="F11" s="534">
        <v>2356970</v>
      </c>
      <c r="G11" s="534"/>
      <c r="H11" s="534"/>
      <c r="I11" s="534">
        <f>+SUMIFS('Movimientos Reales'!$D$4:$D$1048576,'Movimientos Reales'!$E$4:$E$1048576,'Caja Real mensual '!$S$3,'Movimientos Reales'!$F$4:$F$1048576,'Caja Real mensual '!$C$13)</f>
        <v>-599012</v>
      </c>
      <c r="J11" s="248">
        <f t="shared" si="0"/>
        <v>-1.6365399656042587</v>
      </c>
    </row>
    <row r="12" spans="2:11">
      <c r="B12" s="11" t="s">
        <v>8086</v>
      </c>
      <c r="C12" s="11"/>
      <c r="D12" s="534">
        <v>-33928581.390000001</v>
      </c>
      <c r="E12" s="2">
        <v>-1383450</v>
      </c>
      <c r="F12" s="534">
        <v>-3736322</v>
      </c>
      <c r="G12" s="534"/>
      <c r="H12" s="534"/>
      <c r="I12" s="534">
        <f>+SUMIFS('Movimientos Reales'!$D$4:$D$1048576,'Movimientos Reales'!$E$4:$E$1048576,'Caja Real mensual '!$S$3,'Movimientos Reales'!$F$4:$F$1048576,'Caja Real mensual '!$B$14,'Movimientos Reales'!$G$4:$G$1048576,'Caja Real mensual '!$C$14)</f>
        <v>-51285358.531600006</v>
      </c>
      <c r="J12" s="248">
        <f t="shared" si="0"/>
        <v>1.7007278904188805</v>
      </c>
    </row>
    <row r="13" spans="2:11">
      <c r="B13" s="15" t="s">
        <v>8087</v>
      </c>
      <c r="C13" s="17"/>
      <c r="D13" s="18">
        <v>-130463104.91999999</v>
      </c>
      <c r="E13" s="18">
        <v>-22524558.989999998</v>
      </c>
      <c r="F13" s="18">
        <v>-71575902.670000002</v>
      </c>
      <c r="G13" s="18"/>
      <c r="H13" s="490"/>
      <c r="I13" s="18">
        <f>+SUM(I8:I12)</f>
        <v>-204132970.5638023</v>
      </c>
      <c r="J13" s="248">
        <f t="shared" si="0"/>
        <v>2.1776827551552436</v>
      </c>
    </row>
    <row r="14" spans="2:11">
      <c r="B14" s="11" t="s">
        <v>8088</v>
      </c>
      <c r="C14" s="11"/>
      <c r="F14"/>
    </row>
    <row r="15" spans="2:11">
      <c r="B15" s="11" t="s">
        <v>8089</v>
      </c>
      <c r="C15" s="11"/>
      <c r="F15"/>
    </row>
    <row r="16" spans="2:11">
      <c r="B16" s="11" t="s">
        <v>8090</v>
      </c>
      <c r="C16" s="11"/>
      <c r="F16"/>
    </row>
    <row r="17" spans="2:10">
      <c r="B17" s="15" t="s">
        <v>8091</v>
      </c>
      <c r="C17" s="17"/>
      <c r="D17" s="18">
        <v>-130463104.91999999</v>
      </c>
      <c r="E17" s="18">
        <v>-22524558.989999998</v>
      </c>
      <c r="F17" s="18">
        <v>-71575902.670000002</v>
      </c>
      <c r="G17" s="18"/>
      <c r="H17" s="490"/>
      <c r="I17" s="18">
        <f>+SUM(I13:I16)</f>
        <v>-204132970.5638023</v>
      </c>
      <c r="J17" s="248">
        <f t="shared" si="0"/>
        <v>2.1776827551552436</v>
      </c>
    </row>
    <row r="18" spans="2:10">
      <c r="B18" s="11" t="s">
        <v>8092</v>
      </c>
      <c r="C18" s="11"/>
      <c r="F18"/>
    </row>
    <row r="19" spans="2:10">
      <c r="B19" s="22" t="s">
        <v>8093</v>
      </c>
      <c r="C19" s="17"/>
      <c r="D19" s="18">
        <v>-130463104.91999999</v>
      </c>
      <c r="E19" s="18">
        <v>-22524558.989999998</v>
      </c>
      <c r="F19" s="18">
        <v>-71575902.670000002</v>
      </c>
      <c r="G19" s="18"/>
      <c r="H19" s="490"/>
      <c r="I19" s="18">
        <f>I17+I18</f>
        <v>-204132970.5638023</v>
      </c>
      <c r="J19" s="248">
        <f t="shared" si="0"/>
        <v>2.1776827551552436</v>
      </c>
    </row>
    <row r="20" spans="2:10">
      <c r="B20" s="11" t="s">
        <v>8094</v>
      </c>
      <c r="C20" s="17"/>
      <c r="D20" s="2">
        <v>-208887974</v>
      </c>
      <c r="E20" s="2">
        <v>0</v>
      </c>
      <c r="F20" s="2">
        <v>0</v>
      </c>
      <c r="G20" s="2"/>
      <c r="H20" s="2"/>
      <c r="I20" s="2"/>
    </row>
    <row r="21" spans="2:10">
      <c r="B21" s="11" t="s">
        <v>8095</v>
      </c>
      <c r="C21" s="11"/>
      <c r="D21" s="534">
        <v>-328500000</v>
      </c>
      <c r="E21" s="2">
        <v>0</v>
      </c>
      <c r="F21" s="534">
        <v>0</v>
      </c>
      <c r="G21" s="534"/>
      <c r="H21" s="534"/>
      <c r="I21" s="534"/>
    </row>
    <row r="22" spans="2:10">
      <c r="B22" s="11" t="s">
        <v>8096</v>
      </c>
      <c r="C22" s="11"/>
      <c r="D22" s="534"/>
      <c r="E22" s="2"/>
      <c r="F22" s="534"/>
      <c r="G22" s="534"/>
      <c r="H22" s="534"/>
      <c r="I22" s="534"/>
    </row>
    <row r="23" spans="2:10">
      <c r="B23" s="11" t="s">
        <v>8098</v>
      </c>
      <c r="C23" s="11"/>
      <c r="D23" s="534">
        <v>-74867893.61333333</v>
      </c>
      <c r="E23" s="2">
        <v>-7036247.2199999988</v>
      </c>
      <c r="F23" s="534">
        <v>-22429303.210000001</v>
      </c>
      <c r="G23" s="534"/>
      <c r="H23" s="534"/>
      <c r="I23" s="534"/>
      <c r="J23" s="248">
        <f t="shared" si="0"/>
        <v>2.1876798112275546</v>
      </c>
    </row>
    <row r="24" spans="2:10">
      <c r="B24" s="58" t="s">
        <v>8101</v>
      </c>
      <c r="C24" s="6"/>
      <c r="D24" s="534">
        <v>-28786167.666666668</v>
      </c>
      <c r="E24" s="2">
        <v>-37013656.780000001</v>
      </c>
      <c r="F24" s="534">
        <v>-38053922.780000001</v>
      </c>
      <c r="G24" s="534"/>
      <c r="H24" s="534"/>
      <c r="I24" s="534"/>
      <c r="J24" s="248">
        <f t="shared" si="0"/>
        <v>2.8104923709188823E-2</v>
      </c>
    </row>
    <row r="25" spans="2:10">
      <c r="B25" s="11" t="s">
        <v>8102</v>
      </c>
      <c r="C25" s="11"/>
      <c r="D25" s="534">
        <v>-35916370</v>
      </c>
      <c r="E25" s="2">
        <v>-2150900</v>
      </c>
      <c r="F25" s="534">
        <v>-2192700</v>
      </c>
      <c r="G25" s="534"/>
      <c r="H25" s="534"/>
      <c r="I25" s="534"/>
      <c r="J25" s="248">
        <f t="shared" si="0"/>
        <v>1.9433725417267178E-2</v>
      </c>
    </row>
    <row r="26" spans="2:10">
      <c r="B26" s="11" t="s">
        <v>8103</v>
      </c>
      <c r="C26" s="11"/>
      <c r="D26" s="534">
        <v>-11862081.333333334</v>
      </c>
      <c r="E26" s="2">
        <v>-23137466</v>
      </c>
      <c r="F26" s="534">
        <v>-23657600</v>
      </c>
      <c r="G26" s="534"/>
      <c r="H26" s="534"/>
      <c r="I26" s="534"/>
      <c r="J26" s="248">
        <f t="shared" si="0"/>
        <v>2.2480162693702122E-2</v>
      </c>
    </row>
    <row r="27" spans="2:10">
      <c r="B27" s="11" t="s">
        <v>8104</v>
      </c>
      <c r="C27" s="11"/>
      <c r="D27" s="534">
        <v>770881762.92666662</v>
      </c>
      <c r="E27" s="2">
        <v>-63642171.710000038</v>
      </c>
      <c r="F27" s="534">
        <v>430712611.42999995</v>
      </c>
      <c r="G27" s="534"/>
      <c r="H27" s="534"/>
      <c r="I27" s="534"/>
      <c r="J27" s="248">
        <f t="shared" si="0"/>
        <v>-7.7677233484840755</v>
      </c>
    </row>
    <row r="28" spans="2:10">
      <c r="B28" s="11" t="s">
        <v>8188</v>
      </c>
      <c r="C28" s="11"/>
      <c r="D28" s="534">
        <v>0</v>
      </c>
      <c r="E28" s="2">
        <v>0</v>
      </c>
      <c r="F28" s="534">
        <v>0</v>
      </c>
      <c r="G28" s="534"/>
      <c r="H28" s="534"/>
      <c r="I28" s="534"/>
      <c r="J28" s="248" t="e">
        <f t="shared" si="0"/>
        <v>#DIV/0!</v>
      </c>
    </row>
    <row r="29" spans="2:10">
      <c r="B29" s="23" t="s">
        <v>8107</v>
      </c>
      <c r="C29" s="25"/>
      <c r="D29" s="2">
        <v>-34693000</v>
      </c>
      <c r="E29" s="2">
        <v>0</v>
      </c>
      <c r="F29" s="2">
        <v>-55738000</v>
      </c>
      <c r="G29" s="2"/>
      <c r="H29" s="2"/>
      <c r="I29" s="2"/>
    </row>
    <row r="30" spans="2:10">
      <c r="B30" s="11" t="s">
        <v>8108</v>
      </c>
      <c r="C30" s="11"/>
      <c r="D30" s="26">
        <v>-83094828.606666684</v>
      </c>
      <c r="E30" s="26">
        <v>-155505000.70000005</v>
      </c>
      <c r="F30" s="26">
        <v>217065182.76999995</v>
      </c>
      <c r="G30" s="26"/>
      <c r="H30" s="797"/>
      <c r="I30" s="797"/>
      <c r="J30" s="248">
        <f t="shared" si="0"/>
        <v>-2.3958726844338702</v>
      </c>
    </row>
    <row r="31" spans="2:10">
      <c r="B31" s="15" t="s">
        <v>8109</v>
      </c>
      <c r="C31" s="17"/>
      <c r="D31" s="534">
        <v>-70707255.689999998</v>
      </c>
      <c r="E31" s="2">
        <v>-19466315.690000001</v>
      </c>
      <c r="F31" s="534">
        <v>-42053215.710000008</v>
      </c>
      <c r="G31" s="534"/>
      <c r="H31" s="534"/>
      <c r="I31" s="534"/>
      <c r="J31" s="248">
        <f t="shared" si="0"/>
        <v>1.1603068798274485</v>
      </c>
    </row>
    <row r="32" spans="2:10">
      <c r="B32" s="11" t="s">
        <v>8110</v>
      </c>
      <c r="C32" s="11"/>
      <c r="D32" s="18">
        <v>-153802084.29666668</v>
      </c>
      <c r="E32" s="18">
        <v>-174971316.39000005</v>
      </c>
      <c r="F32" s="18">
        <v>175011967.05999994</v>
      </c>
      <c r="G32" s="18"/>
      <c r="H32" s="490"/>
      <c r="I32" s="490"/>
      <c r="J32" s="248">
        <f t="shared" si="0"/>
        <v>-2.0002323276228275</v>
      </c>
    </row>
    <row r="33" spans="2:11">
      <c r="B33" s="11" t="s">
        <v>8111</v>
      </c>
      <c r="C33" s="11"/>
      <c r="F33"/>
    </row>
    <row r="34" spans="2:11">
      <c r="B34" s="11" t="s">
        <v>8112</v>
      </c>
      <c r="C34" s="11"/>
      <c r="D34" s="6"/>
      <c r="E34" s="6"/>
      <c r="F34" s="6"/>
      <c r="G34" s="6"/>
      <c r="H34" s="6"/>
      <c r="I34" s="6"/>
    </row>
    <row r="35" spans="2:11">
      <c r="B35" s="15" t="s">
        <v>8113</v>
      </c>
      <c r="C35" s="17"/>
      <c r="D35" s="6"/>
      <c r="E35" s="6"/>
      <c r="F35" s="6"/>
      <c r="G35" s="6"/>
      <c r="H35" s="6"/>
      <c r="I35" s="6"/>
    </row>
    <row r="36" spans="2:11">
      <c r="B36" s="11" t="s">
        <v>8114</v>
      </c>
      <c r="C36" s="11"/>
      <c r="D36" s="18">
        <f>+D32+D33+D35</f>
        <v>-153802084.29666668</v>
      </c>
      <c r="E36" s="18">
        <v>-174971316.39000005</v>
      </c>
      <c r="F36" s="18">
        <v>175011967.05999994</v>
      </c>
      <c r="G36" s="18"/>
      <c r="H36" s="490"/>
      <c r="I36" s="490"/>
      <c r="J36" s="248">
        <f t="shared" si="0"/>
        <v>-2.0002323276228275</v>
      </c>
    </row>
    <row r="37" spans="2:11">
      <c r="B37" s="28" t="s">
        <v>8115</v>
      </c>
      <c r="C37" s="30"/>
      <c r="D37" s="12">
        <f>+G37</f>
        <v>0</v>
      </c>
      <c r="E37" s="12">
        <v>402963635.16298419</v>
      </c>
      <c r="F37" s="12">
        <v>402963635.16298419</v>
      </c>
      <c r="G37" s="12"/>
      <c r="H37" s="12"/>
      <c r="I37" s="12"/>
      <c r="J37" s="248">
        <f t="shared" si="0"/>
        <v>0</v>
      </c>
    </row>
    <row r="38" spans="2:11">
      <c r="B38" t="s">
        <v>8116</v>
      </c>
      <c r="D38" s="31">
        <f>+D36+D37</f>
        <v>-153802084.29666668</v>
      </c>
      <c r="E38" s="31">
        <v>227992318.77298415</v>
      </c>
      <c r="F38" s="31">
        <v>577975602.22298408</v>
      </c>
      <c r="G38" s="31"/>
      <c r="H38" s="798"/>
      <c r="I38" s="798"/>
      <c r="J38" s="248">
        <f t="shared" si="0"/>
        <v>1.5350661168479287</v>
      </c>
    </row>
    <row r="39" spans="2:11">
      <c r="K39" s="248"/>
    </row>
  </sheetData>
  <pageMargins left="0.7" right="0.7" top="0.75" bottom="0.75" header="0.3" footer="0.3"/>
  <pageSetup scale="46"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8303-161C-4C31-8C68-8BE7E1FCA5B4}">
  <sheetPr>
    <outlinePr summaryBelow="0" summaryRight="0"/>
  </sheetPr>
  <dimension ref="B3:AA82"/>
  <sheetViews>
    <sheetView topLeftCell="A55" zoomScale="80" zoomScaleNormal="80" workbookViewId="0">
      <selection activeCell="H73" sqref="H73"/>
    </sheetView>
  </sheetViews>
  <sheetFormatPr defaultColWidth="14.3828125" defaultRowHeight="15" customHeight="1"/>
  <cols>
    <col min="1" max="1" width="6.69140625" customWidth="1"/>
    <col min="2" max="2" width="41.69140625" hidden="1" customWidth="1"/>
    <col min="3" max="4" width="32.3046875" customWidth="1"/>
    <col min="5" max="5" width="16.3046875" bestFit="1" customWidth="1"/>
    <col min="6" max="6" width="16.53515625" bestFit="1" customWidth="1"/>
    <col min="7" max="7" width="16.3046875" style="13" bestFit="1" customWidth="1"/>
    <col min="8" max="8" width="16.69140625" style="13" bestFit="1" customWidth="1"/>
    <col min="9" max="16" width="16.3046875" bestFit="1" customWidth="1"/>
    <col min="17" max="17" width="12.53515625" customWidth="1"/>
    <col min="18" max="18" width="12.3828125" customWidth="1"/>
    <col min="19" max="19" width="12.3046875" bestFit="1" customWidth="1"/>
    <col min="20" max="22" width="12.15234375" customWidth="1"/>
    <col min="23" max="25" width="15" customWidth="1"/>
  </cols>
  <sheetData>
    <row r="3" spans="2:27" ht="15" customHeight="1">
      <c r="W3" s="253">
        <v>0.01</v>
      </c>
      <c r="X3" s="89">
        <v>5.2199999999999998E-3</v>
      </c>
      <c r="Z3" s="246"/>
    </row>
    <row r="4" spans="2:27" ht="15" customHeight="1">
      <c r="U4" s="253">
        <v>0.04</v>
      </c>
      <c r="V4" s="253">
        <v>0.04</v>
      </c>
      <c r="W4" s="89">
        <v>0.12</v>
      </c>
      <c r="X4" s="89">
        <v>6.9599999999999995E-2</v>
      </c>
      <c r="Y4" s="253">
        <v>0.04</v>
      </c>
    </row>
    <row r="5" spans="2:27" ht="28" hidden="1" customHeight="1" thickBot="1">
      <c r="B5" s="155" t="s">
        <v>8189</v>
      </c>
      <c r="C5" s="155" t="s">
        <v>8190</v>
      </c>
      <c r="D5" s="239" t="s">
        <v>8191</v>
      </c>
      <c r="E5" s="155">
        <v>45292</v>
      </c>
      <c r="F5" s="155" t="s">
        <v>7996</v>
      </c>
      <c r="G5" s="155">
        <v>45323</v>
      </c>
      <c r="H5" s="155" t="s">
        <v>8192</v>
      </c>
      <c r="I5" s="155">
        <v>45352</v>
      </c>
      <c r="J5" s="155">
        <v>45383</v>
      </c>
      <c r="K5" s="155">
        <v>45413</v>
      </c>
      <c r="L5" s="155">
        <v>45444</v>
      </c>
      <c r="M5" s="155" t="s">
        <v>8193</v>
      </c>
      <c r="N5" s="155">
        <v>45474</v>
      </c>
      <c r="O5" s="155">
        <v>45505</v>
      </c>
      <c r="P5" s="155">
        <v>45536</v>
      </c>
      <c r="Q5" s="155">
        <v>45566</v>
      </c>
      <c r="R5" s="155">
        <v>45597</v>
      </c>
      <c r="S5" s="155">
        <v>45627</v>
      </c>
      <c r="T5" s="155" t="s">
        <v>8193</v>
      </c>
      <c r="U5" s="254" t="s">
        <v>8194</v>
      </c>
      <c r="V5" s="251" t="s">
        <v>8195</v>
      </c>
      <c r="W5" s="251" t="s">
        <v>8196</v>
      </c>
      <c r="X5" s="251" t="s">
        <v>8197</v>
      </c>
      <c r="Y5" s="251" t="s">
        <v>8198</v>
      </c>
      <c r="Z5" s="252">
        <v>0.39460000000000001</v>
      </c>
      <c r="AA5" s="248">
        <v>0.12520000000000001</v>
      </c>
    </row>
    <row r="6" spans="2:27" ht="15" hidden="1" customHeight="1" thickBot="1">
      <c r="B6" s="240" t="s">
        <v>2733</v>
      </c>
      <c r="C6" s="240" t="s">
        <v>8199</v>
      </c>
      <c r="D6" s="81" t="s">
        <v>104</v>
      </c>
      <c r="E6" s="241">
        <v>8500000</v>
      </c>
      <c r="F6" s="244">
        <v>480000</v>
      </c>
      <c r="G6" s="241">
        <v>8500000</v>
      </c>
      <c r="H6" s="244">
        <v>4000000</v>
      </c>
      <c r="I6" s="241">
        <v>8500000</v>
      </c>
      <c r="J6" s="241">
        <v>8500000</v>
      </c>
      <c r="K6" s="241">
        <v>8500000</v>
      </c>
      <c r="L6" s="241">
        <v>8500000</v>
      </c>
      <c r="M6" s="244">
        <f>6120000/2</f>
        <v>3060000</v>
      </c>
      <c r="N6" s="241">
        <v>8500000</v>
      </c>
      <c r="O6" s="241">
        <v>8500000</v>
      </c>
      <c r="P6" s="241">
        <v>8500000</v>
      </c>
      <c r="Q6" s="241">
        <v>8500000</v>
      </c>
      <c r="R6" s="241">
        <v>8500000</v>
      </c>
      <c r="S6" s="241">
        <v>8500000</v>
      </c>
      <c r="T6" s="249">
        <f>6120000/2</f>
        <v>3060000</v>
      </c>
      <c r="U6" s="250">
        <f>6120000*$U$4+6120000*$U$3</f>
        <v>244800</v>
      </c>
      <c r="V6" s="250">
        <f>6120000*$V$4+6120000*$V$3</f>
        <v>244800</v>
      </c>
      <c r="W6" s="250">
        <f>6120000*$W$4+6120000*$W$3</f>
        <v>795600</v>
      </c>
      <c r="X6" s="250">
        <f>6120000*$X$3</f>
        <v>31946.399999999998</v>
      </c>
      <c r="Y6" s="250">
        <f>6120000*$Y$4</f>
        <v>244800</v>
      </c>
      <c r="Z6" s="81"/>
    </row>
    <row r="7" spans="2:27" ht="15" hidden="1" customHeight="1" thickBot="1">
      <c r="B7" s="81" t="s">
        <v>2734</v>
      </c>
      <c r="C7" s="81" t="s">
        <v>8200</v>
      </c>
      <c r="D7" s="81" t="s">
        <v>104</v>
      </c>
      <c r="E7" s="242">
        <v>8500000</v>
      </c>
      <c r="F7" s="245">
        <v>480000</v>
      </c>
      <c r="G7" s="242">
        <v>8500000</v>
      </c>
      <c r="H7" s="245">
        <v>4000000</v>
      </c>
      <c r="I7" s="242">
        <v>8500000</v>
      </c>
      <c r="J7" s="242">
        <v>8500000</v>
      </c>
      <c r="K7" s="242">
        <v>8500000</v>
      </c>
      <c r="L7" s="242">
        <v>8500000</v>
      </c>
      <c r="M7" s="244">
        <f>6120000/2</f>
        <v>3060000</v>
      </c>
      <c r="N7" s="242">
        <v>8500000</v>
      </c>
      <c r="O7" s="242">
        <v>8500000</v>
      </c>
      <c r="P7" s="242">
        <v>8500000</v>
      </c>
      <c r="Q7" s="242">
        <v>8500000</v>
      </c>
      <c r="R7" s="242">
        <v>8500000</v>
      </c>
      <c r="S7" s="242">
        <v>8500000</v>
      </c>
      <c r="T7" s="249">
        <f>6120000/2</f>
        <v>3060000</v>
      </c>
      <c r="U7" s="250">
        <f>6120000*$U$4+6120000*$U$3</f>
        <v>244800</v>
      </c>
      <c r="V7" s="250">
        <f>6120000*$U$4+6120000*$U$3</f>
        <v>244800</v>
      </c>
      <c r="W7" s="250">
        <f>6120000*$W$4+6120000*$W$3</f>
        <v>795600</v>
      </c>
      <c r="X7" s="250">
        <f>6120000*$X$3</f>
        <v>31946.399999999998</v>
      </c>
      <c r="Y7" s="250">
        <f>6120000*$Y$4</f>
        <v>244800</v>
      </c>
      <c r="Z7" s="81"/>
    </row>
    <row r="8" spans="2:27" ht="15" hidden="1" customHeight="1" thickBot="1">
      <c r="B8" s="81" t="s">
        <v>8201</v>
      </c>
      <c r="C8" s="81" t="s">
        <v>8202</v>
      </c>
      <c r="D8" s="81" t="s">
        <v>104</v>
      </c>
      <c r="E8" s="242">
        <v>8500000</v>
      </c>
      <c r="F8" s="245">
        <v>480000</v>
      </c>
      <c r="G8" s="242">
        <v>8500000</v>
      </c>
      <c r="H8" s="245">
        <v>4000000</v>
      </c>
      <c r="I8" s="242">
        <v>8500000</v>
      </c>
      <c r="J8" s="242">
        <v>8500000</v>
      </c>
      <c r="K8" s="242">
        <v>8500000</v>
      </c>
      <c r="L8" s="242">
        <v>8500000</v>
      </c>
      <c r="M8" s="244">
        <f>6120000/2</f>
        <v>3060000</v>
      </c>
      <c r="N8" s="242">
        <v>8500000</v>
      </c>
      <c r="O8" s="242">
        <v>8500000</v>
      </c>
      <c r="P8" s="242">
        <v>8500000</v>
      </c>
      <c r="Q8" s="242">
        <v>8500000</v>
      </c>
      <c r="R8" s="242">
        <v>8500000</v>
      </c>
      <c r="S8" s="242">
        <v>8500000</v>
      </c>
      <c r="T8" s="249">
        <f>6120000/2</f>
        <v>3060000</v>
      </c>
      <c r="U8" s="250">
        <f>6120000*$U$4+6120000*$U$3</f>
        <v>244800</v>
      </c>
      <c r="V8" s="250">
        <f>6120000*$U$4+6120000*$U$3</f>
        <v>244800</v>
      </c>
      <c r="W8" s="250">
        <f>6120000*$W$4+6120000*$W$3</f>
        <v>795600</v>
      </c>
      <c r="X8" s="250">
        <f>6120000*$X$3</f>
        <v>31946.399999999998</v>
      </c>
      <c r="Y8" s="250">
        <f>6120000*$Y$4</f>
        <v>244800</v>
      </c>
      <c r="Z8" s="81"/>
    </row>
    <row r="9" spans="2:27" ht="15" hidden="1" customHeight="1" thickBot="1">
      <c r="B9" s="81" t="s">
        <v>2746</v>
      </c>
      <c r="C9" s="81" t="s">
        <v>8203</v>
      </c>
      <c r="D9" s="81" t="s">
        <v>104</v>
      </c>
      <c r="E9" s="242">
        <v>4400000</v>
      </c>
      <c r="F9" s="245">
        <v>27313.008024074072</v>
      </c>
      <c r="G9" s="242">
        <v>4400000</v>
      </c>
      <c r="H9" s="245">
        <v>795524.50555555557</v>
      </c>
      <c r="I9" s="242">
        <v>4400000</v>
      </c>
      <c r="J9" s="242">
        <v>4400000</v>
      </c>
      <c r="K9" s="242">
        <v>4400000</v>
      </c>
      <c r="L9" s="242">
        <v>4400000</v>
      </c>
      <c r="M9" s="244">
        <f>E9/2</f>
        <v>2200000</v>
      </c>
      <c r="N9" s="242">
        <v>4400000</v>
      </c>
      <c r="O9" s="242">
        <v>4400000</v>
      </c>
      <c r="P9" s="242">
        <v>4400000</v>
      </c>
      <c r="Q9" s="242">
        <v>4400000</v>
      </c>
      <c r="R9" s="242">
        <v>4400000</v>
      </c>
      <c r="S9" s="242">
        <v>4400000</v>
      </c>
      <c r="T9" s="249">
        <f>E9/2</f>
        <v>2200000</v>
      </c>
      <c r="U9" s="250">
        <f>+E9*$U$4</f>
        <v>176000</v>
      </c>
      <c r="V9" s="250">
        <f>+F9*$U$4</f>
        <v>1092.5203209629628</v>
      </c>
      <c r="W9" s="250">
        <f>+E9*$W$4</f>
        <v>528000</v>
      </c>
      <c r="X9" s="250">
        <f>+E9*$X$3</f>
        <v>22968</v>
      </c>
      <c r="Y9" s="250">
        <f>+E9*$Y$4</f>
        <v>176000</v>
      </c>
      <c r="Z9" s="81"/>
    </row>
    <row r="10" spans="2:27" ht="15" hidden="1" customHeight="1" thickBot="1">
      <c r="B10" s="81" t="s">
        <v>2730</v>
      </c>
      <c r="C10" s="81" t="s">
        <v>8204</v>
      </c>
      <c r="D10" s="81" t="s">
        <v>104</v>
      </c>
      <c r="E10" s="242">
        <f>2600000+162000</f>
        <v>2762000</v>
      </c>
      <c r="F10" s="245">
        <v>267432.72000000003</v>
      </c>
      <c r="G10" s="242">
        <f>2600000+162000</f>
        <v>2762000</v>
      </c>
      <c r="H10" s="245">
        <v>2228606</v>
      </c>
      <c r="I10" s="242">
        <f>2600000+162000</f>
        <v>2762000</v>
      </c>
      <c r="J10" s="242">
        <f>2600000+162000</f>
        <v>2762000</v>
      </c>
      <c r="K10" s="242">
        <f>2600000+162000</f>
        <v>2762000</v>
      </c>
      <c r="L10" s="242">
        <f>2600000+162000</f>
        <v>2762000</v>
      </c>
      <c r="M10" s="244">
        <f>E10/2</f>
        <v>1381000</v>
      </c>
      <c r="N10" s="242">
        <f t="shared" ref="N10:S10" si="0">2600000+162000</f>
        <v>2762000</v>
      </c>
      <c r="O10" s="242">
        <f t="shared" si="0"/>
        <v>2762000</v>
      </c>
      <c r="P10" s="242">
        <f t="shared" si="0"/>
        <v>2762000</v>
      </c>
      <c r="Q10" s="242">
        <f t="shared" si="0"/>
        <v>2762000</v>
      </c>
      <c r="R10" s="242">
        <f t="shared" si="0"/>
        <v>2762000</v>
      </c>
      <c r="S10" s="242">
        <f t="shared" si="0"/>
        <v>2762000</v>
      </c>
      <c r="T10" s="249">
        <f>E10/2</f>
        <v>1381000</v>
      </c>
      <c r="U10" s="250">
        <f>+E10*$U$4</f>
        <v>110480</v>
      </c>
      <c r="V10" s="250">
        <f>+F10*$V$4</f>
        <v>10697.308800000001</v>
      </c>
      <c r="W10" s="250">
        <f>+E10*$W$4</f>
        <v>331440</v>
      </c>
      <c r="X10" s="250">
        <f>+E10*$X$3</f>
        <v>14417.64</v>
      </c>
      <c r="Y10" s="250">
        <f>+E10*$Y$4</f>
        <v>110480</v>
      </c>
      <c r="Z10" s="81"/>
    </row>
    <row r="11" spans="2:27" ht="15" hidden="1" customHeight="1" thickBot="1">
      <c r="B11" s="81" t="s">
        <v>2748</v>
      </c>
      <c r="C11" s="81" t="s">
        <v>8205</v>
      </c>
      <c r="D11" s="81" t="s">
        <v>104</v>
      </c>
      <c r="E11" s="242">
        <f>1300000+162000</f>
        <v>1462000</v>
      </c>
      <c r="F11" s="245"/>
      <c r="G11" s="242">
        <f>1300000+162000</f>
        <v>1462000</v>
      </c>
      <c r="H11" s="245"/>
      <c r="I11" s="242">
        <f t="shared" ref="I11:L12" si="1">1300000+162000</f>
        <v>1462000</v>
      </c>
      <c r="J11" s="242">
        <f t="shared" si="1"/>
        <v>1462000</v>
      </c>
      <c r="K11" s="242">
        <f t="shared" si="1"/>
        <v>1462000</v>
      </c>
      <c r="L11" s="242">
        <f t="shared" si="1"/>
        <v>1462000</v>
      </c>
      <c r="M11" s="244">
        <f>E11/2</f>
        <v>731000</v>
      </c>
      <c r="N11" s="242">
        <v>1300000</v>
      </c>
      <c r="O11" s="242">
        <v>1300000</v>
      </c>
      <c r="P11" s="242">
        <v>1300000</v>
      </c>
      <c r="Q11" s="242">
        <v>1300000</v>
      </c>
      <c r="R11" s="242">
        <v>1300000</v>
      </c>
      <c r="S11" s="242">
        <v>1300000</v>
      </c>
      <c r="T11" s="249">
        <f>E11/2</f>
        <v>731000</v>
      </c>
      <c r="U11" s="250">
        <f>+E11*$U$4</f>
        <v>58480</v>
      </c>
      <c r="V11" s="250">
        <f>+E11*$V$4</f>
        <v>58480</v>
      </c>
      <c r="W11" s="250">
        <f>+E11*$W$4</f>
        <v>175440</v>
      </c>
      <c r="X11" s="250">
        <f>+E11*$X$3</f>
        <v>7631.6399999999994</v>
      </c>
      <c r="Y11" s="250">
        <f>+E11*$Y$4</f>
        <v>58480</v>
      </c>
      <c r="Z11" s="81"/>
    </row>
    <row r="12" spans="2:27" ht="15" hidden="1" customHeight="1" thickBot="1">
      <c r="B12" s="81" t="s">
        <v>8206</v>
      </c>
      <c r="C12" s="81" t="s">
        <v>8207</v>
      </c>
      <c r="D12" s="81" t="s">
        <v>104</v>
      </c>
      <c r="E12" s="242">
        <f>1300000+162000</f>
        <v>1462000</v>
      </c>
      <c r="F12" s="245"/>
      <c r="G12" s="242">
        <f>1300000+162000</f>
        <v>1462000</v>
      </c>
      <c r="H12" s="245"/>
      <c r="I12" s="242">
        <f t="shared" si="1"/>
        <v>1462000</v>
      </c>
      <c r="J12" s="242">
        <f t="shared" si="1"/>
        <v>1462000</v>
      </c>
      <c r="K12" s="242">
        <f t="shared" si="1"/>
        <v>1462000</v>
      </c>
      <c r="L12" s="242">
        <f t="shared" si="1"/>
        <v>1462000</v>
      </c>
      <c r="M12" s="244"/>
      <c r="N12" s="242">
        <v>1300000</v>
      </c>
      <c r="O12" s="242">
        <v>1300000</v>
      </c>
      <c r="P12" s="242">
        <v>1300000</v>
      </c>
      <c r="Q12" s="242">
        <v>1300000</v>
      </c>
      <c r="R12" s="242">
        <v>1300000</v>
      </c>
      <c r="S12" s="242">
        <v>1300000</v>
      </c>
      <c r="T12" s="249"/>
      <c r="U12" s="250"/>
      <c r="V12" s="250">
        <f>+F12*$U$4</f>
        <v>0</v>
      </c>
      <c r="W12" s="250"/>
      <c r="X12" s="250"/>
      <c r="Y12" s="250"/>
      <c r="Z12" s="81"/>
    </row>
    <row r="13" spans="2:27" ht="15" hidden="1" customHeight="1" thickBot="1">
      <c r="B13" s="81" t="s">
        <v>2728</v>
      </c>
      <c r="C13" s="283" t="s">
        <v>8208</v>
      </c>
      <c r="D13" s="81" t="s">
        <v>8209</v>
      </c>
      <c r="E13" s="242">
        <v>6420000</v>
      </c>
      <c r="F13" s="245">
        <v>623204.42999999993</v>
      </c>
      <c r="G13" s="242">
        <v>6420000</v>
      </c>
      <c r="H13" s="245">
        <v>5193370.25</v>
      </c>
      <c r="I13" s="242">
        <v>6420000</v>
      </c>
      <c r="J13" s="242">
        <v>6420000</v>
      </c>
      <c r="K13" s="242">
        <v>6420000</v>
      </c>
      <c r="L13" s="242">
        <v>6420000</v>
      </c>
      <c r="M13" s="244">
        <f t="shared" ref="M13:M51" si="2">E13/2</f>
        <v>3210000</v>
      </c>
      <c r="N13" s="242">
        <v>6420000</v>
      </c>
      <c r="O13" s="242">
        <v>6420000</v>
      </c>
      <c r="P13" s="242">
        <v>6420000</v>
      </c>
      <c r="Q13" s="242">
        <v>6420000</v>
      </c>
      <c r="R13" s="242">
        <v>6420000</v>
      </c>
      <c r="S13" s="242">
        <v>6420000</v>
      </c>
      <c r="T13" s="249">
        <f t="shared" ref="T13:T51" si="3">E13/2</f>
        <v>3210000</v>
      </c>
      <c r="U13" s="250">
        <f t="shared" ref="U13:U25" si="4">+E13*$U$4</f>
        <v>256800</v>
      </c>
      <c r="V13" s="250">
        <f t="shared" ref="V13:V25" si="5">+E13*$V$4</f>
        <v>256800</v>
      </c>
      <c r="W13" s="250">
        <f>+E13*$W$4+E13*W3</f>
        <v>834600</v>
      </c>
      <c r="X13" s="250">
        <f t="shared" ref="X13:X25" si="6">+E13*$X$4</f>
        <v>446831.99999999994</v>
      </c>
      <c r="Y13" s="250">
        <f t="shared" ref="Y13:Y25" si="7">+E13*$Y$4</f>
        <v>256800</v>
      </c>
      <c r="Z13" s="81"/>
    </row>
    <row r="14" spans="2:27" ht="15" hidden="1" customHeight="1" thickBot="1">
      <c r="B14" s="81" t="s">
        <v>2727</v>
      </c>
      <c r="C14" s="283" t="s">
        <v>8210</v>
      </c>
      <c r="D14" s="81" t="s">
        <v>8209</v>
      </c>
      <c r="E14" s="242">
        <v>3060000</v>
      </c>
      <c r="F14" s="245">
        <v>336000</v>
      </c>
      <c r="G14" s="242">
        <v>3060000</v>
      </c>
      <c r="H14" s="245">
        <v>2800000</v>
      </c>
      <c r="I14" s="242">
        <v>3060000</v>
      </c>
      <c r="J14" s="242">
        <v>3060000</v>
      </c>
      <c r="K14" s="242">
        <v>3060000</v>
      </c>
      <c r="L14" s="242">
        <v>3060000</v>
      </c>
      <c r="M14" s="244">
        <f t="shared" si="2"/>
        <v>1530000</v>
      </c>
      <c r="N14" s="242">
        <v>3060000</v>
      </c>
      <c r="O14" s="242">
        <v>3060000</v>
      </c>
      <c r="P14" s="242">
        <v>3060000</v>
      </c>
      <c r="Q14" s="242">
        <v>3060000</v>
      </c>
      <c r="R14" s="242">
        <v>3060000</v>
      </c>
      <c r="S14" s="242">
        <v>3060000</v>
      </c>
      <c r="T14" s="249">
        <f t="shared" si="3"/>
        <v>1530000</v>
      </c>
      <c r="U14" s="250">
        <f t="shared" si="4"/>
        <v>122400</v>
      </c>
      <c r="V14" s="250">
        <f t="shared" si="5"/>
        <v>122400</v>
      </c>
      <c r="W14" s="250">
        <f t="shared" ref="W14:W25" si="8">+E14*$W$4</f>
        <v>367200</v>
      </c>
      <c r="X14" s="250">
        <f t="shared" si="6"/>
        <v>212975.99999999997</v>
      </c>
      <c r="Y14" s="250">
        <f t="shared" si="7"/>
        <v>122400</v>
      </c>
      <c r="Z14" s="81"/>
    </row>
    <row r="15" spans="2:27" ht="15" hidden="1" customHeight="1" thickBot="1">
      <c r="B15" s="81" t="s">
        <v>2727</v>
      </c>
      <c r="C15" s="283" t="s">
        <v>8210</v>
      </c>
      <c r="D15" s="81" t="s">
        <v>8209</v>
      </c>
      <c r="E15" s="242"/>
      <c r="F15" s="245"/>
      <c r="G15" s="242"/>
      <c r="H15" s="245"/>
      <c r="I15" s="242"/>
      <c r="J15" s="242"/>
      <c r="K15" s="242"/>
      <c r="L15" s="242">
        <f>+L14</f>
        <v>3060000</v>
      </c>
      <c r="M15" s="244"/>
      <c r="N15" s="242">
        <f t="shared" ref="N15:Y15" si="9">+N14</f>
        <v>3060000</v>
      </c>
      <c r="O15" s="242">
        <f t="shared" si="9"/>
        <v>3060000</v>
      </c>
      <c r="P15" s="242">
        <f t="shared" si="9"/>
        <v>3060000</v>
      </c>
      <c r="Q15" s="242">
        <f t="shared" si="9"/>
        <v>3060000</v>
      </c>
      <c r="R15" s="242">
        <f t="shared" si="9"/>
        <v>3060000</v>
      </c>
      <c r="S15" s="242">
        <f t="shared" si="9"/>
        <v>3060000</v>
      </c>
      <c r="T15" s="242">
        <f t="shared" si="9"/>
        <v>1530000</v>
      </c>
      <c r="U15" s="242">
        <f t="shared" si="9"/>
        <v>122400</v>
      </c>
      <c r="V15" s="242">
        <f t="shared" si="9"/>
        <v>122400</v>
      </c>
      <c r="W15" s="242">
        <f t="shared" si="9"/>
        <v>367200</v>
      </c>
      <c r="X15" s="242">
        <f t="shared" si="9"/>
        <v>212975.99999999997</v>
      </c>
      <c r="Y15" s="242">
        <f t="shared" si="9"/>
        <v>122400</v>
      </c>
      <c r="Z15" s="81"/>
    </row>
    <row r="16" spans="2:27" ht="15" hidden="1" customHeight="1" thickBot="1">
      <c r="B16" s="81" t="s">
        <v>2744</v>
      </c>
      <c r="C16" s="283" t="s">
        <v>8211</v>
      </c>
      <c r="D16" s="81" t="s">
        <v>8209</v>
      </c>
      <c r="E16" s="242">
        <v>3060000</v>
      </c>
      <c r="F16" s="245">
        <v>313812.26853723399</v>
      </c>
      <c r="G16" s="242">
        <v>3060000</v>
      </c>
      <c r="H16" s="245">
        <v>2728802.3351063826</v>
      </c>
      <c r="I16" s="242">
        <v>3060000</v>
      </c>
      <c r="J16" s="242">
        <v>3060000</v>
      </c>
      <c r="K16" s="242">
        <v>3060000</v>
      </c>
      <c r="L16" s="242">
        <v>3060000</v>
      </c>
      <c r="M16" s="244">
        <f t="shared" si="2"/>
        <v>1530000</v>
      </c>
      <c r="N16" s="242">
        <v>3060000</v>
      </c>
      <c r="O16" s="242">
        <v>3060000</v>
      </c>
      <c r="P16" s="242">
        <v>3060000</v>
      </c>
      <c r="Q16" s="242">
        <v>3060000</v>
      </c>
      <c r="R16" s="242">
        <v>3060000</v>
      </c>
      <c r="S16" s="242">
        <v>3060000</v>
      </c>
      <c r="T16" s="249">
        <f t="shared" si="3"/>
        <v>1530000</v>
      </c>
      <c r="U16" s="250">
        <f t="shared" si="4"/>
        <v>122400</v>
      </c>
      <c r="V16" s="250">
        <f t="shared" si="5"/>
        <v>122400</v>
      </c>
      <c r="W16" s="250">
        <f t="shared" si="8"/>
        <v>367200</v>
      </c>
      <c r="X16" s="250">
        <f t="shared" si="6"/>
        <v>212975.99999999997</v>
      </c>
      <c r="Y16" s="250">
        <f t="shared" si="7"/>
        <v>122400</v>
      </c>
      <c r="Z16" s="81"/>
    </row>
    <row r="17" spans="2:26" ht="15" hidden="1" customHeight="1" thickBot="1">
      <c r="B17" s="81" t="s">
        <v>2747</v>
      </c>
      <c r="C17" s="283" t="s">
        <v>8212</v>
      </c>
      <c r="D17" s="81" t="s">
        <v>8209</v>
      </c>
      <c r="E17" s="242">
        <f>2500000+162000</f>
        <v>2662000</v>
      </c>
      <c r="F17" s="245">
        <v>4898.1481481481478</v>
      </c>
      <c r="G17" s="242">
        <f>2500000+162000</f>
        <v>2662000</v>
      </c>
      <c r="H17" s="245">
        <v>319444.44444444444</v>
      </c>
      <c r="I17" s="242">
        <f t="shared" ref="I17:L17" si="10">2500000+162000</f>
        <v>2662000</v>
      </c>
      <c r="J17" s="242">
        <f t="shared" si="10"/>
        <v>2662000</v>
      </c>
      <c r="K17" s="242">
        <f t="shared" si="10"/>
        <v>2662000</v>
      </c>
      <c r="L17" s="242">
        <f t="shared" si="10"/>
        <v>2662000</v>
      </c>
      <c r="M17" s="244">
        <f t="shared" si="2"/>
        <v>1331000</v>
      </c>
      <c r="N17" s="242">
        <f t="shared" ref="N17:S17" si="11">2500000+162000</f>
        <v>2662000</v>
      </c>
      <c r="O17" s="242">
        <f t="shared" si="11"/>
        <v>2662000</v>
      </c>
      <c r="P17" s="242">
        <f t="shared" si="11"/>
        <v>2662000</v>
      </c>
      <c r="Q17" s="242">
        <f t="shared" si="11"/>
        <v>2662000</v>
      </c>
      <c r="R17" s="242">
        <f t="shared" si="11"/>
        <v>2662000</v>
      </c>
      <c r="S17" s="242">
        <f t="shared" si="11"/>
        <v>2662000</v>
      </c>
      <c r="T17" s="249">
        <f t="shared" si="3"/>
        <v>1331000</v>
      </c>
      <c r="U17" s="250">
        <f t="shared" si="4"/>
        <v>106480</v>
      </c>
      <c r="V17" s="250">
        <f t="shared" si="5"/>
        <v>106480</v>
      </c>
      <c r="W17" s="250">
        <f t="shared" si="8"/>
        <v>319440</v>
      </c>
      <c r="X17" s="250">
        <f t="shared" si="6"/>
        <v>185275.19999999998</v>
      </c>
      <c r="Y17" s="250">
        <f t="shared" si="7"/>
        <v>106480</v>
      </c>
      <c r="Z17" s="81"/>
    </row>
    <row r="18" spans="2:26" ht="15" hidden="1" customHeight="1" thickBot="1">
      <c r="B18" s="423" t="s">
        <v>83</v>
      </c>
      <c r="C18" s="371" t="s">
        <v>8212</v>
      </c>
      <c r="D18" s="81" t="s">
        <v>8209</v>
      </c>
      <c r="E18" s="242">
        <v>2000000</v>
      </c>
      <c r="F18" s="245">
        <f>+F17</f>
        <v>4898.1481481481478</v>
      </c>
      <c r="G18" s="424">
        <f>+E18</f>
        <v>2000000</v>
      </c>
      <c r="H18" s="245">
        <f>+H17</f>
        <v>319444.44444444444</v>
      </c>
      <c r="I18" s="242">
        <f>+G18</f>
        <v>2000000</v>
      </c>
      <c r="J18" s="242">
        <f>+I18</f>
        <v>2000000</v>
      </c>
      <c r="K18" s="242">
        <f>+J18</f>
        <v>2000000</v>
      </c>
      <c r="L18" s="242">
        <f>+K18</f>
        <v>2000000</v>
      </c>
      <c r="M18" s="244">
        <f t="shared" si="2"/>
        <v>1000000</v>
      </c>
      <c r="N18" s="242">
        <f>+L18</f>
        <v>2000000</v>
      </c>
      <c r="O18" s="242">
        <f>+N18</f>
        <v>2000000</v>
      </c>
      <c r="P18" s="242">
        <f>+O18</f>
        <v>2000000</v>
      </c>
      <c r="Q18" s="242">
        <f>+P18</f>
        <v>2000000</v>
      </c>
      <c r="R18" s="242">
        <f>+Q18</f>
        <v>2000000</v>
      </c>
      <c r="S18" s="242">
        <f>+R18</f>
        <v>2000000</v>
      </c>
      <c r="T18" s="249">
        <f t="shared" si="3"/>
        <v>1000000</v>
      </c>
      <c r="U18" s="250">
        <f t="shared" si="4"/>
        <v>80000</v>
      </c>
      <c r="V18" s="250">
        <f t="shared" si="5"/>
        <v>80000</v>
      </c>
      <c r="W18" s="250">
        <f t="shared" si="8"/>
        <v>240000</v>
      </c>
      <c r="X18" s="250">
        <f t="shared" si="6"/>
        <v>139200</v>
      </c>
      <c r="Y18" s="250">
        <f t="shared" si="7"/>
        <v>80000</v>
      </c>
      <c r="Z18" s="81"/>
    </row>
    <row r="19" spans="2:26" ht="15" hidden="1" customHeight="1" thickBot="1">
      <c r="B19" s="81" t="s">
        <v>2745</v>
      </c>
      <c r="C19" s="421" t="s">
        <v>8213</v>
      </c>
      <c r="D19" s="81" t="s">
        <v>8209</v>
      </c>
      <c r="E19" s="242">
        <v>3060000</v>
      </c>
      <c r="F19" s="245">
        <v>218171.29027777773</v>
      </c>
      <c r="G19" s="242">
        <v>3060000</v>
      </c>
      <c r="H19" s="245">
        <v>2013888.8333333333</v>
      </c>
      <c r="I19" s="242">
        <v>3060000</v>
      </c>
      <c r="J19" s="242">
        <v>3060000</v>
      </c>
      <c r="K19" s="242">
        <v>3060000</v>
      </c>
      <c r="L19" s="242">
        <v>3060000</v>
      </c>
      <c r="M19" s="244">
        <f t="shared" si="2"/>
        <v>1530000</v>
      </c>
      <c r="N19" s="242">
        <v>3060000</v>
      </c>
      <c r="O19" s="242">
        <v>3060000</v>
      </c>
      <c r="P19" s="242">
        <v>3060000</v>
      </c>
      <c r="Q19" s="242">
        <v>3060000</v>
      </c>
      <c r="R19" s="242">
        <v>3060000</v>
      </c>
      <c r="S19" s="242">
        <v>3060000</v>
      </c>
      <c r="T19" s="249">
        <f t="shared" si="3"/>
        <v>1530000</v>
      </c>
      <c r="U19" s="250">
        <f t="shared" si="4"/>
        <v>122400</v>
      </c>
      <c r="V19" s="250">
        <f t="shared" si="5"/>
        <v>122400</v>
      </c>
      <c r="W19" s="250">
        <f t="shared" si="8"/>
        <v>367200</v>
      </c>
      <c r="X19" s="250">
        <f t="shared" si="6"/>
        <v>212975.99999999997</v>
      </c>
      <c r="Y19" s="250">
        <f t="shared" si="7"/>
        <v>122400</v>
      </c>
      <c r="Z19" s="81"/>
    </row>
    <row r="20" spans="2:26" ht="15" hidden="1" customHeight="1" thickBot="1">
      <c r="B20" s="81" t="s">
        <v>2738</v>
      </c>
      <c r="C20" t="s">
        <v>8214</v>
      </c>
      <c r="D20" s="81" t="s">
        <v>8209</v>
      </c>
      <c r="E20" s="242">
        <f>1740000+162000</f>
        <v>1902000</v>
      </c>
      <c r="F20" s="245">
        <v>155604.03666666665</v>
      </c>
      <c r="G20" s="242">
        <f>1740000+162000</f>
        <v>1902000</v>
      </c>
      <c r="H20" s="245">
        <v>1296700.3055555555</v>
      </c>
      <c r="I20" s="242">
        <f>1740000+162000</f>
        <v>1902000</v>
      </c>
      <c r="J20" s="242">
        <f>1740000+162000</f>
        <v>1902000</v>
      </c>
      <c r="K20" s="242">
        <f>1740000+162000</f>
        <v>1902000</v>
      </c>
      <c r="L20" s="242">
        <f>1740000+162000</f>
        <v>1902000</v>
      </c>
      <c r="M20" s="244">
        <f t="shared" si="2"/>
        <v>951000</v>
      </c>
      <c r="N20" s="242">
        <f t="shared" ref="N20:S20" si="12">1740000+162000</f>
        <v>1902000</v>
      </c>
      <c r="O20" s="242">
        <f t="shared" si="12"/>
        <v>1902000</v>
      </c>
      <c r="P20" s="242">
        <f t="shared" si="12"/>
        <v>1902000</v>
      </c>
      <c r="Q20" s="242">
        <f t="shared" si="12"/>
        <v>1902000</v>
      </c>
      <c r="R20" s="242">
        <f t="shared" si="12"/>
        <v>1902000</v>
      </c>
      <c r="S20" s="242">
        <f t="shared" si="12"/>
        <v>1902000</v>
      </c>
      <c r="T20" s="249">
        <f t="shared" si="3"/>
        <v>951000</v>
      </c>
      <c r="U20" s="250">
        <f t="shared" si="4"/>
        <v>76080</v>
      </c>
      <c r="V20" s="250">
        <f t="shared" si="5"/>
        <v>76080</v>
      </c>
      <c r="W20" s="250">
        <f t="shared" si="8"/>
        <v>228240</v>
      </c>
      <c r="X20" s="250">
        <f t="shared" si="6"/>
        <v>132379.19999999998</v>
      </c>
      <c r="Y20" s="250">
        <f t="shared" si="7"/>
        <v>76080</v>
      </c>
      <c r="Z20" s="81"/>
    </row>
    <row r="21" spans="2:26" ht="15" hidden="1" customHeight="1" thickBot="1">
      <c r="B21" s="81" t="s">
        <v>2729</v>
      </c>
      <c r="C21" s="283" t="s">
        <v>8215</v>
      </c>
      <c r="D21" s="81" t="s">
        <v>147</v>
      </c>
      <c r="E21" s="242">
        <f>2495000+162000</f>
        <v>2657000</v>
      </c>
      <c r="F21" s="245">
        <v>250878.29574468083</v>
      </c>
      <c r="G21" s="242">
        <f>2495000+162000</f>
        <v>2657000</v>
      </c>
      <c r="H21" s="245">
        <v>2090652.4645390071</v>
      </c>
      <c r="I21" s="242">
        <f>2495000+162000</f>
        <v>2657000</v>
      </c>
      <c r="J21" s="242">
        <f>2495000+162000</f>
        <v>2657000</v>
      </c>
      <c r="K21" s="242">
        <f>2495000+162000</f>
        <v>2657000</v>
      </c>
      <c r="L21" s="242">
        <f>2495000+162000</f>
        <v>2657000</v>
      </c>
      <c r="M21" s="244">
        <f t="shared" si="2"/>
        <v>1328500</v>
      </c>
      <c r="N21" s="242">
        <f t="shared" ref="N21:S21" si="13">2495000+162000</f>
        <v>2657000</v>
      </c>
      <c r="O21" s="242">
        <f t="shared" si="13"/>
        <v>2657000</v>
      </c>
      <c r="P21" s="242">
        <f t="shared" si="13"/>
        <v>2657000</v>
      </c>
      <c r="Q21" s="242">
        <f t="shared" si="13"/>
        <v>2657000</v>
      </c>
      <c r="R21" s="242">
        <f t="shared" si="13"/>
        <v>2657000</v>
      </c>
      <c r="S21" s="242">
        <f t="shared" si="13"/>
        <v>2657000</v>
      </c>
      <c r="T21" s="249">
        <f t="shared" si="3"/>
        <v>1328500</v>
      </c>
      <c r="U21" s="250">
        <f t="shared" si="4"/>
        <v>106280</v>
      </c>
      <c r="V21" s="250">
        <f t="shared" si="5"/>
        <v>106280</v>
      </c>
      <c r="W21" s="250">
        <f t="shared" si="8"/>
        <v>318840</v>
      </c>
      <c r="X21" s="250">
        <f t="shared" si="6"/>
        <v>184927.19999999998</v>
      </c>
      <c r="Y21" s="250">
        <f t="shared" si="7"/>
        <v>106280</v>
      </c>
      <c r="Z21" s="81"/>
    </row>
    <row r="22" spans="2:26" ht="15" hidden="1" customHeight="1" thickBot="1">
      <c r="B22" s="81" t="s">
        <v>8216</v>
      </c>
      <c r="C22" s="283" t="s">
        <v>8215</v>
      </c>
      <c r="D22" s="81" t="s">
        <v>147</v>
      </c>
      <c r="E22" s="242">
        <f>2081000+162000</f>
        <v>2243000</v>
      </c>
      <c r="F22" s="245">
        <v>249299.83</v>
      </c>
      <c r="G22" s="242">
        <f>2081000+162000</f>
        <v>2243000</v>
      </c>
      <c r="H22" s="245">
        <v>2077498.5833333333</v>
      </c>
      <c r="I22" s="242">
        <f>2081000+162000</f>
        <v>2243000</v>
      </c>
      <c r="J22" s="242">
        <f>2081000+162000</f>
        <v>2243000</v>
      </c>
      <c r="K22" s="242">
        <f>2081000+162000</f>
        <v>2243000</v>
      </c>
      <c r="L22" s="242">
        <f>2081000+162000</f>
        <v>2243000</v>
      </c>
      <c r="M22" s="244">
        <f t="shared" si="2"/>
        <v>1121500</v>
      </c>
      <c r="N22" s="242">
        <f t="shared" ref="N22:S22" si="14">2081000+162000</f>
        <v>2243000</v>
      </c>
      <c r="O22" s="242">
        <f t="shared" si="14"/>
        <v>2243000</v>
      </c>
      <c r="P22" s="242">
        <f t="shared" si="14"/>
        <v>2243000</v>
      </c>
      <c r="Q22" s="242">
        <f t="shared" si="14"/>
        <v>2243000</v>
      </c>
      <c r="R22" s="242">
        <f t="shared" si="14"/>
        <v>2243000</v>
      </c>
      <c r="S22" s="242">
        <f t="shared" si="14"/>
        <v>2243000</v>
      </c>
      <c r="T22" s="249">
        <f t="shared" si="3"/>
        <v>1121500</v>
      </c>
      <c r="U22" s="250">
        <f t="shared" si="4"/>
        <v>89720</v>
      </c>
      <c r="V22" s="250">
        <f t="shared" si="5"/>
        <v>89720</v>
      </c>
      <c r="W22" s="250">
        <f t="shared" si="8"/>
        <v>269160</v>
      </c>
      <c r="X22" s="250">
        <f t="shared" si="6"/>
        <v>156112.79999999999</v>
      </c>
      <c r="Y22" s="250">
        <f t="shared" si="7"/>
        <v>89720</v>
      </c>
      <c r="Z22" s="81"/>
    </row>
    <row r="23" spans="2:26" ht="15" hidden="1" customHeight="1" thickBot="1">
      <c r="B23" s="81" t="s">
        <v>2739</v>
      </c>
      <c r="C23" s="283" t="s">
        <v>8217</v>
      </c>
      <c r="D23" s="81" t="s">
        <v>147</v>
      </c>
      <c r="E23" s="242">
        <f>1469000+162000</f>
        <v>1631000</v>
      </c>
      <c r="F23" s="245">
        <v>169933.35449999999</v>
      </c>
      <c r="G23" s="242">
        <f>1469000+162000</f>
        <v>1631000</v>
      </c>
      <c r="H23" s="245">
        <v>1452421.8333333333</v>
      </c>
      <c r="I23" s="242">
        <f>1469000+162000</f>
        <v>1631000</v>
      </c>
      <c r="J23" s="242">
        <f>1469000+162000</f>
        <v>1631000</v>
      </c>
      <c r="K23" s="242">
        <f>1469000+162000</f>
        <v>1631000</v>
      </c>
      <c r="L23" s="242">
        <f>1469000+162000</f>
        <v>1631000</v>
      </c>
      <c r="M23" s="244">
        <f t="shared" si="2"/>
        <v>815500</v>
      </c>
      <c r="N23" s="242">
        <f t="shared" ref="N23:S23" si="15">1469000+162000</f>
        <v>1631000</v>
      </c>
      <c r="O23" s="242">
        <f t="shared" si="15"/>
        <v>1631000</v>
      </c>
      <c r="P23" s="242">
        <f t="shared" si="15"/>
        <v>1631000</v>
      </c>
      <c r="Q23" s="242">
        <f t="shared" si="15"/>
        <v>1631000</v>
      </c>
      <c r="R23" s="242">
        <f t="shared" si="15"/>
        <v>1631000</v>
      </c>
      <c r="S23" s="242">
        <f t="shared" si="15"/>
        <v>1631000</v>
      </c>
      <c r="T23" s="249">
        <f t="shared" si="3"/>
        <v>815500</v>
      </c>
      <c r="U23" s="250">
        <f t="shared" si="4"/>
        <v>65240</v>
      </c>
      <c r="V23" s="250">
        <f t="shared" si="5"/>
        <v>65240</v>
      </c>
      <c r="W23" s="250">
        <f t="shared" si="8"/>
        <v>195720</v>
      </c>
      <c r="X23" s="250">
        <f t="shared" si="6"/>
        <v>113517.59999999999</v>
      </c>
      <c r="Y23" s="250">
        <f t="shared" si="7"/>
        <v>65240</v>
      </c>
      <c r="Z23" s="81"/>
    </row>
    <row r="24" spans="2:26" ht="15" hidden="1" customHeight="1" thickBot="1">
      <c r="B24" s="81" t="s">
        <v>2741</v>
      </c>
      <c r="C24" s="283" t="s">
        <v>8218</v>
      </c>
      <c r="D24" s="81" t="s">
        <v>147</v>
      </c>
      <c r="E24" s="242">
        <f>1344000+162000</f>
        <v>1506000</v>
      </c>
      <c r="F24" s="245">
        <v>176919.01666666669</v>
      </c>
      <c r="G24" s="242">
        <f>1344000+162000</f>
        <v>1506000</v>
      </c>
      <c r="H24" s="245">
        <v>1474325.138888889</v>
      </c>
      <c r="I24" s="242">
        <f>1344000+162000</f>
        <v>1506000</v>
      </c>
      <c r="J24" s="242">
        <f>1344000+162000</f>
        <v>1506000</v>
      </c>
      <c r="K24" s="242">
        <f>1344000+162000</f>
        <v>1506000</v>
      </c>
      <c r="L24" s="242">
        <f>1344000+162000</f>
        <v>1506000</v>
      </c>
      <c r="M24" s="244">
        <f t="shared" si="2"/>
        <v>753000</v>
      </c>
      <c r="N24" s="242">
        <f t="shared" ref="N24:S24" si="16">1344000+162000</f>
        <v>1506000</v>
      </c>
      <c r="O24" s="242">
        <f t="shared" si="16"/>
        <v>1506000</v>
      </c>
      <c r="P24" s="242">
        <f t="shared" si="16"/>
        <v>1506000</v>
      </c>
      <c r="Q24" s="242">
        <f t="shared" si="16"/>
        <v>1506000</v>
      </c>
      <c r="R24" s="242">
        <f t="shared" si="16"/>
        <v>1506000</v>
      </c>
      <c r="S24" s="242">
        <f t="shared" si="16"/>
        <v>1506000</v>
      </c>
      <c r="T24" s="249">
        <f t="shared" si="3"/>
        <v>753000</v>
      </c>
      <c r="U24" s="250">
        <f t="shared" si="4"/>
        <v>60240</v>
      </c>
      <c r="V24" s="250">
        <f t="shared" si="5"/>
        <v>60240</v>
      </c>
      <c r="W24" s="250">
        <f t="shared" si="8"/>
        <v>180720</v>
      </c>
      <c r="X24" s="250">
        <f t="shared" si="6"/>
        <v>104817.59999999999</v>
      </c>
      <c r="Y24" s="250">
        <f t="shared" si="7"/>
        <v>60240</v>
      </c>
      <c r="Z24" s="81"/>
    </row>
    <row r="25" spans="2:26" ht="15" hidden="1" customHeight="1" thickBot="1">
      <c r="B25" s="81" t="s">
        <v>2731</v>
      </c>
      <c r="C25" s="283" t="s">
        <v>8218</v>
      </c>
      <c r="D25" s="81" t="s">
        <v>147</v>
      </c>
      <c r="E25" s="242">
        <f>1469000+162000</f>
        <v>1631000</v>
      </c>
      <c r="F25" s="245">
        <v>179707.95</v>
      </c>
      <c r="G25" s="242">
        <f>1469000+162000</f>
        <v>1631000</v>
      </c>
      <c r="H25" s="245">
        <v>1497566.25</v>
      </c>
      <c r="I25" s="242">
        <f>1469000+162000</f>
        <v>1631000</v>
      </c>
      <c r="J25" s="242">
        <f>1469000+162000</f>
        <v>1631000</v>
      </c>
      <c r="K25" s="242">
        <f>1469000+162000</f>
        <v>1631000</v>
      </c>
      <c r="L25" s="242">
        <f>1469000+162000</f>
        <v>1631000</v>
      </c>
      <c r="M25" s="244">
        <f t="shared" si="2"/>
        <v>815500</v>
      </c>
      <c r="N25" s="242">
        <f t="shared" ref="N25:S25" si="17">1469000+162000</f>
        <v>1631000</v>
      </c>
      <c r="O25" s="242">
        <f t="shared" si="17"/>
        <v>1631000</v>
      </c>
      <c r="P25" s="242">
        <f t="shared" si="17"/>
        <v>1631000</v>
      </c>
      <c r="Q25" s="242">
        <f t="shared" si="17"/>
        <v>1631000</v>
      </c>
      <c r="R25" s="242">
        <f t="shared" si="17"/>
        <v>1631000</v>
      </c>
      <c r="S25" s="242">
        <f t="shared" si="17"/>
        <v>1631000</v>
      </c>
      <c r="T25" s="249">
        <f t="shared" si="3"/>
        <v>815500</v>
      </c>
      <c r="U25" s="250">
        <f t="shared" si="4"/>
        <v>65240</v>
      </c>
      <c r="V25" s="250">
        <f t="shared" si="5"/>
        <v>65240</v>
      </c>
      <c r="W25" s="250">
        <f t="shared" si="8"/>
        <v>195720</v>
      </c>
      <c r="X25" s="250">
        <f t="shared" si="6"/>
        <v>113517.59999999999</v>
      </c>
      <c r="Y25" s="250">
        <f t="shared" si="7"/>
        <v>65240</v>
      </c>
      <c r="Z25" s="81"/>
    </row>
    <row r="26" spans="2:26" ht="15" hidden="1" customHeight="1" thickBot="1">
      <c r="B26" s="81" t="s">
        <v>2736</v>
      </c>
      <c r="C26" s="283" t="s">
        <v>8218</v>
      </c>
      <c r="D26" s="81" t="s">
        <v>147</v>
      </c>
      <c r="E26" s="242">
        <f>1344000+162000</f>
        <v>1506000</v>
      </c>
      <c r="F26" s="245">
        <v>178482.85</v>
      </c>
      <c r="G26" s="242">
        <f>1344000+162000</f>
        <v>1506000</v>
      </c>
      <c r="H26" s="245">
        <v>1487357.0833333333</v>
      </c>
      <c r="I26" s="242">
        <f>1344000+162000</f>
        <v>1506000</v>
      </c>
      <c r="J26" s="242">
        <f>1344000+162000</f>
        <v>1506000</v>
      </c>
      <c r="K26" s="242">
        <f>1344000+162000</f>
        <v>1506000</v>
      </c>
      <c r="L26" s="242">
        <f>1344000+162000</f>
        <v>1506000</v>
      </c>
      <c r="M26" s="244">
        <f t="shared" si="2"/>
        <v>753000</v>
      </c>
      <c r="N26" s="242">
        <f t="shared" ref="N26:S26" si="18">1344000+162000</f>
        <v>1506000</v>
      </c>
      <c r="O26" s="242">
        <f t="shared" si="18"/>
        <v>1506000</v>
      </c>
      <c r="P26" s="242">
        <f t="shared" si="18"/>
        <v>1506000</v>
      </c>
      <c r="Q26" s="242">
        <f t="shared" si="18"/>
        <v>1506000</v>
      </c>
      <c r="R26" s="242">
        <f t="shared" si="18"/>
        <v>1506000</v>
      </c>
      <c r="S26" s="242">
        <f t="shared" si="18"/>
        <v>1506000</v>
      </c>
      <c r="T26" s="249">
        <f t="shared" si="3"/>
        <v>753000</v>
      </c>
      <c r="U26" s="250">
        <f t="shared" ref="U26:U53" si="19">+E26*$U$4</f>
        <v>60240</v>
      </c>
      <c r="V26" s="250">
        <f t="shared" ref="V26:V53" si="20">+E26*$V$4</f>
        <v>60240</v>
      </c>
      <c r="W26" s="250">
        <f t="shared" ref="W26:W53" si="21">+E26*$W$4</f>
        <v>180720</v>
      </c>
      <c r="X26" s="250">
        <f t="shared" ref="X26:X53" si="22">+E26*$X$4</f>
        <v>104817.59999999999</v>
      </c>
      <c r="Y26" s="250">
        <f t="shared" ref="Y26:Y53" si="23">+E26*$Y$4</f>
        <v>60240</v>
      </c>
      <c r="Z26" s="81"/>
    </row>
    <row r="27" spans="2:26" ht="15" hidden="1" customHeight="1" thickBot="1">
      <c r="B27" s="81" t="s">
        <v>2737</v>
      </c>
      <c r="C27" s="283" t="s">
        <v>8218</v>
      </c>
      <c r="D27" s="81" t="s">
        <v>147</v>
      </c>
      <c r="E27" s="242">
        <f t="shared" ref="E27:E51" si="24">1300000+162000</f>
        <v>1462000</v>
      </c>
      <c r="F27" s="245">
        <v>155335.29</v>
      </c>
      <c r="G27" s="242">
        <f t="shared" ref="G27:G51" si="25">1300000+162000</f>
        <v>1462000</v>
      </c>
      <c r="H27" s="245">
        <v>1294460.75</v>
      </c>
      <c r="I27" s="242">
        <f t="shared" ref="I27:L51" si="26">1300000+162000</f>
        <v>1462000</v>
      </c>
      <c r="J27" s="242">
        <f t="shared" si="26"/>
        <v>1462000</v>
      </c>
      <c r="K27" s="242">
        <f t="shared" si="26"/>
        <v>1462000</v>
      </c>
      <c r="L27" s="242">
        <f t="shared" si="26"/>
        <v>1462000</v>
      </c>
      <c r="M27" s="244">
        <f t="shared" si="2"/>
        <v>731000</v>
      </c>
      <c r="N27" s="242">
        <f t="shared" ref="N27:S51" si="27">1300000+162000</f>
        <v>1462000</v>
      </c>
      <c r="O27" s="242">
        <f t="shared" si="27"/>
        <v>1462000</v>
      </c>
      <c r="P27" s="242">
        <f t="shared" si="27"/>
        <v>1462000</v>
      </c>
      <c r="Q27" s="242">
        <f t="shared" si="27"/>
        <v>1462000</v>
      </c>
      <c r="R27" s="242">
        <f t="shared" si="27"/>
        <v>1462000</v>
      </c>
      <c r="S27" s="242">
        <f t="shared" si="27"/>
        <v>1462000</v>
      </c>
      <c r="T27" s="249">
        <f t="shared" si="3"/>
        <v>731000</v>
      </c>
      <c r="U27" s="250">
        <f t="shared" si="19"/>
        <v>58480</v>
      </c>
      <c r="V27" s="250">
        <f t="shared" si="20"/>
        <v>58480</v>
      </c>
      <c r="W27" s="250">
        <f t="shared" si="21"/>
        <v>175440</v>
      </c>
      <c r="X27" s="250">
        <f t="shared" si="22"/>
        <v>101755.2</v>
      </c>
      <c r="Y27" s="250">
        <f t="shared" si="23"/>
        <v>58480</v>
      </c>
      <c r="Z27" s="81"/>
    </row>
    <row r="28" spans="2:26" ht="15" hidden="1" customHeight="1" thickBot="1">
      <c r="B28" s="81" t="s">
        <v>8219</v>
      </c>
      <c r="C28" s="283" t="s">
        <v>8218</v>
      </c>
      <c r="D28" s="81" t="s">
        <v>147</v>
      </c>
      <c r="E28" s="242">
        <f t="shared" si="24"/>
        <v>1462000</v>
      </c>
      <c r="F28" s="245">
        <v>143581.65899999999</v>
      </c>
      <c r="G28" s="242">
        <f t="shared" si="25"/>
        <v>1462000</v>
      </c>
      <c r="H28" s="245">
        <v>1227193.6666666667</v>
      </c>
      <c r="I28" s="242">
        <f t="shared" si="26"/>
        <v>1462000</v>
      </c>
      <c r="J28" s="242">
        <f t="shared" si="26"/>
        <v>1462000</v>
      </c>
      <c r="K28" s="242">
        <f t="shared" si="26"/>
        <v>1462000</v>
      </c>
      <c r="L28" s="242">
        <f t="shared" si="26"/>
        <v>1462000</v>
      </c>
      <c r="M28" s="244">
        <f t="shared" si="2"/>
        <v>731000</v>
      </c>
      <c r="N28" s="242">
        <f t="shared" si="27"/>
        <v>1462000</v>
      </c>
      <c r="O28" s="242">
        <f t="shared" si="27"/>
        <v>1462000</v>
      </c>
      <c r="P28" s="242">
        <f t="shared" si="27"/>
        <v>1462000</v>
      </c>
      <c r="Q28" s="242">
        <f t="shared" si="27"/>
        <v>1462000</v>
      </c>
      <c r="R28" s="242">
        <f t="shared" si="27"/>
        <v>1462000</v>
      </c>
      <c r="S28" s="242">
        <f t="shared" si="27"/>
        <v>1462000</v>
      </c>
      <c r="T28" s="249">
        <f t="shared" si="3"/>
        <v>731000</v>
      </c>
      <c r="U28" s="250">
        <f t="shared" si="19"/>
        <v>58480</v>
      </c>
      <c r="V28" s="250">
        <f t="shared" si="20"/>
        <v>58480</v>
      </c>
      <c r="W28" s="250">
        <f t="shared" si="21"/>
        <v>175440</v>
      </c>
      <c r="X28" s="250">
        <f t="shared" si="22"/>
        <v>101755.2</v>
      </c>
      <c r="Y28" s="250">
        <f t="shared" si="23"/>
        <v>58480</v>
      </c>
      <c r="Z28" s="81"/>
    </row>
    <row r="29" spans="2:26" ht="15" hidden="1" customHeight="1" thickBot="1">
      <c r="B29" s="81" t="s">
        <v>2742</v>
      </c>
      <c r="C29" s="283" t="s">
        <v>8218</v>
      </c>
      <c r="D29" s="81" t="s">
        <v>147</v>
      </c>
      <c r="E29" s="242">
        <f t="shared" si="24"/>
        <v>1462000</v>
      </c>
      <c r="F29" s="245">
        <v>142173.02835185186</v>
      </c>
      <c r="G29" s="242">
        <f t="shared" si="25"/>
        <v>1462000</v>
      </c>
      <c r="H29" s="245">
        <v>1222117.7222222222</v>
      </c>
      <c r="I29" s="242">
        <f t="shared" si="26"/>
        <v>1462000</v>
      </c>
      <c r="J29" s="242">
        <f t="shared" si="26"/>
        <v>1462000</v>
      </c>
      <c r="K29" s="242">
        <f t="shared" si="26"/>
        <v>1462000</v>
      </c>
      <c r="L29" s="242">
        <f t="shared" si="26"/>
        <v>1462000</v>
      </c>
      <c r="M29" s="244">
        <f t="shared" si="2"/>
        <v>731000</v>
      </c>
      <c r="N29" s="242">
        <f t="shared" si="27"/>
        <v>1462000</v>
      </c>
      <c r="O29" s="242">
        <f t="shared" si="27"/>
        <v>1462000</v>
      </c>
      <c r="P29" s="242">
        <f t="shared" si="27"/>
        <v>1462000</v>
      </c>
      <c r="Q29" s="242">
        <f t="shared" si="27"/>
        <v>1462000</v>
      </c>
      <c r="R29" s="242">
        <f t="shared" si="27"/>
        <v>1462000</v>
      </c>
      <c r="S29" s="242">
        <f t="shared" si="27"/>
        <v>1462000</v>
      </c>
      <c r="T29" s="249">
        <f t="shared" si="3"/>
        <v>731000</v>
      </c>
      <c r="U29" s="250">
        <f t="shared" si="19"/>
        <v>58480</v>
      </c>
      <c r="V29" s="250">
        <f t="shared" si="20"/>
        <v>58480</v>
      </c>
      <c r="W29" s="250">
        <f t="shared" si="21"/>
        <v>175440</v>
      </c>
      <c r="X29" s="250">
        <f t="shared" si="22"/>
        <v>101755.2</v>
      </c>
      <c r="Y29" s="250">
        <f t="shared" si="23"/>
        <v>58480</v>
      </c>
      <c r="Z29" s="81"/>
    </row>
    <row r="30" spans="2:26" ht="15" hidden="1" customHeight="1" thickBot="1">
      <c r="B30" s="81" t="s">
        <v>8220</v>
      </c>
      <c r="C30" s="283" t="s">
        <v>8218</v>
      </c>
      <c r="D30" s="81" t="s">
        <v>147</v>
      </c>
      <c r="E30" s="242">
        <f t="shared" si="24"/>
        <v>1462000</v>
      </c>
      <c r="F30" s="245">
        <v>145487.31599999999</v>
      </c>
      <c r="G30" s="242">
        <f t="shared" si="25"/>
        <v>1462000</v>
      </c>
      <c r="H30" s="245">
        <v>1254201</v>
      </c>
      <c r="I30" s="242">
        <f t="shared" si="26"/>
        <v>1462000</v>
      </c>
      <c r="J30" s="242">
        <f t="shared" si="26"/>
        <v>1462000</v>
      </c>
      <c r="K30" s="242">
        <f t="shared" si="26"/>
        <v>1462000</v>
      </c>
      <c r="L30" s="242">
        <f t="shared" si="26"/>
        <v>1462000</v>
      </c>
      <c r="M30" s="244">
        <f t="shared" si="2"/>
        <v>731000</v>
      </c>
      <c r="N30" s="242">
        <f t="shared" si="27"/>
        <v>1462000</v>
      </c>
      <c r="O30" s="242">
        <f t="shared" si="27"/>
        <v>1462000</v>
      </c>
      <c r="P30" s="242">
        <f t="shared" si="27"/>
        <v>1462000</v>
      </c>
      <c r="Q30" s="242">
        <f t="shared" si="27"/>
        <v>1462000</v>
      </c>
      <c r="R30" s="242">
        <f t="shared" si="27"/>
        <v>1462000</v>
      </c>
      <c r="S30" s="242">
        <f t="shared" si="27"/>
        <v>1462000</v>
      </c>
      <c r="T30" s="249">
        <f t="shared" si="3"/>
        <v>731000</v>
      </c>
      <c r="U30" s="250">
        <f t="shared" si="19"/>
        <v>58480</v>
      </c>
      <c r="V30" s="250">
        <f t="shared" si="20"/>
        <v>58480</v>
      </c>
      <c r="W30" s="250">
        <f t="shared" si="21"/>
        <v>175440</v>
      </c>
      <c r="X30" s="250">
        <f t="shared" si="22"/>
        <v>101755.2</v>
      </c>
      <c r="Y30" s="250">
        <f t="shared" si="23"/>
        <v>58480</v>
      </c>
      <c r="Z30" s="81"/>
    </row>
    <row r="31" spans="2:26" ht="15" hidden="1" customHeight="1" thickBot="1">
      <c r="B31" s="84" t="s">
        <v>8221</v>
      </c>
      <c r="C31" s="283" t="s">
        <v>8218</v>
      </c>
      <c r="D31" s="81" t="s">
        <v>147</v>
      </c>
      <c r="E31" s="242">
        <f t="shared" si="24"/>
        <v>1462000</v>
      </c>
      <c r="F31" s="245">
        <v>118876.42406453902</v>
      </c>
      <c r="G31" s="242">
        <f t="shared" si="25"/>
        <v>1462000</v>
      </c>
      <c r="H31" s="245">
        <v>1146717.9170212767</v>
      </c>
      <c r="I31" s="242">
        <f t="shared" si="26"/>
        <v>1462000</v>
      </c>
      <c r="J31" s="242">
        <f t="shared" si="26"/>
        <v>1462000</v>
      </c>
      <c r="K31" s="242">
        <f t="shared" si="26"/>
        <v>1462000</v>
      </c>
      <c r="L31" s="242">
        <f t="shared" si="26"/>
        <v>1462000</v>
      </c>
      <c r="M31" s="244">
        <f t="shared" si="2"/>
        <v>731000</v>
      </c>
      <c r="N31" s="242">
        <f t="shared" si="27"/>
        <v>1462000</v>
      </c>
      <c r="O31" s="242">
        <f t="shared" si="27"/>
        <v>1462000</v>
      </c>
      <c r="P31" s="242">
        <f t="shared" si="27"/>
        <v>1462000</v>
      </c>
      <c r="Q31" s="242">
        <f t="shared" si="27"/>
        <v>1462000</v>
      </c>
      <c r="R31" s="242">
        <f t="shared" si="27"/>
        <v>1462000</v>
      </c>
      <c r="S31" s="242">
        <f t="shared" si="27"/>
        <v>1462000</v>
      </c>
      <c r="T31" s="249">
        <f t="shared" si="3"/>
        <v>731000</v>
      </c>
      <c r="U31" s="250">
        <f t="shared" si="19"/>
        <v>58480</v>
      </c>
      <c r="V31" s="250">
        <f t="shared" si="20"/>
        <v>58480</v>
      </c>
      <c r="W31" s="250">
        <f t="shared" si="21"/>
        <v>175440</v>
      </c>
      <c r="X31" s="250">
        <f t="shared" si="22"/>
        <v>101755.2</v>
      </c>
      <c r="Y31" s="250">
        <f t="shared" si="23"/>
        <v>58480</v>
      </c>
      <c r="Z31" s="81"/>
    </row>
    <row r="32" spans="2:26" ht="15" hidden="1" customHeight="1" thickBot="1">
      <c r="B32" s="84" t="s">
        <v>2756</v>
      </c>
      <c r="C32" s="283" t="s">
        <v>8218</v>
      </c>
      <c r="D32" s="81" t="s">
        <v>147</v>
      </c>
      <c r="E32" s="242">
        <f t="shared" ref="E32:J32" si="28">+E31</f>
        <v>1462000</v>
      </c>
      <c r="F32" s="242">
        <f t="shared" si="28"/>
        <v>118876.42406453902</v>
      </c>
      <c r="G32" s="242">
        <f t="shared" si="28"/>
        <v>1462000</v>
      </c>
      <c r="H32" s="242">
        <f t="shared" si="28"/>
        <v>1146717.9170212767</v>
      </c>
      <c r="I32" s="242">
        <f t="shared" si="28"/>
        <v>1462000</v>
      </c>
      <c r="J32" s="242">
        <f t="shared" si="28"/>
        <v>1462000</v>
      </c>
      <c r="K32" s="242">
        <f>+K31</f>
        <v>1462000</v>
      </c>
      <c r="L32" s="242">
        <f>+L31</f>
        <v>1462000</v>
      </c>
      <c r="M32" s="244">
        <f>+M31</f>
        <v>731000</v>
      </c>
      <c r="N32" s="242">
        <f>+N31</f>
        <v>1462000</v>
      </c>
      <c r="O32" s="242">
        <f t="shared" ref="O32:S32" si="29">+O31</f>
        <v>1462000</v>
      </c>
      <c r="P32" s="242">
        <f t="shared" si="29"/>
        <v>1462000</v>
      </c>
      <c r="Q32" s="242">
        <f t="shared" si="29"/>
        <v>1462000</v>
      </c>
      <c r="R32" s="242">
        <f t="shared" si="29"/>
        <v>1462000</v>
      </c>
      <c r="S32" s="242">
        <f t="shared" si="29"/>
        <v>1462000</v>
      </c>
      <c r="T32" s="249">
        <f>+T31</f>
        <v>731000</v>
      </c>
      <c r="U32" s="250">
        <f t="shared" si="19"/>
        <v>58480</v>
      </c>
      <c r="V32" s="250">
        <f t="shared" si="20"/>
        <v>58480</v>
      </c>
      <c r="W32" s="250">
        <f t="shared" si="21"/>
        <v>175440</v>
      </c>
      <c r="X32" s="250">
        <f t="shared" si="22"/>
        <v>101755.2</v>
      </c>
      <c r="Y32" s="250">
        <f t="shared" si="23"/>
        <v>58480</v>
      </c>
      <c r="Z32" s="81"/>
    </row>
    <row r="33" spans="2:26" ht="15" hidden="1" customHeight="1" thickBot="1">
      <c r="B33" s="84" t="s">
        <v>2757</v>
      </c>
      <c r="C33" s="283" t="s">
        <v>8218</v>
      </c>
      <c r="D33" s="81" t="s">
        <v>147</v>
      </c>
      <c r="E33" s="242">
        <f t="shared" ref="E33:E47" si="30">+E32</f>
        <v>1462000</v>
      </c>
      <c r="F33" s="242">
        <f t="shared" ref="F33:F47" si="31">+F32</f>
        <v>118876.42406453902</v>
      </c>
      <c r="G33" s="242">
        <f t="shared" ref="G33:G47" si="32">+G32</f>
        <v>1462000</v>
      </c>
      <c r="H33" s="242">
        <f t="shared" ref="H33:H47" si="33">+H32</f>
        <v>1146717.9170212767</v>
      </c>
      <c r="I33" s="242">
        <f t="shared" ref="I33:I47" si="34">+I32</f>
        <v>1462000</v>
      </c>
      <c r="J33" s="242">
        <f t="shared" ref="J33:J47" si="35">+J32</f>
        <v>1462000</v>
      </c>
      <c r="K33" s="242">
        <f t="shared" ref="K33:L47" si="36">+K32</f>
        <v>1462000</v>
      </c>
      <c r="L33" s="242">
        <f t="shared" si="36"/>
        <v>1462000</v>
      </c>
      <c r="M33" s="244">
        <f t="shared" ref="M33:M47" si="37">+M32</f>
        <v>731000</v>
      </c>
      <c r="N33" s="242">
        <f t="shared" ref="N33:N47" si="38">+N32</f>
        <v>1462000</v>
      </c>
      <c r="O33" s="242">
        <f t="shared" ref="O33:O47" si="39">+O32</f>
        <v>1462000</v>
      </c>
      <c r="P33" s="242">
        <f t="shared" ref="P33:P47" si="40">+P32</f>
        <v>1462000</v>
      </c>
      <c r="Q33" s="242">
        <f t="shared" ref="Q33:Q47" si="41">+Q32</f>
        <v>1462000</v>
      </c>
      <c r="R33" s="242">
        <f t="shared" ref="R33:R47" si="42">+R32</f>
        <v>1462000</v>
      </c>
      <c r="S33" s="242">
        <f t="shared" ref="S33:S47" si="43">+S32</f>
        <v>1462000</v>
      </c>
      <c r="T33" s="249">
        <f t="shared" ref="T33:T47" si="44">+T32</f>
        <v>731000</v>
      </c>
      <c r="U33" s="250">
        <f t="shared" si="19"/>
        <v>58480</v>
      </c>
      <c r="V33" s="250">
        <f t="shared" si="20"/>
        <v>58480</v>
      </c>
      <c r="W33" s="250">
        <f t="shared" si="21"/>
        <v>175440</v>
      </c>
      <c r="X33" s="250">
        <f t="shared" si="22"/>
        <v>101755.2</v>
      </c>
      <c r="Y33" s="250">
        <f t="shared" si="23"/>
        <v>58480</v>
      </c>
      <c r="Z33" s="81"/>
    </row>
    <row r="34" spans="2:26" ht="15" hidden="1" customHeight="1" thickBot="1">
      <c r="B34" s="84" t="s">
        <v>2758</v>
      </c>
      <c r="C34" s="283" t="s">
        <v>8218</v>
      </c>
      <c r="D34" s="81" t="s">
        <v>147</v>
      </c>
      <c r="E34" s="242">
        <f t="shared" si="30"/>
        <v>1462000</v>
      </c>
      <c r="F34" s="242">
        <f t="shared" si="31"/>
        <v>118876.42406453902</v>
      </c>
      <c r="G34" s="242">
        <f t="shared" si="32"/>
        <v>1462000</v>
      </c>
      <c r="H34" s="242">
        <f t="shared" si="33"/>
        <v>1146717.9170212767</v>
      </c>
      <c r="I34" s="242">
        <f t="shared" si="34"/>
        <v>1462000</v>
      </c>
      <c r="J34" s="242">
        <f t="shared" si="35"/>
        <v>1462000</v>
      </c>
      <c r="K34" s="242">
        <f t="shared" si="36"/>
        <v>1462000</v>
      </c>
      <c r="L34" s="242">
        <f t="shared" si="36"/>
        <v>1462000</v>
      </c>
      <c r="M34" s="244">
        <f t="shared" si="37"/>
        <v>731000</v>
      </c>
      <c r="N34" s="242">
        <f t="shared" si="38"/>
        <v>1462000</v>
      </c>
      <c r="O34" s="242">
        <f t="shared" si="39"/>
        <v>1462000</v>
      </c>
      <c r="P34" s="242">
        <f t="shared" si="40"/>
        <v>1462000</v>
      </c>
      <c r="Q34" s="242">
        <f t="shared" si="41"/>
        <v>1462000</v>
      </c>
      <c r="R34" s="242">
        <f t="shared" si="42"/>
        <v>1462000</v>
      </c>
      <c r="S34" s="242">
        <f t="shared" si="43"/>
        <v>1462000</v>
      </c>
      <c r="T34" s="249">
        <f t="shared" si="44"/>
        <v>731000</v>
      </c>
      <c r="U34" s="250">
        <f t="shared" si="19"/>
        <v>58480</v>
      </c>
      <c r="V34" s="250">
        <f t="shared" si="20"/>
        <v>58480</v>
      </c>
      <c r="W34" s="250">
        <f t="shared" si="21"/>
        <v>175440</v>
      </c>
      <c r="X34" s="250">
        <f t="shared" si="22"/>
        <v>101755.2</v>
      </c>
      <c r="Y34" s="250">
        <f t="shared" si="23"/>
        <v>58480</v>
      </c>
      <c r="Z34" s="81"/>
    </row>
    <row r="35" spans="2:26" ht="15" hidden="1" customHeight="1" thickBot="1">
      <c r="B35" s="84" t="s">
        <v>8222</v>
      </c>
      <c r="C35" s="283" t="s">
        <v>8218</v>
      </c>
      <c r="D35" s="81" t="s">
        <v>147</v>
      </c>
      <c r="E35" s="242">
        <f t="shared" si="30"/>
        <v>1462000</v>
      </c>
      <c r="F35" s="242">
        <f t="shared" si="31"/>
        <v>118876.42406453902</v>
      </c>
      <c r="G35" s="242">
        <f t="shared" si="32"/>
        <v>1462000</v>
      </c>
      <c r="H35" s="242">
        <f t="shared" si="33"/>
        <v>1146717.9170212767</v>
      </c>
      <c r="I35" s="242">
        <f t="shared" si="34"/>
        <v>1462000</v>
      </c>
      <c r="J35" s="242">
        <f t="shared" si="35"/>
        <v>1462000</v>
      </c>
      <c r="K35" s="242">
        <f t="shared" si="36"/>
        <v>1462000</v>
      </c>
      <c r="L35" s="242">
        <f t="shared" si="36"/>
        <v>1462000</v>
      </c>
      <c r="M35" s="244">
        <f t="shared" si="37"/>
        <v>731000</v>
      </c>
      <c r="N35" s="242">
        <f t="shared" si="38"/>
        <v>1462000</v>
      </c>
      <c r="O35" s="242">
        <f t="shared" si="39"/>
        <v>1462000</v>
      </c>
      <c r="P35" s="242">
        <f t="shared" si="40"/>
        <v>1462000</v>
      </c>
      <c r="Q35" s="242">
        <f t="shared" si="41"/>
        <v>1462000</v>
      </c>
      <c r="R35" s="242">
        <f t="shared" si="42"/>
        <v>1462000</v>
      </c>
      <c r="S35" s="242">
        <f t="shared" si="43"/>
        <v>1462000</v>
      </c>
      <c r="T35" s="249">
        <f t="shared" si="44"/>
        <v>731000</v>
      </c>
      <c r="U35" s="250">
        <f t="shared" si="19"/>
        <v>58480</v>
      </c>
      <c r="V35" s="250">
        <f t="shared" si="20"/>
        <v>58480</v>
      </c>
      <c r="W35" s="250">
        <f t="shared" si="21"/>
        <v>175440</v>
      </c>
      <c r="X35" s="250">
        <f t="shared" si="22"/>
        <v>101755.2</v>
      </c>
      <c r="Y35" s="250">
        <f t="shared" si="23"/>
        <v>58480</v>
      </c>
      <c r="Z35" s="81"/>
    </row>
    <row r="36" spans="2:26" ht="15" hidden="1" customHeight="1" thickBot="1">
      <c r="B36" s="84" t="s">
        <v>8223</v>
      </c>
      <c r="C36" s="283" t="s">
        <v>8218</v>
      </c>
      <c r="D36" s="81" t="s">
        <v>147</v>
      </c>
      <c r="E36" s="242">
        <f t="shared" si="30"/>
        <v>1462000</v>
      </c>
      <c r="F36" s="242">
        <f t="shared" si="31"/>
        <v>118876.42406453902</v>
      </c>
      <c r="G36" s="242">
        <f t="shared" si="32"/>
        <v>1462000</v>
      </c>
      <c r="H36" s="242">
        <f t="shared" si="33"/>
        <v>1146717.9170212767</v>
      </c>
      <c r="I36" s="242">
        <f t="shared" si="34"/>
        <v>1462000</v>
      </c>
      <c r="J36" s="242">
        <f t="shared" si="35"/>
        <v>1462000</v>
      </c>
      <c r="K36" s="242">
        <f t="shared" si="36"/>
        <v>1462000</v>
      </c>
      <c r="L36" s="242">
        <f t="shared" si="36"/>
        <v>1462000</v>
      </c>
      <c r="M36" s="244">
        <f t="shared" si="37"/>
        <v>731000</v>
      </c>
      <c r="N36" s="242">
        <f t="shared" si="38"/>
        <v>1462000</v>
      </c>
      <c r="O36" s="242">
        <f t="shared" si="39"/>
        <v>1462000</v>
      </c>
      <c r="P36" s="242">
        <f t="shared" si="40"/>
        <v>1462000</v>
      </c>
      <c r="Q36" s="242">
        <f t="shared" si="41"/>
        <v>1462000</v>
      </c>
      <c r="R36" s="242">
        <f t="shared" si="42"/>
        <v>1462000</v>
      </c>
      <c r="S36" s="242">
        <f t="shared" si="43"/>
        <v>1462000</v>
      </c>
      <c r="T36" s="249">
        <f t="shared" si="44"/>
        <v>731000</v>
      </c>
      <c r="U36" s="250">
        <f t="shared" si="19"/>
        <v>58480</v>
      </c>
      <c r="V36" s="250">
        <f t="shared" si="20"/>
        <v>58480</v>
      </c>
      <c r="W36" s="250">
        <f t="shared" si="21"/>
        <v>175440</v>
      </c>
      <c r="X36" s="250">
        <f t="shared" si="22"/>
        <v>101755.2</v>
      </c>
      <c r="Y36" s="250">
        <f t="shared" si="23"/>
        <v>58480</v>
      </c>
      <c r="Z36" s="81"/>
    </row>
    <row r="37" spans="2:26" ht="15" hidden="1" customHeight="1" thickBot="1">
      <c r="B37" s="84" t="s">
        <v>2762</v>
      </c>
      <c r="C37" s="283" t="s">
        <v>8218</v>
      </c>
      <c r="D37" s="81" t="s">
        <v>147</v>
      </c>
      <c r="E37" s="242">
        <f t="shared" si="30"/>
        <v>1462000</v>
      </c>
      <c r="F37" s="242">
        <f t="shared" si="31"/>
        <v>118876.42406453902</v>
      </c>
      <c r="G37" s="242">
        <f t="shared" si="32"/>
        <v>1462000</v>
      </c>
      <c r="H37" s="242">
        <f t="shared" si="33"/>
        <v>1146717.9170212767</v>
      </c>
      <c r="I37" s="242">
        <f t="shared" si="34"/>
        <v>1462000</v>
      </c>
      <c r="J37" s="242">
        <f t="shared" si="35"/>
        <v>1462000</v>
      </c>
      <c r="K37" s="242">
        <f t="shared" si="36"/>
        <v>1462000</v>
      </c>
      <c r="L37" s="242">
        <f t="shared" si="36"/>
        <v>1462000</v>
      </c>
      <c r="M37" s="244">
        <f t="shared" si="37"/>
        <v>731000</v>
      </c>
      <c r="N37" s="242">
        <f t="shared" si="38"/>
        <v>1462000</v>
      </c>
      <c r="O37" s="242">
        <f t="shared" si="39"/>
        <v>1462000</v>
      </c>
      <c r="P37" s="242">
        <f t="shared" si="40"/>
        <v>1462000</v>
      </c>
      <c r="Q37" s="242">
        <f t="shared" si="41"/>
        <v>1462000</v>
      </c>
      <c r="R37" s="242">
        <f t="shared" si="42"/>
        <v>1462000</v>
      </c>
      <c r="S37" s="242">
        <f t="shared" si="43"/>
        <v>1462000</v>
      </c>
      <c r="T37" s="249">
        <f t="shared" si="44"/>
        <v>731000</v>
      </c>
      <c r="U37" s="250">
        <f t="shared" si="19"/>
        <v>58480</v>
      </c>
      <c r="V37" s="250">
        <f t="shared" si="20"/>
        <v>58480</v>
      </c>
      <c r="W37" s="250">
        <f t="shared" si="21"/>
        <v>175440</v>
      </c>
      <c r="X37" s="250">
        <f t="shared" si="22"/>
        <v>101755.2</v>
      </c>
      <c r="Y37" s="250">
        <f t="shared" si="23"/>
        <v>58480</v>
      </c>
      <c r="Z37" s="81"/>
    </row>
    <row r="38" spans="2:26" ht="15" hidden="1" customHeight="1" thickBot="1">
      <c r="B38" s="84" t="s">
        <v>2763</v>
      </c>
      <c r="C38" s="283" t="s">
        <v>8218</v>
      </c>
      <c r="D38" s="81" t="s">
        <v>147</v>
      </c>
      <c r="E38" s="242">
        <f t="shared" si="30"/>
        <v>1462000</v>
      </c>
      <c r="F38" s="242">
        <f t="shared" si="31"/>
        <v>118876.42406453902</v>
      </c>
      <c r="G38" s="242">
        <f t="shared" si="32"/>
        <v>1462000</v>
      </c>
      <c r="H38" s="242">
        <f t="shared" si="33"/>
        <v>1146717.9170212767</v>
      </c>
      <c r="I38" s="242">
        <f t="shared" si="34"/>
        <v>1462000</v>
      </c>
      <c r="J38" s="242">
        <f t="shared" si="35"/>
        <v>1462000</v>
      </c>
      <c r="K38" s="242">
        <f t="shared" si="36"/>
        <v>1462000</v>
      </c>
      <c r="L38" s="242">
        <f t="shared" si="36"/>
        <v>1462000</v>
      </c>
      <c r="M38" s="244">
        <f t="shared" si="37"/>
        <v>731000</v>
      </c>
      <c r="N38" s="242">
        <f t="shared" si="38"/>
        <v>1462000</v>
      </c>
      <c r="O38" s="242">
        <f t="shared" si="39"/>
        <v>1462000</v>
      </c>
      <c r="P38" s="242">
        <f t="shared" si="40"/>
        <v>1462000</v>
      </c>
      <c r="Q38" s="242">
        <f t="shared" si="41"/>
        <v>1462000</v>
      </c>
      <c r="R38" s="242">
        <f t="shared" si="42"/>
        <v>1462000</v>
      </c>
      <c r="S38" s="242">
        <f t="shared" si="43"/>
        <v>1462000</v>
      </c>
      <c r="T38" s="249">
        <f t="shared" si="44"/>
        <v>731000</v>
      </c>
      <c r="U38" s="250">
        <f t="shared" si="19"/>
        <v>58480</v>
      </c>
      <c r="V38" s="250">
        <f t="shared" si="20"/>
        <v>58480</v>
      </c>
      <c r="W38" s="250">
        <f t="shared" si="21"/>
        <v>175440</v>
      </c>
      <c r="X38" s="250">
        <f t="shared" si="22"/>
        <v>101755.2</v>
      </c>
      <c r="Y38" s="250">
        <f t="shared" si="23"/>
        <v>58480</v>
      </c>
      <c r="Z38" s="81"/>
    </row>
    <row r="39" spans="2:26" ht="15" hidden="1" customHeight="1" thickBot="1">
      <c r="B39" s="84" t="s">
        <v>8224</v>
      </c>
      <c r="C39" s="283" t="s">
        <v>8218</v>
      </c>
      <c r="D39" s="81" t="s">
        <v>147</v>
      </c>
      <c r="E39" s="242">
        <f t="shared" si="30"/>
        <v>1462000</v>
      </c>
      <c r="F39" s="242">
        <f t="shared" si="31"/>
        <v>118876.42406453902</v>
      </c>
      <c r="G39" s="242">
        <f t="shared" si="32"/>
        <v>1462000</v>
      </c>
      <c r="H39" s="242">
        <f t="shared" si="33"/>
        <v>1146717.9170212767</v>
      </c>
      <c r="I39" s="242">
        <f t="shared" si="34"/>
        <v>1462000</v>
      </c>
      <c r="J39" s="242">
        <f t="shared" si="35"/>
        <v>1462000</v>
      </c>
      <c r="K39" s="242">
        <f t="shared" si="36"/>
        <v>1462000</v>
      </c>
      <c r="L39" s="242">
        <f t="shared" si="36"/>
        <v>1462000</v>
      </c>
      <c r="M39" s="244">
        <f t="shared" si="37"/>
        <v>731000</v>
      </c>
      <c r="N39" s="242">
        <f t="shared" si="38"/>
        <v>1462000</v>
      </c>
      <c r="O39" s="242">
        <f t="shared" si="39"/>
        <v>1462000</v>
      </c>
      <c r="P39" s="242">
        <f t="shared" si="40"/>
        <v>1462000</v>
      </c>
      <c r="Q39" s="242">
        <f t="shared" si="41"/>
        <v>1462000</v>
      </c>
      <c r="R39" s="242">
        <f t="shared" si="42"/>
        <v>1462000</v>
      </c>
      <c r="S39" s="242">
        <f t="shared" si="43"/>
        <v>1462000</v>
      </c>
      <c r="T39" s="249">
        <f t="shared" si="44"/>
        <v>731000</v>
      </c>
      <c r="U39" s="250">
        <f t="shared" si="19"/>
        <v>58480</v>
      </c>
      <c r="V39" s="250">
        <f t="shared" si="20"/>
        <v>58480</v>
      </c>
      <c r="W39" s="250">
        <f t="shared" si="21"/>
        <v>175440</v>
      </c>
      <c r="X39" s="250">
        <f t="shared" si="22"/>
        <v>101755.2</v>
      </c>
      <c r="Y39" s="250">
        <f t="shared" si="23"/>
        <v>58480</v>
      </c>
      <c r="Z39" s="81"/>
    </row>
    <row r="40" spans="2:26" ht="15" hidden="1" customHeight="1" thickBot="1">
      <c r="B40" s="84" t="s">
        <v>2767</v>
      </c>
      <c r="C40" s="283" t="s">
        <v>8218</v>
      </c>
      <c r="D40" s="81" t="s">
        <v>147</v>
      </c>
      <c r="E40" s="242">
        <f t="shared" si="30"/>
        <v>1462000</v>
      </c>
      <c r="F40" s="242">
        <f t="shared" si="31"/>
        <v>118876.42406453902</v>
      </c>
      <c r="G40" s="242">
        <f t="shared" si="32"/>
        <v>1462000</v>
      </c>
      <c r="H40" s="242">
        <f t="shared" si="33"/>
        <v>1146717.9170212767</v>
      </c>
      <c r="I40" s="242">
        <f t="shared" si="34"/>
        <v>1462000</v>
      </c>
      <c r="J40" s="242">
        <f t="shared" si="35"/>
        <v>1462000</v>
      </c>
      <c r="K40" s="242">
        <f t="shared" si="36"/>
        <v>1462000</v>
      </c>
      <c r="L40" s="242">
        <f t="shared" si="36"/>
        <v>1462000</v>
      </c>
      <c r="M40" s="244">
        <f t="shared" si="37"/>
        <v>731000</v>
      </c>
      <c r="N40" s="242">
        <f t="shared" si="38"/>
        <v>1462000</v>
      </c>
      <c r="O40" s="242">
        <f t="shared" si="39"/>
        <v>1462000</v>
      </c>
      <c r="P40" s="242">
        <f t="shared" si="40"/>
        <v>1462000</v>
      </c>
      <c r="Q40" s="242">
        <f t="shared" si="41"/>
        <v>1462000</v>
      </c>
      <c r="R40" s="242">
        <f t="shared" si="42"/>
        <v>1462000</v>
      </c>
      <c r="S40" s="242">
        <f t="shared" si="43"/>
        <v>1462000</v>
      </c>
      <c r="T40" s="249">
        <f t="shared" si="44"/>
        <v>731000</v>
      </c>
      <c r="U40" s="250">
        <f t="shared" si="19"/>
        <v>58480</v>
      </c>
      <c r="V40" s="250">
        <f t="shared" si="20"/>
        <v>58480</v>
      </c>
      <c r="W40" s="250">
        <f t="shared" si="21"/>
        <v>175440</v>
      </c>
      <c r="X40" s="250">
        <f t="shared" si="22"/>
        <v>101755.2</v>
      </c>
      <c r="Y40" s="250">
        <f t="shared" si="23"/>
        <v>58480</v>
      </c>
      <c r="Z40" s="81"/>
    </row>
    <row r="41" spans="2:26" ht="15" hidden="1" customHeight="1" thickBot="1">
      <c r="B41" s="84" t="s">
        <v>2768</v>
      </c>
      <c r="C41" s="283" t="s">
        <v>8218</v>
      </c>
      <c r="D41" s="81" t="s">
        <v>147</v>
      </c>
      <c r="E41" s="242">
        <f t="shared" si="30"/>
        <v>1462000</v>
      </c>
      <c r="F41" s="242">
        <f t="shared" si="31"/>
        <v>118876.42406453902</v>
      </c>
      <c r="G41" s="242">
        <f t="shared" si="32"/>
        <v>1462000</v>
      </c>
      <c r="H41" s="242">
        <f t="shared" si="33"/>
        <v>1146717.9170212767</v>
      </c>
      <c r="I41" s="242">
        <f t="shared" si="34"/>
        <v>1462000</v>
      </c>
      <c r="J41" s="242">
        <f t="shared" si="35"/>
        <v>1462000</v>
      </c>
      <c r="K41" s="242">
        <f t="shared" si="36"/>
        <v>1462000</v>
      </c>
      <c r="L41" s="242">
        <f t="shared" si="36"/>
        <v>1462000</v>
      </c>
      <c r="M41" s="244">
        <f t="shared" si="37"/>
        <v>731000</v>
      </c>
      <c r="N41" s="242">
        <f t="shared" si="38"/>
        <v>1462000</v>
      </c>
      <c r="O41" s="242">
        <f t="shared" si="39"/>
        <v>1462000</v>
      </c>
      <c r="P41" s="242">
        <f t="shared" si="40"/>
        <v>1462000</v>
      </c>
      <c r="Q41" s="242">
        <f t="shared" si="41"/>
        <v>1462000</v>
      </c>
      <c r="R41" s="242">
        <f t="shared" si="42"/>
        <v>1462000</v>
      </c>
      <c r="S41" s="242">
        <f t="shared" si="43"/>
        <v>1462000</v>
      </c>
      <c r="T41" s="249">
        <f t="shared" si="44"/>
        <v>731000</v>
      </c>
      <c r="U41" s="250">
        <f t="shared" si="19"/>
        <v>58480</v>
      </c>
      <c r="V41" s="250">
        <f t="shared" si="20"/>
        <v>58480</v>
      </c>
      <c r="W41" s="250">
        <f t="shared" si="21"/>
        <v>175440</v>
      </c>
      <c r="X41" s="250">
        <f t="shared" si="22"/>
        <v>101755.2</v>
      </c>
      <c r="Y41" s="250">
        <f t="shared" si="23"/>
        <v>58480</v>
      </c>
      <c r="Z41" s="81"/>
    </row>
    <row r="42" spans="2:26" ht="15" hidden="1" customHeight="1" thickBot="1">
      <c r="B42" s="84" t="s">
        <v>8225</v>
      </c>
      <c r="C42" s="283" t="s">
        <v>8218</v>
      </c>
      <c r="D42" s="81" t="s">
        <v>147</v>
      </c>
      <c r="E42" s="242">
        <f t="shared" si="30"/>
        <v>1462000</v>
      </c>
      <c r="F42" s="242">
        <f t="shared" si="31"/>
        <v>118876.42406453902</v>
      </c>
      <c r="G42" s="242">
        <f t="shared" si="32"/>
        <v>1462000</v>
      </c>
      <c r="H42" s="242">
        <f t="shared" si="33"/>
        <v>1146717.9170212767</v>
      </c>
      <c r="I42" s="242">
        <f t="shared" si="34"/>
        <v>1462000</v>
      </c>
      <c r="J42" s="242">
        <f t="shared" si="35"/>
        <v>1462000</v>
      </c>
      <c r="K42" s="242">
        <f t="shared" si="36"/>
        <v>1462000</v>
      </c>
      <c r="L42" s="242">
        <f t="shared" si="36"/>
        <v>1462000</v>
      </c>
      <c r="M42" s="244">
        <f t="shared" si="37"/>
        <v>731000</v>
      </c>
      <c r="N42" s="242">
        <f t="shared" si="38"/>
        <v>1462000</v>
      </c>
      <c r="O42" s="242">
        <f t="shared" si="39"/>
        <v>1462000</v>
      </c>
      <c r="P42" s="242">
        <f t="shared" si="40"/>
        <v>1462000</v>
      </c>
      <c r="Q42" s="242">
        <f t="shared" si="41"/>
        <v>1462000</v>
      </c>
      <c r="R42" s="242">
        <f t="shared" si="42"/>
        <v>1462000</v>
      </c>
      <c r="S42" s="242">
        <f t="shared" si="43"/>
        <v>1462000</v>
      </c>
      <c r="T42" s="249">
        <f t="shared" si="44"/>
        <v>731000</v>
      </c>
      <c r="U42" s="250">
        <f t="shared" si="19"/>
        <v>58480</v>
      </c>
      <c r="V42" s="250">
        <f t="shared" si="20"/>
        <v>58480</v>
      </c>
      <c r="W42" s="250">
        <f t="shared" si="21"/>
        <v>175440</v>
      </c>
      <c r="X42" s="250">
        <f t="shared" si="22"/>
        <v>101755.2</v>
      </c>
      <c r="Y42" s="250">
        <f t="shared" si="23"/>
        <v>58480</v>
      </c>
      <c r="Z42" s="81"/>
    </row>
    <row r="43" spans="2:26" ht="15" hidden="1" customHeight="1" thickBot="1">
      <c r="B43" s="84" t="s">
        <v>2769</v>
      </c>
      <c r="C43" s="422" t="s">
        <v>8215</v>
      </c>
      <c r="D43" s="84" t="s">
        <v>147</v>
      </c>
      <c r="E43" s="242">
        <v>2081000</v>
      </c>
      <c r="F43" s="242">
        <f>+F42*E43/E42</f>
        <v>169207.82385657023</v>
      </c>
      <c r="G43" s="242">
        <f>+G42*F43/F42</f>
        <v>2081000</v>
      </c>
      <c r="H43" s="242">
        <f>+E43</f>
        <v>2081000</v>
      </c>
      <c r="I43" s="242">
        <f>+H43</f>
        <v>2081000</v>
      </c>
      <c r="J43" s="242">
        <f>+I43</f>
        <v>2081000</v>
      </c>
      <c r="K43" s="242">
        <f t="shared" ref="K43:L43" si="45">+J43</f>
        <v>2081000</v>
      </c>
      <c r="L43" s="242">
        <f t="shared" si="45"/>
        <v>2081000</v>
      </c>
      <c r="M43" s="244">
        <f>+L43/2</f>
        <v>1040500</v>
      </c>
      <c r="N43" s="242">
        <f>+L43</f>
        <v>2081000</v>
      </c>
      <c r="O43" s="242">
        <f>+N43</f>
        <v>2081000</v>
      </c>
      <c r="P43" s="242">
        <f t="shared" ref="P43:S43" si="46">+O43</f>
        <v>2081000</v>
      </c>
      <c r="Q43" s="242">
        <f t="shared" si="46"/>
        <v>2081000</v>
      </c>
      <c r="R43" s="242">
        <f t="shared" si="46"/>
        <v>2081000</v>
      </c>
      <c r="S43" s="242">
        <f t="shared" si="46"/>
        <v>2081000</v>
      </c>
      <c r="T43" s="249">
        <f>+S43/2</f>
        <v>1040500</v>
      </c>
      <c r="U43" s="250">
        <f t="shared" si="19"/>
        <v>83240</v>
      </c>
      <c r="V43" s="250">
        <f t="shared" si="20"/>
        <v>83240</v>
      </c>
      <c r="W43" s="250">
        <f t="shared" si="21"/>
        <v>249720</v>
      </c>
      <c r="X43" s="250">
        <f t="shared" si="22"/>
        <v>144837.59999999998</v>
      </c>
      <c r="Y43" s="250">
        <f t="shared" si="23"/>
        <v>83240</v>
      </c>
      <c r="Z43" s="81"/>
    </row>
    <row r="44" spans="2:26" ht="15" hidden="1" customHeight="1" thickBot="1">
      <c r="B44" s="84" t="s">
        <v>2770</v>
      </c>
      <c r="C44" s="283" t="s">
        <v>8218</v>
      </c>
      <c r="D44" s="81" t="s">
        <v>147</v>
      </c>
      <c r="E44" s="242">
        <f>+E42</f>
        <v>1462000</v>
      </c>
      <c r="F44" s="242">
        <f>+F42</f>
        <v>118876.42406453902</v>
      </c>
      <c r="G44" s="242">
        <f>+G42</f>
        <v>1462000</v>
      </c>
      <c r="H44" s="242">
        <f t="shared" ref="H44:L44" si="47">+H42</f>
        <v>1146717.9170212767</v>
      </c>
      <c r="I44" s="242">
        <f t="shared" si="47"/>
        <v>1462000</v>
      </c>
      <c r="J44" s="242">
        <f t="shared" si="47"/>
        <v>1462000</v>
      </c>
      <c r="K44" s="242">
        <f t="shared" si="47"/>
        <v>1462000</v>
      </c>
      <c r="L44" s="242">
        <f t="shared" si="47"/>
        <v>1462000</v>
      </c>
      <c r="M44" s="244">
        <f>+L44/2</f>
        <v>731000</v>
      </c>
      <c r="N44" s="242">
        <f>+N42</f>
        <v>1462000</v>
      </c>
      <c r="O44" s="242">
        <f t="shared" ref="O44:S44" si="48">+O42</f>
        <v>1462000</v>
      </c>
      <c r="P44" s="242">
        <f t="shared" si="48"/>
        <v>1462000</v>
      </c>
      <c r="Q44" s="242">
        <f t="shared" si="48"/>
        <v>1462000</v>
      </c>
      <c r="R44" s="242">
        <f t="shared" si="48"/>
        <v>1462000</v>
      </c>
      <c r="S44" s="242">
        <f t="shared" si="48"/>
        <v>1462000</v>
      </c>
      <c r="T44" s="249">
        <f>+T42</f>
        <v>731000</v>
      </c>
      <c r="U44" s="250">
        <f t="shared" si="19"/>
        <v>58480</v>
      </c>
      <c r="V44" s="250">
        <f t="shared" si="20"/>
        <v>58480</v>
      </c>
      <c r="W44" s="250">
        <f t="shared" si="21"/>
        <v>175440</v>
      </c>
      <c r="X44" s="250">
        <f t="shared" si="22"/>
        <v>101755.2</v>
      </c>
      <c r="Y44" s="250">
        <f t="shared" si="23"/>
        <v>58480</v>
      </c>
      <c r="Z44" s="81"/>
    </row>
    <row r="45" spans="2:26" ht="15" hidden="1" customHeight="1" thickBot="1">
      <c r="B45" s="84" t="s">
        <v>2771</v>
      </c>
      <c r="C45" s="283" t="s">
        <v>8218</v>
      </c>
      <c r="D45" s="81" t="s">
        <v>147</v>
      </c>
      <c r="E45" s="242">
        <f t="shared" si="30"/>
        <v>1462000</v>
      </c>
      <c r="F45" s="242">
        <f t="shared" si="31"/>
        <v>118876.42406453902</v>
      </c>
      <c r="G45" s="242">
        <f t="shared" si="32"/>
        <v>1462000</v>
      </c>
      <c r="H45" s="242">
        <f t="shared" si="33"/>
        <v>1146717.9170212767</v>
      </c>
      <c r="I45" s="242">
        <f t="shared" si="34"/>
        <v>1462000</v>
      </c>
      <c r="J45" s="242">
        <f t="shared" si="35"/>
        <v>1462000</v>
      </c>
      <c r="K45" s="242">
        <f t="shared" si="36"/>
        <v>1462000</v>
      </c>
      <c r="L45" s="242">
        <f t="shared" si="36"/>
        <v>1462000</v>
      </c>
      <c r="M45" s="244">
        <f t="shared" si="37"/>
        <v>731000</v>
      </c>
      <c r="N45" s="242">
        <f t="shared" si="38"/>
        <v>1462000</v>
      </c>
      <c r="O45" s="242">
        <f t="shared" si="39"/>
        <v>1462000</v>
      </c>
      <c r="P45" s="242">
        <f t="shared" si="40"/>
        <v>1462000</v>
      </c>
      <c r="Q45" s="242">
        <f t="shared" si="41"/>
        <v>1462000</v>
      </c>
      <c r="R45" s="242">
        <f t="shared" si="42"/>
        <v>1462000</v>
      </c>
      <c r="S45" s="242">
        <f t="shared" si="43"/>
        <v>1462000</v>
      </c>
      <c r="T45" s="249">
        <f t="shared" si="44"/>
        <v>731000</v>
      </c>
      <c r="U45" s="250">
        <f t="shared" si="19"/>
        <v>58480</v>
      </c>
      <c r="V45" s="250">
        <f t="shared" si="20"/>
        <v>58480</v>
      </c>
      <c r="W45" s="250">
        <f t="shared" si="21"/>
        <v>175440</v>
      </c>
      <c r="X45" s="250">
        <f t="shared" si="22"/>
        <v>101755.2</v>
      </c>
      <c r="Y45" s="250">
        <f t="shared" si="23"/>
        <v>58480</v>
      </c>
      <c r="Z45" s="81"/>
    </row>
    <row r="46" spans="2:26" ht="15" hidden="1" customHeight="1" thickBot="1">
      <c r="B46" s="84" t="s">
        <v>2772</v>
      </c>
      <c r="C46" s="283" t="s">
        <v>8218</v>
      </c>
      <c r="D46" s="81" t="s">
        <v>147</v>
      </c>
      <c r="E46" s="242">
        <f t="shared" si="30"/>
        <v>1462000</v>
      </c>
      <c r="F46" s="242">
        <f t="shared" si="31"/>
        <v>118876.42406453902</v>
      </c>
      <c r="G46" s="242">
        <f t="shared" si="32"/>
        <v>1462000</v>
      </c>
      <c r="H46" s="242">
        <f t="shared" si="33"/>
        <v>1146717.9170212767</v>
      </c>
      <c r="I46" s="242">
        <f t="shared" si="34"/>
        <v>1462000</v>
      </c>
      <c r="J46" s="242">
        <f t="shared" si="35"/>
        <v>1462000</v>
      </c>
      <c r="K46" s="242">
        <f t="shared" si="36"/>
        <v>1462000</v>
      </c>
      <c r="L46" s="242">
        <f t="shared" si="36"/>
        <v>1462000</v>
      </c>
      <c r="M46" s="244">
        <f t="shared" si="37"/>
        <v>731000</v>
      </c>
      <c r="N46" s="242">
        <f t="shared" si="38"/>
        <v>1462000</v>
      </c>
      <c r="O46" s="242">
        <f t="shared" si="39"/>
        <v>1462000</v>
      </c>
      <c r="P46" s="242">
        <f t="shared" si="40"/>
        <v>1462000</v>
      </c>
      <c r="Q46" s="242">
        <f t="shared" si="41"/>
        <v>1462000</v>
      </c>
      <c r="R46" s="242">
        <f t="shared" si="42"/>
        <v>1462000</v>
      </c>
      <c r="S46" s="242">
        <f t="shared" si="43"/>
        <v>1462000</v>
      </c>
      <c r="T46" s="249">
        <f t="shared" si="44"/>
        <v>731000</v>
      </c>
      <c r="U46" s="250">
        <f t="shared" si="19"/>
        <v>58480</v>
      </c>
      <c r="V46" s="250">
        <f t="shared" si="20"/>
        <v>58480</v>
      </c>
      <c r="W46" s="250">
        <f t="shared" si="21"/>
        <v>175440</v>
      </c>
      <c r="X46" s="250">
        <f t="shared" si="22"/>
        <v>101755.2</v>
      </c>
      <c r="Y46" s="250">
        <f t="shared" si="23"/>
        <v>58480</v>
      </c>
      <c r="Z46" s="81"/>
    </row>
    <row r="47" spans="2:26" ht="15" hidden="1" customHeight="1" thickBot="1">
      <c r="B47" s="84" t="s">
        <v>8226</v>
      </c>
      <c r="C47" s="283" t="s">
        <v>8218</v>
      </c>
      <c r="D47" s="81" t="s">
        <v>147</v>
      </c>
      <c r="E47" s="242">
        <f t="shared" si="30"/>
        <v>1462000</v>
      </c>
      <c r="F47" s="242">
        <f t="shared" si="31"/>
        <v>118876.42406453902</v>
      </c>
      <c r="G47" s="242">
        <f t="shared" si="32"/>
        <v>1462000</v>
      </c>
      <c r="H47" s="242">
        <f t="shared" si="33"/>
        <v>1146717.9170212767</v>
      </c>
      <c r="I47" s="242">
        <f t="shared" si="34"/>
        <v>1462000</v>
      </c>
      <c r="J47" s="242">
        <f t="shared" si="35"/>
        <v>1462000</v>
      </c>
      <c r="K47" s="242">
        <f t="shared" si="36"/>
        <v>1462000</v>
      </c>
      <c r="L47" s="242">
        <f t="shared" si="36"/>
        <v>1462000</v>
      </c>
      <c r="M47" s="244">
        <f t="shared" si="37"/>
        <v>731000</v>
      </c>
      <c r="N47" s="242">
        <f t="shared" si="38"/>
        <v>1462000</v>
      </c>
      <c r="O47" s="242">
        <f t="shared" si="39"/>
        <v>1462000</v>
      </c>
      <c r="P47" s="242">
        <f t="shared" si="40"/>
        <v>1462000</v>
      </c>
      <c r="Q47" s="242">
        <f t="shared" si="41"/>
        <v>1462000</v>
      </c>
      <c r="R47" s="242">
        <f t="shared" si="42"/>
        <v>1462000</v>
      </c>
      <c r="S47" s="242">
        <f t="shared" si="43"/>
        <v>1462000</v>
      </c>
      <c r="T47" s="249">
        <f t="shared" si="44"/>
        <v>731000</v>
      </c>
      <c r="U47" s="250">
        <f t="shared" si="19"/>
        <v>58480</v>
      </c>
      <c r="V47" s="250">
        <f t="shared" si="20"/>
        <v>58480</v>
      </c>
      <c r="W47" s="250">
        <f t="shared" si="21"/>
        <v>175440</v>
      </c>
      <c r="X47" s="250">
        <f t="shared" si="22"/>
        <v>101755.2</v>
      </c>
      <c r="Y47" s="250">
        <f t="shared" si="23"/>
        <v>58480</v>
      </c>
      <c r="Z47" s="81"/>
    </row>
    <row r="48" spans="2:26" ht="15" hidden="1" customHeight="1" thickBot="1">
      <c r="B48" s="92" t="s">
        <v>2752</v>
      </c>
      <c r="C48" s="137" t="s">
        <v>8218</v>
      </c>
      <c r="D48" s="81" t="s">
        <v>147</v>
      </c>
      <c r="E48" s="242">
        <f t="shared" si="24"/>
        <v>1462000</v>
      </c>
      <c r="F48" s="245">
        <f>+F47</f>
        <v>118876.42406453902</v>
      </c>
      <c r="G48" s="242">
        <f t="shared" si="25"/>
        <v>1462000</v>
      </c>
      <c r="H48" s="245">
        <f>+H47</f>
        <v>1146717.9170212767</v>
      </c>
      <c r="I48" s="242">
        <f t="shared" si="26"/>
        <v>1462000</v>
      </c>
      <c r="J48" s="242">
        <f t="shared" si="26"/>
        <v>1462000</v>
      </c>
      <c r="K48" s="242">
        <f t="shared" si="26"/>
        <v>1462000</v>
      </c>
      <c r="L48" s="242">
        <f t="shared" si="26"/>
        <v>1462000</v>
      </c>
      <c r="M48" s="244">
        <f t="shared" si="2"/>
        <v>731000</v>
      </c>
      <c r="N48" s="242">
        <f t="shared" si="27"/>
        <v>1462000</v>
      </c>
      <c r="O48" s="242">
        <f t="shared" si="27"/>
        <v>1462000</v>
      </c>
      <c r="P48" s="242">
        <f t="shared" si="27"/>
        <v>1462000</v>
      </c>
      <c r="Q48" s="242">
        <f t="shared" si="27"/>
        <v>1462000</v>
      </c>
      <c r="R48" s="242">
        <f t="shared" si="27"/>
        <v>1462000</v>
      </c>
      <c r="S48" s="242">
        <f t="shared" si="27"/>
        <v>1462000</v>
      </c>
      <c r="T48" s="249">
        <f t="shared" si="3"/>
        <v>731000</v>
      </c>
      <c r="U48" s="250">
        <f t="shared" si="19"/>
        <v>58480</v>
      </c>
      <c r="V48" s="250">
        <f t="shared" si="20"/>
        <v>58480</v>
      </c>
      <c r="W48" s="250">
        <f t="shared" si="21"/>
        <v>175440</v>
      </c>
      <c r="X48" s="250">
        <f t="shared" si="22"/>
        <v>101755.2</v>
      </c>
      <c r="Y48" s="250">
        <f t="shared" si="23"/>
        <v>58480</v>
      </c>
      <c r="Z48" s="81"/>
    </row>
    <row r="49" spans="2:26" ht="15" hidden="1" customHeight="1" thickBot="1">
      <c r="B49" s="92" t="s">
        <v>2753</v>
      </c>
      <c r="C49" s="137" t="s">
        <v>8218</v>
      </c>
      <c r="D49" s="81" t="s">
        <v>147</v>
      </c>
      <c r="E49" s="242">
        <f>1300000+162000</f>
        <v>1462000</v>
      </c>
      <c r="F49" s="245">
        <f>+F48</f>
        <v>118876.42406453902</v>
      </c>
      <c r="G49" s="242">
        <f>1300000+162000</f>
        <v>1462000</v>
      </c>
      <c r="H49" s="245">
        <f t="shared" ref="H49:H51" si="49">+H48</f>
        <v>1146717.9170212767</v>
      </c>
      <c r="I49" s="242">
        <f>1300000+162000</f>
        <v>1462000</v>
      </c>
      <c r="J49" s="242">
        <f>1300000+162000</f>
        <v>1462000</v>
      </c>
      <c r="K49" s="242">
        <f>1300000+162000</f>
        <v>1462000</v>
      </c>
      <c r="L49" s="242">
        <f>1300000+162000</f>
        <v>1462000</v>
      </c>
      <c r="M49" s="244">
        <f>E49/2</f>
        <v>731000</v>
      </c>
      <c r="N49" s="242">
        <f t="shared" ref="N49:S49" si="50">1300000+162000</f>
        <v>1462000</v>
      </c>
      <c r="O49" s="242">
        <f t="shared" si="50"/>
        <v>1462000</v>
      </c>
      <c r="P49" s="242">
        <f t="shared" si="50"/>
        <v>1462000</v>
      </c>
      <c r="Q49" s="242">
        <f t="shared" si="50"/>
        <v>1462000</v>
      </c>
      <c r="R49" s="242">
        <f t="shared" si="50"/>
        <v>1462000</v>
      </c>
      <c r="S49" s="242">
        <f t="shared" si="50"/>
        <v>1462000</v>
      </c>
      <c r="T49" s="249">
        <f>E49/2</f>
        <v>731000</v>
      </c>
      <c r="U49" s="250">
        <f t="shared" si="19"/>
        <v>58480</v>
      </c>
      <c r="V49" s="250">
        <f t="shared" si="20"/>
        <v>58480</v>
      </c>
      <c r="W49" s="250">
        <f t="shared" si="21"/>
        <v>175440</v>
      </c>
      <c r="X49" s="250">
        <f t="shared" si="22"/>
        <v>101755.2</v>
      </c>
      <c r="Y49" s="250">
        <f t="shared" si="23"/>
        <v>58480</v>
      </c>
      <c r="Z49" s="81"/>
    </row>
    <row r="50" spans="2:26" ht="15" hidden="1" customHeight="1" thickBot="1">
      <c r="B50" s="92" t="s">
        <v>2754</v>
      </c>
      <c r="C50" s="137" t="s">
        <v>8218</v>
      </c>
      <c r="D50" s="81" t="s">
        <v>147</v>
      </c>
      <c r="E50" s="242">
        <f t="shared" si="24"/>
        <v>1462000</v>
      </c>
      <c r="F50" s="245">
        <f>+F49</f>
        <v>118876.42406453902</v>
      </c>
      <c r="G50" s="242">
        <f t="shared" si="25"/>
        <v>1462000</v>
      </c>
      <c r="H50" s="245">
        <f t="shared" si="49"/>
        <v>1146717.9170212767</v>
      </c>
      <c r="I50" s="242">
        <f t="shared" si="26"/>
        <v>1462000</v>
      </c>
      <c r="J50" s="242">
        <f t="shared" si="26"/>
        <v>1462000</v>
      </c>
      <c r="K50" s="242">
        <f t="shared" si="26"/>
        <v>1462000</v>
      </c>
      <c r="L50" s="242">
        <f t="shared" si="26"/>
        <v>1462000</v>
      </c>
      <c r="M50" s="244">
        <f t="shared" si="2"/>
        <v>731000</v>
      </c>
      <c r="N50" s="242">
        <f t="shared" si="27"/>
        <v>1462000</v>
      </c>
      <c r="O50" s="242">
        <f t="shared" si="27"/>
        <v>1462000</v>
      </c>
      <c r="P50" s="242">
        <f t="shared" si="27"/>
        <v>1462000</v>
      </c>
      <c r="Q50" s="242">
        <f t="shared" si="27"/>
        <v>1462000</v>
      </c>
      <c r="R50" s="242">
        <f t="shared" si="27"/>
        <v>1462000</v>
      </c>
      <c r="S50" s="242">
        <f t="shared" si="27"/>
        <v>1462000</v>
      </c>
      <c r="T50" s="249">
        <f t="shared" si="3"/>
        <v>731000</v>
      </c>
      <c r="U50" s="250">
        <f t="shared" si="19"/>
        <v>58480</v>
      </c>
      <c r="V50" s="250">
        <f t="shared" si="20"/>
        <v>58480</v>
      </c>
      <c r="W50" s="250">
        <f t="shared" si="21"/>
        <v>175440</v>
      </c>
      <c r="X50" s="250">
        <f t="shared" si="22"/>
        <v>101755.2</v>
      </c>
      <c r="Y50" s="250">
        <f t="shared" si="23"/>
        <v>58480</v>
      </c>
      <c r="Z50" s="81"/>
    </row>
    <row r="51" spans="2:26" ht="15" hidden="1" customHeight="1" thickBot="1">
      <c r="B51" s="92" t="s">
        <v>2755</v>
      </c>
      <c r="C51" s="137" t="s">
        <v>8218</v>
      </c>
      <c r="D51" s="81" t="s">
        <v>147</v>
      </c>
      <c r="E51" s="242">
        <f t="shared" si="24"/>
        <v>1462000</v>
      </c>
      <c r="F51" s="245">
        <f>+F50</f>
        <v>118876.42406453902</v>
      </c>
      <c r="G51" s="242">
        <f t="shared" si="25"/>
        <v>1462000</v>
      </c>
      <c r="H51" s="245">
        <f t="shared" si="49"/>
        <v>1146717.9170212767</v>
      </c>
      <c r="I51" s="242">
        <f t="shared" si="26"/>
        <v>1462000</v>
      </c>
      <c r="J51" s="242">
        <f t="shared" si="26"/>
        <v>1462000</v>
      </c>
      <c r="K51" s="242">
        <f t="shared" si="26"/>
        <v>1462000</v>
      </c>
      <c r="L51" s="242">
        <f t="shared" si="26"/>
        <v>1462000</v>
      </c>
      <c r="M51" s="244">
        <f t="shared" si="2"/>
        <v>731000</v>
      </c>
      <c r="N51" s="242">
        <f t="shared" si="27"/>
        <v>1462000</v>
      </c>
      <c r="O51" s="242">
        <f t="shared" si="27"/>
        <v>1462000</v>
      </c>
      <c r="P51" s="242">
        <f t="shared" si="27"/>
        <v>1462000</v>
      </c>
      <c r="Q51" s="242">
        <f t="shared" si="27"/>
        <v>1462000</v>
      </c>
      <c r="R51" s="242">
        <f t="shared" si="27"/>
        <v>1462000</v>
      </c>
      <c r="S51" s="242">
        <f t="shared" si="27"/>
        <v>1462000</v>
      </c>
      <c r="T51" s="249">
        <f t="shared" si="3"/>
        <v>731000</v>
      </c>
      <c r="U51" s="250">
        <f t="shared" si="19"/>
        <v>58480</v>
      </c>
      <c r="V51" s="250">
        <f t="shared" si="20"/>
        <v>58480</v>
      </c>
      <c r="W51" s="250">
        <f t="shared" si="21"/>
        <v>175440</v>
      </c>
      <c r="X51" s="250">
        <f t="shared" si="22"/>
        <v>101755.2</v>
      </c>
      <c r="Y51" s="250">
        <f t="shared" si="23"/>
        <v>58480</v>
      </c>
      <c r="Z51" s="81"/>
    </row>
    <row r="52" spans="2:26" ht="15" hidden="1" customHeight="1" thickBot="1">
      <c r="B52" s="81" t="s">
        <v>8227</v>
      </c>
      <c r="C52" s="283" t="s">
        <v>8228</v>
      </c>
      <c r="D52" s="81" t="s">
        <v>3107</v>
      </c>
      <c r="E52" s="242">
        <v>5495000</v>
      </c>
      <c r="F52" s="245">
        <f>+E52*F53/E53</f>
        <v>594620.14331451757</v>
      </c>
      <c r="G52" s="242">
        <f>+E52</f>
        <v>5495000</v>
      </c>
      <c r="H52" s="245">
        <f>+G52*H53/G53</f>
        <v>5170609.9418653697</v>
      </c>
      <c r="I52" s="242">
        <f>+G52</f>
        <v>5495000</v>
      </c>
      <c r="J52" s="242">
        <f t="shared" ref="J52:L53" si="51">+I52</f>
        <v>5495000</v>
      </c>
      <c r="K52" s="242">
        <f t="shared" si="51"/>
        <v>5495000</v>
      </c>
      <c r="L52" s="242">
        <f t="shared" si="51"/>
        <v>5495000</v>
      </c>
      <c r="M52" s="244">
        <f>+L52/2</f>
        <v>2747500</v>
      </c>
      <c r="N52" s="242">
        <f>+L52</f>
        <v>5495000</v>
      </c>
      <c r="O52" s="242">
        <f t="shared" ref="O52:S53" si="52">+N52</f>
        <v>5495000</v>
      </c>
      <c r="P52" s="242">
        <f t="shared" si="52"/>
        <v>5495000</v>
      </c>
      <c r="Q52" s="242">
        <f t="shared" si="52"/>
        <v>5495000</v>
      </c>
      <c r="R52" s="242">
        <f t="shared" si="52"/>
        <v>5495000</v>
      </c>
      <c r="S52" s="242">
        <f t="shared" si="52"/>
        <v>5495000</v>
      </c>
      <c r="T52" s="249">
        <f>+S52/2</f>
        <v>2747500</v>
      </c>
      <c r="U52" s="250">
        <f t="shared" si="19"/>
        <v>219800</v>
      </c>
      <c r="V52" s="250">
        <f t="shared" si="20"/>
        <v>219800</v>
      </c>
      <c r="W52" s="250">
        <f t="shared" si="21"/>
        <v>659400</v>
      </c>
      <c r="X52" s="250">
        <f t="shared" si="22"/>
        <v>382452</v>
      </c>
      <c r="Y52" s="250">
        <f t="shared" si="23"/>
        <v>219800</v>
      </c>
      <c r="Z52" s="81"/>
    </row>
    <row r="53" spans="2:26" ht="15" hidden="1" customHeight="1" thickBot="1">
      <c r="B53" s="84" t="s">
        <v>8229</v>
      </c>
      <c r="C53" s="422" t="s">
        <v>8230</v>
      </c>
      <c r="D53" s="84" t="s">
        <v>3107</v>
      </c>
      <c r="E53" s="242">
        <v>2900000</v>
      </c>
      <c r="F53" s="245">
        <v>313812.26853723399</v>
      </c>
      <c r="G53" s="242">
        <v>2900000</v>
      </c>
      <c r="H53" s="245">
        <v>2728802.3351063826</v>
      </c>
      <c r="I53" s="242">
        <f>+G53</f>
        <v>2900000</v>
      </c>
      <c r="J53" s="242">
        <f t="shared" si="51"/>
        <v>2900000</v>
      </c>
      <c r="K53" s="242">
        <f t="shared" si="51"/>
        <v>2900000</v>
      </c>
      <c r="L53" s="242">
        <f t="shared" si="51"/>
        <v>2900000</v>
      </c>
      <c r="M53" s="244">
        <f>+L53/2</f>
        <v>1450000</v>
      </c>
      <c r="N53" s="242">
        <f>+L53</f>
        <v>2900000</v>
      </c>
      <c r="O53" s="242">
        <f t="shared" si="52"/>
        <v>2900000</v>
      </c>
      <c r="P53" s="242">
        <f t="shared" si="52"/>
        <v>2900000</v>
      </c>
      <c r="Q53" s="242">
        <f t="shared" si="52"/>
        <v>2900000</v>
      </c>
      <c r="R53" s="242">
        <f t="shared" si="52"/>
        <v>2900000</v>
      </c>
      <c r="S53" s="242">
        <f t="shared" si="52"/>
        <v>2900000</v>
      </c>
      <c r="T53" s="249">
        <f>+S53/2</f>
        <v>1450000</v>
      </c>
      <c r="U53" s="250">
        <f t="shared" si="19"/>
        <v>116000</v>
      </c>
      <c r="V53" s="250">
        <f t="shared" si="20"/>
        <v>116000</v>
      </c>
      <c r="W53" s="250">
        <f t="shared" si="21"/>
        <v>348000</v>
      </c>
      <c r="X53" s="250">
        <f t="shared" si="22"/>
        <v>201840</v>
      </c>
      <c r="Y53" s="250">
        <f t="shared" si="23"/>
        <v>116000</v>
      </c>
      <c r="Z53" s="81"/>
    </row>
    <row r="54" spans="2:26" ht="15" hidden="1" customHeight="1">
      <c r="B54" s="81" t="s">
        <v>2750</v>
      </c>
      <c r="C54" s="283" t="s">
        <v>8231</v>
      </c>
      <c r="D54" s="81" t="s">
        <v>3107</v>
      </c>
      <c r="E54" s="242">
        <v>1300000</v>
      </c>
      <c r="F54" s="242"/>
      <c r="G54" s="242">
        <v>1300000</v>
      </c>
      <c r="H54" s="245"/>
      <c r="I54" s="242">
        <v>1300000</v>
      </c>
      <c r="J54" s="242">
        <v>1300000</v>
      </c>
      <c r="K54" s="242">
        <v>1300000</v>
      </c>
      <c r="L54" s="242">
        <v>1300000</v>
      </c>
      <c r="M54" s="244"/>
      <c r="N54" s="242">
        <v>1300000</v>
      </c>
      <c r="O54" s="242">
        <v>1300000</v>
      </c>
      <c r="P54" s="242">
        <v>1300000</v>
      </c>
      <c r="Q54" s="242">
        <v>1300000</v>
      </c>
      <c r="R54" s="242">
        <v>1300000</v>
      </c>
      <c r="S54" s="242">
        <v>1300000</v>
      </c>
      <c r="T54" s="249"/>
      <c r="U54" s="250">
        <f>+E54*8%</f>
        <v>104000</v>
      </c>
      <c r="V54" s="250"/>
      <c r="W54" s="250"/>
      <c r="X54" s="250">
        <f>+E54*$X$3</f>
        <v>6786</v>
      </c>
      <c r="Y54" s="250"/>
      <c r="Z54" s="81"/>
    </row>
    <row r="56" spans="2:26" ht="15" customHeight="1">
      <c r="E56" s="243">
        <f t="shared" ref="E56:S56" si="53">SUM(E6:E55)</f>
        <v>115788000</v>
      </c>
      <c r="F56" s="243">
        <f t="shared" si="53"/>
        <v>8638301.357064357</v>
      </c>
      <c r="G56" s="243">
        <f t="shared" si="53"/>
        <v>115788000</v>
      </c>
      <c r="H56" s="243">
        <f t="shared" si="53"/>
        <v>77688346.22815375</v>
      </c>
      <c r="I56" s="243">
        <f t="shared" si="53"/>
        <v>115788000</v>
      </c>
      <c r="J56" s="243">
        <f t="shared" si="53"/>
        <v>115788000</v>
      </c>
      <c r="K56" s="243">
        <f t="shared" si="53"/>
        <v>115788000</v>
      </c>
      <c r="L56" s="243">
        <f t="shared" si="53"/>
        <v>118848000</v>
      </c>
      <c r="M56" s="243">
        <f t="shared" si="53"/>
        <v>52943000</v>
      </c>
      <c r="N56" s="243">
        <f t="shared" si="53"/>
        <v>118524000</v>
      </c>
      <c r="O56" s="243">
        <f t="shared" si="53"/>
        <v>118524000</v>
      </c>
      <c r="P56" s="243">
        <f t="shared" si="53"/>
        <v>118524000</v>
      </c>
      <c r="Q56" s="243">
        <f t="shared" si="53"/>
        <v>118524000</v>
      </c>
      <c r="R56" s="243">
        <f t="shared" si="53"/>
        <v>118524000</v>
      </c>
      <c r="S56" s="243">
        <f t="shared" si="53"/>
        <v>118524000</v>
      </c>
      <c r="T56" s="243"/>
      <c r="U56" s="243"/>
      <c r="V56" s="243"/>
      <c r="W56" s="247"/>
      <c r="X56" s="247"/>
      <c r="Y56" s="247"/>
    </row>
    <row r="58" spans="2:26" ht="15" customHeight="1">
      <c r="E58" s="255">
        <v>45292</v>
      </c>
      <c r="F58" s="255">
        <v>45323</v>
      </c>
      <c r="G58" s="255">
        <v>45352</v>
      </c>
      <c r="H58" s="255">
        <v>45383</v>
      </c>
      <c r="I58" s="255">
        <v>45413</v>
      </c>
      <c r="J58" s="255">
        <v>45444</v>
      </c>
      <c r="K58" s="255">
        <v>45474</v>
      </c>
      <c r="L58" s="255">
        <v>45505</v>
      </c>
      <c r="M58" s="255">
        <v>45536</v>
      </c>
      <c r="N58" s="255">
        <v>45566</v>
      </c>
      <c r="O58" s="255">
        <v>45597</v>
      </c>
      <c r="P58" s="255">
        <v>45627</v>
      </c>
    </row>
    <row r="59" spans="2:26" ht="15" customHeight="1">
      <c r="D59" s="81" t="s">
        <v>104</v>
      </c>
      <c r="E59" s="258">
        <f>+SUM(E6:E12)-SUM(U6:U12)-SUM(V6:V12)</f>
        <v>33701970.170879036</v>
      </c>
      <c r="F59" s="250">
        <f>+SUM(G6:G12)-SUM(U6:V12)</f>
        <v>33701970.170879036</v>
      </c>
      <c r="G59" s="83">
        <f>+SUM(I6:I12)-SUM(U6:V12)</f>
        <v>33701970.170879036</v>
      </c>
      <c r="H59" s="83">
        <f t="shared" ref="H59:P59" si="54">+G59</f>
        <v>33701970.170879036</v>
      </c>
      <c r="I59" s="83">
        <f t="shared" si="54"/>
        <v>33701970.170879036</v>
      </c>
      <c r="J59" s="83">
        <f>+I59</f>
        <v>33701970.170879036</v>
      </c>
      <c r="K59" s="83">
        <f>+J59+7000000</f>
        <v>40701970.170879036</v>
      </c>
      <c r="L59" s="83">
        <f t="shared" si="54"/>
        <v>40701970.170879036</v>
      </c>
      <c r="M59" s="83">
        <f t="shared" si="54"/>
        <v>40701970.170879036</v>
      </c>
      <c r="N59" s="83">
        <f t="shared" si="54"/>
        <v>40701970.170879036</v>
      </c>
      <c r="O59" s="13">
        <f t="shared" si="54"/>
        <v>40701970.170879036</v>
      </c>
      <c r="P59" s="83">
        <f t="shared" si="54"/>
        <v>40701970.170879036</v>
      </c>
    </row>
    <row r="60" spans="2:26" ht="15" customHeight="1">
      <c r="D60" s="81" t="s">
        <v>8232</v>
      </c>
      <c r="E60" s="258">
        <f>+SUM(U6:Z12)</f>
        <v>6525926.3091209624</v>
      </c>
      <c r="F60" s="83">
        <f>+E60</f>
        <v>6525926.3091209624</v>
      </c>
      <c r="G60" s="83">
        <f>+F60</f>
        <v>6525926.3091209624</v>
      </c>
      <c r="H60" s="83">
        <f t="shared" ref="H60:P60" si="55">+G60</f>
        <v>6525926.3091209624</v>
      </c>
      <c r="I60" s="83">
        <f t="shared" si="55"/>
        <v>6525926.3091209624</v>
      </c>
      <c r="J60" s="83">
        <f t="shared" si="55"/>
        <v>6525926.3091209624</v>
      </c>
      <c r="K60" s="83">
        <f t="shared" si="55"/>
        <v>6525926.3091209624</v>
      </c>
      <c r="L60" s="83">
        <f t="shared" si="55"/>
        <v>6525926.3091209624</v>
      </c>
      <c r="M60" s="83">
        <f t="shared" si="55"/>
        <v>6525926.3091209624</v>
      </c>
      <c r="N60" s="83">
        <f t="shared" si="55"/>
        <v>6525926.3091209624</v>
      </c>
      <c r="O60" s="83">
        <f t="shared" si="55"/>
        <v>6525926.3091209624</v>
      </c>
      <c r="P60" s="83">
        <f t="shared" si="55"/>
        <v>6525926.3091209624</v>
      </c>
    </row>
    <row r="61" spans="2:26" ht="15" customHeight="1">
      <c r="D61" s="81" t="s">
        <v>8192</v>
      </c>
      <c r="E61" s="258"/>
      <c r="F61" s="83">
        <f>+SUM(H6:H10)+SUM(H13:H51)</f>
        <v>69788933.951182008</v>
      </c>
      <c r="G61" s="83"/>
      <c r="H61" s="83"/>
      <c r="I61" s="83"/>
      <c r="J61" s="83"/>
      <c r="K61" s="83"/>
      <c r="L61" s="83"/>
      <c r="M61" s="83"/>
      <c r="N61" s="83"/>
      <c r="O61" s="83"/>
      <c r="P61" s="83"/>
    </row>
    <row r="62" spans="2:26" ht="15" customHeight="1">
      <c r="D62" s="84" t="s">
        <v>8233</v>
      </c>
      <c r="E62" s="258">
        <f>+SUM(F6:F10)</f>
        <v>1734745.7280240741</v>
      </c>
      <c r="F62" s="83"/>
      <c r="G62" s="83"/>
      <c r="H62" s="83"/>
      <c r="I62" s="83"/>
      <c r="J62" s="83"/>
      <c r="K62" s="83"/>
      <c r="L62" s="83"/>
      <c r="M62" s="83"/>
      <c r="N62" s="83"/>
      <c r="O62" s="83"/>
      <c r="P62" s="83"/>
    </row>
    <row r="63" spans="2:26" ht="15" customHeight="1">
      <c r="D63" s="84" t="s">
        <v>8193</v>
      </c>
      <c r="E63" s="258"/>
      <c r="F63" s="83"/>
      <c r="G63" s="83"/>
      <c r="H63" s="83"/>
      <c r="I63" s="83"/>
      <c r="J63" s="83">
        <f>+SUM(M6:M12)</f>
        <v>13492000</v>
      </c>
      <c r="K63" s="83"/>
      <c r="L63" s="83"/>
      <c r="M63" s="83"/>
      <c r="N63" s="83"/>
      <c r="O63" s="83"/>
      <c r="P63" s="83">
        <f>+J63</f>
        <v>13492000</v>
      </c>
    </row>
    <row r="64" spans="2:26" ht="15" customHeight="1">
      <c r="D64" s="84"/>
      <c r="E64" s="356"/>
      <c r="F64" s="156"/>
      <c r="G64" s="156"/>
      <c r="H64" s="156"/>
      <c r="I64" s="156"/>
      <c r="J64" s="156"/>
      <c r="K64" s="156"/>
      <c r="L64" s="156"/>
      <c r="M64" s="156"/>
      <c r="N64" s="156"/>
      <c r="O64" s="156"/>
      <c r="P64" s="156"/>
    </row>
    <row r="65" spans="4:16" ht="15" customHeight="1">
      <c r="D65" s="84" t="s">
        <v>3107</v>
      </c>
      <c r="E65" s="259">
        <f>+SUM(E52:F54)</f>
        <v>10603432.411851753</v>
      </c>
      <c r="F65" s="256">
        <f>+E65</f>
        <v>10603432.411851753</v>
      </c>
      <c r="G65" s="156">
        <f t="shared" ref="G65:P66" si="56">+F65</f>
        <v>10603432.411851753</v>
      </c>
      <c r="H65" s="156">
        <f t="shared" si="56"/>
        <v>10603432.411851753</v>
      </c>
      <c r="I65" s="156">
        <f t="shared" si="56"/>
        <v>10603432.411851753</v>
      </c>
      <c r="J65" s="156">
        <f t="shared" si="56"/>
        <v>10603432.411851753</v>
      </c>
      <c r="K65" s="156">
        <f t="shared" si="56"/>
        <v>10603432.411851753</v>
      </c>
      <c r="L65" s="156">
        <f t="shared" si="56"/>
        <v>10603432.411851753</v>
      </c>
      <c r="M65" s="156">
        <f t="shared" si="56"/>
        <v>10603432.411851753</v>
      </c>
      <c r="N65" s="156">
        <f t="shared" si="56"/>
        <v>10603432.411851753</v>
      </c>
      <c r="O65" s="156">
        <f t="shared" si="56"/>
        <v>10603432.411851753</v>
      </c>
      <c r="P65" s="156">
        <f t="shared" si="56"/>
        <v>10603432.411851753</v>
      </c>
    </row>
    <row r="66" spans="4:16" ht="15" customHeight="1">
      <c r="D66" s="357" t="s">
        <v>8232</v>
      </c>
      <c r="E66" s="259">
        <f>+SUM(U52:Y54)</f>
        <v>2709878</v>
      </c>
      <c r="F66" s="256">
        <f>+E66</f>
        <v>2709878</v>
      </c>
      <c r="G66" s="156">
        <f>+F66</f>
        <v>2709878</v>
      </c>
      <c r="H66" s="156">
        <f t="shared" si="56"/>
        <v>2709878</v>
      </c>
      <c r="I66" s="156">
        <f t="shared" si="56"/>
        <v>2709878</v>
      </c>
      <c r="J66" s="156">
        <f t="shared" si="56"/>
        <v>2709878</v>
      </c>
      <c r="K66" s="156">
        <f t="shared" si="56"/>
        <v>2709878</v>
      </c>
      <c r="L66" s="156">
        <f t="shared" si="56"/>
        <v>2709878</v>
      </c>
      <c r="M66" s="156">
        <f t="shared" si="56"/>
        <v>2709878</v>
      </c>
      <c r="N66" s="156">
        <f t="shared" si="56"/>
        <v>2709878</v>
      </c>
      <c r="O66" s="156">
        <f t="shared" si="56"/>
        <v>2709878</v>
      </c>
      <c r="P66" s="156">
        <f t="shared" si="56"/>
        <v>2709878</v>
      </c>
    </row>
    <row r="67" spans="4:16" ht="15" customHeight="1">
      <c r="D67" s="357" t="s">
        <v>7996</v>
      </c>
      <c r="E67" s="259">
        <f>+SUM(F52:F54)</f>
        <v>908432.41185175162</v>
      </c>
      <c r="F67" s="256"/>
      <c r="G67" s="156"/>
      <c r="H67" s="156"/>
      <c r="I67" s="156"/>
      <c r="J67" s="156"/>
      <c r="K67" s="156"/>
      <c r="L67" s="156"/>
      <c r="M67" s="156"/>
      <c r="N67" s="156"/>
      <c r="O67" s="156"/>
      <c r="P67" s="156"/>
    </row>
    <row r="68" spans="4:16" ht="15" customHeight="1">
      <c r="D68" s="357" t="s">
        <v>8193</v>
      </c>
      <c r="E68" s="259"/>
      <c r="F68" s="256"/>
      <c r="G68" s="156"/>
      <c r="H68" s="156"/>
      <c r="I68" s="156"/>
      <c r="J68" s="156">
        <f>+SUM(M52:M54)</f>
        <v>4197500</v>
      </c>
      <c r="K68" s="156"/>
      <c r="L68" s="156"/>
      <c r="M68" s="156"/>
      <c r="N68" s="156"/>
      <c r="O68" s="156"/>
      <c r="P68" s="156"/>
    </row>
    <row r="69" spans="4:16" ht="15" customHeight="1">
      <c r="D69" s="357" t="s">
        <v>8192</v>
      </c>
      <c r="E69" s="259"/>
      <c r="F69" s="256">
        <f>+SUM(H52:H54)</f>
        <v>7899412.2769717518</v>
      </c>
      <c r="G69" s="156"/>
      <c r="H69" s="156"/>
      <c r="I69" s="156"/>
      <c r="J69" s="156"/>
      <c r="K69" s="156"/>
      <c r="L69" s="156"/>
      <c r="M69" s="156"/>
      <c r="N69" s="156"/>
      <c r="O69" s="156"/>
      <c r="P69" s="156"/>
    </row>
    <row r="70" spans="4:16" ht="15" customHeight="1">
      <c r="D70" s="357"/>
      <c r="E70" s="259"/>
      <c r="F70" s="256"/>
      <c r="G70" s="156"/>
      <c r="H70" s="156"/>
      <c r="I70" s="156"/>
      <c r="J70" s="156"/>
      <c r="K70" s="156"/>
      <c r="L70" s="156"/>
      <c r="M70" s="156"/>
      <c r="N70" s="156"/>
      <c r="O70" s="156"/>
      <c r="P70" s="156"/>
    </row>
    <row r="71" spans="4:16" ht="15" customHeight="1">
      <c r="D71" s="90" t="s">
        <v>8234</v>
      </c>
      <c r="E71" s="412">
        <f>+SUM(E59:E63)</f>
        <v>41962642.20802407</v>
      </c>
      <c r="F71" s="87">
        <f t="shared" ref="F71:P71" si="57">+SUM(F59:F65)</f>
        <v>120620262.84303375</v>
      </c>
      <c r="G71" s="87">
        <f t="shared" si="57"/>
        <v>50831328.891851753</v>
      </c>
      <c r="H71" s="87">
        <f t="shared" si="57"/>
        <v>50831328.891851753</v>
      </c>
      <c r="I71" s="87">
        <f t="shared" si="57"/>
        <v>50831328.891851753</v>
      </c>
      <c r="J71" s="87">
        <f t="shared" si="57"/>
        <v>64323328.891851753</v>
      </c>
      <c r="K71" s="87">
        <f t="shared" si="57"/>
        <v>57831328.891851753</v>
      </c>
      <c r="L71" s="87">
        <f t="shared" si="57"/>
        <v>57831328.891851753</v>
      </c>
      <c r="M71" s="87">
        <f t="shared" si="57"/>
        <v>57831328.891851753</v>
      </c>
      <c r="N71" s="87">
        <f t="shared" si="57"/>
        <v>57831328.891851753</v>
      </c>
      <c r="O71" s="87">
        <f t="shared" si="57"/>
        <v>57831328.891851753</v>
      </c>
      <c r="P71" s="87">
        <f t="shared" si="57"/>
        <v>71323328.891851753</v>
      </c>
    </row>
    <row r="72" spans="4:16" ht="15" customHeight="1">
      <c r="D72" s="359" t="s">
        <v>8235</v>
      </c>
      <c r="E72" s="413">
        <f t="shared" ref="E72:P72" si="58">+SUM(E65:E69)</f>
        <v>14221742.823703505</v>
      </c>
      <c r="F72" s="413">
        <f t="shared" si="58"/>
        <v>21212722.688823506</v>
      </c>
      <c r="G72" s="413">
        <f t="shared" si="58"/>
        <v>13313310.411851753</v>
      </c>
      <c r="H72" s="413">
        <f t="shared" si="58"/>
        <v>13313310.411851753</v>
      </c>
      <c r="I72" s="413">
        <f t="shared" si="58"/>
        <v>13313310.411851753</v>
      </c>
      <c r="J72" s="413">
        <f t="shared" si="58"/>
        <v>17510810.411851753</v>
      </c>
      <c r="K72" s="413">
        <f t="shared" si="58"/>
        <v>13313310.411851753</v>
      </c>
      <c r="L72" s="413">
        <f t="shared" si="58"/>
        <v>13313310.411851753</v>
      </c>
      <c r="M72" s="413">
        <f t="shared" si="58"/>
        <v>13313310.411851753</v>
      </c>
      <c r="N72" s="413">
        <f t="shared" si="58"/>
        <v>13313310.411851753</v>
      </c>
      <c r="O72" s="413">
        <f t="shared" si="58"/>
        <v>13313310.411851753</v>
      </c>
      <c r="P72" s="413">
        <f t="shared" si="58"/>
        <v>13313310.411851753</v>
      </c>
    </row>
    <row r="73" spans="4:16" ht="15" customHeight="1">
      <c r="D73" s="261" t="s">
        <v>8236</v>
      </c>
      <c r="E73" s="414">
        <f t="shared" ref="E73:P73" si="59">+E71+E72</f>
        <v>56184385.031727575</v>
      </c>
      <c r="F73" s="414">
        <f t="shared" si="59"/>
        <v>141832985.53185725</v>
      </c>
      <c r="G73" s="414">
        <f t="shared" si="59"/>
        <v>64144639.303703502</v>
      </c>
      <c r="H73" s="414">
        <f t="shared" si="59"/>
        <v>64144639.303703502</v>
      </c>
      <c r="I73" s="414">
        <f t="shared" si="59"/>
        <v>64144639.303703502</v>
      </c>
      <c r="J73" s="414">
        <f t="shared" si="59"/>
        <v>81834139.303703502</v>
      </c>
      <c r="K73" s="414">
        <f t="shared" si="59"/>
        <v>71144639.303703502</v>
      </c>
      <c r="L73" s="414">
        <f t="shared" si="59"/>
        <v>71144639.303703502</v>
      </c>
      <c r="M73" s="414">
        <f t="shared" si="59"/>
        <v>71144639.303703502</v>
      </c>
      <c r="N73" s="414">
        <f t="shared" si="59"/>
        <v>71144639.303703502</v>
      </c>
      <c r="O73" s="414">
        <f t="shared" si="59"/>
        <v>71144639.303703502</v>
      </c>
      <c r="P73" s="414">
        <f t="shared" si="59"/>
        <v>84636639.303703502</v>
      </c>
    </row>
    <row r="74" spans="4:16" ht="15" customHeight="1">
      <c r="D74" s="260"/>
      <c r="E74" s="413"/>
      <c r="F74" s="257"/>
      <c r="G74" s="86"/>
      <c r="H74" s="86"/>
      <c r="I74" s="157"/>
      <c r="J74" s="157"/>
      <c r="K74" s="157"/>
      <c r="L74" s="157"/>
      <c r="M74" s="157"/>
      <c r="N74" s="157"/>
      <c r="O74" s="157"/>
      <c r="P74" s="157"/>
    </row>
    <row r="75" spans="4:16" ht="15" customHeight="1">
      <c r="D75" s="260" t="s">
        <v>7996</v>
      </c>
      <c r="E75" s="355">
        <f>+SUM(F13:F51)</f>
        <v>5995123.2171885278</v>
      </c>
      <c r="F75" s="257"/>
      <c r="G75" s="86"/>
      <c r="H75" s="86"/>
      <c r="I75" s="157"/>
      <c r="J75" s="157"/>
      <c r="K75" s="157"/>
      <c r="L75" s="157"/>
      <c r="M75" s="157"/>
      <c r="N75" s="157"/>
      <c r="O75" s="157"/>
      <c r="P75" s="157"/>
    </row>
    <row r="76" spans="4:16" ht="15" customHeight="1">
      <c r="D76" s="260" t="s">
        <v>8193</v>
      </c>
      <c r="E76" s="355"/>
      <c r="F76" s="257"/>
      <c r="G76" s="86"/>
      <c r="H76" s="86"/>
      <c r="I76" s="157"/>
      <c r="J76" s="358">
        <f>+SUM(M13:M50)</f>
        <v>34522500</v>
      </c>
      <c r="K76" s="157"/>
      <c r="L76" s="157"/>
      <c r="M76" s="157"/>
      <c r="N76" s="157"/>
      <c r="O76" s="157"/>
      <c r="P76" s="358">
        <f>+J76</f>
        <v>34522500</v>
      </c>
    </row>
    <row r="77" spans="4:16" ht="15" customHeight="1">
      <c r="D77" s="260" t="s">
        <v>8232</v>
      </c>
      <c r="E77" s="257">
        <f>+SUM(U13:Z51)</f>
        <v>22840543.199999981</v>
      </c>
      <c r="F77" s="257">
        <f>+E77</f>
        <v>22840543.199999981</v>
      </c>
      <c r="G77" s="86">
        <f>+F77</f>
        <v>22840543.199999981</v>
      </c>
      <c r="H77" s="86">
        <f>+G77</f>
        <v>22840543.199999981</v>
      </c>
      <c r="I77" s="86">
        <f t="shared" ref="I77:P77" si="60">+H77</f>
        <v>22840543.199999981</v>
      </c>
      <c r="J77" s="86">
        <f t="shared" si="60"/>
        <v>22840543.199999981</v>
      </c>
      <c r="K77" s="86">
        <f t="shared" si="60"/>
        <v>22840543.199999981</v>
      </c>
      <c r="L77" s="86">
        <f t="shared" si="60"/>
        <v>22840543.199999981</v>
      </c>
      <c r="M77" s="86">
        <f t="shared" si="60"/>
        <v>22840543.199999981</v>
      </c>
      <c r="N77" s="86">
        <f t="shared" si="60"/>
        <v>22840543.199999981</v>
      </c>
      <c r="O77" s="86">
        <f t="shared" si="60"/>
        <v>22840543.199999981</v>
      </c>
      <c r="P77" s="86">
        <f t="shared" si="60"/>
        <v>22840543.199999981</v>
      </c>
    </row>
    <row r="78" spans="4:16" ht="15" customHeight="1">
      <c r="D78" s="359" t="s">
        <v>147</v>
      </c>
      <c r="E78" s="83">
        <f>+SUM(E21:E51)-SUM(U21:$V$51)</f>
        <v>44475560</v>
      </c>
      <c r="F78" s="83">
        <f t="shared" ref="F78:P78" si="61">+E78</f>
        <v>44475560</v>
      </c>
      <c r="G78" s="83">
        <f>+F78</f>
        <v>44475560</v>
      </c>
      <c r="H78" s="83">
        <f>+G78</f>
        <v>44475560</v>
      </c>
      <c r="I78" s="83">
        <f t="shared" si="61"/>
        <v>44475560</v>
      </c>
      <c r="J78" s="83">
        <f t="shared" si="61"/>
        <v>44475560</v>
      </c>
      <c r="K78" s="83">
        <f t="shared" si="61"/>
        <v>44475560</v>
      </c>
      <c r="L78" s="83">
        <f t="shared" si="61"/>
        <v>44475560</v>
      </c>
      <c r="M78" s="83">
        <f t="shared" si="61"/>
        <v>44475560</v>
      </c>
      <c r="N78" s="83">
        <f t="shared" si="61"/>
        <v>44475560</v>
      </c>
      <c r="O78" s="83">
        <f t="shared" si="61"/>
        <v>44475560</v>
      </c>
      <c r="P78" s="83">
        <f t="shared" si="61"/>
        <v>44475560</v>
      </c>
    </row>
    <row r="79" spans="4:16" ht="15" customHeight="1">
      <c r="D79" s="40" t="s">
        <v>8209</v>
      </c>
      <c r="E79" s="83">
        <f>+SUM(E13:E20)-SUM(U13:V20)</f>
        <v>20146080</v>
      </c>
      <c r="F79" s="83">
        <f t="shared" ref="F79:P79" si="62">+E79</f>
        <v>20146080</v>
      </c>
      <c r="G79" s="83">
        <f t="shared" si="62"/>
        <v>20146080</v>
      </c>
      <c r="H79" s="83">
        <f t="shared" si="62"/>
        <v>20146080</v>
      </c>
      <c r="I79" s="83">
        <f t="shared" si="62"/>
        <v>20146080</v>
      </c>
      <c r="J79" s="83">
        <f t="shared" si="62"/>
        <v>20146080</v>
      </c>
      <c r="K79" s="83">
        <f t="shared" si="62"/>
        <v>20146080</v>
      </c>
      <c r="L79" s="83">
        <f t="shared" si="62"/>
        <v>20146080</v>
      </c>
      <c r="M79" s="83">
        <f t="shared" si="62"/>
        <v>20146080</v>
      </c>
      <c r="N79" s="83">
        <f t="shared" si="62"/>
        <v>20146080</v>
      </c>
      <c r="O79" s="83">
        <f t="shared" si="62"/>
        <v>20146080</v>
      </c>
      <c r="P79" s="83">
        <f t="shared" si="62"/>
        <v>20146080</v>
      </c>
    </row>
    <row r="80" spans="4:16" ht="15" customHeight="1">
      <c r="D80" s="360" t="s">
        <v>8237</v>
      </c>
      <c r="E80" s="361">
        <f t="shared" ref="E80:P80" si="63">+SUM(E75:E79)</f>
        <v>93457306.41718851</v>
      </c>
      <c r="F80" s="361">
        <f t="shared" si="63"/>
        <v>87462183.199999988</v>
      </c>
      <c r="G80" s="361">
        <f t="shared" si="63"/>
        <v>87462183.199999988</v>
      </c>
      <c r="H80" s="361">
        <f t="shared" si="63"/>
        <v>87462183.199999988</v>
      </c>
      <c r="I80" s="361">
        <f t="shared" si="63"/>
        <v>87462183.199999988</v>
      </c>
      <c r="J80" s="361">
        <f t="shared" si="63"/>
        <v>121984683.19999999</v>
      </c>
      <c r="K80" s="361">
        <f t="shared" si="63"/>
        <v>87462183.199999988</v>
      </c>
      <c r="L80" s="361">
        <f t="shared" si="63"/>
        <v>87462183.199999988</v>
      </c>
      <c r="M80" s="361">
        <f t="shared" si="63"/>
        <v>87462183.199999988</v>
      </c>
      <c r="N80" s="361">
        <f t="shared" si="63"/>
        <v>87462183.199999988</v>
      </c>
      <c r="O80" s="361">
        <f t="shared" si="63"/>
        <v>87462183.199999988</v>
      </c>
      <c r="P80" s="361">
        <f t="shared" si="63"/>
        <v>121984683.19999999</v>
      </c>
    </row>
    <row r="82" spans="4:16" ht="15" customHeight="1">
      <c r="D82" s="40" t="s">
        <v>8238</v>
      </c>
      <c r="E82" s="282">
        <f>+E80+E73</f>
        <v>149641691.44891608</v>
      </c>
      <c r="F82" s="282">
        <f t="shared" ref="F82:P82" si="64">+F80+F73</f>
        <v>229295168.73185724</v>
      </c>
      <c r="G82" s="282">
        <f t="shared" si="64"/>
        <v>151606822.50370347</v>
      </c>
      <c r="H82" s="282">
        <f t="shared" si="64"/>
        <v>151606822.50370347</v>
      </c>
      <c r="I82" s="282">
        <f t="shared" si="64"/>
        <v>151606822.50370347</v>
      </c>
      <c r="J82" s="282">
        <f t="shared" si="64"/>
        <v>203818822.50370347</v>
      </c>
      <c r="K82" s="282">
        <f t="shared" si="64"/>
        <v>158606822.50370347</v>
      </c>
      <c r="L82" s="282">
        <f t="shared" si="64"/>
        <v>158606822.50370347</v>
      </c>
      <c r="M82" s="282">
        <f t="shared" si="64"/>
        <v>158606822.50370347</v>
      </c>
      <c r="N82" s="282">
        <f t="shared" si="64"/>
        <v>158606822.50370347</v>
      </c>
      <c r="O82" s="282">
        <f t="shared" si="64"/>
        <v>158606822.50370347</v>
      </c>
      <c r="P82" s="282">
        <f t="shared" si="64"/>
        <v>206621322.50370347</v>
      </c>
    </row>
  </sheetData>
  <autoFilter ref="B5:AA5" xr:uid="{B9628303-161C-4C31-8C68-8BE7E1FCA5B4}">
    <sortState xmlns:xlrd2="http://schemas.microsoft.com/office/spreadsheetml/2017/richdata2" ref="B6:AA35">
      <sortCondition ref="D5"/>
    </sortState>
  </autoFilter>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A3CB-6DA7-4CAB-ACC6-4C88EB53C67D}">
  <sheetPr>
    <tabColor theme="9" tint="-0.499984740745262"/>
    <outlinePr summaryBelow="0" summaryRight="0"/>
  </sheetPr>
  <dimension ref="A1:V189"/>
  <sheetViews>
    <sheetView topLeftCell="A149" zoomScale="68" zoomScaleNormal="80" workbookViewId="0">
      <selection activeCell="L168" sqref="L168"/>
    </sheetView>
  </sheetViews>
  <sheetFormatPr defaultColWidth="14.3828125" defaultRowHeight="15" customHeight="1"/>
  <cols>
    <col min="1" max="1" width="14.3828125" style="6"/>
    <col min="2" max="2" width="15.3046875" style="6" bestFit="1" customWidth="1"/>
    <col min="3" max="3" width="10.15234375" style="6" bestFit="1" customWidth="1"/>
    <col min="4" max="4" width="19.84375" style="6" customWidth="1"/>
    <col min="5" max="5" width="14.3828125" style="6"/>
    <col min="6" max="6" width="19.3828125" style="6" hidden="1" customWidth="1"/>
    <col min="7" max="7" width="18.3046875" style="2" hidden="1" customWidth="1"/>
    <col min="8" max="8" width="18.3046875" style="6" hidden="1" customWidth="1"/>
    <col min="9" max="9" width="21" style="6" hidden="1" customWidth="1"/>
    <col min="10" max="10" width="21.3828125" style="6" customWidth="1"/>
    <col min="11" max="11" width="20.3828125" style="6" customWidth="1"/>
    <col min="12" max="12" width="21" style="6" customWidth="1"/>
    <col min="13" max="14" width="20" style="6" customWidth="1"/>
    <col min="15" max="15" width="19.3828125" style="6" customWidth="1"/>
    <col min="16" max="16" width="20.15234375" style="6" customWidth="1"/>
    <col min="17" max="17" width="17.69140625" style="6" customWidth="1"/>
    <col min="18" max="18" width="14.84375" style="6" bestFit="1" customWidth="1"/>
    <col min="19" max="20" width="16.84375" style="6" bestFit="1" customWidth="1"/>
    <col min="21" max="22" width="14.84375" style="6" bestFit="1" customWidth="1"/>
    <col min="23" max="16384" width="14.3828125" style="6"/>
  </cols>
  <sheetData>
    <row r="1" spans="3:20" ht="15" customHeight="1" thickBot="1"/>
    <row r="2" spans="3:20" ht="15" customHeight="1" thickBot="1">
      <c r="C2" s="1129"/>
      <c r="D2" s="1129"/>
      <c r="E2" s="1129"/>
      <c r="F2" s="1129"/>
      <c r="G2" s="1129"/>
      <c r="H2" s="1129"/>
      <c r="I2" s="1129"/>
      <c r="J2" s="1129"/>
      <c r="K2" s="1129"/>
      <c r="L2" s="1129"/>
      <c r="M2" s="1129"/>
      <c r="N2" s="1129"/>
      <c r="O2" s="1129"/>
      <c r="P2" s="1129"/>
      <c r="Q2" s="1130"/>
    </row>
    <row r="3" spans="3:20" ht="15" customHeight="1">
      <c r="G3" s="2">
        <f>+SUM(G5:M5)</f>
        <v>4201598927.7787166</v>
      </c>
    </row>
    <row r="4" spans="3:20" ht="15" customHeight="1" thickBot="1">
      <c r="F4" s="342">
        <v>45292</v>
      </c>
      <c r="G4" s="280">
        <v>45323</v>
      </c>
      <c r="H4" s="280">
        <v>45352</v>
      </c>
      <c r="I4" s="280">
        <v>45383</v>
      </c>
      <c r="J4" s="280">
        <v>45413</v>
      </c>
      <c r="K4" s="280">
        <v>45444</v>
      </c>
      <c r="L4" s="280">
        <v>45474</v>
      </c>
      <c r="M4" s="280">
        <v>45505</v>
      </c>
      <c r="N4" s="280">
        <v>45536</v>
      </c>
      <c r="O4" s="280">
        <v>45566</v>
      </c>
      <c r="P4" s="280">
        <v>45597</v>
      </c>
      <c r="Q4" s="343">
        <v>45627</v>
      </c>
    </row>
    <row r="5" spans="3:20" ht="15" customHeight="1" thickBot="1">
      <c r="D5" s="1133" t="s">
        <v>8239</v>
      </c>
      <c r="E5" s="1130"/>
      <c r="F5" s="145">
        <f>+SUM(F6:F8)</f>
        <v>-746043903.59159267</v>
      </c>
      <c r="G5" s="144">
        <f>+SUM(G6:G8)</f>
        <v>907971254.67620766</v>
      </c>
      <c r="H5" s="144">
        <f t="shared" ref="H5:Q5" si="0">+SUM(H6:H8)</f>
        <v>580134544.17250896</v>
      </c>
      <c r="I5" s="144">
        <f t="shared" si="0"/>
        <v>-348221525</v>
      </c>
      <c r="J5" s="144">
        <f t="shared" si="0"/>
        <v>403353731.66000003</v>
      </c>
      <c r="K5" s="144">
        <f t="shared" si="0"/>
        <v>219076464.43000019</v>
      </c>
      <c r="L5" s="144">
        <f t="shared" si="0"/>
        <v>1800534001.7199998</v>
      </c>
      <c r="M5" s="144">
        <f t="shared" si="0"/>
        <v>638750456.11999989</v>
      </c>
      <c r="N5" s="144">
        <f t="shared" si="0"/>
        <v>-336025813.73000002</v>
      </c>
      <c r="O5" s="144">
        <f t="shared" si="0"/>
        <v>-1218772351.9300001</v>
      </c>
      <c r="P5" s="144">
        <f t="shared" si="0"/>
        <v>1174227648.0699999</v>
      </c>
      <c r="Q5" s="144">
        <f t="shared" si="0"/>
        <v>-380522351.93000007</v>
      </c>
      <c r="T5" s="2">
        <v>2647000000</v>
      </c>
    </row>
    <row r="6" spans="3:20" ht="15" customHeight="1" thickBot="1">
      <c r="C6" s="884" t="s">
        <v>8240</v>
      </c>
      <c r="D6" s="1131" t="s">
        <v>8241</v>
      </c>
      <c r="E6" s="1132"/>
      <c r="F6" s="352">
        <f>+F12</f>
        <v>-228777906.51711115</v>
      </c>
      <c r="G6" s="352">
        <f t="shared" ref="G6:Q6" si="1">+G12</f>
        <v>22701972.155555673</v>
      </c>
      <c r="H6" s="352">
        <f t="shared" si="1"/>
        <v>1812107.6803667024</v>
      </c>
      <c r="I6" s="352">
        <f>+I12</f>
        <v>-45384967</v>
      </c>
      <c r="J6" s="352">
        <f t="shared" si="1"/>
        <v>42844208</v>
      </c>
      <c r="K6" s="352">
        <f t="shared" si="1"/>
        <v>-288862059.76999998</v>
      </c>
      <c r="L6" s="352">
        <f t="shared" si="1"/>
        <v>167125235.04999998</v>
      </c>
      <c r="M6" s="352">
        <f t="shared" si="1"/>
        <v>433690124.39999998</v>
      </c>
      <c r="N6" s="352">
        <f t="shared" si="1"/>
        <v>7773648</v>
      </c>
      <c r="O6" s="352">
        <f t="shared" si="1"/>
        <v>0</v>
      </c>
      <c r="P6" s="352">
        <f t="shared" si="1"/>
        <v>0</v>
      </c>
      <c r="Q6" s="353">
        <f t="shared" si="1"/>
        <v>0</v>
      </c>
      <c r="T6" s="2">
        <f>+T5-N5</f>
        <v>2983025813.73</v>
      </c>
    </row>
    <row r="7" spans="3:20" ht="15" customHeight="1" thickBot="1">
      <c r="C7" s="884" t="s">
        <v>8242</v>
      </c>
      <c r="D7" s="1131" t="s">
        <v>8241</v>
      </c>
      <c r="E7" s="1132"/>
      <c r="F7" s="352">
        <f>+F109</f>
        <v>-23287174.929555539</v>
      </c>
      <c r="G7" s="352">
        <f t="shared" ref="G7:Q7" si="2">+G109</f>
        <v>-88693480.168148145</v>
      </c>
      <c r="H7" s="352">
        <f t="shared" si="2"/>
        <v>-96135904.069999993</v>
      </c>
      <c r="I7" s="352">
        <f t="shared" si="2"/>
        <v>-166528804</v>
      </c>
      <c r="J7" s="352">
        <f t="shared" si="2"/>
        <v>-228878937.93000001</v>
      </c>
      <c r="K7" s="352">
        <f t="shared" si="2"/>
        <v>-200353851.41999999</v>
      </c>
      <c r="L7" s="352">
        <f t="shared" si="2"/>
        <v>-128717791.24000001</v>
      </c>
      <c r="M7" s="352">
        <f t="shared" si="2"/>
        <v>-9167316.3500000015</v>
      </c>
      <c r="N7" s="352">
        <f t="shared" si="2"/>
        <v>0</v>
      </c>
      <c r="O7" s="352">
        <f t="shared" si="2"/>
        <v>0</v>
      </c>
      <c r="P7" s="352">
        <f t="shared" si="2"/>
        <v>0</v>
      </c>
      <c r="Q7" s="352">
        <f t="shared" si="2"/>
        <v>0</v>
      </c>
    </row>
    <row r="8" spans="3:20" ht="15" customHeight="1" thickBot="1">
      <c r="C8" s="899" t="s">
        <v>8243</v>
      </c>
      <c r="D8" s="1131" t="s">
        <v>8241</v>
      </c>
      <c r="E8" s="1132"/>
      <c r="F8" s="352">
        <f>+F154</f>
        <v>-493978822.14492595</v>
      </c>
      <c r="G8" s="352">
        <f t="shared" ref="G8:Q8" si="3">+G154</f>
        <v>973962762.6888001</v>
      </c>
      <c r="H8" s="352">
        <f t="shared" si="3"/>
        <v>674458340.56214225</v>
      </c>
      <c r="I8" s="352">
        <f t="shared" si="3"/>
        <v>-136307754</v>
      </c>
      <c r="J8" s="352">
        <f t="shared" si="3"/>
        <v>589388461.59000003</v>
      </c>
      <c r="K8" s="352">
        <f t="shared" si="3"/>
        <v>708292375.62000012</v>
      </c>
      <c r="L8" s="352">
        <f t="shared" si="3"/>
        <v>1762126557.9099998</v>
      </c>
      <c r="M8" s="352">
        <f t="shared" si="3"/>
        <v>214227648.06999993</v>
      </c>
      <c r="N8" s="352">
        <f t="shared" si="3"/>
        <v>-343799461.73000002</v>
      </c>
      <c r="O8" s="352">
        <f t="shared" si="3"/>
        <v>-1218772351.9300001</v>
      </c>
      <c r="P8" s="352">
        <f t="shared" si="3"/>
        <v>1174227648.0699999</v>
      </c>
      <c r="Q8" s="352">
        <f t="shared" si="3"/>
        <v>-380522351.93000007</v>
      </c>
    </row>
    <row r="9" spans="3:20" ht="15" customHeight="1">
      <c r="C9" s="897"/>
      <c r="D9" s="898"/>
      <c r="E9" s="898"/>
      <c r="F9" s="93"/>
      <c r="G9" s="93"/>
      <c r="H9" s="93"/>
      <c r="I9" s="93"/>
      <c r="J9" s="93"/>
      <c r="K9" s="93"/>
      <c r="L9" s="93"/>
      <c r="M9" s="93"/>
      <c r="N9" s="93"/>
      <c r="O9" s="93"/>
      <c r="P9" s="93"/>
      <c r="Q9" s="93"/>
    </row>
    <row r="11" spans="3:20" ht="15" customHeight="1" thickBot="1">
      <c r="F11" s="931">
        <v>45658</v>
      </c>
      <c r="G11" s="932">
        <v>45689</v>
      </c>
      <c r="H11" s="931">
        <v>45717</v>
      </c>
      <c r="I11" s="932">
        <v>45748</v>
      </c>
      <c r="J11" s="931">
        <v>45778</v>
      </c>
      <c r="K11" s="932">
        <v>45809</v>
      </c>
      <c r="L11" s="931">
        <v>45839</v>
      </c>
      <c r="M11" s="932">
        <v>45870</v>
      </c>
      <c r="N11" s="931">
        <v>45901</v>
      </c>
      <c r="O11" s="932">
        <v>45931</v>
      </c>
      <c r="P11" s="931">
        <v>45962</v>
      </c>
      <c r="Q11" s="931">
        <v>45992</v>
      </c>
    </row>
    <row r="12" spans="3:20" ht="15" customHeight="1">
      <c r="C12" s="1133" t="s">
        <v>9</v>
      </c>
      <c r="D12" s="1129"/>
      <c r="E12" s="1129"/>
      <c r="F12" s="933">
        <f>+F15+F18+F21+F24+F27+F30+F33+F36+F39+F42+F45+F48+F51+F54</f>
        <v>-228777906.51711115</v>
      </c>
      <c r="G12" s="933">
        <f>+G15+G18+G21+G24+G27+G30+G33+G36+G39+G42+G45+G48+G51+G54+G57+G60+G63+G66+G69+G75+G78+G81</f>
        <v>22701972.155555673</v>
      </c>
      <c r="H12" s="933">
        <f t="shared" ref="H12:Q12" si="4">+H15+H18+H21+H24+H27+H30+H33+H36+H39+H42+H45+H48+H51+H54+H57+H60+H63+H66+H69+H75+H78+H81</f>
        <v>1812107.6803667024</v>
      </c>
      <c r="I12" s="933">
        <f>+I15+I18+I21+I24+I27+I30+I33+I36+I39+I42+I45+I48+I51+I54+I57+I60+I63+I66+I69+I75+I78+I81+I72+I84+I87+I90</f>
        <v>-45384967</v>
      </c>
      <c r="J12" s="933">
        <f>+J15+J18+J21+J24+J27+J30+J33+J36+J39+J42+J45+J48+J51+J54+J57+J60+J63+J66+J69+J75+J78+J81+J84+J87+J90</f>
        <v>42844208</v>
      </c>
      <c r="K12" s="933">
        <f t="shared" si="4"/>
        <v>-288862059.76999998</v>
      </c>
      <c r="L12" s="933">
        <f t="shared" si="4"/>
        <v>167125235.04999998</v>
      </c>
      <c r="M12" s="933">
        <f t="shared" si="4"/>
        <v>433690124.39999998</v>
      </c>
      <c r="N12" s="933">
        <f t="shared" si="4"/>
        <v>7773648</v>
      </c>
      <c r="O12" s="933">
        <f t="shared" si="4"/>
        <v>0</v>
      </c>
      <c r="P12" s="933">
        <f t="shared" si="4"/>
        <v>0</v>
      </c>
      <c r="Q12" s="933">
        <f t="shared" si="4"/>
        <v>0</v>
      </c>
    </row>
    <row r="13" spans="3:20" ht="15" customHeight="1">
      <c r="C13" s="1112" t="s">
        <v>8240</v>
      </c>
      <c r="D13" s="1134" t="s">
        <v>8244</v>
      </c>
      <c r="E13" s="341" t="s">
        <v>8245</v>
      </c>
      <c r="F13" s="344"/>
      <c r="H13" s="2"/>
      <c r="I13" s="2"/>
      <c r="J13" s="1091">
        <v>214999224</v>
      </c>
      <c r="K13" s="2"/>
      <c r="L13" s="2"/>
      <c r="Q13" s="273"/>
    </row>
    <row r="14" spans="3:20" ht="15" customHeight="1">
      <c r="C14" s="1113"/>
      <c r="D14" s="1135"/>
      <c r="E14" s="340" t="s">
        <v>8246</v>
      </c>
      <c r="F14" s="344">
        <v>84835831.548888907</v>
      </c>
      <c r="G14" s="437">
        <v>98438131</v>
      </c>
      <c r="H14" s="437">
        <v>36633273.6666333</v>
      </c>
      <c r="I14" s="437">
        <v>23128911</v>
      </c>
      <c r="J14" s="1092">
        <v>3653537</v>
      </c>
      <c r="K14" s="2"/>
      <c r="L14" s="2"/>
      <c r="Q14" s="273"/>
    </row>
    <row r="15" spans="3:20" ht="15" customHeight="1" thickBot="1">
      <c r="C15" s="1114"/>
      <c r="D15" s="1136"/>
      <c r="E15" s="340" t="s">
        <v>9</v>
      </c>
      <c r="F15" s="345">
        <f>+F13-F14</f>
        <v>-84835831.548888907</v>
      </c>
      <c r="G15" s="345">
        <f t="shared" ref="G15" si="5">+G13-G14</f>
        <v>-98438131</v>
      </c>
      <c r="H15" s="345">
        <f>+H13-H14</f>
        <v>-36633273.6666333</v>
      </c>
      <c r="I15" s="345">
        <f>+I13-I14</f>
        <v>-23128911</v>
      </c>
      <c r="J15" s="284">
        <f t="shared" ref="J15:Q15" si="6">+J13-J14</f>
        <v>211345687</v>
      </c>
      <c r="K15" s="284">
        <f t="shared" si="6"/>
        <v>0</v>
      </c>
      <c r="L15" s="284">
        <f t="shared" si="6"/>
        <v>0</v>
      </c>
      <c r="M15" s="284">
        <f t="shared" si="6"/>
        <v>0</v>
      </c>
      <c r="N15" s="284">
        <f t="shared" si="6"/>
        <v>0</v>
      </c>
      <c r="O15" s="284">
        <f t="shared" si="6"/>
        <v>0</v>
      </c>
      <c r="P15" s="284">
        <f t="shared" si="6"/>
        <v>0</v>
      </c>
      <c r="Q15" s="346">
        <f t="shared" si="6"/>
        <v>0</v>
      </c>
    </row>
    <row r="16" spans="3:20" ht="15" customHeight="1">
      <c r="C16" s="1137" t="s">
        <v>8240</v>
      </c>
      <c r="D16" s="1115" t="s">
        <v>8247</v>
      </c>
      <c r="E16" s="341" t="s">
        <v>8245</v>
      </c>
      <c r="F16" s="344"/>
      <c r="G16" s="437">
        <v>6048000</v>
      </c>
      <c r="H16" s="437">
        <v>20000000</v>
      </c>
      <c r="I16" s="437">
        <v>11050000</v>
      </c>
      <c r="J16" s="2"/>
      <c r="K16" s="2"/>
      <c r="L16" s="2"/>
      <c r="Q16" s="273"/>
    </row>
    <row r="17" spans="3:17" ht="15" customHeight="1" thickBot="1">
      <c r="C17" s="1138"/>
      <c r="D17" s="1116"/>
      <c r="E17" s="340" t="s">
        <v>8246</v>
      </c>
      <c r="F17" s="344">
        <v>17635961.4477778</v>
      </c>
      <c r="G17" s="437">
        <v>17418388.41</v>
      </c>
      <c r="H17" s="437">
        <v>967528</v>
      </c>
      <c r="I17" s="437">
        <v>490133</v>
      </c>
      <c r="J17" s="1092">
        <v>230030</v>
      </c>
      <c r="K17" s="2">
        <f>6500000-J17</f>
        <v>6269970</v>
      </c>
      <c r="L17" s="2"/>
      <c r="Q17" s="273"/>
    </row>
    <row r="18" spans="3:17" ht="15" customHeight="1" thickBot="1">
      <c r="C18" s="1114"/>
      <c r="D18" s="1117"/>
      <c r="E18" s="340" t="s">
        <v>9</v>
      </c>
      <c r="F18" s="345">
        <f t="shared" ref="F18:Q18" si="7">+F16-F17</f>
        <v>-17635961.4477778</v>
      </c>
      <c r="G18" s="345">
        <f t="shared" si="7"/>
        <v>-11370388.41</v>
      </c>
      <c r="H18" s="284">
        <f t="shared" si="7"/>
        <v>19032472</v>
      </c>
      <c r="I18" s="284">
        <f t="shared" si="7"/>
        <v>10559867</v>
      </c>
      <c r="J18" s="284">
        <f t="shared" si="7"/>
        <v>-230030</v>
      </c>
      <c r="K18" s="284">
        <f t="shared" si="7"/>
        <v>-6269970</v>
      </c>
      <c r="L18" s="284">
        <f t="shared" si="7"/>
        <v>0</v>
      </c>
      <c r="M18" s="284">
        <f t="shared" si="7"/>
        <v>0</v>
      </c>
      <c r="N18" s="284">
        <f t="shared" si="7"/>
        <v>0</v>
      </c>
      <c r="O18" s="284">
        <f t="shared" si="7"/>
        <v>0</v>
      </c>
      <c r="P18" s="284">
        <f t="shared" si="7"/>
        <v>0</v>
      </c>
      <c r="Q18" s="346">
        <f t="shared" si="7"/>
        <v>0</v>
      </c>
    </row>
    <row r="19" spans="3:17" ht="15" customHeight="1">
      <c r="C19" s="1112" t="s">
        <v>8240</v>
      </c>
      <c r="D19" s="1109" t="s">
        <v>8248</v>
      </c>
      <c r="E19" s="341" t="s">
        <v>8245</v>
      </c>
      <c r="F19" s="344"/>
      <c r="H19" s="2"/>
      <c r="I19" s="2"/>
      <c r="J19" s="1092">
        <v>47267668</v>
      </c>
      <c r="K19" s="2">
        <v>0</v>
      </c>
      <c r="L19" s="2"/>
      <c r="Q19" s="273"/>
    </row>
    <row r="20" spans="3:17" ht="15" customHeight="1" thickBot="1">
      <c r="C20" s="1113"/>
      <c r="D20" s="1110"/>
      <c r="E20" s="340" t="s">
        <v>8246</v>
      </c>
      <c r="F20" s="344">
        <v>42577790.5</v>
      </c>
      <c r="G20" s="437">
        <v>13534818.194444399</v>
      </c>
      <c r="H20" s="437">
        <v>215220</v>
      </c>
      <c r="I20" s="437">
        <v>543880</v>
      </c>
      <c r="J20" s="1092">
        <v>338165</v>
      </c>
      <c r="K20" s="2">
        <f>3240900-J20</f>
        <v>2902735</v>
      </c>
      <c r="L20" s="2"/>
      <c r="Q20" s="273"/>
    </row>
    <row r="21" spans="3:17" ht="15" customHeight="1" thickBot="1">
      <c r="C21" s="1114"/>
      <c r="D21" s="1111"/>
      <c r="E21" s="340" t="s">
        <v>9</v>
      </c>
      <c r="F21" s="345">
        <f t="shared" ref="F21:Q21" si="8">+F19-F20</f>
        <v>-42577790.5</v>
      </c>
      <c r="G21" s="284">
        <f t="shared" si="8"/>
        <v>-13534818.194444399</v>
      </c>
      <c r="H21" s="284">
        <f t="shared" si="8"/>
        <v>-215220</v>
      </c>
      <c r="I21" s="284">
        <f t="shared" si="8"/>
        <v>-543880</v>
      </c>
      <c r="J21" s="284">
        <f t="shared" si="8"/>
        <v>46929503</v>
      </c>
      <c r="K21" s="284">
        <f t="shared" si="8"/>
        <v>-2902735</v>
      </c>
      <c r="L21" s="284">
        <f t="shared" si="8"/>
        <v>0</v>
      </c>
      <c r="M21" s="284">
        <f t="shared" si="8"/>
        <v>0</v>
      </c>
      <c r="N21" s="284">
        <f t="shared" si="8"/>
        <v>0</v>
      </c>
      <c r="O21" s="284">
        <f t="shared" si="8"/>
        <v>0</v>
      </c>
      <c r="P21" s="284">
        <f t="shared" si="8"/>
        <v>0</v>
      </c>
      <c r="Q21" s="346">
        <f t="shared" si="8"/>
        <v>0</v>
      </c>
    </row>
    <row r="22" spans="3:17" ht="12.45">
      <c r="C22" s="1112" t="s">
        <v>8240</v>
      </c>
      <c r="D22" s="1109" t="s">
        <v>8249</v>
      </c>
      <c r="E22" s="341" t="s">
        <v>8245</v>
      </c>
      <c r="F22" s="347"/>
      <c r="G22" s="235"/>
      <c r="H22" s="235"/>
      <c r="I22" s="235"/>
      <c r="J22" s="235"/>
      <c r="K22" s="235"/>
      <c r="L22" s="235"/>
      <c r="M22" s="235"/>
      <c r="N22" s="235"/>
      <c r="O22" s="268"/>
      <c r="P22" s="268"/>
      <c r="Q22" s="269"/>
    </row>
    <row r="23" spans="3:17" ht="15" customHeight="1" thickBot="1">
      <c r="C23" s="1113"/>
      <c r="D23" s="1110"/>
      <c r="E23" s="340" t="s">
        <v>8246</v>
      </c>
      <c r="F23" s="344">
        <v>22409610.687777799</v>
      </c>
      <c r="G23" s="437">
        <v>8130069.3333333302</v>
      </c>
      <c r="H23" s="437">
        <v>5418440</v>
      </c>
      <c r="I23" s="437">
        <v>436768</v>
      </c>
      <c r="J23" s="1092">
        <v>284728</v>
      </c>
      <c r="K23" s="2">
        <f>3000000-J23</f>
        <v>2715272</v>
      </c>
      <c r="L23" s="2"/>
      <c r="M23" s="2"/>
      <c r="Q23" s="273"/>
    </row>
    <row r="24" spans="3:17" ht="15" customHeight="1" thickBot="1">
      <c r="C24" s="1114"/>
      <c r="D24" s="1111"/>
      <c r="E24" s="340" t="s">
        <v>9</v>
      </c>
      <c r="F24" s="345">
        <f t="shared" ref="F24:Q24" si="9">+F22-F23</f>
        <v>-22409610.687777799</v>
      </c>
      <c r="G24" s="284">
        <f t="shared" si="9"/>
        <v>-8130069.3333333302</v>
      </c>
      <c r="H24" s="284">
        <f t="shared" si="9"/>
        <v>-5418440</v>
      </c>
      <c r="I24" s="284">
        <f t="shared" si="9"/>
        <v>-436768</v>
      </c>
      <c r="J24" s="284">
        <f t="shared" si="9"/>
        <v>-284728</v>
      </c>
      <c r="K24" s="284">
        <f t="shared" si="9"/>
        <v>-2715272</v>
      </c>
      <c r="L24" s="284">
        <f t="shared" si="9"/>
        <v>0</v>
      </c>
      <c r="M24" s="284">
        <f t="shared" si="9"/>
        <v>0</v>
      </c>
      <c r="N24" s="284">
        <f t="shared" si="9"/>
        <v>0</v>
      </c>
      <c r="O24" s="284">
        <f t="shared" si="9"/>
        <v>0</v>
      </c>
      <c r="P24" s="284">
        <f t="shared" si="9"/>
        <v>0</v>
      </c>
      <c r="Q24" s="346">
        <f t="shared" si="9"/>
        <v>0</v>
      </c>
    </row>
    <row r="25" spans="3:17" ht="15" customHeight="1">
      <c r="C25" s="1112" t="s">
        <v>8240</v>
      </c>
      <c r="D25" s="1109" t="s">
        <v>8250</v>
      </c>
      <c r="E25" s="341" t="s">
        <v>8245</v>
      </c>
      <c r="F25" s="347"/>
      <c r="G25" s="235">
        <v>248011038</v>
      </c>
      <c r="H25" s="235"/>
      <c r="I25" s="235"/>
      <c r="J25" s="1091">
        <v>0</v>
      </c>
      <c r="K25" s="235">
        <v>124005519</v>
      </c>
      <c r="L25" s="235">
        <v>248011038</v>
      </c>
      <c r="M25" s="235"/>
      <c r="N25" s="268"/>
      <c r="O25" s="268"/>
      <c r="P25" s="268"/>
      <c r="Q25" s="269"/>
    </row>
    <row r="26" spans="3:17" ht="15" customHeight="1">
      <c r="C26" s="1113"/>
      <c r="D26" s="1110"/>
      <c r="E26" s="340" t="s">
        <v>8246</v>
      </c>
      <c r="F26" s="344"/>
      <c r="G26" s="935">
        <v>5122679</v>
      </c>
      <c r="H26" s="935">
        <v>1967704</v>
      </c>
      <c r="I26" s="935">
        <v>3094800</v>
      </c>
      <c r="J26" s="1093">
        <v>9897174</v>
      </c>
      <c r="K26" s="236">
        <f>(620027595*70%)*30%+256421344.9-J26</f>
        <v>376729965.85000002</v>
      </c>
      <c r="L26" s="236">
        <f>(620027595*70%)*10%</f>
        <v>43401931.650000006</v>
      </c>
      <c r="Q26" s="273"/>
    </row>
    <row r="27" spans="3:17" ht="15" customHeight="1">
      <c r="C27" s="1114"/>
      <c r="D27" s="1111"/>
      <c r="E27" s="340" t="s">
        <v>9</v>
      </c>
      <c r="F27" s="345">
        <f t="shared" ref="F27:Q27" si="10">+F25-F26</f>
        <v>0</v>
      </c>
      <c r="G27" s="284">
        <f t="shared" si="10"/>
        <v>242888359</v>
      </c>
      <c r="H27" s="284">
        <f t="shared" si="10"/>
        <v>-1967704</v>
      </c>
      <c r="I27" s="284">
        <f t="shared" si="10"/>
        <v>-3094800</v>
      </c>
      <c r="J27" s="284">
        <f t="shared" si="10"/>
        <v>-9897174</v>
      </c>
      <c r="K27" s="284">
        <f t="shared" si="10"/>
        <v>-252724446.85000002</v>
      </c>
      <c r="L27" s="284">
        <f>+L25-L26</f>
        <v>204609106.34999999</v>
      </c>
      <c r="M27" s="284">
        <f t="shared" si="10"/>
        <v>0</v>
      </c>
      <c r="N27" s="284">
        <f t="shared" si="10"/>
        <v>0</v>
      </c>
      <c r="O27" s="284">
        <f t="shared" si="10"/>
        <v>0</v>
      </c>
      <c r="P27" s="284">
        <f t="shared" si="10"/>
        <v>0</v>
      </c>
      <c r="Q27" s="346">
        <f t="shared" si="10"/>
        <v>0</v>
      </c>
    </row>
    <row r="28" spans="3:17" ht="15" customHeight="1">
      <c r="C28" s="1112" t="s">
        <v>8240</v>
      </c>
      <c r="D28" s="1109" t="s">
        <v>6301</v>
      </c>
      <c r="E28" s="341" t="s">
        <v>8245</v>
      </c>
      <c r="F28" s="347"/>
      <c r="G28" s="936">
        <v>7640295</v>
      </c>
      <c r="H28" s="235"/>
      <c r="J28" s="1094">
        <v>2690245</v>
      </c>
      <c r="K28" s="416">
        <f>5810929-J28</f>
        <v>3120684</v>
      </c>
      <c r="L28" s="235"/>
      <c r="M28" s="235"/>
      <c r="N28" s="235"/>
      <c r="O28" s="235"/>
      <c r="P28" s="268"/>
      <c r="Q28" s="269"/>
    </row>
    <row r="29" spans="3:17" ht="15" customHeight="1" thickBot="1">
      <c r="C29" s="1113"/>
      <c r="D29" s="1110"/>
      <c r="E29" s="340" t="s">
        <v>8246</v>
      </c>
      <c r="F29" s="344">
        <v>3486294</v>
      </c>
      <c r="G29" s="437">
        <v>12007081.5833333</v>
      </c>
      <c r="H29" s="437">
        <v>4613468.3329999996</v>
      </c>
      <c r="I29" s="437">
        <v>645600</v>
      </c>
      <c r="J29" s="2"/>
      <c r="K29" s="2"/>
      <c r="L29" s="2"/>
      <c r="Q29" s="273"/>
    </row>
    <row r="30" spans="3:17" ht="15" customHeight="1" thickBot="1">
      <c r="C30" s="1114"/>
      <c r="D30" s="1111"/>
      <c r="E30" s="340" t="s">
        <v>9</v>
      </c>
      <c r="F30" s="345">
        <f t="shared" ref="F30:Q30" si="11">+F28-F29</f>
        <v>-3486294</v>
      </c>
      <c r="G30" s="284">
        <f t="shared" si="11"/>
        <v>-4366786.5833333004</v>
      </c>
      <c r="H30" s="284">
        <f t="shared" si="11"/>
        <v>-4613468.3329999996</v>
      </c>
      <c r="I30" s="284">
        <f t="shared" si="11"/>
        <v>-645600</v>
      </c>
      <c r="J30" s="284">
        <f t="shared" si="11"/>
        <v>2690245</v>
      </c>
      <c r="K30" s="284">
        <f t="shared" si="11"/>
        <v>3120684</v>
      </c>
      <c r="L30" s="284">
        <f t="shared" si="11"/>
        <v>0</v>
      </c>
      <c r="M30" s="284">
        <f t="shared" si="11"/>
        <v>0</v>
      </c>
      <c r="N30" s="284">
        <f t="shared" si="11"/>
        <v>0</v>
      </c>
      <c r="O30" s="284">
        <f t="shared" si="11"/>
        <v>0</v>
      </c>
      <c r="P30" s="284">
        <f t="shared" si="11"/>
        <v>0</v>
      </c>
      <c r="Q30" s="346">
        <f t="shared" si="11"/>
        <v>0</v>
      </c>
    </row>
    <row r="31" spans="3:17" ht="15" customHeight="1">
      <c r="C31" s="1112" t="s">
        <v>8240</v>
      </c>
      <c r="D31" s="1109" t="s">
        <v>8251</v>
      </c>
      <c r="E31" s="341" t="s">
        <v>8245</v>
      </c>
      <c r="F31" s="347"/>
      <c r="G31" s="936">
        <v>20000000</v>
      </c>
      <c r="H31" s="936">
        <v>15000000</v>
      </c>
      <c r="I31" s="235"/>
      <c r="J31" s="1091">
        <v>0</v>
      </c>
      <c r="K31" s="235">
        <v>10941216</v>
      </c>
      <c r="L31" s="235"/>
      <c r="M31" s="235"/>
      <c r="N31" s="235"/>
      <c r="O31" s="235"/>
      <c r="P31" s="268"/>
      <c r="Q31" s="269"/>
    </row>
    <row r="32" spans="3:17" ht="15" customHeight="1" thickBot="1">
      <c r="C32" s="1113"/>
      <c r="D32" s="1110"/>
      <c r="E32" s="340" t="s">
        <v>8246</v>
      </c>
      <c r="F32" s="344">
        <v>4034289.3326666662</v>
      </c>
      <c r="G32" s="437">
        <v>1371669</v>
      </c>
      <c r="H32" s="437">
        <v>1863179</v>
      </c>
      <c r="I32" s="437">
        <v>109184</v>
      </c>
      <c r="J32" s="1092">
        <v>560108</v>
      </c>
      <c r="K32" s="2">
        <f>3118465-J32</f>
        <v>2558357</v>
      </c>
      <c r="L32" s="2"/>
      <c r="M32" s="2"/>
      <c r="N32" s="2"/>
      <c r="O32" s="2"/>
      <c r="Q32" s="273"/>
    </row>
    <row r="33" spans="3:17" ht="15" customHeight="1" thickBot="1">
      <c r="C33" s="1114"/>
      <c r="D33" s="1111"/>
      <c r="E33" s="340" t="s">
        <v>9</v>
      </c>
      <c r="F33" s="345">
        <f t="shared" ref="F33:Q33" si="12">+F31-F32</f>
        <v>-4034289.3326666662</v>
      </c>
      <c r="G33" s="284">
        <f t="shared" si="12"/>
        <v>18628331</v>
      </c>
      <c r="H33" s="284">
        <f t="shared" si="12"/>
        <v>13136821</v>
      </c>
      <c r="I33" s="284">
        <f t="shared" si="12"/>
        <v>-109184</v>
      </c>
      <c r="J33" s="284">
        <f t="shared" si="12"/>
        <v>-560108</v>
      </c>
      <c r="K33" s="284">
        <f t="shared" si="12"/>
        <v>8382859</v>
      </c>
      <c r="L33" s="284">
        <f t="shared" si="12"/>
        <v>0</v>
      </c>
      <c r="M33" s="284">
        <f t="shared" si="12"/>
        <v>0</v>
      </c>
      <c r="N33" s="284">
        <f t="shared" si="12"/>
        <v>0</v>
      </c>
      <c r="O33" s="284">
        <f t="shared" si="12"/>
        <v>0</v>
      </c>
      <c r="P33" s="284">
        <f t="shared" si="12"/>
        <v>0</v>
      </c>
      <c r="Q33" s="346">
        <f t="shared" si="12"/>
        <v>0</v>
      </c>
    </row>
    <row r="34" spans="3:17" ht="15" customHeight="1" thickBot="1">
      <c r="C34" s="1112" t="s">
        <v>8240</v>
      </c>
      <c r="D34" s="1139" t="s">
        <v>6926</v>
      </c>
      <c r="E34" s="896" t="s">
        <v>8245</v>
      </c>
      <c r="F34" s="235"/>
      <c r="G34" s="936">
        <v>21000000</v>
      </c>
      <c r="H34" s="235"/>
      <c r="J34" s="1091">
        <v>0</v>
      </c>
      <c r="K34" s="235">
        <v>13324891</v>
      </c>
      <c r="L34" s="235"/>
      <c r="M34" s="268"/>
      <c r="N34" s="268"/>
      <c r="O34" s="268"/>
      <c r="P34" s="268"/>
      <c r="Q34" s="269"/>
    </row>
    <row r="35" spans="3:17" ht="15" customHeight="1" thickBot="1">
      <c r="C35" s="1113"/>
      <c r="D35" s="1110"/>
      <c r="E35" s="895" t="s">
        <v>8246</v>
      </c>
      <c r="F35" s="344">
        <v>481281</v>
      </c>
      <c r="G35" s="437">
        <v>18906346</v>
      </c>
      <c r="H35" s="437">
        <v>11256192</v>
      </c>
      <c r="I35" s="437">
        <v>2740565</v>
      </c>
      <c r="J35" s="1092">
        <v>285904</v>
      </c>
      <c r="K35" s="2">
        <f>15235221.2-J35</f>
        <v>14949317.199999999</v>
      </c>
      <c r="L35" s="2"/>
      <c r="Q35" s="273"/>
    </row>
    <row r="36" spans="3:17" ht="15" customHeight="1" thickBot="1">
      <c r="C36" s="1114"/>
      <c r="D36" s="1111"/>
      <c r="E36" s="340" t="s">
        <v>9</v>
      </c>
      <c r="F36" s="348">
        <f t="shared" ref="F36:Q36" si="13">+F34-F35</f>
        <v>-481281</v>
      </c>
      <c r="G36" s="349">
        <f t="shared" si="13"/>
        <v>2093654</v>
      </c>
      <c r="H36" s="349">
        <f t="shared" si="13"/>
        <v>-11256192</v>
      </c>
      <c r="I36" s="349">
        <f>+H34-I35</f>
        <v>-2740565</v>
      </c>
      <c r="J36" s="349">
        <f t="shared" si="13"/>
        <v>-285904</v>
      </c>
      <c r="K36" s="349">
        <f t="shared" si="13"/>
        <v>-1624426.1999999993</v>
      </c>
      <c r="L36" s="349">
        <f t="shared" si="13"/>
        <v>0</v>
      </c>
      <c r="M36" s="349">
        <f t="shared" si="13"/>
        <v>0</v>
      </c>
      <c r="N36" s="349">
        <f t="shared" si="13"/>
        <v>0</v>
      </c>
      <c r="O36" s="349">
        <f t="shared" si="13"/>
        <v>0</v>
      </c>
      <c r="P36" s="349">
        <f t="shared" si="13"/>
        <v>0</v>
      </c>
      <c r="Q36" s="350">
        <f t="shared" si="13"/>
        <v>0</v>
      </c>
    </row>
    <row r="37" spans="3:17" ht="15" customHeight="1">
      <c r="C37" s="1112" t="s">
        <v>8240</v>
      </c>
      <c r="D37" s="1109" t="s">
        <v>8252</v>
      </c>
      <c r="E37" s="341" t="s">
        <v>8245</v>
      </c>
      <c r="F37" s="347"/>
      <c r="G37" s="235"/>
      <c r="I37" s="235"/>
      <c r="J37" s="235"/>
      <c r="K37" s="235">
        <v>23010562.800000001</v>
      </c>
      <c r="L37" s="235">
        <v>5752640.7000000002</v>
      </c>
      <c r="M37" s="268"/>
      <c r="N37" s="268"/>
      <c r="O37" s="268"/>
      <c r="P37" s="268"/>
      <c r="Q37" s="269"/>
    </row>
    <row r="38" spans="3:17" ht="15" customHeight="1" thickBot="1">
      <c r="C38" s="1113"/>
      <c r="D38" s="1110"/>
      <c r="E38" s="340" t="s">
        <v>8246</v>
      </c>
      <c r="F38" s="13">
        <v>388682</v>
      </c>
      <c r="H38" s="437">
        <v>13338348</v>
      </c>
      <c r="I38" s="437">
        <v>7650253</v>
      </c>
      <c r="J38" s="1092">
        <v>8445890</v>
      </c>
      <c r="K38" s="2">
        <f>18138512-2850000-J38</f>
        <v>6842622</v>
      </c>
      <c r="L38" s="2">
        <v>18138512</v>
      </c>
      <c r="Q38" s="273"/>
    </row>
    <row r="39" spans="3:17" ht="15" customHeight="1" thickBot="1">
      <c r="C39" s="1114"/>
      <c r="D39" s="1111"/>
      <c r="E39" s="340" t="s">
        <v>9</v>
      </c>
      <c r="F39" s="348">
        <f t="shared" ref="F39" si="14">+F37-F38</f>
        <v>-388682</v>
      </c>
      <c r="G39" s="349">
        <f t="shared" ref="G39:L39" si="15">+G37-G38</f>
        <v>0</v>
      </c>
      <c r="H39" s="349">
        <f t="shared" si="15"/>
        <v>-13338348</v>
      </c>
      <c r="I39" s="349">
        <f t="shared" si="15"/>
        <v>-7650253</v>
      </c>
      <c r="J39" s="349">
        <f t="shared" si="15"/>
        <v>-8445890</v>
      </c>
      <c r="K39" s="349">
        <f t="shared" si="15"/>
        <v>16167940.800000001</v>
      </c>
      <c r="L39" s="349">
        <f t="shared" si="15"/>
        <v>-12385871.300000001</v>
      </c>
      <c r="M39" s="349">
        <f t="shared" ref="M39" si="16">+M37-M38</f>
        <v>0</v>
      </c>
      <c r="N39" s="349">
        <f t="shared" ref="N39" si="17">+N37-N38</f>
        <v>0</v>
      </c>
      <c r="O39" s="349">
        <f t="shared" ref="O39" si="18">+O37-O38</f>
        <v>0</v>
      </c>
      <c r="P39" s="349">
        <f t="shared" ref="P39" si="19">+P37-P38</f>
        <v>0</v>
      </c>
      <c r="Q39" s="350">
        <f t="shared" ref="Q39" si="20">+Q37-Q38</f>
        <v>0</v>
      </c>
    </row>
    <row r="40" spans="3:17" ht="15" customHeight="1">
      <c r="C40" s="1112" t="s">
        <v>8240</v>
      </c>
      <c r="D40" s="1109" t="s">
        <v>7307</v>
      </c>
      <c r="E40" s="341" t="s">
        <v>8245</v>
      </c>
      <c r="F40" s="347"/>
      <c r="G40" s="235"/>
      <c r="H40" s="936">
        <v>95933163</v>
      </c>
      <c r="I40" s="235"/>
      <c r="J40" s="1091">
        <v>0</v>
      </c>
      <c r="K40" s="235">
        <f>+I40</f>
        <v>0</v>
      </c>
      <c r="L40" s="235"/>
      <c r="M40" s="235">
        <f>239832910-H40-J40</f>
        <v>143899747</v>
      </c>
      <c r="N40" s="268"/>
      <c r="O40" s="268"/>
      <c r="P40" s="268"/>
      <c r="Q40" s="269"/>
    </row>
    <row r="41" spans="3:17" ht="15" customHeight="1" thickBot="1">
      <c r="C41" s="1113"/>
      <c r="D41" s="1110"/>
      <c r="E41" s="340" t="s">
        <v>8246</v>
      </c>
      <c r="F41" s="344">
        <v>37507000</v>
      </c>
      <c r="G41" s="437">
        <v>1032719</v>
      </c>
      <c r="H41" s="437">
        <v>14343109</v>
      </c>
      <c r="I41" s="437">
        <v>16319703</v>
      </c>
      <c r="J41" s="1092">
        <v>16271337</v>
      </c>
      <c r="K41" s="2">
        <f>239000000*70%*20%+102766891-J41</f>
        <v>119955554</v>
      </c>
      <c r="L41" s="2">
        <f>239000000*70%*10%</f>
        <v>16730000</v>
      </c>
      <c r="M41" s="934"/>
      <c r="Q41" s="273"/>
    </row>
    <row r="42" spans="3:17" ht="15" customHeight="1" thickBot="1">
      <c r="C42" s="1114"/>
      <c r="D42" s="1111"/>
      <c r="E42" s="340" t="s">
        <v>9</v>
      </c>
      <c r="F42" s="348">
        <f t="shared" ref="F42:Q42" si="21">+F40-F41</f>
        <v>-37507000</v>
      </c>
      <c r="G42" s="349">
        <f t="shared" si="21"/>
        <v>-1032719</v>
      </c>
      <c r="H42" s="349">
        <f t="shared" si="21"/>
        <v>81590054</v>
      </c>
      <c r="I42" s="349">
        <f t="shared" si="21"/>
        <v>-16319703</v>
      </c>
      <c r="J42" s="349">
        <f t="shared" si="21"/>
        <v>-16271337</v>
      </c>
      <c r="K42" s="349">
        <f t="shared" si="21"/>
        <v>-119955554</v>
      </c>
      <c r="L42" s="349">
        <f t="shared" si="21"/>
        <v>-16730000</v>
      </c>
      <c r="M42" s="900">
        <f t="shared" si="21"/>
        <v>143899747</v>
      </c>
      <c r="N42" s="349">
        <f t="shared" si="21"/>
        <v>0</v>
      </c>
      <c r="O42" s="349">
        <f t="shared" si="21"/>
        <v>0</v>
      </c>
      <c r="P42" s="349">
        <f t="shared" si="21"/>
        <v>0</v>
      </c>
      <c r="Q42" s="350">
        <f t="shared" si="21"/>
        <v>0</v>
      </c>
    </row>
    <row r="43" spans="3:17" ht="15" customHeight="1">
      <c r="C43" s="1112" t="s">
        <v>8240</v>
      </c>
      <c r="D43" s="1109" t="s">
        <v>8253</v>
      </c>
      <c r="E43" s="341" t="s">
        <v>8245</v>
      </c>
      <c r="F43" s="347"/>
      <c r="G43" s="235"/>
      <c r="H43" s="235"/>
      <c r="I43" s="235"/>
      <c r="J43" s="235"/>
      <c r="K43" s="235">
        <v>167420892</v>
      </c>
      <c r="L43" s="235"/>
      <c r="M43" s="901"/>
      <c r="N43" s="268"/>
      <c r="O43" s="268"/>
      <c r="P43" s="268"/>
      <c r="Q43" s="269"/>
    </row>
    <row r="44" spans="3:17" ht="15" customHeight="1" thickBot="1">
      <c r="C44" s="1113"/>
      <c r="D44" s="1110"/>
      <c r="E44" s="340" t="s">
        <v>8246</v>
      </c>
      <c r="F44" s="344">
        <v>14280000</v>
      </c>
      <c r="G44" s="437">
        <v>80402582.333333299</v>
      </c>
      <c r="H44" s="437">
        <v>118959511</v>
      </c>
      <c r="I44" s="437">
        <v>35526045</v>
      </c>
      <c r="J44" s="1092">
        <v>1654013</v>
      </c>
      <c r="L44" s="2"/>
      <c r="M44" s="934"/>
      <c r="Q44" s="273"/>
    </row>
    <row r="45" spans="3:17" ht="15" customHeight="1" thickBot="1">
      <c r="C45" s="1114"/>
      <c r="D45" s="1111"/>
      <c r="E45" s="340" t="s">
        <v>9</v>
      </c>
      <c r="F45" s="348">
        <f t="shared" ref="F45:Q45" si="22">+F43-F44</f>
        <v>-14280000</v>
      </c>
      <c r="G45" s="349">
        <f t="shared" si="22"/>
        <v>-80402582.333333299</v>
      </c>
      <c r="H45" s="349">
        <f t="shared" si="22"/>
        <v>-118959511</v>
      </c>
      <c r="I45" s="349">
        <f t="shared" si="22"/>
        <v>-35526045</v>
      </c>
      <c r="J45" s="349">
        <f t="shared" si="22"/>
        <v>-1654013</v>
      </c>
      <c r="K45" s="349">
        <f t="shared" si="22"/>
        <v>167420892</v>
      </c>
      <c r="L45" s="349">
        <f t="shared" si="22"/>
        <v>0</v>
      </c>
      <c r="M45" s="900">
        <f t="shared" si="22"/>
        <v>0</v>
      </c>
      <c r="N45" s="349">
        <f t="shared" si="22"/>
        <v>0</v>
      </c>
      <c r="O45" s="349">
        <f t="shared" si="22"/>
        <v>0</v>
      </c>
      <c r="P45" s="349">
        <f t="shared" si="22"/>
        <v>0</v>
      </c>
      <c r="Q45" s="350">
        <f t="shared" si="22"/>
        <v>0</v>
      </c>
    </row>
    <row r="46" spans="3:17" ht="15" customHeight="1">
      <c r="C46" s="1112" t="s">
        <v>8240</v>
      </c>
      <c r="D46" s="1109" t="s">
        <v>8254</v>
      </c>
      <c r="E46" s="341" t="s">
        <v>8245</v>
      </c>
      <c r="F46" s="347"/>
      <c r="G46" s="235"/>
      <c r="H46" s="235"/>
      <c r="I46" s="235"/>
      <c r="J46" s="1091">
        <v>0</v>
      </c>
      <c r="K46" s="235">
        <v>31094592</v>
      </c>
      <c r="L46" s="235"/>
      <c r="M46" s="901"/>
      <c r="N46" s="268">
        <v>7773648</v>
      </c>
      <c r="O46" s="268"/>
      <c r="P46" s="268"/>
      <c r="Q46" s="269"/>
    </row>
    <row r="47" spans="3:17" ht="15" customHeight="1" thickBot="1">
      <c r="C47" s="1113"/>
      <c r="D47" s="1110"/>
      <c r="E47" s="340" t="s">
        <v>8246</v>
      </c>
      <c r="F47" s="344"/>
      <c r="H47" s="2"/>
      <c r="I47" s="437">
        <v>9513649</v>
      </c>
      <c r="J47" s="1092">
        <v>4408440</v>
      </c>
      <c r="K47" s="2">
        <f>34000000-J47</f>
        <v>29591560</v>
      </c>
      <c r="L47" s="2"/>
      <c r="M47" s="934">
        <v>5441553.6000000006</v>
      </c>
      <c r="Q47" s="273"/>
    </row>
    <row r="48" spans="3:17" ht="15" customHeight="1" thickBot="1">
      <c r="C48" s="1114"/>
      <c r="D48" s="1111"/>
      <c r="E48" s="340" t="s">
        <v>9</v>
      </c>
      <c r="F48" s="348">
        <f t="shared" ref="F48:Q48" si="23">+F46-F47</f>
        <v>0</v>
      </c>
      <c r="G48" s="349">
        <f t="shared" si="23"/>
        <v>0</v>
      </c>
      <c r="H48" s="349">
        <f t="shared" si="23"/>
        <v>0</v>
      </c>
      <c r="I48" s="349">
        <f t="shared" si="23"/>
        <v>-9513649</v>
      </c>
      <c r="J48" s="349">
        <f t="shared" si="23"/>
        <v>-4408440</v>
      </c>
      <c r="K48" s="349">
        <f t="shared" si="23"/>
        <v>1503032</v>
      </c>
      <c r="L48" s="349">
        <f t="shared" si="23"/>
        <v>0</v>
      </c>
      <c r="M48" s="900">
        <f t="shared" si="23"/>
        <v>-5441553.6000000006</v>
      </c>
      <c r="N48" s="349">
        <f t="shared" si="23"/>
        <v>7773648</v>
      </c>
      <c r="O48" s="349">
        <f t="shared" si="23"/>
        <v>0</v>
      </c>
      <c r="P48" s="349">
        <f t="shared" si="23"/>
        <v>0</v>
      </c>
      <c r="Q48" s="350">
        <f t="shared" si="23"/>
        <v>0</v>
      </c>
    </row>
    <row r="49" spans="3:17" ht="15" customHeight="1">
      <c r="C49" s="1112" t="s">
        <v>8240</v>
      </c>
      <c r="D49" s="1109" t="s">
        <v>8255</v>
      </c>
      <c r="E49" s="341" t="s">
        <v>8245</v>
      </c>
      <c r="F49" s="347"/>
      <c r="G49" s="235"/>
      <c r="H49" s="235"/>
      <c r="I49" s="235">
        <v>29374973</v>
      </c>
      <c r="J49" s="235"/>
      <c r="K49" s="235"/>
      <c r="L49" s="235"/>
      <c r="M49" s="901"/>
      <c r="N49" s="268"/>
      <c r="O49" s="268"/>
      <c r="P49" s="268"/>
      <c r="Q49" s="269"/>
    </row>
    <row r="50" spans="3:17" ht="15" customHeight="1" thickBot="1">
      <c r="C50" s="1113"/>
      <c r="D50" s="1110"/>
      <c r="E50" s="340" t="s">
        <v>8246</v>
      </c>
      <c r="F50" s="344">
        <v>313166</v>
      </c>
      <c r="G50" s="437">
        <v>25542779</v>
      </c>
      <c r="H50" s="437">
        <v>9764782</v>
      </c>
      <c r="I50" s="437">
        <v>219568</v>
      </c>
      <c r="J50" s="1092">
        <v>174944</v>
      </c>
      <c r="K50" s="2">
        <f>3388190.84-J50</f>
        <v>3213246.84</v>
      </c>
      <c r="L50" s="2"/>
      <c r="M50" s="934"/>
      <c r="Q50" s="273"/>
    </row>
    <row r="51" spans="3:17" ht="15" customHeight="1" thickBot="1">
      <c r="C51" s="1114"/>
      <c r="D51" s="1111"/>
      <c r="E51" s="340" t="s">
        <v>9</v>
      </c>
      <c r="F51" s="348">
        <f t="shared" ref="F51:Q51" si="24">+F49-F50</f>
        <v>-313166</v>
      </c>
      <c r="G51" s="349">
        <f t="shared" si="24"/>
        <v>-25542779</v>
      </c>
      <c r="H51" s="349">
        <f t="shared" si="24"/>
        <v>-9764782</v>
      </c>
      <c r="I51" s="349">
        <f t="shared" si="24"/>
        <v>29155405</v>
      </c>
      <c r="J51" s="349">
        <f t="shared" si="24"/>
        <v>-174944</v>
      </c>
      <c r="K51" s="349">
        <f t="shared" si="24"/>
        <v>-3213246.84</v>
      </c>
      <c r="L51" s="349">
        <f t="shared" si="24"/>
        <v>0</v>
      </c>
      <c r="M51" s="900">
        <f t="shared" si="24"/>
        <v>0</v>
      </c>
      <c r="N51" s="349">
        <f t="shared" si="24"/>
        <v>0</v>
      </c>
      <c r="O51" s="349">
        <f t="shared" si="24"/>
        <v>0</v>
      </c>
      <c r="P51" s="349">
        <f t="shared" si="24"/>
        <v>0</v>
      </c>
      <c r="Q51" s="350">
        <f t="shared" si="24"/>
        <v>0</v>
      </c>
    </row>
    <row r="52" spans="3:17" ht="15" customHeight="1">
      <c r="C52" s="1112" t="s">
        <v>8240</v>
      </c>
      <c r="D52" s="1109" t="s">
        <v>8256</v>
      </c>
      <c r="E52" s="929" t="s">
        <v>8245</v>
      </c>
      <c r="F52" s="235"/>
      <c r="G52" s="235"/>
      <c r="H52" s="936">
        <v>126411931</v>
      </c>
      <c r="I52" s="235"/>
      <c r="J52" s="235"/>
      <c r="K52" s="235"/>
      <c r="L52" s="235"/>
      <c r="M52" s="901">
        <v>126411931</v>
      </c>
      <c r="N52" s="268"/>
      <c r="O52" s="268"/>
      <c r="P52" s="268"/>
      <c r="Q52" s="269"/>
    </row>
    <row r="53" spans="3:17" ht="15" customHeight="1" thickBot="1">
      <c r="C53" s="1113"/>
      <c r="D53" s="1110"/>
      <c r="E53" s="930" t="s">
        <v>8246</v>
      </c>
      <c r="F53" s="2">
        <v>828000</v>
      </c>
      <c r="G53" s="437">
        <v>4054716</v>
      </c>
      <c r="H53" s="437">
        <v>37721501</v>
      </c>
      <c r="I53" s="437">
        <v>63730258</v>
      </c>
      <c r="J53" s="1092">
        <v>47126266</v>
      </c>
      <c r="K53" s="2">
        <v>35395340.68</v>
      </c>
      <c r="L53" s="2"/>
      <c r="M53" s="934"/>
      <c r="Q53" s="273"/>
    </row>
    <row r="54" spans="3:17" ht="15" customHeight="1" thickBot="1">
      <c r="C54" s="1114"/>
      <c r="D54" s="1111"/>
      <c r="E54" s="930" t="s">
        <v>9</v>
      </c>
      <c r="F54" s="902">
        <f t="shared" ref="F54:Q54" si="25">+F52-F53</f>
        <v>-828000</v>
      </c>
      <c r="G54" s="349">
        <f t="shared" si="25"/>
        <v>-4054716</v>
      </c>
      <c r="H54" s="349">
        <f t="shared" si="25"/>
        <v>88690430</v>
      </c>
      <c r="I54" s="349">
        <f t="shared" si="25"/>
        <v>-63730258</v>
      </c>
      <c r="J54" s="349">
        <f t="shared" si="25"/>
        <v>-47126266</v>
      </c>
      <c r="K54" s="349">
        <f t="shared" si="25"/>
        <v>-35395340.68</v>
      </c>
      <c r="L54" s="349">
        <f t="shared" si="25"/>
        <v>0</v>
      </c>
      <c r="M54" s="349">
        <f t="shared" si="25"/>
        <v>126411931</v>
      </c>
      <c r="N54" s="349">
        <f t="shared" si="25"/>
        <v>0</v>
      </c>
      <c r="O54" s="349">
        <f t="shared" si="25"/>
        <v>0</v>
      </c>
      <c r="P54" s="349">
        <f t="shared" si="25"/>
        <v>0</v>
      </c>
      <c r="Q54" s="350">
        <f t="shared" si="25"/>
        <v>0</v>
      </c>
    </row>
    <row r="55" spans="3:17" ht="15" customHeight="1">
      <c r="C55" s="1112" t="s">
        <v>8240</v>
      </c>
      <c r="D55" s="1115" t="s">
        <v>8161</v>
      </c>
      <c r="E55" s="929" t="s">
        <v>8245</v>
      </c>
      <c r="F55" s="235"/>
      <c r="G55" s="235"/>
      <c r="H55"/>
      <c r="I55" s="2"/>
      <c r="J55" s="2"/>
      <c r="K55" s="2"/>
      <c r="L55" s="2"/>
      <c r="M55" s="2"/>
      <c r="N55" s="2"/>
      <c r="O55" s="2"/>
      <c r="P55" s="2"/>
      <c r="Q55" s="376"/>
    </row>
    <row r="56" spans="3:17" ht="15" customHeight="1" thickBot="1">
      <c r="C56" s="1113"/>
      <c r="D56" s="1116"/>
      <c r="E56" s="930" t="s">
        <v>8246</v>
      </c>
      <c r="F56" s="2">
        <v>195800</v>
      </c>
      <c r="G56" s="437">
        <v>5623160.3300000001</v>
      </c>
      <c r="H56"/>
      <c r="I56" s="2"/>
      <c r="J56" s="2"/>
      <c r="K56" s="2"/>
      <c r="L56" s="2"/>
      <c r="M56" s="2"/>
      <c r="N56" s="2"/>
      <c r="O56" s="2"/>
      <c r="P56" s="2"/>
      <c r="Q56" s="376"/>
    </row>
    <row r="57" spans="3:17" ht="15" customHeight="1" thickBot="1">
      <c r="C57" s="1114"/>
      <c r="D57" s="1117"/>
      <c r="E57" s="930" t="s">
        <v>9</v>
      </c>
      <c r="F57" s="902">
        <f t="shared" ref="F57:Q57" si="26">+F55-F56</f>
        <v>-195800</v>
      </c>
      <c r="G57" s="349">
        <f t="shared" si="26"/>
        <v>-5623160.3300000001</v>
      </c>
      <c r="H57" s="349">
        <f t="shared" si="26"/>
        <v>0</v>
      </c>
      <c r="I57" s="349">
        <f t="shared" si="26"/>
        <v>0</v>
      </c>
      <c r="J57" s="349">
        <f t="shared" si="26"/>
        <v>0</v>
      </c>
      <c r="K57" s="349">
        <f t="shared" si="26"/>
        <v>0</v>
      </c>
      <c r="L57" s="349">
        <f t="shared" si="26"/>
        <v>0</v>
      </c>
      <c r="M57" s="349">
        <f t="shared" si="26"/>
        <v>0</v>
      </c>
      <c r="N57" s="349">
        <f t="shared" si="26"/>
        <v>0</v>
      </c>
      <c r="O57" s="349">
        <f t="shared" si="26"/>
        <v>0</v>
      </c>
      <c r="P57" s="349">
        <f t="shared" si="26"/>
        <v>0</v>
      </c>
      <c r="Q57" s="350">
        <f t="shared" si="26"/>
        <v>0</v>
      </c>
    </row>
    <row r="58" spans="3:17" ht="15" customHeight="1">
      <c r="C58" s="1112" t="s">
        <v>8240</v>
      </c>
      <c r="D58" s="1115" t="s">
        <v>8257</v>
      </c>
      <c r="E58" s="929" t="s">
        <v>8245</v>
      </c>
      <c r="F58" s="235"/>
      <c r="G58" s="235"/>
      <c r="H58" s="437">
        <v>25998052.68</v>
      </c>
      <c r="I58" s="2"/>
      <c r="J58" s="2"/>
      <c r="K58" s="2"/>
      <c r="L58" s="2"/>
      <c r="M58" s="2"/>
      <c r="N58" s="2"/>
      <c r="O58" s="2"/>
      <c r="P58" s="2"/>
      <c r="Q58" s="376"/>
    </row>
    <row r="59" spans="3:17" ht="15" customHeight="1" thickBot="1">
      <c r="C59" s="1113"/>
      <c r="D59" s="1116"/>
      <c r="E59" s="930" t="s">
        <v>8246</v>
      </c>
      <c r="F59" s="2">
        <v>300000</v>
      </c>
      <c r="G59" s="437">
        <v>5863160.3300000001</v>
      </c>
      <c r="H59"/>
      <c r="I59" s="2"/>
      <c r="J59" s="2"/>
      <c r="K59" s="2"/>
      <c r="L59" s="2"/>
      <c r="M59" s="2"/>
      <c r="N59" s="2"/>
      <c r="O59" s="2"/>
      <c r="P59" s="2"/>
      <c r="Q59" s="376"/>
    </row>
    <row r="60" spans="3:17" ht="15" customHeight="1" thickBot="1">
      <c r="C60" s="1114"/>
      <c r="D60" s="1117"/>
      <c r="E60" s="930" t="s">
        <v>9</v>
      </c>
      <c r="F60" s="902">
        <f t="shared" ref="F60:Q60" si="27">+F58-F59</f>
        <v>-300000</v>
      </c>
      <c r="G60" s="349">
        <f t="shared" si="27"/>
        <v>-5863160.3300000001</v>
      </c>
      <c r="H60" s="349">
        <f t="shared" si="27"/>
        <v>25998052.68</v>
      </c>
      <c r="I60" s="349">
        <f t="shared" si="27"/>
        <v>0</v>
      </c>
      <c r="J60" s="349">
        <f t="shared" si="27"/>
        <v>0</v>
      </c>
      <c r="K60" s="349">
        <f t="shared" si="27"/>
        <v>0</v>
      </c>
      <c r="L60" s="349">
        <f t="shared" si="27"/>
        <v>0</v>
      </c>
      <c r="M60" s="349">
        <f t="shared" si="27"/>
        <v>0</v>
      </c>
      <c r="N60" s="349">
        <f t="shared" si="27"/>
        <v>0</v>
      </c>
      <c r="O60" s="349">
        <f t="shared" si="27"/>
        <v>0</v>
      </c>
      <c r="P60" s="349">
        <f t="shared" si="27"/>
        <v>0</v>
      </c>
      <c r="Q60" s="350">
        <f t="shared" si="27"/>
        <v>0</v>
      </c>
    </row>
    <row r="61" spans="3:17" ht="15" customHeight="1">
      <c r="C61" s="1112" t="s">
        <v>8240</v>
      </c>
      <c r="D61" s="1115" t="s">
        <v>8258</v>
      </c>
      <c r="E61" s="929" t="s">
        <v>8245</v>
      </c>
      <c r="F61" s="235"/>
      <c r="G61" s="235"/>
      <c r="H61"/>
      <c r="I61" s="2"/>
      <c r="J61" s="2"/>
      <c r="K61" s="2"/>
      <c r="L61" s="2"/>
      <c r="M61" s="2"/>
      <c r="N61" s="2"/>
      <c r="O61" s="2"/>
      <c r="P61" s="2"/>
      <c r="Q61" s="376"/>
    </row>
    <row r="62" spans="3:17" ht="15" customHeight="1" thickBot="1">
      <c r="C62" s="1113"/>
      <c r="D62" s="1116"/>
      <c r="E62" s="930" t="s">
        <v>8246</v>
      </c>
      <c r="F62" s="2"/>
      <c r="G62" s="437">
        <v>4379744.33</v>
      </c>
      <c r="H62"/>
      <c r="I62" s="437">
        <v>3000000</v>
      </c>
      <c r="J62" s="2"/>
      <c r="K62" s="2"/>
      <c r="L62" s="2"/>
      <c r="M62" s="2"/>
      <c r="N62" s="2"/>
      <c r="O62" s="2"/>
      <c r="P62" s="2"/>
      <c r="Q62" s="376"/>
    </row>
    <row r="63" spans="3:17" ht="15" customHeight="1" thickBot="1">
      <c r="C63" s="1114"/>
      <c r="D63" s="1117"/>
      <c r="E63" s="930" t="s">
        <v>9</v>
      </c>
      <c r="F63" s="902">
        <f t="shared" ref="F63:Q63" si="28">+F61-F62</f>
        <v>0</v>
      </c>
      <c r="G63" s="349">
        <f t="shared" si="28"/>
        <v>-4379744.33</v>
      </c>
      <c r="H63" s="349">
        <f t="shared" si="28"/>
        <v>0</v>
      </c>
      <c r="I63" s="349">
        <f t="shared" si="28"/>
        <v>-3000000</v>
      </c>
      <c r="J63" s="349">
        <f t="shared" si="28"/>
        <v>0</v>
      </c>
      <c r="K63" s="349">
        <f t="shared" si="28"/>
        <v>0</v>
      </c>
      <c r="L63" s="349">
        <f t="shared" si="28"/>
        <v>0</v>
      </c>
      <c r="M63" s="349">
        <f t="shared" si="28"/>
        <v>0</v>
      </c>
      <c r="N63" s="349">
        <f t="shared" si="28"/>
        <v>0</v>
      </c>
      <c r="O63" s="349">
        <f t="shared" si="28"/>
        <v>0</v>
      </c>
      <c r="P63" s="349">
        <f t="shared" si="28"/>
        <v>0</v>
      </c>
      <c r="Q63" s="350">
        <f t="shared" si="28"/>
        <v>0</v>
      </c>
    </row>
    <row r="64" spans="3:17" ht="15" customHeight="1">
      <c r="C64" s="1112" t="s">
        <v>8240</v>
      </c>
      <c r="D64" s="1115" t="s">
        <v>2802</v>
      </c>
      <c r="E64" s="929" t="s">
        <v>8245</v>
      </c>
      <c r="F64" s="235"/>
      <c r="G64" s="235"/>
      <c r="H64"/>
      <c r="I64" s="2"/>
      <c r="J64" s="2"/>
      <c r="K64" s="2"/>
      <c r="L64" s="2"/>
      <c r="M64" s="2"/>
      <c r="N64" s="2"/>
      <c r="O64" s="2"/>
      <c r="P64" s="2"/>
      <c r="Q64" s="376"/>
    </row>
    <row r="65" spans="3:17" ht="15" customHeight="1" thickBot="1">
      <c r="C65" s="1113"/>
      <c r="D65" s="1116"/>
      <c r="E65" s="930" t="s">
        <v>8246</v>
      </c>
      <c r="F65" s="2"/>
      <c r="G65" s="437">
        <v>169317</v>
      </c>
      <c r="H65"/>
      <c r="I65" s="2"/>
      <c r="J65" s="2"/>
      <c r="K65" s="2"/>
      <c r="L65" s="2"/>
      <c r="M65" s="2"/>
      <c r="N65" s="2"/>
      <c r="O65" s="2"/>
      <c r="P65" s="2"/>
      <c r="Q65" s="376"/>
    </row>
    <row r="66" spans="3:17" ht="15" customHeight="1" thickBot="1">
      <c r="C66" s="1114"/>
      <c r="D66" s="1117"/>
      <c r="E66" s="930" t="s">
        <v>9</v>
      </c>
      <c r="F66" s="902">
        <f t="shared" ref="F66:Q66" si="29">+F64-F65</f>
        <v>0</v>
      </c>
      <c r="G66" s="349">
        <f t="shared" si="29"/>
        <v>-169317</v>
      </c>
      <c r="H66" s="349">
        <f t="shared" si="29"/>
        <v>0</v>
      </c>
      <c r="I66" s="349">
        <f t="shared" si="29"/>
        <v>0</v>
      </c>
      <c r="J66" s="349">
        <f t="shared" si="29"/>
        <v>0</v>
      </c>
      <c r="K66" s="349">
        <f t="shared" si="29"/>
        <v>0</v>
      </c>
      <c r="L66" s="349">
        <f t="shared" si="29"/>
        <v>0</v>
      </c>
      <c r="M66" s="349">
        <f t="shared" si="29"/>
        <v>0</v>
      </c>
      <c r="N66" s="349">
        <f t="shared" si="29"/>
        <v>0</v>
      </c>
      <c r="O66" s="349">
        <f t="shared" si="29"/>
        <v>0</v>
      </c>
      <c r="P66" s="349">
        <f t="shared" si="29"/>
        <v>0</v>
      </c>
      <c r="Q66" s="350">
        <f t="shared" si="29"/>
        <v>0</v>
      </c>
    </row>
    <row r="67" spans="3:17" ht="15" customHeight="1">
      <c r="C67" s="1112" t="s">
        <v>8240</v>
      </c>
      <c r="D67" s="1109" t="s">
        <v>8259</v>
      </c>
      <c r="E67" s="929" t="s">
        <v>8245</v>
      </c>
      <c r="F67" s="2"/>
      <c r="H67" s="2"/>
      <c r="I67" s="437">
        <v>106200000</v>
      </c>
      <c r="J67" s="1092">
        <v>0</v>
      </c>
      <c r="K67" s="2"/>
      <c r="L67" s="2"/>
      <c r="M67" s="2">
        <v>106200000</v>
      </c>
      <c r="N67" s="2"/>
      <c r="O67" s="2"/>
      <c r="P67" s="2"/>
      <c r="Q67" s="376"/>
    </row>
    <row r="68" spans="3:17" ht="15" customHeight="1">
      <c r="C68" s="1113"/>
      <c r="D68" s="1110"/>
      <c r="E68" s="930" t="s">
        <v>8246</v>
      </c>
      <c r="F68" s="2"/>
      <c r="H68" s="437">
        <v>7035736</v>
      </c>
      <c r="I68" s="437">
        <v>45812060</v>
      </c>
      <c r="J68" s="1092">
        <v>90323372</v>
      </c>
      <c r="K68" s="2">
        <f>212400000*70%*20%</f>
        <v>29736000</v>
      </c>
      <c r="L68" s="2">
        <f>212400000*70%*10%</f>
        <v>14868000</v>
      </c>
      <c r="M68" s="2"/>
      <c r="N68" s="2"/>
      <c r="O68" s="2"/>
      <c r="P68" s="2"/>
      <c r="Q68" s="376"/>
    </row>
    <row r="69" spans="3:17" ht="15" customHeight="1">
      <c r="C69" s="1114"/>
      <c r="D69" s="1111"/>
      <c r="E69" s="930" t="s">
        <v>9</v>
      </c>
      <c r="F69" s="902">
        <f t="shared" ref="F69:Q69" si="30">+F67-F68</f>
        <v>0</v>
      </c>
      <c r="G69" s="349">
        <f t="shared" si="30"/>
        <v>0</v>
      </c>
      <c r="H69" s="349">
        <f t="shared" si="30"/>
        <v>-7035736</v>
      </c>
      <c r="I69" s="349">
        <f t="shared" si="30"/>
        <v>60387940</v>
      </c>
      <c r="J69" s="349">
        <f t="shared" si="30"/>
        <v>-90323372</v>
      </c>
      <c r="K69" s="349">
        <f t="shared" si="30"/>
        <v>-29736000</v>
      </c>
      <c r="L69" s="349">
        <f t="shared" si="30"/>
        <v>-14868000</v>
      </c>
      <c r="M69" s="349">
        <f t="shared" si="30"/>
        <v>106200000</v>
      </c>
      <c r="N69" s="349">
        <f t="shared" si="30"/>
        <v>0</v>
      </c>
      <c r="O69" s="349">
        <f t="shared" si="30"/>
        <v>0</v>
      </c>
      <c r="P69" s="349">
        <f t="shared" si="30"/>
        <v>0</v>
      </c>
      <c r="Q69" s="350">
        <f t="shared" si="30"/>
        <v>0</v>
      </c>
    </row>
    <row r="70" spans="3:17" ht="15" customHeight="1">
      <c r="C70" s="1112" t="s">
        <v>8240</v>
      </c>
      <c r="D70" s="1115" t="s">
        <v>8260</v>
      </c>
      <c r="E70" s="929" t="s">
        <v>8245</v>
      </c>
      <c r="F70" s="2"/>
      <c r="H70" s="437">
        <v>12857527</v>
      </c>
      <c r="I70" s="2"/>
      <c r="J70" s="2"/>
      <c r="K70" s="2"/>
      <c r="L70" s="2"/>
      <c r="M70" s="2"/>
      <c r="N70" s="2"/>
      <c r="O70" s="2"/>
      <c r="P70" s="2"/>
      <c r="Q70" s="376"/>
    </row>
    <row r="71" spans="3:17" ht="15" customHeight="1" thickBot="1">
      <c r="C71" s="1113"/>
      <c r="D71" s="1116"/>
      <c r="E71" s="930" t="s">
        <v>8246</v>
      </c>
      <c r="F71" s="2"/>
      <c r="H71" s="437">
        <v>100000</v>
      </c>
      <c r="I71" s="2"/>
      <c r="J71" s="2"/>
      <c r="K71" s="2"/>
      <c r="L71" s="2"/>
      <c r="M71" s="2"/>
      <c r="N71" s="2"/>
      <c r="O71" s="2"/>
      <c r="P71" s="2"/>
      <c r="Q71" s="376"/>
    </row>
    <row r="72" spans="3:17" ht="15" customHeight="1" thickBot="1">
      <c r="C72" s="1114"/>
      <c r="D72" s="1117"/>
      <c r="E72" s="930" t="s">
        <v>9</v>
      </c>
      <c r="F72" s="902">
        <f t="shared" ref="F72:Q72" si="31">+F70-F71</f>
        <v>0</v>
      </c>
      <c r="G72" s="349">
        <f t="shared" si="31"/>
        <v>0</v>
      </c>
      <c r="H72" s="349">
        <f t="shared" si="31"/>
        <v>12757527</v>
      </c>
      <c r="I72" s="349">
        <f t="shared" si="31"/>
        <v>0</v>
      </c>
      <c r="J72" s="349">
        <f t="shared" si="31"/>
        <v>0</v>
      </c>
      <c r="K72" s="349">
        <f t="shared" si="31"/>
        <v>0</v>
      </c>
      <c r="L72" s="349">
        <f t="shared" si="31"/>
        <v>0</v>
      </c>
      <c r="M72" s="349">
        <f t="shared" si="31"/>
        <v>0</v>
      </c>
      <c r="N72" s="349">
        <f t="shared" si="31"/>
        <v>0</v>
      </c>
      <c r="O72" s="349">
        <f t="shared" si="31"/>
        <v>0</v>
      </c>
      <c r="P72" s="349">
        <f t="shared" si="31"/>
        <v>0</v>
      </c>
      <c r="Q72" s="350">
        <f t="shared" si="31"/>
        <v>0</v>
      </c>
    </row>
    <row r="73" spans="3:17" ht="15" customHeight="1">
      <c r="C73" s="1112" t="s">
        <v>8240</v>
      </c>
      <c r="D73" s="1109" t="s">
        <v>8261</v>
      </c>
      <c r="E73" s="929" t="s">
        <v>8245</v>
      </c>
      <c r="F73" s="235"/>
      <c r="G73" s="936">
        <v>22000000</v>
      </c>
      <c r="H73"/>
      <c r="I73" s="2"/>
      <c r="J73" s="2"/>
      <c r="K73" s="2"/>
      <c r="L73" s="2">
        <v>6500000</v>
      </c>
      <c r="M73" s="2"/>
      <c r="N73" s="2"/>
      <c r="O73" s="2"/>
      <c r="P73" s="2"/>
      <c r="Q73" s="376"/>
    </row>
    <row r="74" spans="3:17" ht="15" customHeight="1">
      <c r="C74" s="1113"/>
      <c r="D74" s="1110"/>
      <c r="E74" s="930" t="s">
        <v>8246</v>
      </c>
      <c r="F74" s="2"/>
      <c r="H74" s="437">
        <v>17433047</v>
      </c>
      <c r="I74" s="437">
        <v>17023766</v>
      </c>
      <c r="J74" s="1092">
        <v>7163369</v>
      </c>
      <c r="K74" s="2"/>
      <c r="L74" s="2"/>
      <c r="M74" s="2"/>
      <c r="N74" s="2"/>
      <c r="O74" s="2"/>
      <c r="P74" s="2"/>
      <c r="Q74" s="376"/>
    </row>
    <row r="75" spans="3:17" ht="15" customHeight="1">
      <c r="C75" s="1114"/>
      <c r="D75" s="1111"/>
      <c r="E75" s="930" t="s">
        <v>9</v>
      </c>
      <c r="F75" s="902">
        <f t="shared" ref="F75:Q75" si="32">+F73-F74</f>
        <v>0</v>
      </c>
      <c r="G75" s="349">
        <f t="shared" si="32"/>
        <v>22000000</v>
      </c>
      <c r="H75" s="349">
        <f t="shared" si="32"/>
        <v>-17433047</v>
      </c>
      <c r="I75" s="349">
        <f t="shared" si="32"/>
        <v>-17023766</v>
      </c>
      <c r="J75" s="349">
        <f t="shared" si="32"/>
        <v>-7163369</v>
      </c>
      <c r="K75" s="349">
        <f t="shared" si="32"/>
        <v>0</v>
      </c>
      <c r="L75" s="349">
        <f t="shared" si="32"/>
        <v>6500000</v>
      </c>
      <c r="M75" s="349">
        <f t="shared" si="32"/>
        <v>0</v>
      </c>
      <c r="N75" s="349">
        <f t="shared" si="32"/>
        <v>0</v>
      </c>
      <c r="O75" s="349">
        <f t="shared" si="32"/>
        <v>0</v>
      </c>
      <c r="P75" s="349">
        <f t="shared" si="32"/>
        <v>0</v>
      </c>
      <c r="Q75" s="350">
        <f t="shared" si="32"/>
        <v>0</v>
      </c>
    </row>
    <row r="76" spans="3:17" ht="15" customHeight="1">
      <c r="C76" s="1112" t="s">
        <v>8240</v>
      </c>
      <c r="D76" s="1109" t="s">
        <v>8262</v>
      </c>
      <c r="E76" s="929" t="s">
        <v>8245</v>
      </c>
      <c r="F76" s="235"/>
      <c r="G76" s="936"/>
      <c r="H76"/>
      <c r="I76" s="437">
        <v>39000000</v>
      </c>
      <c r="J76" s="2"/>
      <c r="K76" s="2">
        <f>+'6.Ventas EPC REAL'!$P$31*30%</f>
        <v>18180000</v>
      </c>
      <c r="L76" s="2"/>
      <c r="M76" s="2">
        <f>+'6.Ventas EPC REAL'!$P$31*20%</f>
        <v>12120000</v>
      </c>
      <c r="N76" s="2"/>
      <c r="O76" s="2"/>
      <c r="P76" s="2"/>
      <c r="Q76" s="376"/>
    </row>
    <row r="77" spans="3:17" ht="15" customHeight="1">
      <c r="C77" s="1113"/>
      <c r="D77" s="1110"/>
      <c r="E77" s="930" t="s">
        <v>8246</v>
      </c>
      <c r="F77" s="2"/>
      <c r="H77" s="437"/>
      <c r="I77" s="437">
        <v>325000</v>
      </c>
      <c r="J77" s="1092">
        <v>29679524</v>
      </c>
      <c r="K77" s="2">
        <f>48480000-J77</f>
        <v>18800476</v>
      </c>
      <c r="L77" s="2"/>
      <c r="M77" s="2"/>
      <c r="N77" s="2"/>
      <c r="O77" s="2"/>
      <c r="P77" s="2"/>
      <c r="Q77" s="376"/>
    </row>
    <row r="78" spans="3:17" ht="15" customHeight="1">
      <c r="C78" s="1114"/>
      <c r="D78" s="1111"/>
      <c r="E78" s="930" t="s">
        <v>9</v>
      </c>
      <c r="F78" s="902">
        <f t="shared" ref="F78:Q78" si="33">+F76-F77</f>
        <v>0</v>
      </c>
      <c r="G78" s="349">
        <f t="shared" si="33"/>
        <v>0</v>
      </c>
      <c r="H78" s="349">
        <f t="shared" si="33"/>
        <v>0</v>
      </c>
      <c r="I78" s="349">
        <f t="shared" si="33"/>
        <v>38675000</v>
      </c>
      <c r="J78" s="349">
        <f t="shared" si="33"/>
        <v>-29679524</v>
      </c>
      <c r="K78" s="349">
        <f t="shared" si="33"/>
        <v>-620476</v>
      </c>
      <c r="L78" s="349">
        <f t="shared" si="33"/>
        <v>0</v>
      </c>
      <c r="M78" s="349">
        <f t="shared" si="33"/>
        <v>12120000</v>
      </c>
      <c r="N78" s="349">
        <f t="shared" si="33"/>
        <v>0</v>
      </c>
      <c r="O78" s="349">
        <f t="shared" si="33"/>
        <v>0</v>
      </c>
      <c r="P78" s="349">
        <f t="shared" si="33"/>
        <v>0</v>
      </c>
      <c r="Q78" s="350">
        <f t="shared" si="33"/>
        <v>0</v>
      </c>
    </row>
    <row r="79" spans="3:17" ht="15" customHeight="1">
      <c r="C79" s="1112" t="s">
        <v>8240</v>
      </c>
      <c r="D79" s="1109" t="s">
        <v>8263</v>
      </c>
      <c r="E79" s="929" t="s">
        <v>8245</v>
      </c>
      <c r="F79" s="235"/>
      <c r="G79" s="936"/>
      <c r="H79"/>
      <c r="I79" s="2"/>
      <c r="J79" s="2"/>
      <c r="K79" s="2">
        <f>+'6.Ventas EPC REAL'!O29*50%</f>
        <v>50500000</v>
      </c>
      <c r="L79" s="2"/>
      <c r="M79" s="2">
        <f>+K79</f>
        <v>50500000</v>
      </c>
      <c r="N79" s="2"/>
      <c r="O79" s="2"/>
      <c r="P79" s="2"/>
      <c r="Q79" s="376"/>
    </row>
    <row r="80" spans="3:17" ht="15" customHeight="1">
      <c r="C80" s="1113"/>
      <c r="D80" s="1110"/>
      <c r="E80" s="930" t="s">
        <v>8246</v>
      </c>
      <c r="F80" s="2"/>
      <c r="H80" s="437"/>
      <c r="I80" s="2"/>
      <c r="J80" s="1092">
        <v>1240128</v>
      </c>
      <c r="K80" s="2">
        <f>+'6.Ventas EPC REAL'!O30</f>
        <v>80800000</v>
      </c>
      <c r="L80" s="2"/>
      <c r="M80" s="2"/>
      <c r="N80" s="2"/>
      <c r="O80" s="2"/>
      <c r="P80" s="2"/>
      <c r="Q80" s="376"/>
    </row>
    <row r="81" spans="3:17" ht="15" customHeight="1">
      <c r="C81" s="1114"/>
      <c r="D81" s="1111"/>
      <c r="E81" s="930" t="s">
        <v>9</v>
      </c>
      <c r="F81" s="902">
        <f t="shared" ref="F81:Q81" si="34">+F79-F80</f>
        <v>0</v>
      </c>
      <c r="G81" s="349">
        <f t="shared" si="34"/>
        <v>0</v>
      </c>
      <c r="H81" s="349">
        <f t="shared" si="34"/>
        <v>0</v>
      </c>
      <c r="I81" s="349">
        <f t="shared" si="34"/>
        <v>0</v>
      </c>
      <c r="J81" s="349">
        <f t="shared" si="34"/>
        <v>-1240128</v>
      </c>
      <c r="K81" s="349">
        <f t="shared" si="34"/>
        <v>-30300000</v>
      </c>
      <c r="L81" s="349">
        <f t="shared" si="34"/>
        <v>0</v>
      </c>
      <c r="M81" s="349">
        <f t="shared" si="34"/>
        <v>50500000</v>
      </c>
      <c r="N81" s="349">
        <f t="shared" si="34"/>
        <v>0</v>
      </c>
      <c r="O81" s="349">
        <f t="shared" si="34"/>
        <v>0</v>
      </c>
      <c r="P81" s="349">
        <f t="shared" si="34"/>
        <v>0</v>
      </c>
      <c r="Q81" s="350">
        <f t="shared" si="34"/>
        <v>0</v>
      </c>
    </row>
    <row r="82" spans="3:17" ht="15" customHeight="1">
      <c r="C82" s="1112" t="s">
        <v>8240</v>
      </c>
      <c r="D82" s="1115" t="s">
        <v>8264</v>
      </c>
      <c r="E82" s="929" t="s">
        <v>8245</v>
      </c>
      <c r="F82" s="235"/>
      <c r="G82" s="936"/>
      <c r="H82"/>
      <c r="I82" s="2"/>
      <c r="J82" s="2"/>
      <c r="K82" s="2">
        <f>+'6.Ventas EPC REAL'!O32*50%</f>
        <v>0</v>
      </c>
      <c r="L82" s="2"/>
      <c r="M82" s="2">
        <f>+K82</f>
        <v>0</v>
      </c>
      <c r="N82" s="2"/>
      <c r="O82" s="2"/>
      <c r="P82" s="2"/>
      <c r="Q82" s="376"/>
    </row>
    <row r="83" spans="3:17" ht="15" customHeight="1" thickBot="1">
      <c r="C83" s="1113"/>
      <c r="D83" s="1116"/>
      <c r="E83" s="930" t="s">
        <v>8246</v>
      </c>
      <c r="F83" s="2"/>
      <c r="H83" s="437"/>
      <c r="I83" s="437">
        <v>271077</v>
      </c>
      <c r="J83" s="1092">
        <v>97000</v>
      </c>
      <c r="K83" s="2">
        <f>+'6.Ventas EPC REAL'!O33</f>
        <v>0</v>
      </c>
      <c r="L83" s="2"/>
      <c r="M83" s="2"/>
      <c r="N83" s="2"/>
      <c r="O83" s="2"/>
      <c r="P83" s="2"/>
      <c r="Q83" s="376"/>
    </row>
    <row r="84" spans="3:17" ht="15" customHeight="1" thickBot="1">
      <c r="C84" s="1114"/>
      <c r="D84" s="1117"/>
      <c r="E84" s="930" t="s">
        <v>9</v>
      </c>
      <c r="F84" s="902">
        <f t="shared" ref="F84:Q84" si="35">+F82-F83</f>
        <v>0</v>
      </c>
      <c r="G84" s="349">
        <f t="shared" si="35"/>
        <v>0</v>
      </c>
      <c r="H84" s="349">
        <f t="shared" si="35"/>
        <v>0</v>
      </c>
      <c r="I84" s="349">
        <f t="shared" si="35"/>
        <v>-271077</v>
      </c>
      <c r="J84" s="349">
        <f t="shared" si="35"/>
        <v>-97000</v>
      </c>
      <c r="K84" s="349">
        <f t="shared" si="35"/>
        <v>0</v>
      </c>
      <c r="L84" s="349">
        <f t="shared" si="35"/>
        <v>0</v>
      </c>
      <c r="M84" s="349">
        <f t="shared" si="35"/>
        <v>0</v>
      </c>
      <c r="N84" s="349">
        <f t="shared" si="35"/>
        <v>0</v>
      </c>
      <c r="O84" s="349">
        <f t="shared" si="35"/>
        <v>0</v>
      </c>
      <c r="P84" s="349">
        <f t="shared" si="35"/>
        <v>0</v>
      </c>
      <c r="Q84" s="350">
        <f t="shared" si="35"/>
        <v>0</v>
      </c>
    </row>
    <row r="85" spans="3:17" ht="15" customHeight="1">
      <c r="C85" s="1112" t="s">
        <v>8240</v>
      </c>
      <c r="D85" s="1115" t="s">
        <v>8265</v>
      </c>
      <c r="E85" s="929" t="s">
        <v>8245</v>
      </c>
      <c r="F85" s="235"/>
      <c r="G85" s="936"/>
      <c r="H85"/>
      <c r="I85" s="2"/>
      <c r="J85" s="2"/>
      <c r="K85" s="2">
        <f>+'6.Ventas EPC REAL'!O35*50%</f>
        <v>0</v>
      </c>
      <c r="L85" s="2"/>
      <c r="M85" s="2">
        <f>+K85</f>
        <v>0</v>
      </c>
      <c r="N85" s="2"/>
      <c r="O85" s="2"/>
      <c r="P85" s="2"/>
      <c r="Q85" s="376"/>
    </row>
    <row r="86" spans="3:17" ht="15" customHeight="1" thickBot="1">
      <c r="C86" s="1113"/>
      <c r="D86" s="1116"/>
      <c r="E86" s="930" t="s">
        <v>8246</v>
      </c>
      <c r="F86" s="2"/>
      <c r="H86" s="437"/>
      <c r="I86" s="437">
        <v>428720</v>
      </c>
      <c r="J86" s="1092">
        <v>279000</v>
      </c>
      <c r="K86" s="2">
        <f>+'6.Ventas EPC REAL'!O36</f>
        <v>0</v>
      </c>
      <c r="L86" s="2"/>
      <c r="M86" s="2"/>
      <c r="N86" s="2"/>
      <c r="O86" s="2"/>
      <c r="P86" s="2"/>
      <c r="Q86" s="376"/>
    </row>
    <row r="87" spans="3:17" ht="15" customHeight="1" thickBot="1">
      <c r="C87" s="1114"/>
      <c r="D87" s="1117"/>
      <c r="E87" s="930" t="s">
        <v>9</v>
      </c>
      <c r="F87" s="902">
        <f t="shared" ref="F87:Q87" si="36">+F85-F86</f>
        <v>0</v>
      </c>
      <c r="G87" s="349">
        <f t="shared" si="36"/>
        <v>0</v>
      </c>
      <c r="H87" s="349">
        <f t="shared" si="36"/>
        <v>0</v>
      </c>
      <c r="I87" s="349">
        <f t="shared" si="36"/>
        <v>-428720</v>
      </c>
      <c r="J87" s="349">
        <f t="shared" si="36"/>
        <v>-279000</v>
      </c>
      <c r="K87" s="349">
        <f t="shared" si="36"/>
        <v>0</v>
      </c>
      <c r="L87" s="349">
        <f t="shared" si="36"/>
        <v>0</v>
      </c>
      <c r="M87" s="349">
        <f t="shared" si="36"/>
        <v>0</v>
      </c>
      <c r="N87" s="349">
        <f t="shared" si="36"/>
        <v>0</v>
      </c>
      <c r="O87" s="349">
        <f t="shared" si="36"/>
        <v>0</v>
      </c>
      <c r="P87" s="349">
        <f t="shared" si="36"/>
        <v>0</v>
      </c>
      <c r="Q87" s="350">
        <f t="shared" si="36"/>
        <v>0</v>
      </c>
    </row>
    <row r="88" spans="3:17" ht="15" customHeight="1">
      <c r="C88" s="1112" t="s">
        <v>8240</v>
      </c>
      <c r="D88" s="1109" t="s">
        <v>8266</v>
      </c>
      <c r="E88" s="929" t="s">
        <v>8245</v>
      </c>
      <c r="F88" s="235"/>
      <c r="G88" s="936"/>
      <c r="H88"/>
      <c r="I88" s="2"/>
      <c r="J88" s="2"/>
      <c r="K88" s="2">
        <f>+'6.Ventas EPC REAL'!O38*50%</f>
        <v>0</v>
      </c>
      <c r="L88" s="2"/>
      <c r="M88" s="2">
        <f>+K88</f>
        <v>0</v>
      </c>
      <c r="N88" s="2"/>
      <c r="O88" s="2"/>
      <c r="P88" s="2"/>
      <c r="Q88" s="376"/>
    </row>
    <row r="89" spans="3:17" ht="15" customHeight="1" thickBot="1">
      <c r="C89" s="1113"/>
      <c r="D89" s="1110"/>
      <c r="E89" s="930" t="s">
        <v>8246</v>
      </c>
      <c r="F89" s="2"/>
      <c r="H89" s="437"/>
      <c r="I89" s="2"/>
      <c r="J89" s="13">
        <v>0</v>
      </c>
      <c r="K89" s="2">
        <f>+'6.Ventas EPC REAL'!O39</f>
        <v>0</v>
      </c>
      <c r="L89" s="2"/>
      <c r="M89" s="2"/>
      <c r="N89" s="2"/>
      <c r="O89" s="2"/>
      <c r="P89" s="2"/>
      <c r="Q89" s="376"/>
    </row>
    <row r="90" spans="3:17" ht="15" customHeight="1">
      <c r="C90" s="1114"/>
      <c r="D90" s="1111"/>
      <c r="E90" s="930" t="s">
        <v>9</v>
      </c>
      <c r="F90" s="902">
        <f t="shared" ref="F90:Q90" si="37">+F88-F89</f>
        <v>0</v>
      </c>
      <c r="G90" s="349">
        <f t="shared" si="37"/>
        <v>0</v>
      </c>
      <c r="H90" s="349">
        <f t="shared" si="37"/>
        <v>0</v>
      </c>
      <c r="I90" s="349">
        <f t="shared" si="37"/>
        <v>0</v>
      </c>
      <c r="J90" s="349">
        <f t="shared" si="37"/>
        <v>0</v>
      </c>
      <c r="K90" s="349">
        <f t="shared" si="37"/>
        <v>0</v>
      </c>
      <c r="L90" s="349">
        <f t="shared" si="37"/>
        <v>0</v>
      </c>
      <c r="M90" s="349">
        <f t="shared" si="37"/>
        <v>0</v>
      </c>
      <c r="N90" s="349">
        <f t="shared" si="37"/>
        <v>0</v>
      </c>
      <c r="O90" s="349">
        <f t="shared" si="37"/>
        <v>0</v>
      </c>
      <c r="P90" s="349">
        <f t="shared" si="37"/>
        <v>0</v>
      </c>
      <c r="Q90" s="350">
        <f t="shared" si="37"/>
        <v>0</v>
      </c>
    </row>
    <row r="91" spans="3:17" ht="15" customHeight="1">
      <c r="C91" s="1112" t="s">
        <v>8240</v>
      </c>
      <c r="D91" s="1109" t="s">
        <v>8267</v>
      </c>
      <c r="E91" s="929" t="s">
        <v>8245</v>
      </c>
      <c r="F91" s="235"/>
      <c r="G91" s="936"/>
      <c r="H91"/>
      <c r="I91" s="2"/>
      <c r="J91" s="2"/>
      <c r="K91" s="2">
        <f>+'6.Ventas EPC REAL'!O41*50%</f>
        <v>0</v>
      </c>
      <c r="L91" s="2"/>
      <c r="M91" s="2">
        <f>+K91</f>
        <v>0</v>
      </c>
      <c r="N91" s="2"/>
      <c r="O91" s="2"/>
      <c r="P91" s="2"/>
      <c r="Q91" s="376"/>
    </row>
    <row r="92" spans="3:17" ht="15" customHeight="1">
      <c r="C92" s="1113"/>
      <c r="D92" s="1110"/>
      <c r="E92" s="930" t="s">
        <v>8246</v>
      </c>
      <c r="F92" s="2"/>
      <c r="H92" s="437"/>
      <c r="I92" s="2"/>
      <c r="J92" s="13">
        <v>0</v>
      </c>
      <c r="K92" s="2">
        <f>+'6.Ventas EPC REAL'!O42</f>
        <v>0</v>
      </c>
      <c r="L92" s="2"/>
      <c r="M92" s="2"/>
      <c r="N92" s="2"/>
      <c r="O92" s="2"/>
      <c r="P92" s="2"/>
      <c r="Q92" s="376"/>
    </row>
    <row r="93" spans="3:17" ht="15" customHeight="1">
      <c r="C93" s="1114"/>
      <c r="D93" s="1111"/>
      <c r="E93" s="930" t="s">
        <v>9</v>
      </c>
      <c r="F93" s="902">
        <f t="shared" ref="F93:Q93" si="38">+F91-F92</f>
        <v>0</v>
      </c>
      <c r="G93" s="349">
        <f t="shared" si="38"/>
        <v>0</v>
      </c>
      <c r="H93" s="349">
        <f t="shared" si="38"/>
        <v>0</v>
      </c>
      <c r="I93" s="349">
        <f t="shared" si="38"/>
        <v>0</v>
      </c>
      <c r="J93" s="349">
        <f t="shared" si="38"/>
        <v>0</v>
      </c>
      <c r="K93" s="349">
        <f t="shared" si="38"/>
        <v>0</v>
      </c>
      <c r="L93" s="349">
        <f t="shared" si="38"/>
        <v>0</v>
      </c>
      <c r="M93" s="349">
        <f t="shared" si="38"/>
        <v>0</v>
      </c>
      <c r="N93" s="349">
        <f t="shared" si="38"/>
        <v>0</v>
      </c>
      <c r="O93" s="349">
        <f t="shared" si="38"/>
        <v>0</v>
      </c>
      <c r="P93" s="349">
        <f t="shared" si="38"/>
        <v>0</v>
      </c>
      <c r="Q93" s="350">
        <f t="shared" si="38"/>
        <v>0</v>
      </c>
    </row>
    <row r="94" spans="3:17" ht="15" customHeight="1">
      <c r="C94" s="1112" t="s">
        <v>8240</v>
      </c>
      <c r="D94" s="1109"/>
      <c r="E94" s="929" t="s">
        <v>8245</v>
      </c>
      <c r="F94" s="235"/>
      <c r="G94" s="936"/>
      <c r="H94"/>
      <c r="I94" s="2"/>
      <c r="J94" s="2"/>
      <c r="K94" s="2">
        <f>+'6.Ventas EPC REAL'!O44*50%</f>
        <v>0</v>
      </c>
      <c r="L94" s="2"/>
      <c r="M94" s="2">
        <f>+K94</f>
        <v>0</v>
      </c>
      <c r="N94" s="2"/>
      <c r="O94" s="2"/>
      <c r="P94" s="2"/>
      <c r="Q94" s="376"/>
    </row>
    <row r="95" spans="3:17" ht="15" customHeight="1">
      <c r="C95" s="1113"/>
      <c r="D95" s="1110"/>
      <c r="E95" s="930" t="s">
        <v>8246</v>
      </c>
      <c r="F95" s="2"/>
      <c r="H95" s="437"/>
      <c r="I95" s="2"/>
      <c r="J95" s="13">
        <v>0</v>
      </c>
      <c r="K95" s="2">
        <f>+'6.Ventas EPC REAL'!O45</f>
        <v>0</v>
      </c>
      <c r="L95" s="2"/>
      <c r="M95" s="2"/>
      <c r="N95" s="2"/>
      <c r="O95" s="2"/>
      <c r="P95" s="2"/>
      <c r="Q95" s="376"/>
    </row>
    <row r="96" spans="3:17" ht="15" customHeight="1">
      <c r="C96" s="1114"/>
      <c r="D96" s="1111"/>
      <c r="E96" s="930" t="s">
        <v>9</v>
      </c>
      <c r="F96" s="902">
        <f t="shared" ref="F96:Q96" si="39">+F94-F95</f>
        <v>0</v>
      </c>
      <c r="G96" s="349">
        <f t="shared" si="39"/>
        <v>0</v>
      </c>
      <c r="H96" s="349">
        <f t="shared" si="39"/>
        <v>0</v>
      </c>
      <c r="I96" s="349">
        <f t="shared" si="39"/>
        <v>0</v>
      </c>
      <c r="J96" s="349">
        <f t="shared" si="39"/>
        <v>0</v>
      </c>
      <c r="K96" s="349">
        <f t="shared" si="39"/>
        <v>0</v>
      </c>
      <c r="L96" s="349">
        <f t="shared" si="39"/>
        <v>0</v>
      </c>
      <c r="M96" s="349">
        <f t="shared" si="39"/>
        <v>0</v>
      </c>
      <c r="N96" s="349">
        <f t="shared" si="39"/>
        <v>0</v>
      </c>
      <c r="O96" s="349">
        <f t="shared" si="39"/>
        <v>0</v>
      </c>
      <c r="P96" s="349">
        <f t="shared" si="39"/>
        <v>0</v>
      </c>
      <c r="Q96" s="350">
        <f t="shared" si="39"/>
        <v>0</v>
      </c>
    </row>
    <row r="97" spans="3:22" ht="15" customHeight="1">
      <c r="C97" s="430"/>
      <c r="D97" s="431"/>
      <c r="E97" s="69"/>
      <c r="F97" s="2"/>
      <c r="H97" s="2"/>
      <c r="I97" s="2"/>
      <c r="J97" s="2"/>
      <c r="K97" s="2"/>
      <c r="L97" s="2"/>
      <c r="M97" s="2"/>
      <c r="N97" s="2"/>
      <c r="O97" s="2"/>
      <c r="P97" s="2"/>
      <c r="Q97" s="2"/>
    </row>
    <row r="98" spans="3:22" ht="15" customHeight="1">
      <c r="C98" s="430"/>
      <c r="D98" s="431"/>
      <c r="E98" s="69"/>
      <c r="F98" s="2"/>
      <c r="H98" s="2"/>
      <c r="I98" s="2"/>
      <c r="J98" s="2"/>
      <c r="K98" s="2"/>
      <c r="L98" s="2"/>
      <c r="M98" s="2"/>
      <c r="N98" s="2"/>
      <c r="O98" s="2"/>
      <c r="P98" s="2"/>
      <c r="Q98" s="2"/>
    </row>
    <row r="99" spans="3:22" ht="15" customHeight="1">
      <c r="C99" s="430"/>
      <c r="D99" s="431"/>
      <c r="E99" s="69"/>
      <c r="F99" s="2"/>
      <c r="H99" s="2"/>
      <c r="I99" s="2"/>
      <c r="J99" s="2"/>
      <c r="K99" s="2"/>
      <c r="L99" s="2"/>
      <c r="M99" s="2"/>
      <c r="N99" s="2"/>
      <c r="O99" s="2"/>
      <c r="P99" s="2"/>
      <c r="Q99" s="2"/>
    </row>
    <row r="100" spans="3:22" ht="15" customHeight="1">
      <c r="C100" s="430"/>
      <c r="D100" s="431"/>
      <c r="E100" s="69"/>
      <c r="F100" s="2"/>
      <c r="H100" s="2"/>
      <c r="I100" s="2"/>
      <c r="J100" s="2"/>
      <c r="K100" s="2"/>
      <c r="L100" s="2"/>
      <c r="M100" s="2"/>
      <c r="N100" s="2"/>
      <c r="O100" s="2"/>
      <c r="P100" s="2"/>
      <c r="Q100" s="2"/>
    </row>
    <row r="101" spans="3:22" ht="15" customHeight="1">
      <c r="C101" s="430"/>
      <c r="D101" s="431"/>
      <c r="E101" s="69"/>
      <c r="F101" s="2"/>
      <c r="H101" s="2"/>
      <c r="I101" s="2"/>
      <c r="J101" s="2"/>
      <c r="K101" s="2"/>
      <c r="L101" s="2"/>
      <c r="M101" s="2"/>
      <c r="N101" s="2"/>
      <c r="O101" s="2"/>
      <c r="P101" s="2"/>
      <c r="Q101" s="2"/>
    </row>
    <row r="102" spans="3:22" ht="15" customHeight="1">
      <c r="C102" s="430"/>
      <c r="D102" s="431"/>
      <c r="E102" s="69"/>
      <c r="F102" s="2"/>
      <c r="H102" s="2"/>
      <c r="I102" s="2"/>
      <c r="J102" s="2"/>
      <c r="K102" s="2"/>
      <c r="L102" s="2"/>
      <c r="M102" s="2"/>
      <c r="N102" s="2"/>
      <c r="O102" s="2"/>
      <c r="P102" s="2"/>
      <c r="Q102" s="2"/>
    </row>
    <row r="103" spans="3:22" ht="15" customHeight="1">
      <c r="C103" s="430"/>
      <c r="D103" s="431"/>
      <c r="E103" s="69"/>
      <c r="F103" s="2"/>
      <c r="H103" s="2"/>
      <c r="I103" s="2"/>
      <c r="J103" s="2"/>
      <c r="K103" s="2"/>
      <c r="L103" s="2"/>
      <c r="M103" s="2"/>
      <c r="N103" s="2"/>
      <c r="O103" s="2"/>
      <c r="P103" s="2"/>
      <c r="Q103" s="2"/>
    </row>
    <row r="104" spans="3:22" ht="15" customHeight="1">
      <c r="H104" s="2"/>
    </row>
    <row r="105" spans="3:22" ht="15" customHeight="1">
      <c r="R105" s="2"/>
      <c r="S105" s="2"/>
      <c r="T105" s="2"/>
      <c r="U105" s="2"/>
      <c r="V105" s="2"/>
    </row>
    <row r="106" spans="3:22" ht="15" customHeight="1" thickBot="1"/>
    <row r="107" spans="3:22" ht="15" customHeight="1" thickBot="1">
      <c r="F107" s="1121" t="s">
        <v>8072</v>
      </c>
      <c r="G107" s="1122"/>
      <c r="H107" s="1122"/>
      <c r="I107" s="1122"/>
      <c r="J107" s="1122"/>
      <c r="K107" s="1122"/>
      <c r="L107" s="1122"/>
      <c r="M107" s="1122"/>
      <c r="N107" s="1122"/>
      <c r="O107" s="1122"/>
      <c r="P107" s="1122"/>
      <c r="Q107" s="1123"/>
      <c r="R107" s="2"/>
      <c r="S107" s="2"/>
      <c r="T107" s="2"/>
      <c r="U107" s="2"/>
      <c r="V107" s="2"/>
    </row>
    <row r="108" spans="3:22" ht="15" customHeight="1" thickBot="1">
      <c r="F108" s="339">
        <v>45658</v>
      </c>
      <c r="G108" s="339">
        <v>45689</v>
      </c>
      <c r="H108" s="339">
        <v>45717</v>
      </c>
      <c r="I108" s="339">
        <v>45748</v>
      </c>
      <c r="J108" s="339">
        <v>45778</v>
      </c>
      <c r="K108" s="339">
        <v>45809</v>
      </c>
      <c r="L108" s="339">
        <v>45839</v>
      </c>
      <c r="M108" s="339">
        <v>45870</v>
      </c>
      <c r="N108" s="339">
        <v>45901</v>
      </c>
      <c r="O108" s="339">
        <v>45931</v>
      </c>
      <c r="P108" s="339">
        <v>45962</v>
      </c>
      <c r="Q108" s="339">
        <v>45992</v>
      </c>
    </row>
    <row r="109" spans="3:22" ht="15" customHeight="1" thickBot="1">
      <c r="C109" s="1133" t="s">
        <v>9</v>
      </c>
      <c r="D109" s="1129"/>
      <c r="E109" s="1129"/>
      <c r="F109" s="215">
        <f>(F112+F115+F118+F121+F136+F139+F124+F127+F130+F133+F142)</f>
        <v>-23287174.929555539</v>
      </c>
      <c r="G109" s="215">
        <f t="shared" ref="G109" si="40">(G112+G115+G118+G121+G136+G139+G124+G127+G130+G133+G142)</f>
        <v>-88693480.168148145</v>
      </c>
      <c r="H109" s="215">
        <f>(H112+H115+H118+H121+H136+H139+H124+H127+H130+H133+H142)</f>
        <v>-96135904.069999993</v>
      </c>
      <c r="I109" s="215">
        <f>(I112+I115+I118+I121+I136+I139+I124+I127+I130+I133+I142)</f>
        <v>-166528804</v>
      </c>
      <c r="J109" s="215">
        <f>(J112+J115+J118+J121+J136+J139+J124+J127+J130+J133+J142+J145)</f>
        <v>-228878937.93000001</v>
      </c>
      <c r="K109" s="215">
        <f t="shared" ref="K109:P109" si="41">(K112+K115+K118+K121+K136+K139+K124+K127+K130+K133)</f>
        <v>-200353851.41999999</v>
      </c>
      <c r="L109" s="215">
        <f t="shared" si="41"/>
        <v>-128717791.24000001</v>
      </c>
      <c r="M109" s="215">
        <f t="shared" si="41"/>
        <v>-9167316.3500000015</v>
      </c>
      <c r="N109" s="215">
        <f t="shared" si="41"/>
        <v>0</v>
      </c>
      <c r="O109" s="215">
        <f t="shared" si="41"/>
        <v>0</v>
      </c>
      <c r="P109" s="215">
        <f t="shared" si="41"/>
        <v>0</v>
      </c>
      <c r="Q109" s="215">
        <f t="shared" ref="Q109" si="42">(Q112+Q115+Q118+Q121+Q136+Q139)</f>
        <v>0</v>
      </c>
    </row>
    <row r="110" spans="3:22" ht="15" customHeight="1">
      <c r="C110" s="1112" t="s">
        <v>8242</v>
      </c>
      <c r="D110" s="1115" t="s">
        <v>8268</v>
      </c>
      <c r="E110" s="267" t="s">
        <v>8245</v>
      </c>
      <c r="F110" s="2"/>
      <c r="H110" s="2"/>
      <c r="I110" s="2"/>
      <c r="J110" s="2"/>
      <c r="K110" s="2"/>
      <c r="L110" s="2"/>
      <c r="Q110" s="273"/>
    </row>
    <row r="111" spans="3:22" ht="15" customHeight="1" thickBot="1">
      <c r="C111" s="1113"/>
      <c r="D111" s="1116"/>
      <c r="E111" s="270" t="s">
        <v>8246</v>
      </c>
      <c r="F111" s="236"/>
      <c r="G111" s="236">
        <v>3475639.1681481497</v>
      </c>
      <c r="H111" s="937">
        <f>56362017+1.12</f>
        <v>56362018.119999997</v>
      </c>
      <c r="I111" s="236">
        <v>18899626</v>
      </c>
      <c r="J111" s="935">
        <v>2689075.2000000002</v>
      </c>
      <c r="K111" s="236"/>
      <c r="L111" s="236"/>
      <c r="M111" s="236"/>
      <c r="N111" s="271"/>
      <c r="O111" s="271"/>
      <c r="P111" s="271"/>
      <c r="Q111" s="272"/>
    </row>
    <row r="112" spans="3:22" ht="15" customHeight="1" thickBot="1">
      <c r="C112" s="1114"/>
      <c r="D112" s="1117"/>
      <c r="E112" s="270" t="s">
        <v>9</v>
      </c>
      <c r="F112" s="236">
        <f t="shared" ref="F112:Q112" si="43">+F110-F111</f>
        <v>0</v>
      </c>
      <c r="G112" s="236">
        <f t="shared" si="43"/>
        <v>-3475639.1681481497</v>
      </c>
      <c r="H112" s="236">
        <f t="shared" si="43"/>
        <v>-56362018.119999997</v>
      </c>
      <c r="I112" s="236">
        <f t="shared" si="43"/>
        <v>-18899626</v>
      </c>
      <c r="J112" s="902">
        <f>+J110-J111</f>
        <v>-2689075.2000000002</v>
      </c>
      <c r="K112" s="236">
        <f>+K110-K111</f>
        <v>0</v>
      </c>
      <c r="L112" s="236">
        <f>+L110-L111</f>
        <v>0</v>
      </c>
      <c r="M112" s="236">
        <f t="shared" si="43"/>
        <v>0</v>
      </c>
      <c r="N112" s="236">
        <f t="shared" si="43"/>
        <v>0</v>
      </c>
      <c r="O112" s="236">
        <f t="shared" si="43"/>
        <v>0</v>
      </c>
      <c r="P112" s="236">
        <f t="shared" si="43"/>
        <v>0</v>
      </c>
      <c r="Q112" s="236">
        <f t="shared" si="43"/>
        <v>0</v>
      </c>
    </row>
    <row r="113" spans="3:17" ht="15" customHeight="1">
      <c r="C113" s="1118" t="s">
        <v>8242</v>
      </c>
      <c r="D113" s="1127" t="s">
        <v>8269</v>
      </c>
      <c r="E113" s="267" t="s">
        <v>8245</v>
      </c>
      <c r="F113" s="235"/>
      <c r="H113" s="2"/>
      <c r="I113" s="2"/>
      <c r="J113" s="2"/>
      <c r="K113" s="2"/>
      <c r="L113" s="2"/>
      <c r="M113" s="268"/>
      <c r="N113" s="268"/>
      <c r="O113" s="268"/>
      <c r="P113" s="268"/>
      <c r="Q113" s="269"/>
    </row>
    <row r="114" spans="3:17" ht="15" customHeight="1" thickBot="1">
      <c r="C114" s="1119"/>
      <c r="D114" s="1126"/>
      <c r="E114" s="270" t="s">
        <v>8246</v>
      </c>
      <c r="F114" s="98"/>
      <c r="G114" s="2">
        <v>385000</v>
      </c>
      <c r="H114" s="2"/>
      <c r="I114" s="2">
        <v>21577599</v>
      </c>
      <c r="J114" s="437">
        <v>43680591.530000001</v>
      </c>
      <c r="K114" s="2">
        <v>74810506.88000001</v>
      </c>
      <c r="L114" s="2">
        <v>56107880.160000004</v>
      </c>
      <c r="M114" s="2">
        <f>52847907.88-J114</f>
        <v>9167316.3500000015</v>
      </c>
      <c r="Q114" s="273"/>
    </row>
    <row r="115" spans="3:17" ht="15" customHeight="1" thickBot="1">
      <c r="C115" s="1120"/>
      <c r="D115" s="1128"/>
      <c r="E115" s="340" t="s">
        <v>9</v>
      </c>
      <c r="F115" s="91">
        <f>+F113-F114</f>
        <v>0</v>
      </c>
      <c r="G115" s="91">
        <f t="shared" ref="G115:Q115" si="44">+G113-G114</f>
        <v>-385000</v>
      </c>
      <c r="H115" s="91">
        <f t="shared" si="44"/>
        <v>0</v>
      </c>
      <c r="I115" s="91">
        <f t="shared" si="44"/>
        <v>-21577599</v>
      </c>
      <c r="J115" s="91">
        <f t="shared" si="44"/>
        <v>-43680591.530000001</v>
      </c>
      <c r="K115" s="91">
        <f t="shared" si="44"/>
        <v>-74810506.88000001</v>
      </c>
      <c r="L115" s="91">
        <f t="shared" si="44"/>
        <v>-56107880.160000004</v>
      </c>
      <c r="M115" s="91">
        <f t="shared" si="44"/>
        <v>-9167316.3500000015</v>
      </c>
      <c r="N115" s="91">
        <f t="shared" si="44"/>
        <v>0</v>
      </c>
      <c r="O115" s="91">
        <f t="shared" si="44"/>
        <v>0</v>
      </c>
      <c r="P115" s="91">
        <f t="shared" si="44"/>
        <v>0</v>
      </c>
      <c r="Q115" s="91">
        <f t="shared" si="44"/>
        <v>0</v>
      </c>
    </row>
    <row r="116" spans="3:17" ht="15" customHeight="1">
      <c r="C116" s="1118" t="s">
        <v>8242</v>
      </c>
      <c r="D116" s="1127" t="s">
        <v>8270</v>
      </c>
      <c r="E116" s="267" t="s">
        <v>8245</v>
      </c>
      <c r="F116" s="2"/>
      <c r="H116" s="2"/>
      <c r="I116" s="2"/>
      <c r="J116" s="2"/>
      <c r="K116" s="2"/>
      <c r="L116" s="2"/>
      <c r="Q116" s="273"/>
    </row>
    <row r="117" spans="3:17" ht="15" customHeight="1" thickBot="1">
      <c r="C117" s="1119"/>
      <c r="D117" s="1126"/>
      <c r="E117" s="270" t="s">
        <v>8246</v>
      </c>
      <c r="F117" s="2">
        <v>14655234.031111101</v>
      </c>
      <c r="G117" s="2">
        <v>9329989</v>
      </c>
      <c r="H117" s="938">
        <v>1128208</v>
      </c>
      <c r="I117" s="437">
        <v>6530312</v>
      </c>
      <c r="J117" s="437">
        <v>3907292.2</v>
      </c>
      <c r="K117" s="437"/>
      <c r="L117" s="437"/>
      <c r="M117" s="1076"/>
      <c r="N117" s="1076"/>
      <c r="Q117" s="273"/>
    </row>
    <row r="118" spans="3:17" ht="15" customHeight="1" thickBot="1">
      <c r="C118" s="1142"/>
      <c r="D118" s="1143"/>
      <c r="E118" s="340" t="s">
        <v>9</v>
      </c>
      <c r="F118" s="91">
        <f t="shared" ref="F118:Q118" si="45">+F116-F117</f>
        <v>-14655234.031111101</v>
      </c>
      <c r="G118" s="91">
        <f t="shared" si="45"/>
        <v>-9329989</v>
      </c>
      <c r="H118" s="91">
        <f t="shared" si="45"/>
        <v>-1128208</v>
      </c>
      <c r="I118" s="91">
        <f t="shared" si="45"/>
        <v>-6530312</v>
      </c>
      <c r="J118" s="91">
        <f t="shared" si="45"/>
        <v>-3907292.2</v>
      </c>
      <c r="K118" s="91">
        <f t="shared" si="45"/>
        <v>0</v>
      </c>
      <c r="L118" s="91">
        <f t="shared" si="45"/>
        <v>0</v>
      </c>
      <c r="M118" s="91">
        <f t="shared" si="45"/>
        <v>0</v>
      </c>
      <c r="N118" s="91">
        <f t="shared" si="45"/>
        <v>0</v>
      </c>
      <c r="O118" s="91">
        <f t="shared" si="45"/>
        <v>0</v>
      </c>
      <c r="P118" s="91">
        <f t="shared" si="45"/>
        <v>0</v>
      </c>
      <c r="Q118" s="91">
        <f t="shared" si="45"/>
        <v>0</v>
      </c>
    </row>
    <row r="119" spans="3:17" ht="15" customHeight="1">
      <c r="C119" s="1124" t="s">
        <v>8242</v>
      </c>
      <c r="D119" s="1125" t="s">
        <v>8271</v>
      </c>
      <c r="E119" s="267" t="s">
        <v>8245</v>
      </c>
      <c r="F119" s="2"/>
      <c r="H119" s="2"/>
      <c r="I119" s="2"/>
      <c r="J119" s="2"/>
      <c r="K119" s="2"/>
      <c r="L119" s="2"/>
      <c r="Q119" s="273"/>
    </row>
    <row r="120" spans="3:17" ht="15" customHeight="1" thickBot="1">
      <c r="C120" s="1119"/>
      <c r="D120" s="1126"/>
      <c r="E120" s="270" t="s">
        <v>8246</v>
      </c>
      <c r="F120" s="2">
        <v>795801</v>
      </c>
      <c r="G120" s="2">
        <v>23254000</v>
      </c>
      <c r="H120" s="938">
        <f>29926329+1223333.33</f>
        <v>31149662.329999998</v>
      </c>
      <c r="I120" s="2">
        <v>12026983</v>
      </c>
      <c r="J120" s="437">
        <v>1196019</v>
      </c>
      <c r="K120" s="2">
        <f>53000000-J120</f>
        <v>51803981</v>
      </c>
      <c r="L120" s="2"/>
      <c r="Q120" s="273"/>
    </row>
    <row r="121" spans="3:17" ht="15" customHeight="1" thickBot="1">
      <c r="C121" s="1124"/>
      <c r="D121" s="1125"/>
      <c r="E121" s="340" t="s">
        <v>9</v>
      </c>
      <c r="F121" s="91">
        <f t="shared" ref="F121:Q121" si="46">+F119-F120</f>
        <v>-795801</v>
      </c>
      <c r="G121" s="91">
        <f t="shared" si="46"/>
        <v>-23254000</v>
      </c>
      <c r="H121" s="91">
        <f t="shared" si="46"/>
        <v>-31149662.329999998</v>
      </c>
      <c r="I121" s="91">
        <f t="shared" si="46"/>
        <v>-12026983</v>
      </c>
      <c r="J121" s="91">
        <f t="shared" si="46"/>
        <v>-1196019</v>
      </c>
      <c r="K121" s="91">
        <f t="shared" si="46"/>
        <v>-51803981</v>
      </c>
      <c r="L121" s="91">
        <f t="shared" si="46"/>
        <v>0</v>
      </c>
      <c r="M121" s="91">
        <f t="shared" si="46"/>
        <v>0</v>
      </c>
      <c r="N121" s="91">
        <f t="shared" si="46"/>
        <v>0</v>
      </c>
      <c r="O121" s="91">
        <f t="shared" si="46"/>
        <v>0</v>
      </c>
      <c r="P121" s="91">
        <f t="shared" si="46"/>
        <v>0</v>
      </c>
      <c r="Q121" s="91">
        <f t="shared" si="46"/>
        <v>0</v>
      </c>
    </row>
    <row r="122" spans="3:17" ht="15" customHeight="1">
      <c r="C122" s="1124" t="s">
        <v>8242</v>
      </c>
      <c r="D122" s="1125" t="s">
        <v>8272</v>
      </c>
      <c r="E122" s="267" t="s">
        <v>8245</v>
      </c>
      <c r="F122" s="2"/>
      <c r="H122" s="2"/>
      <c r="I122" s="2"/>
      <c r="J122" s="2"/>
      <c r="K122" s="2"/>
      <c r="L122" s="2"/>
      <c r="Q122" s="273"/>
    </row>
    <row r="123" spans="3:17" ht="15" customHeight="1" thickBot="1">
      <c r="C123" s="1119"/>
      <c r="D123" s="1126"/>
      <c r="E123" s="270" t="s">
        <v>8246</v>
      </c>
      <c r="F123" s="2">
        <v>372539.47</v>
      </c>
      <c r="G123" s="236">
        <f>45117560+3406989</f>
        <v>48524549</v>
      </c>
      <c r="H123" s="2"/>
      <c r="I123" s="2"/>
      <c r="J123" s="2"/>
      <c r="K123" s="2"/>
      <c r="L123" s="2"/>
      <c r="Q123" s="273"/>
    </row>
    <row r="124" spans="3:17" ht="15" customHeight="1" thickBot="1">
      <c r="C124" s="1124"/>
      <c r="D124" s="1125"/>
      <c r="E124" s="340" t="s">
        <v>9</v>
      </c>
      <c r="F124" s="91">
        <f t="shared" ref="F124" si="47">+F122-F123</f>
        <v>-372539.47</v>
      </c>
      <c r="G124" s="91">
        <f t="shared" ref="G124" si="48">+G122-G123</f>
        <v>-48524549</v>
      </c>
      <c r="H124" s="91"/>
      <c r="I124" s="91"/>
      <c r="J124" s="91"/>
      <c r="K124" s="91"/>
      <c r="L124" s="91"/>
      <c r="M124" s="91"/>
      <c r="N124" s="91"/>
      <c r="O124" s="91"/>
      <c r="P124" s="91"/>
      <c r="Q124" s="91"/>
    </row>
    <row r="125" spans="3:17" ht="15" customHeight="1">
      <c r="C125" s="1124" t="s">
        <v>8242</v>
      </c>
      <c r="D125" s="1140" t="s">
        <v>4399</v>
      </c>
      <c r="E125" s="267" t="s">
        <v>8245</v>
      </c>
      <c r="F125" s="2"/>
      <c r="H125" s="2"/>
      <c r="I125" s="2"/>
      <c r="J125" s="2"/>
      <c r="K125" s="2"/>
      <c r="L125" s="2"/>
      <c r="Q125" s="273"/>
    </row>
    <row r="126" spans="3:17" ht="15" customHeight="1" thickBot="1">
      <c r="C126" s="1119"/>
      <c r="D126" s="1126"/>
      <c r="E126" s="270" t="s">
        <v>8246</v>
      </c>
      <c r="F126" s="2"/>
      <c r="G126" s="2">
        <v>1032300</v>
      </c>
      <c r="H126" s="2"/>
      <c r="I126" s="2"/>
      <c r="J126" s="2"/>
      <c r="K126" s="2"/>
      <c r="L126" s="2"/>
      <c r="Q126" s="273"/>
    </row>
    <row r="127" spans="3:17" ht="15" customHeight="1" thickBot="1">
      <c r="C127" s="1124"/>
      <c r="D127" s="1128"/>
      <c r="E127" s="340" t="s">
        <v>9</v>
      </c>
      <c r="F127" s="91">
        <f t="shared" ref="F127" si="49">+F125-F126</f>
        <v>0</v>
      </c>
      <c r="G127" s="91">
        <f t="shared" ref="G127" si="50">+G125-G126</f>
        <v>-1032300</v>
      </c>
      <c r="H127" s="91"/>
      <c r="I127" s="91"/>
      <c r="J127" s="91"/>
      <c r="K127" s="91"/>
      <c r="L127" s="91"/>
      <c r="M127" s="91"/>
      <c r="N127" s="91"/>
      <c r="O127" s="91"/>
      <c r="P127" s="91"/>
      <c r="Q127" s="91"/>
    </row>
    <row r="128" spans="3:17" ht="15" customHeight="1">
      <c r="C128" s="1124" t="s">
        <v>8242</v>
      </c>
      <c r="D128" s="1140" t="s">
        <v>8273</v>
      </c>
      <c r="E128" s="267" t="s">
        <v>8245</v>
      </c>
      <c r="F128" s="2"/>
      <c r="H128" s="2"/>
      <c r="I128" s="2"/>
      <c r="J128" s="2"/>
      <c r="K128" s="2"/>
      <c r="L128" s="2"/>
      <c r="Q128" s="273"/>
    </row>
    <row r="129" spans="2:17" ht="15" customHeight="1" thickBot="1">
      <c r="C129" s="1119"/>
      <c r="D129" s="1126"/>
      <c r="E129" s="270" t="s">
        <v>8246</v>
      </c>
      <c r="F129" s="2"/>
      <c r="H129" s="938">
        <v>14043753</v>
      </c>
      <c r="I129" s="2">
        <v>96583584</v>
      </c>
      <c r="J129" s="2">
        <v>174417023</v>
      </c>
      <c r="K129" s="2">
        <f>467521924*85%*10%</f>
        <v>39739363.539999999</v>
      </c>
      <c r="L129" s="2">
        <f>247026934.08-J129</f>
        <v>72609911.080000013</v>
      </c>
      <c r="Q129" s="273"/>
    </row>
    <row r="130" spans="2:17" ht="15" customHeight="1" thickBot="1">
      <c r="C130" s="1124"/>
      <c r="D130" s="1128"/>
      <c r="E130" s="340" t="s">
        <v>9</v>
      </c>
      <c r="F130" s="91">
        <f t="shared" ref="F130" si="51">+F128-F129</f>
        <v>0</v>
      </c>
      <c r="G130" s="91">
        <f t="shared" ref="G130:Q130" si="52">+G128-G129</f>
        <v>0</v>
      </c>
      <c r="H130" s="91">
        <f t="shared" si="52"/>
        <v>-14043753</v>
      </c>
      <c r="I130" s="91">
        <f t="shared" si="52"/>
        <v>-96583584</v>
      </c>
      <c r="J130" s="91">
        <f t="shared" si="52"/>
        <v>-174417023</v>
      </c>
      <c r="K130" s="91">
        <f t="shared" si="52"/>
        <v>-39739363.539999999</v>
      </c>
      <c r="L130" s="91">
        <f t="shared" si="52"/>
        <v>-72609911.080000013</v>
      </c>
      <c r="M130" s="91">
        <f t="shared" si="52"/>
        <v>0</v>
      </c>
      <c r="N130" s="91">
        <f t="shared" si="52"/>
        <v>0</v>
      </c>
      <c r="O130" s="91">
        <f t="shared" si="52"/>
        <v>0</v>
      </c>
      <c r="P130" s="91">
        <f t="shared" si="52"/>
        <v>0</v>
      </c>
      <c r="Q130" s="91">
        <f t="shared" si="52"/>
        <v>0</v>
      </c>
    </row>
    <row r="131" spans="2:17" ht="15" customHeight="1">
      <c r="C131" s="1124" t="s">
        <v>8242</v>
      </c>
      <c r="D131" s="1140" t="s">
        <v>7902</v>
      </c>
      <c r="E131" s="267" t="s">
        <v>8245</v>
      </c>
      <c r="F131" s="2"/>
      <c r="H131" s="2"/>
      <c r="I131" s="2"/>
      <c r="J131" s="2"/>
      <c r="K131" s="2"/>
      <c r="L131" s="2"/>
      <c r="Q131" s="273"/>
    </row>
    <row r="132" spans="2:17" ht="15" customHeight="1" thickBot="1">
      <c r="C132" s="1119"/>
      <c r="D132" s="1126"/>
      <c r="E132" s="270" t="s">
        <v>8246</v>
      </c>
      <c r="F132" s="2"/>
      <c r="G132" s="2">
        <v>431000</v>
      </c>
      <c r="H132" s="938">
        <v>428881</v>
      </c>
      <c r="I132" s="2"/>
      <c r="J132" s="2"/>
      <c r="K132" s="2"/>
      <c r="L132" s="2"/>
      <c r="Q132" s="273"/>
    </row>
    <row r="133" spans="2:17" ht="15" customHeight="1" thickBot="1">
      <c r="C133" s="1124"/>
      <c r="D133" s="1128"/>
      <c r="E133" s="340" t="s">
        <v>9</v>
      </c>
      <c r="F133" s="91">
        <f t="shared" ref="F133" si="53">+F131-F132</f>
        <v>0</v>
      </c>
      <c r="G133" s="91">
        <f t="shared" ref="G133:H133" si="54">+G131-G132</f>
        <v>-431000</v>
      </c>
      <c r="H133" s="91">
        <f t="shared" si="54"/>
        <v>-428881</v>
      </c>
      <c r="I133" s="91"/>
      <c r="J133" s="91"/>
      <c r="K133" s="91"/>
      <c r="L133" s="91"/>
      <c r="M133" s="91"/>
      <c r="N133" s="91"/>
      <c r="O133" s="91"/>
      <c r="P133" s="91"/>
      <c r="Q133" s="91"/>
    </row>
    <row r="134" spans="2:17" ht="15" customHeight="1">
      <c r="C134" s="1124" t="s">
        <v>8242</v>
      </c>
      <c r="D134" s="1140" t="s">
        <v>1489</v>
      </c>
      <c r="E134" s="267" t="s">
        <v>8245</v>
      </c>
      <c r="F134" s="2"/>
      <c r="H134" s="938">
        <v>10792550.380000001</v>
      </c>
      <c r="I134" s="2"/>
      <c r="J134" s="2"/>
      <c r="K134" s="2"/>
      <c r="L134" s="2"/>
      <c r="Q134" s="273"/>
    </row>
    <row r="135" spans="2:17" ht="15" customHeight="1" thickBot="1">
      <c r="C135" s="1119"/>
      <c r="D135" s="1126"/>
      <c r="E135" s="270" t="s">
        <v>8246</v>
      </c>
      <c r="F135" s="2">
        <v>2203803.7784444401</v>
      </c>
      <c r="G135" s="2">
        <v>1819603</v>
      </c>
      <c r="H135" s="2"/>
      <c r="I135" s="2">
        <v>10864700</v>
      </c>
      <c r="J135" s="437">
        <v>0</v>
      </c>
      <c r="K135" s="2">
        <v>34000000</v>
      </c>
      <c r="L135" s="2"/>
      <c r="Q135" s="273"/>
    </row>
    <row r="136" spans="2:17" ht="15" customHeight="1" thickBot="1">
      <c r="C136" s="1124"/>
      <c r="D136" s="1128"/>
      <c r="E136" s="340" t="s">
        <v>9</v>
      </c>
      <c r="F136" s="91">
        <f t="shared" ref="F136:Q136" si="55">+F134-F135</f>
        <v>-2203803.7784444401</v>
      </c>
      <c r="G136" s="91">
        <f t="shared" si="55"/>
        <v>-1819603</v>
      </c>
      <c r="H136" s="91">
        <f t="shared" si="55"/>
        <v>10792550.380000001</v>
      </c>
      <c r="I136" s="91">
        <f t="shared" si="55"/>
        <v>-10864700</v>
      </c>
      <c r="J136" s="91">
        <f t="shared" si="55"/>
        <v>0</v>
      </c>
      <c r="K136" s="91">
        <f t="shared" si="55"/>
        <v>-34000000</v>
      </c>
      <c r="L136" s="91">
        <f t="shared" si="55"/>
        <v>0</v>
      </c>
      <c r="M136" s="91">
        <f t="shared" si="55"/>
        <v>0</v>
      </c>
      <c r="N136" s="91">
        <f t="shared" si="55"/>
        <v>0</v>
      </c>
      <c r="O136" s="91">
        <f t="shared" si="55"/>
        <v>0</v>
      </c>
      <c r="P136" s="91">
        <f t="shared" si="55"/>
        <v>0</v>
      </c>
      <c r="Q136" s="91">
        <f t="shared" si="55"/>
        <v>0</v>
      </c>
    </row>
    <row r="137" spans="2:17" ht="15" customHeight="1">
      <c r="C137" s="1124" t="s">
        <v>8242</v>
      </c>
      <c r="D137" s="1140" t="s">
        <v>5503</v>
      </c>
      <c r="E137" s="267" t="s">
        <v>8245</v>
      </c>
      <c r="F137" s="2"/>
      <c r="H137" s="2"/>
      <c r="I137" s="2"/>
      <c r="J137" s="2"/>
      <c r="K137" s="2"/>
      <c r="L137" s="2"/>
      <c r="Q137" s="273"/>
    </row>
    <row r="138" spans="2:17" ht="15" customHeight="1" thickBot="1">
      <c r="C138" s="1119"/>
      <c r="D138" s="1126"/>
      <c r="E138" s="270" t="s">
        <v>8246</v>
      </c>
      <c r="F138" s="2">
        <v>3070298.99</v>
      </c>
      <c r="G138" s="236">
        <f>182700+38000</f>
        <v>220700</v>
      </c>
      <c r="H138" s="938">
        <v>3815932</v>
      </c>
      <c r="I138" s="2"/>
      <c r="J138" s="2">
        <v>918353</v>
      </c>
      <c r="K138" s="2"/>
      <c r="L138" s="2"/>
      <c r="Q138" s="273"/>
    </row>
    <row r="139" spans="2:17" ht="15" customHeight="1" thickBot="1">
      <c r="C139" s="1124"/>
      <c r="D139" s="1128"/>
      <c r="E139" s="340" t="s">
        <v>9</v>
      </c>
      <c r="F139" s="91">
        <f t="shared" ref="F139:Q139" si="56">+F137-F138</f>
        <v>-3070298.99</v>
      </c>
      <c r="G139" s="91">
        <f t="shared" si="56"/>
        <v>-220700</v>
      </c>
      <c r="H139" s="91">
        <f t="shared" si="56"/>
        <v>-3815932</v>
      </c>
      <c r="I139" s="91">
        <f t="shared" si="56"/>
        <v>0</v>
      </c>
      <c r="J139" s="91">
        <f t="shared" si="56"/>
        <v>-918353</v>
      </c>
      <c r="K139" s="91">
        <f t="shared" si="56"/>
        <v>0</v>
      </c>
      <c r="L139" s="91">
        <f t="shared" si="56"/>
        <v>0</v>
      </c>
      <c r="M139" s="91">
        <f t="shared" si="56"/>
        <v>0</v>
      </c>
      <c r="N139" s="91">
        <f t="shared" si="56"/>
        <v>0</v>
      </c>
      <c r="O139" s="91">
        <f t="shared" si="56"/>
        <v>0</v>
      </c>
      <c r="P139" s="91">
        <f t="shared" si="56"/>
        <v>0</v>
      </c>
      <c r="Q139" s="91">
        <f t="shared" si="56"/>
        <v>0</v>
      </c>
    </row>
    <row r="140" spans="2:17" ht="15" customHeight="1">
      <c r="C140" s="1124" t="s">
        <v>8242</v>
      </c>
      <c r="D140" s="1140" t="s">
        <v>8274</v>
      </c>
      <c r="E140" s="267" t="s">
        <v>8245</v>
      </c>
      <c r="F140" s="2"/>
      <c r="H140" s="2"/>
      <c r="I140" s="2"/>
      <c r="J140" s="2"/>
      <c r="K140" s="2"/>
      <c r="L140" s="2"/>
      <c r="Q140" s="273"/>
    </row>
    <row r="141" spans="2:17" ht="15" customHeight="1" thickBot="1">
      <c r="C141" s="1119"/>
      <c r="D141" s="1126"/>
      <c r="E141" s="270" t="s">
        <v>8246</v>
      </c>
      <c r="F141" s="2">
        <v>2189497.66</v>
      </c>
      <c r="G141" s="236">
        <f>182700+38000</f>
        <v>220700</v>
      </c>
      <c r="H141" s="2"/>
      <c r="I141" s="2">
        <v>46000</v>
      </c>
      <c r="J141" s="2"/>
      <c r="K141" s="2"/>
      <c r="L141" s="2"/>
      <c r="Q141" s="273"/>
    </row>
    <row r="142" spans="2:17" ht="15" customHeight="1" thickBot="1">
      <c r="C142" s="1124"/>
      <c r="D142" s="1128"/>
      <c r="E142" s="340" t="s">
        <v>9</v>
      </c>
      <c r="F142" s="91">
        <f t="shared" ref="F142:Q142" si="57">+F140-F141</f>
        <v>-2189497.66</v>
      </c>
      <c r="G142" s="91">
        <f t="shared" si="57"/>
        <v>-220700</v>
      </c>
      <c r="H142" s="91">
        <f t="shared" si="57"/>
        <v>0</v>
      </c>
      <c r="I142" s="91">
        <f t="shared" si="57"/>
        <v>-46000</v>
      </c>
      <c r="J142" s="91">
        <f t="shared" si="57"/>
        <v>0</v>
      </c>
      <c r="K142" s="91">
        <f t="shared" si="57"/>
        <v>0</v>
      </c>
      <c r="L142" s="91">
        <f t="shared" si="57"/>
        <v>0</v>
      </c>
      <c r="M142" s="91">
        <f t="shared" si="57"/>
        <v>0</v>
      </c>
      <c r="N142" s="91">
        <f t="shared" si="57"/>
        <v>0</v>
      </c>
      <c r="O142" s="91">
        <f t="shared" si="57"/>
        <v>0</v>
      </c>
      <c r="P142" s="91">
        <f t="shared" si="57"/>
        <v>0</v>
      </c>
      <c r="Q142" s="91">
        <f t="shared" si="57"/>
        <v>0</v>
      </c>
    </row>
    <row r="143" spans="2:17" ht="15" customHeight="1">
      <c r="C143" s="1124" t="s">
        <v>8242</v>
      </c>
      <c r="D143" s="1140" t="s">
        <v>8275</v>
      </c>
      <c r="E143" s="267" t="s">
        <v>8245</v>
      </c>
      <c r="F143" s="2"/>
      <c r="H143" s="2"/>
      <c r="I143" s="2"/>
      <c r="J143" s="2"/>
      <c r="K143" s="2"/>
      <c r="L143" s="2"/>
      <c r="Q143" s="273"/>
    </row>
    <row r="144" spans="2:17" ht="15" customHeight="1" thickBot="1">
      <c r="B144" s="1090">
        <v>334200000</v>
      </c>
      <c r="C144" s="1119"/>
      <c r="D144" s="1126"/>
      <c r="E144" s="270" t="s">
        <v>8246</v>
      </c>
      <c r="F144" s="2"/>
      <c r="G144" s="236"/>
      <c r="H144" s="2"/>
      <c r="I144" s="437"/>
      <c r="J144" s="437">
        <v>2070584</v>
      </c>
      <c r="K144" s="91">
        <f>+B144*40%</f>
        <v>133680000</v>
      </c>
      <c r="L144" s="91">
        <f>+B144*20%</f>
        <v>66840000</v>
      </c>
      <c r="M144" s="91">
        <f>+B144*20%</f>
        <v>66840000</v>
      </c>
      <c r="N144" s="91">
        <f>+B144*20%-J144</f>
        <v>64769416</v>
      </c>
      <c r="O144" s="1076"/>
      <c r="Q144" s="273"/>
    </row>
    <row r="145" spans="1:17" ht="15" customHeight="1" thickBot="1">
      <c r="C145" s="1124"/>
      <c r="D145" s="1128"/>
      <c r="E145" s="340" t="s">
        <v>9</v>
      </c>
      <c r="F145" s="91">
        <f t="shared" ref="F145:Q145" si="58">+F143-F144</f>
        <v>0</v>
      </c>
      <c r="G145" s="91">
        <f t="shared" si="58"/>
        <v>0</v>
      </c>
      <c r="H145" s="91">
        <f t="shared" si="58"/>
        <v>0</v>
      </c>
      <c r="I145" s="91">
        <f t="shared" si="58"/>
        <v>0</v>
      </c>
      <c r="J145" s="91">
        <f t="shared" si="58"/>
        <v>-2070584</v>
      </c>
      <c r="K145" s="91">
        <f t="shared" si="58"/>
        <v>-133680000</v>
      </c>
      <c r="L145" s="91">
        <f t="shared" si="58"/>
        <v>-66840000</v>
      </c>
      <c r="M145" s="91">
        <f t="shared" si="58"/>
        <v>-66840000</v>
      </c>
      <c r="N145" s="91">
        <f t="shared" si="58"/>
        <v>-64769416</v>
      </c>
      <c r="O145" s="91">
        <f t="shared" si="58"/>
        <v>0</v>
      </c>
      <c r="P145" s="91">
        <f t="shared" si="58"/>
        <v>0</v>
      </c>
      <c r="Q145" s="91">
        <f t="shared" si="58"/>
        <v>0</v>
      </c>
    </row>
    <row r="146" spans="1:17" ht="15" customHeight="1">
      <c r="I146" s="2"/>
      <c r="J146" s="50"/>
      <c r="K146" s="50"/>
      <c r="L146" s="50"/>
    </row>
    <row r="147" spans="1:17" s="107" customFormat="1" ht="15" customHeight="1">
      <c r="G147" s="135"/>
    </row>
    <row r="148" spans="1:17" s="107" customFormat="1" ht="15" customHeight="1">
      <c r="G148" s="135"/>
    </row>
    <row r="149" spans="1:17" s="107" customFormat="1" ht="15" customHeight="1">
      <c r="G149" s="135"/>
    </row>
    <row r="150" spans="1:17" ht="15" customHeight="1">
      <c r="H150" s="2"/>
      <c r="I150" s="2"/>
      <c r="J150" s="2"/>
      <c r="K150" s="2"/>
      <c r="L150" s="2"/>
      <c r="M150" s="2"/>
      <c r="N150" s="2"/>
      <c r="O150" s="2"/>
      <c r="P150" s="2"/>
    </row>
    <row r="151" spans="1:17" ht="15" customHeight="1" thickBot="1">
      <c r="H151" s="2"/>
      <c r="I151" s="2"/>
      <c r="J151" s="2"/>
      <c r="K151" s="2"/>
      <c r="L151" s="2"/>
      <c r="M151" s="2"/>
      <c r="N151" s="2"/>
      <c r="O151" s="2"/>
    </row>
    <row r="152" spans="1:17" ht="15" customHeight="1" thickBot="1">
      <c r="F152" s="1121" t="s">
        <v>8072</v>
      </c>
      <c r="G152" s="1122"/>
      <c r="H152" s="1122"/>
      <c r="I152" s="1122"/>
      <c r="J152" s="1122"/>
      <c r="K152" s="1122"/>
      <c r="L152" s="1122"/>
      <c r="M152" s="1122"/>
      <c r="N152" s="1122"/>
      <c r="O152" s="1122"/>
      <c r="P152" s="1122"/>
      <c r="Q152" s="1123"/>
    </row>
    <row r="153" spans="1:17" ht="15" customHeight="1" thickBot="1">
      <c r="F153" s="339">
        <v>45658</v>
      </c>
      <c r="G153" s="339">
        <v>45689</v>
      </c>
      <c r="H153" s="339">
        <v>45717</v>
      </c>
      <c r="I153" s="339">
        <v>45748</v>
      </c>
      <c r="J153" s="339">
        <v>45778</v>
      </c>
      <c r="K153" s="339">
        <v>45809</v>
      </c>
      <c r="L153" s="339">
        <v>45839</v>
      </c>
      <c r="M153" s="339">
        <v>45870</v>
      </c>
      <c r="N153" s="339">
        <v>45901</v>
      </c>
      <c r="O153" s="339">
        <v>45931</v>
      </c>
      <c r="P153" s="339">
        <v>45962</v>
      </c>
      <c r="Q153" s="339">
        <v>45992</v>
      </c>
    </row>
    <row r="154" spans="1:17" ht="15" customHeight="1" thickBot="1">
      <c r="C154" s="1133" t="s">
        <v>9</v>
      </c>
      <c r="D154" s="1129"/>
      <c r="E154" s="1129"/>
      <c r="F154" s="215">
        <f>-(F157+F160+F163+F166+F169+F175+F178+F181)</f>
        <v>-493978822.14492595</v>
      </c>
      <c r="G154" s="215">
        <f>(G157+G160+G163+G166+G169+G175)+G178+G181+G172</f>
        <v>973962762.6888001</v>
      </c>
      <c r="H154" s="215">
        <f t="shared" ref="H154" si="59">(H157+H160+H163+H166+H169+H175)+H178+H181</f>
        <v>674458340.56214225</v>
      </c>
      <c r="I154" s="215">
        <f>(I157+I160+I163+I166+I169+I175)+I178+I181+I172</f>
        <v>-136307754</v>
      </c>
      <c r="J154" s="215">
        <f>(J157+J160+J163+J166+J169+J175)+J178+J181+J172</f>
        <v>589388461.59000003</v>
      </c>
      <c r="K154" s="215">
        <f t="shared" ref="K154:Q154" si="60">(K157+K160+K163+K166+K169+K175)+K178+K181+K172</f>
        <v>708292375.62000012</v>
      </c>
      <c r="L154" s="215">
        <f t="shared" si="60"/>
        <v>1762126557.9099998</v>
      </c>
      <c r="M154" s="215">
        <f t="shared" si="60"/>
        <v>214227648.06999993</v>
      </c>
      <c r="N154" s="215">
        <f t="shared" si="60"/>
        <v>-343799461.73000002</v>
      </c>
      <c r="O154" s="215">
        <f t="shared" si="60"/>
        <v>-1218772351.9300001</v>
      </c>
      <c r="P154" s="215">
        <f t="shared" si="60"/>
        <v>1174227648.0699999</v>
      </c>
      <c r="Q154" s="215">
        <f t="shared" si="60"/>
        <v>-380522351.93000007</v>
      </c>
    </row>
    <row r="155" spans="1:17" ht="15" customHeight="1">
      <c r="C155" s="1112" t="s">
        <v>8243</v>
      </c>
      <c r="D155" s="1115" t="s">
        <v>7167</v>
      </c>
      <c r="E155" s="267" t="s">
        <v>8245</v>
      </c>
      <c r="F155" s="2">
        <v>235000000</v>
      </c>
      <c r="G155" s="437">
        <v>100000000</v>
      </c>
      <c r="H155" s="2"/>
      <c r="I155" s="437">
        <v>400000000</v>
      </c>
      <c r="J155" s="437">
        <v>0</v>
      </c>
      <c r="K155" s="2">
        <v>0</v>
      </c>
      <c r="L155" s="2">
        <f>200000000+1682000000</f>
        <v>1882000000</v>
      </c>
      <c r="M155" s="2">
        <v>580000000</v>
      </c>
      <c r="N155" s="2">
        <v>150000000</v>
      </c>
      <c r="O155" s="2">
        <v>150000000</v>
      </c>
      <c r="P155" s="2">
        <v>1500000000</v>
      </c>
      <c r="Q155" s="2">
        <v>1400000000</v>
      </c>
    </row>
    <row r="156" spans="1:17" ht="15" customHeight="1" thickBot="1">
      <c r="A156" s="6">
        <f>720*2300</f>
        <v>1656000</v>
      </c>
      <c r="C156" s="1113"/>
      <c r="D156" s="1116"/>
      <c r="E156" s="270" t="s">
        <v>8246</v>
      </c>
      <c r="F156" s="236">
        <v>187442209.38437</v>
      </c>
      <c r="G156" s="935">
        <v>450376680.06828743</v>
      </c>
      <c r="H156" s="935">
        <v>120063699.78992799</v>
      </c>
      <c r="I156" s="935">
        <v>79075693</v>
      </c>
      <c r="J156" s="935">
        <v>43493.34</v>
      </c>
      <c r="K156" s="236">
        <v>830000000</v>
      </c>
      <c r="L156" s="236">
        <f>254000000+1000000000</f>
        <v>1254000000</v>
      </c>
      <c r="M156" s="236">
        <f>497000000+39000000</f>
        <v>536000000</v>
      </c>
      <c r="N156" s="236">
        <v>489134000</v>
      </c>
      <c r="O156" s="236">
        <v>549000000</v>
      </c>
      <c r="P156" s="236">
        <v>1129000000</v>
      </c>
      <c r="Q156" s="238">
        <v>254000000</v>
      </c>
    </row>
    <row r="157" spans="1:17" ht="15" customHeight="1" thickBot="1">
      <c r="A157" s="6">
        <v>1590000000</v>
      </c>
      <c r="B157" s="6">
        <f>+A158/720</f>
        <v>276041.66666666669</v>
      </c>
      <c r="C157" s="1114"/>
      <c r="D157" s="1117"/>
      <c r="E157" s="270" t="s">
        <v>9</v>
      </c>
      <c r="F157" s="236">
        <f t="shared" ref="F157:I157" si="61">+F155-F156</f>
        <v>47557790.615630001</v>
      </c>
      <c r="G157" s="236">
        <f>+G155-G156</f>
        <v>-350376680.06828743</v>
      </c>
      <c r="H157" s="236">
        <f t="shared" si="61"/>
        <v>-120063699.78992799</v>
      </c>
      <c r="I157" s="236">
        <f t="shared" si="61"/>
        <v>320924307</v>
      </c>
      <c r="J157" s="902">
        <f>+J155-J156</f>
        <v>-43493.34</v>
      </c>
      <c r="K157" s="236">
        <f>+K155-K156</f>
        <v>-830000000</v>
      </c>
      <c r="L157" s="236">
        <f>+L155-L156</f>
        <v>628000000</v>
      </c>
      <c r="M157" s="236">
        <f t="shared" ref="M157:Q157" si="62">+M155-M156</f>
        <v>44000000</v>
      </c>
      <c r="N157" s="236">
        <f t="shared" si="62"/>
        <v>-339134000</v>
      </c>
      <c r="O157" s="236">
        <f t="shared" si="62"/>
        <v>-399000000</v>
      </c>
      <c r="P157" s="236">
        <f t="shared" si="62"/>
        <v>371000000</v>
      </c>
      <c r="Q157" s="236">
        <f t="shared" si="62"/>
        <v>1146000000</v>
      </c>
    </row>
    <row r="158" spans="1:17" ht="15" customHeight="1">
      <c r="A158" s="6">
        <f>+A157/8</f>
        <v>198750000</v>
      </c>
      <c r="B158" s="6">
        <f>+B157*2300</f>
        <v>634895833.33333337</v>
      </c>
      <c r="C158" s="1118" t="s">
        <v>8243</v>
      </c>
      <c r="D158" s="1127" t="s">
        <v>6198</v>
      </c>
      <c r="E158" s="267" t="s">
        <v>8245</v>
      </c>
      <c r="F158" s="235">
        <v>450000000</v>
      </c>
      <c r="G158" s="437">
        <v>380000000</v>
      </c>
      <c r="H158" s="437">
        <v>1712000000</v>
      </c>
      <c r="I158" s="437">
        <v>390000000</v>
      </c>
      <c r="J158" s="437">
        <v>200000000</v>
      </c>
      <c r="K158" s="2">
        <v>0</v>
      </c>
      <c r="L158" s="2">
        <f>190000000+1400000000</f>
        <v>1590000000</v>
      </c>
      <c r="M158" s="235">
        <v>300000000</v>
      </c>
      <c r="N158" s="235">
        <v>50000000</v>
      </c>
      <c r="O158" s="235">
        <v>63000000</v>
      </c>
      <c r="P158" s="268"/>
      <c r="Q158" s="269"/>
    </row>
    <row r="159" spans="1:17" ht="15" customHeight="1" thickBot="1">
      <c r="C159" s="1119"/>
      <c r="D159" s="1126"/>
      <c r="E159" s="270" t="s">
        <v>8246</v>
      </c>
      <c r="F159" s="98">
        <v>249912438.23070401</v>
      </c>
      <c r="G159" s="437">
        <v>637458668.24291253</v>
      </c>
      <c r="H159" s="437">
        <v>948504699.14293003</v>
      </c>
      <c r="I159" s="437">
        <v>813525318</v>
      </c>
      <c r="J159" s="437">
        <v>154919169</v>
      </c>
      <c r="K159" s="2">
        <v>100000000</v>
      </c>
      <c r="L159" s="2">
        <v>439600000</v>
      </c>
      <c r="M159" s="6">
        <v>584000000</v>
      </c>
      <c r="Q159" s="273"/>
    </row>
    <row r="160" spans="1:17" ht="15" customHeight="1" thickBot="1">
      <c r="C160" s="1120"/>
      <c r="D160" s="1128"/>
      <c r="E160" s="340" t="s">
        <v>9</v>
      </c>
      <c r="F160" s="91">
        <f>+F158-F159</f>
        <v>200087561.76929599</v>
      </c>
      <c r="G160" s="91">
        <f t="shared" ref="G160:Q160" si="63">+G158-G159</f>
        <v>-257458668.24291253</v>
      </c>
      <c r="H160" s="91">
        <f t="shared" si="63"/>
        <v>763495300.85706997</v>
      </c>
      <c r="I160" s="91">
        <f t="shared" si="63"/>
        <v>-423525318</v>
      </c>
      <c r="J160" s="91">
        <f t="shared" si="63"/>
        <v>45080831</v>
      </c>
      <c r="K160" s="91">
        <f t="shared" si="63"/>
        <v>-100000000</v>
      </c>
      <c r="L160" s="91">
        <f t="shared" si="63"/>
        <v>1150400000</v>
      </c>
      <c r="M160" s="91">
        <f t="shared" si="63"/>
        <v>-284000000</v>
      </c>
      <c r="N160" s="91">
        <f t="shared" si="63"/>
        <v>50000000</v>
      </c>
      <c r="O160" s="91">
        <f t="shared" si="63"/>
        <v>63000000</v>
      </c>
      <c r="P160" s="91">
        <f t="shared" si="63"/>
        <v>0</v>
      </c>
      <c r="Q160" s="91">
        <f t="shared" si="63"/>
        <v>0</v>
      </c>
    </row>
    <row r="161" spans="2:17" ht="15" customHeight="1">
      <c r="C161" s="1118" t="s">
        <v>8243</v>
      </c>
      <c r="D161" s="1127" t="s">
        <v>8276</v>
      </c>
      <c r="E161" s="267" t="s">
        <v>8245</v>
      </c>
      <c r="F161" s="2">
        <v>900000000</v>
      </c>
      <c r="G161" s="437">
        <v>970000000</v>
      </c>
      <c r="H161" s="437">
        <v>100000000</v>
      </c>
      <c r="I161" s="2"/>
      <c r="J161" s="2">
        <v>0</v>
      </c>
      <c r="K161" s="2"/>
      <c r="L161" s="2"/>
      <c r="Q161" s="273"/>
    </row>
    <row r="162" spans="2:17" ht="15" customHeight="1" thickBot="1">
      <c r="C162" s="1119"/>
      <c r="D162" s="1126"/>
      <c r="E162" s="270" t="s">
        <v>8246</v>
      </c>
      <c r="F162" s="2">
        <v>416010324.24000001</v>
      </c>
      <c r="G162" s="437">
        <v>231254412</v>
      </c>
      <c r="H162" s="437">
        <v>143635827</v>
      </c>
      <c r="I162" s="437">
        <v>446514713</v>
      </c>
      <c r="J162" s="437">
        <v>168516109.19999999</v>
      </c>
      <c r="K162" s="2">
        <f>339000000-J162</f>
        <v>170483890.80000001</v>
      </c>
      <c r="L162" s="2"/>
      <c r="Q162" s="273"/>
    </row>
    <row r="163" spans="2:17" ht="15" customHeight="1" thickBot="1">
      <c r="C163" s="1142"/>
      <c r="D163" s="1143"/>
      <c r="E163" s="340" t="s">
        <v>9</v>
      </c>
      <c r="F163" s="91">
        <f t="shared" ref="F163:Q163" si="64">+F161-F162</f>
        <v>483989675.75999999</v>
      </c>
      <c r="G163" s="91">
        <f t="shared" si="64"/>
        <v>738745588</v>
      </c>
      <c r="H163" s="91">
        <f t="shared" si="64"/>
        <v>-43635827</v>
      </c>
      <c r="I163" s="91">
        <f t="shared" si="64"/>
        <v>-446514713</v>
      </c>
      <c r="J163" s="91">
        <f t="shared" si="64"/>
        <v>-168516109.19999999</v>
      </c>
      <c r="K163" s="91">
        <f t="shared" si="64"/>
        <v>-170483890.80000001</v>
      </c>
      <c r="L163" s="91">
        <f t="shared" si="64"/>
        <v>0</v>
      </c>
      <c r="M163" s="91">
        <f t="shared" si="64"/>
        <v>0</v>
      </c>
      <c r="N163" s="91">
        <f t="shared" si="64"/>
        <v>0</v>
      </c>
      <c r="O163" s="91">
        <f t="shared" si="64"/>
        <v>0</v>
      </c>
      <c r="P163" s="91">
        <f t="shared" si="64"/>
        <v>0</v>
      </c>
      <c r="Q163" s="91">
        <f t="shared" si="64"/>
        <v>0</v>
      </c>
    </row>
    <row r="164" spans="2:17" ht="15" customHeight="1">
      <c r="C164" s="1124" t="s">
        <v>8243</v>
      </c>
      <c r="D164" s="1125" t="s">
        <v>8277</v>
      </c>
      <c r="E164" s="267" t="s">
        <v>8245</v>
      </c>
      <c r="F164" s="2"/>
      <c r="G164" s="437">
        <v>660000000</v>
      </c>
      <c r="H164" s="437">
        <v>1250000000</v>
      </c>
      <c r="I164" s="437">
        <v>420000000</v>
      </c>
      <c r="J164" s="437">
        <v>500000000</v>
      </c>
      <c r="K164" s="2">
        <v>500000000</v>
      </c>
      <c r="L164" s="2">
        <v>400000000</v>
      </c>
      <c r="M164" s="2">
        <v>300000000</v>
      </c>
      <c r="Q164" s="273"/>
    </row>
    <row r="165" spans="2:17" ht="15" customHeight="1" thickBot="1">
      <c r="C165" s="1119"/>
      <c r="D165" s="1126"/>
      <c r="E165" s="270" t="s">
        <v>8246</v>
      </c>
      <c r="F165" s="2"/>
      <c r="G165" s="437">
        <f>241119500-178050000</f>
        <v>63069500</v>
      </c>
      <c r="H165" s="437">
        <v>772408389.12699997</v>
      </c>
      <c r="I165" s="437">
        <v>388930403</v>
      </c>
      <c r="J165" s="437">
        <v>155701599</v>
      </c>
      <c r="K165" s="2">
        <v>197000000</v>
      </c>
      <c r="L165" s="2">
        <f>39000000+(394000000-J165)+(297000000-K165)</f>
        <v>377298401</v>
      </c>
      <c r="M165" s="2">
        <v>200000000</v>
      </c>
      <c r="N165" s="2">
        <v>500000000</v>
      </c>
      <c r="O165" s="2">
        <v>300000000</v>
      </c>
      <c r="Q165" s="273"/>
    </row>
    <row r="166" spans="2:17" ht="15" customHeight="1" thickBot="1">
      <c r="C166" s="1124"/>
      <c r="D166" s="1125"/>
      <c r="E166" s="340" t="s">
        <v>9</v>
      </c>
      <c r="F166" s="91">
        <f t="shared" ref="F166:Q166" si="65">+F164-F165</f>
        <v>0</v>
      </c>
      <c r="G166" s="91">
        <f t="shared" si="65"/>
        <v>596930500</v>
      </c>
      <c r="H166" s="91">
        <f t="shared" si="65"/>
        <v>477591610.87300003</v>
      </c>
      <c r="I166" s="91">
        <f t="shared" si="65"/>
        <v>31069597</v>
      </c>
      <c r="J166" s="91">
        <f t="shared" si="65"/>
        <v>344298401</v>
      </c>
      <c r="K166" s="91">
        <f t="shared" si="65"/>
        <v>303000000</v>
      </c>
      <c r="L166" s="91">
        <f t="shared" si="65"/>
        <v>22701599</v>
      </c>
      <c r="M166" s="91">
        <f t="shared" si="65"/>
        <v>100000000</v>
      </c>
      <c r="N166" s="91">
        <f t="shared" si="65"/>
        <v>-500000000</v>
      </c>
      <c r="O166" s="91">
        <f t="shared" si="65"/>
        <v>-300000000</v>
      </c>
      <c r="P166" s="91">
        <f t="shared" si="65"/>
        <v>0</v>
      </c>
      <c r="Q166" s="91">
        <f t="shared" si="65"/>
        <v>0</v>
      </c>
    </row>
    <row r="167" spans="2:17" ht="15" customHeight="1">
      <c r="C167" s="1124" t="s">
        <v>8243</v>
      </c>
      <c r="D167" s="1125" t="s">
        <v>8278</v>
      </c>
      <c r="E167" s="267" t="s">
        <v>8245</v>
      </c>
      <c r="F167" s="2"/>
      <c r="H167" s="437">
        <v>600000000</v>
      </c>
      <c r="I167" s="437">
        <v>350000000</v>
      </c>
      <c r="J167" s="437">
        <v>100000000</v>
      </c>
      <c r="K167" s="2">
        <v>0</v>
      </c>
      <c r="L167" s="2">
        <v>1400000000</v>
      </c>
      <c r="M167" s="2"/>
      <c r="N167" s="2"/>
      <c r="P167" s="2">
        <v>1390000000</v>
      </c>
      <c r="Q167" s="273"/>
    </row>
    <row r="168" spans="2:17" ht="15" customHeight="1" thickBot="1">
      <c r="C168" s="1119"/>
      <c r="D168" s="1126"/>
      <c r="E168" s="270" t="s">
        <v>8246</v>
      </c>
      <c r="F168" s="2"/>
      <c r="G168" s="2">
        <v>189134000</v>
      </c>
      <c r="H168" s="437">
        <v>748905813.79999995</v>
      </c>
      <c r="I168" s="437">
        <v>212136629</v>
      </c>
      <c r="J168" s="437">
        <v>42502611</v>
      </c>
      <c r="K168" s="2">
        <f>297000000+(394000000-J168)-500000000</f>
        <v>148497389</v>
      </c>
      <c r="L168" s="2">
        <f>139000000+500000000</f>
        <v>639000000</v>
      </c>
      <c r="M168" s="2">
        <v>200000000</v>
      </c>
      <c r="N168" s="2">
        <v>300000000</v>
      </c>
      <c r="O168" s="2">
        <v>200000000</v>
      </c>
      <c r="P168" s="2"/>
      <c r="Q168" s="376">
        <v>500000000</v>
      </c>
    </row>
    <row r="169" spans="2:17" ht="15" customHeight="1" thickBot="1">
      <c r="C169" s="1124"/>
      <c r="D169" s="1125"/>
      <c r="E169" s="340" t="s">
        <v>9</v>
      </c>
      <c r="F169" s="91">
        <f t="shared" ref="F169:Q169" si="66">+F167-F168</f>
        <v>0</v>
      </c>
      <c r="G169" s="91">
        <f t="shared" si="66"/>
        <v>-189134000</v>
      </c>
      <c r="H169" s="91">
        <f t="shared" si="66"/>
        <v>-148905813.79999995</v>
      </c>
      <c r="I169" s="91">
        <f t="shared" si="66"/>
        <v>137863371</v>
      </c>
      <c r="J169" s="91">
        <f t="shared" si="66"/>
        <v>57497389</v>
      </c>
      <c r="K169" s="91">
        <f t="shared" si="66"/>
        <v>-148497389</v>
      </c>
      <c r="L169" s="91">
        <f t="shared" si="66"/>
        <v>761000000</v>
      </c>
      <c r="M169" s="91">
        <f t="shared" si="66"/>
        <v>-200000000</v>
      </c>
      <c r="N169" s="91">
        <f t="shared" si="66"/>
        <v>-300000000</v>
      </c>
      <c r="O169" s="91">
        <f t="shared" si="66"/>
        <v>-200000000</v>
      </c>
      <c r="P169" s="91">
        <f t="shared" si="66"/>
        <v>1390000000</v>
      </c>
      <c r="Q169" s="91">
        <f t="shared" si="66"/>
        <v>-500000000</v>
      </c>
    </row>
    <row r="170" spans="2:17" ht="15" customHeight="1">
      <c r="C170" s="1124" t="s">
        <v>8243</v>
      </c>
      <c r="D170" s="1125" t="s">
        <v>8279</v>
      </c>
      <c r="E170" s="267" t="s">
        <v>8245</v>
      </c>
      <c r="F170" s="2"/>
      <c r="H170" s="2"/>
      <c r="I170" s="1076"/>
      <c r="J170" s="437">
        <v>0</v>
      </c>
      <c r="K170" s="2">
        <v>800000000</v>
      </c>
      <c r="L170" s="2">
        <v>670000000</v>
      </c>
      <c r="M170" s="2">
        <v>1200000000</v>
      </c>
      <c r="N170" s="2">
        <f>500000000+80000000</f>
        <v>580000000</v>
      </c>
      <c r="O170" s="2">
        <v>500000000</v>
      </c>
      <c r="Q170" s="273"/>
    </row>
    <row r="171" spans="2:17" ht="15" customHeight="1" thickBot="1">
      <c r="C171" s="1119"/>
      <c r="D171" s="1126"/>
      <c r="E171" s="270" t="s">
        <v>8246</v>
      </c>
      <c r="F171" s="2"/>
      <c r="H171" s="2"/>
      <c r="I171" s="437">
        <v>13788000</v>
      </c>
      <c r="J171" s="437">
        <v>0</v>
      </c>
      <c r="K171" s="2">
        <f>772408389.127+63069500</f>
        <v>835477889.12699997</v>
      </c>
      <c r="L171" s="2">
        <v>365726344.57999998</v>
      </c>
      <c r="M171" s="2">
        <v>1094000000</v>
      </c>
      <c r="N171" s="2">
        <v>497000000</v>
      </c>
      <c r="O171" s="2">
        <v>39000000</v>
      </c>
      <c r="Q171" s="273"/>
    </row>
    <row r="172" spans="2:17" ht="15" customHeight="1" thickBot="1">
      <c r="C172" s="1124"/>
      <c r="D172" s="1125"/>
      <c r="E172" s="340" t="s">
        <v>9</v>
      </c>
      <c r="F172" s="91">
        <f t="shared" ref="F172:I172" si="67">+F170-F171</f>
        <v>0</v>
      </c>
      <c r="G172" s="91">
        <f t="shared" si="67"/>
        <v>0</v>
      </c>
      <c r="H172" s="91">
        <f t="shared" si="67"/>
        <v>0</v>
      </c>
      <c r="I172" s="91">
        <f t="shared" si="67"/>
        <v>-13788000</v>
      </c>
      <c r="J172" s="91">
        <f>+J170-J171</f>
        <v>0</v>
      </c>
      <c r="K172" s="91">
        <f t="shared" ref="K172:N172" si="68">+L170-L171</f>
        <v>304273655.42000002</v>
      </c>
      <c r="L172" s="91">
        <f t="shared" si="68"/>
        <v>106000000</v>
      </c>
      <c r="M172" s="91">
        <f t="shared" si="68"/>
        <v>83000000</v>
      </c>
      <c r="N172" s="91">
        <f t="shared" si="68"/>
        <v>461000000</v>
      </c>
      <c r="O172" s="91">
        <f t="shared" ref="O172:Q172" si="69">+P170-P171</f>
        <v>0</v>
      </c>
      <c r="P172" s="91">
        <f t="shared" si="69"/>
        <v>0</v>
      </c>
      <c r="Q172" s="91">
        <f t="shared" si="69"/>
        <v>0</v>
      </c>
    </row>
    <row r="173" spans="2:17" ht="15" customHeight="1">
      <c r="C173" s="1141" t="s">
        <v>8243</v>
      </c>
      <c r="D173" s="1140" t="s">
        <v>8280</v>
      </c>
      <c r="E173" s="267" t="s">
        <v>8245</v>
      </c>
      <c r="F173" s="2"/>
      <c r="H173" s="2"/>
      <c r="I173" s="2"/>
      <c r="J173" s="437">
        <v>0</v>
      </c>
      <c r="K173" s="2">
        <v>1900000000</v>
      </c>
      <c r="L173" s="2">
        <v>800000000</v>
      </c>
      <c r="M173" s="2">
        <v>2500000000</v>
      </c>
      <c r="N173" s="2">
        <v>2000000000</v>
      </c>
      <c r="O173" s="2">
        <v>400000000</v>
      </c>
      <c r="P173" s="2"/>
    </row>
    <row r="174" spans="2:17" ht="15" customHeight="1" thickBot="1">
      <c r="C174" s="1119"/>
      <c r="D174" s="1126"/>
      <c r="E174" s="270" t="s">
        <v>8246</v>
      </c>
      <c r="F174" s="2"/>
      <c r="H174" s="2"/>
      <c r="I174" s="2"/>
      <c r="J174" s="437">
        <v>321666.67</v>
      </c>
      <c r="K174" s="2">
        <v>650000000</v>
      </c>
      <c r="L174" s="2">
        <f>731452689.16+86772351.93</f>
        <v>818225041.08999991</v>
      </c>
      <c r="M174" s="2">
        <f>1500000000+86772351.93</f>
        <v>1586772351.9300001</v>
      </c>
      <c r="N174" s="2">
        <f>994000000+86772351.93</f>
        <v>1080772351.9300001</v>
      </c>
      <c r="O174" s="2">
        <f>696000000+86772351.93</f>
        <v>782772351.93000007</v>
      </c>
      <c r="P174" s="2">
        <f>500000000+86772351.93</f>
        <v>586772351.93000007</v>
      </c>
      <c r="Q174" s="6">
        <v>86772351.930000007</v>
      </c>
    </row>
    <row r="175" spans="2:17" ht="15" customHeight="1" thickBot="1">
      <c r="B175" s="6">
        <f>+(K174-650000000)/6</f>
        <v>0</v>
      </c>
      <c r="C175" s="1120"/>
      <c r="D175" s="1128"/>
      <c r="E175" s="340" t="s">
        <v>9</v>
      </c>
      <c r="F175" s="91">
        <f t="shared" ref="F175:Q175" si="70">+F173-F174</f>
        <v>0</v>
      </c>
      <c r="G175" s="91">
        <f t="shared" si="70"/>
        <v>0</v>
      </c>
      <c r="H175" s="91">
        <f t="shared" si="70"/>
        <v>0</v>
      </c>
      <c r="I175" s="91">
        <f t="shared" si="70"/>
        <v>0</v>
      </c>
      <c r="J175" s="91">
        <f t="shared" si="70"/>
        <v>-321666.67</v>
      </c>
      <c r="K175" s="91">
        <f t="shared" si="70"/>
        <v>1250000000</v>
      </c>
      <c r="L175" s="91">
        <f t="shared" si="70"/>
        <v>-18225041.089999914</v>
      </c>
      <c r="M175" s="91">
        <f t="shared" si="70"/>
        <v>913227648.06999993</v>
      </c>
      <c r="N175" s="91">
        <f t="shared" si="70"/>
        <v>919227648.06999993</v>
      </c>
      <c r="O175" s="91">
        <f t="shared" si="70"/>
        <v>-382772351.93000007</v>
      </c>
      <c r="P175" s="91">
        <f t="shared" si="70"/>
        <v>-586772351.93000007</v>
      </c>
      <c r="Q175" s="91">
        <f t="shared" si="70"/>
        <v>-86772351.930000007</v>
      </c>
    </row>
    <row r="176" spans="2:17" ht="15" customHeight="1">
      <c r="C176" s="1141" t="s">
        <v>8243</v>
      </c>
      <c r="D176" s="1140" t="s">
        <v>8281</v>
      </c>
      <c r="E176" s="267" t="s">
        <v>8245</v>
      </c>
      <c r="F176" s="2"/>
      <c r="H176" s="2"/>
      <c r="I176" s="2"/>
      <c r="J176" s="2"/>
      <c r="K176" s="2"/>
      <c r="L176" s="2"/>
      <c r="M176" s="2"/>
      <c r="N176" s="2"/>
      <c r="Q176" s="273"/>
    </row>
    <row r="177" spans="3:17" ht="15" customHeight="1" thickBot="1">
      <c r="C177" s="1119"/>
      <c r="D177" s="1126"/>
      <c r="E177" s="270" t="s">
        <v>8246</v>
      </c>
      <c r="F177" s="2">
        <v>237644606</v>
      </c>
      <c r="G177" s="437">
        <v>8190000</v>
      </c>
      <c r="H177" s="437">
        <f>580718298.578+102600</f>
        <v>580820898.57799995</v>
      </c>
      <c r="I177" s="437">
        <v>287585511</v>
      </c>
      <c r="J177" s="437">
        <v>0</v>
      </c>
      <c r="K177" s="2">
        <v>0</v>
      </c>
      <c r="L177" s="2">
        <f>(2159000000/2)/2</f>
        <v>539750000</v>
      </c>
      <c r="M177" s="2">
        <f>1604000000/2</f>
        <v>802000000</v>
      </c>
      <c r="N177" s="2">
        <f>623000000/2+218000000</f>
        <v>529500000</v>
      </c>
      <c r="O177" s="2"/>
      <c r="P177" s="2"/>
      <c r="Q177" s="2">
        <f>539750000+400000000</f>
        <v>939750000</v>
      </c>
    </row>
    <row r="178" spans="3:17" ht="15" customHeight="1" thickBot="1">
      <c r="C178" s="1120"/>
      <c r="D178" s="1128"/>
      <c r="E178" s="340" t="s">
        <v>9</v>
      </c>
      <c r="F178" s="91">
        <f t="shared" ref="F178:Q178" si="71">+F176-F177</f>
        <v>-237644606</v>
      </c>
      <c r="G178" s="91">
        <f t="shared" si="71"/>
        <v>-8190000</v>
      </c>
      <c r="H178" s="91">
        <f t="shared" si="71"/>
        <v>-580820898.57799995</v>
      </c>
      <c r="I178" s="91">
        <f t="shared" si="71"/>
        <v>-287585511</v>
      </c>
      <c r="J178" s="91">
        <f>+J176-J177</f>
        <v>0</v>
      </c>
      <c r="K178" s="91">
        <f t="shared" si="71"/>
        <v>0</v>
      </c>
      <c r="L178" s="91">
        <f t="shared" si="71"/>
        <v>-539750000</v>
      </c>
      <c r="M178" s="91">
        <f t="shared" si="71"/>
        <v>-802000000</v>
      </c>
      <c r="N178" s="91">
        <f t="shared" si="71"/>
        <v>-529500000</v>
      </c>
      <c r="O178" s="91">
        <f t="shared" si="71"/>
        <v>0</v>
      </c>
      <c r="P178" s="91">
        <f t="shared" si="71"/>
        <v>0</v>
      </c>
      <c r="Q178" s="91">
        <f t="shared" si="71"/>
        <v>-939750000</v>
      </c>
    </row>
    <row r="179" spans="3:17" ht="15" customHeight="1">
      <c r="C179" s="1141" t="s">
        <v>8243</v>
      </c>
      <c r="D179" s="1140" t="s">
        <v>8282</v>
      </c>
      <c r="E179" s="267" t="s">
        <v>8245</v>
      </c>
      <c r="F179" s="2"/>
      <c r="G179" s="437">
        <v>500000000</v>
      </c>
      <c r="H179" s="437">
        <v>1130000000</v>
      </c>
      <c r="I179" s="437">
        <v>770000000</v>
      </c>
      <c r="J179" s="437">
        <v>500000000</v>
      </c>
      <c r="K179" s="2">
        <v>200000000</v>
      </c>
      <c r="L179" s="2">
        <v>150000000</v>
      </c>
      <c r="M179" s="2">
        <v>800000000</v>
      </c>
      <c r="N179" s="2">
        <v>300000000</v>
      </c>
      <c r="Q179" s="273"/>
    </row>
    <row r="180" spans="3:17" ht="15" customHeight="1" thickBot="1">
      <c r="C180" s="1119"/>
      <c r="D180" s="1126"/>
      <c r="E180" s="270" t="s">
        <v>8246</v>
      </c>
      <c r="F180" s="2">
        <v>11600</v>
      </c>
      <c r="G180" s="437">
        <v>56553977</v>
      </c>
      <c r="H180" s="437">
        <v>803202332</v>
      </c>
      <c r="I180" s="437">
        <v>224751487</v>
      </c>
      <c r="J180" s="437">
        <v>188606890.19999999</v>
      </c>
      <c r="K180" s="2">
        <v>100000000</v>
      </c>
      <c r="L180" s="2">
        <v>498000000</v>
      </c>
      <c r="M180" s="2">
        <v>440000000</v>
      </c>
      <c r="N180" s="2">
        <f>505393109.8-100000000</f>
        <v>405393109.80000001</v>
      </c>
      <c r="Q180" s="273"/>
    </row>
    <row r="181" spans="3:17" ht="15" customHeight="1" thickBot="1">
      <c r="C181" s="1120"/>
      <c r="D181" s="1128"/>
      <c r="E181" s="340" t="s">
        <v>9</v>
      </c>
      <c r="F181" s="91">
        <f t="shared" ref="F181:Q181" si="72">+F179-F180</f>
        <v>-11600</v>
      </c>
      <c r="G181" s="91">
        <f t="shared" si="72"/>
        <v>443446023</v>
      </c>
      <c r="H181" s="91">
        <f t="shared" si="72"/>
        <v>326797668</v>
      </c>
      <c r="I181" s="91">
        <f t="shared" si="72"/>
        <v>545248513</v>
      </c>
      <c r="J181" s="91">
        <f t="shared" si="72"/>
        <v>311393109.80000001</v>
      </c>
      <c r="K181" s="91">
        <f t="shared" si="72"/>
        <v>100000000</v>
      </c>
      <c r="L181" s="91">
        <f t="shared" si="72"/>
        <v>-348000000</v>
      </c>
      <c r="M181" s="91">
        <f t="shared" si="72"/>
        <v>360000000</v>
      </c>
      <c r="N181" s="91">
        <f t="shared" si="72"/>
        <v>-105393109.80000001</v>
      </c>
      <c r="O181" s="91">
        <f t="shared" si="72"/>
        <v>0</v>
      </c>
      <c r="P181" s="91">
        <f t="shared" si="72"/>
        <v>0</v>
      </c>
      <c r="Q181" s="91">
        <f t="shared" si="72"/>
        <v>0</v>
      </c>
    </row>
    <row r="185" spans="3:17" ht="15" customHeight="1">
      <c r="I185" s="2"/>
      <c r="K185" s="2"/>
      <c r="L185" s="2"/>
      <c r="M185" s="2"/>
      <c r="N185" s="2"/>
      <c r="O185" s="2"/>
      <c r="P185" s="2"/>
      <c r="Q185" s="273"/>
    </row>
    <row r="186" spans="3:17" ht="15" customHeight="1">
      <c r="I186" s="2"/>
      <c r="K186" s="2"/>
      <c r="L186" s="2"/>
      <c r="M186" s="2"/>
      <c r="N186" s="2"/>
      <c r="O186" s="2"/>
      <c r="P186" s="2"/>
      <c r="Q186" s="376"/>
    </row>
    <row r="187" spans="3:17" ht="15" customHeight="1">
      <c r="I187" s="2"/>
    </row>
    <row r="189" spans="3:17" ht="15" customHeight="1">
      <c r="I189" s="2"/>
    </row>
  </sheetData>
  <mergeCells count="108">
    <mergeCell ref="C143:C145"/>
    <mergeCell ref="D143:D145"/>
    <mergeCell ref="D128:D130"/>
    <mergeCell ref="C140:C142"/>
    <mergeCell ref="D140:D142"/>
    <mergeCell ref="C82:C84"/>
    <mergeCell ref="D82:D84"/>
    <mergeCell ref="C85:C87"/>
    <mergeCell ref="D85:D87"/>
    <mergeCell ref="C88:C90"/>
    <mergeCell ref="D88:D90"/>
    <mergeCell ref="C137:C139"/>
    <mergeCell ref="C116:C118"/>
    <mergeCell ref="C110:C112"/>
    <mergeCell ref="D116:D118"/>
    <mergeCell ref="C122:C124"/>
    <mergeCell ref="D122:D124"/>
    <mergeCell ref="C131:C133"/>
    <mergeCell ref="D131:D133"/>
    <mergeCell ref="D137:D139"/>
    <mergeCell ref="C125:C127"/>
    <mergeCell ref="D125:D127"/>
    <mergeCell ref="C128:C130"/>
    <mergeCell ref="C91:C93"/>
    <mergeCell ref="C179:C181"/>
    <mergeCell ref="D179:D181"/>
    <mergeCell ref="C161:C163"/>
    <mergeCell ref="D161:D163"/>
    <mergeCell ref="C164:C166"/>
    <mergeCell ref="D164:D166"/>
    <mergeCell ref="C167:C169"/>
    <mergeCell ref="D167:D169"/>
    <mergeCell ref="C170:C172"/>
    <mergeCell ref="D170:D172"/>
    <mergeCell ref="C173:C175"/>
    <mergeCell ref="D173:D175"/>
    <mergeCell ref="C176:C178"/>
    <mergeCell ref="D176:D178"/>
    <mergeCell ref="F152:Q152"/>
    <mergeCell ref="C154:E154"/>
    <mergeCell ref="C155:C157"/>
    <mergeCell ref="D155:D157"/>
    <mergeCell ref="C158:C160"/>
    <mergeCell ref="D158:D160"/>
    <mergeCell ref="C19:C21"/>
    <mergeCell ref="D19:D21"/>
    <mergeCell ref="D31:D33"/>
    <mergeCell ref="D22:D24"/>
    <mergeCell ref="D25:D27"/>
    <mergeCell ref="C22:C24"/>
    <mergeCell ref="C43:C45"/>
    <mergeCell ref="C134:C136"/>
    <mergeCell ref="C34:C36"/>
    <mergeCell ref="D34:D36"/>
    <mergeCell ref="C109:E109"/>
    <mergeCell ref="D110:D112"/>
    <mergeCell ref="D134:D136"/>
    <mergeCell ref="C49:C51"/>
    <mergeCell ref="D49:D51"/>
    <mergeCell ref="C52:C54"/>
    <mergeCell ref="D52:D54"/>
    <mergeCell ref="D67:D69"/>
    <mergeCell ref="C2:Q2"/>
    <mergeCell ref="D16:D18"/>
    <mergeCell ref="D6:E6"/>
    <mergeCell ref="D5:E5"/>
    <mergeCell ref="C12:E12"/>
    <mergeCell ref="C13:C15"/>
    <mergeCell ref="D13:D15"/>
    <mergeCell ref="D7:E7"/>
    <mergeCell ref="D8:E8"/>
    <mergeCell ref="C16:C18"/>
    <mergeCell ref="C55:C57"/>
    <mergeCell ref="D55:D57"/>
    <mergeCell ref="C58:C60"/>
    <mergeCell ref="D58:D60"/>
    <mergeCell ref="D28:D30"/>
    <mergeCell ref="C25:C27"/>
    <mergeCell ref="C113:C115"/>
    <mergeCell ref="F107:Q107"/>
    <mergeCell ref="C119:C121"/>
    <mergeCell ref="D119:D121"/>
    <mergeCell ref="D113:D115"/>
    <mergeCell ref="C37:C39"/>
    <mergeCell ref="D37:D39"/>
    <mergeCell ref="C28:C30"/>
    <mergeCell ref="C31:C33"/>
    <mergeCell ref="C40:C42"/>
    <mergeCell ref="D40:D42"/>
    <mergeCell ref="D43:D45"/>
    <mergeCell ref="C46:C48"/>
    <mergeCell ref="D46:D48"/>
    <mergeCell ref="C61:C63"/>
    <mergeCell ref="D61:D63"/>
    <mergeCell ref="C64:C66"/>
    <mergeCell ref="D64:D66"/>
    <mergeCell ref="D91:D93"/>
    <mergeCell ref="C94:C96"/>
    <mergeCell ref="D94:D96"/>
    <mergeCell ref="C73:C75"/>
    <mergeCell ref="D73:D75"/>
    <mergeCell ref="C67:C69"/>
    <mergeCell ref="D70:D72"/>
    <mergeCell ref="C70:C72"/>
    <mergeCell ref="C76:C78"/>
    <mergeCell ref="D76:D78"/>
    <mergeCell ref="C79:C81"/>
    <mergeCell ref="D79:D81"/>
  </mergeCells>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8DD78-B6D0-4AA6-8A5A-4B7402AD5840}">
  <dimension ref="B2:O38"/>
  <sheetViews>
    <sheetView topLeftCell="A10" workbookViewId="0">
      <selection activeCell="G24" sqref="G24"/>
    </sheetView>
  </sheetViews>
  <sheetFormatPr defaultColWidth="11.3828125" defaultRowHeight="12.45"/>
  <cols>
    <col min="4" max="4" width="20.3828125" customWidth="1"/>
    <col min="5" max="5" width="15.3046875" bestFit="1" customWidth="1"/>
    <col min="6" max="6" width="18.53515625" customWidth="1"/>
    <col min="7" max="7" width="15.84375" bestFit="1" customWidth="1"/>
    <col min="8" max="9" width="15.3046875" bestFit="1" customWidth="1"/>
    <col min="10" max="11" width="14.3046875" bestFit="1" customWidth="1"/>
    <col min="12" max="14" width="14.15234375" bestFit="1" customWidth="1"/>
    <col min="15" max="15" width="14.3828125" customWidth="1"/>
  </cols>
  <sheetData>
    <row r="2" spans="2:15" ht="12.9" thickBot="1"/>
    <row r="3" spans="2:15" ht="12.9" thickBot="1">
      <c r="B3" s="6"/>
      <c r="C3" s="6"/>
      <c r="D3" s="1121" t="s">
        <v>8072</v>
      </c>
      <c r="E3" s="1122"/>
      <c r="F3" s="1122"/>
      <c r="G3" s="1122"/>
      <c r="H3" s="1122"/>
      <c r="I3" s="1122"/>
      <c r="J3" s="1122"/>
      <c r="K3" s="1122"/>
      <c r="L3" s="1122"/>
      <c r="M3" s="1122"/>
      <c r="N3" s="1122"/>
      <c r="O3" s="1123"/>
    </row>
    <row r="4" spans="2:15" ht="12.9" thickBot="1">
      <c r="B4" s="6"/>
      <c r="C4" s="6"/>
      <c r="D4" s="339">
        <v>45658</v>
      </c>
      <c r="E4" s="339">
        <v>45689</v>
      </c>
      <c r="F4" s="339">
        <v>45717</v>
      </c>
      <c r="G4" s="339">
        <v>45748</v>
      </c>
      <c r="H4" s="339">
        <v>45778</v>
      </c>
      <c r="I4" s="339">
        <v>45809</v>
      </c>
      <c r="J4" s="339">
        <v>45839</v>
      </c>
      <c r="K4" s="339">
        <v>45870</v>
      </c>
      <c r="L4" s="339">
        <v>45901</v>
      </c>
      <c r="M4" s="339">
        <v>45931</v>
      </c>
      <c r="N4" s="339">
        <v>45962</v>
      </c>
      <c r="O4" s="339">
        <v>45992</v>
      </c>
    </row>
    <row r="5" spans="2:15" ht="12.9" thickBot="1">
      <c r="B5" s="1129"/>
      <c r="C5" s="1129"/>
      <c r="D5" s="215">
        <f>-(D8+D11+D14+D17+D20+D23)</f>
        <v>0</v>
      </c>
      <c r="E5" s="215">
        <f>(E8+E11+E14+E17+E20+E23+E29+E26)</f>
        <v>-447350000</v>
      </c>
      <c r="F5" s="215">
        <f t="shared" ref="F5:O5" si="0">(F8+F11+F14+F17+F20+F23+F29+F26)</f>
        <v>-355000000</v>
      </c>
      <c r="G5" s="215">
        <f t="shared" si="0"/>
        <v>-647153520</v>
      </c>
      <c r="H5" s="215">
        <f>(H8+H11+H14+H17+H20+H23+H29+H26)</f>
        <v>-582150704</v>
      </c>
      <c r="I5" s="215">
        <f t="shared" si="0"/>
        <v>-836300704</v>
      </c>
      <c r="J5" s="215">
        <f t="shared" si="0"/>
        <v>-557350704</v>
      </c>
      <c r="K5" s="215">
        <f t="shared" si="0"/>
        <v>-477601408</v>
      </c>
      <c r="L5" s="215">
        <f t="shared" si="0"/>
        <v>-458875000</v>
      </c>
      <c r="M5" s="215">
        <f t="shared" si="0"/>
        <v>-207250000</v>
      </c>
      <c r="N5" s="215">
        <f>(N8+N11+N14+N17+N20+N23+N29+N26)</f>
        <v>-14750000</v>
      </c>
      <c r="O5" s="215">
        <f t="shared" si="0"/>
        <v>-14750000</v>
      </c>
    </row>
    <row r="6" spans="2:15">
      <c r="B6" s="1144" t="s">
        <v>7167</v>
      </c>
      <c r="C6" s="903" t="s">
        <v>8283</v>
      </c>
      <c r="D6" s="2"/>
      <c r="E6" s="2"/>
      <c r="F6" s="2"/>
      <c r="G6" s="2"/>
      <c r="H6" s="2"/>
      <c r="I6" s="2"/>
      <c r="J6" s="2"/>
      <c r="K6" s="2"/>
      <c r="L6" s="2"/>
      <c r="M6" s="2"/>
      <c r="N6" s="2"/>
      <c r="O6" s="376"/>
    </row>
    <row r="7" spans="2:15" ht="12.9" thickBot="1">
      <c r="B7" s="1145"/>
      <c r="C7" s="904" t="s">
        <v>8246</v>
      </c>
      <c r="D7" s="2"/>
      <c r="E7" s="2"/>
      <c r="F7" s="2"/>
      <c r="G7" s="2">
        <v>87503520</v>
      </c>
      <c r="H7" s="2">
        <v>17500704</v>
      </c>
      <c r="I7" s="2">
        <f>+H7</f>
        <v>17500704</v>
      </c>
      <c r="J7" s="2">
        <f>+I7</f>
        <v>17500704</v>
      </c>
      <c r="K7" s="2">
        <v>35001408</v>
      </c>
      <c r="L7" s="2">
        <v>73875000</v>
      </c>
      <c r="M7" s="2">
        <v>14750000</v>
      </c>
      <c r="N7" s="2">
        <f>+M7</f>
        <v>14750000</v>
      </c>
      <c r="O7" s="376">
        <f>+N7</f>
        <v>14750000</v>
      </c>
    </row>
    <row r="8" spans="2:15" ht="12.9" thickBot="1">
      <c r="B8" s="1146"/>
      <c r="C8" s="904" t="s">
        <v>9</v>
      </c>
      <c r="D8" s="284">
        <f t="shared" ref="D8:O8" si="1">+D6-D7</f>
        <v>0</v>
      </c>
      <c r="E8" s="939">
        <f t="shared" si="1"/>
        <v>0</v>
      </c>
      <c r="F8" s="939">
        <f t="shared" si="1"/>
        <v>0</v>
      </c>
      <c r="G8" s="939">
        <f t="shared" si="1"/>
        <v>-87503520</v>
      </c>
      <c r="H8" s="939">
        <f t="shared" si="1"/>
        <v>-17500704</v>
      </c>
      <c r="I8" s="939">
        <f t="shared" si="1"/>
        <v>-17500704</v>
      </c>
      <c r="J8" s="939">
        <f t="shared" si="1"/>
        <v>-17500704</v>
      </c>
      <c r="K8" s="939">
        <f t="shared" si="1"/>
        <v>-35001408</v>
      </c>
      <c r="L8" s="939">
        <f t="shared" si="1"/>
        <v>-73875000</v>
      </c>
      <c r="M8" s="939">
        <f t="shared" si="1"/>
        <v>-14750000</v>
      </c>
      <c r="N8" s="939">
        <f t="shared" si="1"/>
        <v>-14750000</v>
      </c>
      <c r="O8" s="940">
        <f t="shared" si="1"/>
        <v>-14750000</v>
      </c>
    </row>
    <row r="9" spans="2:15">
      <c r="B9" s="1147" t="s">
        <v>6198</v>
      </c>
      <c r="C9" s="903" t="s">
        <v>8245</v>
      </c>
      <c r="D9" s="2"/>
      <c r="E9" s="2"/>
      <c r="F9" s="2"/>
      <c r="G9" s="2"/>
      <c r="H9" s="2"/>
      <c r="I9" s="2"/>
      <c r="J9" s="2"/>
      <c r="K9" s="2"/>
      <c r="L9" s="6"/>
      <c r="M9" s="6"/>
      <c r="N9" s="6"/>
      <c r="O9" s="273"/>
    </row>
    <row r="10" spans="2:15" ht="12.9" thickBot="1">
      <c r="B10" s="1145"/>
      <c r="C10" s="904" t="s">
        <v>8246</v>
      </c>
      <c r="D10" s="98"/>
      <c r="E10" s="2">
        <v>108550000</v>
      </c>
      <c r="F10" s="2">
        <v>57600000</v>
      </c>
      <c r="G10" s="2">
        <f>+F10</f>
        <v>57600000</v>
      </c>
      <c r="H10" s="2">
        <f>+G10</f>
        <v>57600000</v>
      </c>
      <c r="I10" s="2">
        <f>+H10</f>
        <v>57600000</v>
      </c>
      <c r="J10" s="2">
        <f>+I10</f>
        <v>57600000</v>
      </c>
      <c r="K10" s="2">
        <f>+J10</f>
        <v>57600000</v>
      </c>
      <c r="L10" s="6"/>
      <c r="M10" s="6"/>
      <c r="N10" s="6"/>
      <c r="O10" s="273"/>
    </row>
    <row r="11" spans="2:15" ht="12.9" thickBot="1">
      <c r="B11" s="1148"/>
      <c r="C11" s="905" t="s">
        <v>9</v>
      </c>
      <c r="D11" s="91">
        <f>+D9-D10</f>
        <v>0</v>
      </c>
      <c r="E11" s="91">
        <f t="shared" ref="E11:O11" si="2">+E9-E10</f>
        <v>-108550000</v>
      </c>
      <c r="F11" s="91">
        <f t="shared" si="2"/>
        <v>-57600000</v>
      </c>
      <c r="G11" s="91">
        <f t="shared" si="2"/>
        <v>-57600000</v>
      </c>
      <c r="H11" s="91">
        <f t="shared" si="2"/>
        <v>-57600000</v>
      </c>
      <c r="I11" s="91">
        <f t="shared" si="2"/>
        <v>-57600000</v>
      </c>
      <c r="J11" s="91">
        <f t="shared" si="2"/>
        <v>-57600000</v>
      </c>
      <c r="K11" s="91">
        <f t="shared" si="2"/>
        <v>-57600000</v>
      </c>
      <c r="L11" s="91">
        <f t="shared" si="2"/>
        <v>0</v>
      </c>
      <c r="M11" s="91">
        <f t="shared" si="2"/>
        <v>0</v>
      </c>
      <c r="N11" s="91">
        <f t="shared" si="2"/>
        <v>0</v>
      </c>
      <c r="O11" s="91">
        <f t="shared" si="2"/>
        <v>0</v>
      </c>
    </row>
    <row r="12" spans="2:15">
      <c r="B12" s="1147" t="s">
        <v>8284</v>
      </c>
      <c r="C12" s="903" t="s">
        <v>8245</v>
      </c>
      <c r="D12" s="2"/>
      <c r="E12" s="2"/>
      <c r="F12" s="2"/>
      <c r="G12" s="2"/>
      <c r="H12" s="2"/>
      <c r="I12" s="2"/>
      <c r="J12" s="2"/>
      <c r="K12" s="6"/>
      <c r="L12" s="6"/>
      <c r="M12" s="6"/>
      <c r="N12" s="6"/>
      <c r="O12" s="273"/>
    </row>
    <row r="13" spans="2:15" ht="12.9" thickBot="1">
      <c r="B13" s="1145"/>
      <c r="C13" s="904" t="s">
        <v>8246</v>
      </c>
      <c r="D13" s="2"/>
      <c r="E13" s="2"/>
      <c r="F13" s="2"/>
      <c r="G13" s="2"/>
      <c r="H13" s="2"/>
      <c r="I13" s="2"/>
      <c r="J13" s="2"/>
      <c r="K13" s="6"/>
      <c r="L13" s="6"/>
      <c r="M13" s="6"/>
      <c r="N13" s="6"/>
      <c r="O13" s="273"/>
    </row>
    <row r="14" spans="2:15" ht="12.9" thickBot="1">
      <c r="B14" s="1150"/>
      <c r="C14" s="905" t="s">
        <v>9</v>
      </c>
      <c r="D14" s="91">
        <f t="shared" ref="D14:O14" si="3">+D12-D13</f>
        <v>0</v>
      </c>
      <c r="E14" s="91">
        <f t="shared" si="3"/>
        <v>0</v>
      </c>
      <c r="F14" s="91">
        <f t="shared" si="3"/>
        <v>0</v>
      </c>
      <c r="G14" s="91">
        <f t="shared" si="3"/>
        <v>0</v>
      </c>
      <c r="H14" s="91">
        <f t="shared" si="3"/>
        <v>0</v>
      </c>
      <c r="I14" s="91">
        <f t="shared" si="3"/>
        <v>0</v>
      </c>
      <c r="J14" s="91">
        <f t="shared" si="3"/>
        <v>0</v>
      </c>
      <c r="K14" s="91">
        <f t="shared" si="3"/>
        <v>0</v>
      </c>
      <c r="L14" s="91">
        <f t="shared" si="3"/>
        <v>0</v>
      </c>
      <c r="M14" s="91">
        <f t="shared" si="3"/>
        <v>0</v>
      </c>
      <c r="N14" s="91">
        <f t="shared" si="3"/>
        <v>0</v>
      </c>
      <c r="O14" s="91">
        <f t="shared" si="3"/>
        <v>0</v>
      </c>
    </row>
    <row r="15" spans="2:15">
      <c r="B15" s="1151" t="s">
        <v>8277</v>
      </c>
      <c r="C15" s="903" t="s">
        <v>8245</v>
      </c>
      <c r="D15" s="2"/>
      <c r="E15" s="2"/>
      <c r="F15" s="2"/>
      <c r="G15" s="2"/>
      <c r="H15" s="2"/>
      <c r="I15" s="2"/>
      <c r="J15" s="2"/>
      <c r="K15" s="6"/>
      <c r="L15" s="6"/>
      <c r="M15" s="6"/>
      <c r="N15" s="6"/>
      <c r="O15" s="273"/>
    </row>
    <row r="16" spans="2:15" ht="12.9" thickBot="1">
      <c r="B16" s="1145"/>
      <c r="C16" s="904" t="s">
        <v>8246</v>
      </c>
      <c r="D16" s="2"/>
      <c r="E16" s="2">
        <v>178000000</v>
      </c>
      <c r="F16" s="2">
        <v>89000000</v>
      </c>
      <c r="G16" s="2">
        <v>66750000</v>
      </c>
      <c r="H16" s="2">
        <f>+G16</f>
        <v>66750000</v>
      </c>
      <c r="I16" s="2">
        <v>44500000</v>
      </c>
      <c r="J16" s="2"/>
      <c r="K16" s="6"/>
      <c r="L16" s="6"/>
      <c r="M16" s="6"/>
      <c r="N16" s="6"/>
      <c r="O16" s="273"/>
    </row>
    <row r="17" spans="2:15" ht="12.9" thickBot="1">
      <c r="B17" s="1151"/>
      <c r="C17" s="905" t="s">
        <v>9</v>
      </c>
      <c r="D17" s="91">
        <f t="shared" ref="D17:O17" si="4">+D15-D16</f>
        <v>0</v>
      </c>
      <c r="E17" s="91">
        <f t="shared" si="4"/>
        <v>-178000000</v>
      </c>
      <c r="F17" s="91">
        <f t="shared" si="4"/>
        <v>-89000000</v>
      </c>
      <c r="G17" s="91">
        <f t="shared" si="4"/>
        <v>-66750000</v>
      </c>
      <c r="H17" s="91">
        <f t="shared" si="4"/>
        <v>-66750000</v>
      </c>
      <c r="I17" s="91">
        <f t="shared" si="4"/>
        <v>-44500000</v>
      </c>
      <c r="J17" s="91">
        <f t="shared" si="4"/>
        <v>0</v>
      </c>
      <c r="K17" s="91">
        <f t="shared" si="4"/>
        <v>0</v>
      </c>
      <c r="L17" s="91">
        <f t="shared" si="4"/>
        <v>0</v>
      </c>
      <c r="M17" s="91">
        <f t="shared" si="4"/>
        <v>0</v>
      </c>
      <c r="N17" s="91">
        <f t="shared" si="4"/>
        <v>0</v>
      </c>
      <c r="O17" s="91">
        <f t="shared" si="4"/>
        <v>0</v>
      </c>
    </row>
    <row r="18" spans="2:15">
      <c r="B18" s="1151" t="s">
        <v>8278</v>
      </c>
      <c r="C18" s="903" t="s">
        <v>8245</v>
      </c>
      <c r="D18" s="2"/>
      <c r="E18" s="2"/>
      <c r="F18" s="2"/>
      <c r="G18" s="2"/>
      <c r="H18" s="2"/>
      <c r="I18" s="2"/>
      <c r="J18" s="2"/>
      <c r="K18" s="6"/>
      <c r="L18" s="6"/>
      <c r="M18" s="6"/>
      <c r="N18" s="6"/>
      <c r="O18" s="273"/>
    </row>
    <row r="19" spans="2:15" ht="12.9" thickBot="1">
      <c r="B19" s="1145"/>
      <c r="C19" s="904" t="s">
        <v>8246</v>
      </c>
      <c r="D19" s="2"/>
      <c r="E19" s="2"/>
      <c r="F19" s="2">
        <v>128000000</v>
      </c>
      <c r="G19" s="2"/>
      <c r="H19" s="2"/>
      <c r="I19" s="2"/>
      <c r="J19" s="2"/>
      <c r="K19" s="2"/>
      <c r="L19" s="2"/>
      <c r="M19" s="6"/>
      <c r="N19" s="6"/>
      <c r="O19" s="273"/>
    </row>
    <row r="20" spans="2:15" ht="12.9" thickBot="1">
      <c r="B20" s="1151"/>
      <c r="C20" s="905" t="s">
        <v>9</v>
      </c>
      <c r="D20" s="91">
        <f t="shared" ref="D20:O20" si="5">+D18-D19</f>
        <v>0</v>
      </c>
      <c r="E20" s="91">
        <f t="shared" si="5"/>
        <v>0</v>
      </c>
      <c r="F20" s="91">
        <f t="shared" si="5"/>
        <v>-128000000</v>
      </c>
      <c r="G20" s="91">
        <f t="shared" si="5"/>
        <v>0</v>
      </c>
      <c r="H20" s="91">
        <f t="shared" si="5"/>
        <v>0</v>
      </c>
      <c r="I20" s="91">
        <f t="shared" si="5"/>
        <v>0</v>
      </c>
      <c r="J20" s="91">
        <f t="shared" si="5"/>
        <v>0</v>
      </c>
      <c r="K20" s="91">
        <f t="shared" si="5"/>
        <v>0</v>
      </c>
      <c r="L20" s="91">
        <f t="shared" si="5"/>
        <v>0</v>
      </c>
      <c r="M20" s="91">
        <f t="shared" si="5"/>
        <v>0</v>
      </c>
      <c r="N20" s="91">
        <f t="shared" si="5"/>
        <v>0</v>
      </c>
      <c r="O20" s="91">
        <f t="shared" si="5"/>
        <v>0</v>
      </c>
    </row>
    <row r="21" spans="2:15">
      <c r="B21" s="1149" t="s">
        <v>8280</v>
      </c>
      <c r="C21" s="903" t="s">
        <v>8245</v>
      </c>
      <c r="D21" s="2"/>
      <c r="E21" s="2"/>
      <c r="F21" s="2"/>
      <c r="G21" s="2"/>
      <c r="H21" s="2"/>
      <c r="I21" s="2"/>
      <c r="J21" s="2"/>
      <c r="K21" s="2"/>
      <c r="L21" s="2"/>
      <c r="M21" s="6"/>
      <c r="N21" s="6"/>
      <c r="O21" s="273"/>
    </row>
    <row r="22" spans="2:15" ht="12.9" thickBot="1">
      <c r="B22" s="1145"/>
      <c r="C22" s="904" t="s">
        <v>8246</v>
      </c>
      <c r="D22" s="2"/>
      <c r="E22" s="2"/>
      <c r="F22" s="2"/>
      <c r="G22" s="2"/>
      <c r="H22" s="2">
        <v>192500000</v>
      </c>
      <c r="I22" s="2">
        <v>582750000</v>
      </c>
      <c r="J22" s="2">
        <v>388500000</v>
      </c>
      <c r="K22" s="2">
        <v>291250000</v>
      </c>
      <c r="L22" s="2">
        <f>+K22</f>
        <v>291250000</v>
      </c>
      <c r="M22" s="2">
        <f>+H22</f>
        <v>192500000</v>
      </c>
      <c r="O22" s="273"/>
    </row>
    <row r="23" spans="2:15" ht="12.9" thickBot="1">
      <c r="B23" s="1148"/>
      <c r="C23" s="905" t="s">
        <v>9</v>
      </c>
      <c r="D23" s="91">
        <f t="shared" ref="D23:O23" si="6">+D21-D22</f>
        <v>0</v>
      </c>
      <c r="E23" s="91">
        <f t="shared" si="6"/>
        <v>0</v>
      </c>
      <c r="F23" s="91">
        <f t="shared" si="6"/>
        <v>0</v>
      </c>
      <c r="G23" s="91">
        <f t="shared" si="6"/>
        <v>0</v>
      </c>
      <c r="H23" s="91">
        <f t="shared" si="6"/>
        <v>-192500000</v>
      </c>
      <c r="I23" s="91">
        <f t="shared" si="6"/>
        <v>-582750000</v>
      </c>
      <c r="J23" s="91">
        <f t="shared" si="6"/>
        <v>-388500000</v>
      </c>
      <c r="K23" s="91">
        <f t="shared" si="6"/>
        <v>-291250000</v>
      </c>
      <c r="L23" s="91">
        <f t="shared" si="6"/>
        <v>-291250000</v>
      </c>
      <c r="M23" s="91">
        <f t="shared" si="6"/>
        <v>-192500000</v>
      </c>
      <c r="N23" s="91">
        <f t="shared" si="6"/>
        <v>0</v>
      </c>
      <c r="O23" s="91">
        <f t="shared" si="6"/>
        <v>0</v>
      </c>
    </row>
    <row r="24" spans="2:15">
      <c r="B24" s="1149" t="s">
        <v>8279</v>
      </c>
      <c r="C24" s="903" t="s">
        <v>8245</v>
      </c>
      <c r="D24" s="2"/>
      <c r="E24" s="2"/>
      <c r="F24" s="2"/>
      <c r="G24" s="2"/>
      <c r="H24" s="2"/>
      <c r="I24" s="2"/>
      <c r="J24" s="2"/>
      <c r="K24" s="2"/>
      <c r="L24" s="2"/>
      <c r="M24" s="6"/>
      <c r="N24" s="6"/>
      <c r="O24" s="273"/>
    </row>
    <row r="25" spans="2:15" ht="12.9" thickBot="1">
      <c r="B25" s="1145"/>
      <c r="C25" s="904" t="s">
        <v>8246</v>
      </c>
      <c r="D25" s="2"/>
      <c r="E25" s="2"/>
      <c r="F25" s="2"/>
      <c r="G25" s="2">
        <v>375000000</v>
      </c>
      <c r="H25" s="2">
        <v>187500000</v>
      </c>
      <c r="I25" s="2">
        <v>93750000</v>
      </c>
      <c r="J25" s="2">
        <f>+I25</f>
        <v>93750000</v>
      </c>
      <c r="K25" s="2">
        <f>+J25</f>
        <v>93750000</v>
      </c>
      <c r="L25" s="2">
        <f>+K25</f>
        <v>93750000</v>
      </c>
      <c r="M25" s="6"/>
      <c r="N25" s="6"/>
      <c r="O25" s="273"/>
    </row>
    <row r="26" spans="2:15" ht="12.9" thickBot="1">
      <c r="B26" s="1148"/>
      <c r="C26" s="905" t="s">
        <v>9</v>
      </c>
      <c r="D26" s="91">
        <f t="shared" ref="D26:O26" si="7">+D24-D25</f>
        <v>0</v>
      </c>
      <c r="E26" s="91">
        <f t="shared" si="7"/>
        <v>0</v>
      </c>
      <c r="F26" s="91">
        <f t="shared" si="7"/>
        <v>0</v>
      </c>
      <c r="G26" s="91">
        <f t="shared" si="7"/>
        <v>-375000000</v>
      </c>
      <c r="H26" s="91">
        <f t="shared" si="7"/>
        <v>-187500000</v>
      </c>
      <c r="I26" s="91">
        <f t="shared" si="7"/>
        <v>-93750000</v>
      </c>
      <c r="J26" s="91">
        <f t="shared" si="7"/>
        <v>-93750000</v>
      </c>
      <c r="K26" s="91">
        <f t="shared" si="7"/>
        <v>-93750000</v>
      </c>
      <c r="L26" s="91">
        <f t="shared" si="7"/>
        <v>-93750000</v>
      </c>
      <c r="M26" s="91">
        <f t="shared" si="7"/>
        <v>0</v>
      </c>
      <c r="N26" s="91">
        <f t="shared" si="7"/>
        <v>0</v>
      </c>
      <c r="O26" s="91">
        <f t="shared" si="7"/>
        <v>0</v>
      </c>
    </row>
    <row r="27" spans="2:15">
      <c r="B27" s="1149" t="s">
        <v>8282</v>
      </c>
      <c r="C27" s="903" t="s">
        <v>8245</v>
      </c>
      <c r="D27" s="2"/>
      <c r="E27" s="2"/>
      <c r="F27" s="2"/>
      <c r="G27" s="2"/>
      <c r="H27" s="2"/>
      <c r="I27" s="2"/>
      <c r="J27" s="2"/>
      <c r="K27" s="2"/>
      <c r="L27" s="2"/>
      <c r="M27" s="6"/>
      <c r="N27" s="6"/>
      <c r="O27" s="273"/>
    </row>
    <row r="28" spans="2:15" ht="12.9" thickBot="1">
      <c r="B28" s="1145"/>
      <c r="C28" s="904" t="s">
        <v>8246</v>
      </c>
      <c r="D28" s="2"/>
      <c r="E28" s="2">
        <v>160800000</v>
      </c>
      <c r="F28" s="2">
        <v>80400000</v>
      </c>
      <c r="G28" s="2">
        <v>60300000</v>
      </c>
      <c r="H28" s="2">
        <v>60300000</v>
      </c>
      <c r="I28" s="2">
        <v>40200000</v>
      </c>
      <c r="J28" s="2"/>
      <c r="K28" s="2"/>
      <c r="L28" s="2"/>
      <c r="M28" s="6"/>
      <c r="N28" s="6"/>
      <c r="O28" s="273"/>
    </row>
    <row r="29" spans="2:15" ht="12.9" thickBot="1">
      <c r="B29" s="1148"/>
      <c r="C29" s="905" t="s">
        <v>9</v>
      </c>
      <c r="D29" s="91">
        <f t="shared" ref="D29:O29" si="8">+D27-D28</f>
        <v>0</v>
      </c>
      <c r="E29" s="91">
        <f t="shared" si="8"/>
        <v>-160800000</v>
      </c>
      <c r="F29" s="91">
        <f t="shared" si="8"/>
        <v>-80400000</v>
      </c>
      <c r="G29" s="91">
        <f t="shared" si="8"/>
        <v>-60300000</v>
      </c>
      <c r="H29" s="91">
        <f t="shared" si="8"/>
        <v>-60300000</v>
      </c>
      <c r="I29" s="91">
        <f t="shared" si="8"/>
        <v>-40200000</v>
      </c>
      <c r="J29" s="91">
        <f t="shared" si="8"/>
        <v>0</v>
      </c>
      <c r="K29" s="91">
        <f t="shared" si="8"/>
        <v>0</v>
      </c>
      <c r="L29" s="91">
        <f t="shared" si="8"/>
        <v>0</v>
      </c>
      <c r="M29" s="91">
        <f t="shared" si="8"/>
        <v>0</v>
      </c>
      <c r="N29" s="91">
        <f t="shared" si="8"/>
        <v>0</v>
      </c>
      <c r="O29" s="91">
        <f t="shared" si="8"/>
        <v>0</v>
      </c>
    </row>
    <row r="31" spans="2:15">
      <c r="H31" s="13"/>
    </row>
    <row r="38" ht="13.5" customHeight="1"/>
  </sheetData>
  <mergeCells count="10">
    <mergeCell ref="B24:B26"/>
    <mergeCell ref="B27:B29"/>
    <mergeCell ref="B12:B14"/>
    <mergeCell ref="B15:B17"/>
    <mergeCell ref="B18:B20"/>
    <mergeCell ref="D3:O3"/>
    <mergeCell ref="B5:C5"/>
    <mergeCell ref="B6:B8"/>
    <mergeCell ref="B9:B11"/>
    <mergeCell ref="B21:B2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49D6D-066F-42A7-A365-C366848D18F8}">
  <dimension ref="B1:P33"/>
  <sheetViews>
    <sheetView zoomScale="72" zoomScaleNormal="130" workbookViewId="0">
      <selection activeCell="H17" sqref="H17"/>
    </sheetView>
  </sheetViews>
  <sheetFormatPr defaultColWidth="11.3828125" defaultRowHeight="12.45"/>
  <cols>
    <col min="2" max="2" width="20.53515625" bestFit="1" customWidth="1"/>
    <col min="3" max="3" width="21.69140625" bestFit="1" customWidth="1"/>
    <col min="4" max="5" width="19" bestFit="1" customWidth="1"/>
    <col min="6" max="6" width="23" bestFit="1" customWidth="1"/>
    <col min="7" max="7" width="21.53515625" bestFit="1" customWidth="1"/>
    <col min="8" max="8" width="21.15234375" bestFit="1" customWidth="1"/>
    <col min="9" max="9" width="18.53515625" bestFit="1" customWidth="1"/>
    <col min="10" max="10" width="19.53515625" bestFit="1" customWidth="1"/>
    <col min="11" max="11" width="22.15234375" bestFit="1" customWidth="1"/>
    <col min="12" max="12" width="18.15234375" bestFit="1" customWidth="1"/>
    <col min="13" max="14" width="19" bestFit="1" customWidth="1"/>
    <col min="15" max="15" width="18.53515625" bestFit="1" customWidth="1"/>
  </cols>
  <sheetData>
    <row r="1" spans="2:16" ht="12.9" thickBot="1">
      <c r="C1" s="1152" t="s">
        <v>7996</v>
      </c>
      <c r="D1" s="1153"/>
      <c r="E1" s="1153"/>
      <c r="F1" s="1153"/>
      <c r="G1" s="1153"/>
      <c r="H1" s="1153"/>
      <c r="I1" s="1153"/>
      <c r="J1" s="1153"/>
      <c r="K1" s="1153"/>
      <c r="L1" s="1153"/>
      <c r="M1" s="1153"/>
      <c r="N1" s="1153"/>
      <c r="O1" s="1153"/>
    </row>
    <row r="2" spans="2:16" ht="12.9" thickBot="1">
      <c r="C2" s="37"/>
      <c r="D2" s="890">
        <v>45658</v>
      </c>
      <c r="E2" s="891">
        <v>45689</v>
      </c>
      <c r="F2" s="891">
        <v>45717</v>
      </c>
      <c r="G2" s="891">
        <v>45748</v>
      </c>
      <c r="H2" s="891">
        <v>45778</v>
      </c>
      <c r="I2" s="891">
        <v>45809</v>
      </c>
      <c r="J2" s="891">
        <v>45839</v>
      </c>
      <c r="K2" s="891">
        <v>45870</v>
      </c>
      <c r="L2" s="891">
        <v>45901</v>
      </c>
      <c r="M2" s="891">
        <v>45931</v>
      </c>
      <c r="N2" s="891">
        <v>45962</v>
      </c>
      <c r="O2" s="892">
        <v>45992</v>
      </c>
    </row>
    <row r="3" spans="2:16">
      <c r="B3" s="40" t="s">
        <v>8238</v>
      </c>
      <c r="C3" s="40"/>
      <c r="D3" s="889">
        <f t="shared" ref="D3" si="0">+SUM(D4:D9)</f>
        <v>11128895</v>
      </c>
      <c r="E3" s="889">
        <f t="shared" ref="E3" si="1">+SUM(E4:E9)</f>
        <v>10892594</v>
      </c>
      <c r="F3" s="889">
        <f t="shared" ref="F3" si="2">+SUM(F4:F9)</f>
        <v>10655017</v>
      </c>
      <c r="G3" s="889">
        <f t="shared" ref="G3" si="3">+SUM(G4:G9)</f>
        <v>44416145</v>
      </c>
      <c r="H3" s="889">
        <f t="shared" ref="H3" si="4">+SUM(H4:H9)</f>
        <v>60175966</v>
      </c>
      <c r="I3" s="889">
        <f t="shared" ref="I3" si="5">+SUM(I4:I9)</f>
        <v>57848749</v>
      </c>
      <c r="J3" s="889">
        <f t="shared" ref="J3" si="6">+SUM(J4:J9)</f>
        <v>57681671</v>
      </c>
      <c r="K3" s="889">
        <f t="shared" ref="K3" si="7">+SUM(K4:K9)</f>
        <v>74514128</v>
      </c>
      <c r="L3" s="889">
        <f t="shared" ref="L3" si="8">+SUM(L4:L9)</f>
        <v>74346114</v>
      </c>
      <c r="M3" s="889">
        <f t="shared" ref="M3" si="9">+SUM(M4:M9)</f>
        <v>74177625</v>
      </c>
      <c r="N3" s="889">
        <f t="shared" ref="N3" si="10">+SUM(N4:N9)</f>
        <v>74008653</v>
      </c>
      <c r="O3" s="889">
        <f t="shared" ref="O3" si="11">+SUM(O4:O9)</f>
        <v>73839195</v>
      </c>
    </row>
    <row r="4" spans="2:16">
      <c r="B4" s="37" t="s">
        <v>8285</v>
      </c>
      <c r="D4" s="13">
        <v>2451569</v>
      </c>
      <c r="E4" s="13">
        <v>2380093</v>
      </c>
      <c r="F4" s="13">
        <v>2307780</v>
      </c>
      <c r="G4" s="13">
        <v>2234619</v>
      </c>
      <c r="H4" s="13">
        <v>2160601</v>
      </c>
      <c r="I4" s="13"/>
      <c r="J4" s="13"/>
      <c r="K4" s="13"/>
      <c r="L4" s="13"/>
      <c r="M4" s="13"/>
      <c r="N4" s="13"/>
      <c r="O4" s="13"/>
    </row>
    <row r="5" spans="2:16">
      <c r="B5" s="37" t="s">
        <v>65</v>
      </c>
      <c r="D5" s="13">
        <v>1465148</v>
      </c>
      <c r="E5" s="13">
        <v>1425263</v>
      </c>
      <c r="F5" s="13">
        <v>1384938</v>
      </c>
      <c r="G5" s="13">
        <v>1344166</v>
      </c>
      <c r="H5" s="13">
        <v>1302944</v>
      </c>
      <c r="I5" s="13">
        <v>1261267</v>
      </c>
      <c r="J5" s="13">
        <v>1219128</v>
      </c>
      <c r="K5" s="13">
        <v>1176524</v>
      </c>
      <c r="L5" s="13">
        <v>1133449</v>
      </c>
      <c r="M5" s="13">
        <v>1089898</v>
      </c>
      <c r="N5" s="13">
        <v>1045865</v>
      </c>
      <c r="O5" s="13">
        <v>1001345</v>
      </c>
    </row>
    <row r="6" spans="2:16">
      <c r="B6" s="37" t="s">
        <v>181</v>
      </c>
      <c r="D6" s="13">
        <v>3623233</v>
      </c>
      <c r="E6" s="13">
        <v>3498293</v>
      </c>
      <c r="F6" s="13">
        <v>3373354</v>
      </c>
      <c r="G6" s="13">
        <v>3248415</v>
      </c>
      <c r="H6" s="13">
        <v>3123476</v>
      </c>
      <c r="I6" s="331">
        <v>2998537</v>
      </c>
      <c r="J6" s="331">
        <v>2873598</v>
      </c>
      <c r="K6" s="331">
        <v>2748659</v>
      </c>
      <c r="L6" s="331">
        <v>2623720</v>
      </c>
      <c r="M6" s="331">
        <v>2498781</v>
      </c>
      <c r="N6" s="331">
        <v>2373842</v>
      </c>
      <c r="O6" s="331">
        <v>2248903</v>
      </c>
    </row>
    <row r="7" spans="2:16">
      <c r="B7" s="37" t="s">
        <v>8286</v>
      </c>
      <c r="D7" s="13">
        <v>3588945</v>
      </c>
      <c r="E7" s="13">
        <f>+D7</f>
        <v>3588945</v>
      </c>
      <c r="F7" s="13">
        <f t="shared" ref="F7:O7" si="12">+E7</f>
        <v>3588945</v>
      </c>
      <c r="G7" s="13">
        <f t="shared" si="12"/>
        <v>3588945</v>
      </c>
      <c r="H7" s="13">
        <f t="shared" si="12"/>
        <v>3588945</v>
      </c>
      <c r="I7" s="13">
        <f t="shared" si="12"/>
        <v>3588945</v>
      </c>
      <c r="J7" s="13">
        <f t="shared" si="12"/>
        <v>3588945</v>
      </c>
      <c r="K7" s="13">
        <f t="shared" si="12"/>
        <v>3588945</v>
      </c>
      <c r="L7" s="13">
        <f t="shared" si="12"/>
        <v>3588945</v>
      </c>
      <c r="M7" s="13">
        <f t="shared" si="12"/>
        <v>3588945</v>
      </c>
      <c r="N7" s="13">
        <f t="shared" si="12"/>
        <v>3588945</v>
      </c>
      <c r="O7" s="13">
        <f t="shared" si="12"/>
        <v>3588945</v>
      </c>
    </row>
    <row r="8" spans="2:16">
      <c r="B8" s="37" t="s">
        <v>8287</v>
      </c>
      <c r="D8" s="13"/>
      <c r="E8" s="13"/>
      <c r="G8" s="13">
        <v>34000000</v>
      </c>
      <c r="H8" s="13">
        <f t="shared" ref="H8:O8" si="13">+G8</f>
        <v>34000000</v>
      </c>
      <c r="I8" s="13">
        <f t="shared" si="13"/>
        <v>34000000</v>
      </c>
      <c r="J8" s="13">
        <f t="shared" si="13"/>
        <v>34000000</v>
      </c>
      <c r="K8" s="13">
        <f t="shared" si="13"/>
        <v>34000000</v>
      </c>
      <c r="L8" s="13">
        <f t="shared" si="13"/>
        <v>34000000</v>
      </c>
      <c r="M8" s="13">
        <f t="shared" si="13"/>
        <v>34000000</v>
      </c>
      <c r="N8" s="13">
        <f t="shared" si="13"/>
        <v>34000000</v>
      </c>
      <c r="O8" s="13">
        <f t="shared" si="13"/>
        <v>34000000</v>
      </c>
      <c r="P8" s="13"/>
    </row>
    <row r="9" spans="2:16">
      <c r="B9" s="37" t="s">
        <v>65</v>
      </c>
      <c r="D9" s="13"/>
      <c r="E9" s="13"/>
      <c r="G9" s="13"/>
      <c r="H9" s="13">
        <v>16000000</v>
      </c>
      <c r="I9" s="13">
        <v>16000000</v>
      </c>
      <c r="J9" s="13">
        <v>16000000</v>
      </c>
      <c r="K9" s="13">
        <v>33000000</v>
      </c>
      <c r="L9" s="13">
        <v>33000000</v>
      </c>
      <c r="M9" s="13">
        <v>33000001</v>
      </c>
      <c r="N9" s="13">
        <v>33000001</v>
      </c>
      <c r="O9" s="13">
        <v>33000002</v>
      </c>
      <c r="P9" s="13"/>
    </row>
    <row r="10" spans="2:16">
      <c r="B10" s="37"/>
    </row>
    <row r="11" spans="2:16" ht="12.9" thickBot="1">
      <c r="C11" s="1152" t="s">
        <v>8288</v>
      </c>
      <c r="D11" s="1153"/>
      <c r="E11" s="1153"/>
      <c r="F11" s="1153"/>
      <c r="G11" s="1153"/>
      <c r="H11" s="1153"/>
      <c r="I11" s="1153"/>
      <c r="J11" s="1153"/>
      <c r="K11" s="1153"/>
      <c r="L11" s="1153"/>
      <c r="M11" s="1153"/>
      <c r="N11" s="1153"/>
      <c r="O11" s="1153"/>
    </row>
    <row r="12" spans="2:16" ht="12.9" thickBot="1">
      <c r="C12" s="37" t="s">
        <v>8289</v>
      </c>
      <c r="D12" s="890">
        <v>45658</v>
      </c>
      <c r="E12" s="891">
        <v>45689</v>
      </c>
      <c r="F12" s="891">
        <v>45717</v>
      </c>
      <c r="G12" s="891">
        <v>45748</v>
      </c>
      <c r="H12" s="891">
        <v>45778</v>
      </c>
      <c r="I12" s="891">
        <v>45809</v>
      </c>
      <c r="J12" s="891">
        <v>45839</v>
      </c>
      <c r="K12" s="891">
        <v>45870</v>
      </c>
      <c r="L12" s="891">
        <v>45901</v>
      </c>
      <c r="M12" s="891">
        <v>45931</v>
      </c>
      <c r="N12" s="891">
        <v>45962</v>
      </c>
      <c r="O12" s="892">
        <v>45992</v>
      </c>
    </row>
    <row r="13" spans="2:16">
      <c r="B13" s="87" t="s">
        <v>8238</v>
      </c>
      <c r="C13" s="87">
        <f>+SUM(C14:C19)</f>
        <v>997267430</v>
      </c>
      <c r="D13" s="889">
        <f t="shared" ref="D13:N13" si="14">+SUM(D14:D19)</f>
        <v>20819397.694618095</v>
      </c>
      <c r="E13" s="889">
        <f t="shared" si="14"/>
        <v>20930758.445093095</v>
      </c>
      <c r="F13" s="889">
        <f t="shared" si="14"/>
        <v>21043396.668143094</v>
      </c>
      <c r="G13" s="889">
        <f>+SUM(G14:G19)</f>
        <v>-2048510059</v>
      </c>
      <c r="H13" s="889">
        <f>+SUM(H14:H19)</f>
        <v>-1465115106</v>
      </c>
      <c r="I13" s="889">
        <f t="shared" si="14"/>
        <v>84923104</v>
      </c>
      <c r="J13" s="889">
        <f t="shared" si="14"/>
        <v>84965243</v>
      </c>
      <c r="K13" s="889">
        <f>+SUM(K14:K19)</f>
        <v>-1114992153</v>
      </c>
      <c r="L13" s="889">
        <f t="shared" si="14"/>
        <v>85050922</v>
      </c>
      <c r="M13" s="889">
        <f t="shared" si="14"/>
        <v>85094473</v>
      </c>
      <c r="N13" s="889">
        <f t="shared" si="14"/>
        <v>110138506</v>
      </c>
      <c r="O13" s="889">
        <f>+SUM(O14:O19)</f>
        <v>110183026</v>
      </c>
    </row>
    <row r="14" spans="2:16">
      <c r="B14" s="37" t="s">
        <v>8285</v>
      </c>
      <c r="C14" s="13">
        <f>+C24</f>
        <v>215261285</v>
      </c>
      <c r="D14" s="13">
        <v>6100174.6946180956</v>
      </c>
      <c r="E14" s="13">
        <v>6171650.4450930953</v>
      </c>
      <c r="F14" s="13">
        <v>6243963.6681430954</v>
      </c>
      <c r="G14" s="13">
        <v>191966330</v>
      </c>
      <c r="H14" s="13"/>
      <c r="I14" s="13"/>
      <c r="J14" s="13"/>
      <c r="K14" s="13"/>
      <c r="L14" s="13"/>
      <c r="M14" s="13"/>
      <c r="N14" s="13"/>
      <c r="O14" s="13"/>
    </row>
    <row r="15" spans="2:16">
      <c r="B15" s="37" t="s">
        <v>65</v>
      </c>
      <c r="C15" s="13">
        <f t="shared" ref="C15:C17" si="15">+C25</f>
        <v>136032811</v>
      </c>
      <c r="D15" s="13">
        <v>3608112</v>
      </c>
      <c r="E15" s="13">
        <v>3647997</v>
      </c>
      <c r="F15" s="13">
        <v>3688322</v>
      </c>
      <c r="G15" s="13">
        <v>0</v>
      </c>
      <c r="H15" s="13">
        <v>3773783</v>
      </c>
      <c r="I15" s="13">
        <v>3811993</v>
      </c>
      <c r="J15" s="13">
        <v>3854132</v>
      </c>
      <c r="K15" s="13">
        <v>3896736</v>
      </c>
      <c r="L15" s="13">
        <v>3939811</v>
      </c>
      <c r="M15" s="13">
        <v>3983362</v>
      </c>
      <c r="N15" s="13">
        <v>4027395</v>
      </c>
      <c r="O15" s="13">
        <v>4071915</v>
      </c>
    </row>
    <row r="16" spans="2:16">
      <c r="B16" s="37" t="s">
        <v>181</v>
      </c>
      <c r="C16" s="13">
        <f t="shared" si="15"/>
        <v>333333334</v>
      </c>
      <c r="D16" s="13">
        <v>11111111</v>
      </c>
      <c r="E16" s="13">
        <f>+D16</f>
        <v>11111111</v>
      </c>
      <c r="F16" s="13">
        <f>+E16</f>
        <v>11111111</v>
      </c>
      <c r="G16" s="13">
        <f t="shared" ref="G16:O16" si="16">+F16</f>
        <v>11111111</v>
      </c>
      <c r="H16" s="13">
        <f t="shared" si="16"/>
        <v>11111111</v>
      </c>
      <c r="I16" s="13">
        <f t="shared" si="16"/>
        <v>11111111</v>
      </c>
      <c r="J16" s="13">
        <f t="shared" si="16"/>
        <v>11111111</v>
      </c>
      <c r="K16" s="13">
        <f t="shared" si="16"/>
        <v>11111111</v>
      </c>
      <c r="L16" s="13">
        <f t="shared" si="16"/>
        <v>11111111</v>
      </c>
      <c r="M16" s="13">
        <f t="shared" si="16"/>
        <v>11111111</v>
      </c>
      <c r="N16" s="13">
        <f t="shared" si="16"/>
        <v>11111111</v>
      </c>
      <c r="O16" s="13">
        <f t="shared" si="16"/>
        <v>11111111</v>
      </c>
    </row>
    <row r="17" spans="2:15">
      <c r="B17" s="37" t="s">
        <v>8286</v>
      </c>
      <c r="C17" s="13">
        <f t="shared" si="15"/>
        <v>312640000</v>
      </c>
      <c r="D17" s="13">
        <v>0</v>
      </c>
      <c r="E17" s="13">
        <v>0</v>
      </c>
      <c r="F17" s="13"/>
      <c r="G17" s="13"/>
      <c r="H17" s="331"/>
      <c r="I17" s="13"/>
      <c r="J17" s="13">
        <v>0</v>
      </c>
      <c r="K17" s="13">
        <v>0</v>
      </c>
      <c r="L17" s="13">
        <v>0</v>
      </c>
      <c r="M17" s="13">
        <v>0</v>
      </c>
      <c r="N17" s="13">
        <v>0</v>
      </c>
      <c r="O17" s="13">
        <v>0</v>
      </c>
    </row>
    <row r="18" spans="2:15">
      <c r="B18" s="37" t="s">
        <v>8287</v>
      </c>
      <c r="C18" s="13"/>
      <c r="G18" s="13">
        <v>-2251587500</v>
      </c>
      <c r="H18" s="331"/>
      <c r="I18" s="13">
        <v>70000000</v>
      </c>
      <c r="J18" s="13">
        <v>70000000</v>
      </c>
      <c r="K18" s="13">
        <v>70000000</v>
      </c>
      <c r="L18" s="13">
        <v>70000000</v>
      </c>
      <c r="M18" s="13">
        <v>70000000</v>
      </c>
      <c r="N18" s="13">
        <v>70000000</v>
      </c>
      <c r="O18" s="13">
        <v>70000000</v>
      </c>
    </row>
    <row r="19" spans="2:15">
      <c r="B19" s="37" t="s">
        <v>65</v>
      </c>
      <c r="C19" s="13"/>
      <c r="G19" s="13"/>
      <c r="H19" s="13">
        <v>-1480000000</v>
      </c>
      <c r="I19" s="13"/>
      <c r="K19" s="13">
        <v>-1200000000</v>
      </c>
      <c r="N19" s="13">
        <v>25000000</v>
      </c>
      <c r="O19" s="13">
        <v>25000000</v>
      </c>
    </row>
    <row r="21" spans="2:15" ht="12.9" thickBot="1">
      <c r="C21" s="1152" t="s">
        <v>8290</v>
      </c>
      <c r="D21" s="1153"/>
      <c r="E21" s="1153"/>
      <c r="F21" s="1153"/>
      <c r="G21" s="1153"/>
      <c r="H21" s="1153"/>
      <c r="I21" s="1153"/>
      <c r="J21" s="1153"/>
      <c r="K21" s="1153"/>
      <c r="L21" s="1153"/>
      <c r="M21" s="1153"/>
      <c r="N21" s="1153"/>
      <c r="O21" s="1153"/>
    </row>
    <row r="22" spans="2:15" ht="12.9" thickBot="1">
      <c r="C22" s="37" t="s">
        <v>8289</v>
      </c>
      <c r="D22" s="890">
        <v>45658</v>
      </c>
      <c r="E22" s="891">
        <v>45689</v>
      </c>
      <c r="F22" s="891">
        <v>45717</v>
      </c>
      <c r="G22" s="891">
        <v>45748</v>
      </c>
      <c r="H22" s="891">
        <v>45778</v>
      </c>
      <c r="I22" s="891">
        <v>45809</v>
      </c>
      <c r="J22" s="891">
        <v>45839</v>
      </c>
      <c r="K22" s="891">
        <v>45870</v>
      </c>
      <c r="L22" s="891">
        <v>45901</v>
      </c>
      <c r="M22" s="891">
        <v>45931</v>
      </c>
      <c r="N22" s="891">
        <v>45962</v>
      </c>
      <c r="O22" s="892">
        <v>45992</v>
      </c>
    </row>
    <row r="23" spans="2:15">
      <c r="B23" s="40" t="s">
        <v>8238</v>
      </c>
      <c r="C23" s="87">
        <f>+SUM(C24:C27)</f>
        <v>997267430</v>
      </c>
      <c r="D23" s="889">
        <f>+SUM(D24:D29)</f>
        <v>844023333.30538189</v>
      </c>
      <c r="E23" s="889">
        <f t="shared" ref="E23:O23" si="17">+SUM(E24:E27)</f>
        <v>826740571.86028886</v>
      </c>
      <c r="F23" s="889">
        <f t="shared" si="17"/>
        <v>809385497.19214571</v>
      </c>
      <c r="G23" s="889">
        <f t="shared" si="17"/>
        <v>606308056.19214571</v>
      </c>
      <c r="H23" s="889">
        <f t="shared" si="17"/>
        <v>595196945.19214571</v>
      </c>
      <c r="I23" s="889">
        <f t="shared" si="17"/>
        <v>584085834.19214571</v>
      </c>
      <c r="J23" s="889">
        <f t="shared" si="17"/>
        <v>572974723.19214571</v>
      </c>
      <c r="K23" s="889">
        <f t="shared" si="17"/>
        <v>561863612.19214571</v>
      </c>
      <c r="L23" s="889">
        <f t="shared" si="17"/>
        <v>550752501.19214571</v>
      </c>
      <c r="M23" s="889">
        <f t="shared" si="17"/>
        <v>539641390.19214571</v>
      </c>
      <c r="N23" s="889">
        <f t="shared" si="17"/>
        <v>528530279.19214571</v>
      </c>
      <c r="O23" s="889">
        <f t="shared" si="17"/>
        <v>517419168.19214571</v>
      </c>
    </row>
    <row r="24" spans="2:15">
      <c r="B24" s="37" t="s">
        <v>8285</v>
      </c>
      <c r="C24" s="13">
        <v>215261285</v>
      </c>
      <c r="D24" s="13">
        <f>+C24-D14</f>
        <v>209161110.30538189</v>
      </c>
      <c r="E24" s="13">
        <f t="shared" ref="E24:O24" si="18">+D24-E14</f>
        <v>202989459.8602888</v>
      </c>
      <c r="F24" s="13">
        <f t="shared" si="18"/>
        <v>196745496.19214571</v>
      </c>
      <c r="G24" s="13">
        <f t="shared" si="18"/>
        <v>4779166.1921457052</v>
      </c>
      <c r="H24" s="13">
        <f t="shared" si="18"/>
        <v>4779166.1921457052</v>
      </c>
      <c r="I24" s="13">
        <f t="shared" si="18"/>
        <v>4779166.1921457052</v>
      </c>
      <c r="J24" s="13">
        <f t="shared" si="18"/>
        <v>4779166.1921457052</v>
      </c>
      <c r="K24" s="13">
        <f t="shared" si="18"/>
        <v>4779166.1921457052</v>
      </c>
      <c r="L24" s="13">
        <f t="shared" si="18"/>
        <v>4779166.1921457052</v>
      </c>
      <c r="M24" s="13">
        <f t="shared" si="18"/>
        <v>4779166.1921457052</v>
      </c>
      <c r="N24" s="13">
        <f t="shared" si="18"/>
        <v>4779166.1921457052</v>
      </c>
      <c r="O24" s="13">
        <f t="shared" si="18"/>
        <v>4779166.1921457052</v>
      </c>
    </row>
    <row r="25" spans="2:15">
      <c r="B25" s="37" t="s">
        <v>65</v>
      </c>
      <c r="C25" s="13">
        <v>136032811</v>
      </c>
    </row>
    <row r="26" spans="2:15">
      <c r="B26" s="37" t="s">
        <v>181</v>
      </c>
      <c r="C26" s="13">
        <v>333333334</v>
      </c>
      <c r="D26" s="13">
        <f>+C26-D16</f>
        <v>322222223</v>
      </c>
      <c r="E26" s="13">
        <f t="shared" ref="E26:O26" si="19">+D26-E16</f>
        <v>311111112</v>
      </c>
      <c r="F26" s="13">
        <f t="shared" si="19"/>
        <v>300000001</v>
      </c>
      <c r="G26" s="13">
        <f t="shared" si="19"/>
        <v>288888890</v>
      </c>
      <c r="H26" s="13">
        <f t="shared" si="19"/>
        <v>277777779</v>
      </c>
      <c r="I26" s="13">
        <f t="shared" si="19"/>
        <v>266666668</v>
      </c>
      <c r="J26" s="13">
        <f t="shared" si="19"/>
        <v>255555557</v>
      </c>
      <c r="K26" s="13">
        <f t="shared" si="19"/>
        <v>244444446</v>
      </c>
      <c r="L26" s="13">
        <f t="shared" si="19"/>
        <v>233333335</v>
      </c>
      <c r="M26" s="13">
        <f t="shared" si="19"/>
        <v>222222224</v>
      </c>
      <c r="N26" s="13">
        <f t="shared" si="19"/>
        <v>211111113</v>
      </c>
      <c r="O26" s="13">
        <f t="shared" si="19"/>
        <v>200000002</v>
      </c>
    </row>
    <row r="27" spans="2:15">
      <c r="B27" s="37" t="s">
        <v>8286</v>
      </c>
      <c r="C27" s="13">
        <v>312640000</v>
      </c>
      <c r="D27" s="13">
        <f>+C27-D17</f>
        <v>312640000</v>
      </c>
      <c r="E27" s="13">
        <f t="shared" ref="E27:O27" si="20">+D27-E17</f>
        <v>312640000</v>
      </c>
      <c r="F27" s="13">
        <f>+E27-F17</f>
        <v>312640000</v>
      </c>
      <c r="G27" s="13">
        <f>+F27-G17</f>
        <v>312640000</v>
      </c>
      <c r="H27" s="13">
        <f t="shared" si="20"/>
        <v>312640000</v>
      </c>
      <c r="I27" s="13">
        <f t="shared" si="20"/>
        <v>312640000</v>
      </c>
      <c r="J27" s="13">
        <f t="shared" si="20"/>
        <v>312640000</v>
      </c>
      <c r="K27" s="13">
        <f t="shared" si="20"/>
        <v>312640000</v>
      </c>
      <c r="L27" s="13">
        <f t="shared" si="20"/>
        <v>312640000</v>
      </c>
      <c r="M27" s="13">
        <f t="shared" si="20"/>
        <v>312640000</v>
      </c>
      <c r="N27" s="13">
        <f t="shared" si="20"/>
        <v>312640000</v>
      </c>
      <c r="O27" s="13">
        <f t="shared" si="20"/>
        <v>312640000</v>
      </c>
    </row>
    <row r="28" spans="2:15">
      <c r="B28" s="37" t="s">
        <v>8287</v>
      </c>
      <c r="C28" s="13"/>
    </row>
    <row r="29" spans="2:15">
      <c r="B29" s="37" t="s">
        <v>65</v>
      </c>
    </row>
    <row r="33" spans="4:15">
      <c r="D33" s="13">
        <f>+D13</f>
        <v>20819397.694618095</v>
      </c>
      <c r="E33" s="13">
        <f t="shared" ref="E33:O33" si="21">+E13</f>
        <v>20930758.445093095</v>
      </c>
      <c r="F33" s="13">
        <f t="shared" si="21"/>
        <v>21043396.668143094</v>
      </c>
      <c r="G33" s="13">
        <f>+G13-G18-G14</f>
        <v>11111111</v>
      </c>
      <c r="H33" s="13">
        <f>+H13-H19</f>
        <v>14884894</v>
      </c>
      <c r="I33" s="13">
        <f t="shared" si="21"/>
        <v>84923104</v>
      </c>
      <c r="J33" s="13">
        <f t="shared" si="21"/>
        <v>84965243</v>
      </c>
      <c r="K33" s="13">
        <f>+K13-K19</f>
        <v>85007847</v>
      </c>
      <c r="L33" s="13">
        <f t="shared" si="21"/>
        <v>85050922</v>
      </c>
      <c r="M33" s="13">
        <f t="shared" si="21"/>
        <v>85094473</v>
      </c>
      <c r="N33" s="13">
        <f t="shared" si="21"/>
        <v>110138506</v>
      </c>
      <c r="O33" s="13">
        <f t="shared" si="21"/>
        <v>110183026</v>
      </c>
    </row>
  </sheetData>
  <mergeCells count="3">
    <mergeCell ref="C1:O1"/>
    <mergeCell ref="C11:O11"/>
    <mergeCell ref="C21:O21"/>
  </mergeCells>
  <pageMargins left="0.7" right="0.7" top="0.75" bottom="0.75" header="0.3" footer="0.3"/>
  <pageSetup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42A03-9BF5-473B-91C6-5EA2EFB2ED23}">
  <dimension ref="A1:AN70"/>
  <sheetViews>
    <sheetView topLeftCell="V35" zoomScale="83" zoomScaleNormal="85" workbookViewId="0">
      <selection activeCell="Z65" sqref="Z65"/>
    </sheetView>
  </sheetViews>
  <sheetFormatPr defaultColWidth="11.3828125" defaultRowHeight="12.45"/>
  <cols>
    <col min="1" max="1" width="18.69140625" bestFit="1" customWidth="1"/>
    <col min="2" max="2" width="23.3046875" bestFit="1" customWidth="1"/>
    <col min="3" max="3" width="23.15234375" bestFit="1" customWidth="1"/>
    <col min="4" max="4" width="35.3828125" bestFit="1" customWidth="1"/>
    <col min="5" max="9" width="13.69140625" bestFit="1" customWidth="1"/>
    <col min="10" max="10" width="15.53515625" bestFit="1" customWidth="1"/>
    <col min="11" max="12" width="13.69140625" bestFit="1" customWidth="1"/>
    <col min="13" max="13" width="16.69140625" bestFit="1" customWidth="1"/>
    <col min="14" max="14" width="13.69140625" bestFit="1" customWidth="1"/>
    <col min="15" max="15" width="16.15234375" bestFit="1" customWidth="1"/>
    <col min="16" max="16" width="15.3828125" bestFit="1" customWidth="1"/>
    <col min="17" max="17" width="17.84375" bestFit="1" customWidth="1"/>
    <col min="18" max="18" width="14.15234375" bestFit="1" customWidth="1"/>
    <col min="19" max="24" width="15.53515625" bestFit="1" customWidth="1"/>
    <col min="25" max="25" width="17.15234375" bestFit="1" customWidth="1"/>
    <col min="26" max="26" width="15.53515625" bestFit="1" customWidth="1"/>
    <col min="27" max="27" width="16.15234375" bestFit="1" customWidth="1"/>
    <col min="28" max="28" width="15.3828125" bestFit="1" customWidth="1"/>
    <col min="29" max="29" width="20.3828125" bestFit="1" customWidth="1"/>
    <col min="30" max="36" width="14.15234375" bestFit="1" customWidth="1"/>
    <col min="37" max="37" width="17.15234375" bestFit="1" customWidth="1"/>
    <col min="38" max="38" width="14.15234375" bestFit="1" customWidth="1"/>
    <col min="39" max="39" width="16.15234375" bestFit="1" customWidth="1"/>
    <col min="40" max="40" width="15.3828125" bestFit="1" customWidth="1"/>
  </cols>
  <sheetData>
    <row r="1" spans="1:40">
      <c r="E1" s="84" t="s">
        <v>8291</v>
      </c>
      <c r="F1" s="286">
        <v>0.08</v>
      </c>
    </row>
    <row r="2" spans="1:40">
      <c r="B2" s="1154" t="s">
        <v>8292</v>
      </c>
      <c r="C2" s="1155"/>
      <c r="D2" s="1156"/>
      <c r="E2" s="84" t="s">
        <v>8293</v>
      </c>
      <c r="F2" s="286">
        <v>0.04</v>
      </c>
    </row>
    <row r="3" spans="1:40">
      <c r="B3" s="1157"/>
      <c r="C3" s="1158"/>
      <c r="D3" s="1159"/>
    </row>
    <row r="4" spans="1:40">
      <c r="A4" s="118" t="s">
        <v>8294</v>
      </c>
      <c r="B4" s="111" t="s">
        <v>8283</v>
      </c>
      <c r="C4" s="111" t="s">
        <v>8295</v>
      </c>
      <c r="D4" s="111" t="s">
        <v>8296</v>
      </c>
      <c r="E4" s="119">
        <v>45292</v>
      </c>
      <c r="F4" s="119">
        <v>45323</v>
      </c>
      <c r="G4" s="119">
        <v>45352</v>
      </c>
      <c r="H4" s="119">
        <v>45383</v>
      </c>
      <c r="I4" s="119">
        <v>45413</v>
      </c>
      <c r="J4" s="119">
        <v>45444</v>
      </c>
      <c r="K4" s="119">
        <v>45474</v>
      </c>
      <c r="L4" s="119">
        <v>45505</v>
      </c>
      <c r="M4" s="119">
        <v>45536</v>
      </c>
      <c r="N4" s="119">
        <v>45566</v>
      </c>
      <c r="O4" s="119">
        <v>45597</v>
      </c>
      <c r="P4" s="119">
        <v>45627</v>
      </c>
      <c r="Q4" s="119">
        <v>45658</v>
      </c>
      <c r="R4" s="119">
        <v>45689</v>
      </c>
      <c r="S4" s="119">
        <v>45717</v>
      </c>
      <c r="T4" s="119">
        <v>45748</v>
      </c>
      <c r="U4" s="119">
        <v>45778</v>
      </c>
      <c r="V4" s="119">
        <v>45809</v>
      </c>
      <c r="W4" s="119">
        <v>45839</v>
      </c>
      <c r="X4" s="119">
        <v>45870</v>
      </c>
      <c r="Y4" s="119">
        <v>45901</v>
      </c>
      <c r="Z4" s="119">
        <v>45931</v>
      </c>
      <c r="AA4" s="119">
        <v>45962</v>
      </c>
      <c r="AB4" s="119">
        <v>45992</v>
      </c>
      <c r="AC4" s="119">
        <v>46023</v>
      </c>
      <c r="AD4" s="119">
        <v>46054</v>
      </c>
      <c r="AE4" s="119">
        <v>46082</v>
      </c>
      <c r="AF4" s="119">
        <v>46113</v>
      </c>
      <c r="AG4" s="119">
        <v>46143</v>
      </c>
      <c r="AH4" s="119">
        <v>46174</v>
      </c>
      <c r="AI4" s="119">
        <v>46204</v>
      </c>
      <c r="AJ4" s="119">
        <v>46235</v>
      </c>
      <c r="AK4" s="119">
        <v>46266</v>
      </c>
      <c r="AL4" s="119">
        <v>46296</v>
      </c>
      <c r="AM4" s="119">
        <v>46327</v>
      </c>
      <c r="AN4" s="119">
        <v>46357</v>
      </c>
    </row>
    <row r="5" spans="1:40">
      <c r="A5" s="88">
        <v>2022</v>
      </c>
      <c r="B5" s="120">
        <v>285406513</v>
      </c>
      <c r="C5" s="121" t="s">
        <v>8297</v>
      </c>
      <c r="D5" s="122" t="s">
        <v>8298</v>
      </c>
      <c r="E5" s="83">
        <v>2758000</v>
      </c>
      <c r="F5" s="83">
        <f>+E5</f>
        <v>2758000</v>
      </c>
      <c r="G5" s="83">
        <f>+F5</f>
        <v>2758000</v>
      </c>
      <c r="H5" s="83">
        <f t="shared" ref="H5:P5" si="0">+G5</f>
        <v>2758000</v>
      </c>
      <c r="I5" s="83">
        <f t="shared" si="0"/>
        <v>2758000</v>
      </c>
      <c r="J5" s="83">
        <f t="shared" si="0"/>
        <v>2758000</v>
      </c>
      <c r="K5" s="83">
        <f t="shared" si="0"/>
        <v>2758000</v>
      </c>
      <c r="L5" s="83">
        <f t="shared" si="0"/>
        <v>2758000</v>
      </c>
      <c r="M5" s="83">
        <f t="shared" si="0"/>
        <v>2758000</v>
      </c>
      <c r="N5" s="83">
        <f t="shared" si="0"/>
        <v>2758000</v>
      </c>
      <c r="O5" s="83">
        <f t="shared" si="0"/>
        <v>2758000</v>
      </c>
      <c r="P5" s="85">
        <f t="shared" si="0"/>
        <v>2758000</v>
      </c>
      <c r="Q5" s="83">
        <f>+P5*(1+$F$2)</f>
        <v>2868320</v>
      </c>
      <c r="R5" s="83">
        <f>+Q5</f>
        <v>2868320</v>
      </c>
      <c r="S5" s="83">
        <f t="shared" ref="S5:AB5" si="1">+R5</f>
        <v>2868320</v>
      </c>
      <c r="T5" s="83">
        <f t="shared" si="1"/>
        <v>2868320</v>
      </c>
      <c r="U5" s="83">
        <f t="shared" si="1"/>
        <v>2868320</v>
      </c>
      <c r="V5" s="83">
        <f t="shared" si="1"/>
        <v>2868320</v>
      </c>
      <c r="W5" s="83">
        <f t="shared" si="1"/>
        <v>2868320</v>
      </c>
      <c r="X5" s="83">
        <f t="shared" si="1"/>
        <v>2868320</v>
      </c>
      <c r="Y5" s="83">
        <f t="shared" si="1"/>
        <v>2868320</v>
      </c>
      <c r="Z5" s="83">
        <f t="shared" si="1"/>
        <v>2868320</v>
      </c>
      <c r="AA5" s="83">
        <f t="shared" si="1"/>
        <v>2868320</v>
      </c>
      <c r="AB5" s="83">
        <f t="shared" si="1"/>
        <v>2868320</v>
      </c>
      <c r="AC5" s="83">
        <f>+AB5*(1+$F$2)</f>
        <v>2983052.8000000003</v>
      </c>
      <c r="AD5" s="83">
        <f>+AC5</f>
        <v>2983052.8000000003</v>
      </c>
      <c r="AE5" s="83">
        <f t="shared" ref="AE5:AN5" si="2">+AD5</f>
        <v>2983052.8000000003</v>
      </c>
      <c r="AF5" s="83">
        <f t="shared" si="2"/>
        <v>2983052.8000000003</v>
      </c>
      <c r="AG5" s="83">
        <f t="shared" si="2"/>
        <v>2983052.8000000003</v>
      </c>
      <c r="AH5" s="83">
        <f t="shared" si="2"/>
        <v>2983052.8000000003</v>
      </c>
      <c r="AI5" s="83">
        <f t="shared" si="2"/>
        <v>2983052.8000000003</v>
      </c>
      <c r="AJ5" s="83">
        <f t="shared" si="2"/>
        <v>2983052.8000000003</v>
      </c>
      <c r="AK5" s="83">
        <f t="shared" si="2"/>
        <v>2983052.8000000003</v>
      </c>
      <c r="AL5" s="83">
        <f t="shared" si="2"/>
        <v>2983052.8000000003</v>
      </c>
      <c r="AM5" s="83">
        <f t="shared" si="2"/>
        <v>2983052.8000000003</v>
      </c>
      <c r="AN5" s="83">
        <f t="shared" si="2"/>
        <v>2983052.8000000003</v>
      </c>
    </row>
    <row r="6" spans="1:40">
      <c r="A6" s="81"/>
      <c r="B6" s="123"/>
      <c r="C6" s="123"/>
      <c r="D6" s="122" t="s">
        <v>8298</v>
      </c>
      <c r="E6" s="81"/>
      <c r="F6" s="81"/>
      <c r="G6" s="81"/>
      <c r="H6" s="81"/>
      <c r="I6" s="81"/>
      <c r="J6" s="81"/>
      <c r="K6" s="81"/>
      <c r="L6" s="83">
        <v>-3737962.0696663023</v>
      </c>
      <c r="M6" s="81"/>
      <c r="N6" s="81"/>
      <c r="O6" s="81"/>
      <c r="P6" s="283"/>
      <c r="Q6" s="81"/>
      <c r="R6" s="81"/>
      <c r="S6" s="81"/>
      <c r="T6" s="81"/>
      <c r="U6" s="81"/>
      <c r="V6" s="81"/>
      <c r="W6" s="81"/>
      <c r="X6" s="83">
        <f>+L6*(1+F2)</f>
        <v>-3887480.5524529545</v>
      </c>
      <c r="Y6" s="81"/>
      <c r="Z6" s="81"/>
      <c r="AA6" s="81"/>
      <c r="AB6" s="81"/>
      <c r="AC6" s="81"/>
      <c r="AD6" s="81"/>
      <c r="AE6" s="81"/>
      <c r="AF6" s="81"/>
      <c r="AG6" s="81"/>
      <c r="AH6" s="81"/>
      <c r="AI6" s="81"/>
      <c r="AJ6" s="83">
        <f>+X6*(1+R2)</f>
        <v>-3887480.5524529545</v>
      </c>
      <c r="AK6" s="81"/>
      <c r="AL6" s="81"/>
      <c r="AM6" s="81"/>
      <c r="AN6" s="81"/>
    </row>
    <row r="7" spans="1:40">
      <c r="A7" s="88">
        <v>2022</v>
      </c>
      <c r="B7" s="120">
        <v>29741663.6969034</v>
      </c>
      <c r="C7" s="121" t="s">
        <v>8297</v>
      </c>
      <c r="D7" s="124" t="s">
        <v>8299</v>
      </c>
      <c r="E7" s="83">
        <v>443240.40432672011</v>
      </c>
      <c r="F7" s="83">
        <v>443240.40432672011</v>
      </c>
      <c r="G7" s="83">
        <v>443240.40432672011</v>
      </c>
      <c r="H7" s="83">
        <v>443240.40432672011</v>
      </c>
      <c r="I7" s="83">
        <v>443240.40432672011</v>
      </c>
      <c r="J7" s="83">
        <v>443240.40432672011</v>
      </c>
      <c r="K7" s="83">
        <v>443240.40432672011</v>
      </c>
      <c r="L7" s="83">
        <v>443240.40432672011</v>
      </c>
      <c r="M7" s="83">
        <v>443240.40432672011</v>
      </c>
      <c r="N7" s="83">
        <v>443240.40432672011</v>
      </c>
      <c r="O7" s="83">
        <v>443240.40432672011</v>
      </c>
      <c r="P7" s="85">
        <v>443240.40432672011</v>
      </c>
      <c r="Q7" s="83">
        <f>+P7*(1+$F$2)</f>
        <v>460970.02049978892</v>
      </c>
      <c r="R7" s="83">
        <f>+Q7</f>
        <v>460970.02049978892</v>
      </c>
      <c r="S7" s="83">
        <f>+R7</f>
        <v>460970.02049978892</v>
      </c>
      <c r="T7" s="83">
        <f>+S7</f>
        <v>460970.02049978892</v>
      </c>
      <c r="U7" s="83">
        <f t="shared" ref="U7:AB7" si="3">+T7</f>
        <v>460970.02049978892</v>
      </c>
      <c r="V7" s="83">
        <f t="shared" si="3"/>
        <v>460970.02049978892</v>
      </c>
      <c r="W7" s="83">
        <f t="shared" si="3"/>
        <v>460970.02049978892</v>
      </c>
      <c r="X7" s="83">
        <f t="shared" si="3"/>
        <v>460970.02049978892</v>
      </c>
      <c r="Y7" s="83">
        <f t="shared" si="3"/>
        <v>460970.02049978892</v>
      </c>
      <c r="Z7" s="83">
        <f t="shared" si="3"/>
        <v>460970.02049978892</v>
      </c>
      <c r="AA7" s="83">
        <f t="shared" si="3"/>
        <v>460970.02049978892</v>
      </c>
      <c r="AB7" s="83">
        <f t="shared" si="3"/>
        <v>460970.02049978892</v>
      </c>
      <c r="AC7" s="83">
        <f>+AB7*(1+$F$2)</f>
        <v>479408.82131978049</v>
      </c>
      <c r="AD7" s="83">
        <f>+AC7</f>
        <v>479408.82131978049</v>
      </c>
      <c r="AE7" s="83">
        <f>+AD7</f>
        <v>479408.82131978049</v>
      </c>
      <c r="AF7" s="83">
        <f>+AE7</f>
        <v>479408.82131978049</v>
      </c>
      <c r="AG7" s="83">
        <f t="shared" ref="AG7:AN7" si="4">+AF7</f>
        <v>479408.82131978049</v>
      </c>
      <c r="AH7" s="83">
        <f t="shared" si="4"/>
        <v>479408.82131978049</v>
      </c>
      <c r="AI7" s="83">
        <f t="shared" si="4"/>
        <v>479408.82131978049</v>
      </c>
      <c r="AJ7" s="83">
        <f t="shared" si="4"/>
        <v>479408.82131978049</v>
      </c>
      <c r="AK7" s="83">
        <f t="shared" si="4"/>
        <v>479408.82131978049</v>
      </c>
      <c r="AL7" s="83">
        <f t="shared" si="4"/>
        <v>479408.82131978049</v>
      </c>
      <c r="AM7" s="83">
        <f t="shared" si="4"/>
        <v>479408.82131978049</v>
      </c>
      <c r="AN7" s="83">
        <f t="shared" si="4"/>
        <v>479408.82131978049</v>
      </c>
    </row>
    <row r="8" spans="1:40">
      <c r="A8" s="81"/>
      <c r="B8" s="123"/>
      <c r="C8" s="123"/>
      <c r="D8" s="124" t="s">
        <v>8299</v>
      </c>
      <c r="E8" s="81"/>
      <c r="F8" s="81"/>
      <c r="G8" s="81"/>
      <c r="H8" s="81"/>
      <c r="I8" s="81"/>
      <c r="J8" s="81"/>
      <c r="K8" s="81"/>
      <c r="L8" s="81"/>
      <c r="M8" s="83">
        <v>-388188.19457198301</v>
      </c>
      <c r="N8" s="81"/>
      <c r="O8" s="81"/>
      <c r="P8" s="283"/>
      <c r="Q8" s="81"/>
      <c r="R8" s="81"/>
      <c r="S8" s="81"/>
      <c r="T8" s="81"/>
      <c r="U8" s="81"/>
      <c r="V8" s="81"/>
      <c r="W8" s="81"/>
      <c r="X8" s="81"/>
      <c r="Y8" s="83">
        <f>+M8*(1+4%)</f>
        <v>-403715.72235486237</v>
      </c>
      <c r="Z8" s="81"/>
      <c r="AA8" s="81"/>
      <c r="AB8" s="81"/>
      <c r="AC8" s="81"/>
      <c r="AD8" s="81"/>
      <c r="AE8" s="81"/>
      <c r="AF8" s="81"/>
      <c r="AG8" s="81"/>
      <c r="AH8" s="81"/>
      <c r="AI8" s="81"/>
      <c r="AJ8" s="81"/>
      <c r="AK8" s="83">
        <f>+Y8*(1+4%)</f>
        <v>-419864.35124905687</v>
      </c>
      <c r="AL8" s="81"/>
      <c r="AM8" s="81"/>
      <c r="AN8" s="81"/>
    </row>
    <row r="9" spans="1:40">
      <c r="A9" s="88">
        <v>2022</v>
      </c>
      <c r="B9" s="120">
        <v>125707649</v>
      </c>
      <c r="C9" s="121" t="s">
        <v>8297</v>
      </c>
      <c r="D9" s="122" t="s">
        <v>8300</v>
      </c>
      <c r="E9" s="83">
        <v>2203987.9679999999</v>
      </c>
      <c r="F9" s="82">
        <v>2203987.9679999999</v>
      </c>
      <c r="G9" s="83">
        <v>2203987.9679999999</v>
      </c>
      <c r="H9" s="83">
        <v>2203987.9679999999</v>
      </c>
      <c r="I9" s="83">
        <v>2276102.4543129602</v>
      </c>
      <c r="J9" s="83">
        <v>2276102.4543129602</v>
      </c>
      <c r="K9" s="83">
        <v>2276102.4543129602</v>
      </c>
      <c r="L9" s="83">
        <v>2276102.4543129602</v>
      </c>
      <c r="M9" s="83">
        <v>2276102.4543129602</v>
      </c>
      <c r="N9" s="83">
        <v>2276102.4543129602</v>
      </c>
      <c r="O9" s="83">
        <v>2276102.4543129602</v>
      </c>
      <c r="P9" s="85">
        <v>2276102.4543129602</v>
      </c>
      <c r="Q9" s="83">
        <f>+P9*(1+$F$2)</f>
        <v>2367146.5524854786</v>
      </c>
      <c r="R9" s="83">
        <f>+Q9</f>
        <v>2367146.5524854786</v>
      </c>
      <c r="S9" s="83">
        <f t="shared" ref="S9:AB9" si="5">+R9</f>
        <v>2367146.5524854786</v>
      </c>
      <c r="T9" s="83">
        <f t="shared" si="5"/>
        <v>2367146.5524854786</v>
      </c>
      <c r="U9" s="83">
        <f t="shared" si="5"/>
        <v>2367146.5524854786</v>
      </c>
      <c r="V9" s="83">
        <f t="shared" si="5"/>
        <v>2367146.5524854786</v>
      </c>
      <c r="W9" s="83">
        <f t="shared" si="5"/>
        <v>2367146.5524854786</v>
      </c>
      <c r="X9" s="83">
        <f t="shared" si="5"/>
        <v>2367146.5524854786</v>
      </c>
      <c r="Y9" s="83">
        <f t="shared" si="5"/>
        <v>2367146.5524854786</v>
      </c>
      <c r="Z9" s="83">
        <f t="shared" si="5"/>
        <v>2367146.5524854786</v>
      </c>
      <c r="AA9" s="83">
        <f t="shared" si="5"/>
        <v>2367146.5524854786</v>
      </c>
      <c r="AB9" s="83">
        <f t="shared" si="5"/>
        <v>2367146.5524854786</v>
      </c>
      <c r="AC9" s="83">
        <f>+AB9*(1+$F$2)</f>
        <v>2461832.4145848979</v>
      </c>
      <c r="AD9" s="83">
        <f>+AC9</f>
        <v>2461832.4145848979</v>
      </c>
      <c r="AE9" s="83">
        <f t="shared" ref="AE9:AN9" si="6">+AD9</f>
        <v>2461832.4145848979</v>
      </c>
      <c r="AF9" s="83">
        <f t="shared" si="6"/>
        <v>2461832.4145848979</v>
      </c>
      <c r="AG9" s="83">
        <f t="shared" si="6"/>
        <v>2461832.4145848979</v>
      </c>
      <c r="AH9" s="83">
        <f t="shared" si="6"/>
        <v>2461832.4145848979</v>
      </c>
      <c r="AI9" s="83">
        <f t="shared" si="6"/>
        <v>2461832.4145848979</v>
      </c>
      <c r="AJ9" s="83">
        <f t="shared" si="6"/>
        <v>2461832.4145848979</v>
      </c>
      <c r="AK9" s="83">
        <f t="shared" si="6"/>
        <v>2461832.4145848979</v>
      </c>
      <c r="AL9" s="83">
        <f t="shared" si="6"/>
        <v>2461832.4145848979</v>
      </c>
      <c r="AM9" s="83">
        <f t="shared" si="6"/>
        <v>2461832.4145848979</v>
      </c>
      <c r="AN9" s="83">
        <f t="shared" si="6"/>
        <v>2461832.4145848979</v>
      </c>
    </row>
    <row r="10" spans="1:40">
      <c r="A10" s="81"/>
      <c r="B10" s="123"/>
      <c r="C10" s="123"/>
      <c r="D10" s="122" t="s">
        <v>8300</v>
      </c>
      <c r="E10" s="81"/>
      <c r="F10" s="81"/>
      <c r="G10" s="81"/>
      <c r="H10" s="81"/>
      <c r="I10" s="81"/>
      <c r="J10" s="81"/>
      <c r="K10" s="81"/>
      <c r="L10" s="81"/>
      <c r="M10" s="81"/>
      <c r="N10" s="83"/>
      <c r="O10" s="83">
        <v>-2173355.4559935168</v>
      </c>
      <c r="P10" s="283"/>
      <c r="Q10" s="81"/>
      <c r="R10" s="81"/>
      <c r="S10" s="81"/>
      <c r="T10" s="81"/>
      <c r="U10" s="81"/>
      <c r="V10" s="81"/>
      <c r="W10" s="81"/>
      <c r="X10" s="81"/>
      <c r="Y10" s="81"/>
      <c r="Z10" s="81"/>
      <c r="AA10" s="83">
        <f>+O10*(1+4%)</f>
        <v>-2260289.6742332578</v>
      </c>
      <c r="AB10" s="81"/>
      <c r="AC10" s="81"/>
      <c r="AD10" s="81"/>
      <c r="AE10" s="81"/>
      <c r="AF10" s="81"/>
      <c r="AG10" s="81"/>
      <c r="AH10" s="81"/>
      <c r="AI10" s="81"/>
      <c r="AJ10" s="81"/>
      <c r="AK10" s="81"/>
      <c r="AL10" s="81"/>
      <c r="AM10" s="83">
        <f>+AA10*(1+4%)</f>
        <v>-2350701.2612025882</v>
      </c>
      <c r="AN10" s="81"/>
    </row>
    <row r="11" spans="1:40">
      <c r="A11" s="88">
        <v>2022</v>
      </c>
      <c r="B11" s="120">
        <v>327731399</v>
      </c>
      <c r="C11" s="121" t="s">
        <v>8297</v>
      </c>
      <c r="D11" s="122" t="s">
        <v>8301</v>
      </c>
      <c r="E11" s="83">
        <v>4538609.1440000003</v>
      </c>
      <c r="F11" s="83">
        <v>4538609.1440000003</v>
      </c>
      <c r="G11" s="83">
        <v>4538609.1440000003</v>
      </c>
      <c r="H11" s="83">
        <v>4538609.1440000003</v>
      </c>
      <c r="I11" s="83">
        <v>4538609.1440000003</v>
      </c>
      <c r="J11" s="83">
        <v>4687112.4351916807</v>
      </c>
      <c r="K11" s="83">
        <v>4687112.4351916807</v>
      </c>
      <c r="L11" s="83">
        <v>4687112.4351916807</v>
      </c>
      <c r="M11" s="83">
        <v>4687112.4351916807</v>
      </c>
      <c r="N11" s="83">
        <v>4687112.4351916807</v>
      </c>
      <c r="O11" s="83">
        <v>4687112.4351916807</v>
      </c>
      <c r="P11" s="85">
        <v>4687112.4351916807</v>
      </c>
      <c r="Q11" s="83">
        <f>+P11*(1+$F$2)</f>
        <v>4874596.932599348</v>
      </c>
      <c r="R11" s="83">
        <f>+Q11</f>
        <v>4874596.932599348</v>
      </c>
      <c r="S11" s="83">
        <f>+R11</f>
        <v>4874596.932599348</v>
      </c>
      <c r="T11" s="83">
        <f t="shared" ref="T11:AB11" si="7">+S11</f>
        <v>4874596.932599348</v>
      </c>
      <c r="U11" s="83">
        <f t="shared" si="7"/>
        <v>4874596.932599348</v>
      </c>
      <c r="V11" s="83">
        <f t="shared" si="7"/>
        <v>4874596.932599348</v>
      </c>
      <c r="W11" s="83">
        <f t="shared" si="7"/>
        <v>4874596.932599348</v>
      </c>
      <c r="X11" s="83">
        <f t="shared" si="7"/>
        <v>4874596.932599348</v>
      </c>
      <c r="Y11" s="83">
        <f t="shared" si="7"/>
        <v>4874596.932599348</v>
      </c>
      <c r="Z11" s="83">
        <f t="shared" si="7"/>
        <v>4874596.932599348</v>
      </c>
      <c r="AA11" s="83">
        <f t="shared" si="7"/>
        <v>4874596.932599348</v>
      </c>
      <c r="AB11" s="83">
        <f t="shared" si="7"/>
        <v>4874596.932599348</v>
      </c>
      <c r="AC11" s="83">
        <f>+AB11*(1+$F$2)</f>
        <v>5069580.8099033218</v>
      </c>
      <c r="AD11" s="83">
        <f>+AC11</f>
        <v>5069580.8099033218</v>
      </c>
      <c r="AE11" s="83">
        <f>+AD11</f>
        <v>5069580.8099033218</v>
      </c>
      <c r="AF11" s="83">
        <f t="shared" ref="AF11:AN11" si="8">+AE11</f>
        <v>5069580.8099033218</v>
      </c>
      <c r="AG11" s="83">
        <f t="shared" si="8"/>
        <v>5069580.8099033218</v>
      </c>
      <c r="AH11" s="83">
        <f t="shared" si="8"/>
        <v>5069580.8099033218</v>
      </c>
      <c r="AI11" s="83">
        <f t="shared" si="8"/>
        <v>5069580.8099033218</v>
      </c>
      <c r="AJ11" s="83">
        <f t="shared" si="8"/>
        <v>5069580.8099033218</v>
      </c>
      <c r="AK11" s="83">
        <f t="shared" si="8"/>
        <v>5069580.8099033218</v>
      </c>
      <c r="AL11" s="83">
        <f t="shared" si="8"/>
        <v>5069580.8099033218</v>
      </c>
      <c r="AM11" s="83">
        <f t="shared" si="8"/>
        <v>5069580.8099033218</v>
      </c>
      <c r="AN11" s="83">
        <f t="shared" si="8"/>
        <v>5069580.8099033218</v>
      </c>
    </row>
    <row r="12" spans="1:40">
      <c r="A12" s="81"/>
      <c r="B12" s="123"/>
      <c r="C12" s="123"/>
      <c r="D12" s="125" t="s">
        <v>8301</v>
      </c>
      <c r="E12" s="81"/>
      <c r="F12" s="81"/>
      <c r="G12" s="81"/>
      <c r="H12" s="81"/>
      <c r="I12" s="81"/>
      <c r="J12" s="81"/>
      <c r="K12" s="81"/>
      <c r="L12" s="81"/>
      <c r="M12" s="81"/>
      <c r="N12" s="81"/>
      <c r="O12" s="81"/>
      <c r="P12" s="85">
        <v>-4930150.222128056</v>
      </c>
      <c r="Q12" s="81"/>
      <c r="R12" s="81"/>
      <c r="S12" s="81"/>
      <c r="T12" s="81"/>
      <c r="U12" s="81"/>
      <c r="V12" s="81"/>
      <c r="W12" s="81"/>
      <c r="X12" s="81"/>
      <c r="Y12" s="81"/>
      <c r="Z12" s="81"/>
      <c r="AA12" s="81"/>
      <c r="AB12" s="83">
        <f>+P12*(1+4%)</f>
        <v>-5127356.2310131788</v>
      </c>
      <c r="AC12" s="81"/>
      <c r="AD12" s="81"/>
      <c r="AE12" s="81"/>
      <c r="AF12" s="81"/>
      <c r="AG12" s="81"/>
      <c r="AH12" s="81"/>
      <c r="AI12" s="81"/>
      <c r="AJ12" s="81"/>
      <c r="AK12" s="81"/>
      <c r="AL12" s="81"/>
      <c r="AM12" s="81"/>
      <c r="AN12" s="83">
        <f>+AB12*(1+4%)</f>
        <v>-5332450.4802537058</v>
      </c>
    </row>
    <row r="13" spans="1:40">
      <c r="A13" s="88">
        <v>2023</v>
      </c>
      <c r="B13" s="120">
        <v>318561201</v>
      </c>
      <c r="C13" s="121" t="s">
        <v>8297</v>
      </c>
      <c r="D13" s="125" t="s">
        <v>8302</v>
      </c>
      <c r="E13" s="83">
        <v>3531189.2880000002</v>
      </c>
      <c r="F13" s="83">
        <v>3531189.2880000002</v>
      </c>
      <c r="G13" s="83">
        <v>3531189.2880000002</v>
      </c>
      <c r="H13" s="83">
        <v>3531189.2880000002</v>
      </c>
      <c r="I13" s="83">
        <v>3646729.8015033603</v>
      </c>
      <c r="J13" s="83">
        <v>3646729.8015033603</v>
      </c>
      <c r="K13" s="83">
        <v>3646729.8015033603</v>
      </c>
      <c r="L13" s="83">
        <v>3646729.8015033603</v>
      </c>
      <c r="M13" s="83">
        <v>3646729.8015033603</v>
      </c>
      <c r="N13" s="83">
        <v>3646729.8015033603</v>
      </c>
      <c r="O13" s="83">
        <v>3646729.8015033603</v>
      </c>
      <c r="P13" s="85">
        <v>3646729.8015033603</v>
      </c>
      <c r="Q13" s="83">
        <f>+P13*(1+$F$2)</f>
        <v>3792598.9935634946</v>
      </c>
      <c r="R13" s="83">
        <f>+Q13</f>
        <v>3792598.9935634946</v>
      </c>
      <c r="S13" s="83">
        <f>+R13</f>
        <v>3792598.9935634946</v>
      </c>
      <c r="T13" s="83">
        <f t="shared" ref="T13:AB13" si="9">+S13</f>
        <v>3792598.9935634946</v>
      </c>
      <c r="U13" s="83">
        <f t="shared" si="9"/>
        <v>3792598.9935634946</v>
      </c>
      <c r="V13" s="83">
        <f t="shared" si="9"/>
        <v>3792598.9935634946</v>
      </c>
      <c r="W13" s="83">
        <f t="shared" si="9"/>
        <v>3792598.9935634946</v>
      </c>
      <c r="X13" s="83">
        <f t="shared" si="9"/>
        <v>3792598.9935634946</v>
      </c>
      <c r="Y13" s="83">
        <f t="shared" si="9"/>
        <v>3792598.9935634946</v>
      </c>
      <c r="Z13" s="83">
        <f t="shared" si="9"/>
        <v>3792598.9935634946</v>
      </c>
      <c r="AA13" s="83">
        <f t="shared" si="9"/>
        <v>3792598.9935634946</v>
      </c>
      <c r="AB13" s="83">
        <f t="shared" si="9"/>
        <v>3792598.9935634946</v>
      </c>
      <c r="AC13" s="83">
        <f>+AB13*(1+$F$2)</f>
        <v>3944302.9533060347</v>
      </c>
      <c r="AD13" s="83">
        <f>+AC13</f>
        <v>3944302.9533060347</v>
      </c>
      <c r="AE13" s="83">
        <f>+AD13</f>
        <v>3944302.9533060347</v>
      </c>
      <c r="AF13" s="83">
        <f t="shared" ref="AF13:AN13" si="10">+AE13</f>
        <v>3944302.9533060347</v>
      </c>
      <c r="AG13" s="83">
        <f t="shared" si="10"/>
        <v>3944302.9533060347</v>
      </c>
      <c r="AH13" s="83">
        <f t="shared" si="10"/>
        <v>3944302.9533060347</v>
      </c>
      <c r="AI13" s="83">
        <f t="shared" si="10"/>
        <v>3944302.9533060347</v>
      </c>
      <c r="AJ13" s="83">
        <f t="shared" si="10"/>
        <v>3944302.9533060347</v>
      </c>
      <c r="AK13" s="83">
        <f t="shared" si="10"/>
        <v>3944302.9533060347</v>
      </c>
      <c r="AL13" s="83">
        <f t="shared" si="10"/>
        <v>3944302.9533060347</v>
      </c>
      <c r="AM13" s="83">
        <f t="shared" si="10"/>
        <v>3944302.9533060347</v>
      </c>
      <c r="AN13" s="83">
        <f t="shared" si="10"/>
        <v>3944302.9533060347</v>
      </c>
    </row>
    <row r="14" spans="1:40">
      <c r="A14" s="81"/>
      <c r="B14" s="123"/>
      <c r="C14" s="123"/>
      <c r="D14" s="125" t="s">
        <v>8302</v>
      </c>
      <c r="E14" s="83">
        <v>-3510548.2436626474</v>
      </c>
      <c r="F14" s="81"/>
      <c r="G14" s="81"/>
      <c r="H14" s="81"/>
      <c r="I14" s="81"/>
      <c r="J14" s="81"/>
      <c r="K14" s="81"/>
      <c r="L14" s="81"/>
      <c r="M14" s="81"/>
      <c r="N14" s="81"/>
      <c r="O14" s="81"/>
      <c r="P14" s="283"/>
      <c r="Q14" s="83">
        <f>+E14*(1+4%)</f>
        <v>-3650970.1734091532</v>
      </c>
      <c r="R14" s="81"/>
      <c r="S14" s="81"/>
      <c r="T14" s="81"/>
      <c r="U14" s="81"/>
      <c r="V14" s="81"/>
      <c r="W14" s="81"/>
      <c r="X14" s="81"/>
      <c r="Y14" s="81"/>
      <c r="Z14" s="81"/>
      <c r="AA14" s="81"/>
      <c r="AB14" s="81"/>
      <c r="AC14" s="83">
        <f>+Q14*(1+4%)</f>
        <v>-3797008.9803455197</v>
      </c>
      <c r="AD14" s="81"/>
      <c r="AE14" s="81"/>
      <c r="AF14" s="81"/>
      <c r="AG14" s="81"/>
      <c r="AH14" s="81"/>
      <c r="AI14" s="81"/>
      <c r="AJ14" s="81"/>
      <c r="AK14" s="81"/>
      <c r="AL14" s="81"/>
      <c r="AM14" s="81"/>
      <c r="AN14" s="81"/>
    </row>
    <row r="15" spans="1:40">
      <c r="A15" s="88">
        <v>2023</v>
      </c>
      <c r="B15" s="120">
        <v>48384380</v>
      </c>
      <c r="C15" s="121" t="s">
        <v>8297</v>
      </c>
      <c r="D15" s="122" t="s">
        <v>8303</v>
      </c>
      <c r="E15" s="83">
        <v>667456.40436189587</v>
      </c>
      <c r="F15" s="83">
        <v>667456.40436189587</v>
      </c>
      <c r="G15" s="83">
        <f>+F15</f>
        <v>667456.40436189587</v>
      </c>
      <c r="H15" s="83">
        <f t="shared" ref="H15:P15" si="11">+G15</f>
        <v>667456.40436189587</v>
      </c>
      <c r="I15" s="83">
        <f t="shared" si="11"/>
        <v>667456.40436189587</v>
      </c>
      <c r="J15" s="83">
        <f t="shared" si="11"/>
        <v>667456.40436189587</v>
      </c>
      <c r="K15" s="83">
        <f t="shared" si="11"/>
        <v>667456.40436189587</v>
      </c>
      <c r="L15" s="83">
        <f t="shared" si="11"/>
        <v>667456.40436189587</v>
      </c>
      <c r="M15" s="83">
        <f t="shared" si="11"/>
        <v>667456.40436189587</v>
      </c>
      <c r="N15" s="83">
        <f t="shared" si="11"/>
        <v>667456.40436189587</v>
      </c>
      <c r="O15" s="83">
        <f t="shared" si="11"/>
        <v>667456.40436189587</v>
      </c>
      <c r="P15" s="83">
        <f t="shared" si="11"/>
        <v>667456.40436189587</v>
      </c>
      <c r="Q15" s="83">
        <f>+P15*(1+$F$1)</f>
        <v>720852.91671084764</v>
      </c>
      <c r="R15" s="83">
        <f>+Q15</f>
        <v>720852.91671084764</v>
      </c>
      <c r="S15" s="83">
        <f>+R15</f>
        <v>720852.91671084764</v>
      </c>
      <c r="T15" s="83">
        <f t="shared" ref="T15:AB15" si="12">+S15</f>
        <v>720852.91671084764</v>
      </c>
      <c r="U15" s="83">
        <f t="shared" si="12"/>
        <v>720852.91671084764</v>
      </c>
      <c r="V15" s="83">
        <f t="shared" si="12"/>
        <v>720852.91671084764</v>
      </c>
      <c r="W15" s="83">
        <f t="shared" si="12"/>
        <v>720852.91671084764</v>
      </c>
      <c r="X15" s="83">
        <f t="shared" si="12"/>
        <v>720852.91671084764</v>
      </c>
      <c r="Y15" s="83">
        <f t="shared" si="12"/>
        <v>720852.91671084764</v>
      </c>
      <c r="Z15" s="83">
        <f t="shared" si="12"/>
        <v>720852.91671084764</v>
      </c>
      <c r="AA15" s="83">
        <f t="shared" si="12"/>
        <v>720852.91671084764</v>
      </c>
      <c r="AB15" s="83">
        <f t="shared" si="12"/>
        <v>720852.91671084764</v>
      </c>
      <c r="AC15" s="83">
        <f>+AB15*(1+$F$1)</f>
        <v>778521.15004771552</v>
      </c>
      <c r="AD15" s="83">
        <f>+AC15</f>
        <v>778521.15004771552</v>
      </c>
      <c r="AE15" s="83">
        <f>+AD15</f>
        <v>778521.15004771552</v>
      </c>
      <c r="AF15" s="83">
        <f t="shared" ref="AF15:AN15" si="13">+AE15</f>
        <v>778521.15004771552</v>
      </c>
      <c r="AG15" s="83">
        <f t="shared" si="13"/>
        <v>778521.15004771552</v>
      </c>
      <c r="AH15" s="83">
        <f t="shared" si="13"/>
        <v>778521.15004771552</v>
      </c>
      <c r="AI15" s="83">
        <f t="shared" si="13"/>
        <v>778521.15004771552</v>
      </c>
      <c r="AJ15" s="83">
        <f t="shared" si="13"/>
        <v>778521.15004771552</v>
      </c>
      <c r="AK15" s="83">
        <f t="shared" si="13"/>
        <v>778521.15004771552</v>
      </c>
      <c r="AL15" s="83">
        <f t="shared" si="13"/>
        <v>778521.15004771552</v>
      </c>
      <c r="AM15" s="83">
        <f t="shared" si="13"/>
        <v>778521.15004771552</v>
      </c>
      <c r="AN15" s="83">
        <f t="shared" si="13"/>
        <v>778521.15004771552</v>
      </c>
    </row>
    <row r="16" spans="1:40">
      <c r="A16" s="81"/>
      <c r="B16" s="123"/>
      <c r="C16" s="123"/>
      <c r="D16" s="125" t="s">
        <v>8303</v>
      </c>
      <c r="E16" s="81"/>
      <c r="F16" s="83">
        <v>-1249411.5843918761</v>
      </c>
      <c r="G16" s="81"/>
      <c r="H16" s="81"/>
      <c r="I16" s="81"/>
      <c r="J16" s="81"/>
      <c r="K16" s="81"/>
      <c r="L16" s="81"/>
      <c r="M16" s="81"/>
      <c r="N16" s="81"/>
      <c r="O16" s="81"/>
      <c r="P16" s="283"/>
      <c r="Q16" s="81"/>
      <c r="R16" s="83">
        <v>-1249411.5843918761</v>
      </c>
      <c r="S16" s="81"/>
      <c r="T16" s="81"/>
      <c r="U16" s="81"/>
      <c r="V16" s="81"/>
      <c r="W16" s="81"/>
      <c r="X16" s="81"/>
      <c r="Y16" s="81"/>
      <c r="Z16" s="81"/>
      <c r="AA16" s="81"/>
      <c r="AB16" s="81"/>
      <c r="AC16" s="81"/>
      <c r="AD16" s="83">
        <v>-1249411.5843918761</v>
      </c>
      <c r="AE16" s="81"/>
      <c r="AF16" s="81"/>
      <c r="AG16" s="81"/>
      <c r="AH16" s="81"/>
      <c r="AI16" s="81"/>
      <c r="AJ16" s="81"/>
      <c r="AK16" s="81"/>
      <c r="AL16" s="81"/>
      <c r="AM16" s="81"/>
      <c r="AN16" s="81"/>
    </row>
    <row r="17" spans="1:40">
      <c r="A17" s="88">
        <v>2023</v>
      </c>
      <c r="B17" s="120">
        <v>203918396</v>
      </c>
      <c r="C17" s="121" t="s">
        <v>8297</v>
      </c>
      <c r="D17" s="122" t="s">
        <v>8304</v>
      </c>
      <c r="E17" s="83">
        <v>1808102.5</v>
      </c>
      <c r="F17" s="83">
        <v>1808102.5</v>
      </c>
      <c r="G17" s="83">
        <v>1808102.5</v>
      </c>
      <c r="H17" s="83">
        <v>1808102.5</v>
      </c>
      <c r="I17" s="83">
        <v>1808102.5</v>
      </c>
      <c r="J17" s="83">
        <v>1921126.987275</v>
      </c>
      <c r="K17" s="83">
        <v>1921126.987275</v>
      </c>
      <c r="L17" s="83">
        <v>1921126.987275</v>
      </c>
      <c r="M17" s="83">
        <v>1921126.987275</v>
      </c>
      <c r="N17" s="83">
        <v>1921126.987275</v>
      </c>
      <c r="O17" s="83">
        <v>1921126.987275</v>
      </c>
      <c r="P17" s="85">
        <v>1921126.987275</v>
      </c>
      <c r="Q17" s="83">
        <f>+P17*(1+$F$1)</f>
        <v>2074817.146257</v>
      </c>
      <c r="R17" s="83">
        <f>+Q17</f>
        <v>2074817.146257</v>
      </c>
      <c r="S17" s="83">
        <f t="shared" ref="S17:AB17" si="14">+R17</f>
        <v>2074817.146257</v>
      </c>
      <c r="T17" s="83">
        <f t="shared" si="14"/>
        <v>2074817.146257</v>
      </c>
      <c r="U17" s="83">
        <f t="shared" si="14"/>
        <v>2074817.146257</v>
      </c>
      <c r="V17" s="83">
        <f t="shared" si="14"/>
        <v>2074817.146257</v>
      </c>
      <c r="W17" s="83">
        <f t="shared" si="14"/>
        <v>2074817.146257</v>
      </c>
      <c r="X17" s="83">
        <f t="shared" si="14"/>
        <v>2074817.146257</v>
      </c>
      <c r="Y17" s="83">
        <f t="shared" si="14"/>
        <v>2074817.146257</v>
      </c>
      <c r="Z17" s="83">
        <f t="shared" si="14"/>
        <v>2074817.146257</v>
      </c>
      <c r="AA17" s="83">
        <f t="shared" si="14"/>
        <v>2074817.146257</v>
      </c>
      <c r="AB17" s="83">
        <f t="shared" si="14"/>
        <v>2074817.146257</v>
      </c>
      <c r="AC17" s="83">
        <f>+AB17*(1+$F$1)</f>
        <v>2240802.5179575603</v>
      </c>
      <c r="AD17" s="83">
        <f>+AC17</f>
        <v>2240802.5179575603</v>
      </c>
      <c r="AE17" s="83">
        <f t="shared" ref="AE17:AN17" si="15">+AD17</f>
        <v>2240802.5179575603</v>
      </c>
      <c r="AF17" s="83">
        <f t="shared" si="15"/>
        <v>2240802.5179575603</v>
      </c>
      <c r="AG17" s="83">
        <f t="shared" si="15"/>
        <v>2240802.5179575603</v>
      </c>
      <c r="AH17" s="83">
        <f t="shared" si="15"/>
        <v>2240802.5179575603</v>
      </c>
      <c r="AI17" s="83">
        <f t="shared" si="15"/>
        <v>2240802.5179575603</v>
      </c>
      <c r="AJ17" s="83">
        <f t="shared" si="15"/>
        <v>2240802.5179575603</v>
      </c>
      <c r="AK17" s="83">
        <f t="shared" si="15"/>
        <v>2240802.5179575603</v>
      </c>
      <c r="AL17" s="83">
        <f t="shared" si="15"/>
        <v>2240802.5179575603</v>
      </c>
      <c r="AM17" s="83">
        <f t="shared" si="15"/>
        <v>2240802.5179575603</v>
      </c>
      <c r="AN17" s="83">
        <f t="shared" si="15"/>
        <v>2240802.5179575603</v>
      </c>
    </row>
    <row r="18" spans="1:40">
      <c r="A18" s="81"/>
      <c r="B18" s="123"/>
      <c r="C18" s="123"/>
      <c r="D18" s="122" t="s">
        <v>8304</v>
      </c>
      <c r="E18" s="83"/>
      <c r="F18" s="83"/>
      <c r="G18" s="83">
        <v>-2260805.6187019325</v>
      </c>
      <c r="H18" s="83"/>
      <c r="I18" s="83"/>
      <c r="J18" s="83"/>
      <c r="K18" s="83"/>
      <c r="L18" s="83"/>
      <c r="M18" s="83"/>
      <c r="N18" s="83"/>
      <c r="O18" s="83"/>
      <c r="P18" s="85"/>
      <c r="Q18" s="81"/>
      <c r="R18" s="81"/>
      <c r="S18" s="83">
        <f>+G18*(1+$F$2)</f>
        <v>-2351237.8434500098</v>
      </c>
      <c r="T18" s="81"/>
      <c r="U18" s="81"/>
      <c r="V18" s="81"/>
      <c r="W18" s="81"/>
      <c r="X18" s="81"/>
      <c r="Y18" s="81"/>
      <c r="Z18" s="81"/>
      <c r="AA18" s="81"/>
      <c r="AB18" s="81"/>
      <c r="AC18" s="81"/>
      <c r="AD18" s="81"/>
      <c r="AE18" s="83">
        <f>+S18*(1+$F$2)</f>
        <v>-2445287.3571880101</v>
      </c>
      <c r="AF18" s="81"/>
      <c r="AG18" s="81"/>
      <c r="AH18" s="81"/>
      <c r="AI18" s="81"/>
      <c r="AJ18" s="81"/>
      <c r="AK18" s="81"/>
      <c r="AL18" s="81"/>
      <c r="AM18" s="81"/>
      <c r="AN18" s="81"/>
    </row>
    <row r="19" spans="1:40">
      <c r="A19" s="88">
        <v>2023</v>
      </c>
      <c r="B19" s="120">
        <v>220143874</v>
      </c>
      <c r="C19" s="121" t="s">
        <v>8297</v>
      </c>
      <c r="D19" s="122" t="s">
        <v>8305</v>
      </c>
      <c r="E19" s="83">
        <v>1841035.5511441668</v>
      </c>
      <c r="F19" s="83">
        <v>1841035.5511441668</v>
      </c>
      <c r="G19" s="83">
        <v>1841035.5511441668</v>
      </c>
      <c r="H19" s="83">
        <v>1841035.5511441668</v>
      </c>
      <c r="I19" s="83">
        <v>1841035.5511441668</v>
      </c>
      <c r="J19" s="83">
        <v>1956118.6834461887</v>
      </c>
      <c r="K19" s="83">
        <v>1956118.6834461887</v>
      </c>
      <c r="L19" s="83">
        <v>2208316.1752018095</v>
      </c>
      <c r="M19" s="83">
        <v>2208316.1752018095</v>
      </c>
      <c r="N19" s="83">
        <v>2493028.8591009723</v>
      </c>
      <c r="O19" s="83">
        <v>2493028.8591009723</v>
      </c>
      <c r="P19" s="85">
        <v>2814448.8375820159</v>
      </c>
      <c r="Q19" s="83">
        <f>+P19*(1+$F$1)</f>
        <v>3039604.7445885772</v>
      </c>
      <c r="R19" s="83">
        <f>+Q19</f>
        <v>3039604.7445885772</v>
      </c>
      <c r="S19" s="83">
        <f t="shared" ref="S19:AB19" si="16">+R19</f>
        <v>3039604.7445885772</v>
      </c>
      <c r="T19" s="83">
        <f t="shared" si="16"/>
        <v>3039604.7445885772</v>
      </c>
      <c r="U19" s="83">
        <f t="shared" si="16"/>
        <v>3039604.7445885772</v>
      </c>
      <c r="V19" s="83">
        <f t="shared" si="16"/>
        <v>3039604.7445885772</v>
      </c>
      <c r="W19" s="83">
        <f t="shared" si="16"/>
        <v>3039604.7445885772</v>
      </c>
      <c r="X19" s="83">
        <f t="shared" si="16"/>
        <v>3039604.7445885772</v>
      </c>
      <c r="Y19" s="83">
        <f t="shared" si="16"/>
        <v>3039604.7445885772</v>
      </c>
      <c r="Z19" s="83">
        <f t="shared" si="16"/>
        <v>3039604.7445885772</v>
      </c>
      <c r="AA19" s="83">
        <f t="shared" si="16"/>
        <v>3039604.7445885772</v>
      </c>
      <c r="AB19" s="83">
        <f t="shared" si="16"/>
        <v>3039604.7445885772</v>
      </c>
      <c r="AC19" s="83">
        <f>+AB19*(1+$F$1)</f>
        <v>3282773.1241556634</v>
      </c>
      <c r="AD19" s="83">
        <f>+AC19</f>
        <v>3282773.1241556634</v>
      </c>
      <c r="AE19" s="83">
        <f t="shared" ref="AE19:AN19" si="17">+AD19</f>
        <v>3282773.1241556634</v>
      </c>
      <c r="AF19" s="83">
        <f t="shared" si="17"/>
        <v>3282773.1241556634</v>
      </c>
      <c r="AG19" s="83">
        <f t="shared" si="17"/>
        <v>3282773.1241556634</v>
      </c>
      <c r="AH19" s="83">
        <f t="shared" si="17"/>
        <v>3282773.1241556634</v>
      </c>
      <c r="AI19" s="83">
        <f t="shared" si="17"/>
        <v>3282773.1241556634</v>
      </c>
      <c r="AJ19" s="83">
        <f t="shared" si="17"/>
        <v>3282773.1241556634</v>
      </c>
      <c r="AK19" s="83">
        <f t="shared" si="17"/>
        <v>3282773.1241556634</v>
      </c>
      <c r="AL19" s="83">
        <f t="shared" si="17"/>
        <v>3282773.1241556634</v>
      </c>
      <c r="AM19" s="83">
        <f t="shared" si="17"/>
        <v>3282773.1241556634</v>
      </c>
      <c r="AN19" s="83">
        <f t="shared" si="17"/>
        <v>3282773.1241556634</v>
      </c>
    </row>
    <row r="20" spans="1:40">
      <c r="A20" s="81"/>
      <c r="B20" s="123"/>
      <c r="C20" s="123"/>
      <c r="D20" s="122" t="s">
        <v>8305</v>
      </c>
      <c r="E20" s="81"/>
      <c r="F20" s="81"/>
      <c r="G20" s="83">
        <v>-2057175.8778584108</v>
      </c>
      <c r="H20" s="81"/>
      <c r="I20" s="81"/>
      <c r="J20" s="81"/>
      <c r="K20" s="81"/>
      <c r="L20" s="81"/>
      <c r="M20" s="81"/>
      <c r="N20" s="81"/>
      <c r="O20" s="81"/>
      <c r="P20" s="283"/>
      <c r="Q20" s="81"/>
      <c r="R20" s="81"/>
      <c r="S20" s="83">
        <f>-2057175.87785841*(1+F2)</f>
        <v>-2139462.9129727464</v>
      </c>
      <c r="T20" s="81"/>
      <c r="U20" s="81"/>
      <c r="V20" s="81"/>
      <c r="W20" s="81"/>
      <c r="X20" s="81"/>
      <c r="Y20" s="81"/>
      <c r="Z20" s="81"/>
      <c r="AA20" s="81"/>
      <c r="AB20" s="81"/>
      <c r="AC20" s="81"/>
      <c r="AD20" s="81"/>
      <c r="AE20" s="83">
        <f>-2057175.87785841*(1+R2)</f>
        <v>-2057175.8778584099</v>
      </c>
      <c r="AF20" s="81"/>
      <c r="AG20" s="81"/>
      <c r="AH20" s="81"/>
      <c r="AI20" s="81"/>
      <c r="AJ20" s="81"/>
      <c r="AK20" s="81"/>
      <c r="AL20" s="81"/>
      <c r="AM20" s="81"/>
      <c r="AN20" s="81"/>
    </row>
    <row r="21" spans="1:40">
      <c r="A21" s="88">
        <v>2022</v>
      </c>
      <c r="B21" s="120">
        <v>63244600</v>
      </c>
      <c r="C21" s="121" t="s">
        <v>8297</v>
      </c>
      <c r="D21" s="122" t="s">
        <v>5248</v>
      </c>
      <c r="E21" s="83">
        <v>1260884.2558666668</v>
      </c>
      <c r="F21" s="83">
        <v>1260884.2558666668</v>
      </c>
      <c r="G21" s="83">
        <v>1260884.2558666668</v>
      </c>
      <c r="H21" s="83">
        <v>1260884.2558666668</v>
      </c>
      <c r="I21" s="83">
        <v>1260884.2558666668</v>
      </c>
      <c r="J21" s="83">
        <v>1260884.2558666668</v>
      </c>
      <c r="K21" s="83">
        <v>1302140.3887186241</v>
      </c>
      <c r="L21" s="83">
        <v>1302140.3887186241</v>
      </c>
      <c r="M21" s="83">
        <v>1302140.3887186241</v>
      </c>
      <c r="N21" s="83">
        <v>1302140.3887186241</v>
      </c>
      <c r="O21" s="83">
        <v>1302140.3887186241</v>
      </c>
      <c r="P21" s="85">
        <v>1302140.3887186241</v>
      </c>
      <c r="Q21" s="83">
        <f>+P21*(1+$F$1)</f>
        <v>1406311.6198161142</v>
      </c>
      <c r="R21" s="83">
        <f>+Q21</f>
        <v>1406311.6198161142</v>
      </c>
      <c r="S21" s="83">
        <f t="shared" ref="S21:AB21" si="18">+R21</f>
        <v>1406311.6198161142</v>
      </c>
      <c r="T21" s="83">
        <f t="shared" si="18"/>
        <v>1406311.6198161142</v>
      </c>
      <c r="U21" s="83">
        <f t="shared" si="18"/>
        <v>1406311.6198161142</v>
      </c>
      <c r="V21" s="83">
        <f t="shared" si="18"/>
        <v>1406311.6198161142</v>
      </c>
      <c r="W21" s="83">
        <f t="shared" si="18"/>
        <v>1406311.6198161142</v>
      </c>
      <c r="X21" s="83">
        <f t="shared" si="18"/>
        <v>1406311.6198161142</v>
      </c>
      <c r="Y21" s="83">
        <f t="shared" si="18"/>
        <v>1406311.6198161142</v>
      </c>
      <c r="Z21" s="83">
        <f t="shared" si="18"/>
        <v>1406311.6198161142</v>
      </c>
      <c r="AA21" s="83">
        <f t="shared" si="18"/>
        <v>1406311.6198161142</v>
      </c>
      <c r="AB21" s="83">
        <f t="shared" si="18"/>
        <v>1406311.6198161142</v>
      </c>
      <c r="AC21" s="83">
        <f>+AB21*(1+$F$1)</f>
        <v>1518816.5494014034</v>
      </c>
      <c r="AD21" s="83">
        <f>+AC21</f>
        <v>1518816.5494014034</v>
      </c>
      <c r="AE21" s="83">
        <f t="shared" ref="AE21:AN21" si="19">+AD21</f>
        <v>1518816.5494014034</v>
      </c>
      <c r="AF21" s="83">
        <f t="shared" si="19"/>
        <v>1518816.5494014034</v>
      </c>
      <c r="AG21" s="83">
        <f t="shared" si="19"/>
        <v>1518816.5494014034</v>
      </c>
      <c r="AH21" s="83">
        <f t="shared" si="19"/>
        <v>1518816.5494014034</v>
      </c>
      <c r="AI21" s="83">
        <f t="shared" si="19"/>
        <v>1518816.5494014034</v>
      </c>
      <c r="AJ21" s="83">
        <f t="shared" si="19"/>
        <v>1518816.5494014034</v>
      </c>
      <c r="AK21" s="83">
        <f t="shared" si="19"/>
        <v>1518816.5494014034</v>
      </c>
      <c r="AL21" s="83">
        <f t="shared" si="19"/>
        <v>1518816.5494014034</v>
      </c>
      <c r="AM21" s="83">
        <f t="shared" si="19"/>
        <v>1518816.5494014034</v>
      </c>
      <c r="AN21" s="83">
        <f t="shared" si="19"/>
        <v>1518816.5494014034</v>
      </c>
    </row>
    <row r="22" spans="1:40">
      <c r="A22" s="81"/>
      <c r="B22" s="123"/>
      <c r="C22" s="123"/>
      <c r="D22" s="122" t="s">
        <v>5248</v>
      </c>
      <c r="E22" s="81"/>
      <c r="F22" s="81"/>
      <c r="G22" s="81"/>
      <c r="H22" s="83">
        <v>-1270980.7159520478</v>
      </c>
      <c r="I22" s="81"/>
      <c r="J22" s="81"/>
      <c r="K22" s="81"/>
      <c r="L22" s="81"/>
      <c r="M22" s="81"/>
      <c r="N22" s="81"/>
      <c r="O22" s="81"/>
      <c r="P22" s="283"/>
      <c r="Q22" s="81"/>
      <c r="R22" s="81"/>
      <c r="S22" s="81"/>
      <c r="T22" s="83">
        <f>-1270980.71595205*(1+4%)</f>
        <v>-1321819.944590132</v>
      </c>
      <c r="U22" s="81"/>
      <c r="V22" s="81"/>
      <c r="W22" s="81"/>
      <c r="X22" s="81"/>
      <c r="Y22" s="81"/>
      <c r="Z22" s="81"/>
      <c r="AA22" s="81"/>
      <c r="AB22" s="81"/>
      <c r="AC22" s="81"/>
      <c r="AD22" s="81"/>
      <c r="AE22" s="81"/>
      <c r="AF22" s="83">
        <f>-1270980.71595205*(1+4%)</f>
        <v>-1321819.944590132</v>
      </c>
      <c r="AG22" s="81"/>
      <c r="AH22" s="81"/>
      <c r="AI22" s="81"/>
      <c r="AJ22" s="81"/>
      <c r="AK22" s="81"/>
      <c r="AL22" s="81"/>
      <c r="AM22" s="81"/>
      <c r="AN22" s="81"/>
    </row>
    <row r="23" spans="1:40">
      <c r="A23" s="88">
        <v>2022</v>
      </c>
      <c r="B23" s="120">
        <v>107086310</v>
      </c>
      <c r="C23" s="121" t="s">
        <v>8297</v>
      </c>
      <c r="D23" s="122" t="s">
        <v>8306</v>
      </c>
      <c r="E23" s="83">
        <v>2043041.0108625002</v>
      </c>
      <c r="F23" s="83">
        <v>2043041.0108625002</v>
      </c>
      <c r="G23" s="83">
        <v>2043041.0108624999</v>
      </c>
      <c r="H23" s="83">
        <v>2043041.0108624999</v>
      </c>
      <c r="I23" s="83">
        <v>2043041.0108624999</v>
      </c>
      <c r="J23" s="83">
        <v>2043041.0108624999</v>
      </c>
      <c r="K23" s="83">
        <v>2109889.3127379213</v>
      </c>
      <c r="L23" s="83">
        <v>2109889.3127379213</v>
      </c>
      <c r="M23" s="83">
        <v>2250219.3134858855</v>
      </c>
      <c r="N23" s="83">
        <v>2250219.3134858855</v>
      </c>
      <c r="O23" s="83">
        <v>2250219.3134858855</v>
      </c>
      <c r="P23" s="85">
        <v>2250219.3134858855</v>
      </c>
      <c r="Q23" s="83">
        <f>+P23*(1+$F$2)</f>
        <v>2340228.0860253209</v>
      </c>
      <c r="R23" s="83">
        <f>+Q23</f>
        <v>2340228.0860253209</v>
      </c>
      <c r="S23" s="83">
        <f t="shared" ref="S23:AB25" si="20">+R23</f>
        <v>2340228.0860253209</v>
      </c>
      <c r="T23" s="83">
        <f t="shared" si="20"/>
        <v>2340228.0860253209</v>
      </c>
      <c r="U23" s="83">
        <f t="shared" si="20"/>
        <v>2340228.0860253209</v>
      </c>
      <c r="V23" s="83">
        <f t="shared" si="20"/>
        <v>2340228.0860253209</v>
      </c>
      <c r="W23" s="83">
        <f t="shared" si="20"/>
        <v>2340228.0860253209</v>
      </c>
      <c r="X23" s="83">
        <f t="shared" si="20"/>
        <v>2340228.0860253209</v>
      </c>
      <c r="Y23" s="83">
        <f t="shared" si="20"/>
        <v>2340228.0860253209</v>
      </c>
      <c r="Z23" s="83">
        <f t="shared" si="20"/>
        <v>2340228.0860253209</v>
      </c>
      <c r="AA23" s="83">
        <f t="shared" si="20"/>
        <v>2340228.0860253209</v>
      </c>
      <c r="AB23" s="83">
        <f t="shared" si="20"/>
        <v>2340228.0860253209</v>
      </c>
      <c r="AC23" s="83">
        <f>+AB23*(1+$F$2)</f>
        <v>2433837.209466334</v>
      </c>
      <c r="AD23" s="83">
        <f>+AC23</f>
        <v>2433837.209466334</v>
      </c>
      <c r="AE23" s="83">
        <f t="shared" ref="AE23:AN23" si="21">+AD23</f>
        <v>2433837.209466334</v>
      </c>
      <c r="AF23" s="83">
        <f t="shared" si="21"/>
        <v>2433837.209466334</v>
      </c>
      <c r="AG23" s="83">
        <f t="shared" si="21"/>
        <v>2433837.209466334</v>
      </c>
      <c r="AH23" s="83">
        <f t="shared" si="21"/>
        <v>2433837.209466334</v>
      </c>
      <c r="AI23" s="83">
        <f t="shared" si="21"/>
        <v>2433837.209466334</v>
      </c>
      <c r="AJ23" s="83">
        <f t="shared" si="21"/>
        <v>2433837.209466334</v>
      </c>
      <c r="AK23" s="83">
        <f t="shared" si="21"/>
        <v>2433837.209466334</v>
      </c>
      <c r="AL23" s="83">
        <f t="shared" si="21"/>
        <v>2433837.209466334</v>
      </c>
      <c r="AM23" s="83">
        <f t="shared" si="21"/>
        <v>2433837.209466334</v>
      </c>
      <c r="AN23" s="83">
        <f t="shared" si="21"/>
        <v>2433837.209466334</v>
      </c>
    </row>
    <row r="24" spans="1:40">
      <c r="A24" s="81"/>
      <c r="B24" s="123"/>
      <c r="C24" s="123"/>
      <c r="D24" s="122" t="s">
        <v>8306</v>
      </c>
      <c r="E24" s="81"/>
      <c r="F24" s="81"/>
      <c r="G24" s="81"/>
      <c r="H24" s="83">
        <v>-1343933.2028315878</v>
      </c>
      <c r="I24" s="81"/>
      <c r="J24" s="81"/>
      <c r="K24" s="81"/>
      <c r="L24" s="81"/>
      <c r="M24" s="81"/>
      <c r="N24" s="81"/>
      <c r="O24" s="81"/>
      <c r="P24" s="283"/>
      <c r="Q24" s="81"/>
      <c r="R24" s="81"/>
      <c r="S24" s="81"/>
      <c r="T24" s="83">
        <f>+H24*(1+4%)</f>
        <v>-1397690.5309448512</v>
      </c>
      <c r="U24" s="81"/>
      <c r="V24" s="81"/>
      <c r="W24" s="81"/>
      <c r="X24" s="81"/>
      <c r="Y24" s="81"/>
      <c r="Z24" s="81"/>
      <c r="AA24" s="81"/>
      <c r="AB24" s="81"/>
      <c r="AC24" s="81"/>
      <c r="AD24" s="81"/>
      <c r="AE24" s="81"/>
      <c r="AF24" s="83">
        <f>+T24*(1+4%)</f>
        <v>-1453598.1521826454</v>
      </c>
      <c r="AG24" s="81"/>
      <c r="AH24" s="81"/>
      <c r="AI24" s="81"/>
      <c r="AJ24" s="81"/>
      <c r="AK24" s="81"/>
      <c r="AL24" s="81"/>
      <c r="AM24" s="81"/>
      <c r="AN24" s="81"/>
    </row>
    <row r="25" spans="1:40">
      <c r="A25" s="88">
        <v>2023</v>
      </c>
      <c r="B25" s="120">
        <v>380430358</v>
      </c>
      <c r="C25" s="121" t="s">
        <v>8297</v>
      </c>
      <c r="D25" s="122" t="s">
        <v>777</v>
      </c>
      <c r="E25" s="83">
        <v>4380455.0333333341</v>
      </c>
      <c r="F25" s="83">
        <v>4380455.0333333341</v>
      </c>
      <c r="G25" s="83">
        <v>4380455.0333333341</v>
      </c>
      <c r="H25" s="83">
        <v>4380455.0333333341</v>
      </c>
      <c r="I25" s="83">
        <v>4380455.0333333341</v>
      </c>
      <c r="J25" s="83">
        <v>4380455.0333333341</v>
      </c>
      <c r="K25" s="83">
        <v>4380455.0333333341</v>
      </c>
      <c r="L25" s="83">
        <v>4380455.0333333341</v>
      </c>
      <c r="M25" s="83">
        <v>4523783.522024001</v>
      </c>
      <c r="N25" s="83">
        <v>4523783.522024001</v>
      </c>
      <c r="O25" s="83">
        <v>4523783.522024001</v>
      </c>
      <c r="P25" s="85">
        <v>4523783.522024001</v>
      </c>
      <c r="Q25" s="83">
        <f>+P25*(1+$F$2)</f>
        <v>4704734.8629049612</v>
      </c>
      <c r="R25" s="83">
        <f>+Q25</f>
        <v>4704734.8629049612</v>
      </c>
      <c r="S25" s="83">
        <f t="shared" si="20"/>
        <v>4704734.8629049612</v>
      </c>
      <c r="T25" s="83">
        <f t="shared" si="20"/>
        <v>4704734.8629049612</v>
      </c>
      <c r="U25" s="83">
        <f t="shared" si="20"/>
        <v>4704734.8629049612</v>
      </c>
      <c r="V25" s="83">
        <f t="shared" si="20"/>
        <v>4704734.8629049612</v>
      </c>
      <c r="W25" s="83">
        <f t="shared" si="20"/>
        <v>4704734.8629049612</v>
      </c>
      <c r="X25" s="83">
        <f t="shared" si="20"/>
        <v>4704734.8629049612</v>
      </c>
      <c r="Y25" s="83">
        <f t="shared" si="20"/>
        <v>4704734.8629049612</v>
      </c>
      <c r="Z25" s="83">
        <f t="shared" si="20"/>
        <v>4704734.8629049612</v>
      </c>
      <c r="AA25" s="83">
        <f t="shared" si="20"/>
        <v>4704734.8629049612</v>
      </c>
      <c r="AB25" s="83">
        <f t="shared" si="20"/>
        <v>4704734.8629049612</v>
      </c>
      <c r="AC25" s="83">
        <f>+AB25*(1+$F$2)</f>
        <v>4892924.2574211601</v>
      </c>
      <c r="AD25" s="83">
        <f>+AC25</f>
        <v>4892924.2574211601</v>
      </c>
      <c r="AE25" s="83">
        <f t="shared" ref="AE25:AN25" si="22">+AD25</f>
        <v>4892924.2574211601</v>
      </c>
      <c r="AF25" s="83">
        <f t="shared" si="22"/>
        <v>4892924.2574211601</v>
      </c>
      <c r="AG25" s="83">
        <f t="shared" si="22"/>
        <v>4892924.2574211601</v>
      </c>
      <c r="AH25" s="83">
        <f t="shared" si="22"/>
        <v>4892924.2574211601</v>
      </c>
      <c r="AI25" s="83">
        <f t="shared" si="22"/>
        <v>4892924.2574211601</v>
      </c>
      <c r="AJ25" s="83">
        <f t="shared" si="22"/>
        <v>4892924.2574211601</v>
      </c>
      <c r="AK25" s="83">
        <f t="shared" si="22"/>
        <v>4892924.2574211601</v>
      </c>
      <c r="AL25" s="83">
        <f t="shared" si="22"/>
        <v>4892924.2574211601</v>
      </c>
      <c r="AM25" s="83">
        <f t="shared" si="22"/>
        <v>4892924.2574211601</v>
      </c>
      <c r="AN25" s="83">
        <f t="shared" si="22"/>
        <v>4892924.2574211601</v>
      </c>
    </row>
    <row r="26" spans="1:40">
      <c r="A26" s="81"/>
      <c r="B26" s="123"/>
      <c r="C26" s="123"/>
      <c r="D26" s="122" t="s">
        <v>777</v>
      </c>
      <c r="E26" s="81"/>
      <c r="F26" s="81"/>
      <c r="G26" s="81"/>
      <c r="H26" s="83"/>
      <c r="I26" s="83">
        <v>-4608607.16</v>
      </c>
      <c r="J26" s="81"/>
      <c r="K26" s="81"/>
      <c r="L26" s="81"/>
      <c r="M26" s="81"/>
      <c r="N26" s="81"/>
      <c r="O26" s="81"/>
      <c r="P26" s="283"/>
      <c r="Q26" s="81"/>
      <c r="R26" s="81"/>
      <c r="S26" s="81"/>
      <c r="T26" s="81"/>
      <c r="U26" s="83">
        <f>-4608607.16*(1+4%)</f>
        <v>-4792951.4464000007</v>
      </c>
      <c r="V26" s="81"/>
      <c r="W26" s="81"/>
      <c r="X26" s="81"/>
      <c r="Y26" s="81"/>
      <c r="Z26" s="81"/>
      <c r="AA26" s="81"/>
      <c r="AB26" s="81"/>
      <c r="AC26" s="81"/>
      <c r="AD26" s="81"/>
      <c r="AE26" s="81"/>
      <c r="AF26" s="81"/>
      <c r="AG26" s="83">
        <f>-4608607.16*(1+4%)</f>
        <v>-4792951.4464000007</v>
      </c>
      <c r="AH26" s="81"/>
      <c r="AI26" s="81"/>
      <c r="AJ26" s="81"/>
      <c r="AK26" s="81"/>
      <c r="AL26" s="81"/>
      <c r="AM26" s="81"/>
      <c r="AN26" s="81"/>
    </row>
    <row r="27" spans="1:40">
      <c r="A27" s="88">
        <v>2023</v>
      </c>
      <c r="B27" s="120">
        <v>751935101.17999995</v>
      </c>
      <c r="C27" s="121" t="s">
        <v>8307</v>
      </c>
      <c r="D27" s="122" t="s">
        <v>262</v>
      </c>
      <c r="E27" s="83"/>
      <c r="F27" s="83">
        <f>8124298.96666667/2</f>
        <v>4062149.4833333348</v>
      </c>
      <c r="G27" s="83">
        <v>8124298.9666666677</v>
      </c>
      <c r="H27" s="83">
        <v>8124298.9666666677</v>
      </c>
      <c r="I27" s="83">
        <v>8124298.9666666677</v>
      </c>
      <c r="J27" s="83">
        <v>8124298.9666666677</v>
      </c>
      <c r="K27" s="83">
        <v>8124298.9666666677</v>
      </c>
      <c r="L27" s="83">
        <v>8124298.9666666677</v>
      </c>
      <c r="M27" s="83">
        <v>8124298.9666666677</v>
      </c>
      <c r="N27" s="83">
        <v>8124298.9666666677</v>
      </c>
      <c r="O27" s="83">
        <v>8124298.9666666677</v>
      </c>
      <c r="P27" s="85">
        <v>8124298.9666666677</v>
      </c>
      <c r="Q27" s="83">
        <f>+P27*(1+$F$2)</f>
        <v>8449270.9253333341</v>
      </c>
      <c r="R27" s="83">
        <f>+Q27</f>
        <v>8449270.9253333341</v>
      </c>
      <c r="S27" s="83">
        <f t="shared" ref="S27:AB27" si="23">+R27</f>
        <v>8449270.9253333341</v>
      </c>
      <c r="T27" s="83">
        <f t="shared" si="23"/>
        <v>8449270.9253333341</v>
      </c>
      <c r="U27" s="83">
        <f t="shared" si="23"/>
        <v>8449270.9253333341</v>
      </c>
      <c r="V27" s="83">
        <f t="shared" si="23"/>
        <v>8449270.9253333341</v>
      </c>
      <c r="W27" s="83">
        <f t="shared" si="23"/>
        <v>8449270.9253333341</v>
      </c>
      <c r="X27" s="83">
        <f t="shared" si="23"/>
        <v>8449270.9253333341</v>
      </c>
      <c r="Y27" s="83">
        <f t="shared" si="23"/>
        <v>8449270.9253333341</v>
      </c>
      <c r="Z27" s="83">
        <f t="shared" si="23"/>
        <v>8449270.9253333341</v>
      </c>
      <c r="AA27" s="83">
        <f t="shared" si="23"/>
        <v>8449270.9253333341</v>
      </c>
      <c r="AB27" s="83">
        <f t="shared" si="23"/>
        <v>8449270.9253333341</v>
      </c>
      <c r="AC27" s="83">
        <f>+AB27*(1+$F$2)</f>
        <v>8787241.7623466682</v>
      </c>
      <c r="AD27" s="83">
        <f>+AC27</f>
        <v>8787241.7623466682</v>
      </c>
      <c r="AE27" s="83">
        <f t="shared" ref="AE27:AN27" si="24">+AD27</f>
        <v>8787241.7623466682</v>
      </c>
      <c r="AF27" s="83">
        <f t="shared" si="24"/>
        <v>8787241.7623466682</v>
      </c>
      <c r="AG27" s="83">
        <f t="shared" si="24"/>
        <v>8787241.7623466682</v>
      </c>
      <c r="AH27" s="83">
        <f t="shared" si="24"/>
        <v>8787241.7623466682</v>
      </c>
      <c r="AI27" s="83">
        <f t="shared" si="24"/>
        <v>8787241.7623466682</v>
      </c>
      <c r="AJ27" s="83">
        <f t="shared" si="24"/>
        <v>8787241.7623466682</v>
      </c>
      <c r="AK27" s="83">
        <f t="shared" si="24"/>
        <v>8787241.7623466682</v>
      </c>
      <c r="AL27" s="83">
        <f t="shared" si="24"/>
        <v>8787241.7623466682</v>
      </c>
      <c r="AM27" s="83">
        <f t="shared" si="24"/>
        <v>8787241.7623466682</v>
      </c>
      <c r="AN27" s="83">
        <f t="shared" si="24"/>
        <v>8787241.7623466682</v>
      </c>
    </row>
    <row r="28" spans="1:40">
      <c r="A28" s="81"/>
      <c r="B28" s="123"/>
      <c r="C28" s="123"/>
      <c r="D28" s="122" t="s">
        <v>262</v>
      </c>
      <c r="E28" s="81"/>
      <c r="F28" s="81"/>
      <c r="G28" s="81"/>
      <c r="H28" s="81"/>
      <c r="I28" s="83"/>
      <c r="J28" s="83">
        <v>-7519351.0118429996</v>
      </c>
      <c r="K28" s="81"/>
      <c r="L28" s="81"/>
      <c r="M28" s="81"/>
      <c r="N28" s="81"/>
      <c r="O28" s="81"/>
      <c r="P28" s="283"/>
      <c r="Q28" s="81"/>
      <c r="R28" s="81"/>
      <c r="S28" s="81"/>
      <c r="T28" s="81"/>
      <c r="V28" s="83">
        <f>-4608607.16*(1+4%)</f>
        <v>-4792951.4464000007</v>
      </c>
      <c r="W28" s="81"/>
      <c r="X28" s="81"/>
      <c r="Y28" s="81"/>
      <c r="Z28" s="81"/>
      <c r="AA28" s="81"/>
      <c r="AB28" s="81"/>
      <c r="AC28" s="81"/>
      <c r="AD28" s="81"/>
      <c r="AE28" s="81"/>
      <c r="AF28" s="81"/>
      <c r="AH28" s="83">
        <f>-4608607.16*(1+4%)</f>
        <v>-4792951.4464000007</v>
      </c>
      <c r="AI28" s="81"/>
      <c r="AJ28" s="81"/>
      <c r="AK28" s="81"/>
      <c r="AL28" s="81"/>
      <c r="AM28" s="81"/>
      <c r="AN28" s="81"/>
    </row>
    <row r="29" spans="1:40">
      <c r="A29" s="88">
        <v>2023</v>
      </c>
      <c r="B29" s="120">
        <v>163041582</v>
      </c>
      <c r="C29" s="121" t="s">
        <v>8308</v>
      </c>
      <c r="D29" s="122" t="s">
        <v>8309</v>
      </c>
      <c r="E29" s="83">
        <v>2590067.3749999995</v>
      </c>
      <c r="F29" s="83">
        <v>2590067.3749999995</v>
      </c>
      <c r="G29" s="83">
        <v>2590067.3749999995</v>
      </c>
      <c r="H29" s="83">
        <v>2590067.3749999995</v>
      </c>
      <c r="I29" s="83">
        <v>2590067.3749999995</v>
      </c>
      <c r="J29" s="83">
        <v>2590067.3749999995</v>
      </c>
      <c r="K29" s="83">
        <v>2590067.3749999995</v>
      </c>
      <c r="L29" s="83">
        <v>2590067.3749999995</v>
      </c>
      <c r="M29" s="83">
        <v>2590067.3749999995</v>
      </c>
      <c r="N29" s="83">
        <v>2674814.3795099999</v>
      </c>
      <c r="O29" s="83">
        <v>2674814.3795099999</v>
      </c>
      <c r="P29" s="85">
        <v>2674814.3795099999</v>
      </c>
      <c r="Q29" s="83">
        <f>+P29*(1+$F$2)</f>
        <v>2781806.9546904</v>
      </c>
      <c r="R29" s="83">
        <f>+Q29</f>
        <v>2781806.9546904</v>
      </c>
      <c r="S29" s="83">
        <f t="shared" ref="S29:AB29" si="25">+R29</f>
        <v>2781806.9546904</v>
      </c>
      <c r="T29" s="83">
        <f t="shared" si="25"/>
        <v>2781806.9546904</v>
      </c>
      <c r="U29" s="83">
        <f t="shared" si="25"/>
        <v>2781806.9546904</v>
      </c>
      <c r="V29" s="83">
        <f t="shared" si="25"/>
        <v>2781806.9546904</v>
      </c>
      <c r="W29" s="83">
        <f t="shared" si="25"/>
        <v>2781806.9546904</v>
      </c>
      <c r="X29" s="83">
        <f t="shared" si="25"/>
        <v>2781806.9546904</v>
      </c>
      <c r="Y29" s="83">
        <f t="shared" si="25"/>
        <v>2781806.9546904</v>
      </c>
      <c r="Z29" s="83">
        <f t="shared" si="25"/>
        <v>2781806.9546904</v>
      </c>
      <c r="AA29" s="83">
        <f t="shared" si="25"/>
        <v>2781806.9546904</v>
      </c>
      <c r="AB29" s="83">
        <f t="shared" si="25"/>
        <v>2781806.9546904</v>
      </c>
      <c r="AC29" s="83">
        <f>+AB29*(1+$F$2)</f>
        <v>2893079.2328780163</v>
      </c>
      <c r="AD29" s="83">
        <f>+AC29</f>
        <v>2893079.2328780163</v>
      </c>
      <c r="AE29" s="83">
        <f t="shared" ref="AE29:AN29" si="26">+AD29</f>
        <v>2893079.2328780163</v>
      </c>
      <c r="AF29" s="83">
        <f t="shared" si="26"/>
        <v>2893079.2328780163</v>
      </c>
      <c r="AG29" s="83">
        <f t="shared" si="26"/>
        <v>2893079.2328780163</v>
      </c>
      <c r="AH29" s="83">
        <f t="shared" si="26"/>
        <v>2893079.2328780163</v>
      </c>
      <c r="AI29" s="83">
        <f t="shared" si="26"/>
        <v>2893079.2328780163</v>
      </c>
      <c r="AJ29" s="83">
        <f t="shared" si="26"/>
        <v>2893079.2328780163</v>
      </c>
      <c r="AK29" s="83">
        <f t="shared" si="26"/>
        <v>2893079.2328780163</v>
      </c>
      <c r="AL29" s="83">
        <f t="shared" si="26"/>
        <v>2893079.2328780163</v>
      </c>
      <c r="AM29" s="83">
        <f t="shared" si="26"/>
        <v>2893079.2328780163</v>
      </c>
      <c r="AN29" s="83">
        <f t="shared" si="26"/>
        <v>2893079.2328780163</v>
      </c>
    </row>
    <row r="30" spans="1:40">
      <c r="A30" s="81"/>
      <c r="B30" s="123"/>
      <c r="C30" s="123"/>
      <c r="D30" s="122" t="s">
        <v>8309</v>
      </c>
      <c r="E30" s="81"/>
      <c r="F30" s="81"/>
      <c r="G30" s="81"/>
      <c r="H30" s="81"/>
      <c r="I30" s="81"/>
      <c r="J30" s="81"/>
      <c r="K30" s="83">
        <v>-3260831.64</v>
      </c>
      <c r="L30" s="81"/>
      <c r="M30" s="81"/>
      <c r="N30" s="81"/>
      <c r="O30" s="81"/>
      <c r="P30" s="283"/>
      <c r="Q30" s="81"/>
      <c r="R30" s="81"/>
      <c r="S30" s="81"/>
      <c r="T30" s="81"/>
      <c r="V30" s="83">
        <f>-4608607.16*(1+4%)</f>
        <v>-4792951.4464000007</v>
      </c>
      <c r="W30" s="81"/>
      <c r="X30" s="81"/>
      <c r="Y30" s="81"/>
      <c r="Z30" s="81"/>
      <c r="AA30" s="81"/>
      <c r="AB30" s="81"/>
      <c r="AC30" s="81"/>
      <c r="AD30" s="81"/>
      <c r="AE30" s="81"/>
      <c r="AF30" s="81"/>
      <c r="AH30" s="83">
        <f>-4608607.16*(1+4%)</f>
        <v>-4792951.4464000007</v>
      </c>
      <c r="AI30" s="81"/>
      <c r="AJ30" s="81"/>
      <c r="AK30" s="81"/>
      <c r="AL30" s="81"/>
      <c r="AM30" s="81"/>
      <c r="AN30" s="81"/>
    </row>
    <row r="31" spans="1:40">
      <c r="A31" s="88">
        <v>2023</v>
      </c>
      <c r="B31" s="120">
        <v>88345230</v>
      </c>
      <c r="C31" s="121" t="s">
        <v>8308</v>
      </c>
      <c r="D31" s="122" t="s">
        <v>8310</v>
      </c>
      <c r="E31" s="83">
        <v>997197.76333333331</v>
      </c>
      <c r="F31" s="83">
        <v>997197.76333333331</v>
      </c>
      <c r="G31" s="83">
        <v>997197.76333333331</v>
      </c>
      <c r="H31" s="83">
        <v>997197.76333333331</v>
      </c>
      <c r="I31" s="83">
        <v>997197.76333333331</v>
      </c>
      <c r="J31" s="83">
        <v>997197.76333333331</v>
      </c>
      <c r="K31" s="83">
        <v>997197.76333333331</v>
      </c>
      <c r="L31" s="83">
        <v>997197.76333333331</v>
      </c>
      <c r="M31" s="83">
        <v>1059532.5955193001</v>
      </c>
      <c r="N31" s="83">
        <v>1059532.5955193001</v>
      </c>
      <c r="O31" s="83">
        <v>1059532.5955193001</v>
      </c>
      <c r="P31" s="85">
        <v>1059532.5955193001</v>
      </c>
      <c r="Q31" s="83">
        <f>+P31*(1+$F$1)</f>
        <v>1144295.2031608443</v>
      </c>
      <c r="R31" s="83">
        <f>+Q31</f>
        <v>1144295.2031608443</v>
      </c>
      <c r="S31" s="83">
        <f t="shared" ref="S31:AB31" si="27">+R31</f>
        <v>1144295.2031608443</v>
      </c>
      <c r="T31" s="83">
        <f t="shared" si="27"/>
        <v>1144295.2031608443</v>
      </c>
      <c r="U31" s="83">
        <f t="shared" si="27"/>
        <v>1144295.2031608443</v>
      </c>
      <c r="V31" s="83">
        <f t="shared" si="27"/>
        <v>1144295.2031608443</v>
      </c>
      <c r="W31" s="83">
        <f t="shared" si="27"/>
        <v>1144295.2031608443</v>
      </c>
      <c r="X31" s="83">
        <f t="shared" si="27"/>
        <v>1144295.2031608443</v>
      </c>
      <c r="Y31" s="83">
        <f t="shared" si="27"/>
        <v>1144295.2031608443</v>
      </c>
      <c r="Z31" s="83">
        <f t="shared" si="27"/>
        <v>1144295.2031608443</v>
      </c>
      <c r="AA31" s="83">
        <f t="shared" si="27"/>
        <v>1144295.2031608443</v>
      </c>
      <c r="AB31" s="83">
        <f t="shared" si="27"/>
        <v>1144295.2031608443</v>
      </c>
      <c r="AC31" s="83">
        <f>+AB31*(1+$F$1)</f>
        <v>1235838.819413712</v>
      </c>
      <c r="AD31" s="83">
        <f>+AC31</f>
        <v>1235838.819413712</v>
      </c>
      <c r="AE31" s="83">
        <f t="shared" ref="AE31:AN31" si="28">+AD31</f>
        <v>1235838.819413712</v>
      </c>
      <c r="AF31" s="83">
        <f t="shared" si="28"/>
        <v>1235838.819413712</v>
      </c>
      <c r="AG31" s="83">
        <f t="shared" si="28"/>
        <v>1235838.819413712</v>
      </c>
      <c r="AH31" s="83">
        <f t="shared" si="28"/>
        <v>1235838.819413712</v>
      </c>
      <c r="AI31" s="83">
        <f t="shared" si="28"/>
        <v>1235838.819413712</v>
      </c>
      <c r="AJ31" s="83">
        <f t="shared" si="28"/>
        <v>1235838.819413712</v>
      </c>
      <c r="AK31" s="83">
        <f t="shared" si="28"/>
        <v>1235838.819413712</v>
      </c>
      <c r="AL31" s="83">
        <f t="shared" si="28"/>
        <v>1235838.819413712</v>
      </c>
      <c r="AM31" s="83">
        <f t="shared" si="28"/>
        <v>1235838.819413712</v>
      </c>
      <c r="AN31" s="83">
        <f t="shared" si="28"/>
        <v>1235838.819413712</v>
      </c>
    </row>
    <row r="32" spans="1:40">
      <c r="A32" s="81"/>
      <c r="B32" s="123"/>
      <c r="C32" s="123"/>
      <c r="D32" s="122" t="s">
        <v>8310</v>
      </c>
      <c r="E32" s="81"/>
      <c r="F32" s="81"/>
      <c r="G32" s="81"/>
      <c r="H32" s="81"/>
      <c r="I32" s="81"/>
      <c r="J32" s="81"/>
      <c r="K32" s="83">
        <v>-881826.98239393998</v>
      </c>
      <c r="L32" s="83"/>
      <c r="M32" s="81"/>
      <c r="N32" s="81"/>
      <c r="O32" s="81"/>
      <c r="P32" s="283"/>
      <c r="Q32" s="81"/>
      <c r="R32" s="81"/>
      <c r="S32" s="81"/>
      <c r="T32" s="81"/>
      <c r="V32" s="83">
        <f>+K32*(1+4%)</f>
        <v>-917100.06168969756</v>
      </c>
      <c r="W32" s="81"/>
      <c r="X32" s="81"/>
      <c r="Y32" s="81"/>
      <c r="Z32" s="81"/>
      <c r="AA32" s="81"/>
      <c r="AB32" s="81"/>
      <c r="AC32" s="81"/>
      <c r="AD32" s="81"/>
      <c r="AE32" s="81"/>
      <c r="AF32" s="81"/>
      <c r="AH32" s="83">
        <f>+W32*(1+4%)</f>
        <v>0</v>
      </c>
      <c r="AI32" s="81"/>
      <c r="AJ32" s="81"/>
      <c r="AK32" s="81"/>
      <c r="AL32" s="81"/>
      <c r="AM32" s="81"/>
      <c r="AN32" s="81"/>
    </row>
    <row r="33" spans="1:40">
      <c r="A33" s="88">
        <v>2023</v>
      </c>
      <c r="B33" s="120">
        <v>164356307.162637</v>
      </c>
      <c r="C33" s="121" t="s">
        <v>8308</v>
      </c>
      <c r="D33" s="122" t="s">
        <v>8311</v>
      </c>
      <c r="E33" s="83">
        <f>1786456/2</f>
        <v>893228</v>
      </c>
      <c r="F33" s="91">
        <v>1786456.0000000002</v>
      </c>
      <c r="G33" s="83">
        <v>1786456.0000000002</v>
      </c>
      <c r="H33" s="91">
        <v>1786456.0000000002</v>
      </c>
      <c r="I33" s="83">
        <v>1786456.0000000002</v>
      </c>
      <c r="J33" s="91">
        <v>1786456.0000000002</v>
      </c>
      <c r="K33" s="83">
        <v>1786456.0000000002</v>
      </c>
      <c r="L33" s="91">
        <v>1786456.0000000002</v>
      </c>
      <c r="M33" s="83">
        <v>1786456.0000000002</v>
      </c>
      <c r="N33" s="91">
        <v>1898127.3645600006</v>
      </c>
      <c r="O33" s="83">
        <v>1898127.3645600006</v>
      </c>
      <c r="P33" s="284">
        <v>1898127.3645600006</v>
      </c>
      <c r="Q33" s="83">
        <f>+P33*(1+$F$1)</f>
        <v>2049977.5537248007</v>
      </c>
      <c r="R33" s="83">
        <f>+Q33</f>
        <v>2049977.5537248007</v>
      </c>
      <c r="S33" s="83">
        <f t="shared" ref="S33:AB33" si="29">+R33</f>
        <v>2049977.5537248007</v>
      </c>
      <c r="T33" s="83">
        <f t="shared" si="29"/>
        <v>2049977.5537248007</v>
      </c>
      <c r="U33" s="83">
        <f t="shared" si="29"/>
        <v>2049977.5537248007</v>
      </c>
      <c r="V33" s="83">
        <f t="shared" si="29"/>
        <v>2049977.5537248007</v>
      </c>
      <c r="W33" s="83">
        <f t="shared" si="29"/>
        <v>2049977.5537248007</v>
      </c>
      <c r="X33" s="83">
        <f t="shared" si="29"/>
        <v>2049977.5537248007</v>
      </c>
      <c r="Y33" s="83">
        <f t="shared" si="29"/>
        <v>2049977.5537248007</v>
      </c>
      <c r="Z33" s="83">
        <f t="shared" si="29"/>
        <v>2049977.5537248007</v>
      </c>
      <c r="AA33" s="83">
        <f t="shared" si="29"/>
        <v>2049977.5537248007</v>
      </c>
      <c r="AB33" s="83">
        <f t="shared" si="29"/>
        <v>2049977.5537248007</v>
      </c>
      <c r="AC33" s="83">
        <f>+AB33*(1+$F$1)</f>
        <v>2213975.7580227847</v>
      </c>
      <c r="AD33" s="83">
        <f>+AC33</f>
        <v>2213975.7580227847</v>
      </c>
      <c r="AE33" s="83">
        <f t="shared" ref="AE33:AN33" si="30">+AD33</f>
        <v>2213975.7580227847</v>
      </c>
      <c r="AF33" s="83">
        <f t="shared" si="30"/>
        <v>2213975.7580227847</v>
      </c>
      <c r="AG33" s="83">
        <f t="shared" si="30"/>
        <v>2213975.7580227847</v>
      </c>
      <c r="AH33" s="83">
        <f t="shared" si="30"/>
        <v>2213975.7580227847</v>
      </c>
      <c r="AI33" s="83">
        <f t="shared" si="30"/>
        <v>2213975.7580227847</v>
      </c>
      <c r="AJ33" s="83">
        <f t="shared" si="30"/>
        <v>2213975.7580227847</v>
      </c>
      <c r="AK33" s="83">
        <f t="shared" si="30"/>
        <v>2213975.7580227847</v>
      </c>
      <c r="AL33" s="83">
        <f t="shared" si="30"/>
        <v>2213975.7580227847</v>
      </c>
      <c r="AM33" s="83">
        <f t="shared" si="30"/>
        <v>2213975.7580227847</v>
      </c>
      <c r="AN33" s="83">
        <f t="shared" si="30"/>
        <v>2213975.7580227847</v>
      </c>
    </row>
    <row r="34" spans="1:40">
      <c r="A34" s="81"/>
      <c r="B34" s="123"/>
      <c r="C34" s="123"/>
      <c r="D34" s="122" t="s">
        <v>8311</v>
      </c>
      <c r="E34" s="81"/>
      <c r="F34" s="81"/>
      <c r="G34" s="81"/>
      <c r="H34" s="81"/>
      <c r="I34" s="81"/>
      <c r="J34" s="81"/>
      <c r="K34" s="83"/>
      <c r="L34" s="83"/>
      <c r="M34" s="81"/>
      <c r="N34" s="83">
        <v>-1624435.8149639</v>
      </c>
      <c r="O34" s="81"/>
      <c r="P34" s="283"/>
      <c r="Q34" s="81"/>
      <c r="R34" s="81"/>
      <c r="S34" s="81"/>
      <c r="T34" s="81"/>
      <c r="V34" s="83"/>
      <c r="W34" s="81"/>
      <c r="X34" s="83">
        <f>+N34*(1+$F$2)</f>
        <v>-1689413.2475624562</v>
      </c>
      <c r="Y34" s="81"/>
      <c r="Z34" s="81"/>
      <c r="AA34" s="81"/>
      <c r="AB34" s="81"/>
      <c r="AC34" s="81"/>
      <c r="AD34" s="81"/>
      <c r="AE34" s="81"/>
      <c r="AF34" s="81"/>
      <c r="AH34" s="83"/>
      <c r="AI34" s="81"/>
      <c r="AJ34" s="83">
        <f>+Z34*(1+$F$2)</f>
        <v>0</v>
      </c>
      <c r="AK34" s="81"/>
      <c r="AL34" s="81"/>
      <c r="AM34" s="81"/>
      <c r="AN34" s="81"/>
    </row>
    <row r="35" spans="1:40">
      <c r="A35" s="88">
        <v>2023</v>
      </c>
      <c r="B35" s="120">
        <v>117472018.704357</v>
      </c>
      <c r="C35" s="121" t="s">
        <v>8308</v>
      </c>
      <c r="D35" s="122" t="s">
        <v>8312</v>
      </c>
      <c r="E35" s="83"/>
      <c r="F35" s="91"/>
      <c r="G35" s="83">
        <v>1162484.193</v>
      </c>
      <c r="H35" s="83">
        <f t="shared" ref="H35:P35" si="31">+G35</f>
        <v>1162484.193</v>
      </c>
      <c r="I35" s="83">
        <f t="shared" si="31"/>
        <v>1162484.193</v>
      </c>
      <c r="J35" s="83">
        <f t="shared" si="31"/>
        <v>1162484.193</v>
      </c>
      <c r="K35" s="83">
        <f t="shared" si="31"/>
        <v>1162484.193</v>
      </c>
      <c r="L35" s="83">
        <f t="shared" si="31"/>
        <v>1162484.193</v>
      </c>
      <c r="M35" s="83">
        <f t="shared" si="31"/>
        <v>1162484.193</v>
      </c>
      <c r="N35" s="83">
        <f t="shared" si="31"/>
        <v>1162484.193</v>
      </c>
      <c r="O35" s="83">
        <f t="shared" si="31"/>
        <v>1162484.193</v>
      </c>
      <c r="P35" s="85">
        <f t="shared" si="31"/>
        <v>1162484.193</v>
      </c>
      <c r="Q35" s="83">
        <f>+P35*(1+$F$1)</f>
        <v>1255482.9284400002</v>
      </c>
      <c r="R35" s="83">
        <f>+Q35</f>
        <v>1255482.9284400002</v>
      </c>
      <c r="S35" s="83">
        <f t="shared" ref="S35:AB35" si="32">+R35</f>
        <v>1255482.9284400002</v>
      </c>
      <c r="T35" s="83">
        <f t="shared" si="32"/>
        <v>1255482.9284400002</v>
      </c>
      <c r="U35" s="83">
        <f t="shared" si="32"/>
        <v>1255482.9284400002</v>
      </c>
      <c r="V35" s="83">
        <f t="shared" si="32"/>
        <v>1255482.9284400002</v>
      </c>
      <c r="W35" s="83">
        <f t="shared" si="32"/>
        <v>1255482.9284400002</v>
      </c>
      <c r="X35" s="83">
        <f t="shared" si="32"/>
        <v>1255482.9284400002</v>
      </c>
      <c r="Y35" s="83">
        <f t="shared" si="32"/>
        <v>1255482.9284400002</v>
      </c>
      <c r="Z35" s="83">
        <f t="shared" si="32"/>
        <v>1255482.9284400002</v>
      </c>
      <c r="AA35" s="83">
        <f t="shared" si="32"/>
        <v>1255482.9284400002</v>
      </c>
      <c r="AB35" s="83">
        <f t="shared" si="32"/>
        <v>1255482.9284400002</v>
      </c>
      <c r="AC35" s="83">
        <f>+AB35*(1+$F$1)</f>
        <v>1355921.5627152002</v>
      </c>
      <c r="AD35" s="83">
        <f>+AC35</f>
        <v>1355921.5627152002</v>
      </c>
      <c r="AE35" s="83">
        <f t="shared" ref="AE35:AN35" si="33">+AD35</f>
        <v>1355921.5627152002</v>
      </c>
      <c r="AF35" s="83">
        <f t="shared" si="33"/>
        <v>1355921.5627152002</v>
      </c>
      <c r="AG35" s="83">
        <f t="shared" si="33"/>
        <v>1355921.5627152002</v>
      </c>
      <c r="AH35" s="83">
        <f t="shared" si="33"/>
        <v>1355921.5627152002</v>
      </c>
      <c r="AI35" s="83">
        <f t="shared" si="33"/>
        <v>1355921.5627152002</v>
      </c>
      <c r="AJ35" s="83">
        <f t="shared" si="33"/>
        <v>1355921.5627152002</v>
      </c>
      <c r="AK35" s="83">
        <f t="shared" si="33"/>
        <v>1355921.5627152002</v>
      </c>
      <c r="AL35" s="83">
        <f t="shared" si="33"/>
        <v>1355921.5627152002</v>
      </c>
      <c r="AM35" s="83">
        <f t="shared" si="33"/>
        <v>1355921.5627152002</v>
      </c>
      <c r="AN35" s="83">
        <f t="shared" si="33"/>
        <v>1355921.5627152002</v>
      </c>
    </row>
    <row r="36" spans="1:40">
      <c r="A36" s="81"/>
      <c r="B36" s="123"/>
      <c r="C36" s="123"/>
      <c r="D36" s="122" t="s">
        <v>8312</v>
      </c>
      <c r="E36" s="83"/>
      <c r="F36" s="83"/>
      <c r="G36" s="83"/>
      <c r="H36" s="83"/>
      <c r="I36" s="83"/>
      <c r="J36" s="83"/>
      <c r="K36" s="83"/>
      <c r="L36" s="83"/>
      <c r="M36" s="83"/>
      <c r="N36" s="83"/>
      <c r="O36" s="83">
        <v>-1174720.1870435681</v>
      </c>
      <c r="P36" s="85"/>
      <c r="Q36" s="81"/>
      <c r="R36" s="81"/>
      <c r="S36" s="81"/>
      <c r="T36" s="81"/>
      <c r="V36" s="83"/>
      <c r="W36" s="81"/>
      <c r="X36" s="83"/>
      <c r="Y36" s="81"/>
      <c r="Z36" s="81"/>
      <c r="AA36" s="83">
        <f>+O36*(1+$F$2)</f>
        <v>-1221708.9945253108</v>
      </c>
      <c r="AB36" s="81"/>
      <c r="AC36" s="81"/>
      <c r="AD36" s="81"/>
      <c r="AE36" s="81"/>
      <c r="AF36" s="81"/>
      <c r="AH36" s="83"/>
      <c r="AI36" s="81"/>
      <c r="AJ36" s="83"/>
      <c r="AK36" s="81"/>
      <c r="AL36" s="81"/>
      <c r="AM36" s="83">
        <f>+AA36*(1+$F$2)</f>
        <v>-1270577.3543063232</v>
      </c>
      <c r="AN36" s="81"/>
    </row>
    <row r="37" spans="1:40">
      <c r="A37" s="88">
        <v>2023</v>
      </c>
      <c r="B37" s="120">
        <v>103114078</v>
      </c>
      <c r="C37" s="121" t="s">
        <v>8308</v>
      </c>
      <c r="D37" s="122" t="s">
        <v>8313</v>
      </c>
      <c r="E37" s="83"/>
      <c r="F37" s="91"/>
      <c r="G37" s="83">
        <v>1076844.1814463998</v>
      </c>
      <c r="H37" s="91">
        <f>+G37</f>
        <v>1076844.1814463998</v>
      </c>
      <c r="I37" s="83">
        <v>1076845.1814464</v>
      </c>
      <c r="J37" s="91">
        <f t="shared" ref="J37" si="34">+I37</f>
        <v>1076845.1814464</v>
      </c>
      <c r="K37" s="83">
        <v>1076846.1814464</v>
      </c>
      <c r="L37" s="91">
        <f t="shared" ref="L37" si="35">+K37</f>
        <v>1076846.1814464</v>
      </c>
      <c r="M37" s="83">
        <v>1076847.1814464</v>
      </c>
      <c r="N37" s="91">
        <f t="shared" ref="N37" si="36">+M37</f>
        <v>1076847.1814464</v>
      </c>
      <c r="O37" s="83">
        <v>1076848.1814464</v>
      </c>
      <c r="P37" s="284">
        <f t="shared" ref="P37" si="37">+O37</f>
        <v>1076848.1814464</v>
      </c>
      <c r="Q37" s="83">
        <f>+P37*(1+$F$1)</f>
        <v>1162996.035962112</v>
      </c>
      <c r="R37" s="83">
        <f>+Q37</f>
        <v>1162996.035962112</v>
      </c>
      <c r="S37" s="83">
        <f t="shared" ref="S37:AB37" si="38">+R37</f>
        <v>1162996.035962112</v>
      </c>
      <c r="T37" s="83">
        <f t="shared" si="38"/>
        <v>1162996.035962112</v>
      </c>
      <c r="U37" s="83">
        <f t="shared" si="38"/>
        <v>1162996.035962112</v>
      </c>
      <c r="V37" s="83">
        <f t="shared" si="38"/>
        <v>1162996.035962112</v>
      </c>
      <c r="W37" s="83">
        <f t="shared" si="38"/>
        <v>1162996.035962112</v>
      </c>
      <c r="X37" s="83">
        <f t="shared" si="38"/>
        <v>1162996.035962112</v>
      </c>
      <c r="Y37" s="83">
        <f t="shared" si="38"/>
        <v>1162996.035962112</v>
      </c>
      <c r="Z37" s="83">
        <f t="shared" si="38"/>
        <v>1162996.035962112</v>
      </c>
      <c r="AA37" s="83">
        <f t="shared" si="38"/>
        <v>1162996.035962112</v>
      </c>
      <c r="AB37" s="83">
        <f t="shared" si="38"/>
        <v>1162996.035962112</v>
      </c>
      <c r="AC37" s="83">
        <f>+AB37*(1+$F$1)</f>
        <v>1256035.718839081</v>
      </c>
      <c r="AD37" s="83">
        <f>+AC37</f>
        <v>1256035.718839081</v>
      </c>
      <c r="AE37" s="83">
        <f t="shared" ref="AE37:AN37" si="39">+AD37</f>
        <v>1256035.718839081</v>
      </c>
      <c r="AF37" s="83">
        <f t="shared" si="39"/>
        <v>1256035.718839081</v>
      </c>
      <c r="AG37" s="83">
        <f t="shared" si="39"/>
        <v>1256035.718839081</v>
      </c>
      <c r="AH37" s="83">
        <f t="shared" si="39"/>
        <v>1256035.718839081</v>
      </c>
      <c r="AI37" s="83">
        <f t="shared" si="39"/>
        <v>1256035.718839081</v>
      </c>
      <c r="AJ37" s="83">
        <f t="shared" si="39"/>
        <v>1256035.718839081</v>
      </c>
      <c r="AK37" s="83">
        <f t="shared" si="39"/>
        <v>1256035.718839081</v>
      </c>
      <c r="AL37" s="83">
        <f t="shared" si="39"/>
        <v>1256035.718839081</v>
      </c>
      <c r="AM37" s="83">
        <f t="shared" si="39"/>
        <v>1256035.718839081</v>
      </c>
      <c r="AN37" s="83">
        <f t="shared" si="39"/>
        <v>1256035.718839081</v>
      </c>
    </row>
    <row r="38" spans="1:40">
      <c r="A38" s="81"/>
      <c r="B38" s="123"/>
      <c r="C38" s="123"/>
      <c r="D38" s="122" t="s">
        <v>8313</v>
      </c>
      <c r="E38" s="81"/>
      <c r="F38" s="81"/>
      <c r="G38" s="81"/>
      <c r="H38" s="81"/>
      <c r="I38" s="81"/>
      <c r="J38" s="81"/>
      <c r="K38" s="83"/>
      <c r="L38" s="83"/>
      <c r="M38" s="81"/>
      <c r="N38" s="83"/>
      <c r="O38" s="83">
        <v>-2325222.463328775</v>
      </c>
      <c r="P38" s="283"/>
      <c r="Q38" s="81"/>
      <c r="R38" s="81"/>
      <c r="S38" s="81"/>
      <c r="T38" s="81"/>
      <c r="V38" s="83"/>
      <c r="W38" s="81"/>
      <c r="X38" s="83"/>
      <c r="Y38" s="81"/>
      <c r="Z38" s="81"/>
      <c r="AA38" s="83">
        <f>+O38*(1+$F$2)</f>
        <v>-2418231.361861926</v>
      </c>
      <c r="AB38" s="81"/>
      <c r="AC38" s="81"/>
      <c r="AD38" s="81"/>
      <c r="AE38" s="81"/>
      <c r="AF38" s="81"/>
      <c r="AH38" s="83"/>
      <c r="AI38" s="81"/>
      <c r="AJ38" s="83"/>
      <c r="AK38" s="81"/>
      <c r="AL38" s="81"/>
      <c r="AM38" s="83">
        <f>+AA38*(1+$F$2)</f>
        <v>-2514960.6163364029</v>
      </c>
      <c r="AN38" s="81"/>
    </row>
    <row r="39" spans="1:40">
      <c r="A39" s="88">
        <v>2023</v>
      </c>
      <c r="B39" s="120">
        <v>389134087.76130903</v>
      </c>
      <c r="C39" s="121" t="s">
        <v>8308</v>
      </c>
      <c r="D39" s="122" t="s">
        <v>8314</v>
      </c>
      <c r="E39" s="83"/>
      <c r="F39" s="91"/>
      <c r="G39" s="83"/>
      <c r="H39" s="91"/>
      <c r="I39" s="83">
        <v>6667628.5136999991</v>
      </c>
      <c r="J39" s="91">
        <v>6667628.5136999991</v>
      </c>
      <c r="K39" s="91">
        <v>6667628.5136999991</v>
      </c>
      <c r="L39" s="91">
        <v>6667628.5136999991</v>
      </c>
      <c r="M39" s="91">
        <v>6667628.5136999991</v>
      </c>
      <c r="N39" s="91">
        <v>6667628.5136999991</v>
      </c>
      <c r="O39" s="91">
        <v>6667628.5136999991</v>
      </c>
      <c r="P39" s="284">
        <v>6667628.5136999991</v>
      </c>
      <c r="Q39" s="83">
        <f>+P39*(1+$F$1)</f>
        <v>7201038.7947959993</v>
      </c>
      <c r="R39" s="83">
        <f>+Q39</f>
        <v>7201038.7947959993</v>
      </c>
      <c r="S39" s="83">
        <f t="shared" ref="S39:AB39" si="40">+R39</f>
        <v>7201038.7947959993</v>
      </c>
      <c r="T39" s="83">
        <f t="shared" si="40"/>
        <v>7201038.7947959993</v>
      </c>
      <c r="U39" s="83">
        <f t="shared" si="40"/>
        <v>7201038.7947959993</v>
      </c>
      <c r="V39" s="83">
        <f t="shared" si="40"/>
        <v>7201038.7947959993</v>
      </c>
      <c r="W39" s="83">
        <f t="shared" si="40"/>
        <v>7201038.7947959993</v>
      </c>
      <c r="X39" s="83">
        <f t="shared" si="40"/>
        <v>7201038.7947959993</v>
      </c>
      <c r="Y39" s="83">
        <f t="shared" si="40"/>
        <v>7201038.7947959993</v>
      </c>
      <c r="Z39" s="83">
        <f t="shared" si="40"/>
        <v>7201038.7947959993</v>
      </c>
      <c r="AA39" s="83">
        <f t="shared" si="40"/>
        <v>7201038.7947959993</v>
      </c>
      <c r="AB39" s="83">
        <f t="shared" si="40"/>
        <v>7201038.7947959993</v>
      </c>
      <c r="AC39" s="83">
        <f>+AB39*(1+$F$1)</f>
        <v>7777121.8983796798</v>
      </c>
      <c r="AD39" s="83">
        <f>+AC39</f>
        <v>7777121.8983796798</v>
      </c>
      <c r="AE39" s="83">
        <f t="shared" ref="AE39:AN39" si="41">+AD39</f>
        <v>7777121.8983796798</v>
      </c>
      <c r="AF39" s="83">
        <f t="shared" si="41"/>
        <v>7777121.8983796798</v>
      </c>
      <c r="AG39" s="83">
        <f t="shared" si="41"/>
        <v>7777121.8983796798</v>
      </c>
      <c r="AH39" s="83">
        <f t="shared" si="41"/>
        <v>7777121.8983796798</v>
      </c>
      <c r="AI39" s="83">
        <f t="shared" si="41"/>
        <v>7777121.8983796798</v>
      </c>
      <c r="AJ39" s="83">
        <f t="shared" si="41"/>
        <v>7777121.8983796798</v>
      </c>
      <c r="AK39" s="83">
        <f t="shared" si="41"/>
        <v>7777121.8983796798</v>
      </c>
      <c r="AL39" s="83">
        <f t="shared" si="41"/>
        <v>7777121.8983796798</v>
      </c>
      <c r="AM39" s="83">
        <f t="shared" si="41"/>
        <v>7777121.8983796798</v>
      </c>
      <c r="AN39" s="83">
        <f t="shared" si="41"/>
        <v>7777121.8983796798</v>
      </c>
    </row>
    <row r="40" spans="1:40">
      <c r="A40" s="81"/>
      <c r="B40" s="120"/>
      <c r="C40" s="123"/>
      <c r="D40" s="122" t="s">
        <v>8314</v>
      </c>
      <c r="E40" s="81"/>
      <c r="F40" s="81"/>
      <c r="G40" s="81"/>
      <c r="H40" s="81"/>
      <c r="I40" s="81"/>
      <c r="J40" s="81"/>
      <c r="K40" s="83"/>
      <c r="L40" s="83"/>
      <c r="M40" s="81"/>
      <c r="N40" s="83"/>
      <c r="O40" s="81"/>
      <c r="P40" s="85">
        <v>-8774973.6790175084</v>
      </c>
      <c r="Q40" s="81"/>
      <c r="R40" s="81"/>
      <c r="S40" s="81"/>
      <c r="T40" s="81"/>
      <c r="V40" s="83"/>
      <c r="W40" s="81"/>
      <c r="X40" s="83"/>
      <c r="Y40" s="81"/>
      <c r="Z40" s="81"/>
      <c r="AA40" s="83"/>
      <c r="AB40" s="81">
        <f>+P40*(1+$F$2)</f>
        <v>-9125972.6261782087</v>
      </c>
      <c r="AC40" s="81"/>
      <c r="AD40" s="81"/>
      <c r="AE40" s="81"/>
      <c r="AF40" s="81"/>
      <c r="AH40" s="83"/>
      <c r="AI40" s="81"/>
      <c r="AJ40" s="83"/>
      <c r="AK40" s="81"/>
      <c r="AL40" s="81"/>
      <c r="AM40" s="83"/>
      <c r="AN40" s="81">
        <f>+AB40*(1+$F$2)</f>
        <v>-9491011.5312253367</v>
      </c>
    </row>
    <row r="41" spans="1:40">
      <c r="A41" s="1160">
        <f>+SUM(B41:B56)</f>
        <v>4124459377.4749031</v>
      </c>
      <c r="B41" s="120">
        <f>+(145259683.062103)*90%</f>
        <v>130733714.75589271</v>
      </c>
      <c r="C41" s="121" t="s">
        <v>8308</v>
      </c>
      <c r="D41" s="122" t="s">
        <v>8315</v>
      </c>
      <c r="E41" s="81"/>
      <c r="F41" s="81"/>
      <c r="G41" s="81"/>
      <c r="H41" s="83"/>
      <c r="I41" s="83"/>
      <c r="J41" s="83">
        <v>1916709</v>
      </c>
      <c r="K41" s="83">
        <f>+J41</f>
        <v>1916709</v>
      </c>
      <c r="L41" s="83">
        <f t="shared" ref="L41:P41" si="42">+K41</f>
        <v>1916709</v>
      </c>
      <c r="M41" s="83">
        <f t="shared" si="42"/>
        <v>1916709</v>
      </c>
      <c r="N41" s="83">
        <f t="shared" si="42"/>
        <v>1916709</v>
      </c>
      <c r="O41" s="83">
        <f t="shared" si="42"/>
        <v>1916709</v>
      </c>
      <c r="P41" s="85">
        <f t="shared" si="42"/>
        <v>1916709</v>
      </c>
      <c r="Q41" s="83">
        <f>+P41*(1+$F$1)</f>
        <v>2070045.7200000002</v>
      </c>
      <c r="R41" s="83">
        <f>+Q41</f>
        <v>2070045.7200000002</v>
      </c>
      <c r="S41" s="83">
        <f t="shared" ref="S41:AB41" si="43">+R41</f>
        <v>2070045.7200000002</v>
      </c>
      <c r="T41" s="83">
        <f t="shared" si="43"/>
        <v>2070045.7200000002</v>
      </c>
      <c r="U41" s="83">
        <f t="shared" si="43"/>
        <v>2070045.7200000002</v>
      </c>
      <c r="V41" s="83">
        <f t="shared" si="43"/>
        <v>2070045.7200000002</v>
      </c>
      <c r="W41" s="83">
        <f t="shared" si="43"/>
        <v>2070045.7200000002</v>
      </c>
      <c r="X41" s="83">
        <f t="shared" si="43"/>
        <v>2070045.7200000002</v>
      </c>
      <c r="Y41" s="83">
        <f t="shared" si="43"/>
        <v>2070045.7200000002</v>
      </c>
      <c r="Z41" s="83">
        <f t="shared" si="43"/>
        <v>2070045.7200000002</v>
      </c>
      <c r="AA41" s="83">
        <f t="shared" si="43"/>
        <v>2070045.7200000002</v>
      </c>
      <c r="AB41" s="83">
        <f t="shared" si="43"/>
        <v>2070045.7200000002</v>
      </c>
      <c r="AC41" s="83">
        <f>+AB41*(1+$F$1)</f>
        <v>2235649.3776000002</v>
      </c>
      <c r="AD41" s="83">
        <f>+AC41</f>
        <v>2235649.3776000002</v>
      </c>
      <c r="AE41" s="83">
        <f t="shared" ref="AE41:AN41" si="44">+AD41</f>
        <v>2235649.3776000002</v>
      </c>
      <c r="AF41" s="83">
        <f t="shared" si="44"/>
        <v>2235649.3776000002</v>
      </c>
      <c r="AG41" s="83">
        <f t="shared" si="44"/>
        <v>2235649.3776000002</v>
      </c>
      <c r="AH41" s="83">
        <f t="shared" si="44"/>
        <v>2235649.3776000002</v>
      </c>
      <c r="AI41" s="83">
        <f t="shared" si="44"/>
        <v>2235649.3776000002</v>
      </c>
      <c r="AJ41" s="83">
        <f t="shared" si="44"/>
        <v>2235649.3776000002</v>
      </c>
      <c r="AK41" s="83">
        <f t="shared" si="44"/>
        <v>2235649.3776000002</v>
      </c>
      <c r="AL41" s="83">
        <f t="shared" si="44"/>
        <v>2235649.3776000002</v>
      </c>
      <c r="AM41" s="83">
        <f t="shared" si="44"/>
        <v>2235649.3776000002</v>
      </c>
      <c r="AN41" s="83">
        <f t="shared" si="44"/>
        <v>2235649.3776000002</v>
      </c>
    </row>
    <row r="42" spans="1:40">
      <c r="A42" s="1161"/>
      <c r="B42" s="120"/>
      <c r="C42" s="281"/>
      <c r="D42" s="122" t="s">
        <v>8315</v>
      </c>
      <c r="E42" s="81"/>
      <c r="F42" s="81"/>
      <c r="G42" s="81"/>
      <c r="H42" s="81"/>
      <c r="I42" s="81"/>
      <c r="J42" s="81"/>
      <c r="K42" s="83"/>
      <c r="L42" s="83"/>
      <c r="M42" s="81"/>
      <c r="N42" s="83"/>
      <c r="O42" s="81"/>
      <c r="P42" s="85"/>
      <c r="Q42" s="83">
        <f>-B41*1%*(1+$F$2)</f>
        <v>-1359630.6334612842</v>
      </c>
      <c r="R42" s="81"/>
      <c r="S42" s="81"/>
      <c r="T42" s="81"/>
      <c r="V42" s="83"/>
      <c r="W42" s="81"/>
      <c r="X42" s="83"/>
      <c r="Y42" s="81"/>
      <c r="Z42" s="81"/>
      <c r="AA42" s="83"/>
      <c r="AB42" s="81"/>
      <c r="AC42" s="83">
        <f>-N41*1%*(1+$F$2)</f>
        <v>-19933.7736</v>
      </c>
      <c r="AD42" s="81"/>
      <c r="AE42" s="81"/>
      <c r="AF42" s="81"/>
      <c r="AH42" s="83"/>
      <c r="AI42" s="81"/>
      <c r="AJ42" s="83"/>
      <c r="AK42" s="81"/>
      <c r="AL42" s="81"/>
      <c r="AM42" s="83"/>
      <c r="AN42" s="81"/>
    </row>
    <row r="43" spans="1:40">
      <c r="A43" s="1161"/>
      <c r="B43" s="120">
        <f>+(145642569.18174)*90%</f>
        <v>131078312.26356599</v>
      </c>
      <c r="C43" s="121" t="s">
        <v>8308</v>
      </c>
      <c r="D43" s="122" t="s">
        <v>8150</v>
      </c>
      <c r="E43" s="81"/>
      <c r="F43" s="81"/>
      <c r="G43" s="81"/>
      <c r="H43" s="81"/>
      <c r="I43" s="81"/>
      <c r="J43" s="83"/>
      <c r="K43" s="83">
        <v>1927789.1450399999</v>
      </c>
      <c r="L43" s="83">
        <f>+K43</f>
        <v>1927789.1450399999</v>
      </c>
      <c r="M43" s="83">
        <f>+L43</f>
        <v>1927789.1450399999</v>
      </c>
      <c r="N43" s="83">
        <f>+M43</f>
        <v>1927789.1450399999</v>
      </c>
      <c r="O43" s="83">
        <f>+N43</f>
        <v>1927789.1450399999</v>
      </c>
      <c r="P43" s="85">
        <f>+O43</f>
        <v>1927789.1450399999</v>
      </c>
      <c r="Q43" s="83">
        <f>+P43*(1+$F$1)</f>
        <v>2082012.2766432001</v>
      </c>
      <c r="R43" s="83">
        <f>+Q43</f>
        <v>2082012.2766432001</v>
      </c>
      <c r="S43" s="83">
        <f t="shared" ref="S43:AB43" si="45">+R43</f>
        <v>2082012.2766432001</v>
      </c>
      <c r="T43" s="83">
        <f t="shared" si="45"/>
        <v>2082012.2766432001</v>
      </c>
      <c r="U43" s="83">
        <f t="shared" si="45"/>
        <v>2082012.2766432001</v>
      </c>
      <c r="V43" s="83">
        <f t="shared" si="45"/>
        <v>2082012.2766432001</v>
      </c>
      <c r="W43" s="83">
        <f t="shared" si="45"/>
        <v>2082012.2766432001</v>
      </c>
      <c r="X43" s="83">
        <f t="shared" si="45"/>
        <v>2082012.2766432001</v>
      </c>
      <c r="Y43" s="83">
        <f t="shared" si="45"/>
        <v>2082012.2766432001</v>
      </c>
      <c r="Z43" s="83">
        <f t="shared" si="45"/>
        <v>2082012.2766432001</v>
      </c>
      <c r="AA43" s="83">
        <f t="shared" si="45"/>
        <v>2082012.2766432001</v>
      </c>
      <c r="AB43" s="83">
        <f t="shared" si="45"/>
        <v>2082012.2766432001</v>
      </c>
      <c r="AC43" s="83">
        <f>+AB43*(1+$F$1)</f>
        <v>2248573.2587746563</v>
      </c>
      <c r="AD43" s="83">
        <f>+AC43</f>
        <v>2248573.2587746563</v>
      </c>
      <c r="AE43" s="83">
        <f t="shared" ref="AE43:AN43" si="46">+AD43</f>
        <v>2248573.2587746563</v>
      </c>
      <c r="AF43" s="83">
        <f t="shared" si="46"/>
        <v>2248573.2587746563</v>
      </c>
      <c r="AG43" s="83">
        <f t="shared" si="46"/>
        <v>2248573.2587746563</v>
      </c>
      <c r="AH43" s="83">
        <f t="shared" si="46"/>
        <v>2248573.2587746563</v>
      </c>
      <c r="AI43" s="83">
        <f t="shared" si="46"/>
        <v>2248573.2587746563</v>
      </c>
      <c r="AJ43" s="83">
        <f t="shared" si="46"/>
        <v>2248573.2587746563</v>
      </c>
      <c r="AK43" s="83">
        <f t="shared" si="46"/>
        <v>2248573.2587746563</v>
      </c>
      <c r="AL43" s="83">
        <f t="shared" si="46"/>
        <v>2248573.2587746563</v>
      </c>
      <c r="AM43" s="83">
        <f t="shared" si="46"/>
        <v>2248573.2587746563</v>
      </c>
      <c r="AN43" s="83">
        <f t="shared" si="46"/>
        <v>2248573.2587746563</v>
      </c>
    </row>
    <row r="44" spans="1:40">
      <c r="A44" s="1161"/>
      <c r="B44" s="120"/>
      <c r="C44" s="281"/>
      <c r="D44" s="122" t="s">
        <v>8150</v>
      </c>
      <c r="E44" s="81"/>
      <c r="F44" s="81"/>
      <c r="G44" s="81"/>
      <c r="H44" s="81"/>
      <c r="I44" s="81"/>
      <c r="J44" s="81"/>
      <c r="K44" s="83"/>
      <c r="L44" s="83"/>
      <c r="M44" s="81"/>
      <c r="N44" s="83"/>
      <c r="O44" s="81"/>
      <c r="P44" s="283"/>
      <c r="Q44" s="83">
        <f>-B43*1%*(1+$F$2)</f>
        <v>-1363214.4475410865</v>
      </c>
      <c r="R44" s="81"/>
      <c r="S44" s="81"/>
      <c r="T44" s="81"/>
      <c r="V44" s="83"/>
      <c r="W44" s="81"/>
      <c r="X44" s="83"/>
      <c r="Y44" s="81"/>
      <c r="Z44" s="81"/>
      <c r="AA44" s="83"/>
      <c r="AB44" s="81"/>
      <c r="AC44" s="83">
        <f>-N43*1%*(1+$F$2)</f>
        <v>-20049.007108416001</v>
      </c>
      <c r="AD44" s="81"/>
      <c r="AE44" s="81"/>
      <c r="AF44" s="81"/>
      <c r="AH44" s="83"/>
      <c r="AI44" s="81"/>
      <c r="AJ44" s="83"/>
      <c r="AK44" s="81"/>
      <c r="AL44" s="81"/>
      <c r="AM44" s="83"/>
      <c r="AN44" s="81"/>
    </row>
    <row r="45" spans="1:40">
      <c r="A45" s="1161"/>
      <c r="B45" s="120">
        <f>+(59480550)*90%</f>
        <v>53532495</v>
      </c>
      <c r="C45" s="121" t="s">
        <v>8308</v>
      </c>
      <c r="D45" s="122" t="s">
        <v>8316</v>
      </c>
      <c r="E45" s="81"/>
      <c r="F45" s="81"/>
      <c r="G45" s="81"/>
      <c r="H45" s="81"/>
      <c r="I45" s="81"/>
      <c r="J45" s="81"/>
      <c r="K45" s="83"/>
      <c r="L45" s="83">
        <v>690570</v>
      </c>
      <c r="M45" s="83">
        <f>+L45</f>
        <v>690570</v>
      </c>
      <c r="N45" s="83">
        <f>+M45</f>
        <v>690570</v>
      </c>
      <c r="O45" s="83">
        <f>+N45</f>
        <v>690570</v>
      </c>
      <c r="P45" s="85">
        <f>+O45</f>
        <v>690570</v>
      </c>
      <c r="Q45" s="83">
        <f>+P45*(1+$F$1)</f>
        <v>745815.60000000009</v>
      </c>
      <c r="R45" s="83">
        <f>+Q45</f>
        <v>745815.60000000009</v>
      </c>
      <c r="S45" s="83">
        <f t="shared" ref="S45:AB45" si="47">+R45</f>
        <v>745815.60000000009</v>
      </c>
      <c r="T45" s="83">
        <f t="shared" si="47"/>
        <v>745815.60000000009</v>
      </c>
      <c r="U45" s="83">
        <f t="shared" si="47"/>
        <v>745815.60000000009</v>
      </c>
      <c r="V45" s="83">
        <f t="shared" si="47"/>
        <v>745815.60000000009</v>
      </c>
      <c r="W45" s="83">
        <f t="shared" si="47"/>
        <v>745815.60000000009</v>
      </c>
      <c r="X45" s="83">
        <f t="shared" si="47"/>
        <v>745815.60000000009</v>
      </c>
      <c r="Y45" s="83">
        <f t="shared" si="47"/>
        <v>745815.60000000009</v>
      </c>
      <c r="Z45" s="83">
        <f t="shared" si="47"/>
        <v>745815.60000000009</v>
      </c>
      <c r="AA45" s="83">
        <f t="shared" si="47"/>
        <v>745815.60000000009</v>
      </c>
      <c r="AB45" s="83">
        <f t="shared" si="47"/>
        <v>745815.60000000009</v>
      </c>
      <c r="AC45" s="83">
        <f>+AB45*(1+$F$1)</f>
        <v>805480.84800000011</v>
      </c>
      <c r="AD45" s="83">
        <f>+AC45</f>
        <v>805480.84800000011</v>
      </c>
      <c r="AE45" s="83">
        <f t="shared" ref="AE45:AN45" si="48">+AD45</f>
        <v>805480.84800000011</v>
      </c>
      <c r="AF45" s="83">
        <f t="shared" si="48"/>
        <v>805480.84800000011</v>
      </c>
      <c r="AG45" s="83">
        <f t="shared" si="48"/>
        <v>805480.84800000011</v>
      </c>
      <c r="AH45" s="83">
        <f t="shared" si="48"/>
        <v>805480.84800000011</v>
      </c>
      <c r="AI45" s="83">
        <f t="shared" si="48"/>
        <v>805480.84800000011</v>
      </c>
      <c r="AJ45" s="83">
        <f t="shared" si="48"/>
        <v>805480.84800000011</v>
      </c>
      <c r="AK45" s="83">
        <f t="shared" si="48"/>
        <v>805480.84800000011</v>
      </c>
      <c r="AL45" s="83">
        <f t="shared" si="48"/>
        <v>805480.84800000011</v>
      </c>
      <c r="AM45" s="83">
        <f t="shared" si="48"/>
        <v>805480.84800000011</v>
      </c>
      <c r="AN45" s="83">
        <f t="shared" si="48"/>
        <v>805480.84800000011</v>
      </c>
    </row>
    <row r="46" spans="1:40">
      <c r="A46" s="1161"/>
      <c r="B46" s="120"/>
      <c r="C46" s="281"/>
      <c r="D46" s="122" t="s">
        <v>8316</v>
      </c>
      <c r="E46" s="81"/>
      <c r="F46" s="81"/>
      <c r="G46" s="81"/>
      <c r="H46" s="81"/>
      <c r="I46" s="81"/>
      <c r="J46" s="81"/>
      <c r="K46" s="83"/>
      <c r="L46" s="83"/>
      <c r="M46" s="81"/>
      <c r="N46" s="83"/>
      <c r="O46" s="81"/>
      <c r="P46" s="283"/>
      <c r="R46" s="81"/>
      <c r="S46" s="83">
        <f>-B45*1%*(1+$F$2)</f>
        <v>-556737.94799999997</v>
      </c>
      <c r="T46" s="81"/>
      <c r="V46" s="83"/>
      <c r="W46" s="81"/>
      <c r="X46" s="83"/>
      <c r="Y46" s="81"/>
      <c r="Z46" s="81"/>
      <c r="AA46" s="83"/>
      <c r="AB46" s="81"/>
      <c r="AD46" s="81"/>
      <c r="AE46" s="83">
        <f>-N45*1%*(1+$F$2)</f>
        <v>-7181.9279999999999</v>
      </c>
      <c r="AF46" s="81"/>
      <c r="AH46" s="83"/>
      <c r="AI46" s="81"/>
      <c r="AJ46" s="83"/>
      <c r="AK46" s="81"/>
      <c r="AL46" s="81"/>
      <c r="AM46" s="83"/>
      <c r="AN46" s="81"/>
    </row>
    <row r="47" spans="1:40">
      <c r="A47" s="1161"/>
      <c r="B47" s="120">
        <f>(129455195.630579+99994599+178505744+38105920)*95%</f>
        <v>423758385.69905001</v>
      </c>
      <c r="C47" s="121" t="s">
        <v>8308</v>
      </c>
      <c r="D47" s="122" t="s">
        <v>8159</v>
      </c>
      <c r="E47" s="81"/>
      <c r="F47" s="81"/>
      <c r="G47" s="81"/>
      <c r="H47" s="81"/>
      <c r="I47" s="81"/>
      <c r="J47" s="81"/>
      <c r="K47" s="83"/>
      <c r="L47" s="83">
        <f>1788064+1404907.81493333+2577552.64+468645.935333333</f>
        <v>6239170.3902666634</v>
      </c>
      <c r="M47" s="83">
        <f>+L47</f>
        <v>6239170.3902666634</v>
      </c>
      <c r="N47" s="83">
        <f>+M47</f>
        <v>6239170.3902666634</v>
      </c>
      <c r="O47" s="83">
        <f>+N47</f>
        <v>6239170.3902666634</v>
      </c>
      <c r="P47" s="85">
        <f>+O47</f>
        <v>6239170.3902666634</v>
      </c>
      <c r="Q47" s="83">
        <f>+P47*(1+$F$1)</f>
        <v>6738304.0214879969</v>
      </c>
      <c r="R47" s="83">
        <f>+Q47</f>
        <v>6738304.0214879969</v>
      </c>
      <c r="S47" s="83">
        <f t="shared" ref="S47:AB47" si="49">+R47</f>
        <v>6738304.0214879969</v>
      </c>
      <c r="T47" s="83">
        <f t="shared" si="49"/>
        <v>6738304.0214879969</v>
      </c>
      <c r="U47" s="83">
        <f t="shared" si="49"/>
        <v>6738304.0214879969</v>
      </c>
      <c r="V47" s="83">
        <f t="shared" si="49"/>
        <v>6738304.0214879969</v>
      </c>
      <c r="W47" s="83">
        <f t="shared" si="49"/>
        <v>6738304.0214879969</v>
      </c>
      <c r="X47" s="83">
        <f t="shared" si="49"/>
        <v>6738304.0214879969</v>
      </c>
      <c r="Y47" s="83">
        <f t="shared" si="49"/>
        <v>6738304.0214879969</v>
      </c>
      <c r="Z47" s="83">
        <f t="shared" si="49"/>
        <v>6738304.0214879969</v>
      </c>
      <c r="AA47" s="83">
        <f t="shared" si="49"/>
        <v>6738304.0214879969</v>
      </c>
      <c r="AB47" s="83">
        <f t="shared" si="49"/>
        <v>6738304.0214879969</v>
      </c>
      <c r="AC47" s="83">
        <f>+AB47*(1+$F$1)</f>
        <v>7277368.3432070371</v>
      </c>
      <c r="AD47" s="83">
        <f>+AC47</f>
        <v>7277368.3432070371</v>
      </c>
      <c r="AE47" s="83">
        <f t="shared" ref="AE47:AN47" si="50">+AD47</f>
        <v>7277368.3432070371</v>
      </c>
      <c r="AF47" s="83">
        <f t="shared" si="50"/>
        <v>7277368.3432070371</v>
      </c>
      <c r="AG47" s="83">
        <f t="shared" si="50"/>
        <v>7277368.3432070371</v>
      </c>
      <c r="AH47" s="83">
        <f t="shared" si="50"/>
        <v>7277368.3432070371</v>
      </c>
      <c r="AI47" s="83">
        <f t="shared" si="50"/>
        <v>7277368.3432070371</v>
      </c>
      <c r="AJ47" s="83">
        <f t="shared" si="50"/>
        <v>7277368.3432070371</v>
      </c>
      <c r="AK47" s="83">
        <f t="shared" si="50"/>
        <v>7277368.3432070371</v>
      </c>
      <c r="AL47" s="83">
        <f t="shared" si="50"/>
        <v>7277368.3432070371</v>
      </c>
      <c r="AM47" s="83">
        <f t="shared" si="50"/>
        <v>7277368.3432070371</v>
      </c>
      <c r="AN47" s="83">
        <f t="shared" si="50"/>
        <v>7277368.3432070371</v>
      </c>
    </row>
    <row r="48" spans="1:40">
      <c r="A48" s="1161"/>
      <c r="B48" s="120"/>
      <c r="C48" s="281"/>
      <c r="D48" s="122" t="s">
        <v>8159</v>
      </c>
      <c r="E48" s="81"/>
      <c r="F48" s="81"/>
      <c r="G48" s="81"/>
      <c r="H48" s="81"/>
      <c r="I48" s="81"/>
      <c r="J48" s="81"/>
      <c r="K48" s="83"/>
      <c r="L48" s="330"/>
      <c r="M48" s="81"/>
      <c r="N48" s="83"/>
      <c r="O48" s="81"/>
      <c r="P48" s="283"/>
      <c r="R48" s="81"/>
      <c r="S48" s="81"/>
      <c r="T48" s="83">
        <f>-B47*1%*(1+$F$2)</f>
        <v>-4407087.2112701209</v>
      </c>
      <c r="V48" s="83"/>
      <c r="W48" s="81"/>
      <c r="X48" s="83"/>
      <c r="Y48" s="81"/>
      <c r="Z48" s="81"/>
      <c r="AA48" s="83"/>
      <c r="AB48" s="81"/>
      <c r="AD48" s="81"/>
      <c r="AE48" s="81"/>
      <c r="AF48" s="83">
        <f>-N47*1%*(1+$F$2)</f>
        <v>-64887.372058773297</v>
      </c>
      <c r="AH48" s="83"/>
      <c r="AI48" s="81"/>
      <c r="AJ48" s="83"/>
      <c r="AK48" s="81"/>
      <c r="AL48" s="81"/>
      <c r="AM48" s="83"/>
      <c r="AN48" s="81"/>
    </row>
    <row r="49" spans="1:40">
      <c r="A49" s="1161"/>
      <c r="B49" s="120">
        <f>+(465650640.190427)*95%</f>
        <v>442368108.18090564</v>
      </c>
      <c r="C49" s="121" t="s">
        <v>8308</v>
      </c>
      <c r="D49" s="122" t="s">
        <v>8157</v>
      </c>
      <c r="E49" s="81"/>
      <c r="F49" s="81"/>
      <c r="G49" s="81"/>
      <c r="H49" s="81"/>
      <c r="I49" s="81"/>
      <c r="J49" s="81"/>
      <c r="K49" s="83"/>
      <c r="L49" s="83"/>
      <c r="M49" s="83">
        <v>9046362.453333335</v>
      </c>
      <c r="N49" s="83">
        <f>+M49</f>
        <v>9046362.453333335</v>
      </c>
      <c r="O49" s="83">
        <f>+N49</f>
        <v>9046362.453333335</v>
      </c>
      <c r="P49" s="85">
        <f>+O49</f>
        <v>9046362.453333335</v>
      </c>
      <c r="Q49" s="83">
        <f>+P49*(1+$F$1)</f>
        <v>9770071.4496000018</v>
      </c>
      <c r="R49" s="83">
        <f>+Q49</f>
        <v>9770071.4496000018</v>
      </c>
      <c r="S49" s="83">
        <f t="shared" ref="S49:AB49" si="51">+R49</f>
        <v>9770071.4496000018</v>
      </c>
      <c r="T49" s="83">
        <f t="shared" si="51"/>
        <v>9770071.4496000018</v>
      </c>
      <c r="U49" s="83">
        <f t="shared" si="51"/>
        <v>9770071.4496000018</v>
      </c>
      <c r="V49" s="83">
        <f t="shared" si="51"/>
        <v>9770071.4496000018</v>
      </c>
      <c r="W49" s="83">
        <f t="shared" si="51"/>
        <v>9770071.4496000018</v>
      </c>
      <c r="X49" s="83">
        <f t="shared" si="51"/>
        <v>9770071.4496000018</v>
      </c>
      <c r="Y49" s="83">
        <f t="shared" si="51"/>
        <v>9770071.4496000018</v>
      </c>
      <c r="Z49" s="83">
        <f t="shared" si="51"/>
        <v>9770071.4496000018</v>
      </c>
      <c r="AA49" s="83">
        <f t="shared" si="51"/>
        <v>9770071.4496000018</v>
      </c>
      <c r="AB49" s="83">
        <f t="shared" si="51"/>
        <v>9770071.4496000018</v>
      </c>
      <c r="AC49" s="83">
        <f>+AB49*(1+$F$1)</f>
        <v>10551677.165568003</v>
      </c>
      <c r="AD49" s="83">
        <f>+AC49</f>
        <v>10551677.165568003</v>
      </c>
      <c r="AE49" s="83">
        <f t="shared" ref="AE49:AN49" si="52">+AD49</f>
        <v>10551677.165568003</v>
      </c>
      <c r="AF49" s="83">
        <f t="shared" si="52"/>
        <v>10551677.165568003</v>
      </c>
      <c r="AG49" s="83">
        <f t="shared" si="52"/>
        <v>10551677.165568003</v>
      </c>
      <c r="AH49" s="83">
        <f t="shared" si="52"/>
        <v>10551677.165568003</v>
      </c>
      <c r="AI49" s="83">
        <f t="shared" si="52"/>
        <v>10551677.165568003</v>
      </c>
      <c r="AJ49" s="83">
        <f t="shared" si="52"/>
        <v>10551677.165568003</v>
      </c>
      <c r="AK49" s="83">
        <f t="shared" si="52"/>
        <v>10551677.165568003</v>
      </c>
      <c r="AL49" s="83">
        <f t="shared" si="52"/>
        <v>10551677.165568003</v>
      </c>
      <c r="AM49" s="83">
        <f t="shared" si="52"/>
        <v>10551677.165568003</v>
      </c>
      <c r="AN49" s="83">
        <f t="shared" si="52"/>
        <v>10551677.165568003</v>
      </c>
    </row>
    <row r="50" spans="1:40">
      <c r="A50" s="1161"/>
      <c r="B50" s="120"/>
      <c r="C50" s="281"/>
      <c r="D50" s="122" t="s">
        <v>8157</v>
      </c>
      <c r="E50" s="81"/>
      <c r="F50" s="81"/>
      <c r="G50" s="81"/>
      <c r="H50" s="81"/>
      <c r="I50" s="81"/>
      <c r="J50" s="81"/>
      <c r="K50" s="83"/>
      <c r="L50" s="83"/>
      <c r="M50" s="286"/>
      <c r="N50" s="83"/>
      <c r="O50" s="81"/>
      <c r="P50" s="283"/>
      <c r="R50" s="81"/>
      <c r="S50" s="81"/>
      <c r="T50" s="81"/>
      <c r="U50" s="83">
        <f>-B49*1%*(1+$F$2)</f>
        <v>-4600628.3250814192</v>
      </c>
      <c r="V50" s="83"/>
      <c r="W50" s="81"/>
      <c r="X50" s="83"/>
      <c r="Y50" s="81"/>
      <c r="Z50" s="81"/>
      <c r="AA50" s="83"/>
      <c r="AB50" s="81"/>
      <c r="AD50" s="81"/>
      <c r="AE50" s="81"/>
      <c r="AF50" s="81"/>
      <c r="AG50" s="83">
        <f>-N49*1%*(1+$F$2)</f>
        <v>-94082.16951466669</v>
      </c>
      <c r="AH50" s="83"/>
      <c r="AI50" s="81"/>
      <c r="AJ50" s="83"/>
      <c r="AK50" s="81"/>
      <c r="AL50" s="81"/>
      <c r="AM50" s="83"/>
      <c r="AN50" s="81"/>
    </row>
    <row r="51" spans="1:40">
      <c r="A51" s="1161"/>
      <c r="B51" s="120"/>
      <c r="C51" s="281"/>
      <c r="D51" s="122"/>
      <c r="E51" s="81"/>
      <c r="F51" s="81"/>
      <c r="G51" s="81"/>
      <c r="H51" s="81"/>
      <c r="I51" s="81"/>
      <c r="J51" s="81"/>
      <c r="K51" s="83"/>
      <c r="L51" s="83"/>
      <c r="M51" s="81"/>
      <c r="N51" s="83"/>
      <c r="O51" s="81"/>
      <c r="P51" s="283"/>
      <c r="Q51" s="81"/>
      <c r="R51" s="81"/>
      <c r="S51" s="81"/>
      <c r="T51" s="81"/>
      <c r="U51" s="81"/>
      <c r="V51" s="81"/>
      <c r="W51" s="81"/>
      <c r="X51" s="81"/>
      <c r="Y51" s="81"/>
      <c r="Z51" s="81"/>
      <c r="AA51" s="81"/>
      <c r="AB51" s="81"/>
      <c r="AC51" s="81"/>
      <c r="AD51" s="81"/>
      <c r="AE51" s="81"/>
      <c r="AF51" s="81"/>
      <c r="AG51" s="81"/>
      <c r="AH51" s="81"/>
      <c r="AI51" s="81"/>
      <c r="AJ51" s="81"/>
      <c r="AK51" s="81"/>
      <c r="AL51" s="81"/>
      <c r="AM51" s="81"/>
      <c r="AN51" s="81"/>
    </row>
    <row r="52" spans="1:40">
      <c r="A52" s="1161"/>
      <c r="B52" s="120">
        <f>+'Proyección PPAs'!B4</f>
        <v>980996120.52516294</v>
      </c>
      <c r="C52" s="123" t="s">
        <v>8317</v>
      </c>
      <c r="D52" s="328">
        <f>+B52/120000000</f>
        <v>8.1749676710430244</v>
      </c>
      <c r="E52" s="81"/>
      <c r="F52" s="81"/>
      <c r="G52" s="81"/>
      <c r="H52" s="81"/>
      <c r="I52" s="81"/>
      <c r="J52" s="81"/>
      <c r="K52" s="83"/>
      <c r="L52" s="83"/>
      <c r="M52" s="81"/>
      <c r="N52" s="83"/>
      <c r="O52" s="83">
        <f>+B52*2.68%</f>
        <v>26290696.030074369</v>
      </c>
      <c r="P52" s="85">
        <f>+O52</f>
        <v>26290696.030074369</v>
      </c>
      <c r="Q52" s="83">
        <f>+P52</f>
        <v>26290696.030074369</v>
      </c>
      <c r="R52" s="83">
        <f>+Q52</f>
        <v>26290696.030074369</v>
      </c>
      <c r="S52" s="83">
        <f t="shared" ref="S52:AB52" si="53">+R52</f>
        <v>26290696.030074369</v>
      </c>
      <c r="T52" s="83">
        <f t="shared" si="53"/>
        <v>26290696.030074369</v>
      </c>
      <c r="U52" s="83">
        <f t="shared" si="53"/>
        <v>26290696.030074369</v>
      </c>
      <c r="V52" s="83">
        <f t="shared" si="53"/>
        <v>26290696.030074369</v>
      </c>
      <c r="W52" s="83">
        <f t="shared" si="53"/>
        <v>26290696.030074369</v>
      </c>
      <c r="X52" s="83">
        <f t="shared" si="53"/>
        <v>26290696.030074369</v>
      </c>
      <c r="Y52" s="83">
        <f t="shared" si="53"/>
        <v>26290696.030074369</v>
      </c>
      <c r="Z52" s="83">
        <f t="shared" si="53"/>
        <v>26290696.030074369</v>
      </c>
      <c r="AA52" s="83">
        <f t="shared" si="53"/>
        <v>26290696.030074369</v>
      </c>
      <c r="AB52" s="83">
        <f t="shared" si="53"/>
        <v>26290696.030074369</v>
      </c>
      <c r="AC52" s="83">
        <f>+AB52*(1+$F$2)</f>
        <v>27342323.871277343</v>
      </c>
      <c r="AD52" s="83">
        <f>+AC52</f>
        <v>27342323.871277343</v>
      </c>
      <c r="AE52" s="83">
        <f t="shared" ref="AE52:AN52" si="54">+AD52</f>
        <v>27342323.871277343</v>
      </c>
      <c r="AF52" s="83">
        <f t="shared" si="54"/>
        <v>27342323.871277343</v>
      </c>
      <c r="AG52" s="83">
        <f t="shared" si="54"/>
        <v>27342323.871277343</v>
      </c>
      <c r="AH52" s="83">
        <f t="shared" si="54"/>
        <v>27342323.871277343</v>
      </c>
      <c r="AI52" s="83">
        <f t="shared" si="54"/>
        <v>27342323.871277343</v>
      </c>
      <c r="AJ52" s="83">
        <f t="shared" si="54"/>
        <v>27342323.871277343</v>
      </c>
      <c r="AK52" s="83">
        <f t="shared" si="54"/>
        <v>27342323.871277343</v>
      </c>
      <c r="AL52" s="83">
        <f t="shared" si="54"/>
        <v>27342323.871277343</v>
      </c>
      <c r="AM52" s="83">
        <f t="shared" si="54"/>
        <v>27342323.871277343</v>
      </c>
      <c r="AN52" s="83">
        <f t="shared" si="54"/>
        <v>27342323.871277343</v>
      </c>
    </row>
    <row r="53" spans="1:40">
      <c r="A53" s="1161"/>
      <c r="B53" s="123"/>
      <c r="C53" s="281"/>
      <c r="D53" s="329"/>
      <c r="E53" s="81"/>
      <c r="F53" s="81"/>
      <c r="G53" s="81"/>
      <c r="H53" s="81"/>
      <c r="I53" s="81"/>
      <c r="J53" s="81"/>
      <c r="K53" s="83"/>
      <c r="L53" s="83"/>
      <c r="M53" s="81"/>
      <c r="N53" s="83"/>
      <c r="O53" s="81"/>
      <c r="P53" s="283"/>
      <c r="Q53" s="81"/>
      <c r="R53" s="81"/>
      <c r="S53" s="81"/>
      <c r="T53" s="81"/>
      <c r="U53" s="81"/>
      <c r="V53" s="83">
        <f>-B52*1%</f>
        <v>-9809961.2052516304</v>
      </c>
      <c r="W53" s="81"/>
      <c r="X53" s="81"/>
      <c r="Y53" s="81"/>
      <c r="Z53" s="81"/>
      <c r="AA53" s="81"/>
      <c r="AB53" s="81"/>
      <c r="AC53" s="81"/>
      <c r="AD53" s="81"/>
      <c r="AE53" s="81"/>
      <c r="AF53" s="81"/>
      <c r="AG53" s="81"/>
      <c r="AH53" s="81"/>
      <c r="AI53" s="83">
        <f>V53*(1+$F$2)</f>
        <v>-10202359.653461697</v>
      </c>
      <c r="AJ53" s="81"/>
      <c r="AK53" s="81"/>
      <c r="AL53" s="81"/>
      <c r="AM53" s="81"/>
      <c r="AN53" s="81"/>
    </row>
    <row r="54" spans="1:40">
      <c r="A54" s="1161"/>
      <c r="B54" s="120">
        <f>+'Proyección PPAs'!B6</f>
        <v>980996120.52516294</v>
      </c>
      <c r="C54" s="123" t="s">
        <v>8318</v>
      </c>
      <c r="D54" s="328">
        <f>+B54/120000000</f>
        <v>8.1749676710430244</v>
      </c>
      <c r="E54" s="81"/>
      <c r="F54" s="81"/>
      <c r="G54" s="81"/>
      <c r="H54" s="81"/>
      <c r="I54" s="81"/>
      <c r="J54" s="81"/>
      <c r="K54" s="83"/>
      <c r="L54" s="83"/>
      <c r="M54" s="81"/>
      <c r="N54" s="83"/>
      <c r="O54" s="81"/>
      <c r="P54" s="283"/>
      <c r="Q54" s="83">
        <f>+B54*2.68%</f>
        <v>26290696.030074369</v>
      </c>
      <c r="R54" s="83">
        <f>+Q54</f>
        <v>26290696.030074369</v>
      </c>
      <c r="S54" s="83">
        <f>+R54</f>
        <v>26290696.030074369</v>
      </c>
      <c r="T54" s="83">
        <f t="shared" ref="T54:AB54" si="55">+S54</f>
        <v>26290696.030074369</v>
      </c>
      <c r="U54" s="83">
        <f t="shared" si="55"/>
        <v>26290696.030074369</v>
      </c>
      <c r="V54" s="83">
        <f t="shared" si="55"/>
        <v>26290696.030074369</v>
      </c>
      <c r="W54" s="83">
        <f t="shared" si="55"/>
        <v>26290696.030074369</v>
      </c>
      <c r="X54" s="83">
        <f t="shared" si="55"/>
        <v>26290696.030074369</v>
      </c>
      <c r="Y54" s="83">
        <f t="shared" si="55"/>
        <v>26290696.030074369</v>
      </c>
      <c r="Z54" s="83">
        <f t="shared" si="55"/>
        <v>26290696.030074369</v>
      </c>
      <c r="AA54" s="83">
        <f t="shared" si="55"/>
        <v>26290696.030074369</v>
      </c>
      <c r="AB54" s="83">
        <f t="shared" si="55"/>
        <v>26290696.030074369</v>
      </c>
      <c r="AC54" s="83">
        <f>+AB54*(1+$F$2)</f>
        <v>27342323.871277343</v>
      </c>
      <c r="AD54" s="83">
        <f>+AC54</f>
        <v>27342323.871277343</v>
      </c>
      <c r="AE54" s="83">
        <f t="shared" ref="AE54:AN54" si="56">+AD54</f>
        <v>27342323.871277343</v>
      </c>
      <c r="AF54" s="83">
        <f t="shared" si="56"/>
        <v>27342323.871277343</v>
      </c>
      <c r="AG54" s="83">
        <f t="shared" si="56"/>
        <v>27342323.871277343</v>
      </c>
      <c r="AH54" s="83">
        <f t="shared" si="56"/>
        <v>27342323.871277343</v>
      </c>
      <c r="AI54" s="83">
        <f t="shared" si="56"/>
        <v>27342323.871277343</v>
      </c>
      <c r="AJ54" s="83">
        <f t="shared" si="56"/>
        <v>27342323.871277343</v>
      </c>
      <c r="AK54" s="83">
        <f t="shared" si="56"/>
        <v>27342323.871277343</v>
      </c>
      <c r="AL54" s="83">
        <f t="shared" si="56"/>
        <v>27342323.871277343</v>
      </c>
      <c r="AM54" s="83">
        <f t="shared" si="56"/>
        <v>27342323.871277343</v>
      </c>
      <c r="AN54" s="83">
        <f t="shared" si="56"/>
        <v>27342323.871277343</v>
      </c>
    </row>
    <row r="55" spans="1:40">
      <c r="A55" s="1161"/>
      <c r="B55" s="123"/>
      <c r="C55" s="281"/>
      <c r="D55" s="328"/>
      <c r="E55" s="81"/>
      <c r="F55" s="81"/>
      <c r="G55" s="81"/>
      <c r="H55" s="81"/>
      <c r="I55" s="81"/>
      <c r="J55" s="81"/>
      <c r="K55" s="83"/>
      <c r="L55" s="83"/>
      <c r="M55" s="81"/>
      <c r="N55" s="83"/>
      <c r="O55" s="81"/>
      <c r="P55" s="283"/>
      <c r="Q55" s="81"/>
      <c r="R55" s="81"/>
      <c r="S55" s="81"/>
      <c r="T55" s="81"/>
      <c r="U55" s="81"/>
      <c r="V55" s="81"/>
      <c r="W55" s="83">
        <f>-$B$54*1%</f>
        <v>-9809961.2052516304</v>
      </c>
      <c r="X55" s="81"/>
      <c r="Y55" s="81"/>
      <c r="Z55" s="81"/>
      <c r="AA55" s="81"/>
      <c r="AB55" s="81"/>
      <c r="AC55" s="81"/>
      <c r="AD55" s="81"/>
      <c r="AE55" s="81"/>
      <c r="AF55" s="81"/>
      <c r="AG55" s="81"/>
      <c r="AH55" s="81"/>
      <c r="AI55" s="81"/>
      <c r="AJ55" s="83">
        <f>W55*(1+$F$2)</f>
        <v>-10202359.653461697</v>
      </c>
      <c r="AK55" s="81"/>
      <c r="AL55" s="81"/>
      <c r="AM55" s="81"/>
      <c r="AN55" s="81"/>
    </row>
    <row r="56" spans="1:40">
      <c r="A56" s="1161"/>
      <c r="B56" s="120">
        <f>+'Proyección PPAs'!B8</f>
        <v>980996120.52516294</v>
      </c>
      <c r="C56" s="123" t="s">
        <v>8319</v>
      </c>
      <c r="D56" s="328">
        <f>+B56/120000000</f>
        <v>8.1749676710430244</v>
      </c>
      <c r="E56" s="81"/>
      <c r="F56" s="81"/>
      <c r="G56" s="81"/>
      <c r="H56" s="81"/>
      <c r="I56" s="81"/>
      <c r="J56" s="81"/>
      <c r="K56" s="83"/>
      <c r="L56" s="83"/>
      <c r="M56" s="81"/>
      <c r="N56" s="83"/>
      <c r="O56" s="81"/>
      <c r="P56" s="283"/>
      <c r="Q56" s="81"/>
      <c r="R56" s="81"/>
      <c r="S56" s="83">
        <f>+B56*2.68%</f>
        <v>26290696.030074369</v>
      </c>
      <c r="T56" s="83">
        <f>+S56</f>
        <v>26290696.030074369</v>
      </c>
      <c r="U56" s="83">
        <f t="shared" ref="U56:AA56" si="57">+T56</f>
        <v>26290696.030074369</v>
      </c>
      <c r="V56" s="83">
        <f t="shared" si="57"/>
        <v>26290696.030074369</v>
      </c>
      <c r="W56" s="83">
        <f t="shared" si="57"/>
        <v>26290696.030074369</v>
      </c>
      <c r="X56" s="83">
        <f t="shared" si="57"/>
        <v>26290696.030074369</v>
      </c>
      <c r="Y56" s="83">
        <f t="shared" si="57"/>
        <v>26290696.030074369</v>
      </c>
      <c r="Z56" s="83">
        <f t="shared" si="57"/>
        <v>26290696.030074369</v>
      </c>
      <c r="AA56" s="83">
        <f t="shared" si="57"/>
        <v>26290696.030074369</v>
      </c>
      <c r="AB56" s="85">
        <f>+AA56</f>
        <v>26290696.030074369</v>
      </c>
      <c r="AC56" s="83">
        <f>+AB56*(1+$F$2)</f>
        <v>27342323.871277343</v>
      </c>
      <c r="AD56" s="83">
        <f>+AC56</f>
        <v>27342323.871277343</v>
      </c>
      <c r="AE56" s="83">
        <f t="shared" ref="AE56:AN56" si="58">+AD56</f>
        <v>27342323.871277343</v>
      </c>
      <c r="AF56" s="83">
        <f t="shared" si="58"/>
        <v>27342323.871277343</v>
      </c>
      <c r="AG56" s="83">
        <f t="shared" si="58"/>
        <v>27342323.871277343</v>
      </c>
      <c r="AH56" s="83">
        <f t="shared" si="58"/>
        <v>27342323.871277343</v>
      </c>
      <c r="AI56" s="83">
        <f t="shared" si="58"/>
        <v>27342323.871277343</v>
      </c>
      <c r="AJ56" s="83">
        <f t="shared" si="58"/>
        <v>27342323.871277343</v>
      </c>
      <c r="AK56" s="83">
        <f t="shared" si="58"/>
        <v>27342323.871277343</v>
      </c>
      <c r="AL56" s="83">
        <f t="shared" si="58"/>
        <v>27342323.871277343</v>
      </c>
      <c r="AM56" s="83">
        <f t="shared" si="58"/>
        <v>27342323.871277343</v>
      </c>
      <c r="AN56" s="83">
        <f t="shared" si="58"/>
        <v>27342323.871277343</v>
      </c>
    </row>
    <row r="57" spans="1:40">
      <c r="B57" s="123"/>
      <c r="C57" s="281"/>
      <c r="D57" s="122"/>
      <c r="E57" s="81"/>
      <c r="F57" s="81"/>
      <c r="G57" s="81"/>
      <c r="H57" s="81"/>
      <c r="I57" s="81"/>
      <c r="J57" s="81"/>
      <c r="K57" s="83"/>
      <c r="L57" s="82" t="s">
        <v>101</v>
      </c>
      <c r="M57" s="81"/>
      <c r="N57" s="83"/>
      <c r="O57" s="81"/>
      <c r="P57" s="283"/>
      <c r="Q57" s="81"/>
      <c r="R57" s="81"/>
      <c r="S57" s="81"/>
      <c r="T57" s="81"/>
      <c r="U57" s="81"/>
      <c r="V57" s="81"/>
      <c r="W57" s="81"/>
      <c r="X57" s="83">
        <f>-$B$54*1%</f>
        <v>-9809961.2052516304</v>
      </c>
      <c r="Y57" s="81"/>
      <c r="Z57" s="81"/>
      <c r="AA57" s="81"/>
      <c r="AB57" s="283"/>
      <c r="AC57" s="81"/>
      <c r="AD57" s="81"/>
      <c r="AE57" s="81"/>
      <c r="AF57" s="81"/>
      <c r="AG57" s="81"/>
      <c r="AH57" s="81"/>
      <c r="AI57" s="81"/>
      <c r="AJ57" s="81"/>
      <c r="AK57" s="83">
        <f>X57*(1+$F$2)</f>
        <v>-10202359.653461697</v>
      </c>
      <c r="AL57" s="81"/>
      <c r="AM57" s="81"/>
      <c r="AN57" s="81"/>
    </row>
    <row r="58" spans="1:40">
      <c r="B58" s="123"/>
      <c r="C58" s="281"/>
      <c r="D58" s="122"/>
      <c r="E58" s="81"/>
      <c r="F58" s="81"/>
      <c r="G58" s="81"/>
      <c r="H58" s="81"/>
      <c r="I58" s="81"/>
      <c r="J58" s="81"/>
      <c r="K58" s="83"/>
      <c r="L58" s="82"/>
      <c r="M58" s="81"/>
      <c r="N58" s="83"/>
      <c r="O58" s="81"/>
      <c r="P58" s="81"/>
      <c r="Q58" s="81"/>
      <c r="R58" s="81"/>
      <c r="S58" s="81"/>
      <c r="T58" s="81"/>
      <c r="U58" s="81"/>
      <c r="V58" s="81"/>
      <c r="W58" s="81"/>
      <c r="X58" s="83"/>
      <c r="Y58" s="81"/>
      <c r="Z58" s="81"/>
      <c r="AA58" s="81"/>
      <c r="AB58" s="283"/>
      <c r="AC58" s="81"/>
      <c r="AD58" s="81"/>
      <c r="AE58" s="81"/>
      <c r="AF58" s="81"/>
      <c r="AG58" s="81"/>
      <c r="AH58" s="81"/>
      <c r="AI58" s="81"/>
      <c r="AJ58" s="81"/>
      <c r="AK58" s="81"/>
      <c r="AL58" s="81"/>
      <c r="AM58" s="81"/>
      <c r="AN58" s="81"/>
    </row>
    <row r="59" spans="1:40">
      <c r="B59" s="83"/>
      <c r="C59" s="85"/>
      <c r="D59" s="40" t="s">
        <v>8320</v>
      </c>
      <c r="E59" s="81"/>
      <c r="F59" s="81"/>
      <c r="G59" s="81"/>
      <c r="H59" s="81"/>
      <c r="I59" s="81"/>
      <c r="J59" s="81"/>
      <c r="K59" s="81"/>
      <c r="L59" s="81"/>
      <c r="M59" s="81"/>
      <c r="N59" s="81"/>
      <c r="O59" s="81"/>
      <c r="P59" s="81"/>
      <c r="Q59" s="81"/>
      <c r="R59" s="81"/>
      <c r="S59" s="81"/>
      <c r="T59" s="81"/>
      <c r="U59" s="81"/>
      <c r="V59" s="81"/>
      <c r="W59" s="81"/>
      <c r="X59" s="81"/>
      <c r="Y59" s="81"/>
      <c r="Z59" s="81"/>
      <c r="AA59" s="81"/>
      <c r="AB59" s="283"/>
      <c r="AC59" s="81"/>
      <c r="AD59" s="81"/>
      <c r="AE59" s="81"/>
      <c r="AF59" s="81"/>
      <c r="AG59" s="81"/>
      <c r="AH59" s="81"/>
      <c r="AI59" s="81"/>
      <c r="AJ59" s="81"/>
      <c r="AK59" s="81"/>
      <c r="AL59" s="81"/>
      <c r="AM59" s="81"/>
      <c r="AN59" s="81"/>
    </row>
    <row r="60" spans="1:40">
      <c r="E60" s="87">
        <f t="shared" ref="E60:AN60" si="59">+SUM(E5:E59)</f>
        <v>26445946.454565972</v>
      </c>
      <c r="F60" s="87">
        <f t="shared" si="59"/>
        <v>33662460.597170077</v>
      </c>
      <c r="G60" s="87">
        <f t="shared" si="59"/>
        <v>36895368.542781353</v>
      </c>
      <c r="H60" s="87">
        <f t="shared" si="59"/>
        <v>38598436.120558053</v>
      </c>
      <c r="I60" s="87">
        <f t="shared" si="59"/>
        <v>43460027.392858006</v>
      </c>
      <c r="J60" s="87">
        <f t="shared" si="59"/>
        <v>42842603.451783702</v>
      </c>
      <c r="K60" s="87">
        <f t="shared" si="59"/>
        <v>48255190.421000138</v>
      </c>
      <c r="L60" s="87">
        <f t="shared" si="59"/>
        <v>55841824.855750076</v>
      </c>
      <c r="M60" s="87">
        <f t="shared" si="59"/>
        <v>68583955.505802333</v>
      </c>
      <c r="N60" s="87">
        <f t="shared" si="59"/>
        <v>67828838.938379571</v>
      </c>
      <c r="O60" s="87">
        <f t="shared" si="59"/>
        <v>90070673.677051976</v>
      </c>
      <c r="P60" s="285">
        <f t="shared" si="59"/>
        <v>82360267.860753328</v>
      </c>
      <c r="Q60" s="87">
        <f t="shared" si="59"/>
        <v>120308876.14502683</v>
      </c>
      <c r="R60" s="285">
        <f t="shared" si="59"/>
        <v>125433279.81504649</v>
      </c>
      <c r="S60" s="285">
        <f t="shared" si="59"/>
        <v>147925948.72508997</v>
      </c>
      <c r="T60" s="285">
        <f t="shared" si="59"/>
        <v>145846789.74270761</v>
      </c>
      <c r="U60" s="285">
        <f t="shared" si="59"/>
        <v>143579807.65803131</v>
      </c>
      <c r="V60" s="285">
        <f t="shared" si="59"/>
        <v>132660423.2697714</v>
      </c>
      <c r="W60" s="285">
        <f t="shared" si="59"/>
        <v>143163426.22426111</v>
      </c>
      <c r="X60" s="285">
        <f t="shared" si="59"/>
        <v>137586532.42424569</v>
      </c>
      <c r="Y60" s="285">
        <f t="shared" si="59"/>
        <v>152569671.70715785</v>
      </c>
      <c r="Z60" s="285">
        <f t="shared" si="59"/>
        <v>152973387.42951274</v>
      </c>
      <c r="AA60" s="285">
        <f t="shared" si="59"/>
        <v>147073157.39889222</v>
      </c>
      <c r="AB60" s="285">
        <f t="shared" si="59"/>
        <v>138720058.57232136</v>
      </c>
      <c r="AC60" s="285">
        <f t="shared" si="59"/>
        <v>156913796.20608681</v>
      </c>
      <c r="AD60" s="285">
        <f t="shared" si="59"/>
        <v>159501376.38274887</v>
      </c>
      <c r="AE60" s="285">
        <f t="shared" si="59"/>
        <v>156241142.80409431</v>
      </c>
      <c r="AF60" s="285">
        <f t="shared" si="59"/>
        <v>157910482.4983092</v>
      </c>
      <c r="AG60" s="285">
        <f t="shared" si="59"/>
        <v>155863754.35122606</v>
      </c>
      <c r="AH60" s="285">
        <f t="shared" si="59"/>
        <v>151164885.07434073</v>
      </c>
      <c r="AI60" s="285">
        <f t="shared" si="59"/>
        <v>150548428.31367904</v>
      </c>
      <c r="AJ60" s="285">
        <f t="shared" si="59"/>
        <v>146660947.76122609</v>
      </c>
      <c r="AK60" s="285">
        <f t="shared" si="59"/>
        <v>150128563.96243</v>
      </c>
      <c r="AL60" s="285">
        <f t="shared" si="59"/>
        <v>160750787.96714073</v>
      </c>
      <c r="AM60" s="285">
        <f t="shared" si="59"/>
        <v>154614548.73529544</v>
      </c>
      <c r="AN60" s="285">
        <f t="shared" si="59"/>
        <v>145927325.95566168</v>
      </c>
    </row>
    <row r="62" spans="1:40">
      <c r="C62" s="13">
        <f>+AVERAGE(E62:AN62)</f>
        <v>-4498059.6123798173</v>
      </c>
      <c r="D62" s="48" t="s">
        <v>8321</v>
      </c>
      <c r="E62" s="13">
        <f t="shared" ref="E62:AN62" si="60">+E6+E8+E10+E12+E14+E16+E18+E20+E22+E24+E26+E28+E30+E32+E34+E36+E38+E40+E42+E44+E46</f>
        <v>-3510548.2436626474</v>
      </c>
      <c r="F62" s="13">
        <f t="shared" si="60"/>
        <v>-1249411.5843918761</v>
      </c>
      <c r="G62" s="13">
        <f t="shared" si="60"/>
        <v>-4317981.4965603435</v>
      </c>
      <c r="H62" s="13">
        <f t="shared" si="60"/>
        <v>-2614913.9187836358</v>
      </c>
      <c r="I62" s="13">
        <f t="shared" si="60"/>
        <v>-4608607.16</v>
      </c>
      <c r="J62" s="13">
        <f t="shared" si="60"/>
        <v>-7519351.0118429996</v>
      </c>
      <c r="K62" s="13">
        <f t="shared" si="60"/>
        <v>-4142658.6223939401</v>
      </c>
      <c r="L62" s="13">
        <f t="shared" si="60"/>
        <v>-3737962.0696663023</v>
      </c>
      <c r="M62" s="13">
        <f t="shared" si="60"/>
        <v>-388188.19457198301</v>
      </c>
      <c r="N62" s="13">
        <f t="shared" si="60"/>
        <v>-1624435.8149639</v>
      </c>
      <c r="O62" s="13">
        <f t="shared" si="60"/>
        <v>-5673298.1063658595</v>
      </c>
      <c r="P62" s="13">
        <f t="shared" si="60"/>
        <v>-13705123.901145564</v>
      </c>
      <c r="Q62" s="13">
        <f t="shared" si="60"/>
        <v>-6373815.2544115242</v>
      </c>
      <c r="R62" s="13">
        <f t="shared" si="60"/>
        <v>-1249411.5843918761</v>
      </c>
      <c r="S62" s="13">
        <f t="shared" si="60"/>
        <v>-5047438.7044227561</v>
      </c>
      <c r="T62" s="13">
        <f t="shared" si="60"/>
        <v>-2719510.475534983</v>
      </c>
      <c r="U62" s="13">
        <f t="shared" si="60"/>
        <v>-4792951.4464000007</v>
      </c>
      <c r="V62" s="13">
        <f t="shared" si="60"/>
        <v>-10503002.954489699</v>
      </c>
      <c r="W62" s="13">
        <f t="shared" si="60"/>
        <v>0</v>
      </c>
      <c r="X62" s="13">
        <f t="shared" si="60"/>
        <v>-5576893.8000154104</v>
      </c>
      <c r="Y62" s="13">
        <f t="shared" si="60"/>
        <v>-403715.72235486237</v>
      </c>
      <c r="Z62" s="13">
        <f t="shared" si="60"/>
        <v>0</v>
      </c>
      <c r="AA62" s="13">
        <f t="shared" si="60"/>
        <v>-5900230.0306204949</v>
      </c>
      <c r="AB62" s="13">
        <f t="shared" si="60"/>
        <v>-14253328.857191388</v>
      </c>
      <c r="AC62" s="13">
        <f t="shared" si="60"/>
        <v>-3836991.7610539356</v>
      </c>
      <c r="AD62" s="13">
        <f t="shared" si="60"/>
        <v>-1249411.5843918761</v>
      </c>
      <c r="AE62" s="13">
        <f t="shared" si="60"/>
        <v>-4509645.1630464206</v>
      </c>
      <c r="AF62" s="13">
        <f t="shared" si="60"/>
        <v>-2775418.0967727774</v>
      </c>
      <c r="AG62" s="13">
        <f t="shared" si="60"/>
        <v>-4792951.4464000007</v>
      </c>
      <c r="AH62" s="13">
        <f t="shared" si="60"/>
        <v>-9585902.8928000014</v>
      </c>
      <c r="AI62" s="13">
        <f t="shared" si="60"/>
        <v>0</v>
      </c>
      <c r="AJ62" s="13">
        <f t="shared" si="60"/>
        <v>-3887480.5524529545</v>
      </c>
      <c r="AK62" s="13">
        <f t="shared" si="60"/>
        <v>-419864.35124905687</v>
      </c>
      <c r="AL62" s="13">
        <f t="shared" si="60"/>
        <v>0</v>
      </c>
      <c r="AM62" s="13">
        <f t="shared" si="60"/>
        <v>-6136239.2318453137</v>
      </c>
      <c r="AN62" s="13">
        <f t="shared" si="60"/>
        <v>-14823462.011479042</v>
      </c>
    </row>
    <row r="63" spans="1:40">
      <c r="D63" s="40" t="s">
        <v>8322</v>
      </c>
      <c r="E63" s="83">
        <f t="shared" ref="E63:AN63" si="61">+E5+E7+E9+E11+E13+E15+E17+E19+E21+E23+E25+E27+E29+E35+E37+E39+E41+E43+E45+E47+E49</f>
        <v>28066068.934895284</v>
      </c>
      <c r="F63" s="83">
        <f t="shared" si="61"/>
        <v>32128218.418228619</v>
      </c>
      <c r="G63" s="83">
        <f t="shared" si="61"/>
        <v>38429696.276008353</v>
      </c>
      <c r="H63" s="83">
        <f t="shared" si="61"/>
        <v>38429696.276008353</v>
      </c>
      <c r="I63" s="83">
        <f t="shared" si="61"/>
        <v>45284980.789524682</v>
      </c>
      <c r="J63" s="83">
        <f t="shared" si="61"/>
        <v>47578300.70029337</v>
      </c>
      <c r="K63" s="83">
        <f t="shared" si="61"/>
        <v>49614195.280060753</v>
      </c>
      <c r="L63" s="83">
        <f t="shared" si="61"/>
        <v>56796133.162083037</v>
      </c>
      <c r="M63" s="83">
        <f t="shared" si="61"/>
        <v>66126155.104855008</v>
      </c>
      <c r="N63" s="83">
        <f t="shared" si="61"/>
        <v>66495614.793264173</v>
      </c>
      <c r="O63" s="83">
        <f t="shared" si="61"/>
        <v>66495615.793264173</v>
      </c>
      <c r="P63" s="83">
        <f t="shared" si="61"/>
        <v>66817035.771745212</v>
      </c>
      <c r="Q63" s="83">
        <f t="shared" si="61"/>
        <v>70907026.582403973</v>
      </c>
      <c r="R63" s="83">
        <f t="shared" si="61"/>
        <v>70907026.582403973</v>
      </c>
      <c r="S63" s="83">
        <f t="shared" si="61"/>
        <v>70907026.582403973</v>
      </c>
      <c r="T63" s="83">
        <f t="shared" si="61"/>
        <v>70907026.582403973</v>
      </c>
      <c r="U63" s="83">
        <f t="shared" si="61"/>
        <v>70907026.582403973</v>
      </c>
      <c r="V63" s="83">
        <f t="shared" si="61"/>
        <v>70907026.582403973</v>
      </c>
      <c r="W63" s="83">
        <f t="shared" si="61"/>
        <v>70907026.582403973</v>
      </c>
      <c r="X63" s="83">
        <f t="shared" si="61"/>
        <v>70907026.582403973</v>
      </c>
      <c r="Y63" s="83">
        <f t="shared" si="61"/>
        <v>70907026.582403973</v>
      </c>
      <c r="Z63" s="83">
        <f t="shared" si="61"/>
        <v>70907026.582403973</v>
      </c>
      <c r="AA63" s="83">
        <f t="shared" si="61"/>
        <v>70907026.582403973</v>
      </c>
      <c r="AB63" s="83">
        <f t="shared" si="61"/>
        <v>70907026.582403973</v>
      </c>
      <c r="AC63" s="83">
        <f t="shared" si="61"/>
        <v>75274001.775872216</v>
      </c>
      <c r="AD63" s="83">
        <f t="shared" si="61"/>
        <v>75274001.775872216</v>
      </c>
      <c r="AE63" s="83">
        <f t="shared" si="61"/>
        <v>75274001.775872216</v>
      </c>
      <c r="AF63" s="83">
        <f t="shared" si="61"/>
        <v>75274001.775872216</v>
      </c>
      <c r="AG63" s="83">
        <f t="shared" si="61"/>
        <v>75274001.775872216</v>
      </c>
      <c r="AH63" s="83">
        <f t="shared" si="61"/>
        <v>75274001.775872216</v>
      </c>
      <c r="AI63" s="83">
        <f t="shared" si="61"/>
        <v>75274001.775872216</v>
      </c>
      <c r="AJ63" s="83">
        <f t="shared" si="61"/>
        <v>75274001.775872216</v>
      </c>
      <c r="AK63" s="83">
        <f t="shared" si="61"/>
        <v>75274001.775872216</v>
      </c>
      <c r="AL63" s="83">
        <f t="shared" si="61"/>
        <v>75274001.775872216</v>
      </c>
      <c r="AM63" s="83">
        <f t="shared" si="61"/>
        <v>75274001.775872216</v>
      </c>
      <c r="AN63" s="83">
        <f t="shared" si="61"/>
        <v>75274001.775872216</v>
      </c>
    </row>
    <row r="66" spans="3:24">
      <c r="D66" s="37" t="s">
        <v>8323</v>
      </c>
      <c r="E66" s="13">
        <f t="shared" ref="E66:X66" si="62">+E63+E52+E54+E56</f>
        <v>28066068.934895284</v>
      </c>
      <c r="F66" s="13">
        <f t="shared" si="62"/>
        <v>32128218.418228619</v>
      </c>
      <c r="G66" s="13">
        <f t="shared" si="62"/>
        <v>38429696.276008353</v>
      </c>
      <c r="H66" s="13">
        <f t="shared" si="62"/>
        <v>38429696.276008353</v>
      </c>
      <c r="I66" s="13">
        <f t="shared" si="62"/>
        <v>45284980.789524682</v>
      </c>
      <c r="J66" s="13">
        <f t="shared" si="62"/>
        <v>47578300.70029337</v>
      </c>
      <c r="K66" s="13">
        <f t="shared" si="62"/>
        <v>49614195.280060753</v>
      </c>
      <c r="L66" s="13">
        <f t="shared" si="62"/>
        <v>56796133.162083037</v>
      </c>
      <c r="M66" s="13">
        <f t="shared" si="62"/>
        <v>66126155.104855008</v>
      </c>
      <c r="N66" s="13">
        <f t="shared" si="62"/>
        <v>66495614.793264173</v>
      </c>
      <c r="O66" s="13">
        <f t="shared" si="62"/>
        <v>92786311.823338538</v>
      </c>
      <c r="P66" s="13">
        <f t="shared" si="62"/>
        <v>93107731.801819578</v>
      </c>
      <c r="Q66" s="13">
        <f t="shared" si="62"/>
        <v>123488418.64255272</v>
      </c>
      <c r="R66" s="13">
        <f t="shared" si="62"/>
        <v>123488418.64255272</v>
      </c>
      <c r="S66" s="13">
        <f t="shared" si="62"/>
        <v>149779114.67262709</v>
      </c>
      <c r="T66" s="13">
        <f t="shared" si="62"/>
        <v>149779114.67262709</v>
      </c>
      <c r="U66" s="13">
        <f t="shared" si="62"/>
        <v>149779114.67262709</v>
      </c>
      <c r="V66" s="13">
        <f t="shared" si="62"/>
        <v>149779114.67262709</v>
      </c>
      <c r="W66" s="13">
        <f t="shared" si="62"/>
        <v>149779114.67262709</v>
      </c>
      <c r="X66" s="13">
        <f t="shared" si="62"/>
        <v>149779114.67262709</v>
      </c>
    </row>
    <row r="67" spans="3:24">
      <c r="C67" s="13">
        <v>-7830450</v>
      </c>
      <c r="D67" s="37" t="s">
        <v>8324</v>
      </c>
      <c r="E67" s="13">
        <f t="shared" ref="E67:K67" si="63">+E62+E53+E55+E57</f>
        <v>-3510548.2436626474</v>
      </c>
      <c r="F67" s="13">
        <f t="shared" si="63"/>
        <v>-1249411.5843918761</v>
      </c>
      <c r="G67" s="13">
        <f t="shared" si="63"/>
        <v>-4317981.4965603435</v>
      </c>
      <c r="H67" s="13">
        <f t="shared" si="63"/>
        <v>-2614913.9187836358</v>
      </c>
      <c r="I67" s="13">
        <f t="shared" si="63"/>
        <v>-4608607.16</v>
      </c>
      <c r="J67" s="13">
        <f t="shared" si="63"/>
        <v>-7519351.0118429996</v>
      </c>
      <c r="K67" s="13">
        <f t="shared" si="63"/>
        <v>-4142658.6223939401</v>
      </c>
      <c r="L67" s="13">
        <f>+K67</f>
        <v>-4142658.6223939401</v>
      </c>
      <c r="M67" s="13">
        <f>+M62+M53+M55+M57</f>
        <v>-388188.19457198301</v>
      </c>
      <c r="N67" s="13">
        <f>+N62+N53+N55+N57</f>
        <v>-1624435.8149639</v>
      </c>
      <c r="O67" s="13">
        <f>+O62+O53+O55+O57</f>
        <v>-5673298.1063658595</v>
      </c>
      <c r="P67" s="13">
        <f>+P62+P53+P55+P57</f>
        <v>-13705123.901145564</v>
      </c>
    </row>
    <row r="70" spans="3:24">
      <c r="D70" s="37" t="s">
        <v>33</v>
      </c>
      <c r="E70" s="13">
        <f>+E66-E63</f>
        <v>0</v>
      </c>
      <c r="F70" s="13">
        <f t="shared" ref="F70:P70" si="64">+F66-F63</f>
        <v>0</v>
      </c>
      <c r="G70" s="13">
        <f t="shared" si="64"/>
        <v>0</v>
      </c>
      <c r="H70" s="13">
        <f t="shared" si="64"/>
        <v>0</v>
      </c>
      <c r="I70" s="13">
        <f t="shared" si="64"/>
        <v>0</v>
      </c>
      <c r="J70" s="13">
        <f t="shared" si="64"/>
        <v>0</v>
      </c>
      <c r="K70" s="13">
        <f t="shared" si="64"/>
        <v>0</v>
      </c>
      <c r="L70" s="13">
        <f t="shared" si="64"/>
        <v>0</v>
      </c>
      <c r="M70" s="13">
        <f t="shared" si="64"/>
        <v>0</v>
      </c>
      <c r="N70" s="13">
        <f t="shared" si="64"/>
        <v>0</v>
      </c>
      <c r="O70" s="13">
        <f t="shared" si="64"/>
        <v>26290696.030074365</v>
      </c>
      <c r="P70" s="13">
        <f t="shared" si="64"/>
        <v>26290696.030074365</v>
      </c>
    </row>
  </sheetData>
  <mergeCells count="2">
    <mergeCell ref="B2:D3"/>
    <mergeCell ref="A41:A56"/>
  </mergeCells>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0E95E-A0B6-42CA-AB3B-8109467F0B49}">
  <dimension ref="A4:CA41"/>
  <sheetViews>
    <sheetView topLeftCell="C1" workbookViewId="0">
      <selection activeCell="F16" sqref="F16"/>
    </sheetView>
  </sheetViews>
  <sheetFormatPr defaultColWidth="11.3828125" defaultRowHeight="12.45"/>
  <cols>
    <col min="1" max="1" width="22.15234375" bestFit="1" customWidth="1"/>
    <col min="2" max="2" width="15.3046875" bestFit="1" customWidth="1"/>
    <col min="3" max="3" width="24.3046875" bestFit="1" customWidth="1"/>
    <col min="4" max="4" width="14.3828125" bestFit="1" customWidth="1"/>
    <col min="5" max="5" width="3.69140625" style="107" customWidth="1"/>
    <col min="6" max="6" width="15.3046875" bestFit="1" customWidth="1"/>
    <col min="7" max="9" width="15.84375" bestFit="1" customWidth="1"/>
    <col min="10" max="10" width="15.3046875" bestFit="1" customWidth="1"/>
    <col min="11" max="12" width="13.69140625" bestFit="1" customWidth="1"/>
    <col min="13" max="13" width="15.3046875" bestFit="1" customWidth="1"/>
    <col min="14" max="14" width="15.69140625" bestFit="1" customWidth="1"/>
    <col min="15" max="15" width="13.69140625" bestFit="1" customWidth="1"/>
    <col min="16" max="17" width="15.3046875" bestFit="1" customWidth="1"/>
    <col min="18" max="18" width="13.69140625" bestFit="1" customWidth="1"/>
    <col min="19" max="19" width="15.3046875" bestFit="1" customWidth="1"/>
    <col min="20" max="23" width="13.69140625" bestFit="1" customWidth="1"/>
    <col min="25" max="25" width="11.53515625" bestFit="1" customWidth="1"/>
    <col min="26" max="26" width="15.69140625" bestFit="1" customWidth="1"/>
    <col min="27" max="27" width="12.3828125" bestFit="1" customWidth="1"/>
    <col min="28" max="28" width="15.3046875" bestFit="1" customWidth="1"/>
    <col min="29" max="29" width="14.69140625" bestFit="1" customWidth="1"/>
    <col min="30" max="79" width="11.3828125" style="6"/>
  </cols>
  <sheetData>
    <row r="4" spans="1:29" ht="12.9" thickBot="1">
      <c r="A4" s="129" t="s">
        <v>8325</v>
      </c>
      <c r="B4" s="130" t="s">
        <v>8326</v>
      </c>
      <c r="C4" s="148" t="s">
        <v>8327</v>
      </c>
      <c r="D4" s="149">
        <v>2022</v>
      </c>
      <c r="E4" s="150"/>
      <c r="F4" s="151">
        <v>44927</v>
      </c>
      <c r="G4" s="131">
        <v>44958</v>
      </c>
      <c r="H4" s="132">
        <v>44986</v>
      </c>
      <c r="I4" s="132">
        <v>45017</v>
      </c>
      <c r="J4" s="132">
        <v>45047</v>
      </c>
      <c r="K4" s="133">
        <v>45078</v>
      </c>
      <c r="L4" s="133">
        <v>45108</v>
      </c>
      <c r="M4" s="133">
        <v>45139</v>
      </c>
      <c r="N4" s="133">
        <v>45170</v>
      </c>
      <c r="O4" s="133">
        <v>45200</v>
      </c>
      <c r="P4" s="133">
        <v>45231</v>
      </c>
      <c r="Q4" s="133">
        <v>45261</v>
      </c>
      <c r="R4" s="133">
        <v>45292</v>
      </c>
      <c r="S4" s="133">
        <v>45323</v>
      </c>
      <c r="T4" s="133">
        <v>45352</v>
      </c>
      <c r="U4" s="133">
        <v>45383</v>
      </c>
      <c r="V4" s="133">
        <v>45413</v>
      </c>
      <c r="W4" s="133">
        <v>45444</v>
      </c>
      <c r="X4" s="133">
        <v>45474</v>
      </c>
      <c r="Y4" s="133">
        <v>45505</v>
      </c>
      <c r="Z4" s="133">
        <v>45536</v>
      </c>
      <c r="AA4" s="133">
        <v>45566</v>
      </c>
      <c r="AB4" s="133">
        <v>45597</v>
      </c>
      <c r="AC4" s="134">
        <v>45627</v>
      </c>
    </row>
    <row r="5" spans="1:29">
      <c r="A5" s="110">
        <v>69.760000000000005</v>
      </c>
      <c r="B5" s="2">
        <f>+SUM(D5:Q5)</f>
        <v>285406513</v>
      </c>
      <c r="C5" s="6" t="s">
        <v>8298</v>
      </c>
      <c r="D5" s="2">
        <v>285406513</v>
      </c>
      <c r="F5" s="6"/>
      <c r="G5" s="6"/>
      <c r="H5" s="6"/>
      <c r="I5" s="6"/>
      <c r="J5" s="6"/>
      <c r="K5" s="6"/>
      <c r="L5" s="6"/>
      <c r="M5" s="6"/>
      <c r="N5" s="6"/>
      <c r="O5" s="6"/>
      <c r="P5" s="6"/>
      <c r="Q5" s="6"/>
      <c r="R5" s="6"/>
      <c r="S5" s="6"/>
      <c r="T5" s="6"/>
      <c r="U5" s="6"/>
      <c r="V5" s="6"/>
      <c r="W5" s="6"/>
      <c r="X5" s="6"/>
      <c r="Y5" s="6"/>
      <c r="Z5" s="6"/>
      <c r="AA5" s="6"/>
      <c r="AB5" s="6"/>
      <c r="AC5" s="6"/>
    </row>
    <row r="6" spans="1:29">
      <c r="A6" s="110">
        <v>5.99</v>
      </c>
      <c r="B6" s="2">
        <f t="shared" ref="B6:B20" si="0">+SUM(D6:Q6)</f>
        <v>29741663.6969034</v>
      </c>
      <c r="C6" s="6" t="s">
        <v>8299</v>
      </c>
      <c r="D6" s="2">
        <v>29741663.6969034</v>
      </c>
      <c r="F6" s="6"/>
      <c r="G6" s="6"/>
      <c r="H6" s="6"/>
      <c r="I6" s="6"/>
      <c r="J6" s="6"/>
      <c r="K6" s="6"/>
      <c r="L6" s="6"/>
      <c r="M6" s="6"/>
      <c r="N6" s="6"/>
      <c r="O6" s="6"/>
      <c r="P6" s="6"/>
      <c r="Q6" s="6"/>
      <c r="R6" s="6"/>
      <c r="S6" s="6"/>
      <c r="T6" s="6"/>
      <c r="U6" s="6"/>
      <c r="V6" s="6"/>
      <c r="W6" s="6"/>
      <c r="X6" s="6"/>
      <c r="Y6" s="6"/>
      <c r="Z6" s="6"/>
      <c r="AA6" s="6"/>
      <c r="AB6" s="6"/>
      <c r="AC6" s="6"/>
    </row>
    <row r="7" spans="1:29">
      <c r="A7" s="110">
        <v>42.12</v>
      </c>
      <c r="B7" s="2">
        <f t="shared" si="0"/>
        <v>125707649</v>
      </c>
      <c r="C7" s="6" t="s">
        <v>8300</v>
      </c>
      <c r="D7" s="2">
        <v>125707649</v>
      </c>
      <c r="F7" s="2"/>
      <c r="G7" s="2"/>
      <c r="H7" s="2"/>
      <c r="I7" s="2"/>
      <c r="J7" s="2"/>
      <c r="K7" s="6"/>
      <c r="L7" s="6"/>
      <c r="M7" s="6"/>
      <c r="N7" s="6"/>
      <c r="O7" s="6"/>
      <c r="P7" s="6"/>
      <c r="Q7" s="6"/>
      <c r="R7" s="6"/>
      <c r="S7" s="6"/>
      <c r="T7" s="6"/>
      <c r="U7" s="6"/>
      <c r="V7" s="6"/>
      <c r="W7" s="6"/>
      <c r="X7" s="6"/>
      <c r="Y7" s="6"/>
      <c r="Z7" s="6"/>
      <c r="AA7" s="6"/>
      <c r="AB7" s="6"/>
      <c r="AC7" s="6"/>
    </row>
    <row r="8" spans="1:29">
      <c r="A8" s="110">
        <v>80.66</v>
      </c>
      <c r="B8" s="2">
        <f t="shared" si="0"/>
        <v>327731398.99999976</v>
      </c>
      <c r="C8" s="6" t="s">
        <v>8301</v>
      </c>
      <c r="D8" s="2">
        <f>295651552.161683+1889261.93</f>
        <v>297540814.09168303</v>
      </c>
      <c r="F8" s="2">
        <v>14810979.220530462</v>
      </c>
      <c r="G8" s="2">
        <v>8476204.7537203226</v>
      </c>
      <c r="H8" s="2">
        <v>2374003.9340659338</v>
      </c>
      <c r="I8" s="2">
        <v>4044655</v>
      </c>
      <c r="J8" s="2">
        <v>484742</v>
      </c>
      <c r="K8" s="6"/>
      <c r="L8" s="6"/>
      <c r="M8" s="6"/>
      <c r="N8" s="6"/>
      <c r="O8" s="6"/>
      <c r="P8" s="6"/>
      <c r="Q8" s="6"/>
      <c r="R8" s="6"/>
      <c r="S8" s="6"/>
      <c r="T8" s="6"/>
      <c r="U8" s="6"/>
      <c r="V8" s="6"/>
      <c r="W8" s="6"/>
      <c r="X8" s="6"/>
      <c r="Y8" s="6"/>
      <c r="Z8" s="6"/>
      <c r="AA8" s="6"/>
      <c r="AB8" s="6"/>
      <c r="AC8" s="6"/>
    </row>
    <row r="9" spans="1:29">
      <c r="A9" s="110">
        <v>53.96</v>
      </c>
      <c r="B9" s="2">
        <f t="shared" si="0"/>
        <v>318561200.99687994</v>
      </c>
      <c r="C9" s="6" t="s">
        <v>8302</v>
      </c>
      <c r="D9" s="2">
        <f>77998777.56-1889261.93-2070000</f>
        <v>74039515.629999995</v>
      </c>
      <c r="F9" s="2">
        <v>20997142.758549862</v>
      </c>
      <c r="G9" s="2">
        <v>60672995.106791601</v>
      </c>
      <c r="H9" s="2">
        <v>90860134.211538464</v>
      </c>
      <c r="I9" s="2">
        <f>1570595+21875677.04</f>
        <v>23446272.039999999</v>
      </c>
      <c r="J9" s="2">
        <f>503100+48042041.25</f>
        <v>48545141.25</v>
      </c>
      <c r="K9" s="6"/>
      <c r="L9" s="6"/>
      <c r="M9" s="6"/>
      <c r="N9" s="6"/>
      <c r="O9" s="6"/>
      <c r="P9" s="6"/>
      <c r="Q9" s="6"/>
      <c r="R9" s="6"/>
      <c r="S9" s="6"/>
      <c r="T9" s="6"/>
      <c r="U9" s="6"/>
      <c r="V9" s="6"/>
      <c r="W9" s="6"/>
      <c r="X9" s="6"/>
      <c r="Y9" s="6"/>
      <c r="Z9" s="6"/>
      <c r="AA9" s="6"/>
      <c r="AB9" s="6"/>
      <c r="AC9" s="6"/>
    </row>
    <row r="10" spans="1:29">
      <c r="A10" s="110">
        <v>6</v>
      </c>
      <c r="B10" s="2">
        <f>+SUM(D10:Q10)</f>
        <v>48384380.0045821</v>
      </c>
      <c r="C10" s="6" t="s">
        <v>8303</v>
      </c>
      <c r="D10" s="2">
        <v>8407689.6886622738</v>
      </c>
      <c r="F10" s="2">
        <v>16039679.090644993</v>
      </c>
      <c r="G10" s="2">
        <v>7395460.4152748268</v>
      </c>
      <c r="H10" s="2">
        <v>701600</v>
      </c>
      <c r="I10" s="2">
        <f>728900+15111050.81-210000</f>
        <v>15629950.810000001</v>
      </c>
      <c r="J10" s="2">
        <v>210000</v>
      </c>
      <c r="K10" s="6"/>
      <c r="L10" s="6"/>
      <c r="M10" s="6"/>
      <c r="N10" s="6"/>
      <c r="O10" s="6"/>
      <c r="P10" s="6"/>
      <c r="Q10" s="6"/>
      <c r="R10" s="6"/>
      <c r="S10" s="6"/>
      <c r="T10" s="6"/>
      <c r="U10" s="6"/>
      <c r="V10" s="6"/>
      <c r="W10" s="6"/>
      <c r="X10" s="6"/>
      <c r="Y10" s="6"/>
      <c r="Z10" s="6"/>
      <c r="AA10" s="6"/>
      <c r="AB10" s="6"/>
      <c r="AC10" s="6"/>
    </row>
    <row r="11" spans="1:29">
      <c r="A11" s="110">
        <v>37.06</v>
      </c>
      <c r="B11" s="2">
        <f t="shared" si="0"/>
        <v>203918395.99838084</v>
      </c>
      <c r="C11" s="6" t="s">
        <v>8304</v>
      </c>
      <c r="D11" s="2">
        <v>18618529.965</v>
      </c>
      <c r="F11" s="2">
        <v>90933833.263700157</v>
      </c>
      <c r="G11" s="2">
        <v>21509373.079680685</v>
      </c>
      <c r="H11" s="2">
        <f>3743976.66+64053153.03</f>
        <v>67797129.689999998</v>
      </c>
      <c r="I11" s="2">
        <f>5059530-577618</f>
        <v>4481912</v>
      </c>
      <c r="J11" s="2">
        <v>577618</v>
      </c>
      <c r="K11" s="6"/>
      <c r="L11" s="6"/>
      <c r="M11" s="6"/>
      <c r="N11" s="6"/>
      <c r="O11" s="6"/>
      <c r="P11" s="6"/>
      <c r="Q11" s="6"/>
      <c r="R11" s="6"/>
      <c r="S11" s="6"/>
      <c r="T11" s="6"/>
      <c r="U11" s="6"/>
      <c r="V11" s="6"/>
      <c r="W11" s="6"/>
      <c r="X11" s="6"/>
      <c r="Y11" s="6"/>
      <c r="Z11" s="6"/>
      <c r="AA11" s="6"/>
      <c r="AB11" s="6"/>
      <c r="AC11" s="6"/>
    </row>
    <row r="12" spans="1:29">
      <c r="A12" s="110">
        <v>35.75</v>
      </c>
      <c r="B12" s="2">
        <f t="shared" si="0"/>
        <v>220143873.99541357</v>
      </c>
      <c r="C12" s="6" t="s">
        <v>8305</v>
      </c>
      <c r="D12" s="2">
        <v>18618529.965</v>
      </c>
      <c r="F12" s="2">
        <v>88580915.836264417</v>
      </c>
      <c r="G12" s="2">
        <v>16896840.65414916</v>
      </c>
      <c r="H12" s="2">
        <f>9786845.88+19432366.97+1000000</f>
        <v>30219212.850000001</v>
      </c>
      <c r="I12" s="2">
        <f>368000+66460374.69-1972623</f>
        <v>64855751.689999998</v>
      </c>
      <c r="J12" s="2">
        <v>972623</v>
      </c>
      <c r="K12" s="6"/>
      <c r="L12" s="6"/>
      <c r="M12" s="6"/>
      <c r="N12" s="6"/>
      <c r="O12" s="6"/>
      <c r="P12" s="6"/>
      <c r="Q12" s="6"/>
      <c r="R12" s="6"/>
      <c r="S12" s="6"/>
      <c r="T12" s="6"/>
      <c r="U12" s="6"/>
      <c r="V12" s="6"/>
      <c r="W12" s="6"/>
      <c r="X12" s="6"/>
      <c r="Y12" s="6"/>
      <c r="Z12" s="6"/>
      <c r="AA12" s="6"/>
      <c r="AB12" s="6"/>
      <c r="AC12" s="6"/>
    </row>
    <row r="13" spans="1:29">
      <c r="A13" s="110">
        <v>19.079999999999998</v>
      </c>
      <c r="B13" s="2">
        <f t="shared" si="0"/>
        <v>63244599.997692287</v>
      </c>
      <c r="C13" s="6" t="s">
        <v>5248</v>
      </c>
      <c r="D13" s="2">
        <f>38917979.588942+2070000</f>
        <v>40987979.588941999</v>
      </c>
      <c r="F13" s="98">
        <v>2422670.8803101061</v>
      </c>
      <c r="G13" s="2">
        <v>15569759.220747884</v>
      </c>
      <c r="H13" s="2">
        <v>4034190.307692308</v>
      </c>
      <c r="I13" s="2">
        <v>230000</v>
      </c>
      <c r="J13" s="2"/>
      <c r="K13" s="6"/>
      <c r="L13" s="6"/>
      <c r="M13" s="6"/>
      <c r="N13" s="6"/>
      <c r="O13" s="6"/>
      <c r="P13" s="6"/>
      <c r="Q13" s="6"/>
      <c r="R13" s="6"/>
      <c r="S13" s="6"/>
      <c r="T13" s="6"/>
      <c r="U13" s="6"/>
      <c r="V13" s="6"/>
      <c r="W13" s="6"/>
      <c r="X13" s="6"/>
      <c r="Y13" s="6"/>
      <c r="Z13" s="6"/>
      <c r="AA13" s="6"/>
      <c r="AB13" s="6"/>
      <c r="AC13" s="6"/>
    </row>
    <row r="14" spans="1:29">
      <c r="A14" s="110">
        <v>24.15</v>
      </c>
      <c r="B14" s="2">
        <f t="shared" si="0"/>
        <v>107086309.99998534</v>
      </c>
      <c r="C14" s="6" t="s">
        <v>8306</v>
      </c>
      <c r="D14" s="6"/>
      <c r="F14" s="2"/>
      <c r="G14" s="2">
        <v>988087.99998533144</v>
      </c>
      <c r="H14" s="2"/>
      <c r="I14" s="2">
        <v>19934377.100000001</v>
      </c>
      <c r="J14" s="2">
        <v>64241399.490000002</v>
      </c>
      <c r="K14" s="216">
        <v>21922445.41</v>
      </c>
      <c r="L14" s="6"/>
      <c r="M14" s="6"/>
      <c r="N14" s="6"/>
      <c r="O14" s="6"/>
      <c r="P14" s="6"/>
      <c r="Q14" s="6"/>
      <c r="R14" s="6"/>
      <c r="S14" s="6"/>
      <c r="T14" s="6"/>
      <c r="U14" s="6"/>
      <c r="V14" s="6"/>
      <c r="W14" s="6"/>
      <c r="X14" s="6"/>
      <c r="Y14" s="6"/>
      <c r="Z14" s="6"/>
      <c r="AA14" s="6"/>
      <c r="AB14" s="6"/>
      <c r="AC14" s="6"/>
    </row>
    <row r="15" spans="1:29">
      <c r="A15" s="110">
        <v>129.71</v>
      </c>
      <c r="B15" s="2">
        <f t="shared" si="0"/>
        <v>349191342.96299165</v>
      </c>
      <c r="C15" s="6" t="s">
        <v>777</v>
      </c>
      <c r="D15" s="6"/>
      <c r="F15" s="2"/>
      <c r="G15" s="2">
        <v>23015708.619658321</v>
      </c>
      <c r="H15" s="2">
        <v>47083037.933333337</v>
      </c>
      <c r="I15" s="2">
        <v>1472978</v>
      </c>
      <c r="J15" s="2">
        <v>194845390.25</v>
      </c>
      <c r="K15" s="2">
        <v>33760984.960000001</v>
      </c>
      <c r="L15" s="2">
        <v>29013243.199999999</v>
      </c>
      <c r="M15" s="2">
        <v>20000000</v>
      </c>
      <c r="N15" s="6"/>
      <c r="O15" s="6"/>
      <c r="P15" s="6"/>
      <c r="Q15" s="6"/>
      <c r="R15" s="6"/>
      <c r="S15" s="6"/>
      <c r="T15" s="6"/>
      <c r="U15" s="6"/>
      <c r="V15" s="6"/>
      <c r="W15" s="6"/>
      <c r="X15" s="6"/>
      <c r="Y15" s="6"/>
      <c r="Z15" s="6"/>
      <c r="AA15" s="6"/>
      <c r="AB15" s="6"/>
      <c r="AC15" s="6"/>
    </row>
    <row r="16" spans="1:29">
      <c r="A16" s="110">
        <v>121</v>
      </c>
      <c r="B16" s="2">
        <f t="shared" si="0"/>
        <v>726389106.75</v>
      </c>
      <c r="C16" s="6" t="s">
        <v>262</v>
      </c>
      <c r="D16" s="2"/>
      <c r="E16" s="135"/>
      <c r="F16" s="2"/>
      <c r="G16" s="2"/>
      <c r="H16" s="2">
        <v>122790917.62179486</v>
      </c>
      <c r="I16" s="2">
        <v>84772107.099999994</v>
      </c>
      <c r="J16" s="2">
        <v>333769517.13</v>
      </c>
      <c r="K16" s="2">
        <v>54454005.57</v>
      </c>
      <c r="L16" s="2">
        <v>75550000</v>
      </c>
      <c r="M16" s="2">
        <v>55052559.328205109</v>
      </c>
      <c r="N16" s="6"/>
      <c r="O16" s="6"/>
      <c r="P16" s="6"/>
      <c r="Q16" s="6"/>
      <c r="R16" s="6"/>
      <c r="S16" s="6"/>
      <c r="T16" s="6"/>
      <c r="U16" s="6"/>
      <c r="V16" s="6"/>
      <c r="W16" s="6"/>
      <c r="X16" s="6"/>
      <c r="Y16" s="6"/>
      <c r="Z16" s="6"/>
      <c r="AA16" s="6"/>
      <c r="AB16" s="6"/>
      <c r="AC16" s="6"/>
    </row>
    <row r="17" spans="1:29">
      <c r="A17" s="110">
        <v>38.15</v>
      </c>
      <c r="B17" s="2">
        <f t="shared" si="0"/>
        <v>105630450</v>
      </c>
      <c r="C17" s="6" t="s">
        <v>8309</v>
      </c>
      <c r="D17" s="6"/>
      <c r="F17" s="2"/>
      <c r="G17" s="2"/>
      <c r="H17" s="2"/>
      <c r="I17" s="2"/>
      <c r="J17" s="2">
        <v>85630450</v>
      </c>
      <c r="K17" s="2"/>
      <c r="L17" s="2">
        <v>20000000</v>
      </c>
      <c r="M17" s="6"/>
      <c r="N17" s="6"/>
      <c r="O17" s="6"/>
      <c r="P17" s="6"/>
      <c r="Q17" s="6"/>
      <c r="R17" s="6"/>
      <c r="S17" s="6"/>
      <c r="T17" s="6"/>
      <c r="U17" s="6"/>
      <c r="V17" s="6"/>
      <c r="W17" s="6"/>
      <c r="X17" s="6"/>
      <c r="Y17" s="6"/>
      <c r="Z17" s="6"/>
      <c r="AA17" s="6"/>
      <c r="AB17" s="6"/>
      <c r="AC17" s="6"/>
    </row>
    <row r="18" spans="1:29">
      <c r="A18" s="110">
        <v>15.26</v>
      </c>
      <c r="B18" s="2">
        <f t="shared" si="0"/>
        <v>55908259.07</v>
      </c>
      <c r="C18" s="6" t="s">
        <v>8310</v>
      </c>
      <c r="D18" s="6"/>
      <c r="F18" s="2"/>
      <c r="G18" s="2"/>
      <c r="H18" s="2"/>
      <c r="I18" s="2">
        <v>785800</v>
      </c>
      <c r="J18" s="2">
        <v>36513687.799999997</v>
      </c>
      <c r="K18" s="2">
        <v>17563029.07</v>
      </c>
      <c r="L18" s="2">
        <v>1045742.2</v>
      </c>
      <c r="M18" s="6"/>
      <c r="N18" s="6"/>
      <c r="O18" s="6"/>
      <c r="P18" s="6"/>
      <c r="Q18" s="6"/>
      <c r="R18" s="6"/>
      <c r="S18" s="6"/>
      <c r="T18" s="6"/>
      <c r="U18" s="6"/>
      <c r="V18" s="6"/>
      <c r="W18" s="6"/>
      <c r="X18" s="6"/>
      <c r="Y18" s="6"/>
      <c r="Z18" s="6"/>
      <c r="AA18" s="6"/>
      <c r="AB18" s="6"/>
      <c r="AC18" s="6"/>
    </row>
    <row r="19" spans="1:29">
      <c r="A19" s="110">
        <v>27.6</v>
      </c>
      <c r="B19" s="2">
        <f t="shared" si="0"/>
        <v>87813783.697582185</v>
      </c>
      <c r="C19" s="6" t="s">
        <v>8328</v>
      </c>
      <c r="D19" s="6"/>
      <c r="F19" s="2"/>
      <c r="G19" s="2"/>
      <c r="H19" s="2"/>
      <c r="I19" s="2"/>
      <c r="J19" s="2"/>
      <c r="K19" s="2"/>
      <c r="L19" s="2">
        <v>21953445.92439555</v>
      </c>
      <c r="M19" s="2">
        <v>21953445.92439555</v>
      </c>
      <c r="N19" s="2">
        <v>36589076.540659249</v>
      </c>
      <c r="O19" s="2">
        <v>7317815.3081318503</v>
      </c>
      <c r="P19" s="6"/>
      <c r="Q19" s="6"/>
      <c r="R19" s="6"/>
      <c r="S19" s="6"/>
      <c r="T19" s="6"/>
      <c r="U19" s="6"/>
      <c r="V19" s="6"/>
      <c r="W19" s="6"/>
      <c r="X19" s="6"/>
      <c r="Y19" s="6"/>
      <c r="Z19" s="6"/>
      <c r="AA19" s="6"/>
      <c r="AB19" s="6"/>
      <c r="AC19" s="6"/>
    </row>
    <row r="20" spans="1:29">
      <c r="A20" s="110">
        <v>32.200000000000003</v>
      </c>
      <c r="B20" s="2">
        <f t="shared" si="0"/>
        <v>174921406.29758221</v>
      </c>
      <c r="C20" s="6" t="s">
        <v>8329</v>
      </c>
      <c r="D20" s="6"/>
      <c r="F20" s="6"/>
      <c r="G20" s="6"/>
      <c r="H20" s="6"/>
      <c r="I20" s="6"/>
      <c r="J20" s="6"/>
      <c r="K20" s="2">
        <v>76307622</v>
      </c>
      <c r="L20" s="2">
        <v>24653446.074395549</v>
      </c>
      <c r="M20" s="2">
        <v>24653446.074395549</v>
      </c>
      <c r="N20" s="2">
        <v>41089076.790659249</v>
      </c>
      <c r="O20" s="2">
        <v>8217815.3581318501</v>
      </c>
      <c r="P20" s="6"/>
      <c r="Q20" s="6"/>
      <c r="R20" s="6"/>
      <c r="S20" s="6"/>
      <c r="T20" s="6"/>
      <c r="U20" s="6"/>
      <c r="V20" s="6"/>
      <c r="W20" s="6"/>
      <c r="X20" s="6"/>
      <c r="Y20" s="6"/>
      <c r="Z20" s="6"/>
      <c r="AA20" s="6"/>
      <c r="AB20" s="6"/>
      <c r="AC20" s="6"/>
    </row>
    <row r="21" spans="1:29" ht="12.9" thickBot="1">
      <c r="A21" s="109"/>
      <c r="B21" s="6"/>
      <c r="C21" s="58"/>
      <c r="D21" s="6"/>
      <c r="F21" s="6"/>
      <c r="G21" s="6"/>
      <c r="H21" s="6"/>
      <c r="I21" s="2"/>
      <c r="J21" s="2"/>
      <c r="K21" s="2"/>
      <c r="L21" s="2"/>
      <c r="M21" s="2"/>
      <c r="N21" s="2"/>
      <c r="O21" s="2"/>
      <c r="P21" s="6"/>
      <c r="Q21" s="6"/>
      <c r="R21" s="6"/>
      <c r="S21" s="6"/>
      <c r="T21" s="6"/>
      <c r="U21" s="6"/>
      <c r="V21" s="6"/>
      <c r="W21" s="6"/>
      <c r="X21" s="6"/>
      <c r="Y21" s="6"/>
      <c r="Z21" s="6"/>
      <c r="AA21" s="6"/>
      <c r="AB21" s="6"/>
      <c r="AC21" s="6"/>
    </row>
    <row r="22" spans="1:29" ht="12.9" thickBot="1">
      <c r="A22" s="153"/>
      <c r="B22" s="154"/>
      <c r="C22" s="1168" t="s">
        <v>8330</v>
      </c>
      <c r="D22" s="1169"/>
      <c r="E22" s="1169"/>
      <c r="F22" s="1169"/>
      <c r="G22" s="1169"/>
      <c r="H22" s="1169"/>
      <c r="I22" s="1169"/>
      <c r="J22" s="1169"/>
      <c r="K22" s="1169"/>
      <c r="L22" s="1169"/>
      <c r="M22" s="1169"/>
      <c r="N22" s="1169"/>
      <c r="O22" s="1169"/>
      <c r="P22" s="1169"/>
      <c r="Q22" s="1169"/>
      <c r="R22" s="1169"/>
      <c r="S22" s="1169"/>
      <c r="T22" s="1169"/>
      <c r="U22" s="1169"/>
      <c r="V22" s="1169"/>
      <c r="W22" s="1169"/>
      <c r="X22" s="1169"/>
      <c r="Y22" s="1169"/>
      <c r="Z22" s="1169"/>
      <c r="AA22" s="1169"/>
      <c r="AB22" s="1169"/>
      <c r="AC22" s="1170"/>
    </row>
    <row r="23" spans="1:29" ht="12.9" thickBot="1">
      <c r="A23" s="109"/>
      <c r="B23" s="6"/>
      <c r="C23" s="128"/>
      <c r="D23" s="128"/>
      <c r="E23" s="152"/>
      <c r="F23" s="128"/>
      <c r="G23" s="128"/>
      <c r="H23" s="128"/>
      <c r="I23" s="128"/>
      <c r="J23" s="128"/>
      <c r="K23" s="128"/>
      <c r="L23" s="128"/>
      <c r="M23" s="128"/>
      <c r="N23" s="128"/>
      <c r="O23" s="128"/>
      <c r="P23" s="128"/>
      <c r="Q23" s="128"/>
      <c r="R23" s="128"/>
      <c r="S23" s="128"/>
      <c r="T23" s="128"/>
      <c r="U23" s="128"/>
      <c r="V23" s="128"/>
      <c r="W23" s="128"/>
      <c r="X23" s="128"/>
      <c r="Y23" s="128"/>
      <c r="Z23" s="128"/>
      <c r="AA23" s="128"/>
      <c r="AB23" s="128"/>
      <c r="AC23" s="128"/>
    </row>
    <row r="24" spans="1:29">
      <c r="A24" s="110">
        <v>214.5</v>
      </c>
      <c r="B24" s="91">
        <f>+SUM(G24:P24)</f>
        <v>820500373.86999178</v>
      </c>
      <c r="C24" s="92" t="s">
        <v>8331</v>
      </c>
      <c r="D24" s="137"/>
      <c r="E24" s="139"/>
      <c r="F24" s="138"/>
      <c r="G24" s="91">
        <v>546487.99999188713</v>
      </c>
      <c r="H24" s="92"/>
      <c r="I24" s="91">
        <v>730488</v>
      </c>
      <c r="J24" s="91"/>
      <c r="K24" s="91"/>
      <c r="L24" s="91">
        <v>327689359.148</v>
      </c>
      <c r="M24" s="91">
        <v>122883509.68049997</v>
      </c>
      <c r="N24" s="91">
        <v>122883509.68049997</v>
      </c>
      <c r="O24" s="91">
        <v>204805849.46749997</v>
      </c>
      <c r="P24" s="91">
        <v>40961169.8935</v>
      </c>
      <c r="Q24" s="91"/>
      <c r="R24" s="92"/>
      <c r="S24" s="92"/>
      <c r="T24" s="92"/>
      <c r="U24" s="92"/>
      <c r="V24" s="92"/>
      <c r="W24" s="92"/>
      <c r="X24" s="6"/>
      <c r="Y24" s="6"/>
      <c r="Z24" s="6"/>
      <c r="AA24" s="6"/>
      <c r="AB24" s="6"/>
      <c r="AC24" s="6"/>
    </row>
    <row r="25" spans="1:29">
      <c r="A25" s="110"/>
      <c r="B25" s="91"/>
      <c r="C25" s="92"/>
      <c r="D25" s="137"/>
      <c r="E25" s="140"/>
      <c r="F25" s="138"/>
      <c r="G25" s="91"/>
      <c r="H25" s="92"/>
      <c r="I25" s="91"/>
      <c r="J25" s="91"/>
      <c r="K25" s="91"/>
      <c r="L25" s="91"/>
      <c r="M25" s="91"/>
      <c r="N25" s="91"/>
      <c r="O25" s="91"/>
      <c r="P25" s="91"/>
      <c r="Q25" s="91"/>
      <c r="R25" s="92"/>
      <c r="S25" s="92"/>
      <c r="T25" s="92"/>
      <c r="U25" s="92"/>
      <c r="V25" s="92"/>
      <c r="W25" s="92"/>
      <c r="X25" s="6"/>
      <c r="Y25" s="6"/>
      <c r="Z25" s="6"/>
      <c r="AA25" s="6"/>
      <c r="AB25" s="6"/>
      <c r="AC25" s="6"/>
    </row>
    <row r="26" spans="1:29">
      <c r="A26" s="110"/>
      <c r="B26" s="91"/>
      <c r="C26" s="126" t="s">
        <v>8332</v>
      </c>
      <c r="D26" s="137"/>
      <c r="E26" s="140"/>
      <c r="F26" s="138"/>
      <c r="G26" s="91"/>
      <c r="H26" s="92"/>
      <c r="I26" s="91"/>
      <c r="J26" s="91"/>
      <c r="K26" s="91"/>
      <c r="L26" s="91"/>
      <c r="M26" s="127">
        <v>0.3</v>
      </c>
      <c r="N26" s="127">
        <v>0.2</v>
      </c>
      <c r="O26" s="127">
        <v>0.1</v>
      </c>
      <c r="P26" s="127">
        <v>0.1</v>
      </c>
      <c r="Q26" s="127">
        <v>0.1</v>
      </c>
      <c r="R26" s="127">
        <v>0.1</v>
      </c>
      <c r="S26" s="127">
        <v>0.1</v>
      </c>
      <c r="T26" s="92"/>
      <c r="U26" s="92"/>
      <c r="V26" s="92"/>
      <c r="W26" s="92"/>
      <c r="X26" s="6"/>
      <c r="Y26" s="6"/>
      <c r="Z26" s="6"/>
      <c r="AA26" s="6"/>
      <c r="AB26" s="6"/>
      <c r="AC26" s="6"/>
    </row>
    <row r="27" spans="1:29">
      <c r="A27" s="110" t="e">
        <f>+B27/4500000</f>
        <v>#REF!</v>
      </c>
      <c r="B27" s="91" t="e">
        <f>+'Ventas energía PPA'!#REF!</f>
        <v>#REF!</v>
      </c>
      <c r="C27" s="126" t="s">
        <v>8333</v>
      </c>
      <c r="D27" s="137"/>
      <c r="E27" s="140"/>
      <c r="F27" s="138"/>
      <c r="G27" s="91"/>
      <c r="H27" s="92"/>
      <c r="I27" s="91"/>
      <c r="J27" s="91"/>
      <c r="K27" s="91"/>
      <c r="L27" s="91"/>
      <c r="M27" s="91" t="e">
        <f>+M26*$B$27</f>
        <v>#REF!</v>
      </c>
      <c r="N27" s="91" t="e">
        <f>+N26*$B$27</f>
        <v>#REF!</v>
      </c>
      <c r="O27" s="91" t="e">
        <f t="shared" ref="O27:S27" si="1">+O26*$B$27</f>
        <v>#REF!</v>
      </c>
      <c r="P27" s="91" t="e">
        <f t="shared" si="1"/>
        <v>#REF!</v>
      </c>
      <c r="Q27" s="91" t="e">
        <f t="shared" si="1"/>
        <v>#REF!</v>
      </c>
      <c r="R27" s="91" t="e">
        <f t="shared" si="1"/>
        <v>#REF!</v>
      </c>
      <c r="S27" s="91" t="e">
        <f t="shared" si="1"/>
        <v>#REF!</v>
      </c>
      <c r="T27" s="92"/>
      <c r="U27" s="92"/>
      <c r="V27" s="92"/>
      <c r="W27" s="92"/>
      <c r="X27" s="6"/>
      <c r="Y27" s="6"/>
      <c r="Z27" s="6"/>
      <c r="AA27" s="6"/>
      <c r="AB27" s="6"/>
      <c r="AC27" s="6"/>
    </row>
    <row r="28" spans="1:29">
      <c r="A28" s="110"/>
      <c r="B28" s="91"/>
      <c r="C28" s="126" t="s">
        <v>8332</v>
      </c>
      <c r="D28" s="137"/>
      <c r="E28" s="140"/>
      <c r="F28" s="138"/>
      <c r="G28" s="91"/>
      <c r="H28" s="92"/>
      <c r="I28" s="91"/>
      <c r="J28" s="91"/>
      <c r="K28" s="91"/>
      <c r="L28" s="91"/>
      <c r="M28" s="91"/>
      <c r="N28" s="91"/>
      <c r="O28" s="91"/>
      <c r="P28" s="127"/>
      <c r="Q28" s="127">
        <v>0.3</v>
      </c>
      <c r="R28" s="127">
        <v>0.2</v>
      </c>
      <c r="S28" s="127">
        <v>0.1</v>
      </c>
      <c r="T28" s="127">
        <v>0.1</v>
      </c>
      <c r="U28" s="127">
        <v>0.1</v>
      </c>
      <c r="V28" s="127">
        <v>0.1</v>
      </c>
      <c r="W28" s="127">
        <v>0.1</v>
      </c>
      <c r="X28" s="6"/>
      <c r="Y28" s="6"/>
      <c r="Z28" s="6"/>
      <c r="AA28" s="6"/>
      <c r="AB28" s="6"/>
      <c r="AC28" s="6"/>
    </row>
    <row r="29" spans="1:29" ht="12.9" thickBot="1">
      <c r="A29" s="110" t="e">
        <f>+B29/4500000</f>
        <v>#REF!</v>
      </c>
      <c r="B29" s="91" t="e">
        <f>+'Ventas energía PPA'!#REF!</f>
        <v>#REF!</v>
      </c>
      <c r="C29" s="126" t="s">
        <v>8334</v>
      </c>
      <c r="D29" s="137"/>
      <c r="E29" s="142"/>
      <c r="F29" s="138"/>
      <c r="G29" s="91"/>
      <c r="H29" s="92"/>
      <c r="I29" s="91"/>
      <c r="J29" s="91"/>
      <c r="K29" s="91"/>
      <c r="L29" s="91"/>
      <c r="M29" s="91" t="e">
        <f>+M28*$B$29</f>
        <v>#REF!</v>
      </c>
      <c r="N29" s="91" t="e">
        <f t="shared" ref="N29:W29" si="2">+N28*$B$29</f>
        <v>#REF!</v>
      </c>
      <c r="O29" s="91" t="e">
        <f t="shared" si="2"/>
        <v>#REF!</v>
      </c>
      <c r="P29" s="91" t="e">
        <f t="shared" si="2"/>
        <v>#REF!</v>
      </c>
      <c r="Q29" s="91" t="e">
        <f t="shared" si="2"/>
        <v>#REF!</v>
      </c>
      <c r="R29" s="91" t="e">
        <f t="shared" si="2"/>
        <v>#REF!</v>
      </c>
      <c r="S29" s="91" t="e">
        <f t="shared" si="2"/>
        <v>#REF!</v>
      </c>
      <c r="T29" s="91" t="e">
        <f t="shared" si="2"/>
        <v>#REF!</v>
      </c>
      <c r="U29" s="91" t="e">
        <f t="shared" si="2"/>
        <v>#REF!</v>
      </c>
      <c r="V29" s="91" t="e">
        <f t="shared" si="2"/>
        <v>#REF!</v>
      </c>
      <c r="W29" s="91" t="e">
        <f t="shared" si="2"/>
        <v>#REF!</v>
      </c>
      <c r="X29" s="6"/>
      <c r="Y29" s="6"/>
      <c r="Z29" s="6"/>
      <c r="AA29" s="6"/>
      <c r="AB29" s="6"/>
      <c r="AC29" s="6"/>
    </row>
    <row r="34" spans="1:29" s="6" customFormat="1" ht="12.9" thickBot="1">
      <c r="A34" s="2"/>
      <c r="B34" s="2"/>
      <c r="C34" s="94" t="s">
        <v>8335</v>
      </c>
      <c r="D34" s="143">
        <f>+SUM(D5:D20)</f>
        <v>899068884.62619078</v>
      </c>
      <c r="E34" s="146"/>
      <c r="F34" s="95">
        <f t="shared" ref="F34:O34" si="3">+SUM(F5:F20)+F27+F29+F24</f>
        <v>233785221.05000001</v>
      </c>
      <c r="G34" s="95">
        <f t="shared" si="3"/>
        <v>155070917.85000002</v>
      </c>
      <c r="H34" s="95">
        <f t="shared" si="3"/>
        <v>365860226.5484249</v>
      </c>
      <c r="I34" s="95">
        <f t="shared" si="3"/>
        <v>220384291.73999998</v>
      </c>
      <c r="J34" s="95">
        <f>+SUM(J5:J20)+J27+J29+J24</f>
        <v>765790568.91999996</v>
      </c>
      <c r="K34" s="95">
        <f t="shared" si="3"/>
        <v>204008087.00999999</v>
      </c>
      <c r="L34" s="95">
        <f t="shared" si="3"/>
        <v>499905236.54679108</v>
      </c>
      <c r="M34" s="95" t="e">
        <f t="shared" si="3"/>
        <v>#REF!</v>
      </c>
      <c r="N34" s="95" t="e">
        <f t="shared" si="3"/>
        <v>#REF!</v>
      </c>
      <c r="O34" s="95" t="e">
        <f t="shared" si="3"/>
        <v>#REF!</v>
      </c>
      <c r="P34" s="95" t="e">
        <f>+SUM(P5:P20)+P27+P29+P24</f>
        <v>#REF!</v>
      </c>
      <c r="Q34" s="95" t="e">
        <f>+Q27+Q29</f>
        <v>#REF!</v>
      </c>
      <c r="R34" s="95" t="e">
        <f>+R27+R29</f>
        <v>#REF!</v>
      </c>
      <c r="S34" s="95" t="e">
        <f t="shared" ref="S34:W34" si="4">+S27+S29</f>
        <v>#REF!</v>
      </c>
      <c r="T34" s="95" t="e">
        <f t="shared" si="4"/>
        <v>#REF!</v>
      </c>
      <c r="U34" s="95" t="e">
        <f t="shared" si="4"/>
        <v>#REF!</v>
      </c>
      <c r="V34" s="95" t="e">
        <f t="shared" si="4"/>
        <v>#REF!</v>
      </c>
      <c r="W34" s="95" t="e">
        <f t="shared" si="4"/>
        <v>#REF!</v>
      </c>
      <c r="X34" s="145">
        <f t="shared" ref="X34:AC34" si="5">+SUM(X5:X20)+SUM(X24:X33)</f>
        <v>0</v>
      </c>
      <c r="Y34" s="144">
        <f t="shared" si="5"/>
        <v>0</v>
      </c>
      <c r="Z34" s="144">
        <f t="shared" si="5"/>
        <v>0</v>
      </c>
      <c r="AA34" s="95">
        <f t="shared" si="5"/>
        <v>0</v>
      </c>
      <c r="AB34" s="95">
        <f t="shared" si="5"/>
        <v>0</v>
      </c>
      <c r="AC34" s="95">
        <f t="shared" si="5"/>
        <v>0</v>
      </c>
    </row>
    <row r="35" spans="1:29" s="6" customFormat="1">
      <c r="B35" s="2"/>
      <c r="C35" s="6" t="s">
        <v>8336</v>
      </c>
      <c r="E35" s="107"/>
      <c r="J35" s="2"/>
      <c r="K35" s="2"/>
      <c r="L35" s="2"/>
      <c r="M35" s="2"/>
      <c r="N35" s="2"/>
      <c r="O35" s="2"/>
      <c r="P35" s="2"/>
      <c r="Q35" s="2"/>
      <c r="R35" s="2"/>
      <c r="S35" s="2"/>
      <c r="T35" s="2"/>
      <c r="U35" s="2"/>
      <c r="V35" s="2"/>
      <c r="W35" s="2"/>
    </row>
    <row r="36" spans="1:29" s="6" customFormat="1">
      <c r="E36" s="107"/>
      <c r="F36" s="2"/>
      <c r="G36" s="2"/>
      <c r="H36" s="2"/>
      <c r="I36" s="2"/>
      <c r="J36" s="2"/>
    </row>
    <row r="37" spans="1:29" s="6" customFormat="1">
      <c r="B37" s="2"/>
      <c r="D37" s="2"/>
      <c r="E37" s="107"/>
      <c r="F37" s="2"/>
      <c r="G37" s="2"/>
      <c r="H37" s="2"/>
      <c r="I37" s="2"/>
      <c r="J37" s="2"/>
      <c r="K37" s="2"/>
      <c r="L37" s="2"/>
      <c r="M37" s="2"/>
      <c r="N37" s="2"/>
      <c r="O37" s="2"/>
      <c r="P37" s="2"/>
    </row>
    <row r="38" spans="1:29" s="6" customFormat="1" ht="12.75" customHeight="1">
      <c r="A38" s="1171" t="s">
        <v>8337</v>
      </c>
      <c r="B38" s="1172"/>
      <c r="C38" s="1173"/>
      <c r="D38" s="1165">
        <v>0.1</v>
      </c>
      <c r="E38" s="136"/>
      <c r="F38" s="1162"/>
      <c r="G38" s="1162"/>
      <c r="H38" s="1162"/>
      <c r="I38" s="1162"/>
      <c r="J38" s="1162"/>
      <c r="K38" s="1162">
        <f>+D38*B9+B14*D38</f>
        <v>42564751.099686526</v>
      </c>
      <c r="L38" s="1162">
        <f>+B15*D38</f>
        <v>34919134.296299167</v>
      </c>
      <c r="M38" s="1162">
        <f>+D38*B16</f>
        <v>72638910.674999997</v>
      </c>
      <c r="N38" s="1162">
        <f>+D38*B17+D38*B18</f>
        <v>16153870.907000002</v>
      </c>
      <c r="O38" s="1162">
        <f>+D38*B19+D38*B20</f>
        <v>26273518.999516439</v>
      </c>
      <c r="P38" s="1162">
        <f>+B24*D38</f>
        <v>82050037.38699919</v>
      </c>
      <c r="Q38" s="1162" t="e">
        <f>+B27*D38*40%</f>
        <v>#REF!</v>
      </c>
      <c r="R38" s="1162" t="e">
        <f>+B27*D38*40%</f>
        <v>#REF!</v>
      </c>
      <c r="S38" s="1162" t="e">
        <f>+B27*D38*20%+B29*D38*40%</f>
        <v>#REF!</v>
      </c>
      <c r="T38" s="1162" t="e">
        <f>+D38*B29*40%</f>
        <v>#REF!</v>
      </c>
      <c r="U38" s="1162" t="e">
        <f>+D38*B29*20%</f>
        <v>#REF!</v>
      </c>
      <c r="V38" s="1162"/>
      <c r="W38" s="1162"/>
    </row>
    <row r="39" spans="1:29" s="6" customFormat="1">
      <c r="A39" s="1174"/>
      <c r="B39" s="1175"/>
      <c r="C39" s="1176"/>
      <c r="D39" s="1166"/>
      <c r="E39" s="136"/>
      <c r="F39" s="1163"/>
      <c r="G39" s="1163"/>
      <c r="H39" s="1163"/>
      <c r="I39" s="1163"/>
      <c r="J39" s="1163"/>
      <c r="K39" s="1163"/>
      <c r="L39" s="1163"/>
      <c r="M39" s="1163"/>
      <c r="N39" s="1163"/>
      <c r="O39" s="1163"/>
      <c r="P39" s="1163"/>
      <c r="Q39" s="1163"/>
      <c r="R39" s="1163"/>
      <c r="S39" s="1163"/>
      <c r="T39" s="1163"/>
      <c r="U39" s="1163"/>
      <c r="V39" s="1163"/>
      <c r="W39" s="1163"/>
    </row>
    <row r="40" spans="1:29" s="6" customFormat="1">
      <c r="A40" s="1177"/>
      <c r="B40" s="1178"/>
      <c r="C40" s="1179"/>
      <c r="D40" s="1167"/>
      <c r="E40" s="136"/>
      <c r="F40" s="1164"/>
      <c r="G40" s="1164"/>
      <c r="H40" s="1164"/>
      <c r="I40" s="1164"/>
      <c r="J40" s="1164"/>
      <c r="K40" s="1164"/>
      <c r="L40" s="1164"/>
      <c r="M40" s="1164"/>
      <c r="N40" s="1164"/>
      <c r="O40" s="1164"/>
      <c r="P40" s="1164"/>
      <c r="Q40" s="1164"/>
      <c r="R40" s="1164"/>
      <c r="S40" s="1164"/>
      <c r="T40" s="1164"/>
      <c r="U40" s="1164"/>
      <c r="V40" s="1164"/>
      <c r="W40" s="1164"/>
    </row>
    <row r="41" spans="1:29" s="6" customFormat="1">
      <c r="E41" s="136"/>
      <c r="F41" s="2"/>
      <c r="G41" s="2"/>
      <c r="H41" s="2"/>
      <c r="I41" s="2"/>
      <c r="J41" s="2"/>
      <c r="K41" s="2">
        <f t="shared" ref="K41:W41" si="6">+K38</f>
        <v>42564751.099686526</v>
      </c>
      <c r="L41" s="2">
        <f t="shared" si="6"/>
        <v>34919134.296299167</v>
      </c>
      <c r="M41" s="2">
        <f t="shared" si="6"/>
        <v>72638910.674999997</v>
      </c>
      <c r="N41" s="2">
        <f t="shared" si="6"/>
        <v>16153870.907000002</v>
      </c>
      <c r="O41" s="2">
        <f t="shared" si="6"/>
        <v>26273518.999516439</v>
      </c>
      <c r="P41" s="2">
        <f t="shared" si="6"/>
        <v>82050037.38699919</v>
      </c>
      <c r="Q41" s="2" t="e">
        <f t="shared" si="6"/>
        <v>#REF!</v>
      </c>
      <c r="R41" s="2" t="e">
        <f t="shared" si="6"/>
        <v>#REF!</v>
      </c>
      <c r="S41" s="2" t="e">
        <f t="shared" si="6"/>
        <v>#REF!</v>
      </c>
      <c r="T41" s="2" t="e">
        <f t="shared" si="6"/>
        <v>#REF!</v>
      </c>
      <c r="U41" s="2" t="e">
        <f t="shared" si="6"/>
        <v>#REF!</v>
      </c>
      <c r="V41" s="2">
        <f t="shared" si="6"/>
        <v>0</v>
      </c>
      <c r="W41" s="2">
        <f t="shared" si="6"/>
        <v>0</v>
      </c>
    </row>
  </sheetData>
  <mergeCells count="21">
    <mergeCell ref="C22:AC22"/>
    <mergeCell ref="S38:S40"/>
    <mergeCell ref="T38:T40"/>
    <mergeCell ref="U38:U40"/>
    <mergeCell ref="V38:V40"/>
    <mergeCell ref="W38:W40"/>
    <mergeCell ref="A38:C40"/>
    <mergeCell ref="R38:R40"/>
    <mergeCell ref="Q38:Q40"/>
    <mergeCell ref="P38:P40"/>
    <mergeCell ref="O38:O40"/>
    <mergeCell ref="N38:N40"/>
    <mergeCell ref="M38:M40"/>
    <mergeCell ref="L38:L40"/>
    <mergeCell ref="K38:K40"/>
    <mergeCell ref="J38:J40"/>
    <mergeCell ref="I38:I40"/>
    <mergeCell ref="H38:H40"/>
    <mergeCell ref="G38:G40"/>
    <mergeCell ref="F38:F40"/>
    <mergeCell ref="D38:D40"/>
  </mergeCells>
  <pageMargins left="0.7" right="0.7" top="0.75" bottom="0.75" header="0.3" footer="0.3"/>
  <pageSetup orientation="portrait" horizont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9EF9B-03BE-434E-9AAF-1EA0EA67A058}">
  <dimension ref="A2:N47"/>
  <sheetViews>
    <sheetView topLeftCell="D1" zoomScale="94" workbookViewId="0">
      <selection activeCell="K45" sqref="K45:N45"/>
    </sheetView>
  </sheetViews>
  <sheetFormatPr defaultColWidth="11.3828125" defaultRowHeight="14.6"/>
  <cols>
    <col min="1" max="1" width="11.3828125" style="71"/>
    <col min="2" max="2" width="36.15234375" style="71" bestFit="1" customWidth="1"/>
    <col min="3" max="3" width="12.53515625" style="71" customWidth="1"/>
    <col min="4" max="4" width="14.84375" style="71" customWidth="1"/>
    <col min="5" max="5" width="13.53515625" style="71" bestFit="1" customWidth="1"/>
    <col min="6" max="8" width="16.84375" style="71" bestFit="1" customWidth="1"/>
    <col min="9" max="9" width="17.3828125" style="71" bestFit="1" customWidth="1"/>
    <col min="10" max="10" width="15.3828125" style="71" bestFit="1" customWidth="1"/>
    <col min="11" max="11" width="16.3046875" style="71" bestFit="1" customWidth="1"/>
    <col min="12" max="12" width="17.53515625" style="71" bestFit="1" customWidth="1"/>
    <col min="13" max="13" width="16.3046875" style="71" bestFit="1" customWidth="1"/>
    <col min="14" max="14" width="16.84375" style="71" bestFit="1" customWidth="1"/>
    <col min="15" max="16384" width="11.3828125" style="71"/>
  </cols>
  <sheetData>
    <row r="2" spans="1:14" ht="15" thickBot="1">
      <c r="F2" s="1184" t="s">
        <v>8338</v>
      </c>
      <c r="G2" s="1185"/>
      <c r="H2" s="1185"/>
      <c r="I2" s="1185"/>
      <c r="J2" s="1185"/>
      <c r="K2" s="1185"/>
      <c r="L2" s="1185"/>
      <c r="M2" s="1185"/>
      <c r="N2" s="1185"/>
    </row>
    <row r="3" spans="1:14" ht="15" thickBot="1">
      <c r="C3" s="386">
        <v>45292</v>
      </c>
      <c r="D3" s="386">
        <v>45323</v>
      </c>
      <c r="E3" s="386">
        <v>45352</v>
      </c>
      <c r="F3" s="79">
        <v>45383</v>
      </c>
      <c r="G3" s="386">
        <v>45413</v>
      </c>
      <c r="H3" s="79">
        <v>45444</v>
      </c>
      <c r="I3" s="386">
        <v>45474</v>
      </c>
      <c r="J3" s="79">
        <v>45505</v>
      </c>
      <c r="K3" s="386">
        <v>45536</v>
      </c>
      <c r="L3" s="79">
        <v>45566</v>
      </c>
      <c r="M3" s="386">
        <v>45597</v>
      </c>
      <c r="N3" s="79">
        <v>45627</v>
      </c>
    </row>
    <row r="4" spans="1:14">
      <c r="B4" s="511" t="s">
        <v>8339</v>
      </c>
      <c r="C4" s="512"/>
      <c r="D4" s="512"/>
      <c r="E4" s="512"/>
      <c r="F4" s="97">
        <v>4200000000</v>
      </c>
      <c r="G4" s="97">
        <v>4000000000</v>
      </c>
      <c r="H4" s="96"/>
      <c r="I4" s="97"/>
      <c r="J4" s="97"/>
      <c r="K4" s="97"/>
      <c r="L4" s="97"/>
      <c r="M4" s="106"/>
      <c r="N4" s="513"/>
    </row>
    <row r="5" spans="1:14">
      <c r="B5" s="514" t="s">
        <v>8340</v>
      </c>
      <c r="C5" s="515"/>
      <c r="D5" s="515"/>
      <c r="E5" s="515"/>
      <c r="F5" s="75">
        <f>+F4*(1-F6)</f>
        <v>3360000000</v>
      </c>
      <c r="G5" s="75">
        <f>+G4*(1-G6)</f>
        <v>3200000000</v>
      </c>
      <c r="H5" s="78"/>
      <c r="I5" s="75"/>
      <c r="J5" s="75"/>
      <c r="K5" s="75"/>
      <c r="L5" s="75"/>
      <c r="M5" s="106"/>
      <c r="N5" s="516"/>
    </row>
    <row r="6" spans="1:14" ht="15" thickBot="1">
      <c r="B6" s="517" t="s">
        <v>8341</v>
      </c>
      <c r="C6" s="518"/>
      <c r="D6" s="518"/>
      <c r="E6" s="518"/>
      <c r="F6" s="80">
        <v>0.2</v>
      </c>
      <c r="G6" s="80">
        <v>0.2</v>
      </c>
      <c r="H6" s="80"/>
      <c r="I6" s="80"/>
      <c r="J6" s="80"/>
      <c r="K6" s="80"/>
      <c r="L6" s="80"/>
      <c r="M6" s="106"/>
      <c r="N6" s="519">
        <v>0.2</v>
      </c>
    </row>
    <row r="7" spans="1:14">
      <c r="B7" s="520"/>
      <c r="C7" s="520"/>
      <c r="D7" s="520"/>
      <c r="E7" s="520"/>
      <c r="F7" s="73"/>
      <c r="G7" s="73"/>
      <c r="H7" s="73"/>
      <c r="I7" s="73"/>
      <c r="J7" s="73"/>
      <c r="K7" s="73"/>
      <c r="L7" s="73"/>
    </row>
    <row r="8" spans="1:14">
      <c r="F8" s="1182" t="s">
        <v>8342</v>
      </c>
      <c r="G8" s="1183"/>
      <c r="H8" s="1183"/>
      <c r="I8" s="1183"/>
      <c r="J8" s="1183"/>
      <c r="K8" s="1183"/>
      <c r="L8" s="1183"/>
      <c r="M8" s="1183"/>
      <c r="N8" s="1183"/>
    </row>
    <row r="9" spans="1:14">
      <c r="C9" s="386">
        <v>45292</v>
      </c>
      <c r="D9" s="386">
        <v>45323</v>
      </c>
      <c r="E9" s="386">
        <v>45352</v>
      </c>
      <c r="F9" s="79">
        <v>45383</v>
      </c>
      <c r="G9" s="386">
        <v>45413</v>
      </c>
      <c r="H9" s="79">
        <v>45444</v>
      </c>
      <c r="I9" s="386">
        <v>45474</v>
      </c>
      <c r="J9" s="79">
        <v>45505</v>
      </c>
      <c r="K9" s="386">
        <v>45536</v>
      </c>
      <c r="L9" s="79">
        <v>45566</v>
      </c>
      <c r="M9" s="386">
        <v>45597</v>
      </c>
      <c r="N9" s="79">
        <v>45627</v>
      </c>
    </row>
    <row r="10" spans="1:14">
      <c r="A10" s="117" t="s">
        <v>8343</v>
      </c>
      <c r="B10" s="76" t="s">
        <v>8343</v>
      </c>
      <c r="C10" s="76"/>
      <c r="D10" s="74">
        <v>6600000</v>
      </c>
      <c r="E10" s="74">
        <v>3250000</v>
      </c>
      <c r="F10" s="516"/>
      <c r="G10" s="516"/>
      <c r="H10" s="516"/>
      <c r="I10" s="516"/>
      <c r="J10" s="75"/>
      <c r="K10" s="115"/>
      <c r="L10" s="75"/>
      <c r="M10" s="516"/>
      <c r="N10" s="516"/>
    </row>
    <row r="11" spans="1:14">
      <c r="A11" s="117" t="s">
        <v>8344</v>
      </c>
      <c r="B11" s="76" t="s">
        <v>8344</v>
      </c>
      <c r="C11" s="76"/>
      <c r="D11" s="74"/>
      <c r="E11" s="74">
        <v>8000000</v>
      </c>
      <c r="F11" s="516">
        <v>4500000</v>
      </c>
      <c r="G11" s="516">
        <v>8800000</v>
      </c>
      <c r="H11" s="516">
        <v>15027000</v>
      </c>
      <c r="I11" s="516">
        <v>1250000</v>
      </c>
      <c r="J11" s="75">
        <v>2750000</v>
      </c>
      <c r="K11" s="115"/>
      <c r="L11" s="75"/>
      <c r="M11" s="516"/>
      <c r="N11" s="516"/>
    </row>
    <row r="12" spans="1:14">
      <c r="A12" s="117" t="s">
        <v>8345</v>
      </c>
      <c r="B12" s="76" t="s">
        <v>8345</v>
      </c>
      <c r="C12" s="76"/>
      <c r="D12" s="74"/>
      <c r="E12" s="74">
        <v>3000000</v>
      </c>
      <c r="F12" s="516">
        <v>4500000</v>
      </c>
      <c r="G12" s="516">
        <v>3000000</v>
      </c>
      <c r="H12" s="516">
        <v>4500000</v>
      </c>
      <c r="I12" s="516">
        <v>3000000</v>
      </c>
      <c r="J12" s="75">
        <v>1500000</v>
      </c>
      <c r="K12" s="115">
        <v>1500000</v>
      </c>
      <c r="L12" s="75">
        <v>1500000</v>
      </c>
      <c r="M12" s="516">
        <v>1500000</v>
      </c>
      <c r="N12" s="516">
        <v>1500000</v>
      </c>
    </row>
    <row r="13" spans="1:14">
      <c r="A13" s="117" t="s">
        <v>8346</v>
      </c>
      <c r="B13" s="76" t="s">
        <v>8346</v>
      </c>
      <c r="C13" s="76"/>
      <c r="D13" s="74">
        <v>10253500</v>
      </c>
      <c r="E13" s="74">
        <v>4216000</v>
      </c>
      <c r="F13" s="516"/>
      <c r="G13" s="516"/>
      <c r="H13" s="516"/>
      <c r="I13" s="516"/>
      <c r="J13" s="75">
        <v>1300000</v>
      </c>
      <c r="K13" s="115"/>
      <c r="L13" s="75"/>
      <c r="M13" s="516"/>
      <c r="N13" s="516"/>
    </row>
    <row r="14" spans="1:14">
      <c r="A14" s="117" t="s">
        <v>8347</v>
      </c>
      <c r="B14" s="76" t="s">
        <v>8347</v>
      </c>
      <c r="C14" s="76"/>
      <c r="D14" s="74">
        <v>17277000</v>
      </c>
      <c r="E14" s="74">
        <v>14800000</v>
      </c>
      <c r="F14" s="516"/>
      <c r="G14" s="516"/>
      <c r="H14" s="516"/>
      <c r="I14" s="516"/>
      <c r="J14" s="75"/>
      <c r="K14" s="115"/>
      <c r="L14" s="75"/>
      <c r="M14" s="516"/>
      <c r="N14" s="516">
        <v>1300000</v>
      </c>
    </row>
    <row r="15" spans="1:14" ht="15" customHeight="1">
      <c r="A15" s="117" t="s">
        <v>8348</v>
      </c>
      <c r="B15" s="76" t="s">
        <v>8348</v>
      </c>
      <c r="C15" s="76"/>
      <c r="D15" s="74"/>
      <c r="E15" s="74"/>
      <c r="F15" s="516"/>
      <c r="G15" s="516">
        <v>10120000</v>
      </c>
      <c r="H15" s="516"/>
      <c r="I15" s="516">
        <v>31426050</v>
      </c>
      <c r="J15" s="516">
        <v>12937500</v>
      </c>
      <c r="K15" s="115">
        <v>1437500</v>
      </c>
      <c r="L15" s="75"/>
      <c r="M15" s="75"/>
      <c r="N15" s="516"/>
    </row>
    <row r="16" spans="1:14">
      <c r="A16" s="117" t="s">
        <v>8349</v>
      </c>
      <c r="B16" s="76" t="s">
        <v>8349</v>
      </c>
      <c r="C16" s="76"/>
      <c r="D16" s="74"/>
      <c r="E16" s="74"/>
      <c r="F16" s="516"/>
      <c r="G16" s="516"/>
      <c r="H16" s="516"/>
      <c r="I16" s="516"/>
      <c r="J16" s="516"/>
      <c r="K16" s="521">
        <v>13528025</v>
      </c>
      <c r="L16" s="75">
        <v>19968025</v>
      </c>
      <c r="M16" s="75">
        <v>20987500</v>
      </c>
      <c r="N16" s="75">
        <v>1437500</v>
      </c>
    </row>
    <row r="17" spans="1:14">
      <c r="A17" s="117" t="s">
        <v>8350</v>
      </c>
      <c r="B17" s="76" t="s">
        <v>8350</v>
      </c>
      <c r="C17" s="76"/>
      <c r="D17" s="74"/>
      <c r="E17" s="74"/>
      <c r="F17" s="74"/>
      <c r="G17" s="74"/>
      <c r="H17" s="74"/>
      <c r="I17" s="74"/>
      <c r="J17" s="74"/>
      <c r="K17" s="74">
        <v>13528025</v>
      </c>
      <c r="L17" s="74">
        <v>12493025</v>
      </c>
      <c r="M17" s="75">
        <v>21850000</v>
      </c>
      <c r="N17" s="75">
        <v>8050000</v>
      </c>
    </row>
    <row r="18" spans="1:14">
      <c r="A18" s="116"/>
      <c r="B18" s="101"/>
      <c r="C18" s="101"/>
      <c r="D18" s="101"/>
      <c r="E18" s="101" t="s">
        <v>101</v>
      </c>
      <c r="F18" s="73"/>
      <c r="G18" s="73"/>
      <c r="H18" s="522"/>
      <c r="I18" s="73"/>
      <c r="J18" s="73"/>
      <c r="K18" s="73"/>
      <c r="L18" s="73"/>
    </row>
    <row r="19" spans="1:14">
      <c r="A19" s="1186" t="s">
        <v>9</v>
      </c>
      <c r="B19" s="1186"/>
      <c r="C19" s="375">
        <f>+SUM(C10:C16)</f>
        <v>0</v>
      </c>
      <c r="D19" s="392">
        <f>+SUM(D10:D17)</f>
        <v>34130500</v>
      </c>
      <c r="E19" s="392">
        <f>+SUM(E10:E17)</f>
        <v>33266000</v>
      </c>
      <c r="F19" s="392">
        <f>+SUM(F10:F17)</f>
        <v>9000000</v>
      </c>
      <c r="G19" s="392">
        <f>+SUM(G10:G17)</f>
        <v>21920000</v>
      </c>
      <c r="H19" s="392">
        <f t="shared" ref="H19:N19" si="0">+SUM(H10:H17)</f>
        <v>19527000</v>
      </c>
      <c r="I19" s="392">
        <f t="shared" si="0"/>
        <v>35676050</v>
      </c>
      <c r="J19" s="392">
        <f t="shared" si="0"/>
        <v>18487500</v>
      </c>
      <c r="K19" s="392">
        <f t="shared" si="0"/>
        <v>29993550</v>
      </c>
      <c r="L19" s="392">
        <f t="shared" si="0"/>
        <v>33961050</v>
      </c>
      <c r="M19" s="392">
        <f t="shared" si="0"/>
        <v>44337500</v>
      </c>
      <c r="N19" s="392">
        <f t="shared" si="0"/>
        <v>12287500</v>
      </c>
    </row>
    <row r="20" spans="1:14">
      <c r="B20" s="520"/>
      <c r="C20" s="520"/>
      <c r="D20" s="520"/>
      <c r="E20" s="520"/>
      <c r="F20" s="73"/>
      <c r="G20" s="73"/>
      <c r="H20" s="73"/>
      <c r="I20" s="73"/>
      <c r="J20" s="73"/>
      <c r="K20" s="73"/>
      <c r="L20" s="73"/>
    </row>
    <row r="22" spans="1:14">
      <c r="F22" s="1182" t="s">
        <v>8351</v>
      </c>
      <c r="G22" s="1183"/>
      <c r="H22" s="1183"/>
      <c r="I22" s="1183"/>
      <c r="J22" s="1183"/>
      <c r="K22" s="1183"/>
      <c r="L22" s="1183"/>
      <c r="M22" s="1183"/>
      <c r="N22" s="1183"/>
    </row>
    <row r="23" spans="1:14">
      <c r="C23" s="386">
        <v>45292</v>
      </c>
      <c r="D23" s="386">
        <v>45323</v>
      </c>
      <c r="E23" s="386">
        <v>45352</v>
      </c>
      <c r="F23" s="79">
        <v>45383</v>
      </c>
      <c r="G23" s="386">
        <v>45413</v>
      </c>
      <c r="H23" s="79">
        <v>45444</v>
      </c>
      <c r="I23" s="386">
        <v>45474</v>
      </c>
      <c r="J23" s="79">
        <v>45505</v>
      </c>
      <c r="K23" s="386">
        <v>45536</v>
      </c>
      <c r="L23" s="79">
        <v>45566</v>
      </c>
      <c r="M23" s="386">
        <v>45597</v>
      </c>
      <c r="N23" s="79">
        <v>45627</v>
      </c>
    </row>
    <row r="24" spans="1:14">
      <c r="A24" s="1187" t="s">
        <v>8352</v>
      </c>
      <c r="B24" s="76" t="s">
        <v>8353</v>
      </c>
      <c r="C24" s="76"/>
      <c r="D24" s="76"/>
      <c r="E24" s="76"/>
      <c r="F24" s="78">
        <v>0.6</v>
      </c>
      <c r="G24" s="78">
        <v>0.4</v>
      </c>
      <c r="H24" s="78"/>
      <c r="I24" s="78"/>
      <c r="J24" s="78"/>
      <c r="L24" s="112"/>
      <c r="M24" s="78"/>
      <c r="N24" s="106"/>
    </row>
    <row r="25" spans="1:14">
      <c r="A25" s="1187"/>
      <c r="B25" s="76" t="s">
        <v>8354</v>
      </c>
      <c r="C25" s="76"/>
      <c r="D25" s="76"/>
      <c r="E25" s="76"/>
      <c r="F25" s="78">
        <v>0.3</v>
      </c>
      <c r="G25" s="78">
        <v>0.3</v>
      </c>
      <c r="H25" s="523">
        <v>0.2</v>
      </c>
      <c r="I25" s="78">
        <v>0.1</v>
      </c>
      <c r="J25" s="78">
        <v>0.1</v>
      </c>
      <c r="L25" s="112"/>
      <c r="M25" s="78"/>
      <c r="N25" s="106"/>
    </row>
    <row r="26" spans="1:14">
      <c r="A26" s="1180" t="s">
        <v>8355</v>
      </c>
      <c r="B26" s="76" t="s">
        <v>8353</v>
      </c>
      <c r="C26" s="76"/>
      <c r="D26" s="76"/>
      <c r="E26" s="76"/>
      <c r="F26" s="78"/>
      <c r="G26" s="78">
        <v>0.6</v>
      </c>
      <c r="H26" s="78">
        <v>0.4</v>
      </c>
      <c r="I26" s="78"/>
      <c r="J26" s="78"/>
      <c r="K26" s="78"/>
      <c r="L26" s="78"/>
      <c r="M26" s="78"/>
      <c r="N26" s="78"/>
    </row>
    <row r="27" spans="1:14">
      <c r="A27" s="1181"/>
      <c r="B27" s="76" t="s">
        <v>8354</v>
      </c>
      <c r="C27" s="76"/>
      <c r="D27" s="76"/>
      <c r="E27" s="76"/>
      <c r="F27" s="78"/>
      <c r="G27" s="78">
        <v>0.3</v>
      </c>
      <c r="H27" s="78">
        <v>0.3</v>
      </c>
      <c r="I27" s="523">
        <v>0.2</v>
      </c>
      <c r="J27" s="78">
        <v>0.1</v>
      </c>
      <c r="K27" s="78">
        <v>0.1</v>
      </c>
      <c r="L27" s="78"/>
      <c r="M27" s="78"/>
      <c r="N27" s="523"/>
    </row>
    <row r="28" spans="1:14">
      <c r="A28" s="1180" t="s">
        <v>8356</v>
      </c>
      <c r="B28" s="76" t="s">
        <v>8353</v>
      </c>
      <c r="C28" s="76"/>
      <c r="D28" s="76"/>
      <c r="E28" s="76"/>
      <c r="F28" s="78"/>
      <c r="G28" s="78"/>
      <c r="H28" s="523"/>
      <c r="I28" s="78"/>
      <c r="J28" s="78"/>
      <c r="K28" s="112"/>
      <c r="L28" s="78"/>
      <c r="M28" s="524"/>
      <c r="N28" s="78">
        <v>0.6</v>
      </c>
    </row>
    <row r="29" spans="1:14">
      <c r="A29" s="1181"/>
      <c r="B29" s="76" t="s">
        <v>8354</v>
      </c>
      <c r="C29" s="76"/>
      <c r="D29" s="76"/>
      <c r="E29" s="76"/>
      <c r="F29" s="78"/>
      <c r="G29" s="78"/>
      <c r="H29" s="523"/>
      <c r="I29" s="78"/>
      <c r="J29" s="78"/>
      <c r="K29" s="112"/>
      <c r="L29" s="78"/>
      <c r="M29" s="524"/>
      <c r="N29" s="78">
        <v>0.3</v>
      </c>
    </row>
    <row r="30" spans="1:14">
      <c r="A30" s="113"/>
      <c r="B30" s="101"/>
      <c r="C30" s="101"/>
      <c r="D30" s="101"/>
      <c r="E30" s="101"/>
      <c r="F30" s="73"/>
      <c r="G30" s="73"/>
      <c r="H30" s="522"/>
      <c r="I30" s="73"/>
      <c r="J30" s="73"/>
      <c r="K30" s="73"/>
      <c r="L30" s="73"/>
    </row>
    <row r="31" spans="1:14">
      <c r="B31" s="101"/>
      <c r="C31" s="101"/>
      <c r="D31" s="101"/>
      <c r="E31" s="101"/>
      <c r="F31" s="73"/>
      <c r="G31" s="73"/>
      <c r="H31" s="522"/>
      <c r="I31" s="73"/>
      <c r="J31" s="73"/>
      <c r="K31" s="73"/>
      <c r="L31" s="73"/>
    </row>
    <row r="32" spans="1:14">
      <c r="F32" s="1182" t="s">
        <v>8351</v>
      </c>
      <c r="G32" s="1183"/>
      <c r="H32" s="1183"/>
      <c r="I32" s="1183"/>
      <c r="J32" s="1183"/>
      <c r="K32" s="1183"/>
      <c r="L32" s="1183"/>
      <c r="M32" s="1183"/>
      <c r="N32" s="1183"/>
    </row>
    <row r="33" spans="1:14">
      <c r="C33" s="386">
        <v>45292</v>
      </c>
      <c r="D33" s="386">
        <v>45323</v>
      </c>
      <c r="E33" s="386">
        <v>45352</v>
      </c>
      <c r="F33" s="79">
        <v>45383</v>
      </c>
      <c r="G33" s="386">
        <v>45413</v>
      </c>
      <c r="H33" s="79">
        <v>45444</v>
      </c>
      <c r="I33" s="386">
        <v>45474</v>
      </c>
      <c r="J33" s="79">
        <v>45505</v>
      </c>
      <c r="K33" s="386">
        <v>45536</v>
      </c>
      <c r="L33" s="79">
        <v>45566</v>
      </c>
      <c r="M33" s="386">
        <v>45597</v>
      </c>
      <c r="N33" s="79">
        <v>45627</v>
      </c>
    </row>
    <row r="34" spans="1:14" ht="15" customHeight="1">
      <c r="A34" s="1187" t="s">
        <v>8352</v>
      </c>
      <c r="B34" s="76" t="s">
        <v>8357</v>
      </c>
      <c r="C34" s="76"/>
      <c r="D34" s="76"/>
      <c r="E34" s="76"/>
      <c r="F34" s="75">
        <f>$F$4*F24</f>
        <v>2520000000</v>
      </c>
      <c r="G34" s="75">
        <f t="shared" ref="G34:J34" si="1">$F$4*G24</f>
        <v>1680000000</v>
      </c>
      <c r="H34" s="75">
        <f t="shared" si="1"/>
        <v>0</v>
      </c>
      <c r="I34" s="75">
        <f t="shared" si="1"/>
        <v>0</v>
      </c>
      <c r="J34" s="75">
        <f t="shared" si="1"/>
        <v>0</v>
      </c>
      <c r="K34" s="75">
        <f t="shared" ref="K34:N34" si="2">$F$4*K24</f>
        <v>0</v>
      </c>
      <c r="L34" s="75">
        <f t="shared" si="2"/>
        <v>0</v>
      </c>
      <c r="M34" s="75">
        <f t="shared" si="2"/>
        <v>0</v>
      </c>
      <c r="N34" s="75">
        <f t="shared" si="2"/>
        <v>0</v>
      </c>
    </row>
    <row r="35" spans="1:14">
      <c r="A35" s="1187"/>
      <c r="B35" s="76" t="s">
        <v>8354</v>
      </c>
      <c r="C35" s="76"/>
      <c r="D35" s="76"/>
      <c r="E35" s="76"/>
      <c r="F35" s="75">
        <f>$F$5*F25</f>
        <v>1008000000</v>
      </c>
      <c r="G35" s="75">
        <f t="shared" ref="G35:J35" si="3">$F$5*G25</f>
        <v>1008000000</v>
      </c>
      <c r="H35" s="75">
        <f t="shared" si="3"/>
        <v>672000000</v>
      </c>
      <c r="I35" s="75">
        <f t="shared" si="3"/>
        <v>336000000</v>
      </c>
      <c r="J35" s="75">
        <f t="shared" si="3"/>
        <v>336000000</v>
      </c>
      <c r="K35" s="75">
        <f t="shared" ref="K35:N35" si="4">$F$5*K25</f>
        <v>0</v>
      </c>
      <c r="L35" s="75">
        <f t="shared" si="4"/>
        <v>0</v>
      </c>
      <c r="M35" s="75">
        <f t="shared" si="4"/>
        <v>0</v>
      </c>
      <c r="N35" s="75">
        <f t="shared" si="4"/>
        <v>0</v>
      </c>
    </row>
    <row r="36" spans="1:14">
      <c r="A36" s="1180" t="s">
        <v>8355</v>
      </c>
      <c r="B36" s="76" t="s">
        <v>8358</v>
      </c>
      <c r="C36" s="76"/>
      <c r="D36" s="76"/>
      <c r="E36" s="76"/>
      <c r="F36" s="78"/>
      <c r="G36" s="75">
        <f>$G$4*G26</f>
        <v>2400000000</v>
      </c>
      <c r="H36" s="75">
        <f>$G$4*H26</f>
        <v>1600000000</v>
      </c>
      <c r="I36" s="75">
        <f t="shared" ref="I36:J36" si="5">$F$4*I26</f>
        <v>0</v>
      </c>
      <c r="J36" s="75">
        <f t="shared" si="5"/>
        <v>0</v>
      </c>
      <c r="K36" s="75">
        <f t="shared" ref="K36:N36" si="6">$F$4*K26</f>
        <v>0</v>
      </c>
      <c r="L36" s="75">
        <f t="shared" si="6"/>
        <v>0</v>
      </c>
      <c r="M36" s="75">
        <f t="shared" si="6"/>
        <v>0</v>
      </c>
      <c r="N36" s="75">
        <f t="shared" si="6"/>
        <v>0</v>
      </c>
    </row>
    <row r="37" spans="1:14">
      <c r="A37" s="1181"/>
      <c r="B37" s="76" t="s">
        <v>8354</v>
      </c>
      <c r="C37" s="76"/>
      <c r="D37" s="76"/>
      <c r="E37" s="76"/>
      <c r="F37" s="78"/>
      <c r="G37" s="75">
        <f>$G$5*G27</f>
        <v>960000000</v>
      </c>
      <c r="H37" s="75">
        <f t="shared" ref="H37:J37" si="7">$G$5*H27</f>
        <v>960000000</v>
      </c>
      <c r="I37" s="75">
        <f t="shared" si="7"/>
        <v>640000000</v>
      </c>
      <c r="J37" s="75">
        <f t="shared" si="7"/>
        <v>320000000</v>
      </c>
      <c r="K37" s="75">
        <f t="shared" ref="K37:N37" si="8">$G$5*K27</f>
        <v>320000000</v>
      </c>
      <c r="L37" s="75">
        <f t="shared" si="8"/>
        <v>0</v>
      </c>
      <c r="M37" s="75">
        <f t="shared" si="8"/>
        <v>0</v>
      </c>
      <c r="N37" s="75">
        <f t="shared" si="8"/>
        <v>0</v>
      </c>
    </row>
    <row r="38" spans="1:14">
      <c r="A38" s="1180" t="s">
        <v>8356</v>
      </c>
      <c r="B38" s="76" t="s">
        <v>8359</v>
      </c>
      <c r="C38" s="76"/>
      <c r="D38" s="76"/>
      <c r="E38" s="76"/>
      <c r="F38" s="78"/>
      <c r="G38" s="78"/>
      <c r="H38" s="523"/>
      <c r="I38" s="78"/>
      <c r="J38" s="78"/>
      <c r="K38" s="112"/>
      <c r="L38" s="78"/>
      <c r="M38" s="75">
        <f>$F$4*M28</f>
        <v>0</v>
      </c>
      <c r="N38" s="75">
        <f>$N$4*N28</f>
        <v>0</v>
      </c>
    </row>
    <row r="39" spans="1:14">
      <c r="A39" s="1181"/>
      <c r="B39" s="76" t="s">
        <v>8354</v>
      </c>
      <c r="C39" s="76"/>
      <c r="D39" s="76"/>
      <c r="E39" s="76"/>
      <c r="F39" s="78"/>
      <c r="G39" s="78"/>
      <c r="H39" s="523"/>
      <c r="I39" s="78"/>
      <c r="J39" s="78"/>
      <c r="K39" s="112"/>
      <c r="L39" s="78"/>
      <c r="M39" s="75">
        <f>$G$5*M29</f>
        <v>0</v>
      </c>
      <c r="N39" s="75">
        <f>$N$5*N29</f>
        <v>0</v>
      </c>
    </row>
    <row r="40" spans="1:14" s="391" customFormat="1">
      <c r="A40" s="387"/>
      <c r="B40" s="388"/>
      <c r="C40" s="388"/>
      <c r="D40" s="388"/>
      <c r="E40" s="388"/>
      <c r="F40" s="389"/>
      <c r="G40" s="389"/>
      <c r="H40" s="525"/>
      <c r="I40" s="389"/>
      <c r="J40" s="389"/>
      <c r="K40" s="390"/>
      <c r="L40" s="389"/>
    </row>
    <row r="41" spans="1:14">
      <c r="B41" s="76" t="s">
        <v>8360</v>
      </c>
      <c r="C41" s="76"/>
      <c r="D41" s="76"/>
      <c r="E41" s="76"/>
      <c r="F41" s="75">
        <f t="shared" ref="F41:N41" si="9">F34+F36+F38</f>
        <v>2520000000</v>
      </c>
      <c r="G41" s="75">
        <f t="shared" si="9"/>
        <v>4080000000</v>
      </c>
      <c r="H41" s="75">
        <f t="shared" si="9"/>
        <v>1600000000</v>
      </c>
      <c r="I41" s="75">
        <f t="shared" si="9"/>
        <v>0</v>
      </c>
      <c r="J41" s="75">
        <f t="shared" si="9"/>
        <v>0</v>
      </c>
      <c r="K41" s="75">
        <f t="shared" si="9"/>
        <v>0</v>
      </c>
      <c r="L41" s="75">
        <f t="shared" si="9"/>
        <v>0</v>
      </c>
      <c r="M41" s="75">
        <f t="shared" si="9"/>
        <v>0</v>
      </c>
      <c r="N41" s="75">
        <f t="shared" si="9"/>
        <v>0</v>
      </c>
    </row>
    <row r="42" spans="1:14">
      <c r="B42" s="76" t="s">
        <v>8361</v>
      </c>
      <c r="C42" s="76"/>
      <c r="D42" s="76"/>
      <c r="E42" s="76"/>
      <c r="F42" s="75">
        <f t="shared" ref="F42:N42" si="10">-F35-F37-F39</f>
        <v>-1008000000</v>
      </c>
      <c r="G42" s="75">
        <f t="shared" si="10"/>
        <v>-1968000000</v>
      </c>
      <c r="H42" s="75">
        <f t="shared" si="10"/>
        <v>-1632000000</v>
      </c>
      <c r="I42" s="75">
        <f t="shared" si="10"/>
        <v>-976000000</v>
      </c>
      <c r="J42" s="75">
        <f t="shared" si="10"/>
        <v>-656000000</v>
      </c>
      <c r="K42" s="75">
        <f t="shared" si="10"/>
        <v>-320000000</v>
      </c>
      <c r="L42" s="75">
        <f t="shared" si="10"/>
        <v>0</v>
      </c>
      <c r="M42" s="75">
        <f t="shared" si="10"/>
        <v>0</v>
      </c>
      <c r="N42" s="75">
        <f t="shared" si="10"/>
        <v>0</v>
      </c>
    </row>
    <row r="43" spans="1:14">
      <c r="B43" s="76" t="s">
        <v>8362</v>
      </c>
      <c r="C43" s="76"/>
      <c r="D43" s="76"/>
      <c r="E43" s="76"/>
      <c r="F43" s="74">
        <f>+SUM(F41:F42)</f>
        <v>1512000000</v>
      </c>
      <c r="G43" s="74">
        <f t="shared" ref="G43:N43" si="11">+SUM(G41:G42)</f>
        <v>2112000000</v>
      </c>
      <c r="H43" s="74">
        <f t="shared" si="11"/>
        <v>-32000000</v>
      </c>
      <c r="I43" s="74">
        <f t="shared" si="11"/>
        <v>-976000000</v>
      </c>
      <c r="J43" s="74">
        <f t="shared" si="11"/>
        <v>-656000000</v>
      </c>
      <c r="K43" s="74">
        <f t="shared" si="11"/>
        <v>-320000000</v>
      </c>
      <c r="L43" s="74">
        <f t="shared" si="11"/>
        <v>0</v>
      </c>
      <c r="M43" s="74">
        <f t="shared" si="11"/>
        <v>0</v>
      </c>
      <c r="N43" s="74">
        <f t="shared" si="11"/>
        <v>0</v>
      </c>
    </row>
    <row r="44" spans="1:14">
      <c r="B44" s="76"/>
      <c r="C44" s="76"/>
      <c r="D44" s="76"/>
      <c r="E44" s="76"/>
      <c r="F44" s="74"/>
      <c r="G44" s="74"/>
      <c r="H44" s="74"/>
      <c r="I44" s="74"/>
      <c r="J44" s="74"/>
      <c r="K44" s="74"/>
      <c r="L44" s="74"/>
      <c r="M44" s="74"/>
      <c r="N44" s="74"/>
    </row>
    <row r="45" spans="1:14">
      <c r="B45" s="76" t="s">
        <v>3107</v>
      </c>
      <c r="C45" s="76"/>
      <c r="D45" s="76"/>
      <c r="E45" s="76"/>
      <c r="F45" s="74"/>
      <c r="G45" s="74"/>
      <c r="H45" s="74"/>
      <c r="I45" s="74"/>
      <c r="J45" s="74"/>
      <c r="K45" s="74">
        <f>+SUM(F34:K34)</f>
        <v>4200000000</v>
      </c>
      <c r="L45" s="74">
        <f>+SUM(G36:K36)</f>
        <v>4000000000</v>
      </c>
      <c r="M45" s="74"/>
      <c r="N45" s="74">
        <f>+N4*30%</f>
        <v>0</v>
      </c>
    </row>
    <row r="46" spans="1:14">
      <c r="B46" s="76" t="s">
        <v>8077</v>
      </c>
      <c r="C46" s="76"/>
      <c r="D46" s="76"/>
      <c r="E46" s="76"/>
      <c r="F46" s="106"/>
      <c r="G46" s="106"/>
      <c r="H46" s="106"/>
      <c r="I46" s="106"/>
      <c r="J46" s="106"/>
      <c r="K46" s="74">
        <f>+SUM(F35:K35)</f>
        <v>3360000000</v>
      </c>
      <c r="L46" s="74">
        <f>+SUM(G37:K37)</f>
        <v>3200000000</v>
      </c>
      <c r="M46" s="106"/>
      <c r="N46" s="106"/>
    </row>
    <row r="47" spans="1:14">
      <c r="B47" s="76" t="s">
        <v>8363</v>
      </c>
      <c r="C47" s="106"/>
      <c r="D47" s="106"/>
      <c r="E47" s="106"/>
      <c r="F47" s="75"/>
      <c r="G47" s="106"/>
      <c r="H47" s="106"/>
      <c r="I47" s="75"/>
      <c r="J47" s="106"/>
      <c r="K47" s="75">
        <f>+K45-K46</f>
        <v>840000000</v>
      </c>
      <c r="L47" s="75">
        <f>+L45-L46</f>
        <v>800000000</v>
      </c>
      <c r="M47" s="106"/>
      <c r="N47" s="516">
        <f>+N45-N46</f>
        <v>0</v>
      </c>
    </row>
  </sheetData>
  <mergeCells count="11">
    <mergeCell ref="A38:A39"/>
    <mergeCell ref="F22:N22"/>
    <mergeCell ref="F2:N2"/>
    <mergeCell ref="F32:N32"/>
    <mergeCell ref="F8:N8"/>
    <mergeCell ref="A19:B19"/>
    <mergeCell ref="A24:A25"/>
    <mergeCell ref="A26:A27"/>
    <mergeCell ref="A28:A29"/>
    <mergeCell ref="A34:A35"/>
    <mergeCell ref="A36:A37"/>
  </mergeCells>
  <phoneticPr fontId="24" type="noConversion"/>
  <pageMargins left="0.7" right="0.7" top="0.75" bottom="0.75" header="0.3" footer="0.3"/>
  <pageSetup orientation="portrait" horizontalDpi="4294967293"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E7B41-2880-4F50-9407-C8C0ACE90F32}">
  <dimension ref="A1:AA99"/>
  <sheetViews>
    <sheetView workbookViewId="0">
      <selection activeCell="B36" sqref="B36"/>
    </sheetView>
  </sheetViews>
  <sheetFormatPr defaultColWidth="11.3828125" defaultRowHeight="12.45"/>
  <cols>
    <col min="1" max="1" width="22.15234375" bestFit="1" customWidth="1"/>
    <col min="2" max="2" width="15.3046875" bestFit="1" customWidth="1"/>
    <col min="3" max="3" width="24.3046875" bestFit="1" customWidth="1"/>
    <col min="4" max="4" width="17.84375" style="6" bestFit="1" customWidth="1"/>
    <col min="5" max="5" width="15.3828125" bestFit="1" customWidth="1"/>
    <col min="6" max="8" width="16" bestFit="1" customWidth="1"/>
    <col min="9" max="9" width="15.3828125" bestFit="1" customWidth="1"/>
    <col min="10" max="10" width="15.84375" bestFit="1" customWidth="1"/>
    <col min="11" max="11" width="15.3046875" bestFit="1" customWidth="1"/>
    <col min="12" max="12" width="15.3828125" bestFit="1" customWidth="1"/>
    <col min="13" max="13" width="15.84375" bestFit="1" customWidth="1"/>
    <col min="14" max="14" width="14.3828125" bestFit="1" customWidth="1"/>
    <col min="15" max="17" width="15.84375" bestFit="1" customWidth="1"/>
    <col min="18" max="18" width="15.3046875" bestFit="1" customWidth="1"/>
    <col min="19" max="22" width="13.69140625" bestFit="1" customWidth="1"/>
    <col min="25" max="25" width="15.3046875" bestFit="1" customWidth="1"/>
  </cols>
  <sheetData>
    <row r="1" spans="1:17" s="6" customFormat="1" ht="12.9" thickBot="1">
      <c r="A1" s="81" t="s">
        <v>8364</v>
      </c>
      <c r="B1" s="84" t="s">
        <v>8365</v>
      </c>
    </row>
    <row r="2" spans="1:17" ht="12.9" thickBot="1">
      <c r="A2" s="109"/>
      <c r="B2" s="6"/>
      <c r="C2" s="128"/>
      <c r="D2" s="152"/>
      <c r="E2" s="151">
        <v>45292</v>
      </c>
      <c r="F2" s="131">
        <v>45323</v>
      </c>
      <c r="G2" s="151">
        <v>45352</v>
      </c>
      <c r="H2" s="131">
        <v>45383</v>
      </c>
      <c r="I2" s="151">
        <v>45413</v>
      </c>
      <c r="J2" s="131">
        <v>45444</v>
      </c>
      <c r="K2" s="151">
        <v>45474</v>
      </c>
      <c r="L2" s="131">
        <v>45505</v>
      </c>
      <c r="M2" s="151">
        <v>45536</v>
      </c>
      <c r="N2" s="131">
        <v>45566</v>
      </c>
      <c r="O2" s="151">
        <v>45597</v>
      </c>
      <c r="P2" s="131">
        <v>45627</v>
      </c>
    </row>
    <row r="3" spans="1:17">
      <c r="A3" s="110"/>
      <c r="B3" s="91"/>
      <c r="C3" s="393" t="s">
        <v>8332</v>
      </c>
      <c r="D3" s="140"/>
      <c r="E3" s="138"/>
      <c r="F3" s="91"/>
      <c r="G3" s="92"/>
      <c r="H3" s="127">
        <v>0.3</v>
      </c>
      <c r="I3" s="127">
        <v>0.2</v>
      </c>
      <c r="J3" s="127">
        <v>0.1</v>
      </c>
      <c r="K3" s="127">
        <v>0.1</v>
      </c>
      <c r="L3" s="127">
        <v>0.1</v>
      </c>
      <c r="M3" s="127">
        <v>0.1</v>
      </c>
      <c r="N3" s="127">
        <v>0.1</v>
      </c>
      <c r="O3" s="92"/>
      <c r="P3" s="92"/>
    </row>
    <row r="4" spans="1:17">
      <c r="A4" s="110"/>
      <c r="B4" s="91">
        <f>IF(B1="SI",1154113082.97078*(1-15%),1154113082.97078)</f>
        <v>980996120.52516294</v>
      </c>
      <c r="C4" s="393" t="s">
        <v>8366</v>
      </c>
      <c r="D4" s="140"/>
      <c r="E4" s="138"/>
      <c r="F4" s="91"/>
      <c r="G4" s="92"/>
      <c r="H4" s="91">
        <f>+H3*$B$4</f>
        <v>294298836.15754884</v>
      </c>
      <c r="I4" s="91">
        <f>+I3*$B$4</f>
        <v>196199224.10503259</v>
      </c>
      <c r="J4" s="91">
        <f t="shared" ref="J4:N4" si="0">+J3*$B$4</f>
        <v>98099612.052516297</v>
      </c>
      <c r="K4" s="91">
        <f t="shared" si="0"/>
        <v>98099612.052516297</v>
      </c>
      <c r="L4" s="91">
        <f t="shared" si="0"/>
        <v>98099612.052516297</v>
      </c>
      <c r="M4" s="91">
        <f t="shared" si="0"/>
        <v>98099612.052516297</v>
      </c>
      <c r="N4" s="91">
        <f t="shared" si="0"/>
        <v>98099612.052516297</v>
      </c>
      <c r="O4" s="92"/>
      <c r="P4" s="92"/>
    </row>
    <row r="5" spans="1:17">
      <c r="A5" s="110"/>
      <c r="B5" s="91"/>
      <c r="C5" s="393" t="s">
        <v>8332</v>
      </c>
      <c r="D5" s="140"/>
      <c r="E5" s="138"/>
      <c r="F5" s="91"/>
      <c r="G5" s="92"/>
      <c r="H5" s="91"/>
      <c r="I5" s="91"/>
      <c r="J5" s="91"/>
      <c r="K5" s="127">
        <v>0.3</v>
      </c>
      <c r="L5" s="127">
        <v>0.2</v>
      </c>
      <c r="M5" s="127">
        <v>0.1</v>
      </c>
      <c r="N5" s="127">
        <v>0.1</v>
      </c>
      <c r="O5" s="127">
        <v>0.1</v>
      </c>
      <c r="P5" s="127">
        <v>0.1</v>
      </c>
    </row>
    <row r="6" spans="1:17">
      <c r="A6" s="110"/>
      <c r="B6" s="91">
        <f>IF(B1="SI",1154113082.97078*(1-15%),1154113082.97078)</f>
        <v>980996120.52516294</v>
      </c>
      <c r="C6" s="393" t="s">
        <v>8367</v>
      </c>
      <c r="D6" s="140"/>
      <c r="E6" s="138"/>
      <c r="F6" s="91"/>
      <c r="G6" s="92"/>
      <c r="H6" s="91"/>
      <c r="I6" s="91"/>
      <c r="J6" s="91"/>
      <c r="K6" s="91">
        <f>+K5*$B$4</f>
        <v>294298836.15754884</v>
      </c>
      <c r="L6" s="91">
        <f>+L5*$B$4</f>
        <v>196199224.10503259</v>
      </c>
      <c r="M6" s="91">
        <f t="shared" ref="M6:O6" si="1">+M5*$B$4</f>
        <v>98099612.052516297</v>
      </c>
      <c r="N6" s="91">
        <f t="shared" si="1"/>
        <v>98099612.052516297</v>
      </c>
      <c r="O6" s="91">
        <f t="shared" si="1"/>
        <v>98099612.052516297</v>
      </c>
      <c r="P6" s="91">
        <f t="shared" ref="P6" si="2">+P5*$B$4</f>
        <v>98099612.052516297</v>
      </c>
    </row>
    <row r="7" spans="1:17">
      <c r="A7" s="110"/>
      <c r="B7" s="91"/>
      <c r="C7" s="393" t="s">
        <v>8332</v>
      </c>
      <c r="D7" s="140"/>
      <c r="E7" s="138"/>
      <c r="F7" s="91"/>
      <c r="G7" s="92"/>
      <c r="H7" s="91"/>
      <c r="I7" s="91"/>
      <c r="J7" s="91"/>
      <c r="K7" s="127"/>
      <c r="L7" s="81"/>
      <c r="M7" s="81"/>
      <c r="N7" s="127">
        <v>0.3</v>
      </c>
      <c r="O7" s="127">
        <v>0.2</v>
      </c>
      <c r="P7" s="127">
        <v>0.1</v>
      </c>
    </row>
    <row r="8" spans="1:17" ht="12.9" thickBot="1">
      <c r="A8" s="110"/>
      <c r="B8" s="91">
        <f>IF(B3="",1154113082.97078*(1-15%),1154113082.97078)</f>
        <v>980996120.52516294</v>
      </c>
      <c r="C8" s="393" t="s">
        <v>8368</v>
      </c>
      <c r="D8" s="142"/>
      <c r="E8" s="138"/>
      <c r="F8" s="91"/>
      <c r="G8" s="92"/>
      <c r="H8" s="91"/>
      <c r="I8" s="91"/>
      <c r="J8" s="91"/>
      <c r="K8" s="91"/>
      <c r="L8" s="81"/>
      <c r="M8" s="81"/>
      <c r="N8" s="91">
        <f>+N7*$B$8</f>
        <v>294298836.15754884</v>
      </c>
      <c r="O8" s="91">
        <f>+O7*$B$8</f>
        <v>196199224.10503259</v>
      </c>
      <c r="P8" s="91">
        <f>+P7*$B$8</f>
        <v>98099612.052516297</v>
      </c>
    </row>
    <row r="9" spans="1:17">
      <c r="A9" s="110"/>
      <c r="B9" s="2"/>
      <c r="C9" s="58"/>
      <c r="D9" s="141"/>
      <c r="E9" s="6"/>
      <c r="F9" s="6"/>
      <c r="G9" s="6"/>
      <c r="H9" s="2"/>
      <c r="I9" s="2"/>
      <c r="J9" s="2"/>
      <c r="K9" s="2"/>
      <c r="L9" s="2"/>
      <c r="M9" s="2"/>
      <c r="N9" s="2"/>
      <c r="O9" s="2"/>
      <c r="P9" s="2"/>
    </row>
    <row r="10" spans="1:17" s="6" customFormat="1">
      <c r="B10" s="2"/>
      <c r="C10" s="58"/>
      <c r="D10" s="141"/>
      <c r="H10" s="2"/>
      <c r="I10" s="2"/>
      <c r="J10" s="2"/>
      <c r="K10" s="2"/>
      <c r="L10" s="2"/>
      <c r="M10" s="2"/>
      <c r="N10" s="2"/>
    </row>
    <row r="11" spans="1:17" s="6" customFormat="1">
      <c r="C11" s="58"/>
      <c r="D11" s="141"/>
      <c r="H11" s="2"/>
      <c r="I11" s="2"/>
      <c r="J11" s="2"/>
      <c r="K11" s="2"/>
      <c r="L11" s="2"/>
      <c r="M11" s="2"/>
    </row>
    <row r="12" spans="1:17" s="6" customFormat="1">
      <c r="C12" s="58"/>
      <c r="D12" s="141"/>
    </row>
    <row r="13" spans="1:17" s="6" customFormat="1" ht="12.9" thickBot="1">
      <c r="A13" s="2">
        <f>+B13/4000000</f>
        <v>735.74709039387221</v>
      </c>
      <c r="B13" s="2">
        <f>+SUM(B4:B8)</f>
        <v>2942988361.575489</v>
      </c>
      <c r="C13" s="94" t="s">
        <v>8335</v>
      </c>
      <c r="D13" s="395"/>
      <c r="E13" s="95">
        <f>+SUM(E3:E8)</f>
        <v>0</v>
      </c>
      <c r="F13" s="95">
        <f>+SUM(F3:F8)</f>
        <v>0</v>
      </c>
      <c r="G13" s="95">
        <f t="shared" ref="G13" si="3">+SUM(G3:G8)</f>
        <v>0</v>
      </c>
      <c r="H13" s="95">
        <f>-H4-H6-H8</f>
        <v>-294298836.15754884</v>
      </c>
      <c r="I13" s="95">
        <f>-I4-I6-I8</f>
        <v>-196199224.10503259</v>
      </c>
      <c r="J13" s="95">
        <f t="shared" ref="J13:P13" si="4">-J4-J6-J8</f>
        <v>-98099612.052516297</v>
      </c>
      <c r="K13" s="95">
        <f t="shared" si="4"/>
        <v>-392398448.21006513</v>
      </c>
      <c r="L13" s="95">
        <f t="shared" si="4"/>
        <v>-294298836.1575489</v>
      </c>
      <c r="M13" s="95">
        <f t="shared" si="4"/>
        <v>-196199224.10503259</v>
      </c>
      <c r="N13" s="95">
        <f t="shared" si="4"/>
        <v>-490498060.26258147</v>
      </c>
      <c r="O13" s="95">
        <f t="shared" si="4"/>
        <v>-294298836.1575489</v>
      </c>
      <c r="P13" s="95">
        <f t="shared" si="4"/>
        <v>-196199224.10503259</v>
      </c>
    </row>
    <row r="14" spans="1:17" s="6" customFormat="1">
      <c r="A14" s="2">
        <f>+A13/(0.8*0.545)</f>
        <v>1687.4933265914499</v>
      </c>
      <c r="B14" s="2"/>
      <c r="I14" s="2"/>
      <c r="J14" s="2"/>
      <c r="K14" s="2"/>
      <c r="L14" s="2"/>
      <c r="M14" s="2"/>
      <c r="N14" s="2"/>
      <c r="O14" s="2"/>
      <c r="P14" s="2"/>
    </row>
    <row r="15" spans="1:17" s="6" customFormat="1">
      <c r="B15" s="2"/>
      <c r="I15" s="2"/>
      <c r="J15" s="2"/>
      <c r="K15" s="2"/>
      <c r="L15" s="2"/>
      <c r="M15" s="2"/>
      <c r="N15" s="2"/>
      <c r="O15" s="2"/>
      <c r="P15" s="2"/>
    </row>
    <row r="16" spans="1:17" s="6" customFormat="1">
      <c r="B16" s="2"/>
      <c r="E16" s="2"/>
      <c r="F16" s="91">
        <v>385748006.33762026</v>
      </c>
      <c r="G16" s="91">
        <v>-215371471.56845891</v>
      </c>
      <c r="H16" s="91">
        <v>-598853063.42289448</v>
      </c>
      <c r="I16" s="91">
        <v>787380578.51458383</v>
      </c>
      <c r="J16" s="91">
        <v>2683732909.2776985</v>
      </c>
      <c r="K16" s="91">
        <v>5663987539.9152851</v>
      </c>
      <c r="L16" s="91">
        <v>1151064169.9310246</v>
      </c>
      <c r="M16" s="91">
        <v>947093161.53678834</v>
      </c>
      <c r="N16" s="91">
        <v>-317557476.27138615</v>
      </c>
      <c r="O16" s="91">
        <v>-385738044.86885059</v>
      </c>
      <c r="P16" s="91">
        <v>-237388454.41108215</v>
      </c>
      <c r="Q16" s="91">
        <v>-200000000</v>
      </c>
    </row>
    <row r="17" spans="1:17" s="6" customFormat="1">
      <c r="E17" s="2"/>
      <c r="F17" s="91">
        <f>+'Proyección 2024'!H39</f>
        <v>385748006.33762026</v>
      </c>
      <c r="G17" s="91" t="e">
        <f>+'Proyección 2024'!I39</f>
        <v>#REF!</v>
      </c>
      <c r="H17" s="91" t="e">
        <f>+'Proyección 2024'!J39</f>
        <v>#REF!</v>
      </c>
      <c r="I17" s="91" t="e">
        <f>+'Proyección 2024'!K39</f>
        <v>#REF!</v>
      </c>
      <c r="J17" s="91" t="e">
        <f>+'Proyección 2024'!L39</f>
        <v>#REF!</v>
      </c>
      <c r="K17" s="91" t="e">
        <f>+'Proyección 2024'!M39</f>
        <v>#REF!</v>
      </c>
      <c r="L17" s="91" t="e">
        <f>+'Proyección 2024'!N39</f>
        <v>#REF!</v>
      </c>
      <c r="M17" s="91" t="e">
        <f>+'Proyección 2024'!O39</f>
        <v>#REF!</v>
      </c>
      <c r="N17" s="91" t="e">
        <f>+'Proyección 2024'!P39</f>
        <v>#REF!</v>
      </c>
      <c r="O17" s="91" t="e">
        <f>+'Proyección 2024'!Q39</f>
        <v>#REF!</v>
      </c>
      <c r="P17" s="91" t="e">
        <f>+'Proyección 2024'!R39</f>
        <v>#REF!</v>
      </c>
      <c r="Q17" s="91" t="e">
        <f>+'Proyección 2024'!S39</f>
        <v>#REF!</v>
      </c>
    </row>
    <row r="18" spans="1:17" s="6" customFormat="1" ht="12.9" thickBot="1">
      <c r="B18" s="2"/>
      <c r="E18" s="2"/>
      <c r="F18" s="2"/>
      <c r="G18" s="2"/>
      <c r="H18" s="2"/>
      <c r="I18" s="2"/>
      <c r="J18" s="2"/>
      <c r="K18" s="2"/>
      <c r="L18" s="2"/>
    </row>
    <row r="19" spans="1:17" s="6" customFormat="1" ht="12.9" thickBot="1">
      <c r="D19" s="397" t="s">
        <v>8369</v>
      </c>
      <c r="E19" s="396" t="str">
        <f t="shared" ref="E19:O19" si="5">+IF(F16&lt;0,"SI","NO")</f>
        <v>NO</v>
      </c>
      <c r="F19" s="396" t="str">
        <f>+IF(G16&lt;0,"SI","NO")</f>
        <v>SI</v>
      </c>
      <c r="G19" s="396" t="str">
        <f>+IF(H16&lt;0,"SI","NO")</f>
        <v>SI</v>
      </c>
      <c r="H19" s="396" t="str">
        <f>+IF(I16&lt;0,"SI","NO")</f>
        <v>NO</v>
      </c>
      <c r="I19" s="396" t="str">
        <f t="shared" si="5"/>
        <v>NO</v>
      </c>
      <c r="J19" s="396" t="str">
        <f t="shared" si="5"/>
        <v>NO</v>
      </c>
      <c r="K19" s="396" t="str">
        <f t="shared" si="5"/>
        <v>NO</v>
      </c>
      <c r="L19" s="396" t="str">
        <f t="shared" si="5"/>
        <v>NO</v>
      </c>
      <c r="M19" s="398" t="str">
        <f t="shared" si="5"/>
        <v>SI</v>
      </c>
      <c r="N19" s="396" t="str">
        <f t="shared" si="5"/>
        <v>SI</v>
      </c>
      <c r="O19" s="396" t="str">
        <f t="shared" si="5"/>
        <v>SI</v>
      </c>
      <c r="P19" s="396" t="str">
        <f>+IF(Q16&lt;0,"SI","NO")</f>
        <v>SI</v>
      </c>
    </row>
    <row r="20" spans="1:17" s="6" customFormat="1">
      <c r="C20" s="58"/>
      <c r="D20" s="58"/>
      <c r="E20" s="2"/>
      <c r="F20" s="2"/>
      <c r="G20" s="2"/>
      <c r="H20" s="2"/>
    </row>
    <row r="21" spans="1:17" s="6" customFormat="1">
      <c r="A21" s="2"/>
      <c r="B21" s="2"/>
      <c r="E21" s="2"/>
      <c r="F21" s="2"/>
      <c r="G21" s="2"/>
      <c r="H21" s="2"/>
    </row>
    <row r="22" spans="1:17" s="6" customFormat="1" ht="12.9" thickBot="1">
      <c r="A22" s="2"/>
      <c r="B22" s="2"/>
      <c r="C22" s="58"/>
    </row>
    <row r="23" spans="1:17" s="6" customFormat="1">
      <c r="A23" t="s">
        <v>8370</v>
      </c>
      <c r="B23" s="334" t="s">
        <v>8371</v>
      </c>
      <c r="C23" s="372">
        <v>0.16</v>
      </c>
      <c r="D23" s="399" t="s">
        <v>8372</v>
      </c>
      <c r="E23" s="235">
        <f>+IF(E19="SI",-E13,0)</f>
        <v>0</v>
      </c>
      <c r="F23" s="235">
        <f t="shared" ref="F23:P23" si="6">+E23+F25</f>
        <v>0</v>
      </c>
      <c r="G23" s="235">
        <f t="shared" si="6"/>
        <v>0</v>
      </c>
      <c r="H23" s="235">
        <f t="shared" si="6"/>
        <v>0</v>
      </c>
      <c r="I23" s="235">
        <f t="shared" si="6"/>
        <v>0</v>
      </c>
      <c r="J23" s="235">
        <f t="shared" si="6"/>
        <v>0</v>
      </c>
      <c r="K23" s="235">
        <f t="shared" si="6"/>
        <v>0</v>
      </c>
      <c r="L23" s="235">
        <f t="shared" si="6"/>
        <v>0</v>
      </c>
      <c r="M23" s="235">
        <f t="shared" si="6"/>
        <v>0</v>
      </c>
      <c r="N23" s="235">
        <f t="shared" si="6"/>
        <v>0</v>
      </c>
      <c r="O23" s="235">
        <f t="shared" si="6"/>
        <v>0</v>
      </c>
      <c r="P23" s="235">
        <f t="shared" si="6"/>
        <v>0</v>
      </c>
    </row>
    <row r="24" spans="1:17" s="6" customFormat="1">
      <c r="A24"/>
      <c r="B24" s="109"/>
      <c r="C24" s="403"/>
      <c r="D24" s="400"/>
      <c r="E24" s="2">
        <f>+E23</f>
        <v>0</v>
      </c>
      <c r="F24" s="2"/>
      <c r="G24" s="2"/>
      <c r="H24" s="2"/>
      <c r="I24" s="2"/>
      <c r="J24" s="2"/>
      <c r="K24" s="2"/>
      <c r="L24" s="2"/>
      <c r="M24" s="2"/>
      <c r="N24" s="2"/>
      <c r="O24" s="2"/>
      <c r="P24" s="2"/>
    </row>
    <row r="25" spans="1:17" s="6" customFormat="1">
      <c r="A25" s="2"/>
      <c r="B25" s="109"/>
      <c r="C25" s="382">
        <f>+(C23+1)^(0.0833333333333333)-1</f>
        <v>1.2445137919713467E-2</v>
      </c>
      <c r="D25" s="400" t="s">
        <v>8373</v>
      </c>
      <c r="E25" s="2"/>
      <c r="F25" s="2">
        <f t="shared" ref="F25:P25" si="7">+PMT($C$25,E27,E23)-F26</f>
        <v>0</v>
      </c>
      <c r="G25" s="2">
        <f t="shared" si="7"/>
        <v>0</v>
      </c>
      <c r="H25" s="2">
        <f t="shared" si="7"/>
        <v>0</v>
      </c>
      <c r="I25" s="2">
        <f t="shared" si="7"/>
        <v>0</v>
      </c>
      <c r="J25" s="2">
        <f t="shared" si="7"/>
        <v>0</v>
      </c>
      <c r="K25" s="2">
        <f t="shared" si="7"/>
        <v>0</v>
      </c>
      <c r="L25" s="2">
        <f t="shared" si="7"/>
        <v>0</v>
      </c>
      <c r="M25" s="2">
        <f t="shared" si="7"/>
        <v>0</v>
      </c>
      <c r="N25" s="2">
        <f t="shared" si="7"/>
        <v>0</v>
      </c>
      <c r="O25" s="2">
        <f t="shared" si="7"/>
        <v>0</v>
      </c>
      <c r="P25" s="2">
        <f t="shared" si="7"/>
        <v>0</v>
      </c>
    </row>
    <row r="26" spans="1:17" s="6" customFormat="1">
      <c r="A26" s="2"/>
      <c r="B26" s="109"/>
      <c r="C26" s="382"/>
      <c r="D26" s="400" t="s">
        <v>8233</v>
      </c>
      <c r="E26" s="2"/>
      <c r="F26" s="2">
        <f t="shared" ref="F26:P26" si="8">-E23*$C$25</f>
        <v>0</v>
      </c>
      <c r="G26" s="2">
        <f t="shared" si="8"/>
        <v>0</v>
      </c>
      <c r="H26" s="2">
        <f t="shared" si="8"/>
        <v>0</v>
      </c>
      <c r="I26" s="2">
        <f t="shared" si="8"/>
        <v>0</v>
      </c>
      <c r="J26" s="2">
        <f t="shared" si="8"/>
        <v>0</v>
      </c>
      <c r="K26" s="2">
        <f t="shared" si="8"/>
        <v>0</v>
      </c>
      <c r="L26" s="2">
        <f t="shared" si="8"/>
        <v>0</v>
      </c>
      <c r="M26" s="2">
        <f t="shared" si="8"/>
        <v>0</v>
      </c>
      <c r="N26" s="2">
        <f t="shared" si="8"/>
        <v>0</v>
      </c>
      <c r="O26" s="2">
        <f t="shared" si="8"/>
        <v>0</v>
      </c>
      <c r="P26" s="2">
        <f t="shared" si="8"/>
        <v>0</v>
      </c>
    </row>
    <row r="27" spans="1:17" s="6" customFormat="1" ht="12.9" thickBot="1">
      <c r="A27" s="236"/>
      <c r="B27" s="335">
        <f>7*12</f>
        <v>84</v>
      </c>
      <c r="C27" s="377"/>
      <c r="D27" s="401" t="s">
        <v>8374</v>
      </c>
      <c r="E27" s="236">
        <f>+B27</f>
        <v>84</v>
      </c>
      <c r="F27" s="236">
        <v>83</v>
      </c>
      <c r="G27" s="236">
        <v>84</v>
      </c>
      <c r="H27" s="236">
        <v>85</v>
      </c>
      <c r="I27" s="236">
        <v>86</v>
      </c>
      <c r="J27" s="236">
        <v>87</v>
      </c>
      <c r="K27" s="236">
        <v>88</v>
      </c>
      <c r="L27" s="236">
        <v>89</v>
      </c>
      <c r="M27" s="236">
        <v>90</v>
      </c>
      <c r="N27" s="236">
        <v>91</v>
      </c>
      <c r="O27" s="236">
        <v>92</v>
      </c>
      <c r="P27" s="236">
        <v>93</v>
      </c>
    </row>
    <row r="28" spans="1:17" s="6" customFormat="1" ht="12.9" thickBot="1"/>
    <row r="29" spans="1:17" s="6" customFormat="1">
      <c r="A29" s="235" t="s">
        <v>8375</v>
      </c>
      <c r="B29" s="334" t="s">
        <v>8371</v>
      </c>
      <c r="C29" s="372">
        <v>0.16</v>
      </c>
      <c r="D29" s="399" t="s">
        <v>8372</v>
      </c>
      <c r="E29" s="107"/>
      <c r="F29" s="235">
        <f>+IF($E22="SI",-SUM($E$13:$F$13),0)</f>
        <v>0</v>
      </c>
      <c r="G29" s="235">
        <f t="shared" ref="G29:Q29" si="9">+F29+G31</f>
        <v>0</v>
      </c>
      <c r="H29" s="235">
        <f t="shared" si="9"/>
        <v>0</v>
      </c>
      <c r="I29" s="235">
        <f t="shared" si="9"/>
        <v>0</v>
      </c>
      <c r="J29" s="235">
        <f t="shared" si="9"/>
        <v>0</v>
      </c>
      <c r="K29" s="235">
        <f t="shared" si="9"/>
        <v>0</v>
      </c>
      <c r="L29" s="235">
        <f t="shared" si="9"/>
        <v>0</v>
      </c>
      <c r="M29" s="235">
        <f t="shared" si="9"/>
        <v>0</v>
      </c>
      <c r="N29" s="235">
        <f t="shared" si="9"/>
        <v>0</v>
      </c>
      <c r="O29" s="235">
        <f t="shared" si="9"/>
        <v>0</v>
      </c>
      <c r="P29" s="235">
        <f t="shared" si="9"/>
        <v>0</v>
      </c>
      <c r="Q29" s="235">
        <f t="shared" si="9"/>
        <v>0</v>
      </c>
    </row>
    <row r="30" spans="1:17" s="6" customFormat="1">
      <c r="A30" s="2"/>
      <c r="B30" s="109"/>
      <c r="C30" s="403"/>
      <c r="D30" s="400"/>
      <c r="E30" s="107"/>
      <c r="F30" s="2">
        <f>+F29</f>
        <v>0</v>
      </c>
      <c r="G30" s="2"/>
      <c r="H30" s="2"/>
      <c r="I30" s="2"/>
      <c r="J30" s="2"/>
      <c r="K30" s="2"/>
      <c r="L30" s="2"/>
      <c r="M30" s="2"/>
      <c r="N30" s="2"/>
      <c r="O30" s="2"/>
      <c r="P30" s="2"/>
      <c r="Q30" s="2"/>
    </row>
    <row r="31" spans="1:17">
      <c r="A31" s="2"/>
      <c r="B31" s="109"/>
      <c r="C31" s="382">
        <f>+(C29+1)^(0.0833333333333333)-1</f>
        <v>1.2445137919713467E-2</v>
      </c>
      <c r="D31" s="400" t="s">
        <v>8373</v>
      </c>
      <c r="E31" s="107"/>
      <c r="F31" s="2"/>
      <c r="G31" s="2">
        <f t="shared" ref="G31:Q31" si="10">+PMT($C$31,F33,F29)-G32</f>
        <v>0</v>
      </c>
      <c r="H31" s="2">
        <f t="shared" si="10"/>
        <v>0</v>
      </c>
      <c r="I31" s="2">
        <f t="shared" si="10"/>
        <v>0</v>
      </c>
      <c r="J31" s="2">
        <f t="shared" si="10"/>
        <v>0</v>
      </c>
      <c r="K31" s="2">
        <f t="shared" si="10"/>
        <v>0</v>
      </c>
      <c r="L31" s="2">
        <f t="shared" si="10"/>
        <v>0</v>
      </c>
      <c r="M31" s="2">
        <f t="shared" si="10"/>
        <v>0</v>
      </c>
      <c r="N31" s="2">
        <f t="shared" si="10"/>
        <v>0</v>
      </c>
      <c r="O31" s="2">
        <f t="shared" si="10"/>
        <v>0</v>
      </c>
      <c r="P31" s="2">
        <f t="shared" si="10"/>
        <v>0</v>
      </c>
      <c r="Q31" s="2">
        <f t="shared" si="10"/>
        <v>0</v>
      </c>
    </row>
    <row r="32" spans="1:17">
      <c r="A32" s="2"/>
      <c r="B32" s="109"/>
      <c r="C32" s="382"/>
      <c r="D32" s="400" t="s">
        <v>8233</v>
      </c>
      <c r="E32" s="107"/>
      <c r="F32" s="2"/>
      <c r="G32" s="2">
        <f t="shared" ref="G32:Q32" si="11">-F29*$C$31</f>
        <v>0</v>
      </c>
      <c r="H32" s="2">
        <f t="shared" si="11"/>
        <v>0</v>
      </c>
      <c r="I32" s="2">
        <f t="shared" si="11"/>
        <v>0</v>
      </c>
      <c r="J32" s="2">
        <f t="shared" si="11"/>
        <v>0</v>
      </c>
      <c r="K32" s="2">
        <f t="shared" si="11"/>
        <v>0</v>
      </c>
      <c r="L32" s="2">
        <f t="shared" si="11"/>
        <v>0</v>
      </c>
      <c r="M32" s="2">
        <f t="shared" si="11"/>
        <v>0</v>
      </c>
      <c r="N32" s="2">
        <f t="shared" si="11"/>
        <v>0</v>
      </c>
      <c r="O32" s="2">
        <f t="shared" si="11"/>
        <v>0</v>
      </c>
      <c r="P32" s="2">
        <f t="shared" si="11"/>
        <v>0</v>
      </c>
      <c r="Q32" s="2">
        <f t="shared" si="11"/>
        <v>0</v>
      </c>
    </row>
    <row r="33" spans="1:20" ht="12.9" thickBot="1">
      <c r="A33" s="236"/>
      <c r="B33" s="335">
        <f>7*12</f>
        <v>84</v>
      </c>
      <c r="C33" s="377"/>
      <c r="D33" s="401" t="s">
        <v>8374</v>
      </c>
      <c r="E33" s="107"/>
      <c r="F33" s="236">
        <f>+B33</f>
        <v>84</v>
      </c>
      <c r="G33" s="236">
        <f t="shared" ref="G33:Q33" si="12">+F33-1</f>
        <v>83</v>
      </c>
      <c r="H33" s="236">
        <f t="shared" si="12"/>
        <v>82</v>
      </c>
      <c r="I33" s="236">
        <f t="shared" si="12"/>
        <v>81</v>
      </c>
      <c r="J33" s="236">
        <f t="shared" si="12"/>
        <v>80</v>
      </c>
      <c r="K33" s="236">
        <f t="shared" si="12"/>
        <v>79</v>
      </c>
      <c r="L33" s="236">
        <f t="shared" si="12"/>
        <v>78</v>
      </c>
      <c r="M33" s="236">
        <f t="shared" si="12"/>
        <v>77</v>
      </c>
      <c r="N33" s="236">
        <f t="shared" si="12"/>
        <v>76</v>
      </c>
      <c r="O33" s="236">
        <f t="shared" si="12"/>
        <v>75</v>
      </c>
      <c r="P33" s="236">
        <f t="shared" si="12"/>
        <v>74</v>
      </c>
      <c r="Q33" s="236">
        <f t="shared" si="12"/>
        <v>73</v>
      </c>
    </row>
    <row r="34" spans="1:20" ht="12.9" thickBot="1"/>
    <row r="35" spans="1:20">
      <c r="A35" s="235" t="s">
        <v>8375</v>
      </c>
      <c r="B35" s="334" t="s">
        <v>8371</v>
      </c>
      <c r="C35" s="372">
        <v>0.16</v>
      </c>
      <c r="D35" s="399" t="s">
        <v>8372</v>
      </c>
      <c r="E35" s="107"/>
      <c r="F35" s="107"/>
      <c r="G35" s="235">
        <f>+IF($G19="SI",-SUM($E$13:$G$13),0)</f>
        <v>0</v>
      </c>
      <c r="H35" s="235">
        <f t="shared" ref="H35:R35" si="13">+G35+H37</f>
        <v>0</v>
      </c>
      <c r="I35" s="235">
        <f t="shared" si="13"/>
        <v>0</v>
      </c>
      <c r="J35" s="235">
        <f t="shared" si="13"/>
        <v>0</v>
      </c>
      <c r="K35" s="235">
        <f t="shared" si="13"/>
        <v>0</v>
      </c>
      <c r="L35" s="235">
        <f t="shared" si="13"/>
        <v>0</v>
      </c>
      <c r="M35" s="235">
        <f t="shared" si="13"/>
        <v>0</v>
      </c>
      <c r="N35" s="235">
        <f t="shared" si="13"/>
        <v>0</v>
      </c>
      <c r="O35" s="235">
        <f t="shared" si="13"/>
        <v>0</v>
      </c>
      <c r="P35" s="235">
        <f t="shared" si="13"/>
        <v>0</v>
      </c>
      <c r="Q35" s="235">
        <f t="shared" si="13"/>
        <v>0</v>
      </c>
      <c r="R35" s="235">
        <f t="shared" si="13"/>
        <v>0</v>
      </c>
    </row>
    <row r="36" spans="1:20">
      <c r="A36" s="2"/>
      <c r="B36" s="109"/>
      <c r="C36" s="403"/>
      <c r="D36" s="400"/>
      <c r="E36" s="107"/>
      <c r="F36" s="107"/>
      <c r="G36" s="2">
        <f>+G35</f>
        <v>0</v>
      </c>
      <c r="H36" s="2"/>
      <c r="I36" s="2"/>
      <c r="J36" s="2"/>
      <c r="K36" s="2"/>
      <c r="L36" s="2"/>
      <c r="M36" s="2"/>
      <c r="N36" s="2"/>
      <c r="O36" s="2"/>
      <c r="P36" s="2"/>
      <c r="Q36" s="2"/>
      <c r="R36" s="2"/>
    </row>
    <row r="37" spans="1:20">
      <c r="A37" s="2"/>
      <c r="B37" s="109"/>
      <c r="C37" s="382">
        <f>+(C35+1)^(0.0833333333333333)-1</f>
        <v>1.2445137919713467E-2</v>
      </c>
      <c r="D37" s="400" t="s">
        <v>8373</v>
      </c>
      <c r="E37" s="107"/>
      <c r="F37" s="107"/>
      <c r="G37" s="2"/>
      <c r="H37" s="2">
        <f t="shared" ref="H37:R37" si="14">+PMT($C$37,G39,G35)-H38</f>
        <v>0</v>
      </c>
      <c r="I37" s="2">
        <f t="shared" si="14"/>
        <v>0</v>
      </c>
      <c r="J37" s="2">
        <f t="shared" si="14"/>
        <v>0</v>
      </c>
      <c r="K37" s="2">
        <f t="shared" si="14"/>
        <v>0</v>
      </c>
      <c r="L37" s="2">
        <f t="shared" si="14"/>
        <v>0</v>
      </c>
      <c r="M37" s="2">
        <f t="shared" si="14"/>
        <v>0</v>
      </c>
      <c r="N37" s="2">
        <f t="shared" si="14"/>
        <v>0</v>
      </c>
      <c r="O37" s="2">
        <f t="shared" si="14"/>
        <v>0</v>
      </c>
      <c r="P37" s="2">
        <f t="shared" si="14"/>
        <v>0</v>
      </c>
      <c r="Q37" s="2">
        <f t="shared" si="14"/>
        <v>0</v>
      </c>
      <c r="R37" s="2">
        <f t="shared" si="14"/>
        <v>0</v>
      </c>
    </row>
    <row r="38" spans="1:20">
      <c r="A38" s="2"/>
      <c r="B38" s="109"/>
      <c r="C38" s="382"/>
      <c r="D38" s="400" t="s">
        <v>8233</v>
      </c>
      <c r="E38" s="107"/>
      <c r="F38" s="107"/>
      <c r="G38" s="2"/>
      <c r="H38" s="2">
        <f t="shared" ref="H38:R38" si="15">-G35*$C$37</f>
        <v>0</v>
      </c>
      <c r="I38" s="2">
        <f t="shared" si="15"/>
        <v>0</v>
      </c>
      <c r="J38" s="2">
        <f t="shared" si="15"/>
        <v>0</v>
      </c>
      <c r="K38" s="2">
        <f t="shared" si="15"/>
        <v>0</v>
      </c>
      <c r="L38" s="2">
        <f t="shared" si="15"/>
        <v>0</v>
      </c>
      <c r="M38" s="2">
        <f t="shared" si="15"/>
        <v>0</v>
      </c>
      <c r="N38" s="2">
        <f t="shared" si="15"/>
        <v>0</v>
      </c>
      <c r="O38" s="2">
        <f t="shared" si="15"/>
        <v>0</v>
      </c>
      <c r="P38" s="2">
        <f t="shared" si="15"/>
        <v>0</v>
      </c>
      <c r="Q38" s="2">
        <f t="shared" si="15"/>
        <v>0</v>
      </c>
      <c r="R38" s="2">
        <f t="shared" si="15"/>
        <v>0</v>
      </c>
    </row>
    <row r="39" spans="1:20" ht="12.9" thickBot="1">
      <c r="A39" s="236"/>
      <c r="B39" s="335">
        <f>7*12</f>
        <v>84</v>
      </c>
      <c r="C39" s="377"/>
      <c r="D39" s="401" t="s">
        <v>8374</v>
      </c>
      <c r="E39" s="107"/>
      <c r="F39" s="107"/>
      <c r="G39" s="236">
        <f>+B39</f>
        <v>84</v>
      </c>
      <c r="H39" s="236">
        <f t="shared" ref="H39:R39" si="16">+G39-1</f>
        <v>83</v>
      </c>
      <c r="I39" s="236">
        <f t="shared" si="16"/>
        <v>82</v>
      </c>
      <c r="J39" s="236">
        <f t="shared" si="16"/>
        <v>81</v>
      </c>
      <c r="K39" s="236">
        <f t="shared" si="16"/>
        <v>80</v>
      </c>
      <c r="L39" s="236">
        <f t="shared" si="16"/>
        <v>79</v>
      </c>
      <c r="M39" s="236">
        <f t="shared" si="16"/>
        <v>78</v>
      </c>
      <c r="N39" s="236">
        <f t="shared" si="16"/>
        <v>77</v>
      </c>
      <c r="O39" s="236">
        <f t="shared" si="16"/>
        <v>76</v>
      </c>
      <c r="P39" s="236">
        <f t="shared" si="16"/>
        <v>75</v>
      </c>
      <c r="Q39" s="236">
        <f t="shared" si="16"/>
        <v>74</v>
      </c>
      <c r="R39" s="236">
        <f t="shared" si="16"/>
        <v>73</v>
      </c>
    </row>
    <row r="40" spans="1:20" ht="12.9" thickBot="1"/>
    <row r="41" spans="1:20">
      <c r="A41" s="235" t="s">
        <v>8376</v>
      </c>
      <c r="B41" s="334" t="s">
        <v>8371</v>
      </c>
      <c r="C41" s="372">
        <v>0.16</v>
      </c>
      <c r="D41" s="399" t="s">
        <v>8372</v>
      </c>
      <c r="E41" s="107"/>
      <c r="F41" s="107"/>
      <c r="G41" s="107"/>
      <c r="H41" s="235">
        <f>+IF($H19="SI",-SUM($G$13:$H$13),0)</f>
        <v>0</v>
      </c>
      <c r="I41" s="235">
        <f t="shared" ref="I41:S41" si="17">+H41+I43</f>
        <v>0</v>
      </c>
      <c r="J41" s="235">
        <f t="shared" si="17"/>
        <v>0</v>
      </c>
      <c r="K41" s="235">
        <f t="shared" si="17"/>
        <v>0</v>
      </c>
      <c r="L41" s="235">
        <f t="shared" si="17"/>
        <v>0</v>
      </c>
      <c r="M41" s="235">
        <f t="shared" si="17"/>
        <v>0</v>
      </c>
      <c r="N41" s="235">
        <f t="shared" si="17"/>
        <v>0</v>
      </c>
      <c r="O41" s="235">
        <f t="shared" si="17"/>
        <v>0</v>
      </c>
      <c r="P41" s="235">
        <f t="shared" si="17"/>
        <v>0</v>
      </c>
      <c r="Q41" s="235">
        <f t="shared" si="17"/>
        <v>0</v>
      </c>
      <c r="R41" s="235">
        <f t="shared" si="17"/>
        <v>0</v>
      </c>
      <c r="S41" s="235">
        <f t="shared" si="17"/>
        <v>0</v>
      </c>
    </row>
    <row r="42" spans="1:20">
      <c r="A42" s="2"/>
      <c r="B42" s="109"/>
      <c r="C42" s="403"/>
      <c r="D42" s="400"/>
      <c r="E42" s="107"/>
      <c r="F42" s="107"/>
      <c r="G42" s="107"/>
      <c r="H42" s="2">
        <f>+H41</f>
        <v>0</v>
      </c>
      <c r="I42" s="2"/>
      <c r="J42" s="2"/>
      <c r="K42" s="2"/>
      <c r="L42" s="2"/>
      <c r="M42" s="2"/>
      <c r="N42" s="2"/>
      <c r="O42" s="2"/>
      <c r="P42" s="2"/>
      <c r="Q42" s="2"/>
      <c r="R42" s="2"/>
      <c r="S42" s="2"/>
    </row>
    <row r="43" spans="1:20">
      <c r="A43" s="2"/>
      <c r="B43" s="109"/>
      <c r="C43" s="382">
        <f>+(C41+1)^(0.0833333333333333)-1</f>
        <v>1.2445137919713467E-2</v>
      </c>
      <c r="D43" s="400" t="s">
        <v>8373</v>
      </c>
      <c r="E43" s="107"/>
      <c r="F43" s="107"/>
      <c r="G43" s="107"/>
      <c r="H43" s="2"/>
      <c r="I43" s="2">
        <f t="shared" ref="I43:S43" si="18">+PMT($C$43,H45,H41)-I44</f>
        <v>0</v>
      </c>
      <c r="J43" s="2">
        <f t="shared" si="18"/>
        <v>0</v>
      </c>
      <c r="K43" s="2">
        <f t="shared" si="18"/>
        <v>0</v>
      </c>
      <c r="L43" s="2">
        <f t="shared" si="18"/>
        <v>0</v>
      </c>
      <c r="M43" s="2">
        <f t="shared" si="18"/>
        <v>0</v>
      </c>
      <c r="N43" s="2">
        <f t="shared" si="18"/>
        <v>0</v>
      </c>
      <c r="O43" s="2">
        <f t="shared" si="18"/>
        <v>0</v>
      </c>
      <c r="P43" s="2">
        <f t="shared" si="18"/>
        <v>0</v>
      </c>
      <c r="Q43" s="2">
        <f t="shared" si="18"/>
        <v>0</v>
      </c>
      <c r="R43" s="2">
        <f t="shared" si="18"/>
        <v>0</v>
      </c>
      <c r="S43" s="2">
        <f t="shared" si="18"/>
        <v>0</v>
      </c>
    </row>
    <row r="44" spans="1:20">
      <c r="A44" s="2"/>
      <c r="B44" s="109"/>
      <c r="C44" s="382"/>
      <c r="D44" s="400" t="s">
        <v>8233</v>
      </c>
      <c r="E44" s="107"/>
      <c r="F44" s="107"/>
      <c r="G44" s="107"/>
      <c r="H44" s="2"/>
      <c r="I44" s="2">
        <f t="shared" ref="I44:S44" si="19">-H41*$C$43</f>
        <v>0</v>
      </c>
      <c r="J44" s="2">
        <f t="shared" si="19"/>
        <v>0</v>
      </c>
      <c r="K44" s="2">
        <f t="shared" si="19"/>
        <v>0</v>
      </c>
      <c r="L44" s="2">
        <f t="shared" si="19"/>
        <v>0</v>
      </c>
      <c r="M44" s="2">
        <f t="shared" si="19"/>
        <v>0</v>
      </c>
      <c r="N44" s="2">
        <f t="shared" si="19"/>
        <v>0</v>
      </c>
      <c r="O44" s="2">
        <f t="shared" si="19"/>
        <v>0</v>
      </c>
      <c r="P44" s="2">
        <f t="shared" si="19"/>
        <v>0</v>
      </c>
      <c r="Q44" s="2">
        <f t="shared" si="19"/>
        <v>0</v>
      </c>
      <c r="R44" s="2">
        <f t="shared" si="19"/>
        <v>0</v>
      </c>
      <c r="S44" s="2">
        <f t="shared" si="19"/>
        <v>0</v>
      </c>
    </row>
    <row r="45" spans="1:20" ht="12.9" thickBot="1">
      <c r="A45" s="236"/>
      <c r="B45" s="335">
        <f>7*12</f>
        <v>84</v>
      </c>
      <c r="C45" s="377"/>
      <c r="D45" s="401" t="s">
        <v>8374</v>
      </c>
      <c r="E45" s="107"/>
      <c r="F45" s="107"/>
      <c r="G45" s="107"/>
      <c r="H45" s="236">
        <f>+B45</f>
        <v>84</v>
      </c>
      <c r="I45" s="236">
        <f t="shared" ref="I45:S45" si="20">+H45-1</f>
        <v>83</v>
      </c>
      <c r="J45" s="236">
        <f t="shared" si="20"/>
        <v>82</v>
      </c>
      <c r="K45" s="236">
        <f t="shared" si="20"/>
        <v>81</v>
      </c>
      <c r="L45" s="236">
        <f t="shared" si="20"/>
        <v>80</v>
      </c>
      <c r="M45" s="236">
        <f t="shared" si="20"/>
        <v>79</v>
      </c>
      <c r="N45" s="236">
        <f t="shared" si="20"/>
        <v>78</v>
      </c>
      <c r="O45" s="236">
        <f t="shared" si="20"/>
        <v>77</v>
      </c>
      <c r="P45" s="236">
        <f t="shared" si="20"/>
        <v>76</v>
      </c>
      <c r="Q45" s="236">
        <f t="shared" si="20"/>
        <v>75</v>
      </c>
      <c r="R45" s="236">
        <f t="shared" si="20"/>
        <v>74</v>
      </c>
      <c r="S45" s="236">
        <f t="shared" si="20"/>
        <v>73</v>
      </c>
    </row>
    <row r="46" spans="1:20" ht="12.9" thickBot="1"/>
    <row r="47" spans="1:20">
      <c r="A47" s="235" t="s">
        <v>8377</v>
      </c>
      <c r="B47" s="334" t="s">
        <v>8371</v>
      </c>
      <c r="C47" s="372">
        <v>0.16</v>
      </c>
      <c r="D47" s="399" t="s">
        <v>8372</v>
      </c>
      <c r="E47" s="107"/>
      <c r="F47" s="107"/>
      <c r="G47" s="107"/>
      <c r="H47" s="107"/>
      <c r="I47" s="235">
        <f>+IF(I$19="SI",-SUM($H$13:$I$13),0)</f>
        <v>0</v>
      </c>
      <c r="J47" s="235">
        <f t="shared" ref="J47:T47" si="21">+I47+J49</f>
        <v>0</v>
      </c>
      <c r="K47" s="235">
        <f t="shared" si="21"/>
        <v>0</v>
      </c>
      <c r="L47" s="235">
        <f t="shared" si="21"/>
        <v>0</v>
      </c>
      <c r="M47" s="235">
        <f t="shared" si="21"/>
        <v>0</v>
      </c>
      <c r="N47" s="235">
        <f t="shared" si="21"/>
        <v>0</v>
      </c>
      <c r="O47" s="235">
        <f t="shared" si="21"/>
        <v>0</v>
      </c>
      <c r="P47" s="235">
        <f t="shared" si="21"/>
        <v>0</v>
      </c>
      <c r="Q47" s="235">
        <f t="shared" si="21"/>
        <v>0</v>
      </c>
      <c r="R47" s="235">
        <f t="shared" si="21"/>
        <v>0</v>
      </c>
      <c r="S47" s="235">
        <f t="shared" si="21"/>
        <v>0</v>
      </c>
      <c r="T47" s="235">
        <f t="shared" si="21"/>
        <v>0</v>
      </c>
    </row>
    <row r="48" spans="1:20">
      <c r="A48" s="2"/>
      <c r="B48" s="109"/>
      <c r="C48" s="403"/>
      <c r="D48" s="400"/>
      <c r="E48" s="107"/>
      <c r="F48" s="107"/>
      <c r="G48" s="107"/>
      <c r="H48" s="107"/>
      <c r="I48" s="2">
        <f>+I47</f>
        <v>0</v>
      </c>
      <c r="J48" s="2"/>
      <c r="K48" s="2"/>
      <c r="L48" s="2"/>
      <c r="M48" s="2"/>
      <c r="N48" s="2"/>
      <c r="O48" s="2"/>
      <c r="P48" s="2"/>
      <c r="Q48" s="2"/>
      <c r="R48" s="2"/>
      <c r="S48" s="2"/>
      <c r="T48" s="2"/>
    </row>
    <row r="49" spans="1:22">
      <c r="A49" s="2"/>
      <c r="B49" s="109"/>
      <c r="C49" s="382">
        <f>+(C47+1)^(0.0833333333333333)-1</f>
        <v>1.2445137919713467E-2</v>
      </c>
      <c r="D49" s="400" t="s">
        <v>8373</v>
      </c>
      <c r="E49" s="107"/>
      <c r="F49" s="107"/>
      <c r="G49" s="107"/>
      <c r="H49" s="107"/>
      <c r="I49" s="2"/>
      <c r="J49" s="2">
        <f t="shared" ref="J49:T49" si="22">+PMT($C$49,I51,I47)-J50</f>
        <v>0</v>
      </c>
      <c r="K49" s="2">
        <f t="shared" si="22"/>
        <v>0</v>
      </c>
      <c r="L49" s="2">
        <f t="shared" si="22"/>
        <v>0</v>
      </c>
      <c r="M49" s="2">
        <f t="shared" si="22"/>
        <v>0</v>
      </c>
      <c r="N49" s="2">
        <f t="shared" si="22"/>
        <v>0</v>
      </c>
      <c r="O49" s="2">
        <f t="shared" si="22"/>
        <v>0</v>
      </c>
      <c r="P49" s="2">
        <f t="shared" si="22"/>
        <v>0</v>
      </c>
      <c r="Q49" s="2">
        <f t="shared" si="22"/>
        <v>0</v>
      </c>
      <c r="R49" s="2">
        <f t="shared" si="22"/>
        <v>0</v>
      </c>
      <c r="S49" s="2">
        <f t="shared" si="22"/>
        <v>0</v>
      </c>
      <c r="T49" s="2">
        <f t="shared" si="22"/>
        <v>0</v>
      </c>
    </row>
    <row r="50" spans="1:22">
      <c r="A50" s="2"/>
      <c r="B50" s="109"/>
      <c r="C50" s="382"/>
      <c r="D50" s="400" t="s">
        <v>8233</v>
      </c>
      <c r="E50" s="107"/>
      <c r="F50" s="107"/>
      <c r="G50" s="107"/>
      <c r="H50" s="107"/>
      <c r="I50" s="2"/>
      <c r="J50" s="2">
        <f t="shared" ref="J50:T50" si="23">-I47*$C$49</f>
        <v>0</v>
      </c>
      <c r="K50" s="2">
        <f t="shared" si="23"/>
        <v>0</v>
      </c>
      <c r="L50" s="2">
        <f t="shared" si="23"/>
        <v>0</v>
      </c>
      <c r="M50" s="2">
        <f t="shared" si="23"/>
        <v>0</v>
      </c>
      <c r="N50" s="2">
        <f t="shared" si="23"/>
        <v>0</v>
      </c>
      <c r="O50" s="2">
        <f t="shared" si="23"/>
        <v>0</v>
      </c>
      <c r="P50" s="2">
        <f t="shared" si="23"/>
        <v>0</v>
      </c>
      <c r="Q50" s="2">
        <f t="shared" si="23"/>
        <v>0</v>
      </c>
      <c r="R50" s="2">
        <f t="shared" si="23"/>
        <v>0</v>
      </c>
      <c r="S50" s="2">
        <f t="shared" si="23"/>
        <v>0</v>
      </c>
      <c r="T50" s="2">
        <f t="shared" si="23"/>
        <v>0</v>
      </c>
    </row>
    <row r="51" spans="1:22" ht="12.9" thickBot="1">
      <c r="A51" s="236"/>
      <c r="B51" s="335">
        <f>7*12</f>
        <v>84</v>
      </c>
      <c r="C51" s="377"/>
      <c r="D51" s="401" t="s">
        <v>8374</v>
      </c>
      <c r="E51" s="107"/>
      <c r="F51" s="107"/>
      <c r="G51" s="107"/>
      <c r="H51" s="107"/>
      <c r="I51" s="236">
        <f>+B51</f>
        <v>84</v>
      </c>
      <c r="J51" s="236">
        <f t="shared" ref="J51:T51" si="24">+I51-1</f>
        <v>83</v>
      </c>
      <c r="K51" s="236">
        <f t="shared" si="24"/>
        <v>82</v>
      </c>
      <c r="L51" s="236">
        <f t="shared" si="24"/>
        <v>81</v>
      </c>
      <c r="M51" s="236">
        <f t="shared" si="24"/>
        <v>80</v>
      </c>
      <c r="N51" s="236">
        <f t="shared" si="24"/>
        <v>79</v>
      </c>
      <c r="O51" s="236">
        <f t="shared" si="24"/>
        <v>78</v>
      </c>
      <c r="P51" s="236">
        <f t="shared" si="24"/>
        <v>77</v>
      </c>
      <c r="Q51" s="236">
        <f t="shared" si="24"/>
        <v>76</v>
      </c>
      <c r="R51" s="236">
        <f t="shared" si="24"/>
        <v>75</v>
      </c>
      <c r="S51" s="236">
        <f t="shared" si="24"/>
        <v>74</v>
      </c>
      <c r="T51" s="236">
        <f t="shared" si="24"/>
        <v>73</v>
      </c>
    </row>
    <row r="52" spans="1:22" ht="12.9" thickBot="1"/>
    <row r="53" spans="1:22">
      <c r="A53" s="235" t="s">
        <v>8378</v>
      </c>
      <c r="B53" s="334" t="s">
        <v>8371</v>
      </c>
      <c r="C53" s="372">
        <v>0.16</v>
      </c>
      <c r="D53" s="399" t="s">
        <v>8372</v>
      </c>
      <c r="E53" s="107"/>
      <c r="F53" s="107"/>
      <c r="G53" s="107"/>
      <c r="H53" s="107"/>
      <c r="I53" s="107"/>
      <c r="J53" s="235">
        <f>+IF($J$19="SI",-SUM($I$13:$J$13),0)</f>
        <v>0</v>
      </c>
      <c r="K53" s="235">
        <f t="shared" ref="K53:U53" si="25">+J53+K55</f>
        <v>0</v>
      </c>
      <c r="L53" s="235">
        <f t="shared" si="25"/>
        <v>0</v>
      </c>
      <c r="M53" s="235">
        <f t="shared" si="25"/>
        <v>0</v>
      </c>
      <c r="N53" s="235">
        <f t="shared" si="25"/>
        <v>0</v>
      </c>
      <c r="O53" s="235">
        <f t="shared" si="25"/>
        <v>0</v>
      </c>
      <c r="P53" s="235">
        <f t="shared" si="25"/>
        <v>0</v>
      </c>
      <c r="Q53" s="235">
        <f t="shared" si="25"/>
        <v>0</v>
      </c>
      <c r="R53" s="235">
        <f t="shared" si="25"/>
        <v>0</v>
      </c>
      <c r="S53" s="235">
        <f t="shared" si="25"/>
        <v>0</v>
      </c>
      <c r="T53" s="235">
        <f t="shared" si="25"/>
        <v>0</v>
      </c>
      <c r="U53" s="235">
        <f t="shared" si="25"/>
        <v>0</v>
      </c>
    </row>
    <row r="54" spans="1:22">
      <c r="A54" s="2"/>
      <c r="B54" s="109"/>
      <c r="C54" s="403"/>
      <c r="D54" s="400"/>
      <c r="E54" s="107"/>
      <c r="F54" s="107"/>
      <c r="G54" s="107"/>
      <c r="H54" s="107"/>
      <c r="I54" s="107"/>
      <c r="J54" s="2">
        <f>+J53</f>
        <v>0</v>
      </c>
      <c r="K54" s="2"/>
      <c r="L54" s="2"/>
      <c r="M54" s="2"/>
      <c r="N54" s="2"/>
      <c r="O54" s="2"/>
      <c r="P54" s="2"/>
      <c r="Q54" s="2"/>
      <c r="R54" s="2"/>
      <c r="S54" s="2"/>
      <c r="T54" s="2"/>
      <c r="U54" s="2"/>
    </row>
    <row r="55" spans="1:22">
      <c r="A55" s="2"/>
      <c r="B55" s="109"/>
      <c r="C55" s="382">
        <f>+(C53+1)^(0.0833333333333333)-1</f>
        <v>1.2445137919713467E-2</v>
      </c>
      <c r="D55" s="400" t="s">
        <v>8373</v>
      </c>
      <c r="E55" s="107"/>
      <c r="F55" s="107"/>
      <c r="G55" s="107"/>
      <c r="H55" s="107"/>
      <c r="I55" s="107"/>
      <c r="J55" s="2"/>
      <c r="K55" s="2">
        <f t="shared" ref="K55:U55" si="26">+PMT($C$55,J57,J53)-K56</f>
        <v>0</v>
      </c>
      <c r="L55" s="2">
        <f t="shared" si="26"/>
        <v>0</v>
      </c>
      <c r="M55" s="2">
        <f t="shared" si="26"/>
        <v>0</v>
      </c>
      <c r="N55" s="2">
        <f t="shared" si="26"/>
        <v>0</v>
      </c>
      <c r="O55" s="2">
        <f t="shared" si="26"/>
        <v>0</v>
      </c>
      <c r="P55" s="2">
        <f t="shared" si="26"/>
        <v>0</v>
      </c>
      <c r="Q55" s="2">
        <f t="shared" si="26"/>
        <v>0</v>
      </c>
      <c r="R55" s="2">
        <f t="shared" si="26"/>
        <v>0</v>
      </c>
      <c r="S55" s="2">
        <f t="shared" si="26"/>
        <v>0</v>
      </c>
      <c r="T55" s="2">
        <f t="shared" si="26"/>
        <v>0</v>
      </c>
      <c r="U55" s="2">
        <f t="shared" si="26"/>
        <v>0</v>
      </c>
    </row>
    <row r="56" spans="1:22">
      <c r="A56" s="2"/>
      <c r="B56" s="109"/>
      <c r="C56" s="382"/>
      <c r="D56" s="400" t="s">
        <v>8233</v>
      </c>
      <c r="E56" s="107"/>
      <c r="F56" s="107"/>
      <c r="G56" s="107"/>
      <c r="H56" s="107"/>
      <c r="I56" s="107"/>
      <c r="J56" s="2"/>
      <c r="K56" s="2">
        <f t="shared" ref="K56:U56" si="27">-J53*$C$55</f>
        <v>0</v>
      </c>
      <c r="L56" s="2">
        <f t="shared" si="27"/>
        <v>0</v>
      </c>
      <c r="M56" s="2">
        <f t="shared" si="27"/>
        <v>0</v>
      </c>
      <c r="N56" s="2">
        <f t="shared" si="27"/>
        <v>0</v>
      </c>
      <c r="O56" s="2">
        <f t="shared" si="27"/>
        <v>0</v>
      </c>
      <c r="P56" s="2">
        <f t="shared" si="27"/>
        <v>0</v>
      </c>
      <c r="Q56" s="2">
        <f t="shared" si="27"/>
        <v>0</v>
      </c>
      <c r="R56" s="2">
        <f t="shared" si="27"/>
        <v>0</v>
      </c>
      <c r="S56" s="2">
        <f t="shared" si="27"/>
        <v>0</v>
      </c>
      <c r="T56" s="2">
        <f t="shared" si="27"/>
        <v>0</v>
      </c>
      <c r="U56" s="2">
        <f t="shared" si="27"/>
        <v>0</v>
      </c>
    </row>
    <row r="57" spans="1:22" ht="12.9" thickBot="1">
      <c r="A57" s="236"/>
      <c r="B57" s="335">
        <f>7*12</f>
        <v>84</v>
      </c>
      <c r="C57" s="377"/>
      <c r="D57" s="401" t="s">
        <v>8374</v>
      </c>
      <c r="E57" s="107"/>
      <c r="F57" s="107"/>
      <c r="G57" s="107"/>
      <c r="H57" s="107"/>
      <c r="I57" s="107"/>
      <c r="J57" s="236">
        <f>+B57</f>
        <v>84</v>
      </c>
      <c r="K57" s="236">
        <f t="shared" ref="K57:U57" si="28">+J57-1</f>
        <v>83</v>
      </c>
      <c r="L57" s="236">
        <f t="shared" si="28"/>
        <v>82</v>
      </c>
      <c r="M57" s="236">
        <f t="shared" si="28"/>
        <v>81</v>
      </c>
      <c r="N57" s="236">
        <f t="shared" si="28"/>
        <v>80</v>
      </c>
      <c r="O57" s="236">
        <f t="shared" si="28"/>
        <v>79</v>
      </c>
      <c r="P57" s="236">
        <f t="shared" si="28"/>
        <v>78</v>
      </c>
      <c r="Q57" s="236">
        <f t="shared" si="28"/>
        <v>77</v>
      </c>
      <c r="R57" s="236">
        <f t="shared" si="28"/>
        <v>76</v>
      </c>
      <c r="S57" s="236">
        <f t="shared" si="28"/>
        <v>75</v>
      </c>
      <c r="T57" s="236">
        <f t="shared" si="28"/>
        <v>74</v>
      </c>
      <c r="U57" s="236">
        <f t="shared" si="28"/>
        <v>73</v>
      </c>
    </row>
    <row r="58" spans="1:22" ht="12.9" thickBot="1"/>
    <row r="59" spans="1:22">
      <c r="A59" s="235" t="s">
        <v>8379</v>
      </c>
      <c r="B59" s="334" t="s">
        <v>8371</v>
      </c>
      <c r="C59" s="372">
        <v>0.16</v>
      </c>
      <c r="D59" s="399" t="s">
        <v>8372</v>
      </c>
      <c r="E59" s="107"/>
      <c r="F59" s="107"/>
      <c r="G59" s="107"/>
      <c r="H59" s="107"/>
      <c r="I59" s="107"/>
      <c r="J59" s="107"/>
      <c r="K59" s="235">
        <f>+IF($K$19="SI",-SUM($J$13:$K$13),0)</f>
        <v>0</v>
      </c>
      <c r="L59" s="235">
        <f t="shared" ref="L59:V59" si="29">+K59+L61</f>
        <v>0</v>
      </c>
      <c r="M59" s="235">
        <f t="shared" si="29"/>
        <v>0</v>
      </c>
      <c r="N59" s="235">
        <f t="shared" si="29"/>
        <v>0</v>
      </c>
      <c r="O59" s="235">
        <f t="shared" si="29"/>
        <v>0</v>
      </c>
      <c r="P59" s="235">
        <f t="shared" si="29"/>
        <v>0</v>
      </c>
      <c r="Q59" s="235">
        <f t="shared" si="29"/>
        <v>0</v>
      </c>
      <c r="R59" s="235">
        <f t="shared" si="29"/>
        <v>0</v>
      </c>
      <c r="S59" s="235">
        <f t="shared" si="29"/>
        <v>0</v>
      </c>
      <c r="T59" s="235">
        <f t="shared" si="29"/>
        <v>0</v>
      </c>
      <c r="U59" s="235">
        <f t="shared" si="29"/>
        <v>0</v>
      </c>
      <c r="V59" s="235">
        <f t="shared" si="29"/>
        <v>0</v>
      </c>
    </row>
    <row r="60" spans="1:22">
      <c r="A60" s="2"/>
      <c r="B60" s="109"/>
      <c r="C60" s="403"/>
      <c r="D60" s="400"/>
      <c r="E60" s="107"/>
      <c r="F60" s="107"/>
      <c r="G60" s="107"/>
      <c r="H60" s="107"/>
      <c r="I60" s="107"/>
      <c r="J60" s="107"/>
      <c r="K60" s="2">
        <f>+K59</f>
        <v>0</v>
      </c>
      <c r="L60" s="2"/>
      <c r="M60" s="2"/>
      <c r="N60" s="2"/>
      <c r="O60" s="2"/>
      <c r="P60" s="2"/>
      <c r="Q60" s="2"/>
      <c r="R60" s="2"/>
      <c r="S60" s="2"/>
      <c r="T60" s="2"/>
      <c r="U60" s="2"/>
      <c r="V60" s="2"/>
    </row>
    <row r="61" spans="1:22">
      <c r="A61" s="2"/>
      <c r="B61" s="109"/>
      <c r="C61" s="382">
        <f>+(C59+1)^(0.0833333333333333)-1</f>
        <v>1.2445137919713467E-2</v>
      </c>
      <c r="D61" s="400" t="s">
        <v>8373</v>
      </c>
      <c r="E61" s="107"/>
      <c r="F61" s="107"/>
      <c r="G61" s="107"/>
      <c r="H61" s="107"/>
      <c r="I61" s="107"/>
      <c r="J61" s="107"/>
      <c r="K61" s="2"/>
      <c r="L61" s="2">
        <f t="shared" ref="L61:V61" si="30">+PMT($C$61,K63,K59)-L62</f>
        <v>0</v>
      </c>
      <c r="M61" s="2">
        <f t="shared" si="30"/>
        <v>0</v>
      </c>
      <c r="N61" s="2">
        <f t="shared" si="30"/>
        <v>0</v>
      </c>
      <c r="O61" s="2">
        <f t="shared" si="30"/>
        <v>0</v>
      </c>
      <c r="P61" s="2">
        <f t="shared" si="30"/>
        <v>0</v>
      </c>
      <c r="Q61" s="2">
        <f t="shared" si="30"/>
        <v>0</v>
      </c>
      <c r="R61" s="2">
        <f t="shared" si="30"/>
        <v>0</v>
      </c>
      <c r="S61" s="2">
        <f t="shared" si="30"/>
        <v>0</v>
      </c>
      <c r="T61" s="2">
        <f t="shared" si="30"/>
        <v>0</v>
      </c>
      <c r="U61" s="2">
        <f t="shared" si="30"/>
        <v>0</v>
      </c>
      <c r="V61" s="2">
        <f t="shared" si="30"/>
        <v>0</v>
      </c>
    </row>
    <row r="62" spans="1:22">
      <c r="A62" s="2"/>
      <c r="B62" s="109"/>
      <c r="C62" s="382"/>
      <c r="D62" s="400" t="s">
        <v>8233</v>
      </c>
      <c r="E62" s="107"/>
      <c r="F62" s="107"/>
      <c r="G62" s="107"/>
      <c r="H62" s="107"/>
      <c r="I62" s="107"/>
      <c r="J62" s="107"/>
      <c r="K62" s="2"/>
      <c r="L62" s="2">
        <f>-K59*C61</f>
        <v>0</v>
      </c>
      <c r="M62" s="2">
        <f t="shared" ref="M62:V62" si="31">-L59*$C$61</f>
        <v>0</v>
      </c>
      <c r="N62" s="2">
        <f t="shared" si="31"/>
        <v>0</v>
      </c>
      <c r="O62" s="2">
        <f t="shared" si="31"/>
        <v>0</v>
      </c>
      <c r="P62" s="2">
        <f t="shared" si="31"/>
        <v>0</v>
      </c>
      <c r="Q62" s="2">
        <f t="shared" si="31"/>
        <v>0</v>
      </c>
      <c r="R62" s="2">
        <f t="shared" si="31"/>
        <v>0</v>
      </c>
      <c r="S62" s="2">
        <f t="shared" si="31"/>
        <v>0</v>
      </c>
      <c r="T62" s="2">
        <f t="shared" si="31"/>
        <v>0</v>
      </c>
      <c r="U62" s="2">
        <f t="shared" si="31"/>
        <v>0</v>
      </c>
      <c r="V62" s="2">
        <f t="shared" si="31"/>
        <v>0</v>
      </c>
    </row>
    <row r="63" spans="1:22" ht="12.9" thickBot="1">
      <c r="A63" s="236"/>
      <c r="B63" s="335">
        <f>7*12</f>
        <v>84</v>
      </c>
      <c r="C63" s="377"/>
      <c r="D63" s="401" t="s">
        <v>8374</v>
      </c>
      <c r="E63" s="107"/>
      <c r="F63" s="107"/>
      <c r="G63" s="107"/>
      <c r="H63" s="107"/>
      <c r="I63" s="107"/>
      <c r="J63" s="107"/>
      <c r="K63" s="236">
        <f>+B63</f>
        <v>84</v>
      </c>
      <c r="L63" s="236">
        <f t="shared" ref="L63:V63" si="32">+K63-1</f>
        <v>83</v>
      </c>
      <c r="M63" s="236">
        <f t="shared" si="32"/>
        <v>82</v>
      </c>
      <c r="N63" s="236">
        <f t="shared" si="32"/>
        <v>81</v>
      </c>
      <c r="O63" s="236">
        <f t="shared" si="32"/>
        <v>80</v>
      </c>
      <c r="P63" s="236">
        <f t="shared" si="32"/>
        <v>79</v>
      </c>
      <c r="Q63" s="236">
        <f t="shared" si="32"/>
        <v>78</v>
      </c>
      <c r="R63" s="236">
        <f t="shared" si="32"/>
        <v>77</v>
      </c>
      <c r="S63" s="236">
        <f t="shared" si="32"/>
        <v>76</v>
      </c>
      <c r="T63" s="236">
        <f t="shared" si="32"/>
        <v>75</v>
      </c>
      <c r="U63" s="236">
        <f t="shared" si="32"/>
        <v>74</v>
      </c>
      <c r="V63" s="236">
        <f t="shared" si="32"/>
        <v>73</v>
      </c>
    </row>
    <row r="65" spans="1:25">
      <c r="A65" s="235" t="s">
        <v>8380</v>
      </c>
      <c r="B65" s="334" t="s">
        <v>8371</v>
      </c>
      <c r="C65" s="372">
        <v>0.16</v>
      </c>
      <c r="D65" s="399" t="s">
        <v>8372</v>
      </c>
      <c r="E65" s="107"/>
      <c r="F65" s="107"/>
      <c r="G65" s="107"/>
      <c r="H65" s="107"/>
      <c r="I65" s="107"/>
      <c r="J65" s="107"/>
      <c r="K65" s="107"/>
      <c r="L65" s="235">
        <f>+IF($L19="SI",-SUM($K$13:$L$13),0)</f>
        <v>0</v>
      </c>
      <c r="M65" s="235">
        <f t="shared" ref="M65:W65" si="33">+L65+M67</f>
        <v>0</v>
      </c>
      <c r="N65" s="235">
        <f t="shared" si="33"/>
        <v>0</v>
      </c>
      <c r="O65" s="235">
        <f t="shared" si="33"/>
        <v>0</v>
      </c>
      <c r="P65" s="235">
        <f t="shared" si="33"/>
        <v>0</v>
      </c>
      <c r="Q65" s="235">
        <f t="shared" si="33"/>
        <v>0</v>
      </c>
      <c r="R65" s="235">
        <f t="shared" si="33"/>
        <v>0</v>
      </c>
      <c r="S65" s="235">
        <f t="shared" si="33"/>
        <v>0</v>
      </c>
      <c r="T65" s="235">
        <f t="shared" si="33"/>
        <v>0</v>
      </c>
      <c r="U65" s="235">
        <f t="shared" si="33"/>
        <v>0</v>
      </c>
      <c r="V65" s="235">
        <f t="shared" si="33"/>
        <v>0</v>
      </c>
      <c r="W65" s="235">
        <f t="shared" si="33"/>
        <v>0</v>
      </c>
    </row>
    <row r="66" spans="1:25">
      <c r="A66" s="2"/>
      <c r="B66" s="109"/>
      <c r="C66" s="403"/>
      <c r="D66" s="400"/>
      <c r="E66" s="107"/>
      <c r="F66" s="107"/>
      <c r="G66" s="107"/>
      <c r="H66" s="107"/>
      <c r="I66" s="107"/>
      <c r="J66" s="107"/>
      <c r="K66" s="107"/>
      <c r="L66" s="2">
        <f>+L65</f>
        <v>0</v>
      </c>
      <c r="M66" s="2"/>
      <c r="N66" s="2"/>
      <c r="O66" s="2"/>
      <c r="P66" s="2"/>
      <c r="Q66" s="2"/>
      <c r="R66" s="2"/>
      <c r="S66" s="2"/>
      <c r="T66" s="2"/>
      <c r="U66" s="2"/>
      <c r="V66" s="2"/>
      <c r="W66" s="2"/>
    </row>
    <row r="67" spans="1:25">
      <c r="A67" s="2"/>
      <c r="B67" s="109"/>
      <c r="C67" s="382">
        <f>+(C65+1)^(0.0833333333333333)-1</f>
        <v>1.2445137919713467E-2</v>
      </c>
      <c r="D67" s="400" t="s">
        <v>8373</v>
      </c>
      <c r="E67" s="107"/>
      <c r="F67" s="107"/>
      <c r="G67" s="107"/>
      <c r="H67" s="107"/>
      <c r="I67" s="107"/>
      <c r="J67" s="107"/>
      <c r="K67" s="107"/>
      <c r="L67" s="2"/>
      <c r="M67" s="2">
        <f t="shared" ref="M67:W67" si="34">+PMT($C$67,L69,L65)-M68</f>
        <v>0</v>
      </c>
      <c r="N67" s="2">
        <f t="shared" si="34"/>
        <v>0</v>
      </c>
      <c r="O67" s="2">
        <f t="shared" si="34"/>
        <v>0</v>
      </c>
      <c r="P67" s="2">
        <f t="shared" si="34"/>
        <v>0</v>
      </c>
      <c r="Q67" s="2">
        <f t="shared" si="34"/>
        <v>0</v>
      </c>
      <c r="R67" s="2">
        <f t="shared" si="34"/>
        <v>0</v>
      </c>
      <c r="S67" s="2">
        <f t="shared" si="34"/>
        <v>0</v>
      </c>
      <c r="T67" s="2">
        <f t="shared" si="34"/>
        <v>0</v>
      </c>
      <c r="U67" s="2">
        <f t="shared" si="34"/>
        <v>0</v>
      </c>
      <c r="V67" s="2">
        <f t="shared" si="34"/>
        <v>0</v>
      </c>
      <c r="W67" s="2">
        <f t="shared" si="34"/>
        <v>0</v>
      </c>
    </row>
    <row r="68" spans="1:25">
      <c r="A68" s="2"/>
      <c r="B68" s="109"/>
      <c r="C68" s="382"/>
      <c r="D68" s="400" t="s">
        <v>8233</v>
      </c>
      <c r="E68" s="107"/>
      <c r="F68" s="107"/>
      <c r="G68" s="107"/>
      <c r="H68" s="107"/>
      <c r="I68" s="107"/>
      <c r="J68" s="107"/>
      <c r="K68" s="107"/>
      <c r="L68" s="2"/>
      <c r="M68" s="2">
        <f t="shared" ref="M68:W68" si="35">-L65*$C$67</f>
        <v>0</v>
      </c>
      <c r="N68" s="2">
        <f t="shared" si="35"/>
        <v>0</v>
      </c>
      <c r="O68" s="2">
        <f t="shared" si="35"/>
        <v>0</v>
      </c>
      <c r="P68" s="2">
        <f t="shared" si="35"/>
        <v>0</v>
      </c>
      <c r="Q68" s="2">
        <f t="shared" si="35"/>
        <v>0</v>
      </c>
      <c r="R68" s="2">
        <f t="shared" si="35"/>
        <v>0</v>
      </c>
      <c r="S68" s="2">
        <f t="shared" si="35"/>
        <v>0</v>
      </c>
      <c r="T68" s="2">
        <f t="shared" si="35"/>
        <v>0</v>
      </c>
      <c r="U68" s="2">
        <f t="shared" si="35"/>
        <v>0</v>
      </c>
      <c r="V68" s="2">
        <f t="shared" si="35"/>
        <v>0</v>
      </c>
      <c r="W68" s="2">
        <f t="shared" si="35"/>
        <v>0</v>
      </c>
    </row>
    <row r="69" spans="1:25" ht="12.9" thickBot="1">
      <c r="A69" s="236"/>
      <c r="B69" s="335">
        <f>7*12</f>
        <v>84</v>
      </c>
      <c r="C69" s="377"/>
      <c r="D69" s="401" t="s">
        <v>8374</v>
      </c>
      <c r="E69" s="107"/>
      <c r="F69" s="107"/>
      <c r="G69" s="107"/>
      <c r="H69" s="107"/>
      <c r="I69" s="107"/>
      <c r="J69" s="107"/>
      <c r="K69" s="107"/>
      <c r="L69" s="236">
        <f>+B69</f>
        <v>84</v>
      </c>
      <c r="M69" s="236">
        <f t="shared" ref="M69:W69" si="36">+L69-1</f>
        <v>83</v>
      </c>
      <c r="N69" s="236">
        <f t="shared" si="36"/>
        <v>82</v>
      </c>
      <c r="O69" s="236">
        <f t="shared" si="36"/>
        <v>81</v>
      </c>
      <c r="P69" s="236">
        <f t="shared" si="36"/>
        <v>80</v>
      </c>
      <c r="Q69" s="236">
        <f t="shared" si="36"/>
        <v>79</v>
      </c>
      <c r="R69" s="236">
        <f t="shared" si="36"/>
        <v>78</v>
      </c>
      <c r="S69" s="236">
        <f t="shared" si="36"/>
        <v>77</v>
      </c>
      <c r="T69" s="236">
        <f t="shared" si="36"/>
        <v>76</v>
      </c>
      <c r="U69" s="236">
        <f t="shared" si="36"/>
        <v>75</v>
      </c>
      <c r="V69" s="236">
        <f t="shared" si="36"/>
        <v>74</v>
      </c>
      <c r="W69" s="236">
        <f t="shared" si="36"/>
        <v>73</v>
      </c>
    </row>
    <row r="70" spans="1:25" ht="12.9" thickBot="1"/>
    <row r="71" spans="1:25">
      <c r="A71" s="235" t="s">
        <v>8381</v>
      </c>
      <c r="B71" s="334" t="s">
        <v>8371</v>
      </c>
      <c r="C71" s="372">
        <v>0.16</v>
      </c>
      <c r="D71" s="399" t="s">
        <v>8372</v>
      </c>
      <c r="E71" s="107"/>
      <c r="F71" s="107"/>
      <c r="G71" s="107"/>
      <c r="H71" s="107"/>
      <c r="I71" s="107"/>
      <c r="J71" s="107"/>
      <c r="K71" s="107"/>
      <c r="L71" s="107"/>
      <c r="M71" s="235">
        <f>+IF($M19="SI",-SUM($L$13:$M$13),0)</f>
        <v>490498060.26258147</v>
      </c>
      <c r="N71" s="235">
        <f t="shared" ref="N71:X71" si="37">+M71+N73</f>
        <v>487155463.58918452</v>
      </c>
      <c r="O71" s="235">
        <f t="shared" si="37"/>
        <v>483771267.83917719</v>
      </c>
      <c r="P71" s="235">
        <f t="shared" si="37"/>
        <v>480344955.30631369</v>
      </c>
      <c r="Q71" s="235">
        <f t="shared" si="37"/>
        <v>476876001.84142268</v>
      </c>
      <c r="R71" s="235">
        <f t="shared" si="37"/>
        <v>473363876.77222401</v>
      </c>
      <c r="S71" s="235">
        <f t="shared" si="37"/>
        <v>469808042.82214791</v>
      </c>
      <c r="T71" s="235">
        <f t="shared" si="37"/>
        <v>466207956.02814347</v>
      </c>
      <c r="U71" s="235">
        <f t="shared" si="37"/>
        <v>462563065.65746474</v>
      </c>
      <c r="V71" s="235">
        <f t="shared" si="37"/>
        <v>458872814.12342066</v>
      </c>
      <c r="W71" s="235">
        <f t="shared" si="37"/>
        <v>455136636.90007699</v>
      </c>
      <c r="X71" s="235">
        <f t="shared" si="37"/>
        <v>451353962.43589628</v>
      </c>
    </row>
    <row r="72" spans="1:25">
      <c r="A72" s="2"/>
      <c r="B72" s="109"/>
      <c r="C72" s="403"/>
      <c r="D72" s="400"/>
      <c r="E72" s="107"/>
      <c r="F72" s="107"/>
      <c r="G72" s="107"/>
      <c r="H72" s="107"/>
      <c r="I72" s="107"/>
      <c r="J72" s="107"/>
      <c r="K72" s="107"/>
      <c r="L72" s="107"/>
      <c r="M72" s="2">
        <f>+M71</f>
        <v>490498060.26258147</v>
      </c>
      <c r="N72" s="2"/>
      <c r="O72" s="2"/>
      <c r="P72" s="2"/>
      <c r="Q72" s="2"/>
      <c r="R72" s="2"/>
      <c r="S72" s="2"/>
      <c r="T72" s="2"/>
      <c r="U72" s="2"/>
      <c r="V72" s="2"/>
      <c r="W72" s="2"/>
      <c r="X72" s="2"/>
    </row>
    <row r="73" spans="1:25">
      <c r="A73" s="2"/>
      <c r="B73" s="109"/>
      <c r="C73" s="382">
        <f>+(C71+1)^(0.0833333333333333)-1</f>
        <v>1.2445137919713467E-2</v>
      </c>
      <c r="D73" s="400" t="s">
        <v>8373</v>
      </c>
      <c r="E73" s="107"/>
      <c r="F73" s="107"/>
      <c r="G73" s="107"/>
      <c r="H73" s="107"/>
      <c r="I73" s="107"/>
      <c r="J73" s="107"/>
      <c r="K73" s="107"/>
      <c r="L73" s="107"/>
      <c r="M73" s="2"/>
      <c r="N73" s="2">
        <f t="shared" ref="N73:X73" si="38">+PMT($C$73,M75,M71)-N74</f>
        <v>-3342596.6733969487</v>
      </c>
      <c r="O73" s="2">
        <f t="shared" si="38"/>
        <v>-3384195.7500073472</v>
      </c>
      <c r="P73" s="2">
        <f t="shared" si="38"/>
        <v>-3426312.5328634968</v>
      </c>
      <c r="Q73" s="2">
        <f t="shared" si="38"/>
        <v>-3468953.4648910277</v>
      </c>
      <c r="R73" s="2">
        <f t="shared" si="38"/>
        <v>-3512125.0691986643</v>
      </c>
      <c r="S73" s="2">
        <f t="shared" si="38"/>
        <v>-3555833.9500761274</v>
      </c>
      <c r="T73" s="2">
        <f t="shared" si="38"/>
        <v>-3600086.7940044198</v>
      </c>
      <c r="U73" s="2">
        <f t="shared" si="38"/>
        <v>-3644890.3706787443</v>
      </c>
      <c r="V73" s="2">
        <f t="shared" si="38"/>
        <v>-3690251.5340440804</v>
      </c>
      <c r="W73" s="2">
        <f t="shared" si="38"/>
        <v>-3736177.2233436927</v>
      </c>
      <c r="X73" s="2">
        <f t="shared" si="38"/>
        <v>-3782674.4641806949</v>
      </c>
    </row>
    <row r="74" spans="1:25">
      <c r="A74" s="2"/>
      <c r="B74" s="109"/>
      <c r="C74" s="382"/>
      <c r="D74" s="400" t="s">
        <v>8233</v>
      </c>
      <c r="E74" s="107"/>
      <c r="F74" s="107"/>
      <c r="G74" s="107"/>
      <c r="H74" s="107"/>
      <c r="I74" s="107"/>
      <c r="J74" s="107"/>
      <c r="K74" s="107"/>
      <c r="L74" s="107"/>
      <c r="M74" s="2"/>
      <c r="N74" s="2">
        <f t="shared" ref="N74:X74" si="39">-M71*$C$73</f>
        <v>-6104316.0093197543</v>
      </c>
      <c r="O74" s="2">
        <f t="shared" si="39"/>
        <v>-6062716.932709354</v>
      </c>
      <c r="P74" s="2">
        <f t="shared" si="39"/>
        <v>-6020600.1498532044</v>
      </c>
      <c r="Q74" s="2">
        <f t="shared" si="39"/>
        <v>-5977959.2178256754</v>
      </c>
      <c r="R74" s="2">
        <f t="shared" si="39"/>
        <v>-5934787.6135180388</v>
      </c>
      <c r="S74" s="2">
        <f t="shared" si="39"/>
        <v>-5891078.7326405775</v>
      </c>
      <c r="T74" s="2">
        <f t="shared" si="39"/>
        <v>-5846825.8887122814</v>
      </c>
      <c r="U74" s="2">
        <f t="shared" si="39"/>
        <v>-5802022.3120379569</v>
      </c>
      <c r="V74" s="2">
        <f t="shared" si="39"/>
        <v>-5756661.1486726245</v>
      </c>
      <c r="W74" s="2">
        <f t="shared" si="39"/>
        <v>-5710735.4593730122</v>
      </c>
      <c r="X74" s="2">
        <f t="shared" si="39"/>
        <v>-5664238.2185360081</v>
      </c>
    </row>
    <row r="75" spans="1:25" ht="12.9" thickBot="1">
      <c r="A75" s="236"/>
      <c r="B75" s="335">
        <f>7*12</f>
        <v>84</v>
      </c>
      <c r="C75" s="377"/>
      <c r="D75" s="401" t="s">
        <v>8374</v>
      </c>
      <c r="E75" s="107"/>
      <c r="F75" s="107"/>
      <c r="G75" s="107"/>
      <c r="H75" s="107"/>
      <c r="I75" s="107"/>
      <c r="J75" s="107"/>
      <c r="K75" s="107"/>
      <c r="L75" s="107"/>
      <c r="M75" s="236">
        <f>+B75</f>
        <v>84</v>
      </c>
      <c r="N75" s="236">
        <f t="shared" ref="N75:X75" si="40">+M75-1</f>
        <v>83</v>
      </c>
      <c r="O75" s="236">
        <f t="shared" si="40"/>
        <v>82</v>
      </c>
      <c r="P75" s="236">
        <f t="shared" si="40"/>
        <v>81</v>
      </c>
      <c r="Q75" s="236">
        <f t="shared" si="40"/>
        <v>80</v>
      </c>
      <c r="R75" s="236">
        <f t="shared" si="40"/>
        <v>79</v>
      </c>
      <c r="S75" s="236">
        <f t="shared" si="40"/>
        <v>78</v>
      </c>
      <c r="T75" s="236">
        <f t="shared" si="40"/>
        <v>77</v>
      </c>
      <c r="U75" s="236">
        <f t="shared" si="40"/>
        <v>76</v>
      </c>
      <c r="V75" s="236">
        <f t="shared" si="40"/>
        <v>75</v>
      </c>
      <c r="W75" s="236">
        <f t="shared" si="40"/>
        <v>74</v>
      </c>
      <c r="X75" s="236">
        <f t="shared" si="40"/>
        <v>73</v>
      </c>
    </row>
    <row r="76" spans="1:25" ht="12.9" thickBot="1"/>
    <row r="77" spans="1:25">
      <c r="A77" s="235" t="s">
        <v>8382</v>
      </c>
      <c r="B77" s="334" t="s">
        <v>8371</v>
      </c>
      <c r="C77" s="372">
        <v>0.16</v>
      </c>
      <c r="D77" s="399" t="s">
        <v>8372</v>
      </c>
      <c r="E77" s="107"/>
      <c r="F77" s="107"/>
      <c r="G77" s="107"/>
      <c r="H77" s="107"/>
      <c r="I77" s="107"/>
      <c r="J77" s="107"/>
      <c r="K77" s="107"/>
      <c r="L77" s="107"/>
      <c r="M77" s="107"/>
      <c r="N77" s="235">
        <f>+IF($N19="SI",-SUM($M$13:$N$13),0)</f>
        <v>686697284.36761403</v>
      </c>
      <c r="O77" s="235">
        <f t="shared" ref="O77:Y77" si="41">+N77+O79</f>
        <v>682017649.02485836</v>
      </c>
      <c r="P77" s="235">
        <f t="shared" si="41"/>
        <v>677279774.97484803</v>
      </c>
      <c r="Q77" s="235">
        <f t="shared" si="41"/>
        <v>672482937.42883909</v>
      </c>
      <c r="R77" s="235">
        <f t="shared" si="41"/>
        <v>667626402.5779916</v>
      </c>
      <c r="S77" s="235">
        <f t="shared" si="41"/>
        <v>662709427.48111343</v>
      </c>
      <c r="T77" s="235">
        <f t="shared" si="41"/>
        <v>657731259.95100689</v>
      </c>
      <c r="U77" s="235">
        <f t="shared" si="41"/>
        <v>652691138.43940067</v>
      </c>
      <c r="V77" s="235">
        <f t="shared" si="41"/>
        <v>647588291.92045045</v>
      </c>
      <c r="W77" s="235">
        <f t="shared" si="41"/>
        <v>642421939.77278876</v>
      </c>
      <c r="X77" s="235">
        <f t="shared" si="41"/>
        <v>637191291.66010761</v>
      </c>
      <c r="Y77" s="235">
        <f t="shared" si="41"/>
        <v>631895547.4102546</v>
      </c>
    </row>
    <row r="78" spans="1:25">
      <c r="A78" s="2"/>
      <c r="B78" s="109"/>
      <c r="C78" s="403"/>
      <c r="D78" s="400"/>
      <c r="E78" s="107"/>
      <c r="F78" s="107"/>
      <c r="G78" s="107"/>
      <c r="H78" s="107"/>
      <c r="I78" s="107"/>
      <c r="J78" s="107"/>
      <c r="K78" s="107"/>
      <c r="L78" s="107"/>
      <c r="M78" s="107"/>
      <c r="N78" s="2">
        <f>+N77</f>
        <v>686697284.36761403</v>
      </c>
      <c r="O78" s="2"/>
      <c r="P78" s="2"/>
      <c r="Q78" s="2"/>
      <c r="R78" s="2"/>
      <c r="S78" s="2"/>
      <c r="T78" s="2"/>
      <c r="U78" s="2"/>
      <c r="V78" s="2"/>
      <c r="W78" s="2"/>
      <c r="X78" s="2"/>
      <c r="Y78" s="2"/>
    </row>
    <row r="79" spans="1:25">
      <c r="A79" s="2"/>
      <c r="B79" s="109"/>
      <c r="C79" s="382">
        <f>+(C77+1)^(0.0833333333333333)-1</f>
        <v>1.2445137919713467E-2</v>
      </c>
      <c r="D79" s="400" t="s">
        <v>8373</v>
      </c>
      <c r="E79" s="107"/>
      <c r="F79" s="107"/>
      <c r="G79" s="107"/>
      <c r="H79" s="107"/>
      <c r="I79" s="107"/>
      <c r="J79" s="107"/>
      <c r="K79" s="107"/>
      <c r="L79" s="107"/>
      <c r="M79" s="107"/>
      <c r="N79" s="2"/>
      <c r="O79" s="2">
        <f t="shared" ref="O79:Y79" si="42">+PMT($C$79,N81,N77)-O80</f>
        <v>-4679635.3427557293</v>
      </c>
      <c r="P79" s="2">
        <f t="shared" si="42"/>
        <v>-4737874.0500102863</v>
      </c>
      <c r="Q79" s="2">
        <f t="shared" si="42"/>
        <v>-4796837.5460088961</v>
      </c>
      <c r="R79" s="2">
        <f t="shared" si="42"/>
        <v>-4856534.850847438</v>
      </c>
      <c r="S79" s="2">
        <f t="shared" si="42"/>
        <v>-4916975.09687813</v>
      </c>
      <c r="T79" s="2">
        <f t="shared" si="42"/>
        <v>-4978167.5301065752</v>
      </c>
      <c r="U79" s="2">
        <f t="shared" si="42"/>
        <v>-5040121.5116061885</v>
      </c>
      <c r="V79" s="2">
        <f t="shared" si="42"/>
        <v>-5102846.5189502425</v>
      </c>
      <c r="W79" s="2">
        <f t="shared" si="42"/>
        <v>-5166352.1476617102</v>
      </c>
      <c r="X79" s="2">
        <f t="shared" si="42"/>
        <v>-5230648.1126811672</v>
      </c>
      <c r="Y79" s="2">
        <f t="shared" si="42"/>
        <v>-5295744.249852973</v>
      </c>
    </row>
    <row r="80" spans="1:25">
      <c r="A80" s="2"/>
      <c r="B80" s="109"/>
      <c r="C80" s="382"/>
      <c r="D80" s="400" t="s">
        <v>8233</v>
      </c>
      <c r="E80" s="107"/>
      <c r="F80" s="107"/>
      <c r="G80" s="107"/>
      <c r="H80" s="107"/>
      <c r="I80" s="107"/>
      <c r="J80" s="107"/>
      <c r="K80" s="107"/>
      <c r="L80" s="107"/>
      <c r="M80" s="107"/>
      <c r="N80" s="2"/>
      <c r="O80" s="2">
        <f t="shared" ref="O80:Y80" si="43">-N77*$C$79</f>
        <v>-8546042.4130476546</v>
      </c>
      <c r="P80" s="2">
        <f t="shared" si="43"/>
        <v>-8487803.7057930958</v>
      </c>
      <c r="Q80" s="2">
        <f t="shared" si="43"/>
        <v>-8428840.2097944859</v>
      </c>
      <c r="R80" s="2">
        <f t="shared" si="43"/>
        <v>-8369142.904955944</v>
      </c>
      <c r="S80" s="2">
        <f t="shared" si="43"/>
        <v>-8308702.658925252</v>
      </c>
      <c r="T80" s="2">
        <f t="shared" si="43"/>
        <v>-8247510.2256968068</v>
      </c>
      <c r="U80" s="2">
        <f t="shared" si="43"/>
        <v>-8185556.2441971917</v>
      </c>
      <c r="V80" s="2">
        <f t="shared" si="43"/>
        <v>-8122831.2368531376</v>
      </c>
      <c r="W80" s="2">
        <f t="shared" si="43"/>
        <v>-8059325.6081416719</v>
      </c>
      <c r="X80" s="2">
        <f t="shared" si="43"/>
        <v>-7995029.6431222148</v>
      </c>
      <c r="Y80" s="2">
        <f t="shared" si="43"/>
        <v>-7929933.505950409</v>
      </c>
    </row>
    <row r="81" spans="1:27" ht="12.9" thickBot="1">
      <c r="A81" s="236"/>
      <c r="B81" s="335">
        <f>7*12</f>
        <v>84</v>
      </c>
      <c r="C81" s="377"/>
      <c r="D81" s="401" t="s">
        <v>8374</v>
      </c>
      <c r="E81" s="107"/>
      <c r="F81" s="107"/>
      <c r="G81" s="107"/>
      <c r="H81" s="107"/>
      <c r="I81" s="107"/>
      <c r="J81" s="107"/>
      <c r="K81" s="107"/>
      <c r="L81" s="107"/>
      <c r="M81" s="107"/>
      <c r="N81" s="236">
        <f>+B81</f>
        <v>84</v>
      </c>
      <c r="O81" s="236">
        <f t="shared" ref="O81:Y81" si="44">+N81-1</f>
        <v>83</v>
      </c>
      <c r="P81" s="236">
        <f t="shared" si="44"/>
        <v>82</v>
      </c>
      <c r="Q81" s="236">
        <f t="shared" si="44"/>
        <v>81</v>
      </c>
      <c r="R81" s="236">
        <f t="shared" si="44"/>
        <v>80</v>
      </c>
      <c r="S81" s="236">
        <f t="shared" si="44"/>
        <v>79</v>
      </c>
      <c r="T81" s="236">
        <f t="shared" si="44"/>
        <v>78</v>
      </c>
      <c r="U81" s="236">
        <f t="shared" si="44"/>
        <v>77</v>
      </c>
      <c r="V81" s="236">
        <f t="shared" si="44"/>
        <v>76</v>
      </c>
      <c r="W81" s="236">
        <f t="shared" si="44"/>
        <v>75</v>
      </c>
      <c r="X81" s="236">
        <f t="shared" si="44"/>
        <v>74</v>
      </c>
      <c r="Y81" s="236">
        <f t="shared" si="44"/>
        <v>73</v>
      </c>
    </row>
    <row r="82" spans="1:27" ht="12.9" thickBot="1"/>
    <row r="83" spans="1:27">
      <c r="A83" s="235" t="s">
        <v>8383</v>
      </c>
      <c r="B83" s="334" t="s">
        <v>8371</v>
      </c>
      <c r="C83" s="372">
        <v>0.16</v>
      </c>
      <c r="D83" s="399" t="s">
        <v>8372</v>
      </c>
      <c r="E83" s="107"/>
      <c r="F83" s="107"/>
      <c r="G83" s="107"/>
      <c r="H83" s="107"/>
      <c r="I83" s="107"/>
      <c r="J83" s="107"/>
      <c r="K83" s="107"/>
      <c r="L83" s="107"/>
      <c r="M83" s="107"/>
      <c r="N83" s="107"/>
      <c r="O83" s="235">
        <f>+IF($O19="SI",-SUM($N$13:$O$13),0)</f>
        <v>784796896.42013037</v>
      </c>
      <c r="P83" s="235">
        <f t="shared" ref="P83:Z83" si="45">+O83+P85</f>
        <v>779448741.74269521</v>
      </c>
      <c r="Q83" s="235">
        <f t="shared" si="45"/>
        <v>774034028.54268348</v>
      </c>
      <c r="R83" s="235">
        <f t="shared" si="45"/>
        <v>768551928.49010193</v>
      </c>
      <c r="S83" s="235">
        <f t="shared" si="45"/>
        <v>763001602.94627631</v>
      </c>
      <c r="T83" s="235">
        <f t="shared" si="45"/>
        <v>757382202.83555841</v>
      </c>
      <c r="U83" s="235">
        <f t="shared" si="45"/>
        <v>751692868.51543665</v>
      </c>
      <c r="V83" s="235">
        <f t="shared" si="45"/>
        <v>745932729.64502954</v>
      </c>
      <c r="W83" s="235">
        <f t="shared" si="45"/>
        <v>740100905.05194354</v>
      </c>
      <c r="X83" s="235">
        <f t="shared" si="45"/>
        <v>734196502.59747303</v>
      </c>
      <c r="Y83" s="235">
        <f t="shared" si="45"/>
        <v>728218619.04012311</v>
      </c>
      <c r="Z83" s="235">
        <f t="shared" si="45"/>
        <v>722166339.897434</v>
      </c>
    </row>
    <row r="84" spans="1:27">
      <c r="A84" s="2"/>
      <c r="B84" s="109"/>
      <c r="C84" s="403"/>
      <c r="D84" s="400"/>
      <c r="E84" s="107"/>
      <c r="F84" s="107"/>
      <c r="G84" s="107"/>
      <c r="H84" s="107"/>
      <c r="I84" s="107"/>
      <c r="J84" s="107"/>
      <c r="K84" s="107"/>
      <c r="L84" s="107"/>
      <c r="M84" s="107"/>
      <c r="N84" s="107"/>
      <c r="O84" s="2">
        <f>+O83</f>
        <v>784796896.42013037</v>
      </c>
      <c r="P84" s="2"/>
      <c r="Q84" s="2"/>
      <c r="R84" s="2"/>
      <c r="S84" s="2"/>
      <c r="T84" s="2"/>
      <c r="U84" s="2"/>
      <c r="V84" s="2"/>
      <c r="W84" s="2"/>
      <c r="X84" s="2"/>
      <c r="Y84" s="2"/>
      <c r="Z84" s="2"/>
    </row>
    <row r="85" spans="1:27">
      <c r="A85" s="2"/>
      <c r="B85" s="109"/>
      <c r="C85" s="382">
        <f>+(C83+1)^(0.0833333333333333)-1</f>
        <v>1.2445137919713467E-2</v>
      </c>
      <c r="D85" s="400" t="s">
        <v>8373</v>
      </c>
      <c r="E85" s="107"/>
      <c r="F85" s="107"/>
      <c r="G85" s="107"/>
      <c r="H85" s="107"/>
      <c r="I85" s="107"/>
      <c r="J85" s="107"/>
      <c r="K85" s="107"/>
      <c r="L85" s="107"/>
      <c r="M85" s="107"/>
      <c r="N85" s="107"/>
      <c r="O85" s="2"/>
      <c r="P85" s="2">
        <f t="shared" ref="P85:Z85" si="46">+PMT($C$85,O87,O83)-P86</f>
        <v>-5348154.6774351206</v>
      </c>
      <c r="Q85" s="2">
        <f t="shared" si="46"/>
        <v>-5414713.2000117581</v>
      </c>
      <c r="R85" s="2">
        <f t="shared" si="46"/>
        <v>-5482100.0525815971</v>
      </c>
      <c r="S85" s="2">
        <f t="shared" si="46"/>
        <v>-5550325.5438256431</v>
      </c>
      <c r="T85" s="2">
        <f t="shared" si="46"/>
        <v>-5619400.1107178647</v>
      </c>
      <c r="U85" s="2">
        <f t="shared" si="46"/>
        <v>-5689334.3201218024</v>
      </c>
      <c r="V85" s="2">
        <f t="shared" si="46"/>
        <v>-5760138.8704070728</v>
      </c>
      <c r="W85" s="2">
        <f t="shared" si="46"/>
        <v>-5831824.5930859931</v>
      </c>
      <c r="X85" s="2">
        <f t="shared" si="46"/>
        <v>-5904402.4544705283</v>
      </c>
      <c r="Y85" s="2">
        <f t="shared" si="46"/>
        <v>-5977883.5573499091</v>
      </c>
      <c r="Z85" s="2">
        <f t="shared" si="46"/>
        <v>-6052279.1426891126</v>
      </c>
    </row>
    <row r="86" spans="1:27">
      <c r="A86" s="2"/>
      <c r="B86" s="109"/>
      <c r="C86" s="382"/>
      <c r="D86" s="400" t="s">
        <v>8233</v>
      </c>
      <c r="E86" s="107"/>
      <c r="F86" s="107"/>
      <c r="G86" s="107"/>
      <c r="H86" s="107"/>
      <c r="I86" s="107"/>
      <c r="J86" s="107"/>
      <c r="K86" s="107"/>
      <c r="L86" s="107"/>
      <c r="M86" s="107"/>
      <c r="N86" s="107"/>
      <c r="O86" s="2"/>
      <c r="P86" s="2">
        <f t="shared" ref="P86:Z86" si="47">-O83*$C$85</f>
        <v>-9766905.6149116065</v>
      </c>
      <c r="Q86" s="2">
        <f t="shared" si="47"/>
        <v>-9700347.0923349652</v>
      </c>
      <c r="R86" s="2">
        <f t="shared" si="47"/>
        <v>-9632960.2397651263</v>
      </c>
      <c r="S86" s="2">
        <f t="shared" si="47"/>
        <v>-9564734.7485210802</v>
      </c>
      <c r="T86" s="2">
        <f t="shared" si="47"/>
        <v>-9495660.1816288624</v>
      </c>
      <c r="U86" s="2">
        <f t="shared" si="47"/>
        <v>-9425725.9722249247</v>
      </c>
      <c r="V86" s="2">
        <f t="shared" si="47"/>
        <v>-9354921.4219396506</v>
      </c>
      <c r="W86" s="2">
        <f t="shared" si="47"/>
        <v>-9283235.6992607303</v>
      </c>
      <c r="X86" s="2">
        <f t="shared" si="47"/>
        <v>-9210657.8378761988</v>
      </c>
      <c r="Y86" s="2">
        <f t="shared" si="47"/>
        <v>-9137176.734996818</v>
      </c>
      <c r="Z86" s="2">
        <f t="shared" si="47"/>
        <v>-9062781.1496576108</v>
      </c>
    </row>
    <row r="87" spans="1:27" ht="12.9" thickBot="1">
      <c r="A87" s="236"/>
      <c r="B87" s="335">
        <f>7*12</f>
        <v>84</v>
      </c>
      <c r="C87" s="377"/>
      <c r="D87" s="401" t="s">
        <v>8374</v>
      </c>
      <c r="E87" s="107"/>
      <c r="F87" s="107"/>
      <c r="G87" s="107"/>
      <c r="H87" s="107"/>
      <c r="I87" s="107"/>
      <c r="J87" s="107"/>
      <c r="K87" s="107"/>
      <c r="L87" s="107"/>
      <c r="M87" s="107"/>
      <c r="N87" s="107"/>
      <c r="O87" s="236">
        <f>+B87</f>
        <v>84</v>
      </c>
      <c r="P87" s="236">
        <f t="shared" ref="P87:Z87" si="48">+O87-1</f>
        <v>83</v>
      </c>
      <c r="Q87" s="236">
        <f t="shared" si="48"/>
        <v>82</v>
      </c>
      <c r="R87" s="236">
        <f t="shared" si="48"/>
        <v>81</v>
      </c>
      <c r="S87" s="236">
        <f t="shared" si="48"/>
        <v>80</v>
      </c>
      <c r="T87" s="236">
        <f t="shared" si="48"/>
        <v>79</v>
      </c>
      <c r="U87" s="236">
        <f t="shared" si="48"/>
        <v>78</v>
      </c>
      <c r="V87" s="236">
        <f t="shared" si="48"/>
        <v>77</v>
      </c>
      <c r="W87" s="236">
        <f t="shared" si="48"/>
        <v>76</v>
      </c>
      <c r="X87" s="236">
        <f t="shared" si="48"/>
        <v>75</v>
      </c>
      <c r="Y87" s="236">
        <f t="shared" si="48"/>
        <v>74</v>
      </c>
      <c r="Z87" s="236">
        <f t="shared" si="48"/>
        <v>73</v>
      </c>
    </row>
    <row r="88" spans="1:27" ht="12.9" thickBot="1"/>
    <row r="89" spans="1:27">
      <c r="A89" s="235" t="s">
        <v>8384</v>
      </c>
      <c r="B89" s="334" t="s">
        <v>8371</v>
      </c>
      <c r="C89" s="372">
        <v>0.16</v>
      </c>
      <c r="D89" s="399" t="s">
        <v>8372</v>
      </c>
      <c r="E89" s="107"/>
      <c r="F89" s="107"/>
      <c r="G89" s="107"/>
      <c r="H89" s="107"/>
      <c r="I89" s="107"/>
      <c r="J89" s="107"/>
      <c r="K89" s="107"/>
      <c r="L89" s="107"/>
      <c r="M89" s="107"/>
      <c r="N89" s="107"/>
      <c r="O89" s="107"/>
      <c r="P89" s="235">
        <f>+IF($P19="SI",-SUM($O$13:$P$13),0)</f>
        <v>490498060.26258147</v>
      </c>
      <c r="Q89" s="235">
        <f t="shared" ref="Q89:AA89" si="49">+P89+Q91</f>
        <v>487155463.58918452</v>
      </c>
      <c r="R89" s="235">
        <f t="shared" si="49"/>
        <v>483771267.83917719</v>
      </c>
      <c r="S89" s="235">
        <f t="shared" si="49"/>
        <v>480344955.30631369</v>
      </c>
      <c r="T89" s="235">
        <f t="shared" si="49"/>
        <v>476876001.84142268</v>
      </c>
      <c r="U89" s="235">
        <f t="shared" si="49"/>
        <v>473363876.77222401</v>
      </c>
      <c r="V89" s="235">
        <f t="shared" si="49"/>
        <v>469808042.82214791</v>
      </c>
      <c r="W89" s="235">
        <f t="shared" si="49"/>
        <v>466207956.02814347</v>
      </c>
      <c r="X89" s="235">
        <f t="shared" si="49"/>
        <v>462563065.65746474</v>
      </c>
      <c r="Y89" s="235">
        <f t="shared" si="49"/>
        <v>458872814.12342066</v>
      </c>
      <c r="Z89" s="235">
        <f t="shared" si="49"/>
        <v>455136636.90007699</v>
      </c>
      <c r="AA89" s="235">
        <f t="shared" si="49"/>
        <v>451353962.43589628</v>
      </c>
    </row>
    <row r="90" spans="1:27">
      <c r="A90" s="2"/>
      <c r="B90" s="109"/>
      <c r="C90" s="403"/>
      <c r="D90" s="400"/>
      <c r="E90" s="107"/>
      <c r="F90" s="107"/>
      <c r="G90" s="107"/>
      <c r="H90" s="107"/>
      <c r="I90" s="107"/>
      <c r="J90" s="107"/>
      <c r="K90" s="107"/>
      <c r="L90" s="107"/>
      <c r="M90" s="107"/>
      <c r="N90" s="107"/>
      <c r="O90" s="107"/>
      <c r="P90" s="2">
        <f>+P89</f>
        <v>490498060.26258147</v>
      </c>
      <c r="Q90" s="2"/>
      <c r="R90" s="2"/>
      <c r="S90" s="2"/>
      <c r="T90" s="2"/>
      <c r="U90" s="2"/>
      <c r="V90" s="2"/>
      <c r="W90" s="2"/>
      <c r="X90" s="2"/>
      <c r="Y90" s="2"/>
      <c r="Z90" s="2"/>
      <c r="AA90" s="2"/>
    </row>
    <row r="91" spans="1:27">
      <c r="A91" s="2"/>
      <c r="B91" s="109"/>
      <c r="C91" s="382">
        <f>+(C89+1)^(0.0833333333333333)-1</f>
        <v>1.2445137919713467E-2</v>
      </c>
      <c r="D91" s="400" t="s">
        <v>8373</v>
      </c>
      <c r="E91" s="107"/>
      <c r="F91" s="107"/>
      <c r="G91" s="107"/>
      <c r="H91" s="107"/>
      <c r="I91" s="107"/>
      <c r="J91" s="107"/>
      <c r="K91" s="107"/>
      <c r="L91" s="107"/>
      <c r="M91" s="107"/>
      <c r="N91" s="107"/>
      <c r="O91" s="107"/>
      <c r="P91" s="2"/>
      <c r="Q91" s="2">
        <f t="shared" ref="Q91:AA91" si="50">+PMT($C$91,P93,P89)-Q92</f>
        <v>-3342596.6733969487</v>
      </c>
      <c r="R91" s="2">
        <f t="shared" si="50"/>
        <v>-3384195.7500073472</v>
      </c>
      <c r="S91" s="2">
        <f t="shared" si="50"/>
        <v>-3426312.5328634968</v>
      </c>
      <c r="T91" s="2">
        <f t="shared" si="50"/>
        <v>-3468953.4648910277</v>
      </c>
      <c r="U91" s="2">
        <f t="shared" si="50"/>
        <v>-3512125.0691986643</v>
      </c>
      <c r="V91" s="2">
        <f t="shared" si="50"/>
        <v>-3555833.9500761274</v>
      </c>
      <c r="W91" s="2">
        <f t="shared" si="50"/>
        <v>-3600086.7940044198</v>
      </c>
      <c r="X91" s="2">
        <f t="shared" si="50"/>
        <v>-3644890.3706787443</v>
      </c>
      <c r="Y91" s="2">
        <f t="shared" si="50"/>
        <v>-3690251.5340440804</v>
      </c>
      <c r="Z91" s="2">
        <f t="shared" si="50"/>
        <v>-3736177.2233436927</v>
      </c>
      <c r="AA91" s="2">
        <f t="shared" si="50"/>
        <v>-3782674.4641806949</v>
      </c>
    </row>
    <row r="92" spans="1:27">
      <c r="A92" s="2"/>
      <c r="B92" s="109"/>
      <c r="C92" s="382"/>
      <c r="D92" s="400" t="s">
        <v>8233</v>
      </c>
      <c r="E92" s="107"/>
      <c r="F92" s="107"/>
      <c r="G92" s="107"/>
      <c r="H92" s="107"/>
      <c r="I92" s="107"/>
      <c r="J92" s="107"/>
      <c r="K92" s="107"/>
      <c r="L92" s="107"/>
      <c r="M92" s="107"/>
      <c r="N92" s="107"/>
      <c r="O92" s="107"/>
      <c r="P92" s="2"/>
      <c r="Q92" s="2">
        <f t="shared" ref="Q92:AA92" si="51">-P89*$C$91</f>
        <v>-6104316.0093197543</v>
      </c>
      <c r="R92" s="2">
        <f t="shared" si="51"/>
        <v>-6062716.932709354</v>
      </c>
      <c r="S92" s="2">
        <f t="shared" si="51"/>
        <v>-6020600.1498532044</v>
      </c>
      <c r="T92" s="2">
        <f t="shared" si="51"/>
        <v>-5977959.2178256754</v>
      </c>
      <c r="U92" s="2">
        <f t="shared" si="51"/>
        <v>-5934787.6135180388</v>
      </c>
      <c r="V92" s="2">
        <f t="shared" si="51"/>
        <v>-5891078.7326405775</v>
      </c>
      <c r="W92" s="2">
        <f t="shared" si="51"/>
        <v>-5846825.8887122814</v>
      </c>
      <c r="X92" s="2">
        <f t="shared" si="51"/>
        <v>-5802022.3120379569</v>
      </c>
      <c r="Y92" s="2">
        <f t="shared" si="51"/>
        <v>-5756661.1486726245</v>
      </c>
      <c r="Z92" s="2">
        <f t="shared" si="51"/>
        <v>-5710735.4593730122</v>
      </c>
      <c r="AA92" s="2">
        <f t="shared" si="51"/>
        <v>-5664238.2185360081</v>
      </c>
    </row>
    <row r="93" spans="1:27" ht="12.9" thickBot="1">
      <c r="A93" s="236"/>
      <c r="B93" s="335">
        <f>7*12</f>
        <v>84</v>
      </c>
      <c r="C93" s="377"/>
      <c r="D93" s="401" t="s">
        <v>8374</v>
      </c>
      <c r="E93" s="107"/>
      <c r="F93" s="107"/>
      <c r="G93" s="107"/>
      <c r="H93" s="107"/>
      <c r="I93" s="107"/>
      <c r="J93" s="107"/>
      <c r="K93" s="107"/>
      <c r="L93" s="107"/>
      <c r="M93" s="107"/>
      <c r="N93" s="107"/>
      <c r="O93" s="107"/>
      <c r="P93" s="236">
        <f>+B93</f>
        <v>84</v>
      </c>
      <c r="Q93" s="236">
        <f t="shared" ref="Q93:AA93" si="52">+P93-1</f>
        <v>83</v>
      </c>
      <c r="R93" s="236">
        <f t="shared" si="52"/>
        <v>82</v>
      </c>
      <c r="S93" s="236">
        <f t="shared" si="52"/>
        <v>81</v>
      </c>
      <c r="T93" s="236">
        <f t="shared" si="52"/>
        <v>80</v>
      </c>
      <c r="U93" s="236">
        <f t="shared" si="52"/>
        <v>79</v>
      </c>
      <c r="V93" s="236">
        <f t="shared" si="52"/>
        <v>78</v>
      </c>
      <c r="W93" s="236">
        <f t="shared" si="52"/>
        <v>77</v>
      </c>
      <c r="X93" s="236">
        <f t="shared" si="52"/>
        <v>76</v>
      </c>
      <c r="Y93" s="236">
        <f t="shared" si="52"/>
        <v>75</v>
      </c>
      <c r="Z93" s="236">
        <f t="shared" si="52"/>
        <v>74</v>
      </c>
      <c r="AA93" s="236">
        <f t="shared" si="52"/>
        <v>73</v>
      </c>
    </row>
    <row r="94" spans="1:27" ht="12.9" thickBot="1"/>
    <row r="95" spans="1:27" ht="12.9" thickBot="1">
      <c r="E95" s="151">
        <v>45292</v>
      </c>
      <c r="F95" s="131">
        <v>45323</v>
      </c>
      <c r="G95" s="151">
        <v>45352</v>
      </c>
      <c r="H95" s="131">
        <v>45383</v>
      </c>
      <c r="I95" s="151">
        <v>45413</v>
      </c>
      <c r="J95" s="131">
        <v>45444</v>
      </c>
      <c r="K95" s="151">
        <v>45474</v>
      </c>
      <c r="L95" s="131">
        <v>45505</v>
      </c>
      <c r="M95" s="151">
        <v>45536</v>
      </c>
      <c r="N95" s="131">
        <v>45566</v>
      </c>
      <c r="O95" s="151">
        <v>45597</v>
      </c>
      <c r="P95" s="131">
        <v>45627</v>
      </c>
    </row>
    <row r="96" spans="1:27">
      <c r="D96" s="217" t="s">
        <v>8385</v>
      </c>
      <c r="E96" s="218">
        <f t="shared" ref="E96:V96" si="53">+E24+E30+E36+E42+E48+E54+E60+E66+E72+E78+E84+E90</f>
        <v>0</v>
      </c>
      <c r="F96" s="218">
        <f t="shared" si="53"/>
        <v>0</v>
      </c>
      <c r="G96" s="218">
        <f t="shared" si="53"/>
        <v>0</v>
      </c>
      <c r="H96" s="218">
        <f t="shared" si="53"/>
        <v>0</v>
      </c>
      <c r="I96" s="218">
        <f t="shared" si="53"/>
        <v>0</v>
      </c>
      <c r="J96" s="218">
        <f t="shared" si="53"/>
        <v>0</v>
      </c>
      <c r="K96" s="218">
        <f t="shared" si="53"/>
        <v>0</v>
      </c>
      <c r="L96" s="218">
        <f t="shared" si="53"/>
        <v>0</v>
      </c>
      <c r="M96" s="218">
        <f t="shared" si="53"/>
        <v>490498060.26258147</v>
      </c>
      <c r="N96" s="218">
        <f t="shared" si="53"/>
        <v>686697284.36761403</v>
      </c>
      <c r="O96" s="218">
        <f t="shared" si="53"/>
        <v>784796896.42013037</v>
      </c>
      <c r="P96" s="218">
        <f t="shared" si="53"/>
        <v>490498060.26258147</v>
      </c>
      <c r="Q96" s="218">
        <f t="shared" si="53"/>
        <v>0</v>
      </c>
      <c r="R96" s="218">
        <f t="shared" si="53"/>
        <v>0</v>
      </c>
      <c r="S96" s="218">
        <f t="shared" si="53"/>
        <v>0</v>
      </c>
      <c r="T96" s="218">
        <f t="shared" si="53"/>
        <v>0</v>
      </c>
      <c r="U96" s="218">
        <f t="shared" si="53"/>
        <v>0</v>
      </c>
      <c r="V96" s="218">
        <f t="shared" si="53"/>
        <v>0</v>
      </c>
    </row>
    <row r="97" spans="4:22">
      <c r="D97" s="383" t="s">
        <v>8386</v>
      </c>
      <c r="E97" s="214">
        <f t="shared" ref="E97:V97" si="54">+E25+E31+E37+E43+E49+E55+E61+E67+E73+E79+E85+E91</f>
        <v>0</v>
      </c>
      <c r="F97" s="214">
        <f t="shared" si="54"/>
        <v>0</v>
      </c>
      <c r="G97" s="214">
        <f t="shared" si="54"/>
        <v>0</v>
      </c>
      <c r="H97" s="214">
        <f t="shared" si="54"/>
        <v>0</v>
      </c>
      <c r="I97" s="214">
        <f t="shared" si="54"/>
        <v>0</v>
      </c>
      <c r="J97" s="214">
        <f t="shared" si="54"/>
        <v>0</v>
      </c>
      <c r="K97" s="214">
        <f t="shared" si="54"/>
        <v>0</v>
      </c>
      <c r="L97" s="214">
        <f t="shared" si="54"/>
        <v>0</v>
      </c>
      <c r="M97" s="214">
        <f t="shared" si="54"/>
        <v>0</v>
      </c>
      <c r="N97" s="214">
        <f t="shared" si="54"/>
        <v>-3342596.6733969487</v>
      </c>
      <c r="O97" s="214">
        <f t="shared" si="54"/>
        <v>-8063831.0927630765</v>
      </c>
      <c r="P97" s="214">
        <f t="shared" si="54"/>
        <v>-13512341.260308903</v>
      </c>
      <c r="Q97" s="214">
        <f t="shared" si="54"/>
        <v>-17023100.884308629</v>
      </c>
      <c r="R97" s="214">
        <f t="shared" si="54"/>
        <v>-17234955.722635046</v>
      </c>
      <c r="S97" s="214">
        <f t="shared" si="54"/>
        <v>-17449447.123643398</v>
      </c>
      <c r="T97" s="214">
        <f t="shared" si="54"/>
        <v>-17666607.899719886</v>
      </c>
      <c r="U97" s="214">
        <f t="shared" si="54"/>
        <v>-17886471.271605399</v>
      </c>
      <c r="V97" s="214">
        <f t="shared" si="54"/>
        <v>-18109070.873477522</v>
      </c>
    </row>
    <row r="98" spans="4:22">
      <c r="D98" s="383" t="s">
        <v>8387</v>
      </c>
      <c r="E98" s="214">
        <f t="shared" ref="E98:V98" si="55">+E96+E97</f>
        <v>0</v>
      </c>
      <c r="F98" s="214">
        <f t="shared" si="55"/>
        <v>0</v>
      </c>
      <c r="G98" s="214">
        <f t="shared" si="55"/>
        <v>0</v>
      </c>
      <c r="H98" s="214">
        <f t="shared" si="55"/>
        <v>0</v>
      </c>
      <c r="I98" s="214">
        <f t="shared" si="55"/>
        <v>0</v>
      </c>
      <c r="J98" s="214">
        <f t="shared" si="55"/>
        <v>0</v>
      </c>
      <c r="K98" s="214">
        <f t="shared" si="55"/>
        <v>0</v>
      </c>
      <c r="L98" s="214">
        <f t="shared" si="55"/>
        <v>0</v>
      </c>
      <c r="M98" s="214">
        <f t="shared" si="55"/>
        <v>490498060.26258147</v>
      </c>
      <c r="N98" s="214">
        <f t="shared" si="55"/>
        <v>683354687.69421709</v>
      </c>
      <c r="O98" s="214">
        <f t="shared" si="55"/>
        <v>776733065.32736731</v>
      </c>
      <c r="P98" s="214">
        <f t="shared" si="55"/>
        <v>476985719.00227255</v>
      </c>
      <c r="Q98" s="214">
        <f t="shared" si="55"/>
        <v>-17023100.884308629</v>
      </c>
      <c r="R98" s="214">
        <f t="shared" si="55"/>
        <v>-17234955.722635046</v>
      </c>
      <c r="S98" s="214">
        <f t="shared" si="55"/>
        <v>-17449447.123643398</v>
      </c>
      <c r="T98" s="214">
        <f t="shared" si="55"/>
        <v>-17666607.899719886</v>
      </c>
      <c r="U98" s="214">
        <f t="shared" si="55"/>
        <v>-17886471.271605399</v>
      </c>
      <c r="V98" s="214">
        <f t="shared" si="55"/>
        <v>-18109070.873477522</v>
      </c>
    </row>
    <row r="99" spans="4:22" ht="12.9" thickBot="1">
      <c r="D99" s="384" t="s">
        <v>118</v>
      </c>
      <c r="E99" s="214">
        <f t="shared" ref="E99:V99" si="56">+E26+E32+E38+E44+E50+E56+E62+E68+E74+E80+E86+E92</f>
        <v>0</v>
      </c>
      <c r="F99" s="214">
        <f t="shared" si="56"/>
        <v>0</v>
      </c>
      <c r="G99" s="214">
        <f t="shared" si="56"/>
        <v>0</v>
      </c>
      <c r="H99" s="214">
        <f t="shared" si="56"/>
        <v>0</v>
      </c>
      <c r="I99" s="214">
        <f t="shared" si="56"/>
        <v>0</v>
      </c>
      <c r="J99" s="214">
        <f t="shared" si="56"/>
        <v>0</v>
      </c>
      <c r="K99" s="214">
        <f t="shared" si="56"/>
        <v>0</v>
      </c>
      <c r="L99" s="214">
        <f t="shared" si="56"/>
        <v>0</v>
      </c>
      <c r="M99" s="214">
        <f t="shared" si="56"/>
        <v>0</v>
      </c>
      <c r="N99" s="214">
        <f t="shared" si="56"/>
        <v>-6104316.0093197543</v>
      </c>
      <c r="O99" s="214">
        <f t="shared" si="56"/>
        <v>-14608759.345757008</v>
      </c>
      <c r="P99" s="214">
        <f t="shared" si="56"/>
        <v>-24275309.470557906</v>
      </c>
      <c r="Q99" s="214">
        <f t="shared" si="56"/>
        <v>-30211462.529274881</v>
      </c>
      <c r="R99" s="214">
        <f t="shared" si="56"/>
        <v>-29999607.690948464</v>
      </c>
      <c r="S99" s="214">
        <f t="shared" si="56"/>
        <v>-29785116.289940115</v>
      </c>
      <c r="T99" s="214">
        <f t="shared" si="56"/>
        <v>-29567955.513863623</v>
      </c>
      <c r="U99" s="214">
        <f t="shared" si="56"/>
        <v>-29348092.141978115</v>
      </c>
      <c r="V99" s="214">
        <f t="shared" si="56"/>
        <v>-29125492.540105991</v>
      </c>
    </row>
  </sheetData>
  <pageMargins left="0.7" right="0.7" top="0.75" bottom="0.75" header="0.3" footer="0.3"/>
  <pageSetup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FF8BD-ACD4-472D-90B8-14F5BEAF8BD4}">
  <dimension ref="B2:N76"/>
  <sheetViews>
    <sheetView topLeftCell="B1" zoomScale="97" zoomScaleNormal="23" workbookViewId="0">
      <selection activeCell="B89" sqref="B89"/>
    </sheetView>
  </sheetViews>
  <sheetFormatPr defaultColWidth="11.3828125" defaultRowHeight="14.6"/>
  <cols>
    <col min="1" max="1" width="11.3828125" style="71"/>
    <col min="2" max="2" width="29.15234375" style="71" bestFit="1" customWidth="1"/>
    <col min="3" max="4" width="16.15234375" style="71" bestFit="1" customWidth="1"/>
    <col min="5" max="8" width="15.3046875" style="71" bestFit="1" customWidth="1"/>
    <col min="9" max="9" width="17.3828125" style="71" bestFit="1" customWidth="1"/>
    <col min="10" max="14" width="15.69140625" style="71" bestFit="1" customWidth="1"/>
    <col min="15" max="16384" width="11.3828125" style="71"/>
  </cols>
  <sheetData>
    <row r="2" spans="2:14" ht="15" thickBot="1">
      <c r="C2" s="1184" t="s">
        <v>8338</v>
      </c>
      <c r="D2" s="1185"/>
      <c r="E2" s="1185"/>
      <c r="F2" s="1185"/>
      <c r="G2" s="1185"/>
      <c r="H2" s="1185"/>
      <c r="I2" s="1185"/>
      <c r="J2" s="1185"/>
      <c r="K2" s="1185"/>
      <c r="L2" s="1185"/>
      <c r="M2" s="1185"/>
      <c r="N2" s="1185"/>
    </row>
    <row r="3" spans="2:14" ht="15" thickBot="1">
      <c r="C3" s="104">
        <v>45292</v>
      </c>
      <c r="D3" s="105">
        <v>45323</v>
      </c>
      <c r="E3" s="104">
        <v>45352</v>
      </c>
      <c r="F3" s="105">
        <v>45383</v>
      </c>
      <c r="G3" s="104">
        <v>45413</v>
      </c>
      <c r="H3" s="105">
        <v>45444</v>
      </c>
      <c r="I3" s="104">
        <v>45474</v>
      </c>
      <c r="J3" s="105">
        <v>45505</v>
      </c>
      <c r="K3" s="104">
        <v>45536</v>
      </c>
      <c r="L3" s="105">
        <v>45566</v>
      </c>
      <c r="M3" s="104">
        <v>45597</v>
      </c>
      <c r="N3" s="105">
        <v>45627</v>
      </c>
    </row>
    <row r="4" spans="2:14">
      <c r="B4" s="511" t="s">
        <v>8388</v>
      </c>
      <c r="C4" s="96"/>
      <c r="D4" s="96"/>
      <c r="E4" s="97"/>
      <c r="F4" s="97"/>
      <c r="G4" s="97"/>
      <c r="H4" s="513">
        <v>350000000</v>
      </c>
      <c r="I4" s="97">
        <f t="shared" ref="I4:J4" si="0">+H4</f>
        <v>350000000</v>
      </c>
      <c r="J4" s="97">
        <f t="shared" si="0"/>
        <v>350000000</v>
      </c>
      <c r="K4" s="97">
        <f>+J4</f>
        <v>350000000</v>
      </c>
      <c r="L4" s="97">
        <f>+K4</f>
        <v>350000000</v>
      </c>
      <c r="M4" s="97">
        <f>+L4</f>
        <v>350000000</v>
      </c>
      <c r="N4" s="97">
        <f>+M4</f>
        <v>350000000</v>
      </c>
    </row>
    <row r="5" spans="2:14">
      <c r="B5" s="514" t="s">
        <v>8389</v>
      </c>
      <c r="C5" s="78"/>
      <c r="D5" s="78"/>
      <c r="E5" s="78"/>
      <c r="F5" s="75">
        <f>+F4*(1-F6)</f>
        <v>0</v>
      </c>
      <c r="G5" s="75">
        <f>+G4*(1-G6)</f>
        <v>0</v>
      </c>
      <c r="H5" s="75">
        <f>+H4*(1-H6)</f>
        <v>262500000</v>
      </c>
      <c r="I5" s="75">
        <f t="shared" ref="I5:N5" si="1">+I4*(1-I6)</f>
        <v>262500000</v>
      </c>
      <c r="J5" s="75">
        <f t="shared" si="1"/>
        <v>262500000</v>
      </c>
      <c r="K5" s="75">
        <f t="shared" si="1"/>
        <v>262500000</v>
      </c>
      <c r="L5" s="75">
        <f t="shared" si="1"/>
        <v>262500000</v>
      </c>
      <c r="M5" s="75">
        <f t="shared" si="1"/>
        <v>262500000</v>
      </c>
      <c r="N5" s="75">
        <f t="shared" si="1"/>
        <v>262500000</v>
      </c>
    </row>
    <row r="6" spans="2:14" ht="15" thickBot="1">
      <c r="B6" s="517" t="s">
        <v>8341</v>
      </c>
      <c r="C6" s="80"/>
      <c r="D6" s="80"/>
      <c r="E6" s="80"/>
      <c r="F6" s="80">
        <v>0.25</v>
      </c>
      <c r="G6" s="80">
        <v>0.25</v>
      </c>
      <c r="H6" s="80">
        <v>0.25</v>
      </c>
      <c r="I6" s="80">
        <v>0.25</v>
      </c>
      <c r="J6" s="80">
        <v>0.25</v>
      </c>
      <c r="K6" s="80">
        <v>0.25</v>
      </c>
      <c r="L6" s="80">
        <v>0.25</v>
      </c>
      <c r="M6" s="80">
        <v>0.25</v>
      </c>
      <c r="N6" s="80">
        <v>0.25</v>
      </c>
    </row>
    <row r="7" spans="2:14">
      <c r="B7" s="520"/>
      <c r="C7" s="73"/>
      <c r="D7" s="73"/>
      <c r="E7" s="73"/>
      <c r="F7" s="73"/>
      <c r="G7" s="73"/>
      <c r="H7" s="73"/>
      <c r="I7" s="73"/>
    </row>
    <row r="8" spans="2:14">
      <c r="H8" s="520"/>
      <c r="I8" s="520"/>
      <c r="J8" s="520"/>
    </row>
    <row r="9" spans="2:14">
      <c r="B9" s="101"/>
      <c r="C9" s="73"/>
      <c r="D9" s="73"/>
      <c r="E9" s="522"/>
      <c r="F9" s="73"/>
      <c r="G9" s="73"/>
      <c r="H9" s="73"/>
      <c r="I9" s="73"/>
    </row>
    <row r="10" spans="2:14" ht="15" thickBot="1">
      <c r="B10" s="101"/>
      <c r="C10" s="73"/>
      <c r="D10" s="73"/>
      <c r="E10" s="522"/>
      <c r="F10" s="73"/>
      <c r="G10" s="73"/>
      <c r="H10" s="73"/>
      <c r="I10" s="73"/>
    </row>
    <row r="11" spans="2:14" ht="15" thickBot="1">
      <c r="B11" s="101"/>
      <c r="C11" s="1184" t="s">
        <v>8390</v>
      </c>
      <c r="D11" s="1185"/>
      <c r="E11" s="1185"/>
      <c r="F11" s="1185"/>
      <c r="G11" s="1185"/>
      <c r="H11" s="1185"/>
      <c r="I11" s="1185"/>
      <c r="J11" s="1185"/>
      <c r="K11" s="1185"/>
      <c r="L11" s="1185"/>
      <c r="M11" s="1185"/>
      <c r="N11" s="1185"/>
    </row>
    <row r="12" spans="2:14">
      <c r="B12" s="114"/>
      <c r="C12" s="104">
        <v>45292</v>
      </c>
      <c r="D12" s="105">
        <v>45323</v>
      </c>
      <c r="E12" s="104">
        <v>45352</v>
      </c>
      <c r="F12" s="105">
        <v>45383</v>
      </c>
      <c r="G12" s="104">
        <v>45413</v>
      </c>
      <c r="H12" s="105">
        <v>45444</v>
      </c>
      <c r="I12" s="104">
        <v>45474</v>
      </c>
      <c r="J12" s="105">
        <v>45505</v>
      </c>
      <c r="K12" s="104">
        <v>45536</v>
      </c>
      <c r="L12" s="105">
        <v>45566</v>
      </c>
      <c r="M12" s="104">
        <v>45597</v>
      </c>
      <c r="N12" s="105">
        <v>45627</v>
      </c>
    </row>
    <row r="13" spans="2:14">
      <c r="B13" s="76" t="s">
        <v>8391</v>
      </c>
      <c r="C13" s="78">
        <v>-1.0021959892412773E-2</v>
      </c>
      <c r="D13" s="78">
        <v>-0.91467582202997832</v>
      </c>
      <c r="E13" s="78">
        <v>-7.2445807755575756E-2</v>
      </c>
      <c r="F13" s="78">
        <v>-2.8564103220331425E-3</v>
      </c>
      <c r="G13" s="78">
        <v>0</v>
      </c>
      <c r="H13" s="78">
        <v>0</v>
      </c>
      <c r="I13" s="78">
        <v>0</v>
      </c>
      <c r="J13" s="106"/>
      <c r="K13" s="106"/>
      <c r="L13" s="106"/>
      <c r="M13" s="106"/>
      <c r="N13" s="106"/>
    </row>
    <row r="14" spans="2:14">
      <c r="B14" s="76" t="s">
        <v>8392</v>
      </c>
      <c r="C14" s="78">
        <v>0.5</v>
      </c>
      <c r="D14" s="78">
        <v>0.2</v>
      </c>
      <c r="E14" s="78">
        <v>0.2</v>
      </c>
      <c r="F14" s="78">
        <v>0.1</v>
      </c>
      <c r="G14" s="78">
        <v>0</v>
      </c>
      <c r="H14" s="78">
        <v>0</v>
      </c>
      <c r="I14" s="78">
        <v>0</v>
      </c>
      <c r="J14" s="106"/>
      <c r="K14" s="106"/>
      <c r="L14" s="106"/>
      <c r="M14" s="106"/>
      <c r="N14" s="106"/>
    </row>
    <row r="15" spans="2:14">
      <c r="B15" s="76" t="s">
        <v>8393</v>
      </c>
      <c r="C15" s="78">
        <v>0</v>
      </c>
      <c r="D15" s="78">
        <f>+$C$13</f>
        <v>-1.0021959892412773E-2</v>
      </c>
      <c r="E15" s="78">
        <f>+$D$13</f>
        <v>-0.91467582202997832</v>
      </c>
      <c r="F15" s="78">
        <f>+$E$13</f>
        <v>-7.2445807755575756E-2</v>
      </c>
      <c r="G15" s="78">
        <f>+$F$13</f>
        <v>-2.8564103220331425E-3</v>
      </c>
      <c r="H15" s="78">
        <v>0</v>
      </c>
      <c r="I15" s="78">
        <v>0</v>
      </c>
      <c r="J15" s="106"/>
      <c r="K15" s="106"/>
      <c r="L15" s="106"/>
      <c r="M15" s="106"/>
      <c r="N15" s="106"/>
    </row>
    <row r="16" spans="2:14">
      <c r="B16" s="76" t="s">
        <v>8394</v>
      </c>
      <c r="C16" s="78">
        <v>0</v>
      </c>
      <c r="D16" s="78">
        <f>+$C$14</f>
        <v>0.5</v>
      </c>
      <c r="E16" s="78">
        <f>+$D$14</f>
        <v>0.2</v>
      </c>
      <c r="F16" s="78">
        <f>+$E$14</f>
        <v>0.2</v>
      </c>
      <c r="G16" s="78">
        <f>+$F$14</f>
        <v>0.1</v>
      </c>
      <c r="H16" s="78">
        <f>+$G$14</f>
        <v>0</v>
      </c>
      <c r="I16" s="78">
        <v>0</v>
      </c>
      <c r="J16" s="106"/>
      <c r="K16" s="106"/>
      <c r="L16" s="106"/>
      <c r="M16" s="106"/>
      <c r="N16" s="106"/>
    </row>
    <row r="17" spans="2:14">
      <c r="B17" s="76" t="s">
        <v>8395</v>
      </c>
      <c r="C17" s="78">
        <v>0</v>
      </c>
      <c r="D17" s="78">
        <v>0</v>
      </c>
      <c r="E17" s="78">
        <f>+$C$13</f>
        <v>-1.0021959892412773E-2</v>
      </c>
      <c r="F17" s="78">
        <f>+$D$13</f>
        <v>-0.91467582202997832</v>
      </c>
      <c r="G17" s="78">
        <f>+$E$13</f>
        <v>-7.2445807755575756E-2</v>
      </c>
      <c r="H17" s="78">
        <f>+$F$13</f>
        <v>-2.8564103220331425E-3</v>
      </c>
      <c r="I17" s="78">
        <v>0</v>
      </c>
      <c r="J17" s="78"/>
      <c r="K17" s="106"/>
      <c r="L17" s="106"/>
      <c r="M17" s="106"/>
      <c r="N17" s="106"/>
    </row>
    <row r="18" spans="2:14">
      <c r="B18" s="76" t="s">
        <v>8396</v>
      </c>
      <c r="C18" s="78">
        <v>0</v>
      </c>
      <c r="D18" s="78">
        <v>0</v>
      </c>
      <c r="E18" s="78">
        <f>+$C$14</f>
        <v>0.5</v>
      </c>
      <c r="F18" s="78">
        <f>+$D$14</f>
        <v>0.2</v>
      </c>
      <c r="G18" s="78">
        <f>+$E$14</f>
        <v>0.2</v>
      </c>
      <c r="H18" s="78">
        <f>+$F$14</f>
        <v>0.1</v>
      </c>
      <c r="I18" s="78">
        <f>+$G$14</f>
        <v>0</v>
      </c>
      <c r="J18" s="78"/>
      <c r="K18" s="106"/>
      <c r="L18" s="106"/>
      <c r="M18" s="106"/>
      <c r="N18" s="106"/>
    </row>
    <row r="19" spans="2:14">
      <c r="B19" s="76" t="s">
        <v>8397</v>
      </c>
      <c r="C19" s="78">
        <v>0</v>
      </c>
      <c r="D19" s="78">
        <v>0</v>
      </c>
      <c r="E19" s="78">
        <v>0</v>
      </c>
      <c r="F19" s="78">
        <f>+$C$13</f>
        <v>-1.0021959892412773E-2</v>
      </c>
      <c r="G19" s="78">
        <f>+$D$13</f>
        <v>-0.91467582202997832</v>
      </c>
      <c r="H19" s="78">
        <f>+$E$13</f>
        <v>-7.2445807755575756E-2</v>
      </c>
      <c r="I19" s="78">
        <f>+$F$13</f>
        <v>-2.8564103220331425E-3</v>
      </c>
      <c r="J19" s="78">
        <v>0</v>
      </c>
      <c r="K19" s="78"/>
      <c r="L19" s="106"/>
      <c r="M19" s="106"/>
      <c r="N19" s="106"/>
    </row>
    <row r="20" spans="2:14">
      <c r="B20" s="76" t="s">
        <v>8398</v>
      </c>
      <c r="C20" s="78">
        <v>0</v>
      </c>
      <c r="D20" s="78">
        <v>0</v>
      </c>
      <c r="E20" s="78">
        <v>0</v>
      </c>
      <c r="F20" s="78">
        <f>+$C$14</f>
        <v>0.5</v>
      </c>
      <c r="G20" s="78">
        <f>+$D$14</f>
        <v>0.2</v>
      </c>
      <c r="H20" s="78">
        <f>+$E$14</f>
        <v>0.2</v>
      </c>
      <c r="I20" s="78">
        <f>+$F$14</f>
        <v>0.1</v>
      </c>
      <c r="J20" s="78">
        <f>+$G$14</f>
        <v>0</v>
      </c>
      <c r="K20" s="78"/>
      <c r="L20" s="106"/>
      <c r="M20" s="106"/>
      <c r="N20" s="106"/>
    </row>
    <row r="21" spans="2:14" s="102" customFormat="1">
      <c r="B21" s="76" t="s">
        <v>8399</v>
      </c>
      <c r="C21" s="103"/>
      <c r="D21" s="103"/>
      <c r="E21" s="103"/>
      <c r="F21" s="78">
        <v>0</v>
      </c>
      <c r="G21" s="78">
        <f>+$C$13</f>
        <v>-1.0021959892412773E-2</v>
      </c>
      <c r="H21" s="78">
        <f>+$D$13</f>
        <v>-0.91467582202997832</v>
      </c>
      <c r="I21" s="78">
        <f>+$E$13</f>
        <v>-7.2445807755575756E-2</v>
      </c>
      <c r="J21" s="78">
        <f>+$F$13</f>
        <v>-2.8564103220331425E-3</v>
      </c>
      <c r="K21" s="78">
        <v>0</v>
      </c>
      <c r="L21" s="103"/>
      <c r="M21" s="103"/>
      <c r="N21" s="103"/>
    </row>
    <row r="22" spans="2:14" s="102" customFormat="1">
      <c r="B22" s="76" t="s">
        <v>8400</v>
      </c>
      <c r="C22" s="103"/>
      <c r="D22" s="103"/>
      <c r="E22" s="103"/>
      <c r="F22" s="103"/>
      <c r="G22" s="78">
        <f>+$C$14</f>
        <v>0.5</v>
      </c>
      <c r="H22" s="78">
        <f>+$D$14</f>
        <v>0.2</v>
      </c>
      <c r="I22" s="78">
        <f>+$E$14</f>
        <v>0.2</v>
      </c>
      <c r="J22" s="78">
        <f>+$F$14</f>
        <v>0.1</v>
      </c>
      <c r="K22" s="78">
        <f>+$G$14</f>
        <v>0</v>
      </c>
      <c r="L22" s="103"/>
      <c r="M22" s="103"/>
      <c r="N22" s="103"/>
    </row>
    <row r="23" spans="2:14" s="102" customFormat="1">
      <c r="B23" s="76" t="s">
        <v>8401</v>
      </c>
      <c r="C23" s="103"/>
      <c r="D23" s="103"/>
      <c r="E23" s="103"/>
      <c r="F23" s="103"/>
      <c r="G23" s="78">
        <v>0</v>
      </c>
      <c r="H23" s="78">
        <f>+$C$13</f>
        <v>-1.0021959892412773E-2</v>
      </c>
      <c r="I23" s="78">
        <f>+$D$13</f>
        <v>-0.91467582202997832</v>
      </c>
      <c r="J23" s="78">
        <f>+$E$13</f>
        <v>-7.2445807755575756E-2</v>
      </c>
      <c r="K23" s="78">
        <f>+$F$13</f>
        <v>-2.8564103220331425E-3</v>
      </c>
      <c r="L23" s="78">
        <v>0</v>
      </c>
      <c r="M23" s="103"/>
      <c r="N23" s="103"/>
    </row>
    <row r="24" spans="2:14" s="102" customFormat="1">
      <c r="B24" s="76" t="s">
        <v>8402</v>
      </c>
      <c r="C24" s="103"/>
      <c r="D24" s="103"/>
      <c r="E24" s="103"/>
      <c r="F24" s="103"/>
      <c r="G24" s="103"/>
      <c r="H24" s="78">
        <f>+$C$14</f>
        <v>0.5</v>
      </c>
      <c r="I24" s="78">
        <f>+$D$14</f>
        <v>0.2</v>
      </c>
      <c r="J24" s="78">
        <f>+$E$14</f>
        <v>0.2</v>
      </c>
      <c r="K24" s="78">
        <f>+$F$14</f>
        <v>0.1</v>
      </c>
      <c r="L24" s="78">
        <f>+$G$14</f>
        <v>0</v>
      </c>
      <c r="M24" s="103"/>
      <c r="N24" s="103"/>
    </row>
    <row r="25" spans="2:14" s="102" customFormat="1">
      <c r="B25" s="76" t="s">
        <v>8403</v>
      </c>
      <c r="C25" s="103"/>
      <c r="D25" s="103"/>
      <c r="E25" s="103"/>
      <c r="F25" s="103"/>
      <c r="G25" s="103"/>
      <c r="H25" s="78">
        <v>0</v>
      </c>
      <c r="I25" s="78">
        <f>+$C$13</f>
        <v>-1.0021959892412773E-2</v>
      </c>
      <c r="J25" s="78">
        <f>+$D$13</f>
        <v>-0.91467582202997832</v>
      </c>
      <c r="K25" s="78">
        <f>+$E$13</f>
        <v>-7.2445807755575756E-2</v>
      </c>
      <c r="L25" s="78">
        <f>+$F$13</f>
        <v>-2.8564103220331425E-3</v>
      </c>
      <c r="M25" s="78">
        <v>0</v>
      </c>
      <c r="N25" s="103"/>
    </row>
    <row r="26" spans="2:14" s="102" customFormat="1">
      <c r="B26" s="76" t="s">
        <v>8404</v>
      </c>
      <c r="C26" s="103"/>
      <c r="D26" s="103"/>
      <c r="E26" s="103"/>
      <c r="F26" s="103"/>
      <c r="G26" s="103"/>
      <c r="H26" s="103"/>
      <c r="I26" s="78">
        <f>+$C$14</f>
        <v>0.5</v>
      </c>
      <c r="J26" s="78">
        <f>+$D$14</f>
        <v>0.2</v>
      </c>
      <c r="K26" s="78">
        <f>+$E$14</f>
        <v>0.2</v>
      </c>
      <c r="L26" s="78">
        <f>+$F$14</f>
        <v>0.1</v>
      </c>
      <c r="M26" s="78">
        <f>+$G$14</f>
        <v>0</v>
      </c>
      <c r="N26" s="103"/>
    </row>
    <row r="27" spans="2:14" s="102" customFormat="1">
      <c r="B27" s="76" t="s">
        <v>8405</v>
      </c>
      <c r="C27" s="103"/>
      <c r="D27" s="103"/>
      <c r="E27" s="103"/>
      <c r="F27" s="103"/>
      <c r="G27" s="103"/>
      <c r="H27" s="103"/>
      <c r="I27" s="78">
        <v>0</v>
      </c>
      <c r="J27" s="78">
        <f>+$C$13</f>
        <v>-1.0021959892412773E-2</v>
      </c>
      <c r="K27" s="78">
        <f>+$D$13</f>
        <v>-0.91467582202997832</v>
      </c>
      <c r="L27" s="78">
        <f>+$E$13</f>
        <v>-7.2445807755575756E-2</v>
      </c>
      <c r="M27" s="78">
        <f>+$F$13</f>
        <v>-2.8564103220331425E-3</v>
      </c>
      <c r="N27" s="78">
        <v>0</v>
      </c>
    </row>
    <row r="28" spans="2:14" s="102" customFormat="1">
      <c r="B28" s="76" t="s">
        <v>8406</v>
      </c>
      <c r="C28" s="103"/>
      <c r="D28" s="103"/>
      <c r="E28" s="103"/>
      <c r="F28" s="103"/>
      <c r="G28" s="103"/>
      <c r="H28" s="103"/>
      <c r="I28" s="103"/>
      <c r="J28" s="78">
        <f>+$C$14</f>
        <v>0.5</v>
      </c>
      <c r="K28" s="78">
        <f>+$D$14</f>
        <v>0.2</v>
      </c>
      <c r="L28" s="78">
        <f>+$E$14</f>
        <v>0.2</v>
      </c>
      <c r="M28" s="78">
        <f>+$F$14</f>
        <v>0.1</v>
      </c>
      <c r="N28" s="78">
        <f>+$G$14</f>
        <v>0</v>
      </c>
    </row>
    <row r="29" spans="2:14" s="102" customFormat="1">
      <c r="B29" s="76" t="s">
        <v>8407</v>
      </c>
      <c r="C29" s="103"/>
      <c r="D29" s="103"/>
      <c r="E29" s="103"/>
      <c r="F29" s="103"/>
      <c r="G29" s="103"/>
      <c r="H29" s="103"/>
      <c r="I29" s="103"/>
      <c r="J29" s="78">
        <v>0</v>
      </c>
      <c r="K29" s="78">
        <f>+$C$13</f>
        <v>-1.0021959892412773E-2</v>
      </c>
      <c r="L29" s="78">
        <f>+$D$13</f>
        <v>-0.91467582202997832</v>
      </c>
      <c r="M29" s="78">
        <f>+$E$13</f>
        <v>-7.2445807755575756E-2</v>
      </c>
      <c r="N29" s="78">
        <f>+$F$13</f>
        <v>-2.8564103220331425E-3</v>
      </c>
    </row>
    <row r="30" spans="2:14" s="102" customFormat="1">
      <c r="B30" s="76" t="s">
        <v>8408</v>
      </c>
      <c r="C30" s="103"/>
      <c r="D30" s="103"/>
      <c r="E30" s="103"/>
      <c r="F30" s="103"/>
      <c r="G30" s="103"/>
      <c r="H30" s="103"/>
      <c r="I30" s="103"/>
      <c r="J30" s="103"/>
      <c r="K30" s="78">
        <f>+$C$14</f>
        <v>0.5</v>
      </c>
      <c r="L30" s="78">
        <f>+$D$14</f>
        <v>0.2</v>
      </c>
      <c r="M30" s="78">
        <f>+$E$14</f>
        <v>0.2</v>
      </c>
      <c r="N30" s="78">
        <f>+$F$14</f>
        <v>0.1</v>
      </c>
    </row>
    <row r="31" spans="2:14" s="102" customFormat="1">
      <c r="B31" s="76" t="s">
        <v>8409</v>
      </c>
      <c r="C31" s="103"/>
      <c r="D31" s="103"/>
      <c r="E31" s="103"/>
      <c r="F31" s="103"/>
      <c r="G31" s="103"/>
      <c r="H31" s="103"/>
      <c r="I31" s="103"/>
      <c r="J31" s="103"/>
      <c r="K31" s="78">
        <v>0</v>
      </c>
      <c r="L31" s="78">
        <f>+$C$13</f>
        <v>-1.0021959892412773E-2</v>
      </c>
      <c r="M31" s="78">
        <f>+$D$13</f>
        <v>-0.91467582202997832</v>
      </c>
      <c r="N31" s="78">
        <f>+$E$13</f>
        <v>-7.2445807755575756E-2</v>
      </c>
    </row>
    <row r="32" spans="2:14" s="102" customFormat="1">
      <c r="B32" s="76" t="s">
        <v>8410</v>
      </c>
      <c r="C32" s="103"/>
      <c r="D32" s="103"/>
      <c r="E32" s="103"/>
      <c r="F32" s="103"/>
      <c r="G32" s="103"/>
      <c r="H32" s="103"/>
      <c r="I32" s="103"/>
      <c r="J32" s="103"/>
      <c r="K32" s="103"/>
      <c r="L32" s="78">
        <f>+$C$14</f>
        <v>0.5</v>
      </c>
      <c r="M32" s="78">
        <f>+$D$14</f>
        <v>0.2</v>
      </c>
      <c r="N32" s="78">
        <f>+$E$14</f>
        <v>0.2</v>
      </c>
    </row>
    <row r="33" spans="2:14" s="102" customFormat="1">
      <c r="B33" s="76" t="s">
        <v>8411</v>
      </c>
      <c r="C33" s="103"/>
      <c r="D33" s="103"/>
      <c r="E33" s="103"/>
      <c r="F33" s="103"/>
      <c r="G33" s="103"/>
      <c r="H33" s="103"/>
      <c r="I33" s="103"/>
      <c r="J33" s="103"/>
      <c r="K33" s="103"/>
      <c r="L33" s="78">
        <v>0</v>
      </c>
      <c r="M33" s="78">
        <f>+$C$13</f>
        <v>-1.0021959892412773E-2</v>
      </c>
      <c r="N33" s="78">
        <f>+$D$13</f>
        <v>-0.91467582202997832</v>
      </c>
    </row>
    <row r="34" spans="2:14" s="102" customFormat="1">
      <c r="B34" s="76" t="s">
        <v>8412</v>
      </c>
      <c r="C34" s="103"/>
      <c r="D34" s="103"/>
      <c r="E34" s="103"/>
      <c r="F34" s="103"/>
      <c r="G34" s="103"/>
      <c r="H34" s="103"/>
      <c r="I34" s="103"/>
      <c r="J34" s="103"/>
      <c r="K34" s="103"/>
      <c r="L34" s="78"/>
      <c r="M34" s="78">
        <f>+$C$14</f>
        <v>0.5</v>
      </c>
      <c r="N34" s="78">
        <f>+$D$14</f>
        <v>0.2</v>
      </c>
    </row>
    <row r="35" spans="2:14" s="102" customFormat="1">
      <c r="B35" s="76" t="s">
        <v>8413</v>
      </c>
      <c r="C35" s="103"/>
      <c r="D35" s="103"/>
      <c r="E35" s="103"/>
      <c r="F35" s="103"/>
      <c r="G35" s="103"/>
      <c r="H35" s="103"/>
      <c r="I35" s="103"/>
      <c r="J35" s="103"/>
      <c r="K35" s="103"/>
      <c r="L35" s="78"/>
      <c r="M35" s="78"/>
      <c r="N35" s="78">
        <f>+$C$13</f>
        <v>-1.0021959892412773E-2</v>
      </c>
    </row>
    <row r="36" spans="2:14" s="102" customFormat="1">
      <c r="B36" s="76" t="s">
        <v>8414</v>
      </c>
      <c r="C36" s="103"/>
      <c r="D36" s="103"/>
      <c r="E36" s="103"/>
      <c r="F36" s="103"/>
      <c r="G36" s="103"/>
      <c r="H36" s="103"/>
      <c r="I36" s="103"/>
      <c r="J36" s="103"/>
      <c r="K36" s="103"/>
      <c r="L36" s="78"/>
      <c r="M36" s="78"/>
      <c r="N36" s="78">
        <f>+$C$14</f>
        <v>0.5</v>
      </c>
    </row>
    <row r="37" spans="2:14" s="102" customFormat="1">
      <c r="B37" s="76" t="s">
        <v>8415</v>
      </c>
      <c r="C37" s="103"/>
      <c r="D37" s="103"/>
      <c r="E37" s="103"/>
      <c r="F37" s="103"/>
      <c r="G37" s="103"/>
      <c r="H37" s="103"/>
      <c r="I37" s="103"/>
      <c r="J37" s="103"/>
      <c r="K37" s="103"/>
      <c r="L37" s="78"/>
      <c r="M37" s="78"/>
      <c r="N37" s="78"/>
    </row>
    <row r="38" spans="2:14" s="102" customFormat="1">
      <c r="B38" s="76" t="s">
        <v>8416</v>
      </c>
      <c r="C38" s="103"/>
      <c r="D38" s="103"/>
      <c r="E38" s="103"/>
      <c r="F38" s="103"/>
      <c r="G38" s="103"/>
      <c r="H38" s="103"/>
      <c r="I38" s="103"/>
      <c r="J38" s="103"/>
      <c r="K38" s="103"/>
      <c r="L38" s="78"/>
      <c r="M38" s="78"/>
      <c r="N38" s="78"/>
    </row>
    <row r="39" spans="2:14" s="102" customFormat="1">
      <c r="B39" s="76" t="s">
        <v>8417</v>
      </c>
      <c r="C39" s="103"/>
      <c r="D39" s="103"/>
      <c r="E39" s="103"/>
      <c r="F39" s="103"/>
      <c r="G39" s="103"/>
      <c r="H39" s="103"/>
      <c r="I39" s="103"/>
      <c r="J39" s="103"/>
      <c r="K39" s="103"/>
      <c r="L39" s="78"/>
      <c r="M39" s="78"/>
      <c r="N39" s="78"/>
    </row>
    <row r="40" spans="2:14" s="102" customFormat="1">
      <c r="B40" s="76" t="s">
        <v>8418</v>
      </c>
      <c r="C40" s="103"/>
      <c r="D40" s="103"/>
      <c r="E40" s="103"/>
      <c r="F40" s="103"/>
      <c r="G40" s="103"/>
      <c r="H40" s="103"/>
      <c r="I40" s="103"/>
      <c r="J40" s="103"/>
      <c r="K40" s="103"/>
      <c r="L40" s="78"/>
      <c r="M40" s="78"/>
      <c r="N40" s="78"/>
    </row>
    <row r="41" spans="2:14" s="102" customFormat="1">
      <c r="B41" s="76" t="s">
        <v>8419</v>
      </c>
      <c r="C41" s="103"/>
      <c r="D41" s="103"/>
      <c r="E41" s="103"/>
      <c r="F41" s="103"/>
      <c r="G41" s="103"/>
      <c r="H41" s="103"/>
      <c r="I41" s="103"/>
      <c r="J41" s="103"/>
      <c r="K41" s="103"/>
      <c r="L41" s="78"/>
      <c r="M41" s="78"/>
      <c r="N41" s="78"/>
    </row>
    <row r="42" spans="2:14" s="102" customFormat="1">
      <c r="B42" s="76" t="s">
        <v>8420</v>
      </c>
      <c r="C42" s="103"/>
      <c r="D42" s="103"/>
      <c r="E42" s="103"/>
      <c r="F42" s="103"/>
      <c r="G42" s="103"/>
      <c r="H42" s="103"/>
      <c r="I42" s="103"/>
      <c r="J42" s="103"/>
      <c r="K42" s="103"/>
      <c r="L42" s="78"/>
      <c r="M42" s="78"/>
      <c r="N42" s="78"/>
    </row>
    <row r="43" spans="2:14" s="102" customFormat="1">
      <c r="B43" s="76" t="s">
        <v>8421</v>
      </c>
      <c r="C43" s="103"/>
      <c r="D43" s="103"/>
      <c r="E43" s="103"/>
      <c r="F43" s="103"/>
      <c r="G43" s="103"/>
      <c r="H43" s="103"/>
      <c r="I43" s="103"/>
      <c r="J43" s="103"/>
      <c r="K43" s="103"/>
      <c r="L43" s="78"/>
      <c r="M43" s="78"/>
      <c r="N43" s="78"/>
    </row>
    <row r="44" spans="2:14" s="102" customFormat="1">
      <c r="B44" s="76" t="s">
        <v>8422</v>
      </c>
      <c r="C44" s="103"/>
      <c r="D44" s="103"/>
      <c r="E44" s="103"/>
      <c r="F44" s="103"/>
      <c r="G44" s="103"/>
      <c r="H44" s="103"/>
      <c r="I44" s="103"/>
      <c r="J44" s="103"/>
      <c r="K44" s="103"/>
      <c r="L44" s="78"/>
      <c r="M44" s="78"/>
      <c r="N44" s="78"/>
    </row>
    <row r="45" spans="2:14" s="102" customFormat="1"/>
    <row r="46" spans="2:14">
      <c r="C46" s="1182" t="s">
        <v>8423</v>
      </c>
      <c r="D46" s="1183"/>
      <c r="E46" s="1183"/>
      <c r="F46" s="1183"/>
      <c r="G46" s="1183"/>
      <c r="H46" s="1183"/>
      <c r="I46" s="1183"/>
      <c r="J46" s="1183"/>
      <c r="K46" s="1183"/>
      <c r="L46" s="1183"/>
      <c r="M46" s="1183"/>
      <c r="N46" s="1183"/>
    </row>
    <row r="47" spans="2:14">
      <c r="B47" s="106"/>
      <c r="C47" s="77">
        <v>45078</v>
      </c>
      <c r="D47" s="77">
        <v>45108</v>
      </c>
      <c r="E47" s="77">
        <v>45139</v>
      </c>
      <c r="F47" s="77">
        <v>45170</v>
      </c>
      <c r="G47" s="77">
        <v>45200</v>
      </c>
      <c r="H47" s="77">
        <v>45231</v>
      </c>
      <c r="I47" s="77">
        <v>45261</v>
      </c>
      <c r="J47" s="77">
        <v>45292</v>
      </c>
      <c r="K47" s="77">
        <v>45323</v>
      </c>
      <c r="L47" s="77">
        <v>45352</v>
      </c>
      <c r="M47" s="77">
        <v>45383</v>
      </c>
      <c r="N47" s="77">
        <v>45413</v>
      </c>
    </row>
    <row r="48" spans="2:14">
      <c r="B48" s="76" t="s">
        <v>8391</v>
      </c>
      <c r="C48" s="75">
        <f>+C13*$F$5</f>
        <v>0</v>
      </c>
      <c r="D48" s="75">
        <f t="shared" ref="D48:N48" si="2">+D13*$F$5</f>
        <v>0</v>
      </c>
      <c r="E48" s="75">
        <f t="shared" si="2"/>
        <v>0</v>
      </c>
      <c r="F48" s="75">
        <f t="shared" si="2"/>
        <v>0</v>
      </c>
      <c r="G48" s="75">
        <f t="shared" si="2"/>
        <v>0</v>
      </c>
      <c r="H48" s="75">
        <f t="shared" si="2"/>
        <v>0</v>
      </c>
      <c r="I48" s="75">
        <f t="shared" si="2"/>
        <v>0</v>
      </c>
      <c r="J48" s="75">
        <f t="shared" si="2"/>
        <v>0</v>
      </c>
      <c r="K48" s="75">
        <f t="shared" si="2"/>
        <v>0</v>
      </c>
      <c r="L48" s="75">
        <f t="shared" si="2"/>
        <v>0</v>
      </c>
      <c r="M48" s="75">
        <f t="shared" si="2"/>
        <v>0</v>
      </c>
      <c r="N48" s="75">
        <f t="shared" si="2"/>
        <v>0</v>
      </c>
    </row>
    <row r="49" spans="2:14">
      <c r="B49" s="76" t="s">
        <v>8392</v>
      </c>
      <c r="C49" s="75">
        <f>+C14*$F$4</f>
        <v>0</v>
      </c>
      <c r="D49" s="75">
        <f t="shared" ref="D49:N49" si="3">+D14*$F$4</f>
        <v>0</v>
      </c>
      <c r="E49" s="75">
        <f t="shared" si="3"/>
        <v>0</v>
      </c>
      <c r="F49" s="75">
        <f t="shared" si="3"/>
        <v>0</v>
      </c>
      <c r="G49" s="75">
        <f t="shared" si="3"/>
        <v>0</v>
      </c>
      <c r="H49" s="75">
        <f t="shared" si="3"/>
        <v>0</v>
      </c>
      <c r="I49" s="75">
        <f t="shared" si="3"/>
        <v>0</v>
      </c>
      <c r="J49" s="75">
        <f t="shared" si="3"/>
        <v>0</v>
      </c>
      <c r="K49" s="75">
        <f t="shared" si="3"/>
        <v>0</v>
      </c>
      <c r="L49" s="75">
        <f t="shared" si="3"/>
        <v>0</v>
      </c>
      <c r="M49" s="75">
        <f t="shared" si="3"/>
        <v>0</v>
      </c>
      <c r="N49" s="75">
        <f t="shared" si="3"/>
        <v>0</v>
      </c>
    </row>
    <row r="50" spans="2:14">
      <c r="B50" s="76" t="s">
        <v>8393</v>
      </c>
      <c r="C50" s="75">
        <f>+C15*$G$5</f>
        <v>0</v>
      </c>
      <c r="D50" s="75">
        <f t="shared" ref="D50:N50" si="4">+D15*$G$5</f>
        <v>0</v>
      </c>
      <c r="E50" s="75">
        <f t="shared" si="4"/>
        <v>0</v>
      </c>
      <c r="F50" s="75">
        <f t="shared" si="4"/>
        <v>0</v>
      </c>
      <c r="G50" s="75">
        <f t="shared" si="4"/>
        <v>0</v>
      </c>
      <c r="H50" s="75">
        <f t="shared" si="4"/>
        <v>0</v>
      </c>
      <c r="I50" s="75">
        <f t="shared" si="4"/>
        <v>0</v>
      </c>
      <c r="J50" s="75">
        <f t="shared" si="4"/>
        <v>0</v>
      </c>
      <c r="K50" s="75">
        <f t="shared" si="4"/>
        <v>0</v>
      </c>
      <c r="L50" s="75">
        <f t="shared" si="4"/>
        <v>0</v>
      </c>
      <c r="M50" s="75">
        <f t="shared" si="4"/>
        <v>0</v>
      </c>
      <c r="N50" s="75">
        <f t="shared" si="4"/>
        <v>0</v>
      </c>
    </row>
    <row r="51" spans="2:14">
      <c r="B51" s="76" t="s">
        <v>8394</v>
      </c>
      <c r="C51" s="75">
        <f>+C16*$G$4</f>
        <v>0</v>
      </c>
      <c r="D51" s="75">
        <f t="shared" ref="D51:N51" si="5">+D16*$G$4</f>
        <v>0</v>
      </c>
      <c r="E51" s="75">
        <f t="shared" si="5"/>
        <v>0</v>
      </c>
      <c r="F51" s="75">
        <f t="shared" si="5"/>
        <v>0</v>
      </c>
      <c r="G51" s="75">
        <f t="shared" si="5"/>
        <v>0</v>
      </c>
      <c r="H51" s="75">
        <f t="shared" si="5"/>
        <v>0</v>
      </c>
      <c r="I51" s="75">
        <f t="shared" si="5"/>
        <v>0</v>
      </c>
      <c r="J51" s="75">
        <f t="shared" si="5"/>
        <v>0</v>
      </c>
      <c r="K51" s="75">
        <f t="shared" si="5"/>
        <v>0</v>
      </c>
      <c r="L51" s="75">
        <f t="shared" si="5"/>
        <v>0</v>
      </c>
      <c r="M51" s="75">
        <f t="shared" si="5"/>
        <v>0</v>
      </c>
      <c r="N51" s="75">
        <f t="shared" si="5"/>
        <v>0</v>
      </c>
    </row>
    <row r="52" spans="2:14">
      <c r="B52" s="76" t="s">
        <v>8395</v>
      </c>
      <c r="C52" s="75">
        <f>+C17*$H$5</f>
        <v>0</v>
      </c>
      <c r="D52" s="75">
        <f t="shared" ref="D52:N52" si="6">+D17*$H$5</f>
        <v>0</v>
      </c>
      <c r="E52" s="75">
        <f t="shared" si="6"/>
        <v>-2630764.4717583526</v>
      </c>
      <c r="F52" s="75">
        <f t="shared" si="6"/>
        <v>-240102403.28286931</v>
      </c>
      <c r="G52" s="75">
        <f t="shared" si="6"/>
        <v>-19017024.535838638</v>
      </c>
      <c r="H52" s="75">
        <f t="shared" si="6"/>
        <v>-749807.7095336999</v>
      </c>
      <c r="I52" s="75">
        <f t="shared" si="6"/>
        <v>0</v>
      </c>
      <c r="J52" s="75">
        <f t="shared" si="6"/>
        <v>0</v>
      </c>
      <c r="K52" s="75">
        <f t="shared" si="6"/>
        <v>0</v>
      </c>
      <c r="L52" s="75">
        <f t="shared" si="6"/>
        <v>0</v>
      </c>
      <c r="M52" s="75">
        <f t="shared" si="6"/>
        <v>0</v>
      </c>
      <c r="N52" s="75">
        <f t="shared" si="6"/>
        <v>0</v>
      </c>
    </row>
    <row r="53" spans="2:14">
      <c r="B53" s="76" t="s">
        <v>8396</v>
      </c>
      <c r="C53" s="75">
        <f>+C18*$H$4</f>
        <v>0</v>
      </c>
      <c r="D53" s="75">
        <f t="shared" ref="D53:N53" si="7">+D18*$H$4</f>
        <v>0</v>
      </c>
      <c r="E53" s="75">
        <f t="shared" si="7"/>
        <v>175000000</v>
      </c>
      <c r="F53" s="75">
        <f t="shared" si="7"/>
        <v>70000000</v>
      </c>
      <c r="G53" s="75">
        <f t="shared" si="7"/>
        <v>70000000</v>
      </c>
      <c r="H53" s="75">
        <f t="shared" si="7"/>
        <v>35000000</v>
      </c>
      <c r="I53" s="75">
        <f t="shared" si="7"/>
        <v>0</v>
      </c>
      <c r="J53" s="75">
        <f t="shared" si="7"/>
        <v>0</v>
      </c>
      <c r="K53" s="75">
        <f t="shared" si="7"/>
        <v>0</v>
      </c>
      <c r="L53" s="75">
        <f t="shared" si="7"/>
        <v>0</v>
      </c>
      <c r="M53" s="75">
        <f t="shared" si="7"/>
        <v>0</v>
      </c>
      <c r="N53" s="75">
        <f t="shared" si="7"/>
        <v>0</v>
      </c>
    </row>
    <row r="54" spans="2:14">
      <c r="B54" s="76" t="s">
        <v>8397</v>
      </c>
      <c r="C54" s="75">
        <f>+C19*$I$5</f>
        <v>0</v>
      </c>
      <c r="D54" s="75">
        <f t="shared" ref="D54:N54" si="8">+D19*$I$5</f>
        <v>0</v>
      </c>
      <c r="E54" s="75">
        <f t="shared" si="8"/>
        <v>0</v>
      </c>
      <c r="F54" s="75">
        <f t="shared" si="8"/>
        <v>-2630764.4717583526</v>
      </c>
      <c r="G54" s="75">
        <f t="shared" si="8"/>
        <v>-240102403.28286931</v>
      </c>
      <c r="H54" s="75">
        <f t="shared" si="8"/>
        <v>-19017024.535838638</v>
      </c>
      <c r="I54" s="75">
        <f t="shared" si="8"/>
        <v>-749807.7095336999</v>
      </c>
      <c r="J54" s="75">
        <f t="shared" si="8"/>
        <v>0</v>
      </c>
      <c r="K54" s="75">
        <f t="shared" si="8"/>
        <v>0</v>
      </c>
      <c r="L54" s="75">
        <f t="shared" si="8"/>
        <v>0</v>
      </c>
      <c r="M54" s="75">
        <f t="shared" si="8"/>
        <v>0</v>
      </c>
      <c r="N54" s="75">
        <f t="shared" si="8"/>
        <v>0</v>
      </c>
    </row>
    <row r="55" spans="2:14">
      <c r="B55" s="76" t="s">
        <v>8398</v>
      </c>
      <c r="C55" s="75">
        <f>+C20*$I$4</f>
        <v>0</v>
      </c>
      <c r="D55" s="75">
        <f t="shared" ref="D55:N55" si="9">+D20*$I$4</f>
        <v>0</v>
      </c>
      <c r="E55" s="75">
        <f t="shared" si="9"/>
        <v>0</v>
      </c>
      <c r="F55" s="75">
        <f t="shared" si="9"/>
        <v>175000000</v>
      </c>
      <c r="G55" s="75">
        <f t="shared" si="9"/>
        <v>70000000</v>
      </c>
      <c r="H55" s="75">
        <f t="shared" si="9"/>
        <v>70000000</v>
      </c>
      <c r="I55" s="75">
        <f t="shared" si="9"/>
        <v>35000000</v>
      </c>
      <c r="J55" s="75">
        <f t="shared" si="9"/>
        <v>0</v>
      </c>
      <c r="K55" s="75">
        <f t="shared" si="9"/>
        <v>0</v>
      </c>
      <c r="L55" s="75">
        <f t="shared" si="9"/>
        <v>0</v>
      </c>
      <c r="M55" s="75">
        <f t="shared" si="9"/>
        <v>0</v>
      </c>
      <c r="N55" s="75">
        <f t="shared" si="9"/>
        <v>0</v>
      </c>
    </row>
    <row r="56" spans="2:14">
      <c r="B56" s="76" t="s">
        <v>8399</v>
      </c>
      <c r="C56" s="75">
        <f>+C21*$J$5</f>
        <v>0</v>
      </c>
      <c r="D56" s="75">
        <f t="shared" ref="D56:N56" si="10">+D21*$J$5</f>
        <v>0</v>
      </c>
      <c r="E56" s="75">
        <f t="shared" si="10"/>
        <v>0</v>
      </c>
      <c r="F56" s="75">
        <f t="shared" si="10"/>
        <v>0</v>
      </c>
      <c r="G56" s="75">
        <f t="shared" si="10"/>
        <v>-2630764.4717583526</v>
      </c>
      <c r="H56" s="75">
        <f t="shared" si="10"/>
        <v>-240102403.28286931</v>
      </c>
      <c r="I56" s="75">
        <f t="shared" si="10"/>
        <v>-19017024.535838638</v>
      </c>
      <c r="J56" s="75">
        <f t="shared" si="10"/>
        <v>-749807.7095336999</v>
      </c>
      <c r="K56" s="75">
        <f t="shared" si="10"/>
        <v>0</v>
      </c>
      <c r="L56" s="75">
        <f t="shared" si="10"/>
        <v>0</v>
      </c>
      <c r="M56" s="75">
        <f t="shared" si="10"/>
        <v>0</v>
      </c>
      <c r="N56" s="75">
        <f t="shared" si="10"/>
        <v>0</v>
      </c>
    </row>
    <row r="57" spans="2:14">
      <c r="B57" s="76" t="s">
        <v>8400</v>
      </c>
      <c r="C57" s="75">
        <f>+C22*$J$4</f>
        <v>0</v>
      </c>
      <c r="D57" s="75">
        <f t="shared" ref="D57:N57" si="11">+D22*$J$4</f>
        <v>0</v>
      </c>
      <c r="E57" s="75">
        <f t="shared" si="11"/>
        <v>0</v>
      </c>
      <c r="F57" s="75">
        <f t="shared" si="11"/>
        <v>0</v>
      </c>
      <c r="G57" s="75">
        <f t="shared" si="11"/>
        <v>175000000</v>
      </c>
      <c r="H57" s="75">
        <f t="shared" si="11"/>
        <v>70000000</v>
      </c>
      <c r="I57" s="75">
        <f t="shared" si="11"/>
        <v>70000000</v>
      </c>
      <c r="J57" s="75">
        <f t="shared" si="11"/>
        <v>35000000</v>
      </c>
      <c r="K57" s="75">
        <f t="shared" si="11"/>
        <v>0</v>
      </c>
      <c r="L57" s="75">
        <f t="shared" si="11"/>
        <v>0</v>
      </c>
      <c r="M57" s="75">
        <f t="shared" si="11"/>
        <v>0</v>
      </c>
      <c r="N57" s="75">
        <f t="shared" si="11"/>
        <v>0</v>
      </c>
    </row>
    <row r="58" spans="2:14">
      <c r="B58" s="76" t="s">
        <v>8401</v>
      </c>
      <c r="C58" s="75">
        <f>+C23*$K$5</f>
        <v>0</v>
      </c>
      <c r="D58" s="75">
        <f t="shared" ref="D58:N58" si="12">+D23*$K$5</f>
        <v>0</v>
      </c>
      <c r="E58" s="75">
        <f t="shared" si="12"/>
        <v>0</v>
      </c>
      <c r="F58" s="75">
        <f t="shared" si="12"/>
        <v>0</v>
      </c>
      <c r="G58" s="75">
        <f t="shared" si="12"/>
        <v>0</v>
      </c>
      <c r="H58" s="75">
        <f t="shared" si="12"/>
        <v>-2630764.4717583526</v>
      </c>
      <c r="I58" s="75">
        <f t="shared" si="12"/>
        <v>-240102403.28286931</v>
      </c>
      <c r="J58" s="75">
        <f t="shared" si="12"/>
        <v>-19017024.535838638</v>
      </c>
      <c r="K58" s="75">
        <f t="shared" si="12"/>
        <v>-749807.7095336999</v>
      </c>
      <c r="L58" s="75">
        <f t="shared" si="12"/>
        <v>0</v>
      </c>
      <c r="M58" s="75">
        <f t="shared" si="12"/>
        <v>0</v>
      </c>
      <c r="N58" s="75">
        <f t="shared" si="12"/>
        <v>0</v>
      </c>
    </row>
    <row r="59" spans="2:14">
      <c r="B59" s="76" t="s">
        <v>8402</v>
      </c>
      <c r="C59" s="75">
        <f>+C24*$K$4</f>
        <v>0</v>
      </c>
      <c r="D59" s="75">
        <f t="shared" ref="D59:N59" si="13">+D24*$K$4</f>
        <v>0</v>
      </c>
      <c r="E59" s="75">
        <f t="shared" si="13"/>
        <v>0</v>
      </c>
      <c r="F59" s="75">
        <f t="shared" si="13"/>
        <v>0</v>
      </c>
      <c r="G59" s="75">
        <f t="shared" si="13"/>
        <v>0</v>
      </c>
      <c r="H59" s="75">
        <f t="shared" si="13"/>
        <v>175000000</v>
      </c>
      <c r="I59" s="75">
        <f t="shared" si="13"/>
        <v>70000000</v>
      </c>
      <c r="J59" s="75">
        <f t="shared" si="13"/>
        <v>70000000</v>
      </c>
      <c r="K59" s="75">
        <f t="shared" si="13"/>
        <v>35000000</v>
      </c>
      <c r="L59" s="75">
        <f t="shared" si="13"/>
        <v>0</v>
      </c>
      <c r="M59" s="75">
        <f t="shared" si="13"/>
        <v>0</v>
      </c>
      <c r="N59" s="75">
        <f t="shared" si="13"/>
        <v>0</v>
      </c>
    </row>
    <row r="60" spans="2:14">
      <c r="B60" s="76" t="s">
        <v>8403</v>
      </c>
      <c r="C60" s="75">
        <f>+C25*$L$5</f>
        <v>0</v>
      </c>
      <c r="D60" s="75">
        <f t="shared" ref="D60:N60" si="14">+D25*$L$5</f>
        <v>0</v>
      </c>
      <c r="E60" s="75">
        <f t="shared" si="14"/>
        <v>0</v>
      </c>
      <c r="F60" s="75">
        <f t="shared" si="14"/>
        <v>0</v>
      </c>
      <c r="G60" s="75">
        <f t="shared" si="14"/>
        <v>0</v>
      </c>
      <c r="H60" s="75">
        <f t="shared" si="14"/>
        <v>0</v>
      </c>
      <c r="I60" s="75">
        <f t="shared" si="14"/>
        <v>-2630764.4717583526</v>
      </c>
      <c r="J60" s="75">
        <f t="shared" si="14"/>
        <v>-240102403.28286931</v>
      </c>
      <c r="K60" s="75">
        <f t="shared" si="14"/>
        <v>-19017024.535838638</v>
      </c>
      <c r="L60" s="75">
        <f t="shared" si="14"/>
        <v>-749807.7095336999</v>
      </c>
      <c r="M60" s="75">
        <f t="shared" si="14"/>
        <v>0</v>
      </c>
      <c r="N60" s="75">
        <f t="shared" si="14"/>
        <v>0</v>
      </c>
    </row>
    <row r="61" spans="2:14">
      <c r="B61" s="76" t="s">
        <v>8404</v>
      </c>
      <c r="C61" s="75">
        <f>+C26*$L$4</f>
        <v>0</v>
      </c>
      <c r="D61" s="75">
        <f t="shared" ref="D61:N61" si="15">+D26*$L$4</f>
        <v>0</v>
      </c>
      <c r="E61" s="75">
        <f t="shared" si="15"/>
        <v>0</v>
      </c>
      <c r="F61" s="75">
        <f t="shared" si="15"/>
        <v>0</v>
      </c>
      <c r="G61" s="75">
        <f t="shared" si="15"/>
        <v>0</v>
      </c>
      <c r="H61" s="75">
        <f t="shared" si="15"/>
        <v>0</v>
      </c>
      <c r="I61" s="75">
        <f t="shared" si="15"/>
        <v>175000000</v>
      </c>
      <c r="J61" s="75">
        <f t="shared" si="15"/>
        <v>70000000</v>
      </c>
      <c r="K61" s="75">
        <f t="shared" si="15"/>
        <v>70000000</v>
      </c>
      <c r="L61" s="75">
        <f t="shared" si="15"/>
        <v>35000000</v>
      </c>
      <c r="M61" s="75">
        <f t="shared" si="15"/>
        <v>0</v>
      </c>
      <c r="N61" s="75">
        <f t="shared" si="15"/>
        <v>0</v>
      </c>
    </row>
    <row r="62" spans="2:14">
      <c r="B62" s="76" t="s">
        <v>8405</v>
      </c>
      <c r="C62" s="75">
        <f>+C27*$M$5</f>
        <v>0</v>
      </c>
      <c r="D62" s="75">
        <f t="shared" ref="D62:N62" si="16">+D27*$M$5</f>
        <v>0</v>
      </c>
      <c r="E62" s="75">
        <f t="shared" si="16"/>
        <v>0</v>
      </c>
      <c r="F62" s="75">
        <f t="shared" si="16"/>
        <v>0</v>
      </c>
      <c r="G62" s="75">
        <f t="shared" si="16"/>
        <v>0</v>
      </c>
      <c r="H62" s="75">
        <f t="shared" si="16"/>
        <v>0</v>
      </c>
      <c r="I62" s="75">
        <f t="shared" si="16"/>
        <v>0</v>
      </c>
      <c r="J62" s="75">
        <f t="shared" si="16"/>
        <v>-2630764.4717583526</v>
      </c>
      <c r="K62" s="75">
        <f t="shared" si="16"/>
        <v>-240102403.28286931</v>
      </c>
      <c r="L62" s="75">
        <f t="shared" si="16"/>
        <v>-19017024.535838638</v>
      </c>
      <c r="M62" s="75">
        <f t="shared" si="16"/>
        <v>-749807.7095336999</v>
      </c>
      <c r="N62" s="75">
        <f t="shared" si="16"/>
        <v>0</v>
      </c>
    </row>
    <row r="63" spans="2:14">
      <c r="B63" s="76" t="s">
        <v>8406</v>
      </c>
      <c r="C63" s="75">
        <f>+C28*$M$4</f>
        <v>0</v>
      </c>
      <c r="D63" s="75">
        <f t="shared" ref="D63:N63" si="17">+D28*$M$4</f>
        <v>0</v>
      </c>
      <c r="E63" s="75">
        <f t="shared" si="17"/>
        <v>0</v>
      </c>
      <c r="F63" s="75">
        <f t="shared" si="17"/>
        <v>0</v>
      </c>
      <c r="G63" s="75">
        <f t="shared" si="17"/>
        <v>0</v>
      </c>
      <c r="H63" s="75">
        <f t="shared" si="17"/>
        <v>0</v>
      </c>
      <c r="I63" s="75">
        <f t="shared" si="17"/>
        <v>0</v>
      </c>
      <c r="J63" s="75">
        <f t="shared" si="17"/>
        <v>175000000</v>
      </c>
      <c r="K63" s="75">
        <f t="shared" si="17"/>
        <v>70000000</v>
      </c>
      <c r="L63" s="75">
        <f t="shared" si="17"/>
        <v>70000000</v>
      </c>
      <c r="M63" s="75">
        <f t="shared" si="17"/>
        <v>35000000</v>
      </c>
      <c r="N63" s="75">
        <f t="shared" si="17"/>
        <v>0</v>
      </c>
    </row>
    <row r="64" spans="2:14">
      <c r="B64" s="76" t="s">
        <v>8407</v>
      </c>
      <c r="C64" s="75">
        <f>+C29*$N$5</f>
        <v>0</v>
      </c>
      <c r="D64" s="75">
        <f t="shared" ref="D64:N64" si="18">+D29*$N$5</f>
        <v>0</v>
      </c>
      <c r="E64" s="75">
        <f t="shared" si="18"/>
        <v>0</v>
      </c>
      <c r="F64" s="75">
        <f t="shared" si="18"/>
        <v>0</v>
      </c>
      <c r="G64" s="75">
        <f t="shared" si="18"/>
        <v>0</v>
      </c>
      <c r="H64" s="75">
        <f t="shared" si="18"/>
        <v>0</v>
      </c>
      <c r="I64" s="75">
        <f t="shared" si="18"/>
        <v>0</v>
      </c>
      <c r="J64" s="75">
        <f t="shared" si="18"/>
        <v>0</v>
      </c>
      <c r="K64" s="75">
        <f t="shared" si="18"/>
        <v>-2630764.4717583526</v>
      </c>
      <c r="L64" s="75">
        <f t="shared" si="18"/>
        <v>-240102403.28286931</v>
      </c>
      <c r="M64" s="75">
        <f t="shared" si="18"/>
        <v>-19017024.535838638</v>
      </c>
      <c r="N64" s="75">
        <f t="shared" si="18"/>
        <v>-749807.7095336999</v>
      </c>
    </row>
    <row r="65" spans="2:14">
      <c r="B65" s="76" t="s">
        <v>8408</v>
      </c>
      <c r="C65" s="75">
        <f>+C30*$N$4</f>
        <v>0</v>
      </c>
      <c r="D65" s="75">
        <f t="shared" ref="D65:N65" si="19">+D30*$N$4</f>
        <v>0</v>
      </c>
      <c r="E65" s="75">
        <f t="shared" si="19"/>
        <v>0</v>
      </c>
      <c r="F65" s="75">
        <f t="shared" si="19"/>
        <v>0</v>
      </c>
      <c r="G65" s="75">
        <f t="shared" si="19"/>
        <v>0</v>
      </c>
      <c r="H65" s="75">
        <f t="shared" si="19"/>
        <v>0</v>
      </c>
      <c r="I65" s="75">
        <f t="shared" si="19"/>
        <v>0</v>
      </c>
      <c r="J65" s="75">
        <f t="shared" si="19"/>
        <v>0</v>
      </c>
      <c r="K65" s="75">
        <f t="shared" si="19"/>
        <v>175000000</v>
      </c>
      <c r="L65" s="75">
        <f t="shared" si="19"/>
        <v>70000000</v>
      </c>
      <c r="M65" s="75">
        <f t="shared" si="19"/>
        <v>70000000</v>
      </c>
      <c r="N65" s="75">
        <f t="shared" si="19"/>
        <v>35000000</v>
      </c>
    </row>
    <row r="66" spans="2:14">
      <c r="B66" s="101"/>
      <c r="C66" s="72"/>
      <c r="D66" s="72"/>
      <c r="E66" s="72"/>
      <c r="F66" s="72"/>
      <c r="G66" s="72"/>
      <c r="H66" s="72"/>
      <c r="I66" s="72"/>
      <c r="J66" s="72"/>
      <c r="K66" s="72"/>
    </row>
    <row r="67" spans="2:14">
      <c r="B67" s="101"/>
      <c r="C67" s="72"/>
      <c r="D67" s="72"/>
      <c r="E67" s="72"/>
      <c r="F67" s="72"/>
      <c r="G67" s="72"/>
      <c r="H67" s="72"/>
      <c r="I67" s="72"/>
      <c r="J67" s="72"/>
      <c r="K67" s="72"/>
    </row>
    <row r="68" spans="2:14">
      <c r="B68" s="388"/>
    </row>
    <row r="69" spans="2:14">
      <c r="B69" s="76" t="s">
        <v>8360</v>
      </c>
      <c r="C69" s="75">
        <f>-C48-C50-C52-C54-C56-C58-C60-C62-C64</f>
        <v>0</v>
      </c>
      <c r="D69" s="75">
        <f t="shared" ref="D69:N69" si="20">-D48-D50-D52-D54-D56-D58-D60-D62-D64</f>
        <v>0</v>
      </c>
      <c r="E69" s="75">
        <f t="shared" si="20"/>
        <v>2630764.4717583526</v>
      </c>
      <c r="F69" s="75">
        <f t="shared" si="20"/>
        <v>242733167.75462767</v>
      </c>
      <c r="G69" s="75">
        <f t="shared" si="20"/>
        <v>261750192.29046631</v>
      </c>
      <c r="H69" s="75">
        <f t="shared" si="20"/>
        <v>262500000</v>
      </c>
      <c r="I69" s="75">
        <f t="shared" si="20"/>
        <v>262500000</v>
      </c>
      <c r="J69" s="75">
        <f t="shared" si="20"/>
        <v>262500000</v>
      </c>
      <c r="K69" s="75">
        <f t="shared" si="20"/>
        <v>262500000</v>
      </c>
      <c r="L69" s="75">
        <f t="shared" si="20"/>
        <v>259869235.52824163</v>
      </c>
      <c r="M69" s="75">
        <f t="shared" si="20"/>
        <v>19766832.245372336</v>
      </c>
      <c r="N69" s="75">
        <f t="shared" si="20"/>
        <v>749807.7095336999</v>
      </c>
    </row>
    <row r="70" spans="2:14">
      <c r="B70" s="76" t="s">
        <v>8361</v>
      </c>
      <c r="C70" s="75">
        <f>+C49+C51+C53+C55+C57+C59+C61+C63+C65</f>
        <v>0</v>
      </c>
      <c r="D70" s="75">
        <f t="shared" ref="D70:N70" si="21">+D49+D51+D53+D55+D57+D59+D61+D63+D65</f>
        <v>0</v>
      </c>
      <c r="E70" s="75">
        <f t="shared" si="21"/>
        <v>175000000</v>
      </c>
      <c r="F70" s="75">
        <f t="shared" si="21"/>
        <v>245000000</v>
      </c>
      <c r="G70" s="75">
        <f t="shared" si="21"/>
        <v>315000000</v>
      </c>
      <c r="H70" s="75">
        <f t="shared" si="21"/>
        <v>350000000</v>
      </c>
      <c r="I70" s="75">
        <f t="shared" si="21"/>
        <v>350000000</v>
      </c>
      <c r="J70" s="75">
        <f t="shared" si="21"/>
        <v>350000000</v>
      </c>
      <c r="K70" s="75">
        <f t="shared" si="21"/>
        <v>350000000</v>
      </c>
      <c r="L70" s="75">
        <f t="shared" si="21"/>
        <v>175000000</v>
      </c>
      <c r="M70" s="75">
        <f t="shared" si="21"/>
        <v>105000000</v>
      </c>
      <c r="N70" s="75">
        <f t="shared" si="21"/>
        <v>35000000</v>
      </c>
    </row>
    <row r="71" spans="2:14">
      <c r="B71" s="76" t="s">
        <v>8362</v>
      </c>
      <c r="C71" s="75"/>
      <c r="D71" s="75"/>
      <c r="E71" s="75"/>
      <c r="F71" s="75">
        <f t="shared" ref="F71:N71" si="22">F5</f>
        <v>0</v>
      </c>
      <c r="G71" s="75">
        <f t="shared" si="22"/>
        <v>0</v>
      </c>
      <c r="H71" s="75">
        <f t="shared" si="22"/>
        <v>262500000</v>
      </c>
      <c r="I71" s="75">
        <f t="shared" si="22"/>
        <v>262500000</v>
      </c>
      <c r="J71" s="75">
        <f t="shared" si="22"/>
        <v>262500000</v>
      </c>
      <c r="K71" s="75">
        <f t="shared" si="22"/>
        <v>262500000</v>
      </c>
      <c r="L71" s="75">
        <f t="shared" si="22"/>
        <v>262500000</v>
      </c>
      <c r="M71" s="75">
        <f t="shared" si="22"/>
        <v>262500000</v>
      </c>
      <c r="N71" s="75">
        <f t="shared" si="22"/>
        <v>262500000</v>
      </c>
    </row>
    <row r="72" spans="2:14">
      <c r="B72" s="76"/>
      <c r="C72" s="75"/>
      <c r="D72" s="75"/>
      <c r="E72" s="75"/>
      <c r="F72" s="75">
        <f t="shared" ref="F72:N72" si="23">F4</f>
        <v>0</v>
      </c>
      <c r="G72" s="75">
        <f t="shared" si="23"/>
        <v>0</v>
      </c>
      <c r="H72" s="75">
        <f t="shared" si="23"/>
        <v>350000000</v>
      </c>
      <c r="I72" s="75">
        <f t="shared" si="23"/>
        <v>350000000</v>
      </c>
      <c r="J72" s="75">
        <f t="shared" si="23"/>
        <v>350000000</v>
      </c>
      <c r="K72" s="75">
        <f t="shared" si="23"/>
        <v>350000000</v>
      </c>
      <c r="L72" s="75">
        <f t="shared" si="23"/>
        <v>350000000</v>
      </c>
      <c r="M72" s="75">
        <f t="shared" si="23"/>
        <v>350000000</v>
      </c>
      <c r="N72" s="75">
        <f t="shared" si="23"/>
        <v>350000000</v>
      </c>
    </row>
    <row r="73" spans="2:14">
      <c r="B73" s="76" t="s">
        <v>8362</v>
      </c>
      <c r="C73" s="74">
        <f>+SUM(C48:C65)</f>
        <v>0</v>
      </c>
      <c r="D73" s="74">
        <f>+SUM(D48:D65)</f>
        <v>0</v>
      </c>
      <c r="E73" s="74">
        <f>+E70-E69</f>
        <v>172369235.52824163</v>
      </c>
      <c r="F73" s="74">
        <f t="shared" ref="F73:N73" si="24">+F70-F69</f>
        <v>2266832.2453723252</v>
      </c>
      <c r="G73" s="74">
        <f t="shared" si="24"/>
        <v>53249807.709533691</v>
      </c>
      <c r="H73" s="74">
        <f t="shared" si="24"/>
        <v>87500000</v>
      </c>
      <c r="I73" s="74">
        <f t="shared" si="24"/>
        <v>87500000</v>
      </c>
      <c r="J73" s="74">
        <f t="shared" si="24"/>
        <v>87500000</v>
      </c>
      <c r="K73" s="74">
        <f t="shared" si="24"/>
        <v>87500000</v>
      </c>
      <c r="L73" s="74">
        <f t="shared" si="24"/>
        <v>-84869235.528241634</v>
      </c>
      <c r="M73" s="74">
        <f t="shared" si="24"/>
        <v>85233167.75462766</v>
      </c>
      <c r="N73" s="74">
        <f t="shared" si="24"/>
        <v>34250192.290466301</v>
      </c>
    </row>
    <row r="74" spans="2:14">
      <c r="B74" s="76" t="s">
        <v>3107</v>
      </c>
      <c r="C74" s="75"/>
      <c r="D74" s="75"/>
      <c r="E74" s="75"/>
      <c r="F74" s="75"/>
      <c r="G74" s="75"/>
      <c r="H74" s="75"/>
      <c r="I74" s="75">
        <f>+SUM(E53:H53)</f>
        <v>350000000</v>
      </c>
      <c r="J74" s="75">
        <f>+SUM(E55:J55)</f>
        <v>350000000</v>
      </c>
      <c r="K74" s="75">
        <f>+SUM(F57:K57)</f>
        <v>350000000</v>
      </c>
      <c r="L74" s="75">
        <f>+SUM(G59:L59)</f>
        <v>350000000</v>
      </c>
      <c r="M74" s="75">
        <f>+SUM(H61:M61)</f>
        <v>350000000</v>
      </c>
      <c r="N74" s="75">
        <f>+SUM(I63:N63)</f>
        <v>350000000</v>
      </c>
    </row>
    <row r="75" spans="2:14">
      <c r="B75" s="76" t="s">
        <v>8077</v>
      </c>
      <c r="C75" s="106"/>
      <c r="D75" s="106"/>
      <c r="E75" s="106"/>
      <c r="F75" s="106"/>
      <c r="G75" s="106"/>
      <c r="H75" s="106"/>
      <c r="I75" s="75">
        <f>+SUM(E54:H54)</f>
        <v>-261750192.29046631</v>
      </c>
      <c r="J75" s="75">
        <f>+SUM(E56:J56)</f>
        <v>-262500000</v>
      </c>
      <c r="K75" s="75">
        <f>+SUM(F58:K58)</f>
        <v>-262500000</v>
      </c>
      <c r="L75" s="75">
        <f>+SUM(G60:L60)</f>
        <v>-262500000</v>
      </c>
      <c r="M75" s="75">
        <f>+SUM(H62:M62)</f>
        <v>-262500000</v>
      </c>
      <c r="N75" s="75">
        <f>+SUM(I64:N64)</f>
        <v>-262500000</v>
      </c>
    </row>
    <row r="76" spans="2:14">
      <c r="B76" s="76" t="s">
        <v>8363</v>
      </c>
      <c r="C76" s="106"/>
      <c r="D76" s="106"/>
      <c r="E76" s="106"/>
      <c r="F76" s="106"/>
      <c r="G76" s="106"/>
      <c r="H76" s="106"/>
      <c r="I76" s="75">
        <f>+I74+I75</f>
        <v>88249807.709533691</v>
      </c>
      <c r="J76" s="75">
        <f t="shared" ref="J76:N76" si="25">+J74+J75</f>
        <v>87500000</v>
      </c>
      <c r="K76" s="75">
        <f t="shared" si="25"/>
        <v>87500000</v>
      </c>
      <c r="L76" s="75">
        <f t="shared" si="25"/>
        <v>87500000</v>
      </c>
      <c r="M76" s="75">
        <f t="shared" si="25"/>
        <v>87500000</v>
      </c>
      <c r="N76" s="75">
        <f t="shared" si="25"/>
        <v>87500000</v>
      </c>
    </row>
  </sheetData>
  <mergeCells count="3">
    <mergeCell ref="C2:N2"/>
    <mergeCell ref="C11:N11"/>
    <mergeCell ref="C46:N46"/>
  </mergeCells>
  <phoneticPr fontId="19" type="noConversion"/>
  <pageMargins left="0.7" right="0.7" top="0.75" bottom="0.75" header="0.3" footer="0.3"/>
  <pageSetup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19F3C-616C-4588-91C9-B45C63AA2136}">
  <sheetPr>
    <tabColor theme="6" tint="0.59999389629810485"/>
    <outlinePr summaryBelow="0" summaryRight="0"/>
  </sheetPr>
  <dimension ref="A3:S151"/>
  <sheetViews>
    <sheetView topLeftCell="H1" zoomScale="105" zoomScaleNormal="100" workbookViewId="0">
      <selection activeCell="N9" sqref="H9:N10"/>
    </sheetView>
  </sheetViews>
  <sheetFormatPr defaultColWidth="14.3828125" defaultRowHeight="15" customHeight="1"/>
  <cols>
    <col min="1" max="2" width="0" style="6" hidden="1" customWidth="1"/>
    <col min="3" max="3" width="9.15234375" hidden="1" customWidth="1"/>
    <col min="4" max="4" width="9.15234375" customWidth="1"/>
    <col min="5" max="5" width="56.53515625" bestFit="1" customWidth="1"/>
    <col min="6" max="6" width="16.53515625" customWidth="1"/>
    <col min="7" max="7" width="8.53515625" customWidth="1"/>
    <col min="8" max="8" width="16.84375" bestFit="1" customWidth="1"/>
    <col min="9" max="9" width="16.84375" style="6" bestFit="1" customWidth="1"/>
    <col min="10" max="10" width="15.84375" customWidth="1"/>
    <col min="11" max="11" width="16.84375" bestFit="1" customWidth="1"/>
    <col min="12" max="12" width="17.3046875" customWidth="1"/>
    <col min="13" max="15" width="16.84375" bestFit="1" customWidth="1"/>
    <col min="16" max="16" width="16.69140625" bestFit="1" customWidth="1"/>
    <col min="17" max="17" width="16.84375" bestFit="1" customWidth="1"/>
    <col min="18" max="18" width="16.69140625" bestFit="1" customWidth="1"/>
    <col min="19" max="19" width="17" bestFit="1" customWidth="1"/>
  </cols>
  <sheetData>
    <row r="3" spans="1:19" ht="15" customHeight="1" thickBot="1">
      <c r="C3" s="6"/>
      <c r="D3" s="6"/>
      <c r="E3" s="6"/>
      <c r="F3" s="6"/>
      <c r="G3" s="6"/>
      <c r="H3" s="2"/>
      <c r="I3" s="380" t="s">
        <v>8424</v>
      </c>
      <c r="J3" s="381" t="s">
        <v>8425</v>
      </c>
      <c r="K3" s="2"/>
      <c r="L3" s="93"/>
      <c r="M3" s="2"/>
      <c r="N3" s="2"/>
      <c r="O3" s="2"/>
      <c r="P3" s="2"/>
      <c r="Q3" s="2"/>
      <c r="R3" s="2"/>
      <c r="S3" s="6"/>
    </row>
    <row r="4" spans="1:19" s="6" customFormat="1" ht="15.75" customHeight="1">
      <c r="C4" s="1"/>
      <c r="D4" s="1"/>
      <c r="E4" s="1"/>
      <c r="F4" s="1"/>
      <c r="G4" s="1"/>
      <c r="I4" s="2"/>
      <c r="K4" s="93"/>
      <c r="L4" s="2"/>
      <c r="R4" s="2"/>
    </row>
    <row r="5" spans="1:19" s="6" customFormat="1" ht="15.75" customHeight="1">
      <c r="C5" s="1"/>
      <c r="D5" s="1"/>
      <c r="E5" s="1103" t="s">
        <v>30</v>
      </c>
      <c r="F5" s="1104"/>
      <c r="G5" s="3"/>
      <c r="H5" s="5"/>
      <c r="I5" s="2"/>
      <c r="J5" s="2"/>
      <c r="K5" s="5"/>
      <c r="L5" s="5"/>
      <c r="M5" s="5"/>
      <c r="N5" s="5"/>
      <c r="O5" s="5"/>
      <c r="P5" s="5"/>
      <c r="Q5" s="5"/>
      <c r="R5" s="5"/>
      <c r="S5" s="4"/>
    </row>
    <row r="6" spans="1:19" s="6" customFormat="1" ht="15.75" customHeight="1">
      <c r="C6" s="1"/>
      <c r="D6" s="1"/>
      <c r="E6" s="3"/>
      <c r="F6" s="3"/>
      <c r="G6" s="3"/>
      <c r="H6" s="70"/>
    </row>
    <row r="7" spans="1:19" ht="15.75" customHeight="1">
      <c r="C7" s="1"/>
      <c r="D7" s="1"/>
      <c r="E7" s="1"/>
      <c r="F7" s="7">
        <v>2023</v>
      </c>
      <c r="G7" s="1"/>
      <c r="H7" s="8">
        <v>45292</v>
      </c>
      <c r="I7" s="8">
        <v>45323</v>
      </c>
      <c r="J7" s="9">
        <v>45352</v>
      </c>
      <c r="K7" s="8">
        <v>45383</v>
      </c>
      <c r="L7" s="8">
        <v>45413</v>
      </c>
      <c r="M7" s="9">
        <v>45444</v>
      </c>
      <c r="N7" s="8">
        <v>45474</v>
      </c>
      <c r="O7" s="8">
        <v>45505</v>
      </c>
      <c r="P7" s="9">
        <v>45536</v>
      </c>
      <c r="Q7" s="8">
        <v>45566</v>
      </c>
      <c r="R7" s="8">
        <v>45597</v>
      </c>
      <c r="S7" s="9">
        <v>45627</v>
      </c>
    </row>
    <row r="8" spans="1:19" ht="15.75" customHeight="1">
      <c r="C8" s="55" t="s">
        <v>257</v>
      </c>
      <c r="D8" s="55"/>
      <c r="E8" s="11" t="s">
        <v>3107</v>
      </c>
      <c r="F8" s="12"/>
      <c r="G8" s="11"/>
      <c r="H8" s="13">
        <f>+'6.Ventas EPC REAL'!F65</f>
        <v>0</v>
      </c>
      <c r="I8" s="13">
        <f>+'6.Ventas EPC REAL'!G65+'4  Ventas EPC (Proyeccion)'!D4+'Ventas Mini granjas (proyeccion'!D45</f>
        <v>4096249600</v>
      </c>
      <c r="J8" s="13">
        <f>+'6.Ventas EPC REAL'!H65+'4  Ventas EPC (Proyeccion)'!E4+'Ventas Mini granjas (proyeccion'!E45</f>
        <v>81223000</v>
      </c>
      <c r="K8" s="13">
        <f>+'6.Ventas EPC REAL'!I65+'4  Ventas EPC (Proyeccion)'!F4+'Ventas Mini granjas (proyeccion'!F45</f>
        <v>1435066013</v>
      </c>
      <c r="L8" s="13">
        <f>+'6.Ventas EPC REAL'!J65+'4  Ventas EPC (Proyeccion)'!G4+'Ventas Mini granjas (proyeccion'!G45</f>
        <v>3490803935</v>
      </c>
      <c r="M8" s="13">
        <f>+'6.Ventas EPC REAL'!K65+'4  Ventas EPC (Proyeccion)'!H4+'Ventas Mini granjas (proyeccion'!H45</f>
        <v>999662157</v>
      </c>
      <c r="N8" s="13">
        <f>+'6.Ventas EPC REAL'!L65+'4  Ventas EPC (Proyeccion)'!I4+'Ventas Mini granjas (proyeccion'!I45</f>
        <v>743193546</v>
      </c>
      <c r="O8" s="13">
        <f>+'6.Ventas EPC REAL'!M65+'4  Ventas EPC (Proyeccion)'!J4+'Ventas Mini granjas (proyeccion'!J45</f>
        <v>4950027595</v>
      </c>
      <c r="P8" s="13">
        <f>+'6.Ventas EPC REAL'!N65+'4  Ventas EPC (Proyeccion)'!K4+'Ventas Mini granjas (proyeccion'!K45</f>
        <v>8598500000</v>
      </c>
      <c r="Q8" s="13">
        <f>+'6.Ventas EPC REAL'!O65+'4  Ventas EPC (Proyeccion)'!L4+'Ventas Mini granjas (proyeccion'!L45</f>
        <v>4350000000</v>
      </c>
      <c r="R8" s="13">
        <f>+'6.Ventas EPC REAL'!P65+'4  Ventas EPC (Proyeccion)'!M4+'Ventas Mini granjas (proyeccion'!M45</f>
        <v>8470000000</v>
      </c>
      <c r="S8" s="13">
        <f>+'6.Ventas EPC REAL'!Q65+'4  Ventas EPC (Proyeccion)'!N4+'Ventas Mini granjas (proyeccion'!N45</f>
        <v>4100000000</v>
      </c>
    </row>
    <row r="9" spans="1:19" ht="15.75" customHeight="1">
      <c r="C9" s="55"/>
      <c r="D9" s="55"/>
      <c r="E9" s="11" t="s">
        <v>8077</v>
      </c>
      <c r="F9" s="12"/>
      <c r="G9" s="11"/>
      <c r="H9" s="13">
        <f>-'6.Ventas EPC REAL'!F66</f>
        <v>0</v>
      </c>
      <c r="I9" s="13">
        <f>-'6.Ventas EPC REAL'!G66-'4  Ventas EPC (Proyeccion)'!D5-'Ventas Mini granjas (proyeccion'!D46</f>
        <v>-2254653000</v>
      </c>
      <c r="J9" s="13">
        <f>-'6.Ventas EPC REAL'!H66-'4  Ventas EPC (Proyeccion)'!E5-'Ventas Mini granjas (proyeccion'!E46</f>
        <v>-49120000</v>
      </c>
      <c r="K9" s="13">
        <f>-'6.Ventas EPC REAL'!I66-'4  Ventas EPC (Proyeccion)'!F5-'Ventas Mini granjas (proyeccion'!F46</f>
        <v>-1106320989.8199999</v>
      </c>
      <c r="L9" s="13">
        <f>-'6.Ventas EPC REAL'!J66-'4  Ventas EPC (Proyeccion)'!G5-'Ventas Mini granjas (proyeccion'!G46</f>
        <v>-2783398754.5</v>
      </c>
      <c r="M9" s="13">
        <f>-'6.Ventas EPC REAL'!K66-'4  Ventas EPC (Proyeccion)'!H5-'Ventas Mini granjas (proyeccion'!H46</f>
        <v>-717263509.89999998</v>
      </c>
      <c r="N9" s="13">
        <f>-'6.Ventas EPC REAL'!L66-'4  Ventas EPC (Proyeccion)'!I5-'Ventas Mini granjas (proyeccion'!I46</f>
        <v>-588300254.60000002</v>
      </c>
      <c r="O9" s="13">
        <f>-'6.Ventas EPC REAL'!M66-'4  Ventas EPC (Proyeccion)'!J5-'Ventas Mini granjas (proyeccion'!J46</f>
        <v>-3880519316.5</v>
      </c>
      <c r="P9" s="13">
        <f>-'6.Ventas EPC REAL'!N66-'4  Ventas EPC (Proyeccion)'!K5-'Ventas Mini granjas (proyeccion'!K46</f>
        <v>-6867000000</v>
      </c>
      <c r="Q9" s="13">
        <f>-'6.Ventas EPC REAL'!O66-'4  Ventas EPC (Proyeccion)'!L5-'Ventas Mini granjas (proyeccion'!L46</f>
        <v>-3462500000</v>
      </c>
      <c r="R9" s="13">
        <f>-'6.Ventas EPC REAL'!P66-'4  Ventas EPC (Proyeccion)'!M5-'Ventas Mini granjas (proyeccion'!M46</f>
        <v>-6758500000</v>
      </c>
      <c r="S9" s="13">
        <f>-'6.Ventas EPC REAL'!Q66-'4  Ventas EPC (Proyeccion)'!N5-'Ventas Mini granjas (proyeccion'!N46</f>
        <v>-3093704233.7069998</v>
      </c>
    </row>
    <row r="10" spans="1:19" ht="15.75" customHeight="1">
      <c r="C10" s="55" t="s">
        <v>108</v>
      </c>
      <c r="D10" s="55"/>
      <c r="E10" s="11" t="s">
        <v>8078</v>
      </c>
      <c r="F10" s="12"/>
      <c r="G10" s="11"/>
      <c r="H10" s="2">
        <v>26920733.870000001</v>
      </c>
      <c r="I10" s="2">
        <f>+'Ventas energía PPA'!F63+'Ventas energía PPA'!F70</f>
        <v>32128218.418228619</v>
      </c>
      <c r="J10" s="2">
        <f>+'Ventas energía PPA'!G63+'Ventas energía PPA'!G70</f>
        <v>38429696.276008353</v>
      </c>
      <c r="K10" s="2">
        <f>+'Ventas energía PPA'!H63+'Ventas energía PPA'!H70</f>
        <v>38429696.276008353</v>
      </c>
      <c r="L10" s="2">
        <f>+'Ventas energía PPA'!I63+'Ventas energía PPA'!I70</f>
        <v>45284980.789524682</v>
      </c>
      <c r="M10" s="2">
        <f>+'Ventas energía PPA'!J63+'Ventas energía PPA'!J70</f>
        <v>47578300.70029337</v>
      </c>
      <c r="N10" s="2">
        <f>+'Ventas energía PPA'!K63+'Ventas energía PPA'!K70</f>
        <v>49614195.280060753</v>
      </c>
      <c r="O10" s="2">
        <f>+'Ventas energía PPA'!L63+'Ventas energía PPA'!L70</f>
        <v>56796133.162083037</v>
      </c>
      <c r="P10" s="2">
        <f>+'Ventas energía PPA'!M63+'Ventas energía PPA'!M70</f>
        <v>66126155.104855008</v>
      </c>
      <c r="Q10" s="2">
        <f>+'Ventas energía PPA'!N63+'Ventas energía PPA'!N70</f>
        <v>66495614.793264173</v>
      </c>
      <c r="R10" s="2">
        <f>+'Ventas energía PPA'!O63+'Ventas energía PPA'!O70</f>
        <v>92786311.823338538</v>
      </c>
      <c r="S10" s="2">
        <f>+'Ventas energía PPA'!P63+'Ventas energía PPA'!P70</f>
        <v>93107731.801819578</v>
      </c>
    </row>
    <row r="11" spans="1:19" ht="15.75" customHeight="1">
      <c r="C11" s="55" t="s">
        <v>207</v>
      </c>
      <c r="D11" s="55"/>
      <c r="E11" s="11" t="s">
        <v>8079</v>
      </c>
      <c r="F11" s="12"/>
      <c r="G11" s="11"/>
      <c r="H11" s="2">
        <f>+'Ventas energía PPA'!$C$62</f>
        <v>-4498059.6123798173</v>
      </c>
      <c r="I11" s="2">
        <f>+H11</f>
        <v>-4498059.6123798173</v>
      </c>
      <c r="J11" s="2">
        <f>+I11</f>
        <v>-4498059.6123798173</v>
      </c>
      <c r="K11" s="2">
        <f t="shared" ref="K11:S11" si="0">+J11</f>
        <v>-4498059.6123798173</v>
      </c>
      <c r="L11" s="2">
        <f t="shared" si="0"/>
        <v>-4498059.6123798173</v>
      </c>
      <c r="M11" s="2">
        <f t="shared" si="0"/>
        <v>-4498059.6123798173</v>
      </c>
      <c r="N11" s="2">
        <f t="shared" si="0"/>
        <v>-4498059.6123798173</v>
      </c>
      <c r="O11" s="2">
        <f>+'Ventas energía PPA'!C67</f>
        <v>-7830450</v>
      </c>
      <c r="P11" s="2">
        <f t="shared" si="0"/>
        <v>-7830450</v>
      </c>
      <c r="Q11" s="2">
        <f t="shared" si="0"/>
        <v>-7830450</v>
      </c>
      <c r="R11" s="2">
        <f t="shared" si="0"/>
        <v>-7830450</v>
      </c>
      <c r="S11" s="2">
        <f t="shared" si="0"/>
        <v>-7830450</v>
      </c>
    </row>
    <row r="12" spans="1:19" ht="15.75" customHeight="1">
      <c r="A12" s="58" t="s">
        <v>8050</v>
      </c>
      <c r="B12" s="58" t="s">
        <v>8099</v>
      </c>
      <c r="C12" s="55" t="s">
        <v>8100</v>
      </c>
      <c r="D12" s="55"/>
      <c r="E12" s="11" t="s">
        <v>8426</v>
      </c>
      <c r="F12" s="13"/>
      <c r="G12" s="11"/>
      <c r="I12" s="2"/>
      <c r="J12" s="2"/>
      <c r="K12" s="2"/>
      <c r="L12" s="2"/>
      <c r="M12" s="2"/>
      <c r="N12" s="2">
        <v>10611642.672840001</v>
      </c>
      <c r="O12" s="2">
        <f>+N12</f>
        <v>10611642.672840001</v>
      </c>
      <c r="P12" s="2">
        <f>+O12</f>
        <v>10611642.672840001</v>
      </c>
      <c r="Q12" s="2">
        <f>+P12</f>
        <v>10611642.672840001</v>
      </c>
      <c r="R12" s="2">
        <f>+Q12</f>
        <v>10611642.672840001</v>
      </c>
      <c r="S12" s="2">
        <f>+R12</f>
        <v>10611642.672840001</v>
      </c>
    </row>
    <row r="13" spans="1:19" ht="15.75" customHeight="1">
      <c r="C13" s="1"/>
      <c r="D13" s="1"/>
      <c r="E13" s="15" t="s">
        <v>8082</v>
      </c>
      <c r="F13" s="16"/>
      <c r="G13" s="17"/>
      <c r="H13" s="18">
        <f t="shared" ref="H13:S13" si="1">+SUM(H8:H12)</f>
        <v>22422674.257620186</v>
      </c>
      <c r="I13" s="18">
        <f t="shared" si="1"/>
        <v>1869226758.8058488</v>
      </c>
      <c r="J13" s="18">
        <f t="shared" si="1"/>
        <v>66034636.663628533</v>
      </c>
      <c r="K13" s="18">
        <f t="shared" si="1"/>
        <v>362676659.84362864</v>
      </c>
      <c r="L13" s="18">
        <f t="shared" si="1"/>
        <v>748192101.67714489</v>
      </c>
      <c r="M13" s="18">
        <f t="shared" si="1"/>
        <v>325478888.1879136</v>
      </c>
      <c r="N13" s="18">
        <f>+SUM(N8:N12)</f>
        <v>210621069.74052092</v>
      </c>
      <c r="O13" s="18">
        <f t="shared" si="1"/>
        <v>1129085604.3349233</v>
      </c>
      <c r="P13" s="18">
        <f t="shared" si="1"/>
        <v>1800407347.7776952</v>
      </c>
      <c r="Q13" s="18">
        <f t="shared" si="1"/>
        <v>956776807.46610415</v>
      </c>
      <c r="R13" s="18">
        <f t="shared" si="1"/>
        <v>1807067504.4961786</v>
      </c>
      <c r="S13" s="18">
        <f t="shared" si="1"/>
        <v>1102184690.7676599</v>
      </c>
    </row>
    <row r="14" spans="1:19" ht="19.5" customHeight="1">
      <c r="C14" s="54" t="s">
        <v>104</v>
      </c>
      <c r="D14" s="54"/>
      <c r="E14" s="147" t="s">
        <v>6134</v>
      </c>
      <c r="F14" s="12"/>
      <c r="G14" s="11"/>
      <c r="H14" s="2">
        <v>-76900485.030000001</v>
      </c>
      <c r="I14" s="2" t="e">
        <f>-'3. Nomina'!F71-'1.Adm-Ven-imp'!#REF!</f>
        <v>#REF!</v>
      </c>
      <c r="J14" s="2" t="e">
        <f>-'3. Nomina'!G71-'1.Adm-Ven-imp'!#REF!</f>
        <v>#REF!</v>
      </c>
      <c r="K14" s="2" t="e">
        <f>-'3. Nomina'!H71-'1.Adm-Ven-imp'!#REF!</f>
        <v>#REF!</v>
      </c>
      <c r="L14" s="2" t="e">
        <f>-'3. Nomina'!I71-'1.Adm-Ven-imp'!#REF!</f>
        <v>#REF!</v>
      </c>
      <c r="M14" s="2" t="e">
        <f>-'3. Nomina'!J71*(1+20%)-'1.Adm-Ven-imp'!#REF!*(1+20%)</f>
        <v>#REF!</v>
      </c>
      <c r="N14" s="2" t="e">
        <f>-'3. Nomina'!K71*(1+20%)-'1.Adm-Ven-imp'!#REF!*(1+20%)</f>
        <v>#REF!</v>
      </c>
      <c r="O14" s="2" t="e">
        <f>-'3. Nomina'!L71*(1+20%)-'1.Adm-Ven-imp'!#REF!*(1+20%)</f>
        <v>#REF!</v>
      </c>
      <c r="P14" s="2" t="e">
        <f>-'3. Nomina'!M71*(1+20%)-'1.Adm-Ven-imp'!#REF!*(1+20%)</f>
        <v>#REF!</v>
      </c>
      <c r="Q14" s="2" t="e">
        <f>-'3. Nomina'!N71*(1+20%)-'1.Adm-Ven-imp'!#REF!*(1+20%)</f>
        <v>#REF!</v>
      </c>
      <c r="R14" s="2" t="e">
        <f>-'3. Nomina'!O71*(1+20%)-'1.Adm-Ven-imp'!#REF!*(1+20%)</f>
        <v>#REF!</v>
      </c>
      <c r="S14" s="2" t="e">
        <f>-'3. Nomina'!P71*(1+20%)-'1.Adm-Ven-imp'!#REF!*(1+20%)</f>
        <v>#REF!</v>
      </c>
    </row>
    <row r="15" spans="1:19" ht="15.75" customHeight="1">
      <c r="C15" s="14"/>
      <c r="D15" s="14"/>
      <c r="E15" s="11" t="s">
        <v>8084</v>
      </c>
      <c r="F15" s="12"/>
      <c r="G15" s="11"/>
      <c r="H15" s="12">
        <v>-6268097.4400000004</v>
      </c>
      <c r="I15" s="12">
        <v>-6000000</v>
      </c>
      <c r="J15" s="12">
        <f t="shared" ref="J15:S15" si="2">+I15</f>
        <v>-6000000</v>
      </c>
      <c r="K15" s="12">
        <f t="shared" si="2"/>
        <v>-6000000</v>
      </c>
      <c r="L15" s="12">
        <f t="shared" si="2"/>
        <v>-6000000</v>
      </c>
      <c r="M15" s="12">
        <f t="shared" si="2"/>
        <v>-6000000</v>
      </c>
      <c r="N15" s="12">
        <f t="shared" si="2"/>
        <v>-6000000</v>
      </c>
      <c r="O15" s="12">
        <f t="shared" si="2"/>
        <v>-6000000</v>
      </c>
      <c r="P15" s="12">
        <f t="shared" si="2"/>
        <v>-6000000</v>
      </c>
      <c r="Q15" s="12">
        <f t="shared" si="2"/>
        <v>-6000000</v>
      </c>
      <c r="R15" s="12">
        <f t="shared" si="2"/>
        <v>-6000000</v>
      </c>
      <c r="S15" s="12">
        <f t="shared" si="2"/>
        <v>-6000000</v>
      </c>
    </row>
    <row r="16" spans="1:19" ht="15.75" customHeight="1">
      <c r="C16" s="54" t="s">
        <v>118</v>
      </c>
      <c r="D16" s="54"/>
      <c r="E16" s="11" t="s">
        <v>8085</v>
      </c>
      <c r="F16" s="12"/>
      <c r="G16" s="11"/>
      <c r="H16" s="2">
        <v>-13477138.120000001</v>
      </c>
      <c r="I16" s="12" t="e">
        <f>+IF($J$3="SI",'5. Deuda'!#REF!,'5. Deuda'!#REF!)+'Proyección PPAs'!F99</f>
        <v>#REF!</v>
      </c>
      <c r="J16" s="12" t="e">
        <f>+IF($J$3="SI",'5. Deuda'!#REF!,'5. Deuda'!#REF!)+'Proyección PPAs'!G99</f>
        <v>#REF!</v>
      </c>
      <c r="K16" s="12" t="e">
        <f>+IF($J$3="SI",'5. Deuda'!#REF!,'5. Deuda'!#REF!)+'Proyección PPAs'!H99</f>
        <v>#REF!</v>
      </c>
      <c r="L16" s="12" t="e">
        <f>+IF($J$3="SI",'5. Deuda'!#REF!,'5. Deuda'!#REF!)+'Proyección PPAs'!I99</f>
        <v>#REF!</v>
      </c>
      <c r="M16" s="12" t="e">
        <f>+IF($J$3="SI",'5. Deuda'!#REF!,'5. Deuda'!#REF!)+'Proyección PPAs'!J99</f>
        <v>#REF!</v>
      </c>
      <c r="N16" s="12" t="e">
        <f>+IF($J$3="SI",'5. Deuda'!#REF!,'5. Deuda'!#REF!)+'Proyección PPAs'!K99</f>
        <v>#REF!</v>
      </c>
      <c r="O16" s="12" t="e">
        <f>+IF($J$3="SI",'5. Deuda'!#REF!,'5. Deuda'!#REF!)+'Proyección PPAs'!L99</f>
        <v>#REF!</v>
      </c>
      <c r="P16" s="12" t="e">
        <f>+IF($J$3="SI",'5. Deuda'!#REF!,'5. Deuda'!#REF!)+'Proyección PPAs'!M99</f>
        <v>#REF!</v>
      </c>
      <c r="Q16" s="12" t="e">
        <f>+IF($J$3="SI",'5. Deuda'!#REF!,'5. Deuda'!#REF!)+'Proyección PPAs'!N99</f>
        <v>#REF!</v>
      </c>
      <c r="R16" s="12" t="e">
        <f>+IF($J$3="SI",'5. Deuda'!#REF!,'5. Deuda'!#REF!)+'Proyección PPAs'!O99</f>
        <v>#REF!</v>
      </c>
      <c r="S16" s="12" t="e">
        <f>+IF($J$3="SI",'5. Deuda'!#REF!,'5. Deuda'!#REF!)+'Proyección PPAs'!P99</f>
        <v>#REF!</v>
      </c>
    </row>
    <row r="17" spans="1:19" ht="15.75" customHeight="1">
      <c r="C17" s="54" t="s">
        <v>8427</v>
      </c>
      <c r="D17" s="54"/>
      <c r="E17" s="11" t="s">
        <v>8086</v>
      </c>
      <c r="F17" s="12"/>
      <c r="G17" s="11"/>
      <c r="H17" s="12">
        <v>-4444696.0999999996</v>
      </c>
      <c r="I17" s="12" t="e">
        <f>-'3. Nomina'!E72-'1.Adm-Ven-imp'!#REF!</f>
        <v>#REF!</v>
      </c>
      <c r="J17" s="12" t="e">
        <f>-'3. Nomina'!F72-'1.Adm-Ven-imp'!#REF!</f>
        <v>#REF!</v>
      </c>
      <c r="K17" s="12" t="e">
        <f>-'3. Nomina'!G72-'1.Adm-Ven-imp'!#REF!</f>
        <v>#REF!</v>
      </c>
      <c r="L17" s="12" t="e">
        <f>-'3. Nomina'!H72-'1.Adm-Ven-imp'!#REF!</f>
        <v>#REF!</v>
      </c>
      <c r="M17" s="12" t="e">
        <f>-'3. Nomina'!I72-'1.Adm-Ven-imp'!#REF!</f>
        <v>#REF!</v>
      </c>
      <c r="N17" s="12" t="e">
        <f>-'3. Nomina'!J72-'1.Adm-Ven-imp'!#REF!</f>
        <v>#REF!</v>
      </c>
      <c r="O17" s="12" t="e">
        <f>-'3. Nomina'!K72-'1.Adm-Ven-imp'!#REF!</f>
        <v>#REF!</v>
      </c>
      <c r="P17" s="12" t="e">
        <f>-'3. Nomina'!L72-'1.Adm-Ven-imp'!#REF!</f>
        <v>#REF!</v>
      </c>
      <c r="Q17" s="12" t="e">
        <f>-'3. Nomina'!M72-'1.Adm-Ven-imp'!#REF!</f>
        <v>#REF!</v>
      </c>
      <c r="R17" s="12" t="e">
        <f>-'3. Nomina'!N72-'1.Adm-Ven-imp'!#REF!</f>
        <v>#REF!</v>
      </c>
      <c r="S17" s="12" t="e">
        <f>-'3. Nomina'!O72-'1.Adm-Ven-imp'!#REF!</f>
        <v>#REF!</v>
      </c>
    </row>
    <row r="18" spans="1:19" ht="15.75" customHeight="1">
      <c r="C18" s="1"/>
      <c r="D18" s="1"/>
      <c r="E18" s="15" t="s">
        <v>8087</v>
      </c>
      <c r="F18" s="16"/>
      <c r="G18" s="17"/>
      <c r="H18" s="18">
        <f t="shared" ref="H18:S18" si="3">+SUM(H13:H17)</f>
        <v>-78667742.432379812</v>
      </c>
      <c r="I18" s="18" t="e">
        <f t="shared" si="3"/>
        <v>#REF!</v>
      </c>
      <c r="J18" s="18" t="e">
        <f t="shared" si="3"/>
        <v>#REF!</v>
      </c>
      <c r="K18" s="18" t="e">
        <f t="shared" si="3"/>
        <v>#REF!</v>
      </c>
      <c r="L18" s="18" t="e">
        <f t="shared" si="3"/>
        <v>#REF!</v>
      </c>
      <c r="M18" s="18" t="e">
        <f t="shared" si="3"/>
        <v>#REF!</v>
      </c>
      <c r="N18" s="18" t="e">
        <f t="shared" si="3"/>
        <v>#REF!</v>
      </c>
      <c r="O18" s="18" t="e">
        <f t="shared" si="3"/>
        <v>#REF!</v>
      </c>
      <c r="P18" s="18" t="e">
        <f t="shared" si="3"/>
        <v>#REF!</v>
      </c>
      <c r="Q18" s="18" t="e">
        <f t="shared" si="3"/>
        <v>#REF!</v>
      </c>
      <c r="R18" s="18" t="e">
        <f t="shared" si="3"/>
        <v>#REF!</v>
      </c>
      <c r="S18" s="18" t="e">
        <f t="shared" si="3"/>
        <v>#REF!</v>
      </c>
    </row>
    <row r="19" spans="1:19" ht="15.75" customHeight="1">
      <c r="C19" s="1"/>
      <c r="D19" s="1"/>
      <c r="E19" s="11" t="s">
        <v>8088</v>
      </c>
      <c r="F19" s="12"/>
      <c r="G19" s="11"/>
      <c r="H19" s="21"/>
      <c r="I19" s="21"/>
      <c r="J19" s="21"/>
      <c r="K19" s="21"/>
      <c r="L19" s="21"/>
      <c r="M19" s="21"/>
      <c r="N19" s="21"/>
      <c r="O19" s="21"/>
      <c r="P19" s="21"/>
      <c r="Q19" s="21"/>
      <c r="R19" s="21"/>
      <c r="S19" s="21"/>
    </row>
    <row r="20" spans="1:19" ht="15.75" customHeight="1">
      <c r="C20" s="1"/>
      <c r="D20" s="1"/>
      <c r="E20" s="11" t="s">
        <v>8089</v>
      </c>
      <c r="F20" s="12"/>
      <c r="G20" s="11"/>
      <c r="H20" s="21"/>
      <c r="I20" s="21" t="e">
        <f>-'1.Adm-Ven-imp'!#REF!</f>
        <v>#REF!</v>
      </c>
      <c r="J20" s="21" t="e">
        <f>-'1.Adm-Ven-imp'!#REF!-'1.Adm-Ven-imp'!#REF!</f>
        <v>#REF!</v>
      </c>
      <c r="K20" s="21">
        <v>0</v>
      </c>
      <c r="L20" s="21"/>
      <c r="M20" s="21"/>
      <c r="N20" s="21"/>
      <c r="O20" s="21"/>
      <c r="P20" s="21"/>
      <c r="Q20" s="21"/>
      <c r="R20" s="21"/>
      <c r="S20" s="21"/>
    </row>
    <row r="21" spans="1:19" ht="15.75" customHeight="1">
      <c r="C21" s="1"/>
      <c r="D21" s="1"/>
      <c r="E21" s="11" t="s">
        <v>8090</v>
      </c>
      <c r="F21" s="12"/>
      <c r="G21" s="11"/>
      <c r="H21" s="21"/>
      <c r="I21" s="21"/>
      <c r="J21" s="21"/>
      <c r="K21" s="21"/>
      <c r="L21" s="21"/>
      <c r="M21" s="21"/>
      <c r="N21" s="21"/>
      <c r="O21" s="21"/>
      <c r="P21" s="21"/>
      <c r="Q21" s="21"/>
      <c r="R21" s="21"/>
      <c r="S21" s="21"/>
    </row>
    <row r="22" spans="1:19" ht="15.75" customHeight="1">
      <c r="C22" s="14"/>
      <c r="D22" s="14"/>
      <c r="E22" s="15" t="s">
        <v>8091</v>
      </c>
      <c r="F22" s="16"/>
      <c r="G22" s="17"/>
      <c r="H22" s="18">
        <f t="shared" ref="H22:S22" si="4">+SUM(H18:H21)</f>
        <v>-78667742.432379812</v>
      </c>
      <c r="I22" s="18" t="e">
        <f t="shared" si="4"/>
        <v>#REF!</v>
      </c>
      <c r="J22" s="18" t="e">
        <f t="shared" si="4"/>
        <v>#REF!</v>
      </c>
      <c r="K22" s="18" t="e">
        <f t="shared" si="4"/>
        <v>#REF!</v>
      </c>
      <c r="L22" s="18" t="e">
        <f t="shared" si="4"/>
        <v>#REF!</v>
      </c>
      <c r="M22" s="18" t="e">
        <f t="shared" si="4"/>
        <v>#REF!</v>
      </c>
      <c r="N22" s="18" t="e">
        <f>+SUM(N18:N21)</f>
        <v>#REF!</v>
      </c>
      <c r="O22" s="18" t="e">
        <f>+SUM(O18:O21)</f>
        <v>#REF!</v>
      </c>
      <c r="P22" s="18" t="e">
        <f>+SUM(P18:P21)</f>
        <v>#REF!</v>
      </c>
      <c r="Q22" s="18" t="e">
        <f>+SUM(Q18:Q21)</f>
        <v>#REF!</v>
      </c>
      <c r="R22" s="18" t="e">
        <f t="shared" si="4"/>
        <v>#REF!</v>
      </c>
      <c r="S22" s="18" t="e">
        <f t="shared" si="4"/>
        <v>#REF!</v>
      </c>
    </row>
    <row r="23" spans="1:19" ht="15.75" customHeight="1">
      <c r="C23" s="14"/>
      <c r="D23" s="14"/>
      <c r="E23" s="11" t="s">
        <v>8092</v>
      </c>
      <c r="F23" s="12"/>
      <c r="G23" s="11"/>
      <c r="H23" s="13"/>
      <c r="I23" s="13"/>
      <c r="J23" s="13"/>
      <c r="K23" s="13"/>
      <c r="L23" s="13"/>
      <c r="M23" s="13"/>
      <c r="N23" s="13"/>
      <c r="O23" s="13"/>
      <c r="P23" s="13"/>
      <c r="Q23" s="13"/>
      <c r="R23" s="13"/>
      <c r="S23" s="13"/>
    </row>
    <row r="24" spans="1:19" ht="15.75" customHeight="1">
      <c r="C24" s="14"/>
      <c r="D24" s="14"/>
      <c r="E24" s="22" t="s">
        <v>8093</v>
      </c>
      <c r="F24" s="16"/>
      <c r="G24" s="17"/>
      <c r="H24" s="18">
        <f>H22+H23</f>
        <v>-78667742.432379812</v>
      </c>
      <c r="I24" s="18" t="e">
        <f>I22+I23</f>
        <v>#REF!</v>
      </c>
      <c r="J24" s="19" t="e">
        <f>J22+J23</f>
        <v>#REF!</v>
      </c>
      <c r="K24" s="16" t="e">
        <f t="shared" ref="K24:S24" si="5">K22+K23</f>
        <v>#REF!</v>
      </c>
      <c r="L24" s="16" t="e">
        <f t="shared" si="5"/>
        <v>#REF!</v>
      </c>
      <c r="M24" s="16" t="e">
        <f t="shared" si="5"/>
        <v>#REF!</v>
      </c>
      <c r="N24" s="16" t="e">
        <f t="shared" si="5"/>
        <v>#REF!</v>
      </c>
      <c r="O24" s="16" t="e">
        <f>O22+O23</f>
        <v>#REF!</v>
      </c>
      <c r="P24" s="16" t="e">
        <f>P22+P23</f>
        <v>#REF!</v>
      </c>
      <c r="Q24" s="16" t="e">
        <f>Q22+Q23</f>
        <v>#REF!</v>
      </c>
      <c r="R24" s="16" t="e">
        <f>R22+R23</f>
        <v>#REF!</v>
      </c>
      <c r="S24" s="16" t="e">
        <f t="shared" si="5"/>
        <v>#REF!</v>
      </c>
    </row>
    <row r="25" spans="1:19" ht="15.75" customHeight="1">
      <c r="C25" s="332" t="s">
        <v>8097</v>
      </c>
      <c r="D25" s="14"/>
      <c r="E25" s="11" t="s">
        <v>8098</v>
      </c>
      <c r="F25" s="12"/>
      <c r="G25" s="11"/>
      <c r="H25" s="2">
        <v>-37255706</v>
      </c>
      <c r="I25" s="13" t="e">
        <f>+'4 EPC - MINI GRANJAS - CAPEX'!#REF!+'Proyección PPAs'!F13</f>
        <v>#REF!</v>
      </c>
      <c r="J25" s="13" t="e">
        <f>+'4 EPC - MINI GRANJAS - CAPEX'!#REF!+'Proyección PPAs'!G13</f>
        <v>#REF!</v>
      </c>
      <c r="K25" s="13" t="e">
        <f>+'4 EPC - MINI GRANJAS - CAPEX'!#REF!+'Proyección PPAs'!H13</f>
        <v>#REF!</v>
      </c>
      <c r="L25" s="13" t="e">
        <f>+'4 EPC - MINI GRANJAS - CAPEX'!#REF!+'Proyección PPAs'!I13</f>
        <v>#REF!</v>
      </c>
      <c r="M25" s="13" t="e">
        <f>+'4 EPC - MINI GRANJAS - CAPEX'!#REF!+'Proyección PPAs'!J13</f>
        <v>#REF!</v>
      </c>
      <c r="N25" s="13" t="e">
        <f>+'4 EPC - MINI GRANJAS - CAPEX'!#REF!+'Proyección PPAs'!K13</f>
        <v>#REF!</v>
      </c>
      <c r="O25" s="13" t="e">
        <f>+'4 EPC - MINI GRANJAS - CAPEX'!#REF!+'Proyección PPAs'!L13</f>
        <v>#REF!</v>
      </c>
      <c r="P25" s="13" t="e">
        <f>+'4 EPC - MINI GRANJAS - CAPEX'!#REF!+'Proyección PPAs'!M13</f>
        <v>#REF!</v>
      </c>
      <c r="Q25" s="13" t="e">
        <f>+'4 EPC - MINI GRANJAS - CAPEX'!#REF!+'Proyección PPAs'!N13</f>
        <v>#REF!</v>
      </c>
      <c r="R25" s="13" t="e">
        <f>+'4 EPC - MINI GRANJAS - CAPEX'!#REF!+'Proyección PPAs'!O13</f>
        <v>#REF!</v>
      </c>
      <c r="S25" s="13" t="e">
        <f>+'4 EPC - MINI GRANJAS - CAPEX'!#REF!+'Proyección PPAs'!P13</f>
        <v>#REF!</v>
      </c>
    </row>
    <row r="26" spans="1:19" ht="15.75" customHeight="1">
      <c r="A26" s="126" t="s">
        <v>8097</v>
      </c>
      <c r="B26" s="126" t="s">
        <v>8099</v>
      </c>
      <c r="C26" s="292" t="s">
        <v>8100</v>
      </c>
      <c r="D26" s="55"/>
      <c r="E26" s="11" t="s">
        <v>8428</v>
      </c>
      <c r="F26" s="12"/>
      <c r="G26" s="11"/>
      <c r="H26" s="2"/>
      <c r="I26" s="362">
        <f>-'3. Nomina'!F80*40%</f>
        <v>-34984873.279999994</v>
      </c>
      <c r="J26" s="362">
        <f>-'3. Nomina'!G80*40%</f>
        <v>-34984873.279999994</v>
      </c>
      <c r="K26" s="362">
        <f>-'3. Nomina'!H80*40%</f>
        <v>-34984873.279999994</v>
      </c>
      <c r="L26" s="362">
        <f>-'3. Nomina'!I80*40%</f>
        <v>-34984873.279999994</v>
      </c>
      <c r="M26" s="362">
        <f>-'3. Nomina'!J80*40%</f>
        <v>-48793873.280000001</v>
      </c>
      <c r="N26" s="362">
        <f>-'3. Nomina'!K80*40%</f>
        <v>-34984873.279999994</v>
      </c>
      <c r="O26" s="362">
        <f>-'3. Nomina'!L80*40%</f>
        <v>-34984873.279999994</v>
      </c>
      <c r="P26" s="362">
        <f>-'3. Nomina'!M80*40%</f>
        <v>-34984873.279999994</v>
      </c>
      <c r="Q26" s="362">
        <f>-'3. Nomina'!N80*40%</f>
        <v>-34984873.279999994</v>
      </c>
      <c r="R26" s="362">
        <f>-'3. Nomina'!O80*40%</f>
        <v>-34984873.279999994</v>
      </c>
      <c r="S26" s="362">
        <f>-'3. Nomina'!P80*40%</f>
        <v>-48793873.280000001</v>
      </c>
    </row>
    <row r="27" spans="1:19" ht="15.75" customHeight="1">
      <c r="A27" s="58"/>
      <c r="B27" s="58"/>
      <c r="C27" s="367"/>
      <c r="D27" s="55"/>
      <c r="E27" s="11" t="s">
        <v>8429</v>
      </c>
      <c r="F27" s="12"/>
      <c r="G27" s="11"/>
      <c r="H27" s="2"/>
      <c r="I27" s="362">
        <f>-'Ventas Mini granjas (proyeccion'!D19</f>
        <v>-34130500</v>
      </c>
      <c r="J27" s="362">
        <f>-'Ventas Mini granjas (proyeccion'!E19</f>
        <v>-33266000</v>
      </c>
      <c r="K27" s="362">
        <f>-'Ventas Mini granjas (proyeccion'!F19</f>
        <v>-9000000</v>
      </c>
      <c r="L27" s="362">
        <f>-'Ventas Mini granjas (proyeccion'!G19</f>
        <v>-21920000</v>
      </c>
      <c r="M27" s="362">
        <f>-'Ventas Mini granjas (proyeccion'!H19</f>
        <v>-19527000</v>
      </c>
      <c r="N27" s="362">
        <f>-'Ventas Mini granjas (proyeccion'!I19</f>
        <v>-35676050</v>
      </c>
      <c r="O27" s="362">
        <f>-'Ventas Mini granjas (proyeccion'!J19</f>
        <v>-18487500</v>
      </c>
      <c r="P27" s="362">
        <f>-'Ventas Mini granjas (proyeccion'!K19</f>
        <v>-29993550</v>
      </c>
      <c r="Q27" s="362">
        <f>-'Ventas Mini granjas (proyeccion'!L19</f>
        <v>-33961050</v>
      </c>
      <c r="R27" s="362">
        <f>-'Ventas Mini granjas (proyeccion'!M19</f>
        <v>-44337500</v>
      </c>
      <c r="S27" s="362">
        <f>-'Ventas Mini granjas (proyeccion'!N19</f>
        <v>-12287500</v>
      </c>
    </row>
    <row r="28" spans="1:19" ht="15.75" customHeight="1">
      <c r="A28" s="58"/>
      <c r="B28" s="58"/>
      <c r="C28" s="367"/>
      <c r="D28" s="55"/>
      <c r="E28" s="11" t="s">
        <v>8430</v>
      </c>
      <c r="F28" s="12"/>
      <c r="G28" s="11"/>
      <c r="H28" s="2">
        <v>-25897285.390000001</v>
      </c>
      <c r="I28" s="362">
        <f>-'3. Nomina'!F80*60%</f>
        <v>-52477309.919999994</v>
      </c>
      <c r="J28" s="362">
        <f>-'3. Nomina'!G80*60%</f>
        <v>-52477309.919999994</v>
      </c>
      <c r="K28" s="362">
        <f>-'3. Nomina'!H80*60%</f>
        <v>-52477309.919999994</v>
      </c>
      <c r="L28" s="362">
        <f>-'3. Nomina'!I80*60%</f>
        <v>-52477309.919999994</v>
      </c>
      <c r="M28" s="362">
        <f>-'3. Nomina'!J80*60%</f>
        <v>-73190809.919999987</v>
      </c>
      <c r="N28" s="362">
        <f>-'3. Nomina'!K80*60%</f>
        <v>-52477309.919999994</v>
      </c>
      <c r="O28" s="362">
        <f>-'3. Nomina'!L80*60%</f>
        <v>-52477309.919999994</v>
      </c>
      <c r="P28" s="362">
        <f>-'3. Nomina'!M80*60%</f>
        <v>-52477309.919999994</v>
      </c>
      <c r="Q28" s="362">
        <f>-'3. Nomina'!N80*60%</f>
        <v>-52477309.919999994</v>
      </c>
      <c r="R28" s="362">
        <f>-'3. Nomina'!O80*60%</f>
        <v>-52477309.919999994</v>
      </c>
      <c r="S28" s="362">
        <f>-'3. Nomina'!P80*60%</f>
        <v>-73190809.919999987</v>
      </c>
    </row>
    <row r="29" spans="1:19" ht="15.75" customHeight="1">
      <c r="C29" s="333" t="s">
        <v>109</v>
      </c>
      <c r="D29" s="1"/>
      <c r="E29" s="11" t="s">
        <v>8431</v>
      </c>
      <c r="F29" s="12"/>
      <c r="G29" s="11"/>
      <c r="H29" s="2">
        <f>-927633090+'6.Ventas EPC REAL'!F69</f>
        <v>-927633090</v>
      </c>
      <c r="I29" s="2">
        <f>+'4 EPC - MINI GRANJAS - CAPEX'!G6+'6.Ventas EPC REAL'!F69-'4  Ventas EPC (Proyeccion)'!D76+'4  Ventas EPC (Proyeccion)'!D73-'Ventas Mini granjas (proyeccion'!D47+'Ventas Mini granjas (proyeccion'!D43</f>
        <v>22701972.155555673</v>
      </c>
      <c r="J29" s="2">
        <f>+'4 EPC - MINI GRANJAS - CAPEX'!H6+'6.Ventas EPC REAL'!G69-'4  Ventas EPC (Proyeccion)'!E76+'4  Ventas EPC (Proyeccion)'!E73-'Ventas Mini granjas (proyeccion'!E47+'Ventas Mini granjas (proyeccion'!E43</f>
        <v>-1667415256.7913916</v>
      </c>
      <c r="K29" s="2">
        <f>+'4 EPC - MINI GRANJAS - CAPEX'!I6+'6.Ventas EPC REAL'!H69-'4  Ventas EPC (Proyeccion)'!F76+'4  Ventas EPC (Proyeccion)'!F73-'Ventas Mini granjas (proyeccion'!F47+'Ventas Mini granjas (proyeccion'!F43</f>
        <v>1436778865.2453723</v>
      </c>
      <c r="L29" s="2">
        <f>+'4 EPC - MINI GRANJAS - CAPEX'!J6+'6.Ventas EPC REAL'!I69-'4  Ventas EPC (Proyeccion)'!G76+'4  Ventas EPC (Proyeccion)'!G73-'Ventas Mini granjas (proyeccion'!G47+'Ventas Mini granjas (proyeccion'!G43</f>
        <v>1879348992.5295336</v>
      </c>
      <c r="M29" s="2">
        <f>+'4 EPC - MINI GRANJAS - CAPEX'!K6+'6.Ventas EPC REAL'!J69-'4  Ventas EPC (Proyeccion)'!H76+'4  Ventas EPC (Proyeccion)'!H73-'Ventas Mini granjas (proyeccion'!H47+'Ventas Mini granjas (proyeccion'!H43</f>
        <v>-940767240.26999998</v>
      </c>
      <c r="N29" s="2">
        <f>+'4 EPC - MINI GRANJAS - CAPEX'!L6+'6.Ventas EPC REAL'!K69-'4  Ventas EPC (Proyeccion)'!I76+'4  Ventas EPC (Proyeccion)'!I73-'Ventas Mini granjas (proyeccion'!I47+'Ventas Mini granjas (proyeccion'!I43</f>
        <v>-1004523219.7595338</v>
      </c>
      <c r="O29" s="2">
        <f>+'4 EPC - MINI GRANJAS - CAPEX'!M6+'6.Ventas EPC REAL'!L69-'4  Ventas EPC (Proyeccion)'!J76+'4  Ventas EPC (Proyeccion)'!J73-'Ventas Mini granjas (proyeccion'!J47+'Ventas Mini granjas (proyeccion'!J43</f>
        <v>-289703167</v>
      </c>
      <c r="P29" s="2">
        <f>+'4 EPC - MINI GRANJAS - CAPEX'!N6+'6.Ventas EPC REAL'!M69-'4  Ventas EPC (Proyeccion)'!K76+'4  Ventas EPC (Proyeccion)'!K73-'Ventas Mini granjas (proyeccion'!K47+'Ventas Mini granjas (proyeccion'!K43</f>
        <v>-2134234630.5</v>
      </c>
      <c r="Q29" s="2">
        <f>+'4 EPC - MINI GRANJAS - CAPEX'!O6+'6.Ventas EPC REAL'!N69-'4  Ventas EPC (Proyeccion)'!L76+'4  Ventas EPC (Proyeccion)'!L73-'Ventas Mini granjas (proyeccion'!L47+'Ventas Mini granjas (proyeccion'!L43</f>
        <v>-1776369235.5282416</v>
      </c>
      <c r="R29" s="2">
        <f>+'4 EPC - MINI GRANJAS - CAPEX'!P6+'6.Ventas EPC REAL'!O69-'4  Ventas EPC (Proyeccion)'!M76+'4  Ventas EPC (Proyeccion)'!M73-'Ventas Mini granjas (proyeccion'!M47+'Ventas Mini granjas (proyeccion'!M43</f>
        <v>-2266832.2453723401</v>
      </c>
      <c r="S29" s="2">
        <f>+'4 EPC - MINI GRANJAS - CAPEX'!Q6+'6.Ventas EPC REAL'!P69-'4  Ventas EPC (Proyeccion)'!N76+'4  Ventas EPC (Proyeccion)'!N73-'Ventas Mini granjas (proyeccion'!N47+'Ventas Mini granjas (proyeccion'!N43</f>
        <v>-1677249807.7095337</v>
      </c>
    </row>
    <row r="30" spans="1:19" ht="15.75" customHeight="1">
      <c r="C30" s="206" t="s">
        <v>210</v>
      </c>
      <c r="D30" s="165"/>
      <c r="E30" s="11" t="s">
        <v>8107</v>
      </c>
      <c r="F30" s="12"/>
      <c r="G30" s="11"/>
      <c r="H30" s="2">
        <v>-42184000</v>
      </c>
      <c r="I30" s="2">
        <f>-Retenciones!E4</f>
        <v>-38273049.162999988</v>
      </c>
      <c r="J30" s="2"/>
      <c r="K30" s="2"/>
      <c r="L30" s="2"/>
      <c r="M30" s="2"/>
      <c r="N30" s="2"/>
      <c r="O30" s="2"/>
      <c r="P30" s="2"/>
      <c r="Q30" s="2"/>
      <c r="R30" s="2"/>
      <c r="S30" s="2"/>
    </row>
    <row r="31" spans="1:19" ht="27" customHeight="1">
      <c r="C31" s="1"/>
      <c r="D31" s="1"/>
      <c r="E31" s="23" t="s">
        <v>8108</v>
      </c>
      <c r="F31" s="24"/>
      <c r="G31" s="25"/>
      <c r="H31" s="26">
        <f>+H24+H25+H29+H26+H30+H27+H28</f>
        <v>-1111637823.8223798</v>
      </c>
      <c r="I31" s="26" t="e">
        <f t="shared" ref="I31:S31" si="6">+I24+I25+I29+I26+I30+I27+I28</f>
        <v>#REF!</v>
      </c>
      <c r="J31" s="26" t="e">
        <f t="shared" si="6"/>
        <v>#REF!</v>
      </c>
      <c r="K31" s="26" t="e">
        <f t="shared" si="6"/>
        <v>#REF!</v>
      </c>
      <c r="L31" s="26" t="e">
        <f t="shared" si="6"/>
        <v>#REF!</v>
      </c>
      <c r="M31" s="26" t="e">
        <f t="shared" si="6"/>
        <v>#REF!</v>
      </c>
      <c r="N31" s="26" t="e">
        <f t="shared" si="6"/>
        <v>#REF!</v>
      </c>
      <c r="O31" s="26" t="e">
        <f t="shared" si="6"/>
        <v>#REF!</v>
      </c>
      <c r="P31" s="26" t="e">
        <f t="shared" si="6"/>
        <v>#REF!</v>
      </c>
      <c r="Q31" s="26" t="e">
        <f t="shared" si="6"/>
        <v>#REF!</v>
      </c>
      <c r="R31" s="26" t="e">
        <f t="shared" si="6"/>
        <v>#REF!</v>
      </c>
      <c r="S31" s="26" t="e">
        <f t="shared" si="6"/>
        <v>#REF!</v>
      </c>
    </row>
    <row r="32" spans="1:19" ht="21" customHeight="1">
      <c r="C32" s="55" t="s">
        <v>111</v>
      </c>
      <c r="D32" s="55"/>
      <c r="E32" s="11" t="s">
        <v>8432</v>
      </c>
      <c r="F32" s="12"/>
      <c r="G32" s="11"/>
      <c r="H32" s="2">
        <v>-128906426.88000001</v>
      </c>
      <c r="I32" s="14" t="e">
        <f>+IF($J$3="SI",'5. Deuda'!#REF!,'5. Deuda'!#REF!)</f>
        <v>#REF!</v>
      </c>
      <c r="J32" s="14" t="e">
        <f>+IF($J$3="SI",'5. Deuda'!#REF!,'5. Deuda'!#REF!)</f>
        <v>#REF!</v>
      </c>
      <c r="K32" s="14" t="e">
        <f>+IF($J$3="SI",'5. Deuda'!#REF!,'5. Deuda'!#REF!)</f>
        <v>#REF!</v>
      </c>
      <c r="L32" s="14" t="e">
        <f>+IF($J$3="SI",'5. Deuda'!#REF!,'5. Deuda'!#REF!)</f>
        <v>#REF!</v>
      </c>
      <c r="M32" s="14" t="e">
        <f>+IF($J$3="SI",'5. Deuda'!#REF!,'5. Deuda'!#REF!)</f>
        <v>#REF!</v>
      </c>
      <c r="N32" s="14" t="e">
        <f>+IF($J$3="SI",'5. Deuda'!#REF!,'5. Deuda'!#REF!)</f>
        <v>#REF!</v>
      </c>
      <c r="O32" s="14" t="e">
        <f>+IF($J$3="SI",'5. Deuda'!#REF!,'5. Deuda'!#REF!)</f>
        <v>#REF!</v>
      </c>
      <c r="P32" s="14" t="e">
        <f>+IF($J$3="SI",'5. Deuda'!#REF!,'5. Deuda'!#REF!)</f>
        <v>#REF!</v>
      </c>
      <c r="Q32" s="14" t="e">
        <f>+IF($J$3="SI",'5. Deuda'!#REF!,'5. Deuda'!#REF!)</f>
        <v>#REF!</v>
      </c>
      <c r="R32" s="14" t="e">
        <f>+IF($J$3="SI",'5. Deuda'!#REF!,'5. Deuda'!#REF!)</f>
        <v>#REF!</v>
      </c>
      <c r="S32" s="14" t="e">
        <f>+IF($J$3="SI",'5. Deuda'!#REF!,'5. Deuda'!#REF!)</f>
        <v>#REF!</v>
      </c>
    </row>
    <row r="33" spans="5:19" ht="21" customHeight="1">
      <c r="E33" s="11" t="s">
        <v>8433</v>
      </c>
      <c r="F33" s="12"/>
      <c r="G33" s="11"/>
      <c r="H33" s="14" t="e">
        <f>+'5. Deuda'!#REF!+'Proyección PPAs'!E98</f>
        <v>#REF!</v>
      </c>
      <c r="I33" s="14" t="e">
        <f>+'5. Deuda'!#REF!+'Proyección PPAs'!F98</f>
        <v>#REF!</v>
      </c>
      <c r="J33" s="14" t="e">
        <f>+'5. Deuda'!#REF!+'Proyección PPAs'!G98</f>
        <v>#REF!</v>
      </c>
      <c r="K33" s="14" t="e">
        <f>+'5. Deuda'!#REF!+'Proyección PPAs'!H98</f>
        <v>#REF!</v>
      </c>
      <c r="L33" s="14" t="e">
        <f>+'5. Deuda'!#REF!+'Proyección PPAs'!I98</f>
        <v>#REF!</v>
      </c>
      <c r="M33" s="14" t="e">
        <f>+'5. Deuda'!#REF!+'Proyección PPAs'!J98</f>
        <v>#REF!</v>
      </c>
      <c r="N33" s="14" t="e">
        <f>+'5. Deuda'!#REF!+'Proyección PPAs'!K98</f>
        <v>#REF!</v>
      </c>
      <c r="O33" s="14" t="e">
        <f>+'5. Deuda'!#REF!+'Proyección PPAs'!L98</f>
        <v>#REF!</v>
      </c>
      <c r="P33" s="14" t="e">
        <f>+'5. Deuda'!#REF!+'Proyección PPAs'!M98</f>
        <v>#REF!</v>
      </c>
      <c r="Q33" s="14" t="e">
        <f>+'5. Deuda'!#REF!+'Proyección PPAs'!N98</f>
        <v>#REF!</v>
      </c>
      <c r="R33" s="14" t="e">
        <f>+'5. Deuda'!#REF!+'Proyección PPAs'!O98</f>
        <v>#REF!</v>
      </c>
      <c r="S33" s="14" t="e">
        <f>+'5. Deuda'!#REF!+'Proyección PPAs'!P98</f>
        <v>#REF!</v>
      </c>
    </row>
    <row r="34" spans="5:19" ht="21" customHeight="1">
      <c r="E34" s="15" t="s">
        <v>8110</v>
      </c>
      <c r="F34" s="16"/>
      <c r="G34" s="17"/>
      <c r="H34" s="18">
        <f t="shared" ref="H34" si="7">+H31+H32</f>
        <v>-1240544250.7023799</v>
      </c>
      <c r="I34" s="16" t="e">
        <f t="shared" ref="I34:S34" si="8">+I31+I32+I33</f>
        <v>#REF!</v>
      </c>
      <c r="J34" s="16" t="e">
        <f t="shared" si="8"/>
        <v>#REF!</v>
      </c>
      <c r="K34" s="16" t="e">
        <f t="shared" si="8"/>
        <v>#REF!</v>
      </c>
      <c r="L34" s="16" t="e">
        <f t="shared" si="8"/>
        <v>#REF!</v>
      </c>
      <c r="M34" s="16" t="e">
        <f t="shared" si="8"/>
        <v>#REF!</v>
      </c>
      <c r="N34" s="16" t="e">
        <f t="shared" si="8"/>
        <v>#REF!</v>
      </c>
      <c r="O34" s="16" t="e">
        <f t="shared" si="8"/>
        <v>#REF!</v>
      </c>
      <c r="P34" s="16" t="e">
        <f t="shared" si="8"/>
        <v>#REF!</v>
      </c>
      <c r="Q34" s="16" t="e">
        <f t="shared" si="8"/>
        <v>#REF!</v>
      </c>
      <c r="R34" s="16" t="e">
        <f t="shared" si="8"/>
        <v>#REF!</v>
      </c>
      <c r="S34" s="16" t="e">
        <f t="shared" si="8"/>
        <v>#REF!</v>
      </c>
    </row>
    <row r="35" spans="5:19" ht="21" customHeight="1">
      <c r="E35" s="11" t="s">
        <v>8111</v>
      </c>
      <c r="F35" s="12"/>
      <c r="G35" s="11"/>
      <c r="H35" s="2"/>
      <c r="I35" s="2"/>
      <c r="J35" s="2"/>
      <c r="K35" s="2"/>
      <c r="L35" s="2"/>
      <c r="M35" s="6"/>
      <c r="N35" s="2"/>
      <c r="O35" s="2"/>
      <c r="P35" s="2"/>
      <c r="Q35" s="2"/>
      <c r="R35" s="2"/>
      <c r="S35" s="2"/>
    </row>
    <row r="36" spans="5:19" ht="21" customHeight="1">
      <c r="E36" s="11" t="s">
        <v>8113</v>
      </c>
      <c r="F36" s="11"/>
      <c r="G36" s="11"/>
      <c r="H36" s="6"/>
      <c r="J36" s="6"/>
      <c r="K36" s="6"/>
      <c r="L36" s="6"/>
      <c r="M36" s="6"/>
      <c r="N36" s="6"/>
      <c r="O36" s="6"/>
      <c r="P36" s="6"/>
      <c r="Q36" s="6"/>
      <c r="R36" s="6"/>
      <c r="S36" s="6"/>
    </row>
    <row r="37" spans="5:19" ht="15.75" customHeight="1">
      <c r="E37" s="15" t="s">
        <v>8114</v>
      </c>
      <c r="F37" s="16"/>
      <c r="G37" s="17"/>
      <c r="H37" s="16">
        <f>+H34+H35+H36</f>
        <v>-1240544250.7023799</v>
      </c>
      <c r="I37" s="378" t="e">
        <f>+I34+I35+I36</f>
        <v>#REF!</v>
      </c>
      <c r="J37" s="378" t="e">
        <f t="shared" ref="J37:S37" si="9">+J34+SUM(J35:J36)</f>
        <v>#REF!</v>
      </c>
      <c r="K37" s="16" t="e">
        <f t="shared" si="9"/>
        <v>#REF!</v>
      </c>
      <c r="L37" s="16" t="e">
        <f t="shared" si="9"/>
        <v>#REF!</v>
      </c>
      <c r="M37" s="16" t="e">
        <f t="shared" si="9"/>
        <v>#REF!</v>
      </c>
      <c r="N37" s="16" t="e">
        <f t="shared" si="9"/>
        <v>#REF!</v>
      </c>
      <c r="O37" s="16" t="e">
        <f t="shared" si="9"/>
        <v>#REF!</v>
      </c>
      <c r="P37" s="16" t="e">
        <f t="shared" si="9"/>
        <v>#REF!</v>
      </c>
      <c r="Q37" s="16" t="e">
        <f t="shared" si="9"/>
        <v>#REF!</v>
      </c>
      <c r="R37" s="16" t="e">
        <f t="shared" si="9"/>
        <v>#REF!</v>
      </c>
      <c r="S37" s="16" t="e">
        <f t="shared" si="9"/>
        <v>#REF!</v>
      </c>
    </row>
    <row r="38" spans="5:19" ht="15.75" customHeight="1">
      <c r="E38" s="11" t="s">
        <v>8115</v>
      </c>
      <c r="F38" s="12"/>
      <c r="G38" s="11"/>
      <c r="H38" s="27">
        <v>1626292257.0400002</v>
      </c>
      <c r="I38" s="379">
        <f>+H39</f>
        <v>385748006.33762026</v>
      </c>
      <c r="J38" s="379" t="e">
        <f t="shared" ref="J38:S38" si="10">+I39</f>
        <v>#REF!</v>
      </c>
      <c r="K38" s="27" t="e">
        <f t="shared" si="10"/>
        <v>#REF!</v>
      </c>
      <c r="L38" s="27" t="e">
        <f t="shared" si="10"/>
        <v>#REF!</v>
      </c>
      <c r="M38" s="27" t="e">
        <f t="shared" si="10"/>
        <v>#REF!</v>
      </c>
      <c r="N38" s="27" t="e">
        <f t="shared" si="10"/>
        <v>#REF!</v>
      </c>
      <c r="O38" s="27" t="e">
        <f t="shared" si="10"/>
        <v>#REF!</v>
      </c>
      <c r="P38" s="27" t="e">
        <f t="shared" si="10"/>
        <v>#REF!</v>
      </c>
      <c r="Q38" s="27" t="e">
        <f t="shared" si="10"/>
        <v>#REF!</v>
      </c>
      <c r="R38" s="27" t="e">
        <f t="shared" si="10"/>
        <v>#REF!</v>
      </c>
      <c r="S38" s="27" t="e">
        <f t="shared" si="10"/>
        <v>#REF!</v>
      </c>
    </row>
    <row r="39" spans="5:19" ht="15.75" customHeight="1">
      <c r="E39" s="28" t="s">
        <v>8116</v>
      </c>
      <c r="F39" s="29"/>
      <c r="G39" s="30"/>
      <c r="H39" s="32">
        <f t="shared" ref="H39:S39" si="11">+H37+H38</f>
        <v>385748006.33762026</v>
      </c>
      <c r="I39" s="32" t="e">
        <f t="shared" si="11"/>
        <v>#REF!</v>
      </c>
      <c r="J39" s="32" t="e">
        <f t="shared" si="11"/>
        <v>#REF!</v>
      </c>
      <c r="K39" s="32" t="e">
        <f t="shared" si="11"/>
        <v>#REF!</v>
      </c>
      <c r="L39" s="32" t="e">
        <f t="shared" si="11"/>
        <v>#REF!</v>
      </c>
      <c r="M39" s="32" t="e">
        <f t="shared" si="11"/>
        <v>#REF!</v>
      </c>
      <c r="N39" s="32" t="e">
        <f t="shared" si="11"/>
        <v>#REF!</v>
      </c>
      <c r="O39" s="32" t="e">
        <f t="shared" si="11"/>
        <v>#REF!</v>
      </c>
      <c r="P39" s="32" t="e">
        <f t="shared" si="11"/>
        <v>#REF!</v>
      </c>
      <c r="Q39" s="32" t="e">
        <f t="shared" si="11"/>
        <v>#REF!</v>
      </c>
      <c r="R39" s="32" t="e">
        <f t="shared" si="11"/>
        <v>#REF!</v>
      </c>
      <c r="S39" s="32" t="e">
        <f t="shared" si="11"/>
        <v>#REF!</v>
      </c>
    </row>
    <row r="40" spans="5:19" ht="15.75" customHeight="1">
      <c r="E40" s="30"/>
      <c r="F40" s="220"/>
      <c r="G40" s="30"/>
      <c r="H40" s="221"/>
      <c r="I40" s="221"/>
      <c r="J40" s="221"/>
      <c r="K40" s="221"/>
      <c r="L40" s="221"/>
      <c r="M40" s="221"/>
      <c r="N40" s="221"/>
      <c r="O40" s="221"/>
      <c r="P40" s="221"/>
      <c r="Q40" s="221"/>
      <c r="R40" s="221"/>
      <c r="S40" s="221"/>
    </row>
    <row r="41" spans="5:19" ht="15.75" customHeight="1">
      <c r="E41" s="30"/>
      <c r="F41" s="220"/>
      <c r="G41" s="30"/>
      <c r="H41" s="221"/>
      <c r="I41" s="221"/>
      <c r="J41" s="221"/>
      <c r="K41" s="221"/>
      <c r="L41" s="221"/>
      <c r="M41" s="221"/>
      <c r="N41" s="221"/>
      <c r="O41" s="221"/>
      <c r="P41" s="221"/>
      <c r="Q41" s="221"/>
      <c r="R41" s="221"/>
      <c r="S41" s="221"/>
    </row>
    <row r="42" spans="5:19" ht="15.75" customHeight="1">
      <c r="E42" s="30"/>
      <c r="F42" s="220"/>
      <c r="G42" s="30"/>
      <c r="H42" s="221"/>
      <c r="I42" s="221"/>
      <c r="J42" s="221"/>
      <c r="K42" s="221"/>
      <c r="L42" s="221"/>
      <c r="M42" s="337"/>
      <c r="N42" s="221"/>
      <c r="O42" s="221"/>
      <c r="P42" s="221"/>
      <c r="Q42" s="221"/>
      <c r="R42" s="221"/>
      <c r="S42" s="221"/>
    </row>
    <row r="43" spans="5:19" ht="15.75" customHeight="1">
      <c r="E43" s="1"/>
      <c r="F43" s="7">
        <v>2023</v>
      </c>
      <c r="G43" s="1"/>
      <c r="H43" s="8">
        <v>45292</v>
      </c>
      <c r="I43" s="8">
        <v>45323</v>
      </c>
      <c r="J43" s="9">
        <v>45352</v>
      </c>
      <c r="K43" s="8">
        <v>45383</v>
      </c>
      <c r="L43" s="8">
        <v>45413</v>
      </c>
      <c r="M43" s="9">
        <v>45444</v>
      </c>
      <c r="N43" s="8">
        <v>45474</v>
      </c>
      <c r="O43" s="8">
        <v>45505</v>
      </c>
      <c r="P43" s="9">
        <v>45536</v>
      </c>
      <c r="Q43" s="8">
        <v>45566</v>
      </c>
      <c r="R43" s="8">
        <v>45597</v>
      </c>
      <c r="S43" s="9">
        <v>45627</v>
      </c>
    </row>
    <row r="44" spans="5:19" ht="15.75" customHeight="1">
      <c r="E44" s="11" t="s">
        <v>3107</v>
      </c>
      <c r="F44" s="12"/>
      <c r="G44" s="11"/>
      <c r="H44" s="2">
        <f t="shared" ref="H44:S44" si="12">+H8</f>
        <v>0</v>
      </c>
      <c r="I44" s="2">
        <f t="shared" si="12"/>
        <v>4096249600</v>
      </c>
      <c r="J44" s="2">
        <f t="shared" si="12"/>
        <v>81223000</v>
      </c>
      <c r="K44" s="2">
        <f t="shared" si="12"/>
        <v>1435066013</v>
      </c>
      <c r="L44" s="2">
        <f t="shared" si="12"/>
        <v>3490803935</v>
      </c>
      <c r="M44" s="2">
        <f t="shared" si="12"/>
        <v>999662157</v>
      </c>
      <c r="N44" s="2">
        <f t="shared" si="12"/>
        <v>743193546</v>
      </c>
      <c r="O44" s="2">
        <f t="shared" si="12"/>
        <v>4950027595</v>
      </c>
      <c r="P44" s="2">
        <f t="shared" si="12"/>
        <v>8598500000</v>
      </c>
      <c r="Q44" s="2">
        <f t="shared" si="12"/>
        <v>4350000000</v>
      </c>
      <c r="R44" s="2">
        <f t="shared" si="12"/>
        <v>8470000000</v>
      </c>
      <c r="S44" s="2">
        <f t="shared" si="12"/>
        <v>4100000000</v>
      </c>
    </row>
    <row r="45" spans="5:19" ht="15.75" customHeight="1">
      <c r="E45" s="11" t="s">
        <v>8077</v>
      </c>
      <c r="F45" s="12"/>
      <c r="G45" s="11"/>
      <c r="H45" s="2">
        <f t="shared" ref="H45:S45" si="13">+H9</f>
        <v>0</v>
      </c>
      <c r="I45" s="2">
        <f t="shared" si="13"/>
        <v>-2254653000</v>
      </c>
      <c r="J45" s="2">
        <f t="shared" si="13"/>
        <v>-49120000</v>
      </c>
      <c r="K45" s="2">
        <f t="shared" si="13"/>
        <v>-1106320989.8199999</v>
      </c>
      <c r="L45" s="2">
        <f t="shared" si="13"/>
        <v>-2783398754.5</v>
      </c>
      <c r="M45" s="2">
        <f t="shared" si="13"/>
        <v>-717263509.89999998</v>
      </c>
      <c r="N45" s="2">
        <f t="shared" si="13"/>
        <v>-588300254.60000002</v>
      </c>
      <c r="O45" s="2">
        <f t="shared" si="13"/>
        <v>-3880519316.5</v>
      </c>
      <c r="P45" s="2">
        <f t="shared" si="13"/>
        <v>-6867000000</v>
      </c>
      <c r="Q45" s="2">
        <f t="shared" si="13"/>
        <v>-3462500000</v>
      </c>
      <c r="R45" s="2">
        <f t="shared" si="13"/>
        <v>-6758500000</v>
      </c>
      <c r="S45" s="2">
        <f t="shared" si="13"/>
        <v>-3093704233.7069998</v>
      </c>
    </row>
    <row r="46" spans="5:19" ht="15.75" customHeight="1">
      <c r="E46" s="11" t="s">
        <v>8078</v>
      </c>
      <c r="F46" s="12"/>
      <c r="G46" s="11"/>
      <c r="H46" s="2">
        <f t="shared" ref="H46:S46" si="14">+H10</f>
        <v>26920733.870000001</v>
      </c>
      <c r="I46" s="2">
        <f t="shared" si="14"/>
        <v>32128218.418228619</v>
      </c>
      <c r="J46" s="2">
        <f t="shared" si="14"/>
        <v>38429696.276008353</v>
      </c>
      <c r="K46" s="2">
        <f t="shared" si="14"/>
        <v>38429696.276008353</v>
      </c>
      <c r="L46" s="2">
        <f t="shared" si="14"/>
        <v>45284980.789524682</v>
      </c>
      <c r="M46" s="2">
        <f t="shared" si="14"/>
        <v>47578300.70029337</v>
      </c>
      <c r="N46" s="2">
        <f t="shared" si="14"/>
        <v>49614195.280060753</v>
      </c>
      <c r="O46" s="2">
        <f t="shared" si="14"/>
        <v>56796133.162083037</v>
      </c>
      <c r="P46" s="2">
        <f t="shared" si="14"/>
        <v>66126155.104855008</v>
      </c>
      <c r="Q46" s="2">
        <f t="shared" si="14"/>
        <v>66495614.793264173</v>
      </c>
      <c r="R46" s="2">
        <f t="shared" si="14"/>
        <v>92786311.823338538</v>
      </c>
      <c r="S46" s="2">
        <f t="shared" si="14"/>
        <v>93107731.801819578</v>
      </c>
    </row>
    <row r="47" spans="5:19" ht="15.75" customHeight="1">
      <c r="E47" s="11" t="s">
        <v>8079</v>
      </c>
      <c r="F47" s="12"/>
      <c r="G47" s="11"/>
      <c r="H47" s="2">
        <f t="shared" ref="H47:S47" si="15">+H11</f>
        <v>-4498059.6123798173</v>
      </c>
      <c r="I47" s="2">
        <f t="shared" si="15"/>
        <v>-4498059.6123798173</v>
      </c>
      <c r="J47" s="2">
        <f t="shared" si="15"/>
        <v>-4498059.6123798173</v>
      </c>
      <c r="K47" s="2">
        <f t="shared" si="15"/>
        <v>-4498059.6123798173</v>
      </c>
      <c r="L47" s="2">
        <f t="shared" si="15"/>
        <v>-4498059.6123798173</v>
      </c>
      <c r="M47" s="2">
        <f t="shared" si="15"/>
        <v>-4498059.6123798173</v>
      </c>
      <c r="N47" s="2">
        <f t="shared" si="15"/>
        <v>-4498059.6123798173</v>
      </c>
      <c r="O47" s="2">
        <f t="shared" si="15"/>
        <v>-7830450</v>
      </c>
      <c r="P47" s="2">
        <f t="shared" si="15"/>
        <v>-7830450</v>
      </c>
      <c r="Q47" s="2">
        <f t="shared" si="15"/>
        <v>-7830450</v>
      </c>
      <c r="R47" s="2">
        <f t="shared" si="15"/>
        <v>-7830450</v>
      </c>
      <c r="S47" s="2">
        <f t="shared" si="15"/>
        <v>-7830450</v>
      </c>
    </row>
    <row r="48" spans="5:19" ht="15.75" customHeight="1">
      <c r="E48" s="11" t="s">
        <v>8426</v>
      </c>
      <c r="F48" s="13"/>
      <c r="G48" s="11"/>
      <c r="H48" s="2">
        <f t="shared" ref="H48:S48" si="16">+H12</f>
        <v>0</v>
      </c>
      <c r="I48" s="2">
        <f t="shared" si="16"/>
        <v>0</v>
      </c>
      <c r="J48" s="2">
        <f t="shared" si="16"/>
        <v>0</v>
      </c>
      <c r="K48" s="2">
        <f t="shared" si="16"/>
        <v>0</v>
      </c>
      <c r="L48" s="2">
        <f t="shared" si="16"/>
        <v>0</v>
      </c>
      <c r="M48" s="2">
        <f t="shared" si="16"/>
        <v>0</v>
      </c>
      <c r="N48" s="2">
        <f t="shared" si="16"/>
        <v>10611642.672840001</v>
      </c>
      <c r="O48" s="2">
        <f t="shared" si="16"/>
        <v>10611642.672840001</v>
      </c>
      <c r="P48" s="2">
        <f t="shared" si="16"/>
        <v>10611642.672840001</v>
      </c>
      <c r="Q48" s="2">
        <f t="shared" si="16"/>
        <v>10611642.672840001</v>
      </c>
      <c r="R48" s="2">
        <f t="shared" si="16"/>
        <v>10611642.672840001</v>
      </c>
      <c r="S48" s="2">
        <f t="shared" si="16"/>
        <v>10611642.672840001</v>
      </c>
    </row>
    <row r="49" spans="5:19" ht="15.75" customHeight="1">
      <c r="E49" s="15" t="s">
        <v>8082</v>
      </c>
      <c r="F49" s="16"/>
      <c r="G49" s="17"/>
      <c r="H49" s="18">
        <f t="shared" ref="H49:S49" si="17">+SUM(H44:H48)</f>
        <v>22422674.257620186</v>
      </c>
      <c r="I49" s="18">
        <f t="shared" si="17"/>
        <v>1869226758.8058488</v>
      </c>
      <c r="J49" s="18">
        <f t="shared" si="17"/>
        <v>66034636.663628533</v>
      </c>
      <c r="K49" s="18">
        <f t="shared" si="17"/>
        <v>362676659.84362864</v>
      </c>
      <c r="L49" s="18">
        <f t="shared" si="17"/>
        <v>748192101.67714489</v>
      </c>
      <c r="M49" s="18">
        <f t="shared" si="17"/>
        <v>325478888.1879136</v>
      </c>
      <c r="N49" s="18">
        <f t="shared" si="17"/>
        <v>210621069.74052092</v>
      </c>
      <c r="O49" s="18">
        <f t="shared" si="17"/>
        <v>1129085604.3349233</v>
      </c>
      <c r="P49" s="18">
        <f t="shared" si="17"/>
        <v>1800407347.7776952</v>
      </c>
      <c r="Q49" s="18">
        <f t="shared" si="17"/>
        <v>956776807.46610415</v>
      </c>
      <c r="R49" s="18">
        <f t="shared" si="17"/>
        <v>1807067504.4961786</v>
      </c>
      <c r="S49" s="18">
        <f t="shared" si="17"/>
        <v>1102184690.7676599</v>
      </c>
    </row>
    <row r="50" spans="5:19" ht="15.75" customHeight="1">
      <c r="E50" s="147" t="s">
        <v>8083</v>
      </c>
      <c r="F50" s="12"/>
      <c r="G50" s="11"/>
      <c r="H50" s="2">
        <f t="shared" ref="H50:S50" si="18">+H14</f>
        <v>-76900485.030000001</v>
      </c>
      <c r="I50" s="2" t="e">
        <f t="shared" si="18"/>
        <v>#REF!</v>
      </c>
      <c r="J50" s="2" t="e">
        <f t="shared" si="18"/>
        <v>#REF!</v>
      </c>
      <c r="K50" s="2" t="e">
        <f t="shared" si="18"/>
        <v>#REF!</v>
      </c>
      <c r="L50" s="2" t="e">
        <f t="shared" si="18"/>
        <v>#REF!</v>
      </c>
      <c r="M50" s="2" t="e">
        <f t="shared" si="18"/>
        <v>#REF!</v>
      </c>
      <c r="N50" s="2" t="e">
        <f t="shared" si="18"/>
        <v>#REF!</v>
      </c>
      <c r="O50" s="2" t="e">
        <f t="shared" si="18"/>
        <v>#REF!</v>
      </c>
      <c r="P50" s="2" t="e">
        <f t="shared" si="18"/>
        <v>#REF!</v>
      </c>
      <c r="Q50" s="2" t="e">
        <f t="shared" si="18"/>
        <v>#REF!</v>
      </c>
      <c r="R50" s="2" t="e">
        <f t="shared" si="18"/>
        <v>#REF!</v>
      </c>
      <c r="S50" s="2" t="e">
        <f t="shared" si="18"/>
        <v>#REF!</v>
      </c>
    </row>
    <row r="51" spans="5:19" ht="15.75" customHeight="1">
      <c r="E51" s="11" t="s">
        <v>8084</v>
      </c>
      <c r="F51" s="12"/>
      <c r="G51" s="11"/>
      <c r="H51" s="2">
        <f t="shared" ref="H51:S51" si="19">+H15</f>
        <v>-6268097.4400000004</v>
      </c>
      <c r="I51" s="2">
        <f t="shared" si="19"/>
        <v>-6000000</v>
      </c>
      <c r="J51" s="2">
        <f t="shared" si="19"/>
        <v>-6000000</v>
      </c>
      <c r="K51" s="2">
        <f t="shared" si="19"/>
        <v>-6000000</v>
      </c>
      <c r="L51" s="2">
        <f t="shared" si="19"/>
        <v>-6000000</v>
      </c>
      <c r="M51" s="2">
        <f t="shared" si="19"/>
        <v>-6000000</v>
      </c>
      <c r="N51" s="2">
        <f t="shared" si="19"/>
        <v>-6000000</v>
      </c>
      <c r="O51" s="2">
        <f t="shared" si="19"/>
        <v>-6000000</v>
      </c>
      <c r="P51" s="2">
        <f t="shared" si="19"/>
        <v>-6000000</v>
      </c>
      <c r="Q51" s="2">
        <f t="shared" si="19"/>
        <v>-6000000</v>
      </c>
      <c r="R51" s="2">
        <f t="shared" si="19"/>
        <v>-6000000</v>
      </c>
      <c r="S51" s="2">
        <f t="shared" si="19"/>
        <v>-6000000</v>
      </c>
    </row>
    <row r="52" spans="5:19" ht="15.75" customHeight="1">
      <c r="E52" s="11" t="s">
        <v>8085</v>
      </c>
      <c r="F52" s="12"/>
      <c r="G52" s="11"/>
      <c r="H52" s="2">
        <f t="shared" ref="H52:S52" si="20">+H16</f>
        <v>-13477138.120000001</v>
      </c>
      <c r="I52" s="2" t="e">
        <f t="shared" si="20"/>
        <v>#REF!</v>
      </c>
      <c r="J52" s="2" t="e">
        <f t="shared" si="20"/>
        <v>#REF!</v>
      </c>
      <c r="K52" s="2" t="e">
        <f t="shared" si="20"/>
        <v>#REF!</v>
      </c>
      <c r="L52" s="2" t="e">
        <f t="shared" si="20"/>
        <v>#REF!</v>
      </c>
      <c r="M52" s="2" t="e">
        <f t="shared" si="20"/>
        <v>#REF!</v>
      </c>
      <c r="N52" s="2" t="e">
        <f t="shared" si="20"/>
        <v>#REF!</v>
      </c>
      <c r="O52" s="2" t="e">
        <f t="shared" si="20"/>
        <v>#REF!</v>
      </c>
      <c r="P52" s="2" t="e">
        <f t="shared" si="20"/>
        <v>#REF!</v>
      </c>
      <c r="Q52" s="2" t="e">
        <f t="shared" si="20"/>
        <v>#REF!</v>
      </c>
      <c r="R52" s="2" t="e">
        <f t="shared" si="20"/>
        <v>#REF!</v>
      </c>
      <c r="S52" s="2" t="e">
        <f t="shared" si="20"/>
        <v>#REF!</v>
      </c>
    </row>
    <row r="53" spans="5:19" ht="15.75" customHeight="1">
      <c r="E53" s="11" t="s">
        <v>8086</v>
      </c>
      <c r="F53" s="12"/>
      <c r="G53" s="11"/>
      <c r="H53" s="2">
        <f t="shared" ref="H53:S53" si="21">+H17</f>
        <v>-4444696.0999999996</v>
      </c>
      <c r="I53" s="2" t="e">
        <f t="shared" si="21"/>
        <v>#REF!</v>
      </c>
      <c r="J53" s="2" t="e">
        <f t="shared" si="21"/>
        <v>#REF!</v>
      </c>
      <c r="K53" s="2" t="e">
        <f t="shared" si="21"/>
        <v>#REF!</v>
      </c>
      <c r="L53" s="2" t="e">
        <f t="shared" si="21"/>
        <v>#REF!</v>
      </c>
      <c r="M53" s="2" t="e">
        <f t="shared" si="21"/>
        <v>#REF!</v>
      </c>
      <c r="N53" s="2" t="e">
        <f t="shared" si="21"/>
        <v>#REF!</v>
      </c>
      <c r="O53" s="2" t="e">
        <f t="shared" si="21"/>
        <v>#REF!</v>
      </c>
      <c r="P53" s="2" t="e">
        <f t="shared" si="21"/>
        <v>#REF!</v>
      </c>
      <c r="Q53" s="2" t="e">
        <f t="shared" si="21"/>
        <v>#REF!</v>
      </c>
      <c r="R53" s="2" t="e">
        <f t="shared" si="21"/>
        <v>#REF!</v>
      </c>
      <c r="S53" s="2" t="e">
        <f t="shared" si="21"/>
        <v>#REF!</v>
      </c>
    </row>
    <row r="54" spans="5:19" ht="15.75" customHeight="1">
      <c r="E54" s="15" t="s">
        <v>8087</v>
      </c>
      <c r="F54" s="16"/>
      <c r="G54" s="17"/>
      <c r="H54" s="18">
        <f t="shared" ref="H54:S54" si="22">+SUM(H49:H53)</f>
        <v>-78667742.432379812</v>
      </c>
      <c r="I54" s="18" t="e">
        <f t="shared" si="22"/>
        <v>#REF!</v>
      </c>
      <c r="J54" s="18" t="e">
        <f t="shared" si="22"/>
        <v>#REF!</v>
      </c>
      <c r="K54" s="18" t="e">
        <f t="shared" si="22"/>
        <v>#REF!</v>
      </c>
      <c r="L54" s="18" t="e">
        <f t="shared" si="22"/>
        <v>#REF!</v>
      </c>
      <c r="M54" s="18" t="e">
        <f t="shared" si="22"/>
        <v>#REF!</v>
      </c>
      <c r="N54" s="18" t="e">
        <f t="shared" si="22"/>
        <v>#REF!</v>
      </c>
      <c r="O54" s="18" t="e">
        <f t="shared" si="22"/>
        <v>#REF!</v>
      </c>
      <c r="P54" s="18" t="e">
        <f t="shared" si="22"/>
        <v>#REF!</v>
      </c>
      <c r="Q54" s="18" t="e">
        <f t="shared" si="22"/>
        <v>#REF!</v>
      </c>
      <c r="R54" s="18" t="e">
        <f t="shared" si="22"/>
        <v>#REF!</v>
      </c>
      <c r="S54" s="18" t="e">
        <f t="shared" si="22"/>
        <v>#REF!</v>
      </c>
    </row>
    <row r="55" spans="5:19" ht="15.75" customHeight="1">
      <c r="E55" s="11" t="s">
        <v>8088</v>
      </c>
      <c r="F55" s="12"/>
      <c r="G55" s="11"/>
      <c r="H55" s="21">
        <f t="shared" ref="H55:S55" si="23">+H19</f>
        <v>0</v>
      </c>
      <c r="I55" s="21">
        <f t="shared" si="23"/>
        <v>0</v>
      </c>
      <c r="J55" s="21">
        <f t="shared" si="23"/>
        <v>0</v>
      </c>
      <c r="K55" s="21">
        <f t="shared" si="23"/>
        <v>0</v>
      </c>
      <c r="L55" s="21">
        <f t="shared" si="23"/>
        <v>0</v>
      </c>
      <c r="M55" s="21">
        <f t="shared" si="23"/>
        <v>0</v>
      </c>
      <c r="N55" s="21">
        <f t="shared" si="23"/>
        <v>0</v>
      </c>
      <c r="O55" s="21">
        <f t="shared" si="23"/>
        <v>0</v>
      </c>
      <c r="P55" s="21">
        <f t="shared" si="23"/>
        <v>0</v>
      </c>
      <c r="Q55" s="21">
        <f t="shared" si="23"/>
        <v>0</v>
      </c>
      <c r="R55" s="21">
        <f t="shared" si="23"/>
        <v>0</v>
      </c>
      <c r="S55" s="21">
        <f t="shared" si="23"/>
        <v>0</v>
      </c>
    </row>
    <row r="56" spans="5:19" ht="15.75" customHeight="1">
      <c r="E56" s="11" t="s">
        <v>8089</v>
      </c>
      <c r="F56" s="12"/>
      <c r="G56" s="11"/>
      <c r="H56" s="21">
        <f t="shared" ref="H56:S56" si="24">+H20</f>
        <v>0</v>
      </c>
      <c r="I56" s="21" t="e">
        <f t="shared" si="24"/>
        <v>#REF!</v>
      </c>
      <c r="J56" s="21" t="e">
        <f t="shared" si="24"/>
        <v>#REF!</v>
      </c>
      <c r="K56" s="21">
        <f t="shared" si="24"/>
        <v>0</v>
      </c>
      <c r="L56" s="21">
        <f t="shared" si="24"/>
        <v>0</v>
      </c>
      <c r="M56" s="21">
        <f t="shared" si="24"/>
        <v>0</v>
      </c>
      <c r="N56" s="21">
        <f t="shared" si="24"/>
        <v>0</v>
      </c>
      <c r="O56" s="21">
        <f t="shared" si="24"/>
        <v>0</v>
      </c>
      <c r="P56" s="21">
        <f t="shared" si="24"/>
        <v>0</v>
      </c>
      <c r="Q56" s="21">
        <f t="shared" si="24"/>
        <v>0</v>
      </c>
      <c r="R56" s="21">
        <f t="shared" si="24"/>
        <v>0</v>
      </c>
      <c r="S56" s="21">
        <f t="shared" si="24"/>
        <v>0</v>
      </c>
    </row>
    <row r="57" spans="5:19" ht="15.75" customHeight="1">
      <c r="E57" s="11" t="s">
        <v>8090</v>
      </c>
      <c r="F57" s="12"/>
      <c r="G57" s="11"/>
      <c r="H57" s="21">
        <f t="shared" ref="H57:S57" si="25">+H21</f>
        <v>0</v>
      </c>
      <c r="I57" s="21">
        <f t="shared" si="25"/>
        <v>0</v>
      </c>
      <c r="J57" s="21">
        <f t="shared" si="25"/>
        <v>0</v>
      </c>
      <c r="K57" s="21">
        <f t="shared" si="25"/>
        <v>0</v>
      </c>
      <c r="L57" s="21">
        <f t="shared" si="25"/>
        <v>0</v>
      </c>
      <c r="M57" s="21">
        <f t="shared" si="25"/>
        <v>0</v>
      </c>
      <c r="N57" s="21">
        <f t="shared" si="25"/>
        <v>0</v>
      </c>
      <c r="O57" s="21">
        <f t="shared" si="25"/>
        <v>0</v>
      </c>
      <c r="P57" s="21">
        <f t="shared" si="25"/>
        <v>0</v>
      </c>
      <c r="Q57" s="21">
        <f t="shared" si="25"/>
        <v>0</v>
      </c>
      <c r="R57" s="21">
        <f t="shared" si="25"/>
        <v>0</v>
      </c>
      <c r="S57" s="21">
        <f t="shared" si="25"/>
        <v>0</v>
      </c>
    </row>
    <row r="58" spans="5:19" ht="15.75" customHeight="1">
      <c r="E58" s="15" t="s">
        <v>8434</v>
      </c>
      <c r="F58" s="16"/>
      <c r="G58" s="17"/>
      <c r="H58" s="18">
        <f t="shared" ref="H58:S58" si="26">+SUM(H54:H57)</f>
        <v>-78667742.432379812</v>
      </c>
      <c r="I58" s="18" t="e">
        <f t="shared" si="26"/>
        <v>#REF!</v>
      </c>
      <c r="J58" s="18" t="e">
        <f t="shared" si="26"/>
        <v>#REF!</v>
      </c>
      <c r="K58" s="18" t="e">
        <f t="shared" si="26"/>
        <v>#REF!</v>
      </c>
      <c r="L58" s="18" t="e">
        <f t="shared" si="26"/>
        <v>#REF!</v>
      </c>
      <c r="M58" s="18" t="e">
        <f t="shared" si="26"/>
        <v>#REF!</v>
      </c>
      <c r="N58" s="18" t="e">
        <f t="shared" si="26"/>
        <v>#REF!</v>
      </c>
      <c r="O58" s="18" t="e">
        <f t="shared" si="26"/>
        <v>#REF!</v>
      </c>
      <c r="P58" s="18" t="e">
        <f t="shared" si="26"/>
        <v>#REF!</v>
      </c>
      <c r="Q58" s="18" t="e">
        <f t="shared" si="26"/>
        <v>#REF!</v>
      </c>
      <c r="R58" s="18" t="e">
        <f t="shared" si="26"/>
        <v>#REF!</v>
      </c>
      <c r="S58" s="18" t="e">
        <f t="shared" si="26"/>
        <v>#REF!</v>
      </c>
    </row>
    <row r="59" spans="5:19" ht="15.75" customHeight="1">
      <c r="E59" s="30"/>
      <c r="F59" s="220"/>
      <c r="G59" s="30"/>
      <c r="H59" s="221"/>
      <c r="I59" s="221"/>
      <c r="J59" s="221"/>
      <c r="K59" s="221"/>
      <c r="L59" s="221"/>
      <c r="M59" s="337"/>
      <c r="N59" s="221"/>
      <c r="O59" s="221"/>
      <c r="P59" s="221"/>
      <c r="Q59" s="221"/>
      <c r="R59" s="221"/>
      <c r="S59" s="221"/>
    </row>
    <row r="60" spans="5:19" ht="15.75" customHeight="1">
      <c r="E60" s="30"/>
      <c r="F60" s="220"/>
      <c r="G60" s="30"/>
      <c r="H60" s="221"/>
      <c r="I60" s="221"/>
      <c r="J60" s="221"/>
      <c r="K60" s="221"/>
      <c r="L60" s="221"/>
      <c r="M60" s="337"/>
      <c r="N60" s="221"/>
      <c r="O60" s="221"/>
      <c r="P60" s="221"/>
      <c r="Q60" s="221"/>
      <c r="R60" s="221"/>
      <c r="S60" s="221"/>
    </row>
    <row r="61" spans="5:19" ht="15.75" customHeight="1">
      <c r="E61" s="1"/>
      <c r="F61" s="1"/>
      <c r="G61" s="1"/>
      <c r="H61" s="6"/>
      <c r="I61" s="2"/>
      <c r="J61" s="6"/>
      <c r="K61" s="2"/>
      <c r="L61" s="6"/>
      <c r="M61" s="6"/>
      <c r="N61" s="6"/>
      <c r="O61" s="6"/>
      <c r="P61" s="6"/>
      <c r="Q61" s="6"/>
      <c r="R61" s="6"/>
      <c r="S61" s="6"/>
    </row>
    <row r="62" spans="5:19" ht="15.75" customHeight="1">
      <c r="E62" s="1"/>
      <c r="F62" s="1"/>
      <c r="G62" s="1"/>
      <c r="H62" s="6"/>
      <c r="I62" s="2"/>
      <c r="J62" s="6"/>
      <c r="K62" s="2"/>
      <c r="L62" s="6"/>
      <c r="M62" s="6"/>
      <c r="N62" s="6"/>
      <c r="O62" s="6"/>
      <c r="P62" s="6"/>
      <c r="Q62" s="6"/>
      <c r="R62" s="6"/>
      <c r="S62" s="6"/>
    </row>
    <row r="63" spans="5:19" ht="15.75" customHeight="1">
      <c r="E63" s="1" t="s">
        <v>101</v>
      </c>
      <c r="F63" s="1"/>
      <c r="G63" s="1"/>
      <c r="H63" s="58"/>
      <c r="J63" s="6"/>
      <c r="K63" s="2"/>
      <c r="L63" s="2"/>
      <c r="M63" s="2"/>
      <c r="N63" s="2"/>
      <c r="O63" s="2"/>
      <c r="P63" s="2"/>
      <c r="Q63" s="2"/>
      <c r="R63" s="6"/>
      <c r="S63" s="6"/>
    </row>
    <row r="64" spans="5:19" ht="15.75" customHeight="1">
      <c r="E64" s="33" t="s">
        <v>8435</v>
      </c>
      <c r="F64" s="33"/>
      <c r="G64" s="33"/>
      <c r="H64" s="6"/>
      <c r="J64" s="6"/>
      <c r="K64" s="6"/>
      <c r="L64" s="6"/>
      <c r="M64" s="6"/>
      <c r="N64" s="6"/>
      <c r="O64" s="6"/>
      <c r="P64" s="6"/>
      <c r="Q64" s="6"/>
      <c r="R64" s="6"/>
      <c r="S64" s="6"/>
    </row>
    <row r="65" spans="5:19" ht="15.75" customHeight="1">
      <c r="E65" s="34"/>
      <c r="F65" s="35">
        <v>2023</v>
      </c>
      <c r="G65" s="34"/>
      <c r="H65" s="8">
        <v>44927</v>
      </c>
      <c r="I65" s="8">
        <v>44958</v>
      </c>
      <c r="J65" s="9">
        <v>44986</v>
      </c>
      <c r="K65" s="9">
        <v>45017</v>
      </c>
      <c r="L65" s="9">
        <v>45047</v>
      </c>
      <c r="M65" s="10">
        <v>45078</v>
      </c>
      <c r="N65" s="10"/>
      <c r="O65" s="10"/>
      <c r="P65" s="10"/>
      <c r="Q65" s="10"/>
      <c r="R65" s="10">
        <v>45108</v>
      </c>
      <c r="S65" s="10">
        <v>45139</v>
      </c>
    </row>
    <row r="66" spans="5:19" ht="15.75" customHeight="1">
      <c r="E66" s="34" t="s">
        <v>8436</v>
      </c>
      <c r="F66" s="34"/>
      <c r="G66" s="34"/>
      <c r="H66" s="6"/>
      <c r="J66" s="36"/>
      <c r="K66" s="36"/>
      <c r="L66" s="36"/>
      <c r="M66" s="6"/>
      <c r="N66" s="6"/>
      <c r="O66" s="6"/>
      <c r="P66" s="6"/>
      <c r="Q66" s="6"/>
      <c r="R66" s="6"/>
      <c r="S66" s="6"/>
    </row>
    <row r="67" spans="5:19" ht="15.75" customHeight="1">
      <c r="E67" s="37" t="s">
        <v>8437</v>
      </c>
      <c r="F67" s="38"/>
      <c r="G67" s="34"/>
      <c r="H67" s="2"/>
      <c r="I67" s="2" t="e">
        <f>+I39</f>
        <v>#REF!</v>
      </c>
      <c r="J67" s="2" t="e">
        <f>+J39</f>
        <v>#REF!</v>
      </c>
      <c r="K67" s="2" t="e">
        <f>+K39</f>
        <v>#REF!</v>
      </c>
      <c r="L67" s="2" t="e">
        <f>+L39</f>
        <v>#REF!</v>
      </c>
      <c r="M67" s="2" t="e">
        <f>+M39</f>
        <v>#REF!</v>
      </c>
      <c r="N67" s="2"/>
      <c r="O67" s="2"/>
      <c r="P67" s="2"/>
      <c r="Q67" s="2"/>
      <c r="R67" s="2" t="e">
        <f>+R39</f>
        <v>#REF!</v>
      </c>
      <c r="S67" s="2" t="e">
        <f>+S39</f>
        <v>#REF!</v>
      </c>
    </row>
    <row r="68" spans="5:19" ht="15.75" customHeight="1">
      <c r="E68" s="37" t="s">
        <v>8438</v>
      </c>
      <c r="F68" s="38"/>
      <c r="G68" s="39"/>
      <c r="H68" s="2"/>
      <c r="I68" s="2">
        <v>2169343</v>
      </c>
      <c r="J68" s="2">
        <v>2169343</v>
      </c>
      <c r="K68" s="2">
        <v>37572000</v>
      </c>
      <c r="L68" s="2">
        <v>2169343</v>
      </c>
      <c r="M68" s="98">
        <f>+L68</f>
        <v>2169343</v>
      </c>
      <c r="N68" s="98"/>
      <c r="O68" s="98"/>
      <c r="P68" s="98"/>
      <c r="Q68" s="98"/>
      <c r="R68" s="98">
        <f>+M68</f>
        <v>2169343</v>
      </c>
      <c r="S68" s="98">
        <f t="shared" ref="S68:S70" si="27">+R68</f>
        <v>2169343</v>
      </c>
    </row>
    <row r="69" spans="5:19" ht="15.75" customHeight="1">
      <c r="E69" s="37" t="s">
        <v>8439</v>
      </c>
      <c r="F69" s="38"/>
      <c r="G69" s="39"/>
      <c r="H69" s="2"/>
      <c r="I69" s="2">
        <v>158000</v>
      </c>
      <c r="J69" s="2">
        <v>3653000</v>
      </c>
      <c r="K69" s="2">
        <v>7963068.4199999999</v>
      </c>
      <c r="L69" s="2">
        <v>20415446.5</v>
      </c>
      <c r="M69" s="2">
        <f>+L69</f>
        <v>20415446.5</v>
      </c>
      <c r="N69" s="2"/>
      <c r="O69" s="2"/>
      <c r="P69" s="2"/>
      <c r="Q69" s="2"/>
      <c r="R69" s="2">
        <f>+M69</f>
        <v>20415446.5</v>
      </c>
      <c r="S69" s="2">
        <f t="shared" si="27"/>
        <v>20415446.5</v>
      </c>
    </row>
    <row r="70" spans="5:19" ht="15.75" customHeight="1">
      <c r="E70" s="37" t="s">
        <v>8440</v>
      </c>
      <c r="F70" s="38"/>
      <c r="G70" s="39"/>
      <c r="H70" s="2"/>
      <c r="I70" s="2">
        <v>50000</v>
      </c>
      <c r="J70" s="2">
        <v>50000</v>
      </c>
      <c r="K70" s="2">
        <v>50000</v>
      </c>
      <c r="L70" s="2">
        <v>50000</v>
      </c>
      <c r="M70" s="2">
        <f>+L70</f>
        <v>50000</v>
      </c>
      <c r="N70" s="2"/>
      <c r="O70" s="2"/>
      <c r="P70" s="2"/>
      <c r="Q70" s="2"/>
      <c r="R70" s="2">
        <f>+M70</f>
        <v>50000</v>
      </c>
      <c r="S70" s="2">
        <f t="shared" si="27"/>
        <v>50000</v>
      </c>
    </row>
    <row r="71" spans="5:19" ht="15.75" customHeight="1">
      <c r="E71" s="37" t="s">
        <v>8441</v>
      </c>
      <c r="F71" s="38"/>
      <c r="G71" s="39"/>
      <c r="H71" s="2"/>
      <c r="I71" s="2">
        <f>530928499.44--39327272.2--56757142.3873333-43179170.6248834-3063940.6-3063940.61</f>
        <v>577705862.19244981</v>
      </c>
      <c r="J71" s="2">
        <f>472274395.44-83485519.9984255--39327272.2--56757142.3873333+40978916.97-66472891.1248827-3063940.6-3063940.61-4286098.29999971</f>
        <v>448965336.36402535</v>
      </c>
      <c r="K71" s="2">
        <f>283621000+55316849.6008201-5031381-54701243.8294497-18782625.475667-3063940.6-3063940.61-4247543.78</f>
        <v>250047174.3057034</v>
      </c>
      <c r="L71" s="2">
        <f>55111536.5256575+26802095.4772472-3500000+44022713</f>
        <v>122436345.0029047</v>
      </c>
      <c r="M71" s="2">
        <f>+L71+'Ventas Mini granjas (proyeccion'!F41-'Ventas Mini granjas (proyeccion'!F45+'4  Ventas EPC (Proyeccion)'!C69-'4  Ventas EPC (Proyeccion)'!C71-M29</f>
        <v>3583203585.2729049</v>
      </c>
      <c r="N71" s="2"/>
      <c r="O71" s="2"/>
      <c r="P71" s="2"/>
      <c r="Q71" s="2"/>
      <c r="R71" s="2">
        <f>+M71+'Ventas Mini granjas (proyeccion'!G41-'Ventas Mini granjas (proyeccion'!G45+'4  Ventas EPC (Proyeccion)'!D69-'4  Ventas EPC (Proyeccion)'!D71</f>
        <v>7663203585.2729053</v>
      </c>
      <c r="S71" s="2">
        <f>+R71+'Ventas Mini granjas (proyeccion'!H41-'Ventas Mini granjas (proyeccion'!H45+'4  Ventas EPC (Proyeccion)'!E69-'4  Ventas EPC (Proyeccion)'!E71</f>
        <v>9265834349.7446632</v>
      </c>
    </row>
    <row r="72" spans="5:19" ht="15.75" customHeight="1">
      <c r="E72" s="37" t="s">
        <v>8442</v>
      </c>
      <c r="F72" s="38"/>
      <c r="G72" s="39"/>
      <c r="H72" s="2"/>
      <c r="I72" s="2">
        <f>+H72</f>
        <v>0</v>
      </c>
      <c r="J72" s="2" t="e">
        <f>+I72+J19+J20</f>
        <v>#REF!</v>
      </c>
      <c r="K72" s="2" t="e">
        <f>+J72+K19+K20</f>
        <v>#REF!</v>
      </c>
      <c r="L72" s="2">
        <v>68287905.753980398</v>
      </c>
      <c r="M72" s="2">
        <f>+L72</f>
        <v>68287905.753980398</v>
      </c>
      <c r="N72" s="2"/>
      <c r="O72" s="2"/>
      <c r="P72" s="2"/>
      <c r="Q72" s="2"/>
      <c r="R72" s="2">
        <f>+M72</f>
        <v>68287905.753980398</v>
      </c>
      <c r="S72" s="2">
        <f t="shared" ref="S72:S73" si="28">+R72</f>
        <v>68287905.753980398</v>
      </c>
    </row>
    <row r="73" spans="5:19" ht="15.75" customHeight="1">
      <c r="E73" s="37" t="s">
        <v>8443</v>
      </c>
      <c r="F73" s="38"/>
      <c r="G73" s="39"/>
      <c r="H73" s="2"/>
      <c r="I73" s="2">
        <v>9274000</v>
      </c>
      <c r="J73" s="2">
        <v>9274000</v>
      </c>
      <c r="K73" s="2">
        <f>+J73+24573917.75</f>
        <v>33847917.75</v>
      </c>
      <c r="L73" s="2">
        <v>9274000</v>
      </c>
      <c r="M73" s="2">
        <f>+L73</f>
        <v>9274000</v>
      </c>
      <c r="N73" s="2"/>
      <c r="O73" s="2"/>
      <c r="P73" s="2"/>
      <c r="Q73" s="2"/>
      <c r="R73" s="2">
        <f>+M73</f>
        <v>9274000</v>
      </c>
      <c r="S73" s="2">
        <f t="shared" si="28"/>
        <v>9274000</v>
      </c>
    </row>
    <row r="74" spans="5:19" ht="15.75" customHeight="1">
      <c r="E74" s="40" t="s">
        <v>8444</v>
      </c>
      <c r="F74" s="41"/>
      <c r="G74" s="39"/>
      <c r="H74" s="41">
        <f t="shared" ref="H74:M74" si="29">+SUM(H67:H73)</f>
        <v>0</v>
      </c>
      <c r="I74" s="41" t="e">
        <f t="shared" si="29"/>
        <v>#REF!</v>
      </c>
      <c r="J74" s="42" t="e">
        <f t="shared" si="29"/>
        <v>#REF!</v>
      </c>
      <c r="K74" s="42" t="e">
        <f t="shared" si="29"/>
        <v>#REF!</v>
      </c>
      <c r="L74" s="41" t="e">
        <f t="shared" si="29"/>
        <v>#REF!</v>
      </c>
      <c r="M74" s="41" t="e">
        <f t="shared" si="29"/>
        <v>#REF!</v>
      </c>
      <c r="N74" s="41"/>
      <c r="O74" s="41"/>
      <c r="P74" s="41"/>
      <c r="Q74" s="41"/>
      <c r="R74" s="41" t="e">
        <f t="shared" ref="R74:S74" si="30">+SUM(R67:R73)</f>
        <v>#REF!</v>
      </c>
      <c r="S74" s="41" t="e">
        <f t="shared" si="30"/>
        <v>#REF!</v>
      </c>
    </row>
    <row r="75" spans="5:19" ht="15.75" customHeight="1">
      <c r="E75" s="34"/>
      <c r="F75" s="39"/>
      <c r="G75" s="34"/>
      <c r="H75" s="43"/>
      <c r="I75" s="43"/>
      <c r="J75" s="43"/>
      <c r="K75" s="43"/>
      <c r="L75" s="43"/>
      <c r="M75" s="6"/>
      <c r="N75" s="6"/>
      <c r="O75" s="6"/>
      <c r="P75" s="6"/>
      <c r="Q75" s="6"/>
      <c r="R75" s="6"/>
    </row>
    <row r="76" spans="5:19" ht="15.75" customHeight="1">
      <c r="E76" s="37" t="s">
        <v>8445</v>
      </c>
      <c r="F76" s="38"/>
      <c r="G76" s="39"/>
      <c r="H76" s="44"/>
      <c r="I76" s="44">
        <v>1316733913.5067754</v>
      </c>
      <c r="J76" s="44">
        <v>1685880238.3605869</v>
      </c>
      <c r="K76" s="44">
        <v>1917790373.4059739</v>
      </c>
      <c r="L76" s="44">
        <v>2693439352.3747725</v>
      </c>
      <c r="M76" s="44" t="e">
        <f>+L76-M25</f>
        <v>#REF!</v>
      </c>
      <c r="N76" s="44"/>
      <c r="O76" s="44"/>
      <c r="P76" s="44"/>
      <c r="Q76" s="44"/>
      <c r="R76" s="44" t="e">
        <f>+M76-R25</f>
        <v>#REF!</v>
      </c>
      <c r="S76" s="44" t="e">
        <f>+R76-S25</f>
        <v>#REF!</v>
      </c>
    </row>
    <row r="77" spans="5:19" ht="15.75" customHeight="1">
      <c r="E77" s="37"/>
      <c r="F77" s="38"/>
      <c r="G77" s="39"/>
      <c r="H77" s="44"/>
      <c r="I77" s="44" t="e">
        <f>+H77+#REF!</f>
        <v>#REF!</v>
      </c>
      <c r="J77" s="44" t="e">
        <f>+I77+#REF!</f>
        <v>#REF!</v>
      </c>
      <c r="K77" s="44" t="e">
        <f>+J77+#REF!</f>
        <v>#REF!</v>
      </c>
      <c r="L77" s="44" t="e">
        <f>+K77+#REF!</f>
        <v>#REF!</v>
      </c>
      <c r="M77" s="44" t="e">
        <f>+L77+#REF!</f>
        <v>#REF!</v>
      </c>
      <c r="N77" s="44"/>
      <c r="O77" s="44"/>
      <c r="P77" s="44"/>
      <c r="Q77" s="44"/>
      <c r="R77" s="44" t="e">
        <f>+M77+#REF!</f>
        <v>#REF!</v>
      </c>
      <c r="S77" s="44" t="e">
        <f>+R77+#REF!</f>
        <v>#REF!</v>
      </c>
    </row>
    <row r="78" spans="5:19" ht="15.75" customHeight="1">
      <c r="E78" s="40" t="s">
        <v>8446</v>
      </c>
      <c r="F78" s="41"/>
      <c r="G78" s="39"/>
      <c r="H78" s="41"/>
      <c r="I78" s="41" t="e">
        <f>+I76-I77</f>
        <v>#REF!</v>
      </c>
      <c r="J78" s="41" t="e">
        <f t="shared" ref="J78:S78" si="31">+J76-J77</f>
        <v>#REF!</v>
      </c>
      <c r="K78" s="41" t="e">
        <f t="shared" si="31"/>
        <v>#REF!</v>
      </c>
      <c r="L78" s="41" t="e">
        <f t="shared" si="31"/>
        <v>#REF!</v>
      </c>
      <c r="M78" s="41" t="e">
        <f t="shared" si="31"/>
        <v>#REF!</v>
      </c>
      <c r="N78" s="41"/>
      <c r="O78" s="41"/>
      <c r="P78" s="41"/>
      <c r="Q78" s="41"/>
      <c r="R78" s="41" t="e">
        <f>+R76-R77</f>
        <v>#REF!</v>
      </c>
      <c r="S78" s="41" t="e">
        <f t="shared" si="31"/>
        <v>#REF!</v>
      </c>
    </row>
    <row r="79" spans="5:19" ht="15.75" customHeight="1">
      <c r="E79" s="40" t="s">
        <v>8447</v>
      </c>
      <c r="F79" s="41"/>
      <c r="G79" s="39"/>
      <c r="H79" s="41"/>
      <c r="I79" s="41" t="e">
        <f t="shared" ref="I79:S79" si="32">+I78+I74</f>
        <v>#REF!</v>
      </c>
      <c r="J79" s="42" t="e">
        <f t="shared" si="32"/>
        <v>#REF!</v>
      </c>
      <c r="K79" s="42" t="e">
        <f t="shared" si="32"/>
        <v>#REF!</v>
      </c>
      <c r="L79" s="41" t="e">
        <f>+L78+L74</f>
        <v>#REF!</v>
      </c>
      <c r="M79" s="41" t="e">
        <f t="shared" si="32"/>
        <v>#REF!</v>
      </c>
      <c r="N79" s="41"/>
      <c r="O79" s="41"/>
      <c r="P79" s="41"/>
      <c r="Q79" s="41"/>
      <c r="R79" s="41" t="e">
        <f t="shared" si="32"/>
        <v>#REF!</v>
      </c>
      <c r="S79" s="41" t="e">
        <f t="shared" si="32"/>
        <v>#REF!</v>
      </c>
    </row>
    <row r="80" spans="5:19" ht="15.75" customHeight="1">
      <c r="E80" s="34"/>
      <c r="F80" s="39"/>
      <c r="G80" s="34"/>
      <c r="H80" s="45"/>
      <c r="I80" s="46" t="e">
        <f>+I79/H79-1</f>
        <v>#REF!</v>
      </c>
      <c r="J80" s="47" t="e">
        <f>+J79/I79-1</f>
        <v>#REF!</v>
      </c>
      <c r="K80" s="47" t="e">
        <f>+K79/J79-1</f>
        <v>#REF!</v>
      </c>
      <c r="L80" s="46" t="e">
        <f>+L79/K79-1</f>
        <v>#REF!</v>
      </c>
      <c r="M80" s="46" t="e">
        <f>+M79/L79-1</f>
        <v>#REF!</v>
      </c>
      <c r="N80" s="46"/>
      <c r="O80" s="46"/>
      <c r="P80" s="46"/>
      <c r="Q80" s="46"/>
      <c r="R80" s="46" t="e">
        <f>+R79/M79-1</f>
        <v>#REF!</v>
      </c>
      <c r="S80" s="46" t="e">
        <f t="shared" ref="S80" si="33">+S79/R79-1</f>
        <v>#REF!</v>
      </c>
    </row>
    <row r="81" spans="5:19" ht="15.75" customHeight="1">
      <c r="E81" s="48" t="s">
        <v>8448</v>
      </c>
      <c r="F81" s="49"/>
      <c r="G81" s="49"/>
      <c r="H81" s="6"/>
      <c r="J81" s="2"/>
      <c r="K81" s="2"/>
      <c r="L81" s="2"/>
      <c r="M81" s="13"/>
      <c r="N81" s="13"/>
      <c r="O81" s="13"/>
      <c r="P81" s="13"/>
      <c r="Q81" s="13"/>
    </row>
    <row r="82" spans="5:19" ht="15.75" customHeight="1">
      <c r="E82" s="58"/>
      <c r="F82" s="38"/>
      <c r="G82" s="39"/>
      <c r="H82" s="2"/>
      <c r="I82" s="2"/>
      <c r="J82" s="2"/>
      <c r="K82" s="2"/>
      <c r="L82" s="2"/>
      <c r="M82" s="2"/>
      <c r="N82" s="2"/>
      <c r="O82" s="2"/>
      <c r="P82" s="2"/>
      <c r="Q82" s="2"/>
      <c r="R82" s="2"/>
      <c r="S82" s="2"/>
    </row>
    <row r="83" spans="5:19" ht="15.75" customHeight="1">
      <c r="E83" s="58" t="s">
        <v>8449</v>
      </c>
      <c r="F83" s="38"/>
      <c r="G83" s="39"/>
      <c r="H83" s="2"/>
      <c r="I83" s="2" t="e">
        <f>+H83+I32-10806017.98</f>
        <v>#REF!</v>
      </c>
      <c r="J83" s="2" t="e">
        <f>+I83+183566050+3495000</f>
        <v>#REF!</v>
      </c>
      <c r="K83" s="2">
        <f>439859000+72304000</f>
        <v>512163000</v>
      </c>
      <c r="L83" s="2" t="e">
        <f>+K83-280000000-100000000+44837000-30000000-3500000+'5. Deuda'!#REF!</f>
        <v>#REF!</v>
      </c>
      <c r="M83" s="2" t="e">
        <f>+'5. Deuda'!#REF!+'5. Deuda'!#REF!</f>
        <v>#REF!</v>
      </c>
      <c r="N83" s="2"/>
      <c r="O83" s="2"/>
      <c r="P83" s="2"/>
      <c r="Q83" s="2"/>
      <c r="R83" s="2" t="e">
        <f>+'5. Deuda'!#REF!+'5. Deuda'!#REF!</f>
        <v>#REF!</v>
      </c>
      <c r="S83" s="2" t="e">
        <f>+'5. Deuda'!#REF!+'5. Deuda'!#REF!</f>
        <v>#REF!</v>
      </c>
    </row>
    <row r="84" spans="5:19" ht="15.75" customHeight="1">
      <c r="E84" s="58" t="s">
        <v>8450</v>
      </c>
      <c r="F84" s="38"/>
      <c r="G84" s="39"/>
      <c r="H84" s="2"/>
      <c r="I84" s="2">
        <f>+H84</f>
        <v>0</v>
      </c>
      <c r="J84" s="2">
        <f>+I84</f>
        <v>0</v>
      </c>
      <c r="K84" s="2">
        <v>37644000</v>
      </c>
      <c r="L84" s="2">
        <f>+K84</f>
        <v>37644000</v>
      </c>
      <c r="M84" s="2">
        <f>+L84</f>
        <v>37644000</v>
      </c>
      <c r="N84" s="2"/>
      <c r="O84" s="2"/>
      <c r="P84" s="2"/>
      <c r="Q84" s="2"/>
      <c r="R84" s="2">
        <f>+M84</f>
        <v>37644000</v>
      </c>
      <c r="S84" s="2">
        <f t="shared" ref="S84:S85" si="34">+R84</f>
        <v>37644000</v>
      </c>
    </row>
    <row r="85" spans="5:19" ht="15.75" customHeight="1">
      <c r="E85" s="58" t="s">
        <v>8451</v>
      </c>
      <c r="F85" s="38"/>
      <c r="G85" s="39"/>
      <c r="H85" s="2"/>
      <c r="I85" s="2">
        <f>+H85-2033000+10806017.98</f>
        <v>8773017.9800000004</v>
      </c>
      <c r="J85" s="2">
        <f>+I85-6070000-4470600.92-602000</f>
        <v>-2369582.9399999995</v>
      </c>
      <c r="K85" s="2">
        <v>8072000</v>
      </c>
      <c r="L85" s="2">
        <f>+K85</f>
        <v>8072000</v>
      </c>
      <c r="M85" s="2" t="e">
        <f>+'5. Deuda'!#REF!</f>
        <v>#REF!</v>
      </c>
      <c r="N85" s="2"/>
      <c r="O85" s="2"/>
      <c r="P85" s="2"/>
      <c r="Q85" s="2"/>
      <c r="R85" s="2" t="e">
        <f>+M85</f>
        <v>#REF!</v>
      </c>
      <c r="S85" s="2" t="e">
        <f t="shared" si="34"/>
        <v>#REF!</v>
      </c>
    </row>
    <row r="86" spans="5:19" ht="15.75" customHeight="1">
      <c r="E86" s="58" t="s">
        <v>8452</v>
      </c>
      <c r="F86" s="38"/>
      <c r="G86" s="39"/>
      <c r="H86" s="2"/>
      <c r="I86" s="2">
        <f>+H86+25356600+14150000+15000000+81661786</f>
        <v>136168386</v>
      </c>
      <c r="J86" s="2">
        <f>+I86+8500000</f>
        <v>144668386</v>
      </c>
      <c r="K86" s="2">
        <v>111351000</v>
      </c>
      <c r="L86" s="2" t="e">
        <f>+'5. Deuda'!#REF!</f>
        <v>#REF!</v>
      </c>
      <c r="M86" s="2" t="e">
        <f>+'5. Deuda'!#REF!</f>
        <v>#REF!</v>
      </c>
      <c r="N86" s="2"/>
      <c r="O86" s="2"/>
      <c r="P86" s="2"/>
      <c r="Q86" s="2"/>
      <c r="R86" s="2" t="e">
        <f>+M86+'Ventas Mini granjas (proyeccion'!G42-'Ventas Mini granjas (proyeccion'!G46+'4  Ventas EPC (Proyeccion)'!D70-'4  Ventas EPC (Proyeccion)'!D72</f>
        <v>#REF!</v>
      </c>
      <c r="S86" s="2" t="e">
        <f>+R86+'Ventas Mini granjas (proyeccion'!H42-'Ventas Mini granjas (proyeccion'!H46+'4  Ventas EPC (Proyeccion)'!E70-'4  Ventas EPC (Proyeccion)'!E72</f>
        <v>#REF!</v>
      </c>
    </row>
    <row r="87" spans="5:19" ht="15.75" customHeight="1">
      <c r="E87" s="40" t="s">
        <v>8453</v>
      </c>
      <c r="F87" s="41"/>
      <c r="G87" s="39"/>
      <c r="H87" s="41"/>
      <c r="I87" s="41" t="e">
        <f t="shared" ref="I87:S87" si="35">+SUM(I82:I86)</f>
        <v>#REF!</v>
      </c>
      <c r="J87" s="42" t="e">
        <f t="shared" si="35"/>
        <v>#REF!</v>
      </c>
      <c r="K87" s="42">
        <f t="shared" si="35"/>
        <v>669230000</v>
      </c>
      <c r="L87" s="42" t="e">
        <f t="shared" si="35"/>
        <v>#REF!</v>
      </c>
      <c r="M87" s="42" t="e">
        <f t="shared" si="35"/>
        <v>#REF!</v>
      </c>
      <c r="N87" s="42"/>
      <c r="O87" s="42"/>
      <c r="P87" s="42"/>
      <c r="Q87" s="42"/>
      <c r="R87" s="42" t="e">
        <f t="shared" si="35"/>
        <v>#REF!</v>
      </c>
      <c r="S87" s="42" t="e">
        <f t="shared" si="35"/>
        <v>#REF!</v>
      </c>
    </row>
    <row r="88" spans="5:19" ht="15.75" customHeight="1">
      <c r="E88" s="39"/>
      <c r="F88" s="39"/>
      <c r="G88" s="39"/>
      <c r="H88" s="50"/>
      <c r="I88" s="2"/>
      <c r="J88" s="2"/>
      <c r="K88" s="2"/>
      <c r="L88" s="2"/>
      <c r="M88" s="2"/>
      <c r="N88" s="2"/>
      <c r="O88" s="2"/>
      <c r="P88" s="2"/>
      <c r="Q88" s="2"/>
      <c r="R88" s="2"/>
    </row>
    <row r="89" spans="5:19" ht="15.75" customHeight="1">
      <c r="E89" s="39" t="s">
        <v>8454</v>
      </c>
      <c r="F89" s="39"/>
      <c r="G89" s="39"/>
      <c r="H89" s="2"/>
      <c r="I89" s="2"/>
      <c r="J89" s="2"/>
      <c r="K89" s="2">
        <v>100000000</v>
      </c>
      <c r="L89" s="2">
        <f>+K89+100000000</f>
        <v>200000000</v>
      </c>
      <c r="M89" s="2" t="e">
        <f>+'5. Deuda'!#REF!</f>
        <v>#REF!</v>
      </c>
      <c r="N89" s="2"/>
      <c r="O89" s="2"/>
      <c r="P89" s="2"/>
      <c r="Q89" s="2"/>
      <c r="R89" s="2" t="e">
        <f>+'5. Deuda'!#REF!</f>
        <v>#REF!</v>
      </c>
      <c r="S89" s="2" t="e">
        <f>+'5. Deuda'!#REF!</f>
        <v>#REF!</v>
      </c>
    </row>
    <row r="90" spans="5:19" ht="15.75" customHeight="1">
      <c r="E90" s="37" t="s">
        <v>8455</v>
      </c>
      <c r="F90" s="38"/>
      <c r="G90" s="39"/>
      <c r="H90" s="2"/>
      <c r="I90" s="2">
        <f t="shared" ref="I90:S90" si="36">+H90</f>
        <v>0</v>
      </c>
      <c r="J90" s="2">
        <f t="shared" si="36"/>
        <v>0</v>
      </c>
      <c r="K90" s="2">
        <f t="shared" si="36"/>
        <v>0</v>
      </c>
      <c r="L90" s="2">
        <f t="shared" si="36"/>
        <v>0</v>
      </c>
      <c r="M90" s="2">
        <f t="shared" si="36"/>
        <v>0</v>
      </c>
      <c r="N90" s="2"/>
      <c r="O90" s="2"/>
      <c r="P90" s="2"/>
      <c r="Q90" s="2"/>
      <c r="R90" s="2">
        <f>+M90</f>
        <v>0</v>
      </c>
      <c r="S90" s="2">
        <f t="shared" si="36"/>
        <v>0</v>
      </c>
    </row>
    <row r="91" spans="5:19" ht="15.75" customHeight="1">
      <c r="E91" s="40" t="s">
        <v>8456</v>
      </c>
      <c r="F91" s="41"/>
      <c r="G91" s="39"/>
      <c r="H91" s="41"/>
      <c r="I91" s="41">
        <f t="shared" ref="I91:J91" si="37">+I90</f>
        <v>0</v>
      </c>
      <c r="J91" s="42">
        <f t="shared" si="37"/>
        <v>0</v>
      </c>
      <c r="K91" s="42">
        <f>+K90+K89</f>
        <v>100000000</v>
      </c>
      <c r="L91" s="42">
        <f>+L90+L89</f>
        <v>200000000</v>
      </c>
      <c r="M91" s="42" t="e">
        <f t="shared" ref="M91" si="38">+M90+M89</f>
        <v>#REF!</v>
      </c>
      <c r="N91" s="42"/>
      <c r="O91" s="42"/>
      <c r="P91" s="42"/>
      <c r="Q91" s="42"/>
      <c r="R91" s="42" t="e">
        <f>+R90+R89</f>
        <v>#REF!</v>
      </c>
      <c r="S91" s="42" t="e">
        <f>+S90+S89</f>
        <v>#REF!</v>
      </c>
    </row>
    <row r="92" spans="5:19" ht="15.75" customHeight="1">
      <c r="E92" s="40" t="s">
        <v>8457</v>
      </c>
      <c r="F92" s="41"/>
      <c r="G92" s="39"/>
      <c r="H92" s="41"/>
      <c r="I92" s="41" t="e">
        <f t="shared" ref="I92:S92" si="39">+I91+I87</f>
        <v>#REF!</v>
      </c>
      <c r="J92" s="42" t="e">
        <f t="shared" si="39"/>
        <v>#REF!</v>
      </c>
      <c r="K92" s="42">
        <f>+K91+K87</f>
        <v>769230000</v>
      </c>
      <c r="L92" s="41" t="e">
        <f t="shared" si="39"/>
        <v>#REF!</v>
      </c>
      <c r="M92" s="41" t="e">
        <f t="shared" si="39"/>
        <v>#REF!</v>
      </c>
      <c r="N92" s="41"/>
      <c r="O92" s="41"/>
      <c r="P92" s="41"/>
      <c r="Q92" s="41"/>
      <c r="R92" s="41" t="e">
        <f t="shared" si="39"/>
        <v>#REF!</v>
      </c>
      <c r="S92" s="41" t="e">
        <f t="shared" si="39"/>
        <v>#REF!</v>
      </c>
    </row>
    <row r="93" spans="5:19" ht="15.75" customHeight="1">
      <c r="E93" s="39"/>
      <c r="F93" s="39"/>
      <c r="G93" s="39"/>
      <c r="H93" s="51"/>
      <c r="I93" s="52" t="e">
        <f>+I92/H92-1</f>
        <v>#REF!</v>
      </c>
      <c r="J93" s="53" t="e">
        <f>+J92/I92-1</f>
        <v>#REF!</v>
      </c>
      <c r="K93" s="53" t="e">
        <f>+K92/J92-1</f>
        <v>#REF!</v>
      </c>
      <c r="L93" s="52" t="e">
        <f>+L92/K92-1</f>
        <v>#REF!</v>
      </c>
      <c r="M93" s="52" t="e">
        <f>+M92/L92-1</f>
        <v>#REF!</v>
      </c>
      <c r="N93" s="52"/>
      <c r="O93" s="52"/>
      <c r="P93" s="52"/>
      <c r="Q93" s="52"/>
      <c r="R93" s="52" t="e">
        <f>+R92/M92-1</f>
        <v>#REF!</v>
      </c>
      <c r="S93" s="52" t="e">
        <f t="shared" ref="S93" si="40">+S92/R92-1</f>
        <v>#REF!</v>
      </c>
    </row>
    <row r="94" spans="5:19" ht="15.75" customHeight="1">
      <c r="E94" s="69" t="s">
        <v>8458</v>
      </c>
      <c r="F94" s="39"/>
      <c r="G94" s="39"/>
      <c r="H94" s="2"/>
      <c r="I94" s="2"/>
      <c r="J94" s="2"/>
      <c r="K94" s="2"/>
      <c r="L94" s="2"/>
      <c r="M94" s="2"/>
      <c r="N94" s="2"/>
      <c r="O94" s="2"/>
      <c r="P94" s="2"/>
      <c r="Q94" s="2"/>
      <c r="R94" s="2"/>
    </row>
    <row r="95" spans="5:19" ht="15.75" customHeight="1">
      <c r="E95" s="58" t="s">
        <v>8459</v>
      </c>
      <c r="F95" s="38"/>
      <c r="G95" s="39"/>
      <c r="H95" s="2"/>
      <c r="I95" s="2">
        <f>+H95</f>
        <v>0</v>
      </c>
      <c r="J95" s="2">
        <f>+I95</f>
        <v>0</v>
      </c>
      <c r="K95" s="2">
        <f>+J95</f>
        <v>0</v>
      </c>
      <c r="L95" s="2">
        <f>+K95</f>
        <v>0</v>
      </c>
      <c r="M95" s="2">
        <f>+L95</f>
        <v>0</v>
      </c>
      <c r="N95" s="2"/>
      <c r="O95" s="2"/>
      <c r="P95" s="2"/>
      <c r="Q95" s="2"/>
      <c r="R95" s="2">
        <f>+M95</f>
        <v>0</v>
      </c>
      <c r="S95" s="2">
        <f t="shared" ref="S95" si="41">+R95</f>
        <v>0</v>
      </c>
    </row>
    <row r="96" spans="5:19" ht="15.75" customHeight="1">
      <c r="E96" s="58" t="s">
        <v>8460</v>
      </c>
      <c r="F96" s="38"/>
      <c r="G96" s="39"/>
      <c r="H96" s="2"/>
      <c r="I96" s="2" t="e">
        <f>+#REF!</f>
        <v>#REF!</v>
      </c>
      <c r="J96" s="2" t="e">
        <f>+#REF!</f>
        <v>#REF!</v>
      </c>
      <c r="K96" s="2" t="e">
        <f>+#REF!</f>
        <v>#REF!</v>
      </c>
      <c r="L96" s="2" t="e">
        <f>+#REF!</f>
        <v>#REF!</v>
      </c>
      <c r="M96" s="2" t="e">
        <f>+#REF!</f>
        <v>#REF!</v>
      </c>
      <c r="N96" s="2"/>
      <c r="O96" s="2"/>
      <c r="P96" s="2"/>
      <c r="Q96" s="2"/>
      <c r="R96" s="2" t="e">
        <f>+#REF!</f>
        <v>#REF!</v>
      </c>
      <c r="S96" s="2" t="e">
        <f>+#REF!</f>
        <v>#REF!</v>
      </c>
    </row>
    <row r="97" spans="5:19" ht="15.75" customHeight="1">
      <c r="E97" s="58" t="s">
        <v>8461</v>
      </c>
      <c r="F97" s="54"/>
      <c r="G97" s="55"/>
      <c r="H97" s="2"/>
      <c r="I97" s="2">
        <f>+H97+H96</f>
        <v>0</v>
      </c>
      <c r="J97" s="2" t="e">
        <f t="shared" ref="J97:S97" si="42">+I97+I96</f>
        <v>#REF!</v>
      </c>
      <c r="K97" s="2" t="e">
        <f t="shared" si="42"/>
        <v>#REF!</v>
      </c>
      <c r="L97" s="2" t="e">
        <f>+K97+K96</f>
        <v>#REF!</v>
      </c>
      <c r="M97" s="2" t="e">
        <f t="shared" si="42"/>
        <v>#REF!</v>
      </c>
      <c r="N97" s="2"/>
      <c r="O97" s="2"/>
      <c r="P97" s="2"/>
      <c r="Q97" s="2"/>
      <c r="R97" s="2" t="e">
        <f>+M97+M96</f>
        <v>#REF!</v>
      </c>
      <c r="S97" s="2" t="e">
        <f t="shared" si="42"/>
        <v>#REF!</v>
      </c>
    </row>
    <row r="98" spans="5:19" ht="15.75" customHeight="1">
      <c r="E98" s="58" t="s">
        <v>8462</v>
      </c>
      <c r="F98" s="54"/>
      <c r="G98" s="55"/>
      <c r="H98" s="2"/>
      <c r="I98" s="2">
        <f>+H98+I35</f>
        <v>0</v>
      </c>
      <c r="J98" s="2">
        <f>+I98+J35</f>
        <v>0</v>
      </c>
      <c r="K98" s="2">
        <f>+J98+K35</f>
        <v>0</v>
      </c>
      <c r="L98" s="2">
        <f>+K98+L35</f>
        <v>0</v>
      </c>
      <c r="M98" s="2">
        <f>+L98+M35</f>
        <v>0</v>
      </c>
      <c r="N98" s="2"/>
      <c r="O98" s="2"/>
      <c r="P98" s="2"/>
      <c r="Q98" s="2"/>
      <c r="R98" s="2">
        <f>+M98+R35</f>
        <v>0</v>
      </c>
      <c r="S98" s="2" t="e">
        <f>+R98+S35+#REF!</f>
        <v>#REF!</v>
      </c>
    </row>
    <row r="99" spans="5:19" ht="15.75" customHeight="1">
      <c r="E99" s="40" t="s">
        <v>8463</v>
      </c>
      <c r="F99" s="29"/>
      <c r="G99" s="55"/>
      <c r="H99" s="56"/>
      <c r="I99" s="56" t="e">
        <f t="shared" ref="I99:M99" si="43">+SUM(I95:I98)</f>
        <v>#REF!</v>
      </c>
      <c r="J99" s="57" t="e">
        <f t="shared" si="43"/>
        <v>#REF!</v>
      </c>
      <c r="K99" s="57" t="e">
        <f t="shared" si="43"/>
        <v>#REF!</v>
      </c>
      <c r="L99" s="29" t="e">
        <f t="shared" si="43"/>
        <v>#REF!</v>
      </c>
      <c r="M99" s="29" t="e">
        <f t="shared" si="43"/>
        <v>#REF!</v>
      </c>
      <c r="N99" s="29"/>
      <c r="O99" s="29"/>
      <c r="P99" s="29"/>
      <c r="Q99" s="29"/>
      <c r="R99" s="29" t="e">
        <f t="shared" ref="R99:S99" si="44">+SUM(R95:R98)</f>
        <v>#REF!</v>
      </c>
      <c r="S99" s="29" t="e">
        <f t="shared" si="44"/>
        <v>#REF!</v>
      </c>
    </row>
    <row r="100" spans="5:19" ht="15.75" customHeight="1">
      <c r="E100" s="6"/>
      <c r="F100" s="58"/>
      <c r="G100" s="6"/>
      <c r="H100" s="59"/>
      <c r="I100" s="60" t="e">
        <f>+I99/H99-1</f>
        <v>#REF!</v>
      </c>
      <c r="J100" s="59" t="e">
        <f>+J99/I99-1</f>
        <v>#REF!</v>
      </c>
      <c r="K100" s="59" t="e">
        <f>+K99/J99-1</f>
        <v>#REF!</v>
      </c>
      <c r="L100" s="60" t="e">
        <f>+L99/K99-1</f>
        <v>#REF!</v>
      </c>
      <c r="M100" s="60" t="e">
        <f>+M99/L99-1</f>
        <v>#REF!</v>
      </c>
      <c r="N100" s="60"/>
      <c r="O100" s="60"/>
      <c r="P100" s="60"/>
      <c r="Q100" s="60"/>
      <c r="R100" s="60" t="e">
        <f>+R99/M99-1</f>
        <v>#REF!</v>
      </c>
      <c r="S100" s="60" t="e">
        <f t="shared" ref="S100" si="45">+S99/R99-1</f>
        <v>#REF!</v>
      </c>
    </row>
    <row r="101" spans="5:19" ht="15.75" customHeight="1">
      <c r="E101" s="39"/>
      <c r="F101" s="39"/>
      <c r="G101" s="39"/>
      <c r="H101" s="44"/>
      <c r="I101" s="44"/>
      <c r="J101" s="44"/>
      <c r="K101" s="44"/>
      <c r="L101" s="44"/>
      <c r="M101" s="6"/>
      <c r="N101" s="6"/>
      <c r="O101" s="6"/>
      <c r="P101" s="6"/>
      <c r="Q101" s="6"/>
      <c r="R101" s="6"/>
    </row>
    <row r="102" spans="5:19" ht="15.75" customHeight="1">
      <c r="E102" s="40" t="s">
        <v>8464</v>
      </c>
      <c r="F102" s="41"/>
      <c r="G102" s="39"/>
      <c r="H102" s="41"/>
      <c r="I102" s="41" t="e">
        <f t="shared" ref="I102:S102" si="46">+I99+I92</f>
        <v>#REF!</v>
      </c>
      <c r="J102" s="42" t="e">
        <f t="shared" si="46"/>
        <v>#REF!</v>
      </c>
      <c r="K102" s="41" t="e">
        <f t="shared" si="46"/>
        <v>#REF!</v>
      </c>
      <c r="L102" s="41" t="e">
        <f t="shared" si="46"/>
        <v>#REF!</v>
      </c>
      <c r="M102" s="41" t="e">
        <f t="shared" si="46"/>
        <v>#REF!</v>
      </c>
      <c r="N102" s="41"/>
      <c r="O102" s="41"/>
      <c r="P102" s="41"/>
      <c r="Q102" s="41"/>
      <c r="R102" s="41" t="e">
        <f t="shared" si="46"/>
        <v>#REF!</v>
      </c>
      <c r="S102" s="41" t="e">
        <f t="shared" si="46"/>
        <v>#REF!</v>
      </c>
    </row>
    <row r="103" spans="5:19" ht="15.75" customHeight="1">
      <c r="E103" s="48"/>
      <c r="F103" s="61"/>
      <c r="G103" s="39"/>
      <c r="H103" s="62"/>
      <c r="I103" s="63" t="e">
        <f>+I102/H102-1</f>
        <v>#REF!</v>
      </c>
      <c r="J103" s="64" t="e">
        <f>+J102/I102-1</f>
        <v>#REF!</v>
      </c>
      <c r="K103" s="63" t="e">
        <f>+K102/J102-1</f>
        <v>#REF!</v>
      </c>
      <c r="L103" s="63" t="e">
        <f>+L102/K102-1</f>
        <v>#REF!</v>
      </c>
      <c r="M103" s="63" t="e">
        <f>+M102/L102-1</f>
        <v>#REF!</v>
      </c>
      <c r="N103" s="63"/>
      <c r="O103" s="63"/>
      <c r="P103" s="63"/>
      <c r="Q103" s="63"/>
      <c r="R103" s="63" t="e">
        <f>+R102/M102-1</f>
        <v>#REF!</v>
      </c>
      <c r="S103" s="63" t="e">
        <f t="shared" ref="S103" si="47">+S102/R102-1</f>
        <v>#REF!</v>
      </c>
    </row>
    <row r="104" spans="5:19" ht="15.75" customHeight="1">
      <c r="E104" s="39"/>
      <c r="F104" s="39"/>
      <c r="G104" s="39"/>
      <c r="H104" s="6"/>
      <c r="J104" s="6"/>
      <c r="K104" s="6"/>
      <c r="L104" s="6"/>
      <c r="M104" s="6"/>
      <c r="N104" s="6"/>
      <c r="O104" s="6"/>
      <c r="P104" s="6"/>
      <c r="Q104" s="6"/>
      <c r="R104" s="6"/>
    </row>
    <row r="105" spans="5:19" ht="15.75" customHeight="1">
      <c r="E105" s="34"/>
      <c r="F105" s="65"/>
      <c r="G105" s="99"/>
      <c r="H105" s="65"/>
      <c r="I105" s="65" t="e">
        <f t="shared" ref="I105:K105" si="48">I102=I79</f>
        <v>#REF!</v>
      </c>
      <c r="J105" s="66" t="e">
        <f t="shared" si="48"/>
        <v>#REF!</v>
      </c>
      <c r="K105" s="66" t="e">
        <f t="shared" si="48"/>
        <v>#REF!</v>
      </c>
      <c r="L105" s="65" t="e">
        <f>+L106=0</f>
        <v>#REF!</v>
      </c>
      <c r="M105" s="65" t="e">
        <f>+M106=0</f>
        <v>#REF!</v>
      </c>
      <c r="N105" s="65"/>
      <c r="O105" s="65"/>
      <c r="P105" s="65"/>
      <c r="Q105" s="65"/>
      <c r="R105" s="65" t="e">
        <f t="shared" ref="R105:S105" si="49">+R106=0</f>
        <v>#REF!</v>
      </c>
      <c r="S105" s="65" t="e">
        <f t="shared" si="49"/>
        <v>#REF!</v>
      </c>
    </row>
    <row r="106" spans="5:19" s="68" customFormat="1" ht="15.75" customHeight="1">
      <c r="E106" s="39"/>
      <c r="F106" s="67"/>
      <c r="G106" s="100"/>
      <c r="H106" s="67"/>
      <c r="I106" s="67" t="e">
        <f>+I102-I79</f>
        <v>#REF!</v>
      </c>
      <c r="J106" s="67" t="e">
        <f t="shared" ref="J106:S106" si="50">+J102-J79</f>
        <v>#REF!</v>
      </c>
      <c r="K106" s="67" t="e">
        <f t="shared" si="50"/>
        <v>#REF!</v>
      </c>
      <c r="L106" s="67" t="e">
        <f t="shared" si="50"/>
        <v>#REF!</v>
      </c>
      <c r="M106" s="67" t="e">
        <f t="shared" si="50"/>
        <v>#REF!</v>
      </c>
      <c r="N106" s="67"/>
      <c r="O106" s="67"/>
      <c r="P106" s="67"/>
      <c r="Q106" s="67"/>
      <c r="R106" s="67" t="e">
        <f>+R102-R79</f>
        <v>#REF!</v>
      </c>
      <c r="S106" s="67" t="e">
        <f t="shared" si="50"/>
        <v>#REF!</v>
      </c>
    </row>
    <row r="126" spans="5:10" ht="15.75" customHeight="1">
      <c r="E126" s="1188"/>
      <c r="F126" s="1188"/>
      <c r="G126" s="1188"/>
      <c r="H126" s="1188"/>
      <c r="I126" s="1188"/>
      <c r="J126" s="1188"/>
    </row>
    <row r="151" spans="19:19" ht="15.75" customHeight="1">
      <c r="S151" s="69" t="s">
        <v>3107</v>
      </c>
    </row>
  </sheetData>
  <mergeCells count="2">
    <mergeCell ref="E5:F5"/>
    <mergeCell ref="E126:J126"/>
  </mergeCells>
  <conditionalFormatting sqref="H39:S39">
    <cfRule type="expression" dxfId="3" priority="1">
      <formula>H39&lt;0</formula>
    </cfRule>
    <cfRule type="expression" dxfId="2" priority="2">
      <formula>H39&gt;0</formula>
    </cfRule>
  </conditionalFormatting>
  <pageMargins left="0.7" right="0.7" top="0.75" bottom="0.75" header="0" footer="0"/>
  <pageSetup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86F26-5E2A-4807-9FDB-7E7F01679155}">
  <sheetPr>
    <outlinePr summaryBelow="0" summaryRight="0"/>
  </sheetPr>
  <dimension ref="B1:R85"/>
  <sheetViews>
    <sheetView topLeftCell="B31" zoomScale="57" zoomScaleNormal="130" workbookViewId="0">
      <selection activeCell="L47" sqref="L47"/>
    </sheetView>
  </sheetViews>
  <sheetFormatPr defaultColWidth="14.3828125" defaultRowHeight="15" customHeight="1"/>
  <cols>
    <col min="1" max="1" width="16.3046875" style="6" bestFit="1" customWidth="1"/>
    <col min="2" max="2" width="12.84375" style="6" bestFit="1" customWidth="1"/>
    <col min="3" max="4" width="19.84375" style="6" customWidth="1"/>
    <col min="5" max="5" width="14.3828125" style="6"/>
    <col min="6" max="6" width="6.61328125" style="6" bestFit="1" customWidth="1"/>
    <col min="7" max="7" width="15.3828125" style="2" bestFit="1" customWidth="1"/>
    <col min="8" max="8" width="12.921875" style="6" bestFit="1" customWidth="1"/>
    <col min="9" max="10" width="14.765625" style="6" bestFit="1" customWidth="1"/>
    <col min="11" max="11" width="20.3046875" style="6" bestFit="1" customWidth="1"/>
    <col min="12" max="12" width="18" style="6" bestFit="1" customWidth="1"/>
    <col min="13" max="13" width="21.15234375" style="6" bestFit="1" customWidth="1"/>
    <col min="14" max="14" width="20.53515625" style="6" bestFit="1" customWidth="1"/>
    <col min="15" max="16" width="15.84375" style="6" bestFit="1" customWidth="1"/>
    <col min="17" max="17" width="17.53515625" style="6" bestFit="1" customWidth="1"/>
    <col min="18" max="16384" width="14.3828125" style="6"/>
  </cols>
  <sheetData>
    <row r="1" spans="2:18" ht="15" customHeight="1" thickBot="1"/>
    <row r="2" spans="2:18" ht="15" customHeight="1" thickBot="1">
      <c r="F2" s="1201" t="s">
        <v>3107</v>
      </c>
      <c r="G2" s="1202"/>
      <c r="H2" s="1202"/>
      <c r="I2" s="1202"/>
      <c r="J2" s="1202"/>
      <c r="K2" s="1202"/>
      <c r="L2" s="1202"/>
      <c r="M2" s="1202"/>
      <c r="N2" s="1202"/>
      <c r="O2" s="1202"/>
      <c r="P2" s="1202"/>
      <c r="Q2" s="1203"/>
    </row>
    <row r="3" spans="2:18" ht="15" customHeight="1">
      <c r="F3" s="1201" t="s">
        <v>8077</v>
      </c>
      <c r="G3" s="1202"/>
      <c r="H3" s="1202"/>
      <c r="I3" s="1202"/>
      <c r="J3" s="1202"/>
      <c r="K3" s="1202"/>
      <c r="L3" s="1202"/>
      <c r="M3" s="1202"/>
      <c r="N3" s="1202"/>
      <c r="O3" s="1202"/>
      <c r="P3" s="1202"/>
      <c r="Q3" s="1203"/>
    </row>
    <row r="4" spans="2:18" ht="15" customHeight="1" thickBot="1">
      <c r="F4" s="280">
        <v>45658</v>
      </c>
      <c r="G4" s="280">
        <v>45689</v>
      </c>
      <c r="H4" s="280">
        <v>45717</v>
      </c>
      <c r="I4" s="280">
        <v>45748</v>
      </c>
      <c r="J4" s="280">
        <v>45778</v>
      </c>
      <c r="K4" s="280">
        <v>45809</v>
      </c>
      <c r="L4" s="280">
        <v>45839</v>
      </c>
      <c r="M4" s="280">
        <v>45870</v>
      </c>
      <c r="N4" s="280">
        <v>45901</v>
      </c>
      <c r="O4" s="280">
        <v>45931</v>
      </c>
      <c r="P4" s="280">
        <v>45962</v>
      </c>
      <c r="Q4" s="280">
        <v>45992</v>
      </c>
    </row>
    <row r="5" spans="2:18" ht="15" customHeight="1" thickBot="1">
      <c r="B5" s="1133" t="s">
        <v>8465</v>
      </c>
      <c r="C5" s="1129"/>
      <c r="D5" s="1129"/>
      <c r="E5" s="1129"/>
      <c r="F5" s="215">
        <f>+F7+F11+F13+F15+F17+F19+F21+F23+F25+F33+F35+F37+F39+F41+F43+F45+F47+F49+F51+F53+F55+F57</f>
        <v>0</v>
      </c>
      <c r="G5" s="215">
        <f>+G7+G11+G13+G15+G17+G19+G21+G23+G25+G33+G35+G37+G39+G41+G43+G45+G47+G49+G51+G53+G55+G57+G59+G27+G29+G31</f>
        <v>4096249600</v>
      </c>
      <c r="H5" s="215">
        <f t="shared" ref="H5:Q5" si="0">+H7+H11+H13+H15+H17+H19+H21+H23+H25+H33+H35+H37+H39+H41+H43+H45+H47+H49+H51+H53+H55+H57+H59+H27+H29+H31</f>
        <v>81223000</v>
      </c>
      <c r="I5" s="215">
        <f>+I7+I11+I13+I15+I17+I19+I21+I23+I25+I33+I35+I37+I39+I41+I43+I45+I47+I49+I51+I53+I55+I57+I59+I27+I29+I31+I9</f>
        <v>1471066013</v>
      </c>
      <c r="J5" s="215">
        <f>+J7+J11+J13+J15+J17+J19+J21+J23+J25+J33+J35+J37+J39+J41+J43+J45+J47+J49+J51+J53+J55+J57+J59+J27+J29+J31+J9</f>
        <v>3490803935</v>
      </c>
      <c r="K5" s="215">
        <f t="shared" ref="K5:M5" si="1">+K7+K11+K13+K15+K17+K19+L21+K23+K25+L33+K35+L37+K39+K41+K43+K45+K47+K49+K51+K53+K55+K57+K59+K27+K29+K31+K9</f>
        <v>239832910</v>
      </c>
      <c r="L5" s="215">
        <f t="shared" si="1"/>
        <v>393193546</v>
      </c>
      <c r="M5" s="215">
        <f t="shared" si="1"/>
        <v>4600027595</v>
      </c>
      <c r="N5" s="215">
        <f t="shared" si="0"/>
        <v>4048500000</v>
      </c>
      <c r="O5" s="215">
        <f t="shared" si="0"/>
        <v>313400000</v>
      </c>
      <c r="P5" s="215">
        <f t="shared" si="0"/>
        <v>8180600000</v>
      </c>
      <c r="Q5" s="215">
        <f t="shared" si="0"/>
        <v>7550000000</v>
      </c>
    </row>
    <row r="6" spans="2:18" ht="15" customHeight="1" thickBot="1">
      <c r="B6" s="1133" t="s">
        <v>8466</v>
      </c>
      <c r="C6" s="1129"/>
      <c r="D6" s="1129"/>
      <c r="E6" s="1129"/>
      <c r="F6" s="215">
        <f>+F8+F12+F14+F16+F18+F20+F22+F24+F26+F34+F36+F38+F40+F42+F44+F46+F48+F50+F52+F54+F56+F58</f>
        <v>0</v>
      </c>
      <c r="G6" s="215">
        <f>+G8+G12+G14+G16+G18+G20+G22+G24+G26+G34+G36+G38+G40+G42+G44+G46+G48+G50+G52+G54+G56+G58+G60+G28+G30+G32</f>
        <v>2254653000</v>
      </c>
      <c r="H6" s="215">
        <f t="shared" ref="H6:Q6" si="2">+H8+H12+H14+H16+H18+H20+H22+H24+H26+H34+H36+H38+H40+H42+H44+H46+H48+H50+H52+H54+H56+H58+H60+H28+H30+H32</f>
        <v>49120000</v>
      </c>
      <c r="I6" s="215">
        <f>+I8+I12+I14+I16+I18+I20+I22+I24+I26+I34+I36+I38+I40+I42+I44+I46+I48+I50+I52+I54+I56+I58+I60+I28+I30+I32+I10</f>
        <v>1124320989.8199999</v>
      </c>
      <c r="J6" s="215">
        <f>+J8+J12+J14+J16+J18+J20+J22+J24+J26+J34+J36+J38+J40+J42+J44+J46+J48+J50+J52+J54+J56+J58+J60+J28+J30+J32+J10</f>
        <v>2783398754.5</v>
      </c>
      <c r="K6" s="215">
        <f t="shared" ref="K6:M6" si="3">+K8+K12+K14+K16+K18+K20+L22+K24+K26+L34+K36+L38+K40+K42+K44+K46+K48+K50+K52+K54+K56+K58+K60+K28+K30+K32+K10</f>
        <v>167883037</v>
      </c>
      <c r="L6" s="215">
        <f t="shared" si="3"/>
        <v>325800254.60000002</v>
      </c>
      <c r="M6" s="215">
        <f t="shared" si="3"/>
        <v>3618019316.5</v>
      </c>
      <c r="N6" s="215">
        <f t="shared" si="2"/>
        <v>3244500000</v>
      </c>
      <c r="O6" s="215">
        <f t="shared" si="2"/>
        <v>261340000</v>
      </c>
      <c r="P6" s="215">
        <f t="shared" si="2"/>
        <v>6544480000</v>
      </c>
      <c r="Q6" s="215">
        <f t="shared" si="2"/>
        <v>5871204233.7069998</v>
      </c>
    </row>
    <row r="7" spans="2:18" ht="15" customHeight="1">
      <c r="B7" s="1112" t="s">
        <v>8467</v>
      </c>
      <c r="C7" s="1189" t="s">
        <v>8468</v>
      </c>
      <c r="D7" s="1204">
        <v>1272184759</v>
      </c>
      <c r="E7" s="267" t="s">
        <v>3107</v>
      </c>
      <c r="F7" s="2"/>
      <c r="H7" s="2"/>
      <c r="I7" s="2">
        <v>1272184759</v>
      </c>
      <c r="J7" s="2"/>
      <c r="K7" s="2"/>
      <c r="L7" s="2"/>
      <c r="Q7" s="273"/>
      <c r="R7" s="6" t="b">
        <f>+I7=D7</f>
        <v>1</v>
      </c>
    </row>
    <row r="8" spans="2:18" ht="15" customHeight="1" thickBot="1">
      <c r="B8" s="1114"/>
      <c r="C8" s="1190"/>
      <c r="D8" s="1205"/>
      <c r="E8" s="270" t="s">
        <v>8077</v>
      </c>
      <c r="F8" s="2"/>
      <c r="H8" s="2"/>
      <c r="I8" s="2">
        <f>+I7*78%</f>
        <v>992304112.01999998</v>
      </c>
      <c r="J8" s="2"/>
      <c r="K8" s="2"/>
      <c r="L8" s="2"/>
      <c r="M8" s="2"/>
      <c r="N8" s="2"/>
      <c r="O8" s="2"/>
      <c r="P8" s="2"/>
      <c r="Q8" s="2"/>
    </row>
    <row r="9" spans="2:18" ht="15" customHeight="1">
      <c r="B9" s="1112" t="s">
        <v>8467</v>
      </c>
      <c r="C9" s="1189" t="s">
        <v>2802</v>
      </c>
      <c r="D9" s="1204">
        <v>36000000</v>
      </c>
      <c r="E9" s="267" t="s">
        <v>3107</v>
      </c>
      <c r="F9" s="235"/>
      <c r="G9" s="235"/>
      <c r="H9" s="235"/>
      <c r="I9" s="235">
        <v>36000000</v>
      </c>
      <c r="J9" s="235"/>
      <c r="K9" s="235"/>
      <c r="L9" s="235"/>
      <c r="M9" s="268"/>
      <c r="N9" s="268"/>
      <c r="O9" s="268"/>
      <c r="P9" s="268"/>
      <c r="Q9" s="269"/>
    </row>
    <row r="10" spans="2:18" ht="15" customHeight="1" thickBot="1">
      <c r="B10" s="1114"/>
      <c r="C10" s="1190"/>
      <c r="D10" s="1205"/>
      <c r="E10" s="270" t="s">
        <v>8077</v>
      </c>
      <c r="F10" s="236"/>
      <c r="G10" s="236"/>
      <c r="H10" s="236"/>
      <c r="I10" s="236">
        <f>+I9*50%</f>
        <v>18000000</v>
      </c>
      <c r="J10" s="236"/>
      <c r="K10" s="236"/>
      <c r="L10" s="236"/>
      <c r="M10" s="236"/>
      <c r="N10" s="236"/>
      <c r="O10" s="236"/>
      <c r="P10" s="236"/>
      <c r="Q10" s="236"/>
    </row>
    <row r="11" spans="2:18" ht="15" customHeight="1">
      <c r="B11" s="1112" t="s">
        <v>8467</v>
      </c>
      <c r="C11" s="1189" t="s">
        <v>8247</v>
      </c>
      <c r="D11" s="1204">
        <v>62097312</v>
      </c>
      <c r="E11" s="267" t="s">
        <v>3107</v>
      </c>
      <c r="F11" s="235"/>
      <c r="G11" s="235"/>
      <c r="H11" s="235"/>
      <c r="I11" s="235">
        <v>62097312</v>
      </c>
      <c r="J11" s="235"/>
      <c r="K11" s="235"/>
      <c r="L11" s="235"/>
      <c r="M11" s="268"/>
      <c r="N11" s="268"/>
      <c r="O11" s="268"/>
      <c r="P11" s="268"/>
      <c r="Q11" s="269"/>
      <c r="R11" s="6" t="b">
        <f>+I11=D11</f>
        <v>1</v>
      </c>
    </row>
    <row r="12" spans="2:18" ht="15" customHeight="1" thickBot="1">
      <c r="B12" s="1114"/>
      <c r="C12" s="1190"/>
      <c r="D12" s="1205"/>
      <c r="E12" s="270" t="s">
        <v>8077</v>
      </c>
      <c r="F12" s="236"/>
      <c r="G12" s="236"/>
      <c r="H12" s="236"/>
      <c r="I12" s="236">
        <v>43468118.399999999</v>
      </c>
      <c r="J12" s="236"/>
      <c r="K12" s="236"/>
      <c r="L12" s="236"/>
      <c r="M12" s="236"/>
      <c r="N12" s="236"/>
      <c r="O12" s="236"/>
      <c r="P12" s="236"/>
      <c r="Q12" s="236"/>
    </row>
    <row r="13" spans="2:18" ht="15" customHeight="1">
      <c r="B13" s="1199" t="s">
        <v>8467</v>
      </c>
      <c r="C13" s="1115" t="s">
        <v>8248</v>
      </c>
      <c r="D13" s="1218">
        <v>100783942</v>
      </c>
      <c r="E13" s="267" t="s">
        <v>3107</v>
      </c>
      <c r="F13" s="235"/>
      <c r="G13" s="235"/>
      <c r="H13" s="235"/>
      <c r="I13" s="235">
        <v>100783942</v>
      </c>
      <c r="K13" s="235"/>
      <c r="L13" s="235"/>
      <c r="M13" s="268"/>
      <c r="N13" s="268"/>
      <c r="O13" s="268"/>
      <c r="P13" s="268"/>
      <c r="Q13" s="269"/>
      <c r="R13" s="6" t="b">
        <f>+I13=D13</f>
        <v>1</v>
      </c>
    </row>
    <row r="14" spans="2:18" ht="15" customHeight="1" thickBot="1">
      <c r="B14" s="1200"/>
      <c r="C14" s="1117"/>
      <c r="D14" s="1219"/>
      <c r="E14" s="270" t="s">
        <v>8077</v>
      </c>
      <c r="F14" s="236"/>
      <c r="G14" s="236"/>
      <c r="H14" s="236"/>
      <c r="I14" s="236">
        <v>70548759.399999991</v>
      </c>
      <c r="K14" s="236"/>
      <c r="L14" s="236"/>
      <c r="M14" s="236"/>
      <c r="N14" s="236"/>
      <c r="O14" s="236"/>
      <c r="P14" s="236"/>
      <c r="Q14" s="236"/>
    </row>
    <row r="15" spans="2:18" ht="15" customHeight="1">
      <c r="B15" s="1112" t="s">
        <v>8467</v>
      </c>
      <c r="C15" s="1189" t="s">
        <v>8249</v>
      </c>
      <c r="D15" s="1204">
        <v>81223000</v>
      </c>
      <c r="E15" s="267" t="s">
        <v>3107</v>
      </c>
      <c r="F15" s="235"/>
      <c r="G15" s="235"/>
      <c r="H15" s="235">
        <v>81223000</v>
      </c>
      <c r="I15" s="235"/>
      <c r="J15" s="235"/>
      <c r="K15" s="235"/>
      <c r="L15" s="235"/>
      <c r="M15" s="268"/>
      <c r="N15" s="268"/>
      <c r="O15" s="268"/>
      <c r="P15" s="268"/>
      <c r="Q15" s="269"/>
      <c r="R15" s="6" t="b">
        <f>+H15=D15</f>
        <v>1</v>
      </c>
    </row>
    <row r="16" spans="2:18" ht="15" customHeight="1" thickBot="1">
      <c r="B16" s="1114"/>
      <c r="C16" s="1190"/>
      <c r="D16" s="1205"/>
      <c r="E16" s="270" t="s">
        <v>8077</v>
      </c>
      <c r="F16" s="236"/>
      <c r="G16" s="236"/>
      <c r="H16" s="236">
        <v>49120000</v>
      </c>
      <c r="I16" s="236"/>
      <c r="J16" s="236"/>
      <c r="K16" s="236"/>
      <c r="L16" s="236"/>
      <c r="M16" s="236"/>
      <c r="N16" s="236"/>
      <c r="O16" s="236"/>
      <c r="P16" s="236"/>
      <c r="Q16" s="236"/>
    </row>
    <row r="17" spans="2:18" ht="15" customHeight="1">
      <c r="B17" s="1112" t="s">
        <v>8467</v>
      </c>
      <c r="C17" s="1189" t="s">
        <v>8250</v>
      </c>
      <c r="D17" s="1204">
        <v>620027595</v>
      </c>
      <c r="E17" s="267" t="s">
        <v>3107</v>
      </c>
      <c r="F17" s="235"/>
      <c r="G17" s="235"/>
      <c r="H17" s="235"/>
      <c r="I17" s="235"/>
      <c r="J17" s="235"/>
      <c r="L17" s="235"/>
      <c r="M17" s="235">
        <f>+D17</f>
        <v>620027595</v>
      </c>
      <c r="N17" s="268"/>
      <c r="O17" s="268"/>
      <c r="P17" s="268"/>
      <c r="Q17" s="269"/>
      <c r="R17" s="6" t="b">
        <f>+M17=D17</f>
        <v>1</v>
      </c>
    </row>
    <row r="18" spans="2:18" ht="15" customHeight="1" thickBot="1">
      <c r="B18" s="1114"/>
      <c r="C18" s="1190"/>
      <c r="D18" s="1205"/>
      <c r="E18" s="270" t="s">
        <v>8077</v>
      </c>
      <c r="F18" s="236"/>
      <c r="G18" s="236"/>
      <c r="H18" s="236"/>
      <c r="I18" s="236"/>
      <c r="J18" s="236"/>
      <c r="L18" s="236"/>
      <c r="M18" s="236">
        <f>+D17*70%</f>
        <v>434019316.5</v>
      </c>
      <c r="N18" s="236"/>
      <c r="O18" s="236"/>
      <c r="P18" s="236"/>
      <c r="Q18" s="236"/>
    </row>
    <row r="19" spans="2:18" ht="15" customHeight="1">
      <c r="B19" s="1112" t="s">
        <v>8467</v>
      </c>
      <c r="C19" s="1189" t="s">
        <v>6301</v>
      </c>
      <c r="D19" s="1204">
        <v>26902449</v>
      </c>
      <c r="E19" s="267" t="s">
        <v>3107</v>
      </c>
      <c r="F19" s="235"/>
      <c r="G19" s="235"/>
      <c r="H19" s="235"/>
      <c r="J19" s="235">
        <f>+D19</f>
        <v>26902449</v>
      </c>
      <c r="K19" s="235"/>
      <c r="L19" s="235"/>
      <c r="M19" s="235"/>
      <c r="N19" s="235"/>
      <c r="O19" s="268"/>
      <c r="P19" s="268"/>
      <c r="Q19" s="269"/>
      <c r="R19" s="6" t="b">
        <f>+J19=D19</f>
        <v>1</v>
      </c>
    </row>
    <row r="20" spans="2:18" ht="15" customHeight="1" thickBot="1">
      <c r="B20" s="1114"/>
      <c r="C20" s="1190"/>
      <c r="D20" s="1205"/>
      <c r="E20" s="270" t="s">
        <v>8077</v>
      </c>
      <c r="F20" s="236"/>
      <c r="G20" s="236"/>
      <c r="H20" s="236"/>
      <c r="J20" s="236">
        <f>+D19*70%</f>
        <v>18831714.299999997</v>
      </c>
      <c r="K20" s="236"/>
      <c r="L20" s="236"/>
      <c r="M20" s="236"/>
      <c r="N20" s="236"/>
      <c r="O20" s="236"/>
      <c r="P20" s="236"/>
      <c r="Q20" s="236"/>
    </row>
    <row r="21" spans="2:18" ht="15" customHeight="1">
      <c r="B21" s="1112" t="s">
        <v>8467</v>
      </c>
      <c r="C21" s="1189" t="s">
        <v>8251</v>
      </c>
      <c r="D21" s="1204">
        <v>73268018</v>
      </c>
      <c r="E21" s="267" t="s">
        <v>3107</v>
      </c>
      <c r="F21" s="235"/>
      <c r="G21" s="235"/>
      <c r="H21" s="235"/>
      <c r="I21" s="235"/>
      <c r="K21" s="235">
        <v>73268018</v>
      </c>
      <c r="L21" s="235"/>
      <c r="M21" s="268"/>
      <c r="N21" s="268"/>
      <c r="O21" s="268"/>
      <c r="P21" s="268"/>
      <c r="Q21" s="269"/>
      <c r="R21" s="6" t="b">
        <f>+K21=D21</f>
        <v>1</v>
      </c>
    </row>
    <row r="22" spans="2:18" ht="15" customHeight="1" thickBot="1">
      <c r="B22" s="1114"/>
      <c r="C22" s="1190"/>
      <c r="D22" s="1205"/>
      <c r="E22" s="270" t="s">
        <v>8077</v>
      </c>
      <c r="F22" s="236"/>
      <c r="G22" s="236"/>
      <c r="H22" s="236"/>
      <c r="I22" s="236"/>
      <c r="K22" s="236">
        <v>51287612.599999994</v>
      </c>
      <c r="L22" s="236"/>
      <c r="M22" s="236"/>
      <c r="N22" s="236"/>
      <c r="O22" s="236"/>
      <c r="P22" s="271"/>
      <c r="Q22" s="272"/>
    </row>
    <row r="23" spans="2:18" ht="15" customHeight="1">
      <c r="B23" s="1112" t="s">
        <v>8467</v>
      </c>
      <c r="C23" s="1189" t="s">
        <v>6926</v>
      </c>
      <c r="D23" s="1204">
        <v>65541486</v>
      </c>
      <c r="E23" s="267" t="s">
        <v>3107</v>
      </c>
      <c r="F23" s="235"/>
      <c r="G23" s="235"/>
      <c r="H23" s="235"/>
      <c r="I23" s="235"/>
      <c r="J23" s="235">
        <f>+D23</f>
        <v>65541486</v>
      </c>
      <c r="K23" s="235"/>
      <c r="L23" s="235"/>
      <c r="M23" s="268"/>
      <c r="N23" s="268"/>
      <c r="O23" s="268"/>
      <c r="P23" s="268"/>
      <c r="Q23" s="269"/>
      <c r="R23" s="6" t="b">
        <f>+J23=D23</f>
        <v>1</v>
      </c>
    </row>
    <row r="24" spans="2:18" ht="15" customHeight="1" thickBot="1">
      <c r="B24" s="1114"/>
      <c r="C24" s="1190"/>
      <c r="D24" s="1205"/>
      <c r="E24" s="270" t="s">
        <v>8077</v>
      </c>
      <c r="F24" s="236"/>
      <c r="G24" s="236"/>
      <c r="H24" s="236"/>
      <c r="I24" s="236"/>
      <c r="J24" s="236">
        <f>+J23*70%</f>
        <v>45879040.199999996</v>
      </c>
      <c r="K24" s="236"/>
      <c r="L24" s="236"/>
      <c r="M24" s="271"/>
      <c r="N24" s="271"/>
      <c r="O24" s="271"/>
      <c r="P24" s="271"/>
      <c r="Q24" s="272"/>
    </row>
    <row r="25" spans="2:18" ht="15" customHeight="1">
      <c r="B25" s="1112" t="s">
        <v>8467</v>
      </c>
      <c r="C25" s="1189" t="s">
        <v>8469</v>
      </c>
      <c r="D25" s="1191">
        <v>28500000</v>
      </c>
      <c r="E25" s="267" t="s">
        <v>3107</v>
      </c>
      <c r="F25" s="235"/>
      <c r="G25" s="235"/>
      <c r="H25" s="235"/>
      <c r="I25" s="235"/>
      <c r="J25" s="235"/>
      <c r="K25" s="235"/>
      <c r="L25" s="235"/>
      <c r="M25" s="268"/>
      <c r="N25" s="235">
        <f>+D25</f>
        <v>28500000</v>
      </c>
      <c r="O25" s="268"/>
      <c r="P25" s="268"/>
      <c r="Q25" s="269"/>
    </row>
    <row r="26" spans="2:18" ht="15" customHeight="1" thickBot="1">
      <c r="B26" s="1114"/>
      <c r="C26" s="1190"/>
      <c r="D26" s="1192"/>
      <c r="E26" s="270" t="s">
        <v>8077</v>
      </c>
      <c r="F26" s="236"/>
      <c r="G26" s="236"/>
      <c r="H26" s="236"/>
      <c r="I26" s="236"/>
      <c r="J26" s="236"/>
      <c r="K26" s="236"/>
      <c r="L26" s="236"/>
      <c r="M26" s="271"/>
      <c r="N26" s="236">
        <f>+N25</f>
        <v>28500000</v>
      </c>
      <c r="O26" s="271"/>
      <c r="P26" s="271"/>
      <c r="Q26" s="272"/>
    </row>
    <row r="27" spans="2:18" ht="15" customHeight="1">
      <c r="B27" s="1112" t="s">
        <v>8467</v>
      </c>
      <c r="C27" s="1189" t="s">
        <v>8470</v>
      </c>
      <c r="D27" s="1191">
        <v>212400000</v>
      </c>
      <c r="E27" s="267" t="s">
        <v>3107</v>
      </c>
      <c r="F27" s="235"/>
      <c r="G27" s="235"/>
      <c r="H27" s="235"/>
      <c r="I27" s="235"/>
      <c r="J27" s="235"/>
      <c r="K27" s="235"/>
      <c r="L27" s="235"/>
      <c r="M27" s="268"/>
      <c r="N27" s="268"/>
      <c r="O27" s="235">
        <f>+D27</f>
        <v>212400000</v>
      </c>
      <c r="P27" s="268"/>
      <c r="Q27" s="269"/>
    </row>
    <row r="28" spans="2:18" ht="15" customHeight="1" thickBot="1">
      <c r="B28" s="1114"/>
      <c r="C28" s="1190"/>
      <c r="D28" s="1192"/>
      <c r="E28" s="270" t="s">
        <v>8077</v>
      </c>
      <c r="F28" s="236"/>
      <c r="G28" s="236"/>
      <c r="H28" s="236"/>
      <c r="I28" s="236"/>
      <c r="J28" s="236"/>
      <c r="K28" s="236"/>
      <c r="L28" s="236"/>
      <c r="M28" s="271"/>
      <c r="N28" s="271"/>
      <c r="O28" s="236">
        <f>+O27*85%</f>
        <v>180540000</v>
      </c>
      <c r="P28" s="271"/>
      <c r="Q28" s="272"/>
    </row>
    <row r="29" spans="2:18" ht="15" customHeight="1">
      <c r="B29" s="1112" t="s">
        <v>8467</v>
      </c>
      <c r="C29" s="1189" t="s">
        <v>8263</v>
      </c>
      <c r="D29" s="1191">
        <v>101000000</v>
      </c>
      <c r="E29" s="267" t="s">
        <v>3107</v>
      </c>
      <c r="F29" s="235"/>
      <c r="G29" s="235"/>
      <c r="H29" s="235"/>
      <c r="I29" s="235"/>
      <c r="J29" s="235"/>
      <c r="K29" s="235"/>
      <c r="L29" s="235"/>
      <c r="M29" s="268"/>
      <c r="N29" s="268"/>
      <c r="O29" s="235">
        <f>+D29</f>
        <v>101000000</v>
      </c>
      <c r="P29" s="268"/>
      <c r="Q29" s="269"/>
    </row>
    <row r="30" spans="2:18" ht="15" customHeight="1" thickBot="1">
      <c r="B30" s="1114"/>
      <c r="C30" s="1190"/>
      <c r="D30" s="1192"/>
      <c r="E30" s="270" t="s">
        <v>8077</v>
      </c>
      <c r="F30" s="236"/>
      <c r="G30" s="236"/>
      <c r="H30" s="236"/>
      <c r="I30" s="236"/>
      <c r="J30" s="236"/>
      <c r="K30" s="236"/>
      <c r="L30" s="236"/>
      <c r="M30" s="271"/>
      <c r="N30" s="271"/>
      <c r="O30" s="236">
        <f>+O29*80%</f>
        <v>80800000</v>
      </c>
      <c r="P30" s="271"/>
      <c r="Q30" s="272"/>
    </row>
    <row r="31" spans="2:18" ht="15" customHeight="1">
      <c r="B31" s="1112" t="s">
        <v>8467</v>
      </c>
      <c r="C31" s="1189" t="s">
        <v>8262</v>
      </c>
      <c r="D31" s="1191">
        <v>60600000</v>
      </c>
      <c r="E31" s="267" t="s">
        <v>3107</v>
      </c>
      <c r="F31" s="235"/>
      <c r="G31" s="235"/>
      <c r="H31" s="235"/>
      <c r="I31" s="235"/>
      <c r="J31" s="235"/>
      <c r="K31" s="235"/>
      <c r="L31" s="235"/>
      <c r="M31" s="268"/>
      <c r="N31" s="268"/>
      <c r="O31" s="268"/>
      <c r="P31" s="235">
        <f>+D31</f>
        <v>60600000</v>
      </c>
      <c r="Q31" s="269"/>
    </row>
    <row r="32" spans="2:18" ht="15" customHeight="1" thickBot="1">
      <c r="B32" s="1114"/>
      <c r="C32" s="1190"/>
      <c r="D32" s="1192"/>
      <c r="E32" s="270" t="s">
        <v>8077</v>
      </c>
      <c r="F32" s="236"/>
      <c r="G32" s="236"/>
      <c r="H32" s="236"/>
      <c r="I32" s="236"/>
      <c r="J32" s="236"/>
      <c r="K32" s="236"/>
      <c r="L32" s="236"/>
      <c r="M32" s="271"/>
      <c r="N32" s="271"/>
      <c r="O32" s="271"/>
      <c r="P32" s="236">
        <f>+P31*80%</f>
        <v>48480000</v>
      </c>
      <c r="Q32" s="272"/>
    </row>
    <row r="33" spans="2:18" ht="15" customHeight="1">
      <c r="B33" s="1112" t="s">
        <v>8467</v>
      </c>
      <c r="C33" s="1189" t="s">
        <v>8252</v>
      </c>
      <c r="D33" s="1204">
        <v>57526407</v>
      </c>
      <c r="E33" s="267" t="s">
        <v>3107</v>
      </c>
      <c r="F33" s="235"/>
      <c r="G33" s="235"/>
      <c r="H33" s="235"/>
      <c r="I33" s="235"/>
      <c r="K33" s="235">
        <f>+D33</f>
        <v>57526407</v>
      </c>
      <c r="L33" s="235"/>
      <c r="M33" s="268"/>
      <c r="N33" s="268"/>
      <c r="O33" s="268"/>
      <c r="P33" s="268"/>
      <c r="Q33" s="269"/>
      <c r="R33" s="6" t="b">
        <f>+K33=D33</f>
        <v>1</v>
      </c>
    </row>
    <row r="34" spans="2:18" ht="15" customHeight="1" thickBot="1">
      <c r="B34" s="1114"/>
      <c r="C34" s="1190"/>
      <c r="D34" s="1205"/>
      <c r="E34" s="270" t="s">
        <v>8077</v>
      </c>
      <c r="F34" s="236"/>
      <c r="G34" s="236"/>
      <c r="H34" s="236"/>
      <c r="I34" s="236"/>
      <c r="K34" s="236">
        <f>+D33*70%</f>
        <v>40268484.899999999</v>
      </c>
      <c r="L34" s="236"/>
      <c r="M34" s="271"/>
      <c r="N34" s="271"/>
      <c r="O34" s="271"/>
      <c r="P34" s="271"/>
      <c r="Q34" s="272"/>
    </row>
    <row r="35" spans="2:18" ht="15" customHeight="1">
      <c r="B35" s="1112" t="s">
        <v>8467</v>
      </c>
      <c r="C35" s="1189" t="s">
        <v>7307</v>
      </c>
      <c r="D35" s="1191">
        <v>239832910</v>
      </c>
      <c r="E35" s="267" t="s">
        <v>3107</v>
      </c>
      <c r="F35" s="235"/>
      <c r="G35" s="235"/>
      <c r="H35" s="235"/>
      <c r="I35" s="235"/>
      <c r="J35" s="235"/>
      <c r="K35" s="235">
        <f>+D35</f>
        <v>239832910</v>
      </c>
      <c r="L35" s="235"/>
      <c r="M35" s="235"/>
      <c r="N35" s="268"/>
      <c r="O35" s="268"/>
      <c r="P35" s="268"/>
      <c r="Q35" s="269"/>
      <c r="R35" s="6" t="b">
        <f>+K35=D35</f>
        <v>1</v>
      </c>
    </row>
    <row r="36" spans="2:18" ht="15" customHeight="1" thickBot="1">
      <c r="B36" s="1114"/>
      <c r="C36" s="1190"/>
      <c r="D36" s="1192"/>
      <c r="E36" s="270" t="s">
        <v>8077</v>
      </c>
      <c r="F36" s="2"/>
      <c r="H36" s="2"/>
      <c r="I36" s="2"/>
      <c r="J36" s="2"/>
      <c r="K36" s="2">
        <f>+D35*70%</f>
        <v>167883037</v>
      </c>
      <c r="L36" s="2"/>
      <c r="M36" s="2"/>
      <c r="Q36" s="273"/>
    </row>
    <row r="37" spans="2:18" ht="15" customHeight="1">
      <c r="B37" s="1112" t="s">
        <v>8467</v>
      </c>
      <c r="C37" s="1189" t="s">
        <v>8253</v>
      </c>
      <c r="D37" s="1204">
        <v>279034822</v>
      </c>
      <c r="E37" s="267" t="s">
        <v>3107</v>
      </c>
      <c r="F37" s="347"/>
      <c r="G37" s="235"/>
      <c r="H37" s="235"/>
      <c r="I37" s="235"/>
      <c r="J37" s="268"/>
      <c r="K37" s="235">
        <f>+D37</f>
        <v>279034822</v>
      </c>
      <c r="L37" s="235"/>
      <c r="M37" s="235"/>
      <c r="N37" s="235"/>
      <c r="O37" s="268"/>
      <c r="P37" s="268"/>
      <c r="Q37" s="269"/>
      <c r="R37" s="6" t="b">
        <f>K37=D37</f>
        <v>1</v>
      </c>
    </row>
    <row r="38" spans="2:18" ht="15" customHeight="1" thickBot="1">
      <c r="B38" s="1114"/>
      <c r="C38" s="1190"/>
      <c r="D38" s="1205"/>
      <c r="E38" s="270" t="s">
        <v>8077</v>
      </c>
      <c r="F38" s="351"/>
      <c r="G38" s="236"/>
      <c r="H38" s="236"/>
      <c r="I38" s="236"/>
      <c r="J38" s="271"/>
      <c r="K38" s="236">
        <f>+D37*70%</f>
        <v>195324375.39999998</v>
      </c>
      <c r="L38" s="236"/>
      <c r="M38" s="236"/>
      <c r="N38" s="236"/>
      <c r="O38" s="271"/>
      <c r="P38" s="271"/>
      <c r="Q38" s="272"/>
    </row>
    <row r="39" spans="2:18" ht="15" customHeight="1">
      <c r="B39" s="1112" t="s">
        <v>8467</v>
      </c>
      <c r="C39" s="1189" t="s">
        <v>8471</v>
      </c>
      <c r="D39" s="1204">
        <v>77736480</v>
      </c>
      <c r="E39" s="267" t="s">
        <v>3107</v>
      </c>
      <c r="F39" s="347"/>
      <c r="G39" s="235"/>
      <c r="H39" s="235"/>
      <c r="I39" s="235"/>
      <c r="J39" s="235"/>
      <c r="K39" s="235"/>
      <c r="L39" s="235">
        <f>+D39</f>
        <v>77736480</v>
      </c>
      <c r="M39" s="235"/>
      <c r="N39" s="268"/>
      <c r="O39" s="268"/>
      <c r="P39" s="268"/>
      <c r="Q39" s="269"/>
      <c r="R39" s="6" t="b">
        <f>L39=D39</f>
        <v>1</v>
      </c>
    </row>
    <row r="40" spans="2:18" ht="15" customHeight="1" thickBot="1">
      <c r="B40" s="1114"/>
      <c r="C40" s="1190"/>
      <c r="D40" s="1205"/>
      <c r="E40" s="270" t="s">
        <v>8077</v>
      </c>
      <c r="F40" s="344"/>
      <c r="H40" s="2"/>
      <c r="I40" s="2"/>
      <c r="J40" s="2"/>
      <c r="K40" s="2"/>
      <c r="L40" s="2">
        <f>+D39*70%</f>
        <v>54415536</v>
      </c>
      <c r="M40" s="2"/>
      <c r="Q40" s="273"/>
    </row>
    <row r="41" spans="2:18" ht="15" customHeight="1">
      <c r="B41" s="1112" t="s">
        <v>8467</v>
      </c>
      <c r="C41" s="1189" t="s">
        <v>8255</v>
      </c>
      <c r="D41" s="1204">
        <v>62633204</v>
      </c>
      <c r="E41" s="267" t="s">
        <v>3107</v>
      </c>
      <c r="F41" s="347"/>
      <c r="G41" s="235"/>
      <c r="H41" s="235"/>
      <c r="I41" s="235"/>
      <c r="J41" s="235"/>
      <c r="K41" s="235"/>
      <c r="L41" s="235">
        <f>+D41</f>
        <v>62633204</v>
      </c>
      <c r="M41" s="235"/>
      <c r="N41" s="235"/>
      <c r="O41" s="268"/>
      <c r="P41" s="268"/>
      <c r="Q41" s="269"/>
      <c r="R41" s="6" t="b">
        <f>L41=D41</f>
        <v>1</v>
      </c>
    </row>
    <row r="42" spans="2:18" ht="15" customHeight="1" thickBot="1">
      <c r="B42" s="1114"/>
      <c r="C42" s="1190"/>
      <c r="D42" s="1205"/>
      <c r="E42" s="270" t="s">
        <v>8077</v>
      </c>
      <c r="F42" s="351"/>
      <c r="G42" s="236"/>
      <c r="H42" s="236"/>
      <c r="I42" s="236"/>
      <c r="J42" s="236"/>
      <c r="K42" s="236"/>
      <c r="L42" s="236">
        <f>+D41*70%</f>
        <v>43843242.799999997</v>
      </c>
      <c r="M42" s="236"/>
      <c r="N42" s="236"/>
      <c r="O42" s="271"/>
      <c r="P42" s="271"/>
      <c r="Q42" s="272"/>
    </row>
    <row r="43" spans="2:18" ht="15" customHeight="1">
      <c r="B43" s="1112" t="s">
        <v>8467</v>
      </c>
      <c r="C43" s="1189" t="s">
        <v>8472</v>
      </c>
      <c r="D43" s="1204">
        <v>252823862</v>
      </c>
      <c r="E43" s="267" t="s">
        <v>3107</v>
      </c>
      <c r="F43" s="347"/>
      <c r="G43" s="235"/>
      <c r="H43" s="235"/>
      <c r="I43" s="235"/>
      <c r="J43" s="235"/>
      <c r="K43" s="235"/>
      <c r="L43" s="235">
        <f>+D43</f>
        <v>252823862</v>
      </c>
      <c r="M43" s="235"/>
      <c r="N43" s="235"/>
      <c r="O43" s="268"/>
      <c r="P43" s="268"/>
      <c r="Q43" s="237"/>
      <c r="R43" s="6" t="b">
        <f>+L43=D43</f>
        <v>1</v>
      </c>
    </row>
    <row r="44" spans="2:18" ht="15" customHeight="1" thickBot="1">
      <c r="B44" s="1114"/>
      <c r="C44" s="1190"/>
      <c r="D44" s="1205"/>
      <c r="E44" s="270" t="s">
        <v>8077</v>
      </c>
      <c r="F44" s="351"/>
      <c r="G44" s="236"/>
      <c r="H44" s="236"/>
      <c r="I44" s="236"/>
      <c r="J44" s="236"/>
      <c r="K44" s="236"/>
      <c r="L44" s="236">
        <f>+L43*0.9</f>
        <v>227541475.80000001</v>
      </c>
      <c r="M44" s="236"/>
      <c r="N44" s="271"/>
      <c r="O44" s="271"/>
      <c r="P44" s="271"/>
      <c r="Q44" s="238"/>
    </row>
    <row r="45" spans="2:18" ht="15" customHeight="1">
      <c r="B45" s="1208" t="s">
        <v>8473</v>
      </c>
      <c r="C45" s="1210" t="s">
        <v>8474</v>
      </c>
      <c r="D45" s="1206">
        <f>4190000000+150000000-941640000</f>
        <v>3398360000</v>
      </c>
      <c r="E45" s="267" t="s">
        <v>3107</v>
      </c>
      <c r="F45" s="347"/>
      <c r="G45" s="235"/>
      <c r="H45" s="235"/>
      <c r="I45" s="235"/>
      <c r="J45" s="235">
        <f>+D45</f>
        <v>3398360000</v>
      </c>
      <c r="K45" s="235"/>
      <c r="L45" s="235"/>
      <c r="M45" s="235"/>
      <c r="N45" s="268"/>
      <c r="O45" s="268"/>
      <c r="P45" s="268"/>
      <c r="Q45" s="237"/>
      <c r="R45" s="6" t="b">
        <f>+J45=D45</f>
        <v>1</v>
      </c>
    </row>
    <row r="46" spans="2:18" ht="15" customHeight="1" thickBot="1">
      <c r="B46" s="1209"/>
      <c r="C46" s="1211"/>
      <c r="D46" s="1207"/>
      <c r="E46" s="270" t="s">
        <v>8077</v>
      </c>
      <c r="F46" s="351"/>
      <c r="G46" s="236"/>
      <c r="H46" s="236"/>
      <c r="I46" s="236"/>
      <c r="J46" s="236">
        <f>+D45*80%</f>
        <v>2718688000</v>
      </c>
      <c r="K46" s="236"/>
      <c r="L46" s="236"/>
      <c r="M46" s="236"/>
      <c r="N46" s="271"/>
      <c r="O46" s="271"/>
      <c r="P46" s="271"/>
      <c r="Q46" s="238"/>
    </row>
    <row r="47" spans="2:18" ht="15" customHeight="1">
      <c r="B47" s="1193" t="s">
        <v>8473</v>
      </c>
      <c r="C47" s="1195" t="s">
        <v>8475</v>
      </c>
      <c r="D47" s="1204">
        <v>3980000000</v>
      </c>
      <c r="E47" s="267" t="s">
        <v>3107</v>
      </c>
      <c r="F47" s="344"/>
      <c r="H47" s="2"/>
      <c r="I47" s="2"/>
      <c r="J47" s="2"/>
      <c r="K47" s="2"/>
      <c r="L47" s="2"/>
      <c r="M47" s="2">
        <f>+D47</f>
        <v>3980000000</v>
      </c>
      <c r="Q47" s="376"/>
      <c r="R47" s="6" t="b">
        <f>+M47=D47</f>
        <v>1</v>
      </c>
    </row>
    <row r="48" spans="2:18" ht="15" customHeight="1" thickBot="1">
      <c r="B48" s="1194"/>
      <c r="C48" s="1196"/>
      <c r="D48" s="1205"/>
      <c r="E48" s="270" t="s">
        <v>8077</v>
      </c>
      <c r="F48" s="344"/>
      <c r="H48" s="2"/>
      <c r="I48" s="2"/>
      <c r="J48" s="2"/>
      <c r="K48" s="2"/>
      <c r="L48" s="2"/>
      <c r="M48" s="2">
        <f>+M47*80%</f>
        <v>3184000000</v>
      </c>
      <c r="Q48" s="376"/>
    </row>
    <row r="49" spans="2:18" ht="15" customHeight="1">
      <c r="B49" s="1212" t="s">
        <v>8473</v>
      </c>
      <c r="C49" s="1214" t="s">
        <v>8476</v>
      </c>
      <c r="D49" s="1216">
        <f>+G49</f>
        <v>4096249600</v>
      </c>
      <c r="E49" s="267" t="s">
        <v>3107</v>
      </c>
      <c r="F49" s="347"/>
      <c r="G49" s="235">
        <f>4180000000-83750400</f>
        <v>4096249600</v>
      </c>
      <c r="H49" s="235"/>
      <c r="I49" s="235"/>
      <c r="J49" s="235"/>
      <c r="K49" s="235"/>
      <c r="L49" s="235"/>
      <c r="M49" s="235"/>
      <c r="N49" s="268"/>
      <c r="O49" s="268"/>
      <c r="P49" s="268"/>
      <c r="Q49" s="237"/>
      <c r="R49" s="6" t="b">
        <f>+G49=D49</f>
        <v>1</v>
      </c>
    </row>
    <row r="50" spans="2:18" ht="15" customHeight="1" thickBot="1">
      <c r="B50" s="1213"/>
      <c r="C50" s="1215"/>
      <c r="D50" s="1217"/>
      <c r="E50" s="270" t="s">
        <v>8077</v>
      </c>
      <c r="F50" s="351"/>
      <c r="G50" s="236">
        <v>2254653000</v>
      </c>
      <c r="H50" s="236"/>
      <c r="I50" s="236"/>
      <c r="J50" s="236"/>
      <c r="K50" s="236"/>
      <c r="L50" s="236"/>
      <c r="M50" s="236"/>
      <c r="N50" s="271"/>
      <c r="O50" s="271"/>
      <c r="P50" s="271"/>
      <c r="Q50" s="238"/>
    </row>
    <row r="51" spans="2:18" ht="15" customHeight="1">
      <c r="B51" s="1193" t="s">
        <v>8473</v>
      </c>
      <c r="C51" s="1195" t="s">
        <v>8477</v>
      </c>
      <c r="D51" s="1204">
        <v>4180000000</v>
      </c>
      <c r="E51" s="267" t="s">
        <v>3107</v>
      </c>
      <c r="F51" s="347"/>
      <c r="G51" s="235"/>
      <c r="H51" s="235"/>
      <c r="I51" s="235"/>
      <c r="J51" s="235"/>
      <c r="K51" s="235"/>
      <c r="L51" s="235"/>
      <c r="N51" s="268"/>
      <c r="O51" s="268"/>
      <c r="P51" s="235">
        <f>+D51</f>
        <v>4180000000</v>
      </c>
      <c r="Q51" s="237"/>
      <c r="R51" s="6" t="b">
        <f>+P51=D51</f>
        <v>1</v>
      </c>
    </row>
    <row r="52" spans="2:18" ht="15" customHeight="1" thickBot="1">
      <c r="B52" s="1194"/>
      <c r="C52" s="1196"/>
      <c r="D52" s="1205"/>
      <c r="E52" s="270" t="s">
        <v>8077</v>
      </c>
      <c r="F52" s="344"/>
      <c r="H52" s="2"/>
      <c r="I52" s="2"/>
      <c r="J52" s="2"/>
      <c r="K52" s="2"/>
      <c r="L52" s="2"/>
      <c r="P52" s="2">
        <f>+D51*80%</f>
        <v>3344000000</v>
      </c>
      <c r="Q52" s="376"/>
    </row>
    <row r="53" spans="2:18" ht="15" customHeight="1">
      <c r="B53" s="1193" t="s">
        <v>8473</v>
      </c>
      <c r="C53" s="1195" t="s">
        <v>8478</v>
      </c>
      <c r="D53" s="1204">
        <v>3940000000</v>
      </c>
      <c r="E53" s="267" t="s">
        <v>3107</v>
      </c>
      <c r="F53" s="347"/>
      <c r="G53" s="235"/>
      <c r="H53" s="235"/>
      <c r="I53" s="235"/>
      <c r="J53" s="235"/>
      <c r="K53" s="235"/>
      <c r="L53" s="235"/>
      <c r="M53" s="268"/>
      <c r="N53" s="268"/>
      <c r="O53" s="268"/>
      <c r="P53" s="235">
        <f>+D53</f>
        <v>3940000000</v>
      </c>
      <c r="Q53" s="237"/>
      <c r="R53" s="6" t="b">
        <f>P53=D53</f>
        <v>1</v>
      </c>
    </row>
    <row r="54" spans="2:18" ht="15" customHeight="1" thickBot="1">
      <c r="B54" s="1194"/>
      <c r="C54" s="1196"/>
      <c r="D54" s="1205"/>
      <c r="E54" s="270" t="s">
        <v>8077</v>
      </c>
      <c r="F54" s="351"/>
      <c r="G54" s="236"/>
      <c r="H54" s="236"/>
      <c r="I54" s="236"/>
      <c r="J54" s="236"/>
      <c r="K54" s="236"/>
      <c r="L54" s="236"/>
      <c r="M54" s="271"/>
      <c r="N54" s="271"/>
      <c r="O54" s="271"/>
      <c r="P54" s="236">
        <f>+P53*80%</f>
        <v>3152000000</v>
      </c>
      <c r="Q54" s="238"/>
    </row>
    <row r="55" spans="2:18" ht="15" customHeight="1">
      <c r="B55" s="1193" t="s">
        <v>8473</v>
      </c>
      <c r="C55" s="1195" t="s">
        <v>8479</v>
      </c>
      <c r="D55" s="1204">
        <v>4020000000</v>
      </c>
      <c r="E55" s="267" t="s">
        <v>3107</v>
      </c>
      <c r="F55" s="347"/>
      <c r="G55" s="235"/>
      <c r="H55" s="235"/>
      <c r="I55" s="235"/>
      <c r="J55" s="235"/>
      <c r="K55" s="235"/>
      <c r="L55" s="235"/>
      <c r="M55" s="235"/>
      <c r="N55" s="235">
        <f>+D55</f>
        <v>4020000000</v>
      </c>
      <c r="O55" s="235"/>
      <c r="P55" s="268"/>
      <c r="Q55" s="237"/>
      <c r="R55" s="6" t="b">
        <f>N55=D55</f>
        <v>1</v>
      </c>
    </row>
    <row r="56" spans="2:18" ht="15" customHeight="1" thickBot="1">
      <c r="B56" s="1194"/>
      <c r="C56" s="1196"/>
      <c r="D56" s="1205"/>
      <c r="E56" s="270" t="s">
        <v>8077</v>
      </c>
      <c r="F56" s="351"/>
      <c r="G56" s="236"/>
      <c r="H56" s="236"/>
      <c r="I56" s="236"/>
      <c r="J56" s="236"/>
      <c r="K56" s="236"/>
      <c r="L56" s="236"/>
      <c r="M56" s="236"/>
      <c r="N56" s="236">
        <f>+N55*80%</f>
        <v>3216000000</v>
      </c>
      <c r="O56" s="236"/>
      <c r="P56" s="271"/>
      <c r="Q56" s="238"/>
    </row>
    <row r="57" spans="2:18" ht="15" customHeight="1">
      <c r="B57" s="1193" t="s">
        <v>8473</v>
      </c>
      <c r="C57" s="1197" t="s">
        <v>8480</v>
      </c>
      <c r="D57" s="1218">
        <v>3750000000</v>
      </c>
      <c r="E57" s="267" t="s">
        <v>3107</v>
      </c>
      <c r="F57" s="347"/>
      <c r="G57" s="235"/>
      <c r="H57" s="235"/>
      <c r="I57" s="235"/>
      <c r="J57" s="235"/>
      <c r="K57" s="235"/>
      <c r="L57" s="235"/>
      <c r="M57" s="235"/>
      <c r="N57" s="235"/>
      <c r="O57" s="235"/>
      <c r="P57" s="268"/>
      <c r="Q57" s="237">
        <f>+D57</f>
        <v>3750000000</v>
      </c>
      <c r="R57" s="6" t="b">
        <f>+Q57=D57</f>
        <v>1</v>
      </c>
    </row>
    <row r="58" spans="2:18" ht="15" customHeight="1" thickBot="1">
      <c r="B58" s="1194"/>
      <c r="C58" s="1198"/>
      <c r="D58" s="1219"/>
      <c r="E58" s="270" t="s">
        <v>8077</v>
      </c>
      <c r="F58" s="351"/>
      <c r="G58" s="236"/>
      <c r="H58" s="236"/>
      <c r="I58" s="236"/>
      <c r="J58" s="236"/>
      <c r="K58" s="236"/>
      <c r="L58" s="236"/>
      <c r="M58" s="236"/>
      <c r="N58" s="271"/>
      <c r="O58" s="236"/>
      <c r="P58" s="271"/>
      <c r="Q58" s="238">
        <v>2831204233.7069998</v>
      </c>
    </row>
    <row r="59" spans="2:18" ht="15" customHeight="1">
      <c r="B59" s="1193" t="s">
        <v>8473</v>
      </c>
      <c r="C59" s="1195" t="s">
        <v>8481</v>
      </c>
      <c r="D59" s="1204">
        <v>3800000000</v>
      </c>
      <c r="E59" s="267" t="s">
        <v>3107</v>
      </c>
      <c r="F59" s="347"/>
      <c r="G59" s="235"/>
      <c r="H59" s="235"/>
      <c r="I59" s="235"/>
      <c r="J59" s="235"/>
      <c r="K59" s="235"/>
      <c r="L59" s="235"/>
      <c r="M59" s="235"/>
      <c r="N59" s="235"/>
      <c r="O59" s="268"/>
      <c r="P59" s="268"/>
      <c r="Q59" s="237">
        <f>+D59</f>
        <v>3800000000</v>
      </c>
      <c r="R59" s="6" t="b">
        <f>Q59=D59</f>
        <v>1</v>
      </c>
    </row>
    <row r="60" spans="2:18" ht="15" customHeight="1" thickBot="1">
      <c r="B60" s="1194"/>
      <c r="C60" s="1196"/>
      <c r="D60" s="1205"/>
      <c r="E60" s="270" t="s">
        <v>8077</v>
      </c>
      <c r="F60" s="351"/>
      <c r="G60" s="236"/>
      <c r="H60" s="236"/>
      <c r="I60" s="236"/>
      <c r="J60" s="236"/>
      <c r="K60" s="236"/>
      <c r="L60" s="236"/>
      <c r="M60" s="236"/>
      <c r="N60" s="271"/>
      <c r="O60" s="271"/>
      <c r="P60" s="271"/>
      <c r="Q60" s="238">
        <f>+Q59*80%</f>
        <v>3040000000</v>
      </c>
    </row>
    <row r="61" spans="2:18" ht="15" customHeight="1">
      <c r="B61" s="430"/>
      <c r="C61" s="431"/>
      <c r="D61" s="431"/>
      <c r="E61" s="69"/>
      <c r="F61" s="2"/>
      <c r="H61" s="2"/>
      <c r="I61" s="2"/>
      <c r="J61" s="2"/>
      <c r="K61" s="2"/>
      <c r="L61" s="2"/>
      <c r="M61" s="2"/>
      <c r="Q61" s="2"/>
    </row>
    <row r="62" spans="2:18" ht="15" customHeight="1">
      <c r="B62" s="430"/>
      <c r="C62" s="431"/>
      <c r="D62" s="431"/>
      <c r="E62" s="69"/>
      <c r="F62" s="2"/>
      <c r="H62" s="2"/>
      <c r="I62" s="2"/>
      <c r="J62" s="2"/>
      <c r="K62" s="2"/>
      <c r="L62" s="2"/>
      <c r="M62" s="2"/>
    </row>
    <row r="64" spans="2:18" ht="15" customHeight="1">
      <c r="F64" s="280">
        <v>45292</v>
      </c>
      <c r="G64" s="280">
        <v>45323</v>
      </c>
      <c r="H64" s="280">
        <v>45352</v>
      </c>
      <c r="I64" s="280">
        <v>45383</v>
      </c>
      <c r="J64" s="280">
        <v>45413</v>
      </c>
      <c r="K64" s="280">
        <v>45444</v>
      </c>
      <c r="L64" s="280">
        <v>45474</v>
      </c>
      <c r="M64" s="280">
        <v>45505</v>
      </c>
      <c r="N64" s="280">
        <v>45536</v>
      </c>
      <c r="O64" s="280">
        <v>45566</v>
      </c>
      <c r="P64" s="280">
        <v>45597</v>
      </c>
      <c r="Q64" s="280">
        <v>45627</v>
      </c>
    </row>
    <row r="65" spans="2:17" ht="15" customHeight="1">
      <c r="B65" s="1102" t="s">
        <v>8482</v>
      </c>
      <c r="C65" s="1102"/>
      <c r="D65" s="1102"/>
      <c r="E65" s="1102"/>
      <c r="F65" s="91">
        <f t="shared" ref="F65" si="4">+F7+F11+F13+F15+F17+F19+F21+F23+F25+F33+F35+F37+F39+F41+F43+F45+F47+F49+F51+F53+F55+F57</f>
        <v>0</v>
      </c>
      <c r="G65" s="91">
        <f>+G7+G11+G13+G15+G17+G19+G21+G23+G25+G33+G35+G37+G39+G41+G43+G45+G47+G49+G51+G53+G55+G57</f>
        <v>4096249600</v>
      </c>
      <c r="H65" s="91">
        <f t="shared" ref="H65:Q65" si="5">+H7+H11+H13+H15+H17+H19+H21+H23+H25+H33+H35+H37+H39+H41+H43+H45+H47+H49+H51+H53+H55+H57</f>
        <v>81223000</v>
      </c>
      <c r="I65" s="91">
        <f t="shared" si="5"/>
        <v>1435066013</v>
      </c>
      <c r="J65" s="91">
        <f>+J7+J11+J13+J15+J17+J19+J21+J23+J25+J33+J35+J37+J39+J41+J43+J45+J47+J49+J51+J53+J55+J57</f>
        <v>3490803935</v>
      </c>
      <c r="K65" s="91">
        <f t="shared" si="5"/>
        <v>649662157</v>
      </c>
      <c r="L65" s="91">
        <f t="shared" si="5"/>
        <v>393193546</v>
      </c>
      <c r="M65" s="91">
        <f t="shared" si="5"/>
        <v>4600027595</v>
      </c>
      <c r="N65" s="91">
        <f t="shared" si="5"/>
        <v>4048500000</v>
      </c>
      <c r="O65" s="91">
        <f t="shared" si="5"/>
        <v>0</v>
      </c>
      <c r="P65" s="91">
        <f t="shared" si="5"/>
        <v>8120000000</v>
      </c>
      <c r="Q65" s="91">
        <f t="shared" si="5"/>
        <v>3750000000</v>
      </c>
    </row>
    <row r="66" spans="2:17" ht="15" customHeight="1">
      <c r="B66" s="1102" t="s">
        <v>8077</v>
      </c>
      <c r="C66" s="1102"/>
      <c r="D66" s="1102"/>
      <c r="E66" s="1102"/>
      <c r="F66" s="91">
        <f t="shared" ref="F66:G66" si="6">+F8+F12+F14+F16+F18+F20+F22+F24+F26+F34+F36+F38+F40+F42+F44+F46+F48+F50+F52+F54+F56+F58</f>
        <v>0</v>
      </c>
      <c r="G66" s="91">
        <f t="shared" si="6"/>
        <v>2254653000</v>
      </c>
      <c r="H66" s="91">
        <f t="shared" ref="H66:Q66" si="7">+H8+H12+H14+H16+H18+H20+H22+H24+H26+H34+H36+H38+H40+H42+H44+H46+H48+H50+H52+H54+H56+H58</f>
        <v>49120000</v>
      </c>
      <c r="I66" s="91">
        <f t="shared" si="7"/>
        <v>1106320989.8199999</v>
      </c>
      <c r="J66" s="91">
        <f>+J8+J12+J14+J16+J18+J20+J22+J24+J26+J34+J36+J38+J40+J42+J44+J46+J48+J50+J52+J54+J56+J58</f>
        <v>2783398754.5</v>
      </c>
      <c r="K66" s="91">
        <f t="shared" si="7"/>
        <v>454763509.89999998</v>
      </c>
      <c r="L66" s="91">
        <f t="shared" si="7"/>
        <v>325800254.60000002</v>
      </c>
      <c r="M66" s="91">
        <f t="shared" si="7"/>
        <v>3618019316.5</v>
      </c>
      <c r="N66" s="91">
        <f t="shared" si="7"/>
        <v>3244500000</v>
      </c>
      <c r="O66" s="91">
        <f t="shared" si="7"/>
        <v>0</v>
      </c>
      <c r="P66" s="91">
        <f t="shared" si="7"/>
        <v>6496000000</v>
      </c>
      <c r="Q66" s="91">
        <f t="shared" si="7"/>
        <v>2831204233.7069998</v>
      </c>
    </row>
    <row r="67" spans="2:17" ht="15" customHeight="1">
      <c r="B67" s="1102"/>
      <c r="C67" s="1102"/>
      <c r="D67" s="1102"/>
      <c r="E67" s="1102"/>
      <c r="I67" s="2"/>
      <c r="J67" s="2"/>
      <c r="K67" s="2"/>
    </row>
    <row r="69" spans="2:17" ht="15" customHeight="1">
      <c r="B69" s="1102" t="s">
        <v>8483</v>
      </c>
      <c r="C69" s="1102"/>
      <c r="D69" s="1102"/>
      <c r="E69" s="1102"/>
      <c r="F69" s="91">
        <f>+F66-F65</f>
        <v>0</v>
      </c>
      <c r="G69" s="91">
        <f>+G66-G65</f>
        <v>-1841596600</v>
      </c>
      <c r="H69" s="91">
        <f t="shared" ref="H69:P69" si="8">+H66-H65</f>
        <v>-32103000</v>
      </c>
      <c r="I69" s="91">
        <f>+I66-I65</f>
        <v>-328745023.18000007</v>
      </c>
      <c r="J69" s="91">
        <f>+J66-J65</f>
        <v>-707405180.5</v>
      </c>
      <c r="K69" s="91">
        <f t="shared" si="8"/>
        <v>-194898647.10000002</v>
      </c>
      <c r="L69" s="91">
        <f t="shared" si="8"/>
        <v>-67393291.399999976</v>
      </c>
      <c r="M69" s="91">
        <f>+M66-M65</f>
        <v>-982008278.5</v>
      </c>
      <c r="N69" s="91">
        <f t="shared" si="8"/>
        <v>-804000000</v>
      </c>
      <c r="O69" s="91">
        <f t="shared" si="8"/>
        <v>0</v>
      </c>
      <c r="P69" s="91">
        <f t="shared" si="8"/>
        <v>-1624000000</v>
      </c>
      <c r="Q69" s="91">
        <f>+Q66-Q65</f>
        <v>-918795766.29300022</v>
      </c>
    </row>
    <row r="84" spans="8:10" ht="15" customHeight="1">
      <c r="I84" s="6">
        <f>3300+3600</f>
        <v>6900</v>
      </c>
      <c r="J84" s="6">
        <f>+I84/I85</f>
        <v>0.46</v>
      </c>
    </row>
    <row r="85" spans="8:10" ht="15" customHeight="1">
      <c r="H85" s="6">
        <f>1619/3000</f>
        <v>0.53966666666666663</v>
      </c>
      <c r="I85" s="2">
        <v>15000</v>
      </c>
    </row>
  </sheetData>
  <mergeCells count="89">
    <mergeCell ref="D9:D10"/>
    <mergeCell ref="D47:D48"/>
    <mergeCell ref="D59:D60"/>
    <mergeCell ref="D49:D50"/>
    <mergeCell ref="D51:D52"/>
    <mergeCell ref="D53:D54"/>
    <mergeCell ref="D55:D56"/>
    <mergeCell ref="D57:D58"/>
    <mergeCell ref="D21:D22"/>
    <mergeCell ref="D11:D12"/>
    <mergeCell ref="D13:D14"/>
    <mergeCell ref="D15:D16"/>
    <mergeCell ref="D17:D18"/>
    <mergeCell ref="D19:D20"/>
    <mergeCell ref="D31:D32"/>
    <mergeCell ref="B69:E69"/>
    <mergeCell ref="B67:E67"/>
    <mergeCell ref="B35:B36"/>
    <mergeCell ref="C35:C36"/>
    <mergeCell ref="B37:B38"/>
    <mergeCell ref="C37:C38"/>
    <mergeCell ref="B39:B40"/>
    <mergeCell ref="C39:C40"/>
    <mergeCell ref="B41:B42"/>
    <mergeCell ref="C41:C42"/>
    <mergeCell ref="B43:B44"/>
    <mergeCell ref="C43:C44"/>
    <mergeCell ref="B45:B46"/>
    <mergeCell ref="C45:C46"/>
    <mergeCell ref="B49:B50"/>
    <mergeCell ref="C49:C50"/>
    <mergeCell ref="B65:E65"/>
    <mergeCell ref="B66:E66"/>
    <mergeCell ref="B47:B48"/>
    <mergeCell ref="C47:C48"/>
    <mergeCell ref="D23:D24"/>
    <mergeCell ref="D25:D26"/>
    <mergeCell ref="D33:D34"/>
    <mergeCell ref="D35:D36"/>
    <mergeCell ref="D37:D38"/>
    <mergeCell ref="D39:D40"/>
    <mergeCell ref="D41:D42"/>
    <mergeCell ref="D43:D44"/>
    <mergeCell ref="D45:D46"/>
    <mergeCell ref="B25:B26"/>
    <mergeCell ref="C25:C26"/>
    <mergeCell ref="B23:B24"/>
    <mergeCell ref="F2:Q2"/>
    <mergeCell ref="B6:E6"/>
    <mergeCell ref="B7:B8"/>
    <mergeCell ref="C7:C8"/>
    <mergeCell ref="F3:Q3"/>
    <mergeCell ref="B5:E5"/>
    <mergeCell ref="D7:D8"/>
    <mergeCell ref="B9:B10"/>
    <mergeCell ref="B21:B22"/>
    <mergeCell ref="C21:C22"/>
    <mergeCell ref="B17:B18"/>
    <mergeCell ref="C17:C18"/>
    <mergeCell ref="B19:B20"/>
    <mergeCell ref="C19:C20"/>
    <mergeCell ref="C15:C16"/>
    <mergeCell ref="B11:B12"/>
    <mergeCell ref="C11:C12"/>
    <mergeCell ref="B13:B14"/>
    <mergeCell ref="C13:C14"/>
    <mergeCell ref="B15:B16"/>
    <mergeCell ref="C9:C10"/>
    <mergeCell ref="C23:C24"/>
    <mergeCell ref="B59:B60"/>
    <mergeCell ref="C59:C60"/>
    <mergeCell ref="B51:B52"/>
    <mergeCell ref="C51:C52"/>
    <mergeCell ref="B53:B54"/>
    <mergeCell ref="C53:C54"/>
    <mergeCell ref="B55:B56"/>
    <mergeCell ref="C55:C56"/>
    <mergeCell ref="B57:B58"/>
    <mergeCell ref="C57:C58"/>
    <mergeCell ref="B31:B32"/>
    <mergeCell ref="C31:C32"/>
    <mergeCell ref="B33:B34"/>
    <mergeCell ref="C33:C34"/>
    <mergeCell ref="B27:B28"/>
    <mergeCell ref="C27:C28"/>
    <mergeCell ref="D27:D28"/>
    <mergeCell ref="C29:C30"/>
    <mergeCell ref="B29:B30"/>
    <mergeCell ref="D29:D30"/>
  </mergeCells>
  <pageMargins left="0.7" right="0.7" top="0.75" bottom="0.75" header="0" footer="0"/>
  <pageSetup orientation="landscape" r:id="rId1"/>
  <ignoredErrors>
    <ignoredError sqref="P52" formula="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26A5-06ED-4467-A252-B9B2CC3995F6}">
  <sheetPr>
    <outlinePr summaryBelow="0" summaryRight="0"/>
  </sheetPr>
  <dimension ref="B1:S41"/>
  <sheetViews>
    <sheetView zoomScale="67" zoomScaleNormal="130" workbookViewId="0">
      <selection activeCell="F20" sqref="F20"/>
    </sheetView>
  </sheetViews>
  <sheetFormatPr defaultColWidth="14.3828125" defaultRowHeight="15" customHeight="1"/>
  <cols>
    <col min="1" max="1" width="16.3046875" style="6" bestFit="1" customWidth="1"/>
    <col min="2" max="2" width="12.84375" style="6" bestFit="1" customWidth="1"/>
    <col min="3" max="4" width="19.84375" style="6" customWidth="1"/>
    <col min="5" max="5" width="14.3828125" style="6"/>
    <col min="6" max="6" width="17.15234375" style="6" bestFit="1" customWidth="1"/>
    <col min="7" max="7" width="17.15234375" style="2" bestFit="1" customWidth="1"/>
    <col min="8" max="8" width="16.3046875" style="6" customWidth="1"/>
    <col min="9" max="10" width="15.3046875" style="6" customWidth="1"/>
    <col min="11" max="11" width="17" style="6" customWidth="1"/>
    <col min="12" max="13" width="16.3046875" style="6" customWidth="1"/>
    <col min="14" max="14" width="16.3828125" style="6" bestFit="1" customWidth="1"/>
    <col min="15" max="15" width="15.84375" style="6" bestFit="1" customWidth="1"/>
    <col min="16" max="16" width="15.3046875" style="6" bestFit="1" customWidth="1"/>
    <col min="17" max="17" width="17.53515625" style="6" bestFit="1" customWidth="1"/>
    <col min="18" max="16384" width="14.3828125" style="6"/>
  </cols>
  <sheetData>
    <row r="1" spans="2:19" ht="15" customHeight="1" thickBot="1"/>
    <row r="2" spans="2:19" ht="15" customHeight="1" thickBot="1">
      <c r="F2" s="1201" t="s">
        <v>3107</v>
      </c>
      <c r="G2" s="1202"/>
      <c r="H2" s="1202"/>
      <c r="I2" s="1202"/>
      <c r="J2" s="1202"/>
      <c r="K2" s="1202"/>
      <c r="L2" s="1202"/>
      <c r="M2" s="1202"/>
      <c r="N2" s="1202"/>
      <c r="O2" s="1202"/>
      <c r="P2" s="1202"/>
      <c r="Q2" s="1203"/>
    </row>
    <row r="3" spans="2:19" ht="15" customHeight="1">
      <c r="F3" s="1201" t="s">
        <v>8077</v>
      </c>
      <c r="G3" s="1202"/>
      <c r="H3" s="1202"/>
      <c r="I3" s="1202"/>
      <c r="J3" s="1202"/>
      <c r="K3" s="1202"/>
      <c r="L3" s="1202"/>
      <c r="M3" s="1202"/>
      <c r="N3" s="1202"/>
      <c r="O3" s="1202"/>
      <c r="P3" s="1202"/>
      <c r="Q3" s="1203"/>
    </row>
    <row r="4" spans="2:19" ht="15" customHeight="1" thickBot="1">
      <c r="F4" s="280">
        <v>45658</v>
      </c>
      <c r="G4" s="280">
        <v>45689</v>
      </c>
      <c r="H4" s="280">
        <v>45717</v>
      </c>
      <c r="I4" s="280">
        <v>45748</v>
      </c>
      <c r="J4" s="280">
        <v>45778</v>
      </c>
      <c r="K4" s="280">
        <v>45809</v>
      </c>
      <c r="L4" s="280">
        <v>45839</v>
      </c>
      <c r="M4" s="280">
        <v>45870</v>
      </c>
      <c r="N4" s="280">
        <v>45901</v>
      </c>
      <c r="O4" s="280">
        <v>45931</v>
      </c>
      <c r="P4" s="280">
        <v>45962</v>
      </c>
      <c r="Q4" s="280">
        <v>45992</v>
      </c>
    </row>
    <row r="5" spans="2:19" ht="15" customHeight="1" thickBot="1">
      <c r="B5" s="1133" t="s">
        <v>8465</v>
      </c>
      <c r="C5" s="1129"/>
      <c r="D5" s="1129"/>
      <c r="E5" s="1129"/>
      <c r="F5" s="215">
        <f t="shared" ref="F5:Q5" si="0">+F7+F9+F11+F13+F15</f>
        <v>408333333.33333337</v>
      </c>
      <c r="G5" s="215">
        <f t="shared" si="0"/>
        <v>408333333.33333337</v>
      </c>
      <c r="H5" s="215">
        <f t="shared" si="0"/>
        <v>418333333.33333337</v>
      </c>
      <c r="I5" s="215">
        <f t="shared" si="0"/>
        <v>441666666.66666669</v>
      </c>
      <c r="J5" s="215">
        <f t="shared" si="0"/>
        <v>441666666.66666669</v>
      </c>
      <c r="K5" s="215">
        <f t="shared" si="0"/>
        <v>476666666.66666669</v>
      </c>
      <c r="L5" s="215">
        <f t="shared" si="0"/>
        <v>531666666.66666669</v>
      </c>
      <c r="M5" s="215">
        <f t="shared" si="0"/>
        <v>4531666666.666667</v>
      </c>
      <c r="N5" s="215">
        <f t="shared" si="0"/>
        <v>6541666666.666667</v>
      </c>
      <c r="O5" s="215">
        <f t="shared" si="0"/>
        <v>6585000000</v>
      </c>
      <c r="P5" s="215">
        <f t="shared" si="0"/>
        <v>9585000000</v>
      </c>
      <c r="Q5" s="215">
        <f t="shared" si="0"/>
        <v>9585000000</v>
      </c>
    </row>
    <row r="6" spans="2:19" ht="15" customHeight="1" thickBot="1">
      <c r="B6" s="1133" t="s">
        <v>8466</v>
      </c>
      <c r="C6" s="1129"/>
      <c r="D6" s="1129"/>
      <c r="E6" s="1129"/>
      <c r="F6" s="885">
        <f t="shared" ref="F6:Q6" si="1">+F8+F10+F12+F14+F16</f>
        <v>285833333.33333331</v>
      </c>
      <c r="G6" s="885">
        <f t="shared" si="1"/>
        <v>285833333.33333331</v>
      </c>
      <c r="H6" s="885">
        <f t="shared" si="1"/>
        <v>292833333.33333331</v>
      </c>
      <c r="I6" s="885">
        <f t="shared" si="1"/>
        <v>309166666.66666669</v>
      </c>
      <c r="J6" s="885">
        <f t="shared" si="1"/>
        <v>309166666.66666669</v>
      </c>
      <c r="K6" s="885">
        <f t="shared" si="1"/>
        <v>333666666.66666669</v>
      </c>
      <c r="L6" s="885">
        <f t="shared" si="1"/>
        <v>372166666.66666669</v>
      </c>
      <c r="M6" s="885">
        <f t="shared" si="1"/>
        <v>3572166666.6666665</v>
      </c>
      <c r="N6" s="885">
        <f t="shared" si="1"/>
        <v>5179166666.666667</v>
      </c>
      <c r="O6" s="885">
        <f t="shared" si="1"/>
        <v>5209500000</v>
      </c>
      <c r="P6" s="885">
        <f t="shared" si="1"/>
        <v>7609500000</v>
      </c>
      <c r="Q6" s="885">
        <f t="shared" si="1"/>
        <v>6709500000</v>
      </c>
    </row>
    <row r="7" spans="2:19" ht="15" customHeight="1" thickBot="1">
      <c r="B7" s="1112" t="s">
        <v>8467</v>
      </c>
      <c r="C7" s="1189" t="s">
        <v>8484</v>
      </c>
      <c r="D7" s="887">
        <f t="shared" ref="D7:D14" si="2">+SUM(F7:Q7)</f>
        <v>3505000000</v>
      </c>
      <c r="E7" s="341" t="s">
        <v>3107</v>
      </c>
      <c r="F7" s="347">
        <f>((1500000000*80%+600000000*60%)/3)/2</f>
        <v>260000000</v>
      </c>
      <c r="G7" s="235">
        <f>((1500000000*80%+600000000*60%)/3)/2</f>
        <v>260000000</v>
      </c>
      <c r="H7" s="235">
        <f>((1500000000*80%+600000000*70%)/3)/2</f>
        <v>270000000</v>
      </c>
      <c r="I7" s="235">
        <f>((1500000000*80%+600000000*70%)/3)/2</f>
        <v>270000000</v>
      </c>
      <c r="J7" s="235">
        <f>((1500000000*80%+600000000*70%)/3)/2</f>
        <v>270000000</v>
      </c>
      <c r="K7" s="235">
        <f>((1500000000*90%+600000000*80%)/3)/2</f>
        <v>305000000</v>
      </c>
      <c r="L7" s="235">
        <f>((1500000000*90%+600000000*80%)/3)/2</f>
        <v>305000000</v>
      </c>
      <c r="M7" s="235">
        <f>((1500000000*90%+600000000*80%)/3)/2</f>
        <v>305000000</v>
      </c>
      <c r="N7" s="235">
        <f>((1500000000*90%+600000000*90%)/3)/2</f>
        <v>315000000</v>
      </c>
      <c r="O7" s="235">
        <f>((1500000000*90%+600000000*90%)/3)/2</f>
        <v>315000000</v>
      </c>
      <c r="P7" s="235">
        <f>((1500000000*90%+600000000*90%)/3)/2</f>
        <v>315000000</v>
      </c>
      <c r="Q7" s="237">
        <f>((1500000000*90%+600000000*90%)/3)/2</f>
        <v>315000000</v>
      </c>
    </row>
    <row r="8" spans="2:19" ht="15" customHeight="1" thickBot="1">
      <c r="B8" s="1114"/>
      <c r="C8" s="1190"/>
      <c r="D8" s="887">
        <f t="shared" si="2"/>
        <v>2453500000</v>
      </c>
      <c r="E8" s="340" t="s">
        <v>8077</v>
      </c>
      <c r="F8" s="351">
        <f t="shared" ref="F8:Q8" si="3">+F7*70%</f>
        <v>182000000</v>
      </c>
      <c r="G8" s="351">
        <f t="shared" si="3"/>
        <v>182000000</v>
      </c>
      <c r="H8" s="351">
        <f t="shared" si="3"/>
        <v>189000000</v>
      </c>
      <c r="I8" s="351">
        <f t="shared" si="3"/>
        <v>189000000</v>
      </c>
      <c r="J8" s="351">
        <f t="shared" si="3"/>
        <v>189000000</v>
      </c>
      <c r="K8" s="351">
        <f t="shared" si="3"/>
        <v>213500000</v>
      </c>
      <c r="L8" s="351">
        <f t="shared" si="3"/>
        <v>213500000</v>
      </c>
      <c r="M8" s="351">
        <f t="shared" si="3"/>
        <v>213500000</v>
      </c>
      <c r="N8" s="351">
        <f t="shared" si="3"/>
        <v>220500000</v>
      </c>
      <c r="O8" s="351">
        <f t="shared" si="3"/>
        <v>220500000</v>
      </c>
      <c r="P8" s="351">
        <f t="shared" si="3"/>
        <v>220500000</v>
      </c>
      <c r="Q8" s="886">
        <f t="shared" si="3"/>
        <v>220500000</v>
      </c>
    </row>
    <row r="9" spans="2:19" ht="15" customHeight="1" thickBot="1">
      <c r="B9" s="1112" t="s">
        <v>8467</v>
      </c>
      <c r="C9" s="1189" t="s">
        <v>8485</v>
      </c>
      <c r="D9" s="887">
        <f t="shared" si="2"/>
        <v>1090000000</v>
      </c>
      <c r="E9" s="341" t="s">
        <v>3107</v>
      </c>
      <c r="F9" s="347">
        <f>((500000000*50%)/3)/2</f>
        <v>41666666.666666664</v>
      </c>
      <c r="G9" s="235">
        <f>((500000000*50%)/3)/2</f>
        <v>41666666.666666664</v>
      </c>
      <c r="H9" s="235">
        <f>((500000000*50%)/3)/2</f>
        <v>41666666.666666664</v>
      </c>
      <c r="I9" s="235">
        <f>((600000000*65%)/3)/2</f>
        <v>65000000</v>
      </c>
      <c r="J9" s="235">
        <f>((600000000*65%)/3)/2</f>
        <v>65000000</v>
      </c>
      <c r="K9" s="235">
        <f>((600000000*65%)/3)/2</f>
        <v>65000000</v>
      </c>
      <c r="L9" s="235">
        <f>((800000000*80%)/3)/2</f>
        <v>106666666.66666667</v>
      </c>
      <c r="M9" s="235">
        <f>((800000000*80%)/3)/2</f>
        <v>106666666.66666667</v>
      </c>
      <c r="N9" s="235">
        <f>((800000000*80%)/3)/2</f>
        <v>106666666.66666667</v>
      </c>
      <c r="O9" s="235">
        <f>((1000000000*90%)/3)/2</f>
        <v>150000000</v>
      </c>
      <c r="P9" s="235">
        <f>((1000000000*90%)/3)/2</f>
        <v>150000000</v>
      </c>
      <c r="Q9" s="237">
        <f>((1000000000*90%)/3)/2</f>
        <v>150000000</v>
      </c>
    </row>
    <row r="10" spans="2:19" ht="15" customHeight="1" thickBot="1">
      <c r="B10" s="1114"/>
      <c r="C10" s="1190"/>
      <c r="D10" s="887">
        <f t="shared" si="2"/>
        <v>763000000</v>
      </c>
      <c r="E10" s="340" t="s">
        <v>8077</v>
      </c>
      <c r="F10" s="351">
        <f t="shared" ref="F10:Q10" si="4">+F9*70%</f>
        <v>29166666.666666664</v>
      </c>
      <c r="G10" s="351">
        <f t="shared" si="4"/>
        <v>29166666.666666664</v>
      </c>
      <c r="H10" s="351">
        <f t="shared" si="4"/>
        <v>29166666.666666664</v>
      </c>
      <c r="I10" s="351">
        <f t="shared" si="4"/>
        <v>45500000</v>
      </c>
      <c r="J10" s="351">
        <f t="shared" si="4"/>
        <v>45500000</v>
      </c>
      <c r="K10" s="351">
        <f t="shared" si="4"/>
        <v>45500000</v>
      </c>
      <c r="L10" s="351">
        <f t="shared" si="4"/>
        <v>74666666.666666672</v>
      </c>
      <c r="M10" s="351">
        <f t="shared" si="4"/>
        <v>74666666.666666672</v>
      </c>
      <c r="N10" s="351">
        <f t="shared" si="4"/>
        <v>74666666.666666672</v>
      </c>
      <c r="O10" s="351">
        <f t="shared" si="4"/>
        <v>105000000</v>
      </c>
      <c r="P10" s="351">
        <f t="shared" si="4"/>
        <v>105000000</v>
      </c>
      <c r="Q10" s="886">
        <f t="shared" si="4"/>
        <v>105000000</v>
      </c>
    </row>
    <row r="11" spans="2:19" ht="15" customHeight="1" thickBot="1">
      <c r="B11" s="1112" t="s">
        <v>8467</v>
      </c>
      <c r="C11" s="1189" t="s">
        <v>8486</v>
      </c>
      <c r="D11" s="887">
        <f t="shared" si="2"/>
        <v>1360000000</v>
      </c>
      <c r="E11" s="341" t="s">
        <v>3107</v>
      </c>
      <c r="F11" s="344">
        <f t="shared" ref="F11:K11" si="5">((800000000*80%)/3)/2</f>
        <v>106666666.66666667</v>
      </c>
      <c r="G11" s="2">
        <f t="shared" si="5"/>
        <v>106666666.66666667</v>
      </c>
      <c r="H11" s="2">
        <f t="shared" si="5"/>
        <v>106666666.66666667</v>
      </c>
      <c r="I11" s="2">
        <f t="shared" si="5"/>
        <v>106666666.66666667</v>
      </c>
      <c r="J11" s="2">
        <f t="shared" si="5"/>
        <v>106666666.66666667</v>
      </c>
      <c r="K11" s="2">
        <f t="shared" si="5"/>
        <v>106666666.66666667</v>
      </c>
      <c r="L11" s="2">
        <f t="shared" ref="L11:Q11" si="6">((800000000*90%)/3)/2</f>
        <v>120000000</v>
      </c>
      <c r="M11" s="2">
        <f t="shared" si="6"/>
        <v>120000000</v>
      </c>
      <c r="N11" s="2">
        <f t="shared" si="6"/>
        <v>120000000</v>
      </c>
      <c r="O11" s="2">
        <f t="shared" si="6"/>
        <v>120000000</v>
      </c>
      <c r="P11" s="2">
        <f t="shared" si="6"/>
        <v>120000000</v>
      </c>
      <c r="Q11" s="376">
        <f t="shared" si="6"/>
        <v>120000000</v>
      </c>
      <c r="S11" s="6">
        <v>2</v>
      </c>
    </row>
    <row r="12" spans="2:19" ht="15" customHeight="1" thickBot="1">
      <c r="B12" s="1114"/>
      <c r="C12" s="1190"/>
      <c r="D12" s="887">
        <f t="shared" si="2"/>
        <v>952000000</v>
      </c>
      <c r="E12" s="340" t="s">
        <v>8077</v>
      </c>
      <c r="F12" s="351">
        <f t="shared" ref="F12:Q12" si="7">+F11*70%</f>
        <v>74666666.666666672</v>
      </c>
      <c r="G12" s="351">
        <f t="shared" si="7"/>
        <v>74666666.666666672</v>
      </c>
      <c r="H12" s="351">
        <f t="shared" si="7"/>
        <v>74666666.666666672</v>
      </c>
      <c r="I12" s="351">
        <f t="shared" si="7"/>
        <v>74666666.666666672</v>
      </c>
      <c r="J12" s="351">
        <f t="shared" si="7"/>
        <v>74666666.666666672</v>
      </c>
      <c r="K12" s="351">
        <f t="shared" si="7"/>
        <v>74666666.666666672</v>
      </c>
      <c r="L12" s="351">
        <f t="shared" si="7"/>
        <v>84000000</v>
      </c>
      <c r="M12" s="351">
        <f t="shared" si="7"/>
        <v>84000000</v>
      </c>
      <c r="N12" s="351">
        <f t="shared" si="7"/>
        <v>84000000</v>
      </c>
      <c r="O12" s="351">
        <f t="shared" si="7"/>
        <v>84000000</v>
      </c>
      <c r="P12" s="351">
        <f t="shared" si="7"/>
        <v>84000000</v>
      </c>
      <c r="Q12" s="886">
        <f t="shared" si="7"/>
        <v>84000000</v>
      </c>
    </row>
    <row r="13" spans="2:19" ht="15" customHeight="1" thickBot="1">
      <c r="B13" s="1112" t="s">
        <v>8473</v>
      </c>
      <c r="C13" s="1189" t="s">
        <v>8487</v>
      </c>
      <c r="D13" s="887">
        <f t="shared" si="2"/>
        <v>34000000000</v>
      </c>
      <c r="E13" s="267" t="s">
        <v>3107</v>
      </c>
      <c r="F13" s="347"/>
      <c r="G13" s="235"/>
      <c r="H13" s="235"/>
      <c r="I13" s="235"/>
      <c r="J13" s="235"/>
      <c r="K13" s="235"/>
      <c r="L13" s="235"/>
      <c r="M13" s="235">
        <v>4000000000</v>
      </c>
      <c r="N13" s="235">
        <v>6000000000</v>
      </c>
      <c r="O13" s="235">
        <v>6000000000</v>
      </c>
      <c r="P13" s="235">
        <v>9000000000</v>
      </c>
      <c r="Q13" s="237">
        <v>9000000000</v>
      </c>
    </row>
    <row r="14" spans="2:19" ht="15" customHeight="1" thickBot="1">
      <c r="B14" s="1114"/>
      <c r="C14" s="1190"/>
      <c r="D14" s="887">
        <f t="shared" si="2"/>
        <v>26300000000</v>
      </c>
      <c r="E14" s="270" t="s">
        <v>8077</v>
      </c>
      <c r="F14" s="351"/>
      <c r="G14" s="236"/>
      <c r="H14" s="236"/>
      <c r="I14" s="236"/>
      <c r="J14" s="236"/>
      <c r="K14" s="236"/>
      <c r="L14" s="236"/>
      <c r="M14" s="236">
        <f>+M13*80%</f>
        <v>3200000000</v>
      </c>
      <c r="N14" s="236">
        <f>+N13*80%</f>
        <v>4800000000</v>
      </c>
      <c r="O14" s="236">
        <f>+O13*80%</f>
        <v>4800000000</v>
      </c>
      <c r="P14" s="238">
        <f>+P13*80%</f>
        <v>7200000000</v>
      </c>
      <c r="Q14" s="238">
        <f>+Q13*70%</f>
        <v>6300000000</v>
      </c>
    </row>
    <row r="15" spans="2:19" ht="15" customHeight="1">
      <c r="B15" s="1112"/>
      <c r="C15" s="1189"/>
      <c r="D15" s="1191"/>
      <c r="E15" s="267" t="s">
        <v>3107</v>
      </c>
      <c r="F15" s="347"/>
      <c r="G15" s="235"/>
      <c r="H15" s="235"/>
      <c r="I15" s="235"/>
      <c r="J15" s="235"/>
      <c r="K15" s="235"/>
      <c r="L15" s="235"/>
      <c r="M15" s="235"/>
      <c r="N15" s="235"/>
      <c r="O15" s="268"/>
      <c r="P15" s="268"/>
      <c r="Q15" s="237"/>
    </row>
    <row r="16" spans="2:19" ht="15" customHeight="1" thickBot="1">
      <c r="B16" s="1114"/>
      <c r="C16" s="1190"/>
      <c r="D16" s="1192"/>
      <c r="E16" s="270" t="s">
        <v>8077</v>
      </c>
      <c r="F16" s="351"/>
      <c r="G16" s="236"/>
      <c r="H16" s="236"/>
      <c r="I16" s="236"/>
      <c r="J16" s="236"/>
      <c r="K16" s="236"/>
      <c r="L16" s="236"/>
      <c r="M16" s="236"/>
      <c r="N16" s="271"/>
      <c r="O16" s="271"/>
      <c r="P16" s="271"/>
      <c r="Q16" s="238"/>
    </row>
    <row r="17" spans="2:17" ht="15" customHeight="1">
      <c r="B17" s="430"/>
      <c r="C17" s="431"/>
      <c r="D17" s="431"/>
      <c r="E17" s="69"/>
      <c r="F17" s="2"/>
      <c r="H17" s="2"/>
      <c r="I17" s="2"/>
      <c r="J17" s="2"/>
      <c r="K17" s="2"/>
      <c r="L17" s="2"/>
      <c r="M17" s="2"/>
      <c r="Q17" s="2"/>
    </row>
    <row r="18" spans="2:17" ht="15" customHeight="1">
      <c r="B18" s="430"/>
      <c r="C18" s="431"/>
      <c r="D18" s="431"/>
      <c r="E18" s="69"/>
      <c r="F18" s="2"/>
      <c r="H18" s="2"/>
      <c r="I18" s="2"/>
      <c r="J18" s="2"/>
      <c r="K18" s="2"/>
      <c r="L18" s="2"/>
      <c r="M18" s="2"/>
    </row>
    <row r="20" spans="2:17" ht="15" customHeight="1">
      <c r="F20" s="280">
        <v>45292</v>
      </c>
      <c r="G20" s="280">
        <v>45323</v>
      </c>
      <c r="H20" s="280">
        <v>45352</v>
      </c>
      <c r="I20" s="280">
        <v>45383</v>
      </c>
      <c r="J20" s="280">
        <v>45413</v>
      </c>
      <c r="K20" s="280">
        <v>45444</v>
      </c>
      <c r="L20" s="280">
        <v>45474</v>
      </c>
      <c r="M20" s="280">
        <v>45505</v>
      </c>
      <c r="N20" s="280">
        <v>45536</v>
      </c>
      <c r="O20" s="280">
        <v>45566</v>
      </c>
      <c r="P20" s="280">
        <v>45597</v>
      </c>
      <c r="Q20" s="280">
        <v>45627</v>
      </c>
    </row>
    <row r="21" spans="2:17" ht="15" customHeight="1">
      <c r="B21" s="1102" t="s">
        <v>8482</v>
      </c>
      <c r="C21" s="1102"/>
      <c r="D21" s="1102"/>
      <c r="E21" s="1102"/>
      <c r="F21" s="91" t="e">
        <f>+F7+#REF!+#REF!+#REF!+#REF!+#REF!+#REF!+#REF!+#REF!+#REF!+#REF!+#REF!+#REF!+#REF!+#REF!+F13+#REF!+#REF!+#REF!+#REF!+#REF!+#REF!</f>
        <v>#REF!</v>
      </c>
      <c r="G21" s="91" t="e">
        <f>+G7+#REF!+#REF!+#REF!+#REF!+#REF!+#REF!+#REF!+#REF!+#REF!+#REF!+#REF!+#REF!+#REF!+#REF!+G13+#REF!+#REF!+#REF!+#REF!+#REF!+#REF!</f>
        <v>#REF!</v>
      </c>
      <c r="H21" s="91" t="e">
        <f>+H7+#REF!+#REF!+#REF!+#REF!+#REF!+#REF!+#REF!+#REF!+#REF!+#REF!+#REF!+#REF!+#REF!+#REF!+H13+#REF!+#REF!+#REF!+#REF!+#REF!+#REF!</f>
        <v>#REF!</v>
      </c>
      <c r="I21" s="91" t="e">
        <f>+I7+#REF!+#REF!+#REF!+#REF!+#REF!+#REF!+#REF!+#REF!+#REF!+#REF!+#REF!+#REF!+#REF!+#REF!+I13+#REF!+#REF!+#REF!+#REF!+#REF!+#REF!</f>
        <v>#REF!</v>
      </c>
      <c r="J21" s="91" t="e">
        <f>+J7+#REF!+#REF!+#REF!+#REF!+#REF!+#REF!+#REF!+#REF!+#REF!+#REF!+#REF!+#REF!+#REF!+#REF!+J13+#REF!+#REF!+#REF!+#REF!+#REF!+#REF!</f>
        <v>#REF!</v>
      </c>
      <c r="K21" s="91" t="e">
        <f>+K7+#REF!+#REF!+#REF!+#REF!+#REF!+#REF!+#REF!+#REF!+#REF!+#REF!+#REF!+#REF!+#REF!+#REF!+K13+#REF!+#REF!+#REF!+#REF!+#REF!+#REF!</f>
        <v>#REF!</v>
      </c>
      <c r="L21" s="91" t="e">
        <f>+L7+#REF!+#REF!+#REF!+#REF!+#REF!+#REF!+#REF!+#REF!+#REF!+#REF!+#REF!+#REF!+#REF!+#REF!+L13+#REF!+#REF!+#REF!+#REF!+#REF!+#REF!</f>
        <v>#REF!</v>
      </c>
      <c r="M21" s="91" t="e">
        <f>+M7+#REF!+#REF!+#REF!+#REF!+#REF!+#REF!+#REF!+#REF!+#REF!+#REF!+#REF!+#REF!+#REF!+#REF!+M13+#REF!+#REF!+#REF!+#REF!+#REF!+#REF!</f>
        <v>#REF!</v>
      </c>
      <c r="N21" s="91" t="e">
        <f>+N7+#REF!+#REF!+#REF!+#REF!+#REF!+#REF!+#REF!+#REF!+#REF!+#REF!+#REF!+#REF!+#REF!+#REF!+N13+#REF!+#REF!+#REF!+#REF!+#REF!+#REF!</f>
        <v>#REF!</v>
      </c>
      <c r="O21" s="91" t="e">
        <f>+O7+#REF!+#REF!+#REF!+#REF!+#REF!+#REF!+#REF!+#REF!+#REF!+#REF!+#REF!+#REF!+#REF!+#REF!+O13+#REF!+#REF!+#REF!+#REF!+#REF!+#REF!</f>
        <v>#REF!</v>
      </c>
      <c r="P21" s="91" t="e">
        <f>+P7+#REF!+#REF!+#REF!+#REF!+#REF!+#REF!+#REF!+#REF!+#REF!+#REF!+#REF!+#REF!+#REF!+#REF!+P13+#REF!+#REF!+#REF!+#REF!+#REF!+#REF!</f>
        <v>#REF!</v>
      </c>
      <c r="Q21" s="91" t="e">
        <f>+Q7+#REF!+#REF!+#REF!+#REF!+#REF!+#REF!+#REF!+#REF!+#REF!+#REF!+#REF!+#REF!+#REF!+#REF!+Q13+#REF!+#REF!+#REF!+#REF!+#REF!+#REF!</f>
        <v>#REF!</v>
      </c>
    </row>
    <row r="22" spans="2:17" ht="15" customHeight="1">
      <c r="B22" s="1102" t="s">
        <v>8077</v>
      </c>
      <c r="C22" s="1102"/>
      <c r="D22" s="1102"/>
      <c r="E22" s="1102"/>
      <c r="F22" s="91" t="e">
        <f>+F8+#REF!+#REF!+#REF!+#REF!+#REF!+#REF!+#REF!+#REF!+#REF!+#REF!+#REF!+#REF!+#REF!+#REF!+F14+#REF!+#REF!+#REF!+#REF!+#REF!+#REF!</f>
        <v>#REF!</v>
      </c>
      <c r="G22" s="91" t="e">
        <f>+G8+#REF!+#REF!+#REF!+#REF!+#REF!+#REF!+#REF!+#REF!+#REF!+#REF!+#REF!+#REF!+#REF!+#REF!+G14+#REF!+#REF!+#REF!+#REF!+#REF!+#REF!</f>
        <v>#REF!</v>
      </c>
      <c r="H22" s="91" t="e">
        <f>+H8+#REF!+#REF!+#REF!+#REF!+#REF!+#REF!+#REF!+#REF!+#REF!+#REF!+#REF!+#REF!+#REF!+#REF!+H14+#REF!+#REF!+#REF!+#REF!+#REF!+#REF!</f>
        <v>#REF!</v>
      </c>
      <c r="I22" s="91" t="e">
        <f>+I8+#REF!+#REF!+#REF!+#REF!+#REF!+#REF!+#REF!+#REF!+#REF!+#REF!+#REF!+#REF!+#REF!+#REF!+I14+#REF!+#REF!+#REF!+#REF!+#REF!+#REF!</f>
        <v>#REF!</v>
      </c>
      <c r="J22" s="91" t="e">
        <f>+J8+#REF!+#REF!+#REF!+#REF!+#REF!+#REF!+#REF!+#REF!+#REF!+#REF!+#REF!+#REF!+#REF!+#REF!+J14+#REF!+#REF!+#REF!+#REF!+#REF!+#REF!</f>
        <v>#REF!</v>
      </c>
      <c r="K22" s="91" t="e">
        <f>+K8+#REF!+#REF!+#REF!+#REF!+#REF!+#REF!+#REF!+#REF!+#REF!+#REF!+#REF!+#REF!+#REF!+#REF!+K14+#REF!+#REF!+#REF!+#REF!+#REF!+#REF!</f>
        <v>#REF!</v>
      </c>
      <c r="L22" s="91" t="e">
        <f>+L8+#REF!+#REF!+#REF!+#REF!+#REF!+#REF!+#REF!+#REF!+#REF!+#REF!+#REF!+#REF!+#REF!+#REF!+L14+#REF!+#REF!+#REF!+#REF!+#REF!+#REF!</f>
        <v>#REF!</v>
      </c>
      <c r="M22" s="91" t="e">
        <f>+M8+#REF!+#REF!+#REF!+#REF!+#REF!+#REF!+#REF!+#REF!+#REF!+#REF!+#REF!+#REF!+#REF!+#REF!+M14+#REF!+#REF!+#REF!+#REF!+#REF!+#REF!</f>
        <v>#REF!</v>
      </c>
      <c r="N22" s="91" t="e">
        <f>+N8+#REF!+#REF!+#REF!+#REF!+#REF!+#REF!+#REF!+#REF!+#REF!+#REF!+#REF!+#REF!+#REF!+#REF!+N14+#REF!+#REF!+#REF!+#REF!+#REF!+#REF!</f>
        <v>#REF!</v>
      </c>
      <c r="O22" s="91" t="e">
        <f>+O8+#REF!+#REF!+#REF!+#REF!+#REF!+#REF!+#REF!+#REF!+#REF!+#REF!+#REF!+#REF!+#REF!+#REF!+O14+#REF!+#REF!+#REF!+#REF!+#REF!+#REF!</f>
        <v>#REF!</v>
      </c>
      <c r="P22" s="91" t="e">
        <f>+P8+#REF!+#REF!+#REF!+#REF!+#REF!+#REF!+#REF!+#REF!+#REF!+#REF!+#REF!+#REF!+#REF!+#REF!+P14+#REF!+#REF!+#REF!+#REF!+#REF!+#REF!</f>
        <v>#REF!</v>
      </c>
      <c r="Q22" s="91" t="e">
        <f>+Q8+#REF!+#REF!+#REF!+#REF!+#REF!+#REF!+#REF!+#REF!+#REF!+#REF!+#REF!+#REF!+#REF!+#REF!+Q14+#REF!+#REF!+#REF!+#REF!+#REF!+#REF!</f>
        <v>#REF!</v>
      </c>
    </row>
    <row r="23" spans="2:17" ht="15" customHeight="1">
      <c r="B23" s="1102"/>
      <c r="C23" s="1102"/>
      <c r="D23" s="1102"/>
      <c r="E23" s="1102"/>
      <c r="I23" s="2"/>
      <c r="J23" s="2"/>
      <c r="K23" s="2"/>
    </row>
    <row r="25" spans="2:17" ht="15" customHeight="1">
      <c r="B25" s="1102" t="s">
        <v>8483</v>
      </c>
      <c r="C25" s="1102"/>
      <c r="D25" s="1102"/>
      <c r="E25" s="1102"/>
      <c r="F25" s="91" t="e">
        <f>+F22-F21</f>
        <v>#REF!</v>
      </c>
      <c r="G25" s="91" t="e">
        <f>+G22-G21</f>
        <v>#REF!</v>
      </c>
      <c r="H25" s="91" t="e">
        <f t="shared" ref="H25:P25" si="8">+H22-H21</f>
        <v>#REF!</v>
      </c>
      <c r="I25" s="91" t="e">
        <f>+I22-I21</f>
        <v>#REF!</v>
      </c>
      <c r="J25" s="91" t="e">
        <f t="shared" si="8"/>
        <v>#REF!</v>
      </c>
      <c r="K25" s="91" t="e">
        <f t="shared" si="8"/>
        <v>#REF!</v>
      </c>
      <c r="L25" s="91" t="e">
        <f t="shared" si="8"/>
        <v>#REF!</v>
      </c>
      <c r="M25" s="91" t="e">
        <f>+M22-M21</f>
        <v>#REF!</v>
      </c>
      <c r="N25" s="91" t="e">
        <f t="shared" si="8"/>
        <v>#REF!</v>
      </c>
      <c r="O25" s="91" t="e">
        <f t="shared" si="8"/>
        <v>#REF!</v>
      </c>
      <c r="P25" s="91" t="e">
        <f t="shared" si="8"/>
        <v>#REF!</v>
      </c>
      <c r="Q25" s="91" t="e">
        <f>+Q22-Q21</f>
        <v>#REF!</v>
      </c>
    </row>
    <row r="40" spans="8:10" ht="15" customHeight="1">
      <c r="I40" s="6">
        <f>3300+3600</f>
        <v>6900</v>
      </c>
      <c r="J40" s="6">
        <f>+I40/I41</f>
        <v>0.46</v>
      </c>
    </row>
    <row r="41" spans="8:10" ht="15" customHeight="1">
      <c r="H41" s="6">
        <f>1619/3000</f>
        <v>0.53966666666666663</v>
      </c>
      <c r="I41" s="2">
        <v>15000</v>
      </c>
    </row>
  </sheetData>
  <mergeCells count="19">
    <mergeCell ref="F2:Q2"/>
    <mergeCell ref="F3:Q3"/>
    <mergeCell ref="B5:E5"/>
    <mergeCell ref="B6:E6"/>
    <mergeCell ref="B7:B8"/>
    <mergeCell ref="C7:C8"/>
    <mergeCell ref="B13:B14"/>
    <mergeCell ref="C13:C14"/>
    <mergeCell ref="B9:B10"/>
    <mergeCell ref="C9:C10"/>
    <mergeCell ref="B11:B12"/>
    <mergeCell ref="C11:C12"/>
    <mergeCell ref="B21:E21"/>
    <mergeCell ref="B22:E22"/>
    <mergeCell ref="B23:E23"/>
    <mergeCell ref="B25:E25"/>
    <mergeCell ref="B15:B16"/>
    <mergeCell ref="C15:C16"/>
    <mergeCell ref="D15:D16"/>
  </mergeCells>
  <pageMargins left="0.7" right="0.7" top="0.75" bottom="0.75" header="0" footer="0"/>
  <pageSetup orientation="landscape" r:id="rId1"/>
  <ignoredErrors>
    <ignoredError sqref="F9:Q10 F11:Q12 Q14"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B4A4-FD9C-42D2-9B4F-F8E5C41615F8}">
  <dimension ref="B2:Q13"/>
  <sheetViews>
    <sheetView zoomScale="66" workbookViewId="0">
      <selection activeCell="E15" sqref="E15"/>
    </sheetView>
  </sheetViews>
  <sheetFormatPr defaultColWidth="11.3828125" defaultRowHeight="12.45"/>
  <cols>
    <col min="4" max="4" width="15.3046875" bestFit="1" customWidth="1"/>
    <col min="6" max="17" width="13.69140625" bestFit="1" customWidth="1"/>
  </cols>
  <sheetData>
    <row r="2" spans="2:17" ht="12.9" thickBot="1"/>
    <row r="3" spans="2:17" ht="12.9" thickBot="1">
      <c r="B3" s="6"/>
      <c r="C3" s="6"/>
      <c r="D3" s="6"/>
      <c r="E3" s="6"/>
      <c r="F3" s="1201" t="s">
        <v>3107</v>
      </c>
      <c r="G3" s="1202"/>
      <c r="H3" s="1202"/>
      <c r="I3" s="1202"/>
      <c r="J3" s="1202"/>
      <c r="K3" s="1202"/>
      <c r="L3" s="1202"/>
      <c r="M3" s="1202"/>
      <c r="N3" s="1202"/>
      <c r="O3" s="1202"/>
      <c r="P3" s="1202"/>
      <c r="Q3" s="1203"/>
    </row>
    <row r="4" spans="2:17">
      <c r="B4" s="6"/>
      <c r="C4" s="6"/>
      <c r="D4" s="6"/>
      <c r="E4" s="6"/>
      <c r="F4" s="1201" t="s">
        <v>8077</v>
      </c>
      <c r="G4" s="1202"/>
      <c r="H4" s="1202"/>
      <c r="I4" s="1202"/>
      <c r="J4" s="1202"/>
      <c r="K4" s="1202"/>
      <c r="L4" s="1202"/>
      <c r="M4" s="1202"/>
      <c r="N4" s="1202"/>
      <c r="O4" s="1202"/>
      <c r="P4" s="1202"/>
      <c r="Q4" s="1203"/>
    </row>
    <row r="5" spans="2:17" ht="12.9" thickBot="1">
      <c r="B5" s="6"/>
      <c r="C5" s="6"/>
      <c r="D5" s="6"/>
      <c r="E5" s="6"/>
      <c r="F5" s="280">
        <v>45658</v>
      </c>
      <c r="G5" s="280">
        <v>45689</v>
      </c>
      <c r="H5" s="280">
        <v>45717</v>
      </c>
      <c r="I5" s="280">
        <v>45748</v>
      </c>
      <c r="J5" s="280">
        <v>45778</v>
      </c>
      <c r="K5" s="280">
        <v>45809</v>
      </c>
      <c r="L5" s="280">
        <v>45839</v>
      </c>
      <c r="M5" s="280">
        <v>45870</v>
      </c>
      <c r="N5" s="280">
        <v>45901</v>
      </c>
      <c r="O5" s="280">
        <v>45931</v>
      </c>
      <c r="P5" s="280">
        <v>45962</v>
      </c>
      <c r="Q5" s="280">
        <v>45992</v>
      </c>
    </row>
    <row r="6" spans="2:17" ht="12.9" thickBot="1">
      <c r="B6" s="1133" t="s">
        <v>8465</v>
      </c>
      <c r="C6" s="1129"/>
      <c r="D6" s="1129"/>
      <c r="E6" s="1129"/>
      <c r="F6" s="215">
        <f t="shared" ref="F6:Q6" si="0">+F8+F10+F12+F14+F16</f>
        <v>408333333.33333337</v>
      </c>
      <c r="G6" s="215">
        <f t="shared" si="0"/>
        <v>408333333.33333337</v>
      </c>
      <c r="H6" s="215">
        <f t="shared" si="0"/>
        <v>418333333.33333337</v>
      </c>
      <c r="I6" s="215">
        <f t="shared" si="0"/>
        <v>441666666.66666669</v>
      </c>
      <c r="J6" s="215">
        <f t="shared" si="0"/>
        <v>441666666.66666669</v>
      </c>
      <c r="K6" s="215">
        <f t="shared" si="0"/>
        <v>476666666.66666669</v>
      </c>
      <c r="L6" s="215">
        <f t="shared" si="0"/>
        <v>531666666.66666669</v>
      </c>
      <c r="M6" s="215">
        <f t="shared" si="0"/>
        <v>531666666.66666669</v>
      </c>
      <c r="N6" s="215">
        <f t="shared" si="0"/>
        <v>541666666.66666675</v>
      </c>
      <c r="O6" s="215">
        <f t="shared" si="0"/>
        <v>585000000</v>
      </c>
      <c r="P6" s="215">
        <f t="shared" si="0"/>
        <v>585000000</v>
      </c>
      <c r="Q6" s="215">
        <f t="shared" si="0"/>
        <v>585000000</v>
      </c>
    </row>
    <row r="7" spans="2:17" ht="12.9" thickBot="1">
      <c r="B7" s="1133" t="s">
        <v>8466</v>
      </c>
      <c r="C7" s="1129"/>
      <c r="D7" s="1129"/>
      <c r="E7" s="1129"/>
      <c r="F7" s="885">
        <f t="shared" ref="F7:Q7" si="1">+F9+F11+F13+F15+F17</f>
        <v>285833333.33333331</v>
      </c>
      <c r="G7" s="885">
        <f t="shared" si="1"/>
        <v>285833333.33333331</v>
      </c>
      <c r="H7" s="885">
        <f t="shared" si="1"/>
        <v>292833333.33333331</v>
      </c>
      <c r="I7" s="885">
        <f t="shared" si="1"/>
        <v>309166666.66666669</v>
      </c>
      <c r="J7" s="885">
        <f t="shared" si="1"/>
        <v>309166666.66666669</v>
      </c>
      <c r="K7" s="885">
        <f t="shared" si="1"/>
        <v>333666666.66666669</v>
      </c>
      <c r="L7" s="885">
        <f t="shared" si="1"/>
        <v>372166666.66666669</v>
      </c>
      <c r="M7" s="885">
        <f t="shared" si="1"/>
        <v>372166666.66666669</v>
      </c>
      <c r="N7" s="885">
        <f t="shared" si="1"/>
        <v>379166666.66666669</v>
      </c>
      <c r="O7" s="885">
        <f t="shared" si="1"/>
        <v>409500000</v>
      </c>
      <c r="P7" s="885">
        <f t="shared" si="1"/>
        <v>409500000</v>
      </c>
      <c r="Q7" s="885">
        <f t="shared" si="1"/>
        <v>409500000</v>
      </c>
    </row>
    <row r="8" spans="2:17" ht="12.9" thickBot="1">
      <c r="B8" s="1112" t="s">
        <v>8467</v>
      </c>
      <c r="C8" s="1189" t="s">
        <v>8484</v>
      </c>
      <c r="D8" s="887">
        <f t="shared" ref="D8:D13" si="2">+SUM(F8:Q8)</f>
        <v>3505000000</v>
      </c>
      <c r="E8" s="341" t="s">
        <v>3107</v>
      </c>
      <c r="F8" s="347">
        <f>((1500000000*80%+600000000*60%)/3)/2</f>
        <v>260000000</v>
      </c>
      <c r="G8" s="235">
        <f>((1500000000*80%+600000000*60%)/3)/2</f>
        <v>260000000</v>
      </c>
      <c r="H8" s="235">
        <f>((1500000000*80%+600000000*70%)/3)/2</f>
        <v>270000000</v>
      </c>
      <c r="I8" s="235">
        <f>((1500000000*80%+600000000*70%)/3)/2</f>
        <v>270000000</v>
      </c>
      <c r="J8" s="235">
        <f>((1500000000*80%+600000000*70%)/3)/2</f>
        <v>270000000</v>
      </c>
      <c r="K8" s="235">
        <f>((1500000000*90%+600000000*80%)/3)/2</f>
        <v>305000000</v>
      </c>
      <c r="L8" s="235">
        <f>((1500000000*90%+600000000*80%)/3)/2</f>
        <v>305000000</v>
      </c>
      <c r="M8" s="235">
        <f>((1500000000*90%+600000000*80%)/3)/2</f>
        <v>305000000</v>
      </c>
      <c r="N8" s="235">
        <f>((1500000000*90%+600000000*90%)/3)/2</f>
        <v>315000000</v>
      </c>
      <c r="O8" s="235">
        <f>((1500000000*90%+600000000*90%)/3)/2</f>
        <v>315000000</v>
      </c>
      <c r="P8" s="235">
        <f>((1500000000*90%+600000000*90%)/3)/2</f>
        <v>315000000</v>
      </c>
      <c r="Q8" s="237">
        <f>((1500000000*90%+600000000*90%)/3)/2</f>
        <v>315000000</v>
      </c>
    </row>
    <row r="9" spans="2:17" ht="12.9" thickBot="1">
      <c r="B9" s="1114"/>
      <c r="C9" s="1190"/>
      <c r="D9" s="887">
        <f t="shared" si="2"/>
        <v>2453500000</v>
      </c>
      <c r="E9" s="340" t="s">
        <v>8077</v>
      </c>
      <c r="F9" s="351">
        <f t="shared" ref="F9:Q9" si="3">+F8*70%</f>
        <v>182000000</v>
      </c>
      <c r="G9" s="351">
        <f t="shared" si="3"/>
        <v>182000000</v>
      </c>
      <c r="H9" s="351">
        <f t="shared" si="3"/>
        <v>189000000</v>
      </c>
      <c r="I9" s="351">
        <f t="shared" si="3"/>
        <v>189000000</v>
      </c>
      <c r="J9" s="351">
        <f t="shared" si="3"/>
        <v>189000000</v>
      </c>
      <c r="K9" s="351">
        <f t="shared" si="3"/>
        <v>213500000</v>
      </c>
      <c r="L9" s="351">
        <f t="shared" si="3"/>
        <v>213500000</v>
      </c>
      <c r="M9" s="351">
        <f t="shared" si="3"/>
        <v>213500000</v>
      </c>
      <c r="N9" s="351">
        <f t="shared" si="3"/>
        <v>220500000</v>
      </c>
      <c r="O9" s="351">
        <f t="shared" si="3"/>
        <v>220500000</v>
      </c>
      <c r="P9" s="351">
        <f t="shared" si="3"/>
        <v>220500000</v>
      </c>
      <c r="Q9" s="886">
        <f t="shared" si="3"/>
        <v>220500000</v>
      </c>
    </row>
    <row r="10" spans="2:17" ht="12.9" thickBot="1">
      <c r="B10" s="1112" t="s">
        <v>8467</v>
      </c>
      <c r="C10" s="1189" t="s">
        <v>8485</v>
      </c>
      <c r="D10" s="887">
        <f t="shared" si="2"/>
        <v>1090000000</v>
      </c>
      <c r="E10" s="341" t="s">
        <v>3107</v>
      </c>
      <c r="F10" s="347">
        <f>((500000000*50%)/3)/2</f>
        <v>41666666.666666664</v>
      </c>
      <c r="G10" s="235">
        <f>((500000000*50%)/3)/2</f>
        <v>41666666.666666664</v>
      </c>
      <c r="H10" s="235">
        <f>((500000000*50%)/3)/2</f>
        <v>41666666.666666664</v>
      </c>
      <c r="I10" s="235">
        <f>((600000000*65%)/3)/2</f>
        <v>65000000</v>
      </c>
      <c r="J10" s="235">
        <f>((600000000*65%)/3)/2</f>
        <v>65000000</v>
      </c>
      <c r="K10" s="235">
        <f>((600000000*65%)/3)/2</f>
        <v>65000000</v>
      </c>
      <c r="L10" s="235">
        <f>((800000000*80%)/3)/2</f>
        <v>106666666.66666667</v>
      </c>
      <c r="M10" s="235">
        <f>((800000000*80%)/3)/2</f>
        <v>106666666.66666667</v>
      </c>
      <c r="N10" s="235">
        <f>((800000000*80%)/3)/2</f>
        <v>106666666.66666667</v>
      </c>
      <c r="O10" s="235">
        <f>((1000000000*90%)/3)/2</f>
        <v>150000000</v>
      </c>
      <c r="P10" s="235">
        <f>((1000000000*90%)/3)/2</f>
        <v>150000000</v>
      </c>
      <c r="Q10" s="237">
        <f>((1000000000*90%)/3)/2</f>
        <v>150000000</v>
      </c>
    </row>
    <row r="11" spans="2:17" ht="12.9" thickBot="1">
      <c r="B11" s="1114"/>
      <c r="C11" s="1190"/>
      <c r="D11" s="887">
        <f t="shared" si="2"/>
        <v>763000000</v>
      </c>
      <c r="E11" s="340" t="s">
        <v>8077</v>
      </c>
      <c r="F11" s="351">
        <f t="shared" ref="F11:Q11" si="4">+F10*70%</f>
        <v>29166666.666666664</v>
      </c>
      <c r="G11" s="351">
        <f t="shared" si="4"/>
        <v>29166666.666666664</v>
      </c>
      <c r="H11" s="351">
        <f t="shared" si="4"/>
        <v>29166666.666666664</v>
      </c>
      <c r="I11" s="351">
        <f t="shared" si="4"/>
        <v>45500000</v>
      </c>
      <c r="J11" s="351">
        <f t="shared" si="4"/>
        <v>45500000</v>
      </c>
      <c r="K11" s="351">
        <f t="shared" si="4"/>
        <v>45500000</v>
      </c>
      <c r="L11" s="351">
        <f t="shared" si="4"/>
        <v>74666666.666666672</v>
      </c>
      <c r="M11" s="351">
        <f t="shared" si="4"/>
        <v>74666666.666666672</v>
      </c>
      <c r="N11" s="351">
        <f t="shared" si="4"/>
        <v>74666666.666666672</v>
      </c>
      <c r="O11" s="351">
        <f t="shared" si="4"/>
        <v>105000000</v>
      </c>
      <c r="P11" s="351">
        <f t="shared" si="4"/>
        <v>105000000</v>
      </c>
      <c r="Q11" s="886">
        <f t="shared" si="4"/>
        <v>105000000</v>
      </c>
    </row>
    <row r="12" spans="2:17" ht="12.9" thickBot="1">
      <c r="B12" s="1112" t="s">
        <v>8467</v>
      </c>
      <c r="C12" s="1189" t="s">
        <v>8486</v>
      </c>
      <c r="D12" s="887">
        <f t="shared" si="2"/>
        <v>1360000000</v>
      </c>
      <c r="E12" s="341" t="s">
        <v>3107</v>
      </c>
      <c r="F12" s="344">
        <f t="shared" ref="F12:K12" si="5">((800000000*80%)/3)/2</f>
        <v>106666666.66666667</v>
      </c>
      <c r="G12" s="2">
        <f t="shared" si="5"/>
        <v>106666666.66666667</v>
      </c>
      <c r="H12" s="2">
        <f t="shared" si="5"/>
        <v>106666666.66666667</v>
      </c>
      <c r="I12" s="2">
        <f t="shared" si="5"/>
        <v>106666666.66666667</v>
      </c>
      <c r="J12" s="2">
        <f t="shared" si="5"/>
        <v>106666666.66666667</v>
      </c>
      <c r="K12" s="2">
        <f t="shared" si="5"/>
        <v>106666666.66666667</v>
      </c>
      <c r="L12" s="2">
        <f t="shared" ref="L12:Q12" si="6">((800000000*90%)/3)/2</f>
        <v>120000000</v>
      </c>
      <c r="M12" s="2">
        <f t="shared" si="6"/>
        <v>120000000</v>
      </c>
      <c r="N12" s="2">
        <f t="shared" si="6"/>
        <v>120000000</v>
      </c>
      <c r="O12" s="2">
        <f t="shared" si="6"/>
        <v>120000000</v>
      </c>
      <c r="P12" s="2">
        <f t="shared" si="6"/>
        <v>120000000</v>
      </c>
      <c r="Q12" s="376">
        <f t="shared" si="6"/>
        <v>120000000</v>
      </c>
    </row>
    <row r="13" spans="2:17" ht="12.9" thickBot="1">
      <c r="B13" s="1114"/>
      <c r="C13" s="1190"/>
      <c r="D13" s="887">
        <f t="shared" si="2"/>
        <v>952000000</v>
      </c>
      <c r="E13" s="340" t="s">
        <v>8077</v>
      </c>
      <c r="F13" s="351">
        <f t="shared" ref="F13:Q13" si="7">+F12*70%</f>
        <v>74666666.666666672</v>
      </c>
      <c r="G13" s="351">
        <f t="shared" si="7"/>
        <v>74666666.666666672</v>
      </c>
      <c r="H13" s="351">
        <f t="shared" si="7"/>
        <v>74666666.666666672</v>
      </c>
      <c r="I13" s="351">
        <f t="shared" si="7"/>
        <v>74666666.666666672</v>
      </c>
      <c r="J13" s="351">
        <f t="shared" si="7"/>
        <v>74666666.666666672</v>
      </c>
      <c r="K13" s="351">
        <f t="shared" si="7"/>
        <v>74666666.666666672</v>
      </c>
      <c r="L13" s="351">
        <f t="shared" si="7"/>
        <v>84000000</v>
      </c>
      <c r="M13" s="351">
        <f t="shared" si="7"/>
        <v>84000000</v>
      </c>
      <c r="N13" s="351">
        <f t="shared" si="7"/>
        <v>84000000</v>
      </c>
      <c r="O13" s="351">
        <f t="shared" si="7"/>
        <v>84000000</v>
      </c>
      <c r="P13" s="351">
        <f t="shared" si="7"/>
        <v>84000000</v>
      </c>
      <c r="Q13" s="886">
        <f t="shared" si="7"/>
        <v>84000000</v>
      </c>
    </row>
  </sheetData>
  <mergeCells count="10">
    <mergeCell ref="B10:B11"/>
    <mergeCell ref="C10:C11"/>
    <mergeCell ref="B12:B13"/>
    <mergeCell ref="C12:C13"/>
    <mergeCell ref="F3:Q3"/>
    <mergeCell ref="F4:Q4"/>
    <mergeCell ref="B6:E6"/>
    <mergeCell ref="B7:E7"/>
    <mergeCell ref="B8:B9"/>
    <mergeCell ref="C8:C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01AB-16D5-4FF5-8BFB-EB793E07C111}">
  <dimension ref="A1"/>
  <sheetViews>
    <sheetView workbookViewId="0"/>
  </sheetViews>
  <sheetFormatPr defaultColWidth="11.3828125" defaultRowHeight="12.45"/>
  <cols>
    <col min="1" max="16384" width="11.3828125" style="6"/>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87399-5DE1-48DB-9C16-E871216DA6EC}">
  <dimension ref="A2:O126"/>
  <sheetViews>
    <sheetView topLeftCell="A70" zoomScale="60" zoomScaleNormal="70" workbookViewId="0">
      <selection activeCell="D74" sqref="D74"/>
    </sheetView>
  </sheetViews>
  <sheetFormatPr defaultColWidth="10.84375" defaultRowHeight="12.45"/>
  <cols>
    <col min="1" max="1" width="15.15234375" style="6" customWidth="1"/>
    <col min="2" max="2" width="23" style="6" customWidth="1"/>
    <col min="3" max="14" width="17.15234375" style="6" bestFit="1" customWidth="1"/>
    <col min="15" max="16384" width="10.84375" style="6"/>
  </cols>
  <sheetData>
    <row r="2" spans="1:14">
      <c r="C2" s="1051">
        <v>45658</v>
      </c>
      <c r="D2" s="1051">
        <v>45689</v>
      </c>
      <c r="E2" s="1051">
        <v>45717</v>
      </c>
      <c r="F2" s="1051">
        <v>45748</v>
      </c>
      <c r="G2" s="1051">
        <v>45778</v>
      </c>
      <c r="H2" s="1051">
        <v>45809</v>
      </c>
      <c r="I2" s="1051">
        <v>45839</v>
      </c>
      <c r="J2" s="1051">
        <v>45870</v>
      </c>
      <c r="K2" s="1051">
        <v>45901</v>
      </c>
      <c r="L2" s="1051">
        <v>45931</v>
      </c>
      <c r="M2" s="1051">
        <v>45962</v>
      </c>
      <c r="N2" s="1051">
        <v>45992</v>
      </c>
    </row>
    <row r="3" spans="1:14">
      <c r="B3" s="126" t="s">
        <v>8488</v>
      </c>
      <c r="C3" s="91">
        <f>6500000+(65000000*1.19/12)</f>
        <v>12945833.333333332</v>
      </c>
      <c r="D3" s="91">
        <f>+C3</f>
        <v>12945833.333333332</v>
      </c>
      <c r="E3" s="91">
        <f>+D3+(65000000*1.19/12)</f>
        <v>19391666.666666664</v>
      </c>
      <c r="F3" s="91">
        <f>+E3</f>
        <v>19391666.666666664</v>
      </c>
      <c r="G3" s="91">
        <v>25837499.999999996</v>
      </c>
      <c r="H3" s="91">
        <f>+G3</f>
        <v>25837499.999999996</v>
      </c>
      <c r="I3" s="91">
        <f>+H3</f>
        <v>25837499.999999996</v>
      </c>
      <c r="J3" s="91">
        <f>+I3</f>
        <v>25837499.999999996</v>
      </c>
      <c r="K3" s="91">
        <f t="shared" ref="K3:N3" si="0">+J3</f>
        <v>25837499.999999996</v>
      </c>
      <c r="L3" s="91">
        <f t="shared" si="0"/>
        <v>25837499.999999996</v>
      </c>
      <c r="M3" s="91">
        <f t="shared" si="0"/>
        <v>25837499.999999996</v>
      </c>
      <c r="N3" s="91">
        <f t="shared" si="0"/>
        <v>25837499.999999996</v>
      </c>
    </row>
    <row r="4" spans="1:14">
      <c r="B4" s="126" t="s">
        <v>6198</v>
      </c>
      <c r="C4" s="92"/>
      <c r="D4" s="92"/>
      <c r="E4" s="92"/>
      <c r="F4" s="92"/>
      <c r="G4" s="92"/>
      <c r="H4" s="91"/>
      <c r="I4" s="91">
        <f>+C3/2</f>
        <v>6472916.666666666</v>
      </c>
      <c r="J4" s="91">
        <f>+D3</f>
        <v>12945833.333333332</v>
      </c>
      <c r="K4" s="91">
        <f>+J4</f>
        <v>12945833.333333332</v>
      </c>
      <c r="L4" s="91">
        <f>+K4</f>
        <v>12945833.333333332</v>
      </c>
      <c r="M4" s="91">
        <f>+L4</f>
        <v>12945833.333333332</v>
      </c>
      <c r="N4" s="91">
        <f>+M4</f>
        <v>12945833.333333332</v>
      </c>
    </row>
    <row r="5" spans="1:14">
      <c r="B5" s="126" t="s">
        <v>8284</v>
      </c>
      <c r="C5" s="92"/>
      <c r="D5" s="92"/>
      <c r="E5" s="92"/>
      <c r="F5" s="92"/>
      <c r="G5" s="92"/>
      <c r="H5" s="907"/>
      <c r="I5" s="91">
        <f>+(65000000*1.19/12)+((180000*300*0.8)*12.9%)</f>
        <v>12018633.333333332</v>
      </c>
      <c r="J5" s="91">
        <f>+I5</f>
        <v>12018633.333333332</v>
      </c>
      <c r="K5" s="91">
        <f t="shared" ref="K5:N5" si="1">+J5</f>
        <v>12018633.333333332</v>
      </c>
      <c r="L5" s="91">
        <f t="shared" si="1"/>
        <v>12018633.333333332</v>
      </c>
      <c r="M5" s="91">
        <f t="shared" si="1"/>
        <v>12018633.333333332</v>
      </c>
      <c r="N5" s="91">
        <f t="shared" si="1"/>
        <v>12018633.333333332</v>
      </c>
    </row>
    <row r="6" spans="1:14">
      <c r="B6" s="126" t="s">
        <v>8489</v>
      </c>
      <c r="C6" s="92"/>
      <c r="D6" s="92"/>
      <c r="E6" s="92"/>
      <c r="F6" s="92"/>
      <c r="G6" s="92"/>
      <c r="H6" s="907"/>
      <c r="I6" s="91"/>
      <c r="J6" s="91"/>
      <c r="K6" s="91"/>
      <c r="L6" s="91">
        <f>+M6</f>
        <v>10765833.333333332</v>
      </c>
      <c r="M6" s="91">
        <f>+(65000000*1.19/12)+((180000*300*0.8)*10%)</f>
        <v>10765833.333333332</v>
      </c>
      <c r="N6" s="91">
        <f>+(65000000*1.19/12)+((180000*300*0.8)*10%)</f>
        <v>10765833.333333332</v>
      </c>
    </row>
    <row r="7" spans="1:14">
      <c r="B7" s="126" t="s">
        <v>8279</v>
      </c>
      <c r="C7" s="92"/>
      <c r="D7" s="92"/>
      <c r="E7" s="92"/>
      <c r="F7" s="92"/>
      <c r="G7" s="92"/>
      <c r="H7" s="907"/>
      <c r="I7" s="91"/>
      <c r="J7" s="91"/>
      <c r="K7" s="91"/>
      <c r="L7" s="91"/>
      <c r="M7" s="91"/>
      <c r="N7" s="91">
        <f>+(65000000*1.19/12)+((180000*300*0.8)*25%)</f>
        <v>17245833.333333332</v>
      </c>
    </row>
    <row r="8" spans="1:14">
      <c r="B8" s="126" t="s">
        <v>8278</v>
      </c>
      <c r="C8" s="92"/>
      <c r="D8" s="92"/>
      <c r="E8" s="92"/>
      <c r="F8" s="92"/>
      <c r="G8" s="92"/>
      <c r="H8" s="92"/>
      <c r="I8" s="92"/>
      <c r="J8" s="91"/>
      <c r="K8" s="92"/>
      <c r="L8" s="92"/>
      <c r="M8" s="91">
        <f>+M9</f>
        <v>10765833.333333332</v>
      </c>
      <c r="N8" s="91">
        <v>15445833.333333332</v>
      </c>
    </row>
    <row r="9" spans="1:14">
      <c r="B9" s="126" t="s">
        <v>8277</v>
      </c>
      <c r="C9" s="92"/>
      <c r="D9" s="92"/>
      <c r="E9" s="92"/>
      <c r="F9" s="92"/>
      <c r="G9" s="92"/>
      <c r="H9" s="92"/>
      <c r="I9" s="92"/>
      <c r="J9" s="92"/>
      <c r="K9" s="92"/>
      <c r="L9" s="91">
        <f>+M9</f>
        <v>10765833.333333332</v>
      </c>
      <c r="M9" s="91">
        <f>+M6</f>
        <v>10765833.333333332</v>
      </c>
      <c r="N9" s="91">
        <f>+M9</f>
        <v>10765833.333333332</v>
      </c>
    </row>
    <row r="10" spans="1:14">
      <c r="B10" s="126" t="s">
        <v>8280</v>
      </c>
      <c r="C10" s="92"/>
      <c r="D10" s="92"/>
      <c r="E10" s="92"/>
      <c r="F10" s="92"/>
      <c r="G10" s="92"/>
      <c r="H10" s="92"/>
      <c r="I10" s="92"/>
      <c r="J10" s="92"/>
      <c r="K10" s="92"/>
      <c r="L10" s="92"/>
      <c r="M10" s="91"/>
      <c r="N10" s="91">
        <f>+N9*2</f>
        <v>21531666.666666664</v>
      </c>
    </row>
    <row r="11" spans="1:14">
      <c r="B11" s="126" t="s">
        <v>8490</v>
      </c>
      <c r="C11" s="92"/>
      <c r="D11" s="92"/>
      <c r="E11" s="92"/>
      <c r="F11" s="92"/>
      <c r="G11" s="92"/>
      <c r="H11" s="92"/>
      <c r="I11" s="92"/>
      <c r="J11" s="92"/>
      <c r="K11" s="92"/>
      <c r="L11" s="92"/>
      <c r="M11" s="91"/>
      <c r="N11" s="91">
        <f>+(300*180000*85%)</f>
        <v>45900000</v>
      </c>
    </row>
    <row r="12" spans="1:14" ht="15.9" thickBot="1">
      <c r="A12" s="108"/>
      <c r="B12" s="1082" t="s">
        <v>8491</v>
      </c>
      <c r="C12" s="1083">
        <f t="shared" ref="C12:I12" si="2">+SUM(C3:C10)</f>
        <v>12945833.333333332</v>
      </c>
      <c r="D12" s="1083">
        <f t="shared" si="2"/>
        <v>12945833.333333332</v>
      </c>
      <c r="E12" s="1083">
        <f t="shared" si="2"/>
        <v>19391666.666666664</v>
      </c>
      <c r="F12" s="1083">
        <f t="shared" si="2"/>
        <v>19391666.666666664</v>
      </c>
      <c r="G12" s="1083">
        <f t="shared" si="2"/>
        <v>25837499.999999996</v>
      </c>
      <c r="H12" s="1083">
        <f t="shared" si="2"/>
        <v>25837499.999999996</v>
      </c>
      <c r="I12" s="1083">
        <f t="shared" si="2"/>
        <v>44329050</v>
      </c>
      <c r="J12" s="1083">
        <f>+SUM(J3:J11)</f>
        <v>50801966.666666657</v>
      </c>
      <c r="K12" s="1083">
        <f>+SUM(K3:K10)</f>
        <v>50801966.666666657</v>
      </c>
      <c r="L12" s="1083">
        <f>+SUM(L3:L10)</f>
        <v>72333633.333333313</v>
      </c>
      <c r="M12" s="1083">
        <f>+SUM(M3:M11)</f>
        <v>83099466.666666642</v>
      </c>
      <c r="N12" s="1083">
        <f>+SUM(N3:N11)</f>
        <v>172456966.66666663</v>
      </c>
    </row>
    <row r="13" spans="1:14">
      <c r="A13" s="1220" t="s">
        <v>7167</v>
      </c>
      <c r="B13" s="1077" t="s">
        <v>8492</v>
      </c>
      <c r="C13" s="1080">
        <f t="shared" ref="C13:I13" si="3">19054195/2</f>
        <v>9527097.5</v>
      </c>
      <c r="D13" s="1080">
        <f t="shared" si="3"/>
        <v>9527097.5</v>
      </c>
      <c r="E13" s="1080">
        <f t="shared" si="3"/>
        <v>9527097.5</v>
      </c>
      <c r="F13" s="1080">
        <f t="shared" si="3"/>
        <v>9527097.5</v>
      </c>
      <c r="G13" s="1080">
        <f t="shared" si="3"/>
        <v>9527097.5</v>
      </c>
      <c r="H13" s="1080">
        <f t="shared" si="3"/>
        <v>9527097.5</v>
      </c>
      <c r="I13" s="1080">
        <f t="shared" si="3"/>
        <v>9527097.5</v>
      </c>
      <c r="J13" s="1080">
        <v>5000000</v>
      </c>
      <c r="K13" s="1080">
        <f>+J13</f>
        <v>5000000</v>
      </c>
      <c r="L13" s="1080">
        <f>+K13</f>
        <v>5000000</v>
      </c>
      <c r="M13" s="1080">
        <f>+L13</f>
        <v>5000000</v>
      </c>
      <c r="N13" s="1081">
        <f>+M13</f>
        <v>5000000</v>
      </c>
    </row>
    <row r="14" spans="1:14">
      <c r="A14" s="1221"/>
      <c r="B14" s="126" t="s">
        <v>8493</v>
      </c>
      <c r="C14" s="91">
        <v>600000</v>
      </c>
      <c r="D14" s="91">
        <v>600000</v>
      </c>
      <c r="E14" s="91">
        <f>+D14</f>
        <v>600000</v>
      </c>
      <c r="F14" s="91">
        <f>+E14</f>
        <v>600000</v>
      </c>
      <c r="G14" s="91">
        <f>+F14</f>
        <v>600000</v>
      </c>
      <c r="H14" s="91">
        <f t="shared" ref="H14:N14" si="4">+G14</f>
        <v>600000</v>
      </c>
      <c r="I14" s="91">
        <f t="shared" si="4"/>
        <v>600000</v>
      </c>
      <c r="J14" s="91">
        <f t="shared" si="4"/>
        <v>600000</v>
      </c>
      <c r="K14" s="91">
        <f t="shared" si="4"/>
        <v>600000</v>
      </c>
      <c r="L14" s="91">
        <f t="shared" si="4"/>
        <v>600000</v>
      </c>
      <c r="M14" s="91">
        <f t="shared" si="4"/>
        <v>600000</v>
      </c>
      <c r="N14" s="91">
        <f t="shared" si="4"/>
        <v>600000</v>
      </c>
    </row>
    <row r="15" spans="1:14">
      <c r="A15" s="1221"/>
      <c r="B15" s="1078" t="s">
        <v>8494</v>
      </c>
      <c r="C15" s="91"/>
      <c r="D15" s="91"/>
      <c r="E15" s="91"/>
      <c r="F15" s="91"/>
      <c r="G15" s="91">
        <f>3613000*70%/9</f>
        <v>281011.11111111112</v>
      </c>
      <c r="H15" s="91">
        <f>+G15</f>
        <v>281011.11111111112</v>
      </c>
      <c r="I15" s="91">
        <f t="shared" ref="I15:N15" si="5">+H15</f>
        <v>281011.11111111112</v>
      </c>
      <c r="J15" s="91">
        <f t="shared" si="5"/>
        <v>281011.11111111112</v>
      </c>
      <c r="K15" s="91">
        <f t="shared" si="5"/>
        <v>281011.11111111112</v>
      </c>
      <c r="L15" s="91">
        <f t="shared" si="5"/>
        <v>281011.11111111112</v>
      </c>
      <c r="M15" s="91">
        <f t="shared" si="5"/>
        <v>281011.11111111112</v>
      </c>
      <c r="N15" s="91">
        <f t="shared" si="5"/>
        <v>281011.11111111112</v>
      </c>
    </row>
    <row r="16" spans="1:14">
      <c r="A16" s="1221"/>
      <c r="B16" s="1078" t="s">
        <v>8495</v>
      </c>
      <c r="C16" s="91"/>
      <c r="D16" s="91"/>
      <c r="E16" s="91"/>
      <c r="F16" s="91"/>
      <c r="G16" s="91"/>
      <c r="H16" s="91"/>
      <c r="I16" s="91"/>
      <c r="J16" s="91"/>
      <c r="K16" s="91"/>
      <c r="L16" s="91"/>
      <c r="M16" s="91"/>
      <c r="N16" s="284"/>
    </row>
    <row r="17" spans="1:15">
      <c r="A17" s="1221"/>
      <c r="B17" s="1078" t="s">
        <v>8496</v>
      </c>
      <c r="C17" s="91"/>
      <c r="D17" s="91"/>
      <c r="E17" s="91"/>
      <c r="F17" s="91"/>
      <c r="G17" s="91"/>
      <c r="H17" s="91"/>
      <c r="I17" s="91"/>
      <c r="J17" s="91"/>
      <c r="K17" s="91"/>
      <c r="L17" s="91"/>
      <c r="M17" s="91"/>
      <c r="N17" s="284"/>
    </row>
    <row r="18" spans="1:15">
      <c r="A18" s="1221"/>
      <c r="B18" s="1078" t="s">
        <v>8497</v>
      </c>
      <c r="C18" s="91"/>
      <c r="D18" s="91"/>
      <c r="E18" s="91"/>
      <c r="F18" s="91"/>
      <c r="G18" s="91"/>
      <c r="H18" s="91"/>
      <c r="I18" s="91">
        <v>600000</v>
      </c>
      <c r="J18" s="91">
        <v>600000</v>
      </c>
      <c r="K18" s="91">
        <v>600000</v>
      </c>
      <c r="L18" s="91">
        <v>600000</v>
      </c>
      <c r="M18" s="91">
        <v>600000</v>
      </c>
      <c r="N18" s="91">
        <v>600000</v>
      </c>
    </row>
    <row r="19" spans="1:15">
      <c r="A19" s="1221"/>
      <c r="B19" s="1078" t="s">
        <v>8498</v>
      </c>
      <c r="C19" s="91"/>
      <c r="D19" s="91"/>
      <c r="E19" s="91"/>
      <c r="F19" s="91"/>
      <c r="G19" s="91"/>
      <c r="H19" s="91"/>
      <c r="I19" s="91">
        <f>1500000*3</f>
        <v>4500000</v>
      </c>
      <c r="J19" s="91"/>
      <c r="K19" s="91"/>
      <c r="L19" s="91"/>
      <c r="M19" s="91"/>
      <c r="N19" s="284"/>
      <c r="O19" s="91"/>
    </row>
    <row r="20" spans="1:15">
      <c r="A20" s="1221"/>
      <c r="B20" s="1078" t="s">
        <v>8499</v>
      </c>
      <c r="C20" s="91"/>
      <c r="D20" s="91"/>
      <c r="E20" s="91"/>
      <c r="F20" s="91"/>
      <c r="G20" s="91"/>
      <c r="H20" s="91"/>
      <c r="I20" s="91"/>
      <c r="J20" s="91"/>
      <c r="K20" s="91"/>
      <c r="L20" s="91"/>
      <c r="M20" s="91"/>
      <c r="N20" s="284"/>
    </row>
    <row r="21" spans="1:15">
      <c r="A21" s="1221"/>
      <c r="B21" s="1078" t="s">
        <v>8500</v>
      </c>
      <c r="C21" s="91"/>
      <c r="D21" s="91"/>
      <c r="E21" s="91"/>
      <c r="F21" s="91"/>
      <c r="G21" s="91"/>
      <c r="H21" s="91"/>
      <c r="I21" s="91"/>
      <c r="J21" s="91"/>
      <c r="K21" s="91"/>
      <c r="L21" s="91"/>
      <c r="M21" s="91"/>
      <c r="N21" s="284"/>
    </row>
    <row r="22" spans="1:15">
      <c r="A22" s="1221"/>
      <c r="B22" s="1078" t="s">
        <v>6837</v>
      </c>
      <c r="C22" s="92"/>
      <c r="D22" s="92"/>
      <c r="E22" s="92"/>
      <c r="F22" s="92"/>
      <c r="G22" s="92"/>
      <c r="H22" s="92"/>
      <c r="I22" s="91">
        <v>2500000</v>
      </c>
      <c r="J22" s="92"/>
      <c r="K22" s="92"/>
      <c r="L22" s="92"/>
      <c r="M22" s="92"/>
      <c r="N22" s="1042"/>
    </row>
    <row r="23" spans="1:15" ht="12.9" thickBot="1">
      <c r="A23" s="1222"/>
      <c r="B23" s="270" t="s">
        <v>8238</v>
      </c>
      <c r="C23" s="1079">
        <f t="shared" ref="C23:N23" si="6">+SUM(C13:C22)</f>
        <v>10127097.5</v>
      </c>
      <c r="D23" s="1079">
        <f t="shared" si="6"/>
        <v>10127097.5</v>
      </c>
      <c r="E23" s="1079">
        <f t="shared" si="6"/>
        <v>10127097.5</v>
      </c>
      <c r="F23" s="1079">
        <f t="shared" si="6"/>
        <v>10127097.5</v>
      </c>
      <c r="G23" s="1079">
        <f t="shared" si="6"/>
        <v>10408108.611111112</v>
      </c>
      <c r="H23" s="1079">
        <f t="shared" si="6"/>
        <v>10408108.611111112</v>
      </c>
      <c r="I23" s="1079">
        <f>+SUM(I13:I22)</f>
        <v>18008108.611111112</v>
      </c>
      <c r="J23" s="1079">
        <f t="shared" si="6"/>
        <v>6481011.111111111</v>
      </c>
      <c r="K23" s="1079">
        <f t="shared" si="6"/>
        <v>6481011.111111111</v>
      </c>
      <c r="L23" s="1079">
        <f t="shared" si="6"/>
        <v>6481011.111111111</v>
      </c>
      <c r="M23" s="1079">
        <f t="shared" si="6"/>
        <v>6481011.111111111</v>
      </c>
      <c r="N23" s="1079">
        <f t="shared" si="6"/>
        <v>6481011.111111111</v>
      </c>
    </row>
    <row r="24" spans="1:15">
      <c r="A24" s="1220" t="s">
        <v>6198</v>
      </c>
      <c r="B24" s="1077" t="s">
        <v>8492</v>
      </c>
      <c r="C24" s="1080"/>
      <c r="D24" s="1080"/>
      <c r="E24" s="1080"/>
      <c r="F24" s="1080"/>
      <c r="G24" s="1080"/>
      <c r="H24" s="1080"/>
      <c r="I24" s="1080">
        <f>11035240/2</f>
        <v>5517620</v>
      </c>
      <c r="J24" s="1080">
        <f>+I24</f>
        <v>5517620</v>
      </c>
      <c r="K24" s="1080">
        <f>+J24*2</f>
        <v>11035240</v>
      </c>
      <c r="L24" s="1080">
        <f>+K24</f>
        <v>11035240</v>
      </c>
      <c r="M24" s="1080">
        <v>5000000</v>
      </c>
      <c r="N24" s="1081">
        <f>+M24</f>
        <v>5000000</v>
      </c>
    </row>
    <row r="25" spans="1:15">
      <c r="A25" s="1221"/>
      <c r="B25" s="126" t="s">
        <v>8493</v>
      </c>
      <c r="C25" s="91">
        <f t="shared" ref="C25:I25" si="7">+C14</f>
        <v>600000</v>
      </c>
      <c r="D25" s="91">
        <f t="shared" si="7"/>
        <v>600000</v>
      </c>
      <c r="E25" s="91">
        <f t="shared" si="7"/>
        <v>600000</v>
      </c>
      <c r="F25" s="91">
        <f t="shared" si="7"/>
        <v>600000</v>
      </c>
      <c r="G25" s="91">
        <f t="shared" si="7"/>
        <v>600000</v>
      </c>
      <c r="H25" s="91">
        <f t="shared" si="7"/>
        <v>600000</v>
      </c>
      <c r="I25" s="91">
        <f t="shared" si="7"/>
        <v>600000</v>
      </c>
      <c r="J25" s="91">
        <f t="shared" ref="J25:N25" si="8">+I25</f>
        <v>600000</v>
      </c>
      <c r="K25" s="91">
        <f t="shared" si="8"/>
        <v>600000</v>
      </c>
      <c r="L25" s="91">
        <f t="shared" si="8"/>
        <v>600000</v>
      </c>
      <c r="M25" s="91">
        <f t="shared" si="8"/>
        <v>600000</v>
      </c>
      <c r="N25" s="91">
        <f t="shared" si="8"/>
        <v>600000</v>
      </c>
    </row>
    <row r="26" spans="1:15">
      <c r="A26" s="1221"/>
      <c r="B26" s="1078" t="s">
        <v>8494</v>
      </c>
      <c r="C26" s="91"/>
      <c r="D26" s="91"/>
      <c r="E26" s="91"/>
      <c r="F26" s="91"/>
      <c r="G26" s="91">
        <f>+G15</f>
        <v>281011.11111111112</v>
      </c>
      <c r="H26" s="91">
        <f>+G26</f>
        <v>281011.11111111112</v>
      </c>
      <c r="I26" s="91">
        <f t="shared" ref="I26:N26" si="9">+H26</f>
        <v>281011.11111111112</v>
      </c>
      <c r="J26" s="91">
        <f t="shared" si="9"/>
        <v>281011.11111111112</v>
      </c>
      <c r="K26" s="91">
        <f t="shared" si="9"/>
        <v>281011.11111111112</v>
      </c>
      <c r="L26" s="91">
        <f t="shared" si="9"/>
        <v>281011.11111111112</v>
      </c>
      <c r="M26" s="91">
        <f t="shared" si="9"/>
        <v>281011.11111111112</v>
      </c>
      <c r="N26" s="91">
        <f t="shared" si="9"/>
        <v>281011.11111111112</v>
      </c>
    </row>
    <row r="27" spans="1:15">
      <c r="A27" s="1221"/>
      <c r="B27" s="1078" t="s">
        <v>8501</v>
      </c>
      <c r="C27" s="92"/>
      <c r="D27" s="92"/>
      <c r="E27" s="92"/>
      <c r="F27" s="92"/>
      <c r="G27" s="92"/>
      <c r="H27" s="92"/>
      <c r="I27" s="91">
        <v>500000</v>
      </c>
      <c r="J27" s="92"/>
      <c r="K27" s="92"/>
      <c r="L27" s="92"/>
      <c r="M27" s="92"/>
      <c r="N27" s="1042"/>
    </row>
    <row r="28" spans="1:15" ht="12.9" thickBot="1">
      <c r="A28" s="1222"/>
      <c r="B28" s="270" t="s">
        <v>8238</v>
      </c>
      <c r="C28" s="1079">
        <f t="shared" ref="C28:N28" si="10">+SUM(C24:C27)</f>
        <v>600000</v>
      </c>
      <c r="D28" s="1079">
        <f t="shared" si="10"/>
        <v>600000</v>
      </c>
      <c r="E28" s="1079">
        <f t="shared" si="10"/>
        <v>600000</v>
      </c>
      <c r="F28" s="1079">
        <f t="shared" si="10"/>
        <v>600000</v>
      </c>
      <c r="G28" s="1079">
        <f t="shared" si="10"/>
        <v>881011.11111111112</v>
      </c>
      <c r="H28" s="1079">
        <f t="shared" si="10"/>
        <v>881011.11111111112</v>
      </c>
      <c r="I28" s="1079">
        <f t="shared" si="10"/>
        <v>6898631.111111111</v>
      </c>
      <c r="J28" s="1079">
        <f t="shared" si="10"/>
        <v>6398631.111111111</v>
      </c>
      <c r="K28" s="1079">
        <f t="shared" si="10"/>
        <v>11916251.111111112</v>
      </c>
      <c r="L28" s="1079">
        <f t="shared" si="10"/>
        <v>11916251.111111112</v>
      </c>
      <c r="M28" s="1079">
        <f t="shared" si="10"/>
        <v>5881011.111111111</v>
      </c>
      <c r="N28" s="1079">
        <f t="shared" si="10"/>
        <v>5881011.111111111</v>
      </c>
    </row>
    <row r="29" spans="1:15">
      <c r="A29" s="1220" t="s">
        <v>8276</v>
      </c>
      <c r="B29" s="1077" t="s">
        <v>8492</v>
      </c>
      <c r="C29" s="1080"/>
      <c r="D29" s="1080"/>
      <c r="E29" s="1080"/>
      <c r="F29" s="1080"/>
      <c r="G29" s="1080"/>
      <c r="H29" s="1080"/>
      <c r="I29" s="1080">
        <f t="shared" ref="I29:L29" si="11">9611330/3</f>
        <v>3203776.6666666665</v>
      </c>
      <c r="J29" s="1080">
        <f t="shared" si="11"/>
        <v>3203776.6666666665</v>
      </c>
      <c r="K29" s="1080">
        <f t="shared" si="11"/>
        <v>3203776.6666666665</v>
      </c>
      <c r="L29" s="1080">
        <f t="shared" si="11"/>
        <v>3203776.6666666665</v>
      </c>
      <c r="M29" s="1080">
        <f>9611330/3</f>
        <v>3203776.6666666665</v>
      </c>
      <c r="N29" s="1081">
        <f>+M29</f>
        <v>3203776.6666666665</v>
      </c>
    </row>
    <row r="30" spans="1:15">
      <c r="A30" s="1221"/>
      <c r="B30" s="126" t="s">
        <v>8493</v>
      </c>
      <c r="C30" s="91">
        <v>600000</v>
      </c>
      <c r="D30" s="91">
        <v>600000</v>
      </c>
      <c r="E30" s="91">
        <f>+D30</f>
        <v>600000</v>
      </c>
      <c r="F30" s="91">
        <f>+E30</f>
        <v>600000</v>
      </c>
      <c r="G30" s="91">
        <f>+G25</f>
        <v>600000</v>
      </c>
      <c r="H30" s="91">
        <f t="shared" ref="H30:N30" si="12">+G30</f>
        <v>600000</v>
      </c>
      <c r="I30" s="91">
        <f t="shared" si="12"/>
        <v>600000</v>
      </c>
      <c r="J30" s="91">
        <f t="shared" si="12"/>
        <v>600000</v>
      </c>
      <c r="K30" s="91">
        <f t="shared" si="12"/>
        <v>600000</v>
      </c>
      <c r="L30" s="91">
        <f t="shared" si="12"/>
        <v>600000</v>
      </c>
      <c r="M30" s="91">
        <f t="shared" si="12"/>
        <v>600000</v>
      </c>
      <c r="N30" s="91">
        <f t="shared" si="12"/>
        <v>600000</v>
      </c>
    </row>
    <row r="31" spans="1:15">
      <c r="A31" s="1221"/>
      <c r="B31" s="1078" t="s">
        <v>8494</v>
      </c>
      <c r="C31" s="91"/>
      <c r="D31" s="91"/>
      <c r="E31" s="91"/>
      <c r="F31" s="91"/>
      <c r="G31" s="91">
        <f>+G26</f>
        <v>281011.11111111112</v>
      </c>
      <c r="H31" s="91">
        <f>+G31</f>
        <v>281011.11111111112</v>
      </c>
      <c r="I31" s="91">
        <f t="shared" ref="I31:N31" si="13">+H31</f>
        <v>281011.11111111112</v>
      </c>
      <c r="J31" s="91">
        <f t="shared" si="13"/>
        <v>281011.11111111112</v>
      </c>
      <c r="K31" s="91">
        <f t="shared" si="13"/>
        <v>281011.11111111112</v>
      </c>
      <c r="L31" s="91">
        <f t="shared" si="13"/>
        <v>281011.11111111112</v>
      </c>
      <c r="M31" s="91">
        <f t="shared" si="13"/>
        <v>281011.11111111112</v>
      </c>
      <c r="N31" s="91">
        <f t="shared" si="13"/>
        <v>281011.11111111112</v>
      </c>
    </row>
    <row r="32" spans="1:15">
      <c r="A32" s="1221"/>
      <c r="B32" s="1078" t="s">
        <v>8501</v>
      </c>
      <c r="C32" s="92"/>
      <c r="D32" s="92"/>
      <c r="E32" s="92"/>
      <c r="F32" s="92"/>
      <c r="G32" s="92"/>
      <c r="H32" s="92"/>
      <c r="I32" s="92"/>
      <c r="J32" s="92"/>
      <c r="K32" s="92"/>
      <c r="L32" s="92"/>
      <c r="M32" s="92"/>
      <c r="N32" s="1042"/>
    </row>
    <row r="33" spans="1:14" ht="12.9" thickBot="1">
      <c r="A33" s="1222"/>
      <c r="B33" s="270" t="s">
        <v>8238</v>
      </c>
      <c r="C33" s="1079">
        <f t="shared" ref="C33:N33" si="14">+SUM(C29:C32)</f>
        <v>600000</v>
      </c>
      <c r="D33" s="1079">
        <f t="shared" si="14"/>
        <v>600000</v>
      </c>
      <c r="E33" s="1079">
        <f t="shared" si="14"/>
        <v>600000</v>
      </c>
      <c r="F33" s="1079">
        <f t="shared" si="14"/>
        <v>600000</v>
      </c>
      <c r="G33" s="1079">
        <f t="shared" si="14"/>
        <v>881011.11111111112</v>
      </c>
      <c r="H33" s="1079">
        <f t="shared" si="14"/>
        <v>881011.11111111112</v>
      </c>
      <c r="I33" s="1079">
        <f t="shared" si="14"/>
        <v>4084787.7777777775</v>
      </c>
      <c r="J33" s="1079">
        <f t="shared" si="14"/>
        <v>4084787.7777777775</v>
      </c>
      <c r="K33" s="1079">
        <f t="shared" si="14"/>
        <v>4084787.7777777775</v>
      </c>
      <c r="L33" s="1079">
        <f t="shared" si="14"/>
        <v>4084787.7777777775</v>
      </c>
      <c r="M33" s="1079">
        <f t="shared" si="14"/>
        <v>4084787.7777777775</v>
      </c>
      <c r="N33" s="1079">
        <f t="shared" si="14"/>
        <v>4084787.7777777775</v>
      </c>
    </row>
    <row r="34" spans="1:14">
      <c r="A34" s="1220" t="s">
        <v>8489</v>
      </c>
      <c r="B34" s="1077" t="s">
        <v>8492</v>
      </c>
      <c r="C34" s="1080"/>
      <c r="D34" s="1080"/>
      <c r="E34" s="1080"/>
      <c r="F34" s="1080"/>
      <c r="G34" s="1080"/>
      <c r="H34" s="1080"/>
      <c r="I34" s="1080"/>
      <c r="J34" s="1080"/>
      <c r="K34" s="1080"/>
      <c r="L34" s="1080">
        <f>+M34</f>
        <v>3203776.6666666665</v>
      </c>
      <c r="M34" s="1080">
        <f>+N34</f>
        <v>3203776.6666666665</v>
      </c>
      <c r="N34" s="1081">
        <f>+N29</f>
        <v>3203776.6666666665</v>
      </c>
    </row>
    <row r="35" spans="1:14">
      <c r="A35" s="1221"/>
      <c r="B35" s="126" t="s">
        <v>8493</v>
      </c>
      <c r="C35" s="91">
        <v>600000</v>
      </c>
      <c r="D35" s="91">
        <v>600000</v>
      </c>
      <c r="E35" s="91">
        <f>+D35</f>
        <v>600000</v>
      </c>
      <c r="F35" s="91">
        <f>+E35</f>
        <v>600000</v>
      </c>
      <c r="G35" s="91">
        <f>+G30</f>
        <v>600000</v>
      </c>
      <c r="H35" s="91">
        <f t="shared" ref="H35:N36" si="15">+G35</f>
        <v>600000</v>
      </c>
      <c r="I35" s="91">
        <f t="shared" si="15"/>
        <v>600000</v>
      </c>
      <c r="J35" s="91">
        <f t="shared" si="15"/>
        <v>600000</v>
      </c>
      <c r="K35" s="91">
        <f t="shared" si="15"/>
        <v>600000</v>
      </c>
      <c r="L35" s="91">
        <f t="shared" si="15"/>
        <v>600000</v>
      </c>
      <c r="M35" s="91">
        <f t="shared" si="15"/>
        <v>600000</v>
      </c>
      <c r="N35" s="91">
        <f t="shared" si="15"/>
        <v>600000</v>
      </c>
    </row>
    <row r="36" spans="1:14">
      <c r="A36" s="1221"/>
      <c r="B36" s="1078" t="s">
        <v>8494</v>
      </c>
      <c r="C36" s="91"/>
      <c r="D36" s="91"/>
      <c r="E36" s="91"/>
      <c r="F36" s="91"/>
      <c r="G36" s="91">
        <f>+G31</f>
        <v>281011.11111111112</v>
      </c>
      <c r="H36" s="91">
        <f>+G36</f>
        <v>281011.11111111112</v>
      </c>
      <c r="I36" s="91">
        <f t="shared" si="15"/>
        <v>281011.11111111112</v>
      </c>
      <c r="J36" s="91">
        <f t="shared" si="15"/>
        <v>281011.11111111112</v>
      </c>
      <c r="K36" s="91">
        <f t="shared" si="15"/>
        <v>281011.11111111112</v>
      </c>
      <c r="L36" s="91">
        <f t="shared" si="15"/>
        <v>281011.11111111112</v>
      </c>
      <c r="M36" s="91">
        <f t="shared" si="15"/>
        <v>281011.11111111112</v>
      </c>
      <c r="N36" s="91">
        <f t="shared" si="15"/>
        <v>281011.11111111112</v>
      </c>
    </row>
    <row r="37" spans="1:14">
      <c r="A37" s="1221"/>
      <c r="B37" s="1078" t="s">
        <v>8501</v>
      </c>
      <c r="C37" s="92"/>
      <c r="D37" s="92"/>
      <c r="E37" s="92"/>
      <c r="F37" s="92"/>
      <c r="G37" s="92"/>
      <c r="H37" s="92"/>
      <c r="I37" s="92"/>
      <c r="J37" s="92"/>
      <c r="K37" s="92"/>
      <c r="L37" s="92"/>
      <c r="M37" s="92"/>
      <c r="N37" s="1042"/>
    </row>
    <row r="38" spans="1:14" ht="12.9" thickBot="1">
      <c r="A38" s="1222"/>
      <c r="B38" s="270" t="s">
        <v>8238</v>
      </c>
      <c r="C38" s="1079">
        <f t="shared" ref="C38:N38" si="16">+SUM(C34:C37)</f>
        <v>600000</v>
      </c>
      <c r="D38" s="1079">
        <f t="shared" si="16"/>
        <v>600000</v>
      </c>
      <c r="E38" s="1079">
        <f t="shared" si="16"/>
        <v>600000</v>
      </c>
      <c r="F38" s="1079">
        <f t="shared" si="16"/>
        <v>600000</v>
      </c>
      <c r="G38" s="1079">
        <f t="shared" si="16"/>
        <v>881011.11111111112</v>
      </c>
      <c r="H38" s="1079">
        <f t="shared" si="16"/>
        <v>881011.11111111112</v>
      </c>
      <c r="I38" s="1079">
        <f t="shared" si="16"/>
        <v>881011.11111111112</v>
      </c>
      <c r="J38" s="1079">
        <f t="shared" si="16"/>
        <v>881011.11111111112</v>
      </c>
      <c r="K38" s="1079">
        <f t="shared" si="16"/>
        <v>881011.11111111112</v>
      </c>
      <c r="L38" s="1079">
        <f t="shared" si="16"/>
        <v>4084787.7777777775</v>
      </c>
      <c r="M38" s="1079">
        <f t="shared" si="16"/>
        <v>4084787.7777777775</v>
      </c>
      <c r="N38" s="1079">
        <f t="shared" si="16"/>
        <v>4084787.7777777775</v>
      </c>
    </row>
    <row r="39" spans="1:14">
      <c r="A39" s="1220" t="s">
        <v>8279</v>
      </c>
      <c r="B39" s="1077" t="s">
        <v>8492</v>
      </c>
      <c r="C39" s="1080"/>
      <c r="D39" s="1080"/>
      <c r="E39" s="1080"/>
      <c r="F39" s="1080"/>
      <c r="G39" s="1080"/>
      <c r="H39" s="1080"/>
      <c r="I39" s="1080"/>
      <c r="J39" s="1080"/>
      <c r="K39" s="1080"/>
      <c r="L39" s="1080"/>
      <c r="M39" s="1080"/>
      <c r="N39" s="1081">
        <f>+N34</f>
        <v>3203776.6666666665</v>
      </c>
    </row>
    <row r="40" spans="1:14">
      <c r="A40" s="1221"/>
      <c r="B40" s="126" t="s">
        <v>8493</v>
      </c>
      <c r="C40" s="91">
        <v>600000</v>
      </c>
      <c r="D40" s="91">
        <v>600000</v>
      </c>
      <c r="E40" s="91">
        <f>+D40</f>
        <v>600000</v>
      </c>
      <c r="F40" s="91">
        <f>+E40</f>
        <v>600000</v>
      </c>
      <c r="G40" s="91">
        <f>+G35</f>
        <v>600000</v>
      </c>
      <c r="H40" s="91">
        <f t="shared" ref="H40:N41" si="17">+G40</f>
        <v>600000</v>
      </c>
      <c r="I40" s="91">
        <f t="shared" si="17"/>
        <v>600000</v>
      </c>
      <c r="J40" s="91">
        <f t="shared" si="17"/>
        <v>600000</v>
      </c>
      <c r="K40" s="91">
        <f t="shared" si="17"/>
        <v>600000</v>
      </c>
      <c r="L40" s="91">
        <f t="shared" si="17"/>
        <v>600000</v>
      </c>
      <c r="M40" s="91">
        <f t="shared" si="17"/>
        <v>600000</v>
      </c>
      <c r="N40" s="91">
        <f t="shared" si="17"/>
        <v>600000</v>
      </c>
    </row>
    <row r="41" spans="1:14">
      <c r="A41" s="1221"/>
      <c r="B41" s="1078" t="s">
        <v>8494</v>
      </c>
      <c r="C41" s="91"/>
      <c r="D41" s="91"/>
      <c r="E41" s="91"/>
      <c r="F41" s="91"/>
      <c r="G41" s="91">
        <f>+G36</f>
        <v>281011.11111111112</v>
      </c>
      <c r="H41" s="91">
        <f>+G41</f>
        <v>281011.11111111112</v>
      </c>
      <c r="I41" s="91">
        <f t="shared" si="17"/>
        <v>281011.11111111112</v>
      </c>
      <c r="J41" s="91">
        <f t="shared" si="17"/>
        <v>281011.11111111112</v>
      </c>
      <c r="K41" s="91">
        <f t="shared" si="17"/>
        <v>281011.11111111112</v>
      </c>
      <c r="L41" s="91">
        <f t="shared" si="17"/>
        <v>281011.11111111112</v>
      </c>
      <c r="M41" s="91">
        <f t="shared" si="17"/>
        <v>281011.11111111112</v>
      </c>
      <c r="N41" s="91">
        <f t="shared" si="17"/>
        <v>281011.11111111112</v>
      </c>
    </row>
    <row r="42" spans="1:14">
      <c r="A42" s="1221"/>
      <c r="B42" s="1078" t="s">
        <v>8501</v>
      </c>
      <c r="C42" s="92"/>
      <c r="D42" s="92"/>
      <c r="E42" s="92"/>
      <c r="F42" s="92"/>
      <c r="G42" s="92"/>
      <c r="H42" s="92"/>
      <c r="I42" s="92"/>
      <c r="J42" s="92"/>
      <c r="K42" s="92"/>
      <c r="L42" s="92"/>
      <c r="M42" s="92"/>
      <c r="N42" s="1042"/>
    </row>
    <row r="43" spans="1:14" ht="12.9" thickBot="1">
      <c r="A43" s="1222"/>
      <c r="B43" s="270" t="s">
        <v>8238</v>
      </c>
      <c r="C43" s="1079">
        <f t="shared" ref="C43:N43" si="18">+SUM(C39:C42)</f>
        <v>600000</v>
      </c>
      <c r="D43" s="1079">
        <f t="shared" si="18"/>
        <v>600000</v>
      </c>
      <c r="E43" s="1079">
        <f t="shared" si="18"/>
        <v>600000</v>
      </c>
      <c r="F43" s="1079">
        <f t="shared" si="18"/>
        <v>600000</v>
      </c>
      <c r="G43" s="1079">
        <f t="shared" si="18"/>
        <v>881011.11111111112</v>
      </c>
      <c r="H43" s="1079">
        <f t="shared" si="18"/>
        <v>881011.11111111112</v>
      </c>
      <c r="I43" s="1079">
        <f t="shared" si="18"/>
        <v>881011.11111111112</v>
      </c>
      <c r="J43" s="1079">
        <f t="shared" si="18"/>
        <v>881011.11111111112</v>
      </c>
      <c r="K43" s="1079">
        <f t="shared" si="18"/>
        <v>881011.11111111112</v>
      </c>
      <c r="L43" s="1079">
        <f t="shared" si="18"/>
        <v>881011.11111111112</v>
      </c>
      <c r="M43" s="1079">
        <f t="shared" si="18"/>
        <v>881011.11111111112</v>
      </c>
      <c r="N43" s="1079">
        <f t="shared" si="18"/>
        <v>4084787.7777777775</v>
      </c>
    </row>
    <row r="44" spans="1:14">
      <c r="A44" s="1220" t="s">
        <v>8278</v>
      </c>
      <c r="B44" s="1077" t="s">
        <v>8492</v>
      </c>
      <c r="C44" s="1080"/>
      <c r="D44" s="1080"/>
      <c r="E44" s="1080"/>
      <c r="F44" s="1080"/>
      <c r="G44" s="1080"/>
      <c r="H44" s="1080"/>
      <c r="I44" s="1080"/>
      <c r="J44" s="1080"/>
      <c r="K44" s="1080"/>
      <c r="L44" s="1080"/>
      <c r="M44" s="1080">
        <f>+M49</f>
        <v>5517620</v>
      </c>
      <c r="N44" s="1081">
        <f>+N49</f>
        <v>5517620</v>
      </c>
    </row>
    <row r="45" spans="1:14">
      <c r="A45" s="1221"/>
      <c r="B45" s="126" t="s">
        <v>8493</v>
      </c>
      <c r="C45" s="91">
        <v>600000</v>
      </c>
      <c r="D45" s="91">
        <v>600000</v>
      </c>
      <c r="E45" s="91">
        <f>+D45</f>
        <v>600000</v>
      </c>
      <c r="F45" s="91">
        <f>+E45</f>
        <v>600000</v>
      </c>
      <c r="G45" s="91">
        <f>+G40</f>
        <v>600000</v>
      </c>
      <c r="H45" s="91">
        <f t="shared" ref="H45:N46" si="19">+G45</f>
        <v>600000</v>
      </c>
      <c r="I45" s="91">
        <f t="shared" si="19"/>
        <v>600000</v>
      </c>
      <c r="J45" s="91">
        <f t="shared" si="19"/>
        <v>600000</v>
      </c>
      <c r="K45" s="91">
        <f t="shared" si="19"/>
        <v>600000</v>
      </c>
      <c r="L45" s="91">
        <f t="shared" si="19"/>
        <v>600000</v>
      </c>
      <c r="M45" s="91">
        <f t="shared" si="19"/>
        <v>600000</v>
      </c>
      <c r="N45" s="91">
        <f t="shared" si="19"/>
        <v>600000</v>
      </c>
    </row>
    <row r="46" spans="1:14">
      <c r="A46" s="1221"/>
      <c r="B46" s="1078" t="s">
        <v>8494</v>
      </c>
      <c r="C46" s="91"/>
      <c r="D46" s="91"/>
      <c r="E46" s="91"/>
      <c r="F46" s="91"/>
      <c r="G46" s="91">
        <f>+G41</f>
        <v>281011.11111111112</v>
      </c>
      <c r="H46" s="91">
        <f>+G46</f>
        <v>281011.11111111112</v>
      </c>
      <c r="I46" s="91">
        <f t="shared" si="19"/>
        <v>281011.11111111112</v>
      </c>
      <c r="J46" s="91">
        <f t="shared" si="19"/>
        <v>281011.11111111112</v>
      </c>
      <c r="K46" s="91">
        <f t="shared" si="19"/>
        <v>281011.11111111112</v>
      </c>
      <c r="L46" s="91">
        <f t="shared" si="19"/>
        <v>281011.11111111112</v>
      </c>
      <c r="M46" s="91">
        <f t="shared" si="19"/>
        <v>281011.11111111112</v>
      </c>
      <c r="N46" s="91">
        <f t="shared" si="19"/>
        <v>281011.11111111112</v>
      </c>
    </row>
    <row r="47" spans="1:14">
      <c r="A47" s="1221"/>
      <c r="B47" s="1078" t="s">
        <v>8501</v>
      </c>
      <c r="C47" s="92"/>
      <c r="D47" s="92"/>
      <c r="E47" s="92"/>
      <c r="F47" s="92"/>
      <c r="G47" s="92"/>
      <c r="H47" s="92"/>
      <c r="I47" s="92"/>
      <c r="J47" s="92"/>
      <c r="K47" s="92"/>
      <c r="L47" s="92"/>
      <c r="M47" s="92"/>
      <c r="N47" s="1042"/>
    </row>
    <row r="48" spans="1:14" ht="12.9" thickBot="1">
      <c r="A48" s="1222"/>
      <c r="B48" s="270" t="s">
        <v>8238</v>
      </c>
      <c r="C48" s="1079">
        <f t="shared" ref="C48:N48" si="20">+SUM(C44:C47)</f>
        <v>600000</v>
      </c>
      <c r="D48" s="1079">
        <f t="shared" si="20"/>
        <v>600000</v>
      </c>
      <c r="E48" s="1079">
        <f t="shared" si="20"/>
        <v>600000</v>
      </c>
      <c r="F48" s="1079">
        <f t="shared" si="20"/>
        <v>600000</v>
      </c>
      <c r="G48" s="1079">
        <f t="shared" si="20"/>
        <v>881011.11111111112</v>
      </c>
      <c r="H48" s="1079">
        <f t="shared" si="20"/>
        <v>881011.11111111112</v>
      </c>
      <c r="I48" s="1079">
        <f t="shared" si="20"/>
        <v>881011.11111111112</v>
      </c>
      <c r="J48" s="1079">
        <f t="shared" si="20"/>
        <v>881011.11111111112</v>
      </c>
      <c r="K48" s="1079">
        <f t="shared" si="20"/>
        <v>881011.11111111112</v>
      </c>
      <c r="L48" s="1079">
        <f t="shared" si="20"/>
        <v>881011.11111111112</v>
      </c>
      <c r="M48" s="1079">
        <f t="shared" si="20"/>
        <v>6398631.111111111</v>
      </c>
      <c r="N48" s="1079">
        <f t="shared" si="20"/>
        <v>6398631.111111111</v>
      </c>
    </row>
    <row r="49" spans="1:14">
      <c r="A49" s="1220" t="s">
        <v>8277</v>
      </c>
      <c r="B49" s="1077" t="s">
        <v>8492</v>
      </c>
      <c r="C49" s="1080"/>
      <c r="D49" s="1080"/>
      <c r="E49" s="1080"/>
      <c r="F49" s="1080"/>
      <c r="G49" s="1080"/>
      <c r="H49" s="1080"/>
      <c r="I49" s="1080"/>
      <c r="J49" s="1080"/>
      <c r="K49" s="1080"/>
      <c r="L49" s="1080">
        <f>+M49</f>
        <v>5517620</v>
      </c>
      <c r="M49" s="1080">
        <f>+J24</f>
        <v>5517620</v>
      </c>
      <c r="N49" s="1081">
        <f>+M49</f>
        <v>5517620</v>
      </c>
    </row>
    <row r="50" spans="1:14">
      <c r="A50" s="1221"/>
      <c r="B50" s="126" t="s">
        <v>8493</v>
      </c>
      <c r="C50" s="91">
        <v>600000</v>
      </c>
      <c r="D50" s="91">
        <v>600000</v>
      </c>
      <c r="E50" s="91">
        <f>+D50</f>
        <v>600000</v>
      </c>
      <c r="F50" s="91">
        <f>+E50</f>
        <v>600000</v>
      </c>
      <c r="G50" s="91">
        <f>+G45</f>
        <v>600000</v>
      </c>
      <c r="H50" s="91">
        <f t="shared" ref="H50:N51" si="21">+G50</f>
        <v>600000</v>
      </c>
      <c r="I50" s="91">
        <f t="shared" si="21"/>
        <v>600000</v>
      </c>
      <c r="J50" s="91">
        <f t="shared" si="21"/>
        <v>600000</v>
      </c>
      <c r="K50" s="91">
        <f t="shared" si="21"/>
        <v>600000</v>
      </c>
      <c r="L50" s="91">
        <f t="shared" si="21"/>
        <v>600000</v>
      </c>
      <c r="M50" s="91">
        <f t="shared" si="21"/>
        <v>600000</v>
      </c>
      <c r="N50" s="91">
        <f t="shared" si="21"/>
        <v>600000</v>
      </c>
    </row>
    <row r="51" spans="1:14">
      <c r="A51" s="1221"/>
      <c r="B51" s="1078" t="s">
        <v>8494</v>
      </c>
      <c r="C51" s="91"/>
      <c r="D51" s="91"/>
      <c r="E51" s="91"/>
      <c r="F51" s="91"/>
      <c r="G51" s="91">
        <f>+G46</f>
        <v>281011.11111111112</v>
      </c>
      <c r="H51" s="91">
        <f>+G51</f>
        <v>281011.11111111112</v>
      </c>
      <c r="I51" s="91">
        <f t="shared" si="21"/>
        <v>281011.11111111112</v>
      </c>
      <c r="J51" s="91">
        <f t="shared" si="21"/>
        <v>281011.11111111112</v>
      </c>
      <c r="K51" s="91">
        <f t="shared" si="21"/>
        <v>281011.11111111112</v>
      </c>
      <c r="L51" s="91">
        <f t="shared" si="21"/>
        <v>281011.11111111112</v>
      </c>
      <c r="M51" s="91">
        <f t="shared" si="21"/>
        <v>281011.11111111112</v>
      </c>
      <c r="N51" s="91">
        <f t="shared" si="21"/>
        <v>281011.11111111112</v>
      </c>
    </row>
    <row r="52" spans="1:14">
      <c r="A52" s="1221"/>
      <c r="B52" s="1078" t="s">
        <v>8501</v>
      </c>
      <c r="C52" s="92"/>
      <c r="D52" s="92"/>
      <c r="E52" s="92"/>
      <c r="F52" s="92"/>
      <c r="G52" s="92"/>
      <c r="H52" s="92"/>
      <c r="I52" s="92"/>
      <c r="J52" s="92"/>
      <c r="K52" s="92"/>
      <c r="L52" s="92"/>
      <c r="M52" s="92"/>
      <c r="N52" s="1042"/>
    </row>
    <row r="53" spans="1:14" ht="12.9" thickBot="1">
      <c r="A53" s="1222"/>
      <c r="B53" s="270" t="s">
        <v>8238</v>
      </c>
      <c r="C53" s="1079">
        <f t="shared" ref="C53:N53" si="22">+SUM(C49:C52)</f>
        <v>600000</v>
      </c>
      <c r="D53" s="1079">
        <f t="shared" si="22"/>
        <v>600000</v>
      </c>
      <c r="E53" s="1079">
        <f t="shared" si="22"/>
        <v>600000</v>
      </c>
      <c r="F53" s="1079">
        <f t="shared" si="22"/>
        <v>600000</v>
      </c>
      <c r="G53" s="1079">
        <f t="shared" si="22"/>
        <v>881011.11111111112</v>
      </c>
      <c r="H53" s="1079">
        <f t="shared" si="22"/>
        <v>881011.11111111112</v>
      </c>
      <c r="I53" s="1079">
        <f t="shared" si="22"/>
        <v>881011.11111111112</v>
      </c>
      <c r="J53" s="1079">
        <f t="shared" si="22"/>
        <v>881011.11111111112</v>
      </c>
      <c r="K53" s="1079">
        <f t="shared" si="22"/>
        <v>881011.11111111112</v>
      </c>
      <c r="L53" s="1079">
        <f t="shared" si="22"/>
        <v>6398631.111111111</v>
      </c>
      <c r="M53" s="1079">
        <f t="shared" si="22"/>
        <v>6398631.111111111</v>
      </c>
      <c r="N53" s="1079">
        <f t="shared" si="22"/>
        <v>6398631.111111111</v>
      </c>
    </row>
    <row r="54" spans="1:14">
      <c r="A54" s="1220" t="s">
        <v>8280</v>
      </c>
      <c r="B54" s="1077" t="s">
        <v>8492</v>
      </c>
      <c r="C54" s="1080"/>
      <c r="D54" s="1080"/>
      <c r="E54" s="1080"/>
      <c r="F54" s="1080"/>
      <c r="G54" s="1080"/>
      <c r="H54" s="1080"/>
      <c r="I54" s="1080"/>
      <c r="J54" s="1080"/>
      <c r="K54" s="1080"/>
      <c r="L54" s="1080"/>
      <c r="M54" s="1080"/>
      <c r="N54" s="1081">
        <f>+N49*2</f>
        <v>11035240</v>
      </c>
    </row>
    <row r="55" spans="1:14">
      <c r="A55" s="1221"/>
      <c r="B55" s="126" t="s">
        <v>8493</v>
      </c>
      <c r="C55" s="91">
        <v>600000</v>
      </c>
      <c r="D55" s="91">
        <v>600000</v>
      </c>
      <c r="E55" s="91">
        <f>+D55</f>
        <v>600000</v>
      </c>
      <c r="F55" s="91">
        <f>+E55</f>
        <v>600000</v>
      </c>
      <c r="G55" s="91">
        <f>+G50</f>
        <v>600000</v>
      </c>
      <c r="H55" s="91">
        <f t="shared" ref="H55:N56" si="23">+G55</f>
        <v>600000</v>
      </c>
      <c r="I55" s="91">
        <f t="shared" si="23"/>
        <v>600000</v>
      </c>
      <c r="J55" s="91">
        <f t="shared" si="23"/>
        <v>600000</v>
      </c>
      <c r="K55" s="91">
        <f t="shared" si="23"/>
        <v>600000</v>
      </c>
      <c r="L55" s="91">
        <f t="shared" si="23"/>
        <v>600000</v>
      </c>
      <c r="M55" s="91">
        <f t="shared" si="23"/>
        <v>600000</v>
      </c>
      <c r="N55" s="91">
        <f t="shared" si="23"/>
        <v>600000</v>
      </c>
    </row>
    <row r="56" spans="1:14">
      <c r="A56" s="1221"/>
      <c r="B56" s="1078" t="s">
        <v>8494</v>
      </c>
      <c r="C56" s="91"/>
      <c r="D56" s="91"/>
      <c r="E56" s="91"/>
      <c r="F56" s="91"/>
      <c r="G56" s="91">
        <f>+G51</f>
        <v>281011.11111111112</v>
      </c>
      <c r="H56" s="91">
        <f>+G56</f>
        <v>281011.11111111112</v>
      </c>
      <c r="I56" s="91">
        <f t="shared" si="23"/>
        <v>281011.11111111112</v>
      </c>
      <c r="J56" s="91">
        <f t="shared" si="23"/>
        <v>281011.11111111112</v>
      </c>
      <c r="K56" s="91">
        <f t="shared" si="23"/>
        <v>281011.11111111112</v>
      </c>
      <c r="L56" s="91">
        <f t="shared" si="23"/>
        <v>281011.11111111112</v>
      </c>
      <c r="M56" s="91">
        <f t="shared" si="23"/>
        <v>281011.11111111112</v>
      </c>
      <c r="N56" s="91">
        <f t="shared" si="23"/>
        <v>281011.11111111112</v>
      </c>
    </row>
    <row r="57" spans="1:14">
      <c r="A57" s="1221"/>
      <c r="B57" s="1078" t="s">
        <v>8501</v>
      </c>
      <c r="C57" s="92"/>
      <c r="D57" s="92"/>
      <c r="E57" s="92"/>
      <c r="F57" s="92"/>
      <c r="G57" s="92"/>
      <c r="H57" s="92"/>
      <c r="I57" s="92"/>
      <c r="J57" s="92"/>
      <c r="K57" s="92"/>
      <c r="L57" s="92"/>
      <c r="M57" s="92"/>
      <c r="N57" s="1042"/>
    </row>
    <row r="58" spans="1:14" ht="12.9" thickBot="1">
      <c r="A58" s="1222"/>
      <c r="B58" s="270" t="s">
        <v>8238</v>
      </c>
      <c r="C58" s="1079">
        <f t="shared" ref="C58:N58" si="24">+SUM(C54:C57)</f>
        <v>600000</v>
      </c>
      <c r="D58" s="1079">
        <f t="shared" si="24"/>
        <v>600000</v>
      </c>
      <c r="E58" s="1079">
        <f t="shared" si="24"/>
        <v>600000</v>
      </c>
      <c r="F58" s="1079">
        <f t="shared" si="24"/>
        <v>600000</v>
      </c>
      <c r="G58" s="1079">
        <f t="shared" si="24"/>
        <v>881011.11111111112</v>
      </c>
      <c r="H58" s="1079">
        <f t="shared" si="24"/>
        <v>881011.11111111112</v>
      </c>
      <c r="I58" s="1079">
        <f t="shared" si="24"/>
        <v>881011.11111111112</v>
      </c>
      <c r="J58" s="1079">
        <f t="shared" si="24"/>
        <v>881011.11111111112</v>
      </c>
      <c r="K58" s="1079">
        <f t="shared" si="24"/>
        <v>881011.11111111112</v>
      </c>
      <c r="L58" s="1079">
        <f t="shared" si="24"/>
        <v>881011.11111111112</v>
      </c>
      <c r="M58" s="1079">
        <f t="shared" si="24"/>
        <v>881011.11111111112</v>
      </c>
      <c r="N58" s="1079">
        <f t="shared" si="24"/>
        <v>11916251.111111112</v>
      </c>
    </row>
    <row r="59" spans="1:14">
      <c r="A59" s="1220" t="s">
        <v>8502</v>
      </c>
      <c r="B59" s="1077" t="s">
        <v>8492</v>
      </c>
      <c r="C59" s="1080"/>
      <c r="D59" s="1080"/>
      <c r="E59" s="1080"/>
      <c r="F59" s="1080"/>
      <c r="G59" s="1080"/>
      <c r="H59" s="1080"/>
      <c r="I59" s="1080"/>
      <c r="J59" s="1080"/>
      <c r="K59" s="1080"/>
      <c r="L59" s="1080"/>
      <c r="M59" s="1080"/>
      <c r="N59" s="1081">
        <f>+N54</f>
        <v>11035240</v>
      </c>
    </row>
    <row r="60" spans="1:14">
      <c r="A60" s="1221"/>
      <c r="B60" s="126" t="s">
        <v>8493</v>
      </c>
      <c r="C60" s="91">
        <v>600000</v>
      </c>
      <c r="D60" s="91">
        <v>600000</v>
      </c>
      <c r="E60" s="91">
        <f>+D60</f>
        <v>600000</v>
      </c>
      <c r="F60" s="91">
        <f>+E60</f>
        <v>600000</v>
      </c>
      <c r="G60" s="91">
        <f>+G55</f>
        <v>600000</v>
      </c>
      <c r="H60" s="91">
        <f t="shared" ref="H60:N61" si="25">+G60</f>
        <v>600000</v>
      </c>
      <c r="I60" s="91">
        <f t="shared" si="25"/>
        <v>600000</v>
      </c>
      <c r="J60" s="91">
        <f t="shared" si="25"/>
        <v>600000</v>
      </c>
      <c r="K60" s="91">
        <f t="shared" si="25"/>
        <v>600000</v>
      </c>
      <c r="L60" s="91">
        <f t="shared" si="25"/>
        <v>600000</v>
      </c>
      <c r="M60" s="91">
        <f t="shared" si="25"/>
        <v>600000</v>
      </c>
      <c r="N60" s="91">
        <f t="shared" si="25"/>
        <v>600000</v>
      </c>
    </row>
    <row r="61" spans="1:14">
      <c r="A61" s="1221"/>
      <c r="B61" s="1078" t="s">
        <v>8494</v>
      </c>
      <c r="C61" s="91"/>
      <c r="D61" s="91"/>
      <c r="E61" s="91"/>
      <c r="F61" s="91"/>
      <c r="G61" s="91">
        <f>+G56</f>
        <v>281011.11111111112</v>
      </c>
      <c r="H61" s="91">
        <f>+G61</f>
        <v>281011.11111111112</v>
      </c>
      <c r="I61" s="91">
        <f t="shared" si="25"/>
        <v>281011.11111111112</v>
      </c>
      <c r="J61" s="91">
        <f t="shared" si="25"/>
        <v>281011.11111111112</v>
      </c>
      <c r="K61" s="91">
        <f t="shared" si="25"/>
        <v>281011.11111111112</v>
      </c>
      <c r="L61" s="91">
        <f t="shared" si="25"/>
        <v>281011.11111111112</v>
      </c>
      <c r="M61" s="91">
        <f t="shared" si="25"/>
        <v>281011.11111111112</v>
      </c>
      <c r="N61" s="91">
        <f t="shared" si="25"/>
        <v>281011.11111111112</v>
      </c>
    </row>
    <row r="62" spans="1:14">
      <c r="A62" s="1221"/>
      <c r="B62" s="1078" t="s">
        <v>8501</v>
      </c>
      <c r="C62" s="92"/>
      <c r="D62" s="92"/>
      <c r="E62" s="92"/>
      <c r="F62" s="92"/>
      <c r="G62" s="92"/>
      <c r="H62" s="92"/>
      <c r="I62" s="92"/>
      <c r="J62" s="92"/>
      <c r="K62" s="92"/>
      <c r="L62" s="92"/>
      <c r="M62" s="92"/>
      <c r="N62" s="1042"/>
    </row>
    <row r="63" spans="1:14" ht="12.9" thickBot="1">
      <c r="A63" s="1222"/>
      <c r="B63" s="270" t="s">
        <v>8238</v>
      </c>
      <c r="C63" s="1079">
        <f t="shared" ref="C63:N63" si="26">+SUM(C59:C62)</f>
        <v>600000</v>
      </c>
      <c r="D63" s="1079">
        <f t="shared" si="26"/>
        <v>600000</v>
      </c>
      <c r="E63" s="1079">
        <f t="shared" si="26"/>
        <v>600000</v>
      </c>
      <c r="F63" s="1079">
        <f t="shared" si="26"/>
        <v>600000</v>
      </c>
      <c r="G63" s="1079">
        <f t="shared" si="26"/>
        <v>881011.11111111112</v>
      </c>
      <c r="H63" s="1079">
        <f t="shared" si="26"/>
        <v>881011.11111111112</v>
      </c>
      <c r="I63" s="1079">
        <f t="shared" si="26"/>
        <v>881011.11111111112</v>
      </c>
      <c r="J63" s="1079">
        <f t="shared" si="26"/>
        <v>881011.11111111112</v>
      </c>
      <c r="K63" s="1079">
        <f t="shared" si="26"/>
        <v>881011.11111111112</v>
      </c>
      <c r="L63" s="1079">
        <f t="shared" si="26"/>
        <v>881011.11111111112</v>
      </c>
      <c r="M63" s="1079">
        <f t="shared" si="26"/>
        <v>881011.11111111112</v>
      </c>
      <c r="N63" s="1079">
        <f t="shared" si="26"/>
        <v>11916251.111111112</v>
      </c>
    </row>
    <row r="64" spans="1:14">
      <c r="A64" s="1220" t="s">
        <v>8490</v>
      </c>
      <c r="B64" s="1077" t="s">
        <v>8492</v>
      </c>
      <c r="C64" s="1080"/>
      <c r="D64" s="1080"/>
      <c r="E64" s="1080"/>
      <c r="F64" s="1080"/>
      <c r="G64" s="1080"/>
      <c r="H64" s="1080"/>
      <c r="I64" s="1080"/>
      <c r="J64" s="1080"/>
      <c r="K64" s="1080"/>
      <c r="L64" s="1080"/>
      <c r="M64" s="1080"/>
      <c r="N64" s="1081">
        <f>+N59</f>
        <v>11035240</v>
      </c>
    </row>
    <row r="65" spans="1:14">
      <c r="A65" s="1221"/>
      <c r="B65" s="126" t="s">
        <v>8493</v>
      </c>
      <c r="C65" s="91">
        <v>600000</v>
      </c>
      <c r="D65" s="91">
        <v>600000</v>
      </c>
      <c r="E65" s="91">
        <f>+D65</f>
        <v>600000</v>
      </c>
      <c r="F65" s="91">
        <f>+E65</f>
        <v>600000</v>
      </c>
      <c r="G65" s="91">
        <f>+G60</f>
        <v>600000</v>
      </c>
      <c r="H65" s="91">
        <f t="shared" ref="H65:N66" si="27">+G65</f>
        <v>600000</v>
      </c>
      <c r="I65" s="91">
        <f t="shared" si="27"/>
        <v>600000</v>
      </c>
      <c r="J65" s="91">
        <f t="shared" si="27"/>
        <v>600000</v>
      </c>
      <c r="K65" s="91">
        <f t="shared" si="27"/>
        <v>600000</v>
      </c>
      <c r="L65" s="91">
        <f t="shared" si="27"/>
        <v>600000</v>
      </c>
      <c r="M65" s="91">
        <f t="shared" si="27"/>
        <v>600000</v>
      </c>
      <c r="N65" s="91">
        <f t="shared" si="27"/>
        <v>600000</v>
      </c>
    </row>
    <row r="66" spans="1:14">
      <c r="A66" s="1221"/>
      <c r="B66" s="1078" t="s">
        <v>8494</v>
      </c>
      <c r="C66" s="91"/>
      <c r="D66" s="91"/>
      <c r="E66" s="91"/>
      <c r="F66" s="91"/>
      <c r="G66" s="91">
        <f>+G61</f>
        <v>281011.11111111112</v>
      </c>
      <c r="H66" s="91">
        <f>+G66</f>
        <v>281011.11111111112</v>
      </c>
      <c r="I66" s="91">
        <f t="shared" si="27"/>
        <v>281011.11111111112</v>
      </c>
      <c r="J66" s="91">
        <f t="shared" si="27"/>
        <v>281011.11111111112</v>
      </c>
      <c r="K66" s="91">
        <f t="shared" si="27"/>
        <v>281011.11111111112</v>
      </c>
      <c r="L66" s="91">
        <f t="shared" si="27"/>
        <v>281011.11111111112</v>
      </c>
      <c r="M66" s="91">
        <f t="shared" si="27"/>
        <v>281011.11111111112</v>
      </c>
      <c r="N66" s="91">
        <f t="shared" si="27"/>
        <v>281011.11111111112</v>
      </c>
    </row>
    <row r="67" spans="1:14">
      <c r="A67" s="1221"/>
      <c r="B67" s="1078" t="s">
        <v>8501</v>
      </c>
      <c r="C67" s="92"/>
      <c r="D67" s="92"/>
      <c r="E67" s="92"/>
      <c r="F67" s="92"/>
      <c r="G67" s="92"/>
      <c r="H67" s="92"/>
      <c r="I67" s="92"/>
      <c r="J67" s="92"/>
      <c r="K67" s="92"/>
      <c r="L67" s="92"/>
      <c r="M67" s="92"/>
      <c r="N67" s="1042"/>
    </row>
    <row r="68" spans="1:14" ht="12.9" thickBot="1">
      <c r="A68" s="1222"/>
      <c r="B68" s="270" t="s">
        <v>8238</v>
      </c>
      <c r="C68" s="1079">
        <f t="shared" ref="C68:N68" si="28">+SUM(C64:C67)</f>
        <v>600000</v>
      </c>
      <c r="D68" s="1079">
        <f t="shared" si="28"/>
        <v>600000</v>
      </c>
      <c r="E68" s="1079">
        <f t="shared" si="28"/>
        <v>600000</v>
      </c>
      <c r="F68" s="1079">
        <f t="shared" si="28"/>
        <v>600000</v>
      </c>
      <c r="G68" s="1079">
        <f t="shared" si="28"/>
        <v>881011.11111111112</v>
      </c>
      <c r="H68" s="1079">
        <f t="shared" si="28"/>
        <v>881011.11111111112</v>
      </c>
      <c r="I68" s="1079">
        <f t="shared" si="28"/>
        <v>881011.11111111112</v>
      </c>
      <c r="J68" s="1079">
        <f t="shared" si="28"/>
        <v>881011.11111111112</v>
      </c>
      <c r="K68" s="1079">
        <f t="shared" si="28"/>
        <v>881011.11111111112</v>
      </c>
      <c r="L68" s="1079">
        <f t="shared" si="28"/>
        <v>881011.11111111112</v>
      </c>
      <c r="M68" s="1079">
        <f t="shared" si="28"/>
        <v>881011.11111111112</v>
      </c>
      <c r="N68" s="1079">
        <f t="shared" si="28"/>
        <v>11916251.111111112</v>
      </c>
    </row>
    <row r="69" spans="1:14" ht="15.45">
      <c r="A69" s="108"/>
      <c r="B69" s="1082" t="s">
        <v>8503</v>
      </c>
      <c r="C69" s="1083">
        <f>+C68+C63+C58+C53+C48+C43+C38+C33+C28+C23</f>
        <v>15527097.5</v>
      </c>
      <c r="D69" s="1083">
        <f t="shared" ref="D69:N69" si="29">+D68+D63+D58+D53+D48+D43+D38+D33+D28+D23</f>
        <v>15527097.5</v>
      </c>
      <c r="E69" s="1083">
        <f t="shared" si="29"/>
        <v>15527097.5</v>
      </c>
      <c r="F69" s="1083">
        <f t="shared" si="29"/>
        <v>15527097.5</v>
      </c>
      <c r="G69" s="1083">
        <f t="shared" si="29"/>
        <v>18337208.611111112</v>
      </c>
      <c r="H69" s="1083">
        <f t="shared" si="29"/>
        <v>18337208.611111112</v>
      </c>
      <c r="I69" s="1083">
        <f t="shared" si="29"/>
        <v>35158605.277777776</v>
      </c>
      <c r="J69" s="1083">
        <f t="shared" si="29"/>
        <v>23131507.77777778</v>
      </c>
      <c r="K69" s="1083">
        <f t="shared" si="29"/>
        <v>28649127.77777778</v>
      </c>
      <c r="L69" s="1083">
        <f t="shared" si="29"/>
        <v>37370524.444444448</v>
      </c>
      <c r="M69" s="1083">
        <f t="shared" si="29"/>
        <v>36852904.44444444</v>
      </c>
      <c r="N69" s="1083">
        <f t="shared" si="29"/>
        <v>73162401.111111104</v>
      </c>
    </row>
    <row r="70" spans="1:14" ht="15.45">
      <c r="A70" s="108"/>
      <c r="B70" s="1084" t="s">
        <v>8504</v>
      </c>
      <c r="C70" s="1085">
        <f>+C12-C69</f>
        <v>-2581264.1666666679</v>
      </c>
      <c r="D70" s="1085">
        <f t="shared" ref="D70:N70" si="30">+D12-D69</f>
        <v>-2581264.1666666679</v>
      </c>
      <c r="E70" s="1085">
        <f t="shared" si="30"/>
        <v>3864569.1666666642</v>
      </c>
      <c r="F70" s="1085">
        <f t="shared" si="30"/>
        <v>3864569.1666666642</v>
      </c>
      <c r="G70" s="1085">
        <f t="shared" si="30"/>
        <v>7500291.3888888843</v>
      </c>
      <c r="H70" s="1085">
        <f t="shared" si="30"/>
        <v>7500291.3888888843</v>
      </c>
      <c r="I70" s="1085">
        <f t="shared" si="30"/>
        <v>9170444.7222222239</v>
      </c>
      <c r="J70" s="1085">
        <f t="shared" si="30"/>
        <v>27670458.888888877</v>
      </c>
      <c r="K70" s="1085">
        <f t="shared" si="30"/>
        <v>22152838.888888877</v>
      </c>
      <c r="L70" s="1085">
        <f t="shared" si="30"/>
        <v>34963108.888888866</v>
      </c>
      <c r="M70" s="1085">
        <f t="shared" si="30"/>
        <v>46246562.222222202</v>
      </c>
      <c r="N70" s="1085">
        <f t="shared" si="30"/>
        <v>99294565.555555522</v>
      </c>
    </row>
    <row r="71" spans="1:14" ht="15.45">
      <c r="A71" s="1086"/>
      <c r="B71" s="1087"/>
      <c r="C71" s="1088"/>
      <c r="D71" s="1088"/>
      <c r="E71" s="1088"/>
      <c r="F71" s="1088"/>
      <c r="G71" s="1088"/>
      <c r="H71" s="1088"/>
      <c r="I71" s="1088"/>
      <c r="J71" s="1088"/>
      <c r="K71" s="1088"/>
      <c r="L71" s="1088"/>
      <c r="M71" s="1088"/>
      <c r="N71" s="1088"/>
    </row>
    <row r="73" spans="1:14">
      <c r="D73" s="126" t="s">
        <v>8238</v>
      </c>
    </row>
    <row r="74" spans="1:14">
      <c r="C74" s="906">
        <v>45658</v>
      </c>
      <c r="D74" s="2">
        <v>12.945833333333333</v>
      </c>
      <c r="E74" s="6">
        <v>1000000</v>
      </c>
    </row>
    <row r="75" spans="1:14">
      <c r="C75" s="906">
        <v>45689</v>
      </c>
      <c r="D75" s="2">
        <v>12.945833333333333</v>
      </c>
    </row>
    <row r="76" spans="1:14">
      <c r="C76" s="906">
        <v>45717</v>
      </c>
      <c r="D76" s="2">
        <v>25.837499999999999</v>
      </c>
    </row>
    <row r="77" spans="1:14">
      <c r="C77" s="906">
        <v>45748</v>
      </c>
      <c r="D77" s="2">
        <v>45.174999999999997</v>
      </c>
    </row>
    <row r="78" spans="1:14">
      <c r="C78" s="906">
        <v>45778</v>
      </c>
      <c r="D78" s="2">
        <v>45.174999999999997</v>
      </c>
    </row>
    <row r="79" spans="1:14">
      <c r="C79" s="906">
        <v>45809</v>
      </c>
      <c r="D79" s="2">
        <v>60.62083333333333</v>
      </c>
      <c r="L79" s="908">
        <f>445/4180</f>
        <v>0.10645933014354067</v>
      </c>
    </row>
    <row r="80" spans="1:14">
      <c r="C80" s="906">
        <v>45839</v>
      </c>
      <c r="D80" s="2">
        <v>60.62083333333333</v>
      </c>
    </row>
    <row r="81" spans="3:4">
      <c r="C81" s="906">
        <v>45870</v>
      </c>
      <c r="D81" s="2">
        <v>86.458333333333329</v>
      </c>
    </row>
    <row r="82" spans="3:4">
      <c r="C82" s="906">
        <v>45901</v>
      </c>
      <c r="D82" s="2">
        <v>86.458333333333329</v>
      </c>
    </row>
    <row r="83" spans="3:4">
      <c r="C83" s="906">
        <v>45931</v>
      </c>
      <c r="D83" s="2">
        <v>86.458333333333329</v>
      </c>
    </row>
    <row r="84" spans="3:4">
      <c r="C84" s="906">
        <v>45962</v>
      </c>
      <c r="D84" s="2">
        <v>288</v>
      </c>
    </row>
    <row r="85" spans="3:4">
      <c r="C85" s="906">
        <v>45992</v>
      </c>
      <c r="D85" s="2">
        <v>288</v>
      </c>
    </row>
    <row r="113" spans="2:5">
      <c r="C113" s="6" t="s">
        <v>8505</v>
      </c>
      <c r="D113" s="6" t="s">
        <v>8380</v>
      </c>
    </row>
    <row r="114" spans="2:5">
      <c r="B114" s="1095" t="s">
        <v>8495</v>
      </c>
      <c r="C114" s="109">
        <v>1</v>
      </c>
      <c r="D114" s="109">
        <v>2</v>
      </c>
    </row>
    <row r="115" spans="2:5">
      <c r="C115" s="109">
        <v>1600000</v>
      </c>
      <c r="D115" s="109"/>
    </row>
    <row r="116" spans="2:5">
      <c r="C116" s="109" t="s">
        <v>8506</v>
      </c>
      <c r="D116" s="109"/>
    </row>
    <row r="117" spans="2:5">
      <c r="C117" s="109">
        <v>500000</v>
      </c>
      <c r="D117" s="109"/>
    </row>
    <row r="118" spans="2:5">
      <c r="B118" s="1095" t="s">
        <v>8507</v>
      </c>
      <c r="C118" s="109">
        <v>10000000</v>
      </c>
      <c r="D118" s="109"/>
    </row>
    <row r="120" spans="2:5">
      <c r="B120" s="1095" t="s">
        <v>8498</v>
      </c>
      <c r="C120" s="6">
        <v>1500000</v>
      </c>
      <c r="D120" s="6" t="s">
        <v>8508</v>
      </c>
      <c r="E120" s="6" t="s">
        <v>8509</v>
      </c>
    </row>
    <row r="121" spans="2:5">
      <c r="B121" s="1095" t="s">
        <v>8497</v>
      </c>
      <c r="C121" s="6">
        <v>600000</v>
      </c>
      <c r="D121" s="6" t="s">
        <v>8510</v>
      </c>
      <c r="E121" s="6" t="s">
        <v>8511</v>
      </c>
    </row>
    <row r="122" spans="2:5">
      <c r="B122" s="6" t="s">
        <v>8512</v>
      </c>
    </row>
    <row r="123" spans="2:5">
      <c r="B123" s="6" t="s">
        <v>8499</v>
      </c>
    </row>
    <row r="125" spans="2:5">
      <c r="B125" s="6" t="s">
        <v>8513</v>
      </c>
    </row>
    <row r="126" spans="2:5">
      <c r="B126" s="6" t="s">
        <v>6837</v>
      </c>
    </row>
  </sheetData>
  <mergeCells count="10">
    <mergeCell ref="A49:A53"/>
    <mergeCell ref="A54:A58"/>
    <mergeCell ref="A59:A63"/>
    <mergeCell ref="A64:A68"/>
    <mergeCell ref="A13:A23"/>
    <mergeCell ref="A24:A28"/>
    <mergeCell ref="A29:A33"/>
    <mergeCell ref="A34:A38"/>
    <mergeCell ref="A39:A43"/>
    <mergeCell ref="A44:A48"/>
  </mergeCells>
  <phoneticPr fontId="18" type="noConversion"/>
  <pageMargins left="0.7" right="0.7" top="0.75" bottom="0.75" header="0.3" footer="0.3"/>
  <ignoredErrors>
    <ignoredError sqref="E3" formula="1"/>
  </ignoredErrors>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85B11-1A4C-431F-A584-E3898DD4737D}">
  <dimension ref="A3:P36"/>
  <sheetViews>
    <sheetView topLeftCell="A14" zoomScale="70" workbookViewId="0">
      <selection activeCell="A4" sqref="A4"/>
    </sheetView>
  </sheetViews>
  <sheetFormatPr defaultColWidth="11.3828125" defaultRowHeight="12.45"/>
  <cols>
    <col min="1" max="1" width="21.15234375" style="6" bestFit="1" customWidth="1"/>
    <col min="2" max="2" width="16.84375" style="6" bestFit="1" customWidth="1"/>
    <col min="3" max="4" width="21.3046875" style="6" bestFit="1" customWidth="1"/>
    <col min="5" max="5" width="21.53515625" style="6" bestFit="1" customWidth="1"/>
    <col min="6" max="14" width="22.15234375" style="6" bestFit="1" customWidth="1"/>
    <col min="15" max="16384" width="11.3828125" style="6"/>
  </cols>
  <sheetData>
    <row r="3" spans="1:16" ht="15" thickBot="1">
      <c r="C3" s="1047" t="s">
        <v>8514</v>
      </c>
      <c r="D3" s="1047" t="s">
        <v>8515</v>
      </c>
      <c r="E3" s="1047" t="s">
        <v>8516</v>
      </c>
      <c r="F3" s="1047" t="s">
        <v>8517</v>
      </c>
      <c r="G3" s="1047" t="s">
        <v>8518</v>
      </c>
      <c r="H3" s="1047" t="s">
        <v>8519</v>
      </c>
      <c r="I3" s="1047" t="s">
        <v>8520</v>
      </c>
      <c r="J3" s="1047" t="s">
        <v>8521</v>
      </c>
      <c r="K3" s="1047" t="s">
        <v>8522</v>
      </c>
      <c r="L3" s="1047" t="s">
        <v>8523</v>
      </c>
      <c r="M3" s="1047" t="s">
        <v>8524</v>
      </c>
      <c r="N3" s="1047" t="s">
        <v>8525</v>
      </c>
    </row>
    <row r="4" spans="1:16" ht="15" thickBot="1">
      <c r="B4" s="1048" t="s">
        <v>8526</v>
      </c>
      <c r="C4" s="1049">
        <f>+SUM(C5:C36)</f>
        <v>56030591.242237329</v>
      </c>
      <c r="D4" s="1049">
        <f t="shared" ref="D4:N4" si="0">+SUM(D5:D36)</f>
        <v>56030591.242237329</v>
      </c>
      <c r="E4" s="1049">
        <f t="shared" si="0"/>
        <v>56030591.242237329</v>
      </c>
      <c r="F4" s="1049">
        <f t="shared" si="0"/>
        <v>54696941.179081202</v>
      </c>
      <c r="G4" s="1049">
        <f t="shared" si="0"/>
        <v>72471591.242237344</v>
      </c>
      <c r="H4" s="1049">
        <f t="shared" si="0"/>
        <v>80352244.991666868</v>
      </c>
      <c r="I4" s="1049">
        <f t="shared" si="0"/>
        <v>80352244.991666868</v>
      </c>
      <c r="J4" s="1049">
        <f t="shared" si="0"/>
        <v>82755244.991666868</v>
      </c>
      <c r="K4" s="1049">
        <f t="shared" si="0"/>
        <v>86455244.991666868</v>
      </c>
      <c r="L4" s="1049">
        <f t="shared" si="0"/>
        <v>86455244.991666868</v>
      </c>
      <c r="M4" s="1049">
        <f t="shared" si="0"/>
        <v>86455244.991666868</v>
      </c>
      <c r="N4" s="1050">
        <f t="shared" si="0"/>
        <v>86455244.991666868</v>
      </c>
      <c r="P4" s="1023"/>
    </row>
    <row r="5" spans="1:16" ht="14.6">
      <c r="A5" s="1024" t="s">
        <v>8527</v>
      </c>
      <c r="B5" s="1025">
        <f>+SUM(C5:AC5)</f>
        <v>5233642.572437034</v>
      </c>
      <c r="C5" s="1026">
        <v>436136.8810364196</v>
      </c>
      <c r="D5" s="1027">
        <v>436136.8810364196</v>
      </c>
      <c r="E5" s="1027">
        <v>436136.8810364196</v>
      </c>
      <c r="F5" s="1027">
        <v>436136.8810364196</v>
      </c>
      <c r="G5" s="1027">
        <v>436136.8810364196</v>
      </c>
      <c r="H5" s="1027">
        <v>436136.8810364196</v>
      </c>
      <c r="I5" s="1027">
        <v>436136.8810364196</v>
      </c>
      <c r="J5" s="1027">
        <v>436136.8810364196</v>
      </c>
      <c r="K5" s="1027">
        <v>436136.8810364196</v>
      </c>
      <c r="L5" s="1027">
        <v>436136.8810364196</v>
      </c>
      <c r="M5" s="1027">
        <v>436136.8810364196</v>
      </c>
      <c r="N5" s="1028">
        <v>436136.8810364196</v>
      </c>
    </row>
    <row r="6" spans="1:16" ht="14.6">
      <c r="A6" s="1029" t="s">
        <v>8528</v>
      </c>
      <c r="B6" s="1030">
        <f>+SUM(C6:AC6)</f>
        <v>31060150.694717407</v>
      </c>
      <c r="C6" s="1031">
        <v>2823650.0631561279</v>
      </c>
      <c r="D6" s="1032">
        <v>2823650.0631561279</v>
      </c>
      <c r="E6" s="1032">
        <v>2823650.0631561279</v>
      </c>
      <c r="F6" s="1032"/>
      <c r="G6" s="1032">
        <v>2823650.0631561279</v>
      </c>
      <c r="H6" s="1032">
        <v>2823650.0631561279</v>
      </c>
      <c r="I6" s="1032">
        <v>2823650.0631561279</v>
      </c>
      <c r="J6" s="1032">
        <v>2823650.0631561279</v>
      </c>
      <c r="K6" s="1032">
        <v>2823650.0631561279</v>
      </c>
      <c r="L6" s="1032">
        <v>2823650.0631561279</v>
      </c>
      <c r="M6" s="1032">
        <v>2823650.0631561279</v>
      </c>
      <c r="N6" s="1033">
        <v>2823650.0631561279</v>
      </c>
    </row>
    <row r="7" spans="1:16" ht="14.6">
      <c r="A7" s="1029" t="s">
        <v>8529</v>
      </c>
      <c r="B7" s="1030">
        <f t="shared" ref="B7:B9" si="1">+SUM(C7:AA7)</f>
        <v>28932672.067195285</v>
      </c>
      <c r="C7" s="1031">
        <v>2411056.0055996072</v>
      </c>
      <c r="D7" s="1032">
        <v>2411056.0055996072</v>
      </c>
      <c r="E7" s="1032">
        <v>2411056.0055996072</v>
      </c>
      <c r="F7" s="1032">
        <v>2411056.0055996072</v>
      </c>
      <c r="G7" s="1032">
        <v>2411056.0055996072</v>
      </c>
      <c r="H7" s="1032">
        <v>2411056.0055996072</v>
      </c>
      <c r="I7" s="1032">
        <v>2411056.0055996072</v>
      </c>
      <c r="J7" s="1032">
        <v>2411056.0055996072</v>
      </c>
      <c r="K7" s="1032">
        <v>2411056.0055996072</v>
      </c>
      <c r="L7" s="1032">
        <v>2411056.0055996072</v>
      </c>
      <c r="M7" s="1032">
        <v>2411056.0055996072</v>
      </c>
      <c r="N7" s="1033">
        <v>2411056.0055996072</v>
      </c>
    </row>
    <row r="8" spans="1:16" ht="14.6">
      <c r="A8" s="1029" t="s">
        <v>8530</v>
      </c>
      <c r="B8" s="1030">
        <f>+SUM(C8:AC8)</f>
        <v>52105900.747581325</v>
      </c>
      <c r="C8" s="1031">
        <v>4342158.3956317781</v>
      </c>
      <c r="D8" s="1032">
        <v>4342158.3956317781</v>
      </c>
      <c r="E8" s="1032">
        <v>4342158.3956317781</v>
      </c>
      <c r="F8" s="1032">
        <v>4342158.3956317781</v>
      </c>
      <c r="G8" s="1032">
        <v>4342158.3956317781</v>
      </c>
      <c r="H8" s="1032">
        <v>4342158.3956317781</v>
      </c>
      <c r="I8" s="1032">
        <v>4342158.3956317781</v>
      </c>
      <c r="J8" s="1032">
        <v>4342158.3956317781</v>
      </c>
      <c r="K8" s="1032">
        <v>4342158.3956317781</v>
      </c>
      <c r="L8" s="1032">
        <v>4342158.3956317781</v>
      </c>
      <c r="M8" s="1032">
        <v>4342158.3956317781</v>
      </c>
      <c r="N8" s="1033">
        <v>4342158.3956317781</v>
      </c>
    </row>
    <row r="9" spans="1:16" ht="14.6">
      <c r="A9" s="1029" t="s">
        <v>8531</v>
      </c>
      <c r="B9" s="1030">
        <f t="shared" si="1"/>
        <v>11037877.347611334</v>
      </c>
      <c r="C9" s="1031"/>
      <c r="D9" s="1032"/>
      <c r="E9" s="1032"/>
      <c r="F9" s="1032"/>
      <c r="G9" s="1032"/>
      <c r="H9" s="1032">
        <v>1576839.6210873334</v>
      </c>
      <c r="I9" s="1032">
        <v>1576839.6210873334</v>
      </c>
      <c r="J9" s="1032">
        <v>1576839.6210873334</v>
      </c>
      <c r="K9" s="1032">
        <v>1576839.6210873334</v>
      </c>
      <c r="L9" s="1032">
        <v>1576839.6210873334</v>
      </c>
      <c r="M9" s="1032">
        <v>1576839.6210873334</v>
      </c>
      <c r="N9" s="1033">
        <v>1576839.6210873334</v>
      </c>
    </row>
    <row r="10" spans="1:16" ht="14.6">
      <c r="A10" s="1029" t="s">
        <v>8532</v>
      </c>
      <c r="B10" s="1030">
        <f t="shared" ref="B10:B34" si="2">+SUM(C10:AC10)</f>
        <v>14726698.898395494</v>
      </c>
      <c r="C10" s="1031"/>
      <c r="D10" s="1032"/>
      <c r="E10" s="1032"/>
      <c r="F10" s="1032"/>
      <c r="G10" s="1032"/>
      <c r="H10" s="1032">
        <v>2103814.1283422136</v>
      </c>
      <c r="I10" s="1032">
        <v>2103814.1283422136</v>
      </c>
      <c r="J10" s="1032">
        <v>2103814.1283422136</v>
      </c>
      <c r="K10" s="1032">
        <v>2103814.1283422136</v>
      </c>
      <c r="L10" s="1032">
        <v>2103814.1283422136</v>
      </c>
      <c r="M10" s="1032">
        <v>2103814.1283422136</v>
      </c>
      <c r="N10" s="1033">
        <v>2103814.1283422136</v>
      </c>
    </row>
    <row r="11" spans="1:16" ht="14.6">
      <c r="A11" s="1029" t="s">
        <v>8533</v>
      </c>
      <c r="B11" s="1030">
        <f t="shared" si="2"/>
        <v>6608086.7827931419</v>
      </c>
      <c r="C11" s="1031">
        <v>550673.89856609516</v>
      </c>
      <c r="D11" s="1032">
        <v>550673.89856609516</v>
      </c>
      <c r="E11" s="1032">
        <v>550673.89856609516</v>
      </c>
      <c r="F11" s="1032">
        <v>550673.89856609516</v>
      </c>
      <c r="G11" s="1032">
        <v>550673.89856609516</v>
      </c>
      <c r="H11" s="1032">
        <v>550673.89856609516</v>
      </c>
      <c r="I11" s="1032">
        <v>550673.89856609516</v>
      </c>
      <c r="J11" s="1032">
        <v>550673.89856609516</v>
      </c>
      <c r="K11" s="1032">
        <v>550673.89856609516</v>
      </c>
      <c r="L11" s="1032">
        <v>550673.89856609516</v>
      </c>
      <c r="M11" s="1032">
        <v>550673.89856609516</v>
      </c>
      <c r="N11" s="1033">
        <v>550673.89856609516</v>
      </c>
    </row>
    <row r="12" spans="1:16" ht="14.6">
      <c r="A12" s="1029" t="s">
        <v>8534</v>
      </c>
      <c r="B12" s="1030">
        <f t="shared" si="2"/>
        <v>44271451.212326422</v>
      </c>
      <c r="C12" s="1031">
        <v>3689287.6010272019</v>
      </c>
      <c r="D12" s="1032">
        <v>3689287.6010272019</v>
      </c>
      <c r="E12" s="1032">
        <v>3689287.6010272019</v>
      </c>
      <c r="F12" s="1032">
        <v>3689287.6010272019</v>
      </c>
      <c r="G12" s="1032">
        <v>3689287.6010272019</v>
      </c>
      <c r="H12" s="1032">
        <v>3689287.6010272019</v>
      </c>
      <c r="I12" s="1032">
        <v>3689287.6010272019</v>
      </c>
      <c r="J12" s="1032">
        <v>3689287.6010272019</v>
      </c>
      <c r="K12" s="1032">
        <v>3689287.6010272019</v>
      </c>
      <c r="L12" s="1032">
        <v>3689287.6010272019</v>
      </c>
      <c r="M12" s="1032">
        <v>3689287.6010272019</v>
      </c>
      <c r="N12" s="1033">
        <v>3689287.6010272019</v>
      </c>
    </row>
    <row r="13" spans="1:16" ht="14.6">
      <c r="A13" s="1029" t="s">
        <v>8535</v>
      </c>
      <c r="B13" s="1030">
        <f t="shared" si="2"/>
        <v>20043148.880946565</v>
      </c>
      <c r="C13" s="1031">
        <v>1670262.406745547</v>
      </c>
      <c r="D13" s="1032">
        <v>1670262.406745547</v>
      </c>
      <c r="E13" s="1032">
        <v>1670262.406745547</v>
      </c>
      <c r="F13" s="1032">
        <v>1670262.406745547</v>
      </c>
      <c r="G13" s="1032">
        <v>1670262.406745547</v>
      </c>
      <c r="H13" s="1032">
        <v>1670262.406745547</v>
      </c>
      <c r="I13" s="1032">
        <v>1670262.406745547</v>
      </c>
      <c r="J13" s="1032">
        <v>1670262.406745547</v>
      </c>
      <c r="K13" s="1032">
        <v>1670262.406745547</v>
      </c>
      <c r="L13" s="1032">
        <v>1670262.406745547</v>
      </c>
      <c r="M13" s="1032">
        <v>1670262.406745547</v>
      </c>
      <c r="N13" s="1033">
        <v>1670262.406745547</v>
      </c>
    </row>
    <row r="14" spans="1:16" ht="14.6">
      <c r="A14" s="1029" t="s">
        <v>8536</v>
      </c>
      <c r="B14" s="1030">
        <f t="shared" si="2"/>
        <v>24615911.204401601</v>
      </c>
      <c r="C14" s="1031">
        <v>2051325.933700134</v>
      </c>
      <c r="D14" s="1032">
        <v>2051325.933700134</v>
      </c>
      <c r="E14" s="1032">
        <v>2051325.933700134</v>
      </c>
      <c r="F14" s="1032">
        <v>2051325.933700134</v>
      </c>
      <c r="G14" s="1032">
        <v>2051325.933700134</v>
      </c>
      <c r="H14" s="1032">
        <v>2051325.933700134</v>
      </c>
      <c r="I14" s="1032">
        <v>2051325.933700134</v>
      </c>
      <c r="J14" s="1032">
        <v>2051325.933700134</v>
      </c>
      <c r="K14" s="1032">
        <v>2051325.933700134</v>
      </c>
      <c r="L14" s="1032">
        <v>2051325.933700134</v>
      </c>
      <c r="M14" s="1032">
        <v>2051325.933700134</v>
      </c>
      <c r="N14" s="1033">
        <v>2051325.933700134</v>
      </c>
    </row>
    <row r="15" spans="1:16" ht="14.6">
      <c r="A15" s="1029" t="s">
        <v>8537</v>
      </c>
      <c r="B15" s="1030">
        <f t="shared" si="2"/>
        <v>53448706.01635623</v>
      </c>
      <c r="C15" s="1031">
        <v>4454058.8346963525</v>
      </c>
      <c r="D15" s="1032">
        <v>4454058.8346963525</v>
      </c>
      <c r="E15" s="1032">
        <v>4454058.8346963525</v>
      </c>
      <c r="F15" s="1032">
        <v>4454058.8346963525</v>
      </c>
      <c r="G15" s="1032">
        <v>4454058.8346963525</v>
      </c>
      <c r="H15" s="1032">
        <v>4454058.8346963525</v>
      </c>
      <c r="I15" s="1032">
        <v>4454058.8346963525</v>
      </c>
      <c r="J15" s="1032">
        <v>4454058.8346963525</v>
      </c>
      <c r="K15" s="1032">
        <v>4454058.8346963525</v>
      </c>
      <c r="L15" s="1032">
        <v>4454058.8346963525</v>
      </c>
      <c r="M15" s="1032">
        <v>4454058.8346963525</v>
      </c>
      <c r="N15" s="1033">
        <v>4454058.8346963525</v>
      </c>
    </row>
    <row r="16" spans="1:16" ht="14.6">
      <c r="A16" s="1029" t="s">
        <v>8538</v>
      </c>
      <c r="B16" s="1030">
        <f t="shared" si="2"/>
        <v>13209945.852480004</v>
      </c>
      <c r="C16" s="1031">
        <v>1100828.8210400001</v>
      </c>
      <c r="D16" s="1032">
        <v>1100828.8210400001</v>
      </c>
      <c r="E16" s="1032">
        <v>1100828.8210400001</v>
      </c>
      <c r="F16" s="1032">
        <v>1100828.8210400001</v>
      </c>
      <c r="G16" s="1032">
        <v>1100828.8210400001</v>
      </c>
      <c r="H16" s="1032">
        <v>1100828.8210400001</v>
      </c>
      <c r="I16" s="1032">
        <v>1100828.8210400001</v>
      </c>
      <c r="J16" s="1032">
        <v>1100828.8210400001</v>
      </c>
      <c r="K16" s="1032">
        <v>1100828.8210400001</v>
      </c>
      <c r="L16" s="1032">
        <v>1100828.8210400001</v>
      </c>
      <c r="M16" s="1032">
        <v>1100828.8210400001</v>
      </c>
      <c r="N16" s="1033">
        <v>1100828.8210400001</v>
      </c>
    </row>
    <row r="17" spans="1:14" ht="14.6">
      <c r="A17" s="1029" t="s">
        <v>8539</v>
      </c>
      <c r="B17" s="1030">
        <f t="shared" si="2"/>
        <v>28960723.771157023</v>
      </c>
      <c r="C17" s="1031">
        <v>2413393.6475964179</v>
      </c>
      <c r="D17" s="1032">
        <v>2413393.6475964179</v>
      </c>
      <c r="E17" s="1032">
        <v>2413393.6475964179</v>
      </c>
      <c r="F17" s="1032">
        <v>2413393.6475964179</v>
      </c>
      <c r="G17" s="1032">
        <v>2413393.6475964179</v>
      </c>
      <c r="H17" s="1032">
        <v>2413393.6475964179</v>
      </c>
      <c r="I17" s="1032">
        <v>2413393.6475964179</v>
      </c>
      <c r="J17" s="1032">
        <v>2413393.6475964179</v>
      </c>
      <c r="K17" s="1032">
        <v>2413393.6475964179</v>
      </c>
      <c r="L17" s="1032">
        <v>2413393.6475964179</v>
      </c>
      <c r="M17" s="1032">
        <v>2413393.6475964179</v>
      </c>
      <c r="N17" s="1033">
        <v>2413393.6475964179</v>
      </c>
    </row>
    <row r="18" spans="1:14" ht="14.6">
      <c r="A18" s="1029" t="s">
        <v>8540</v>
      </c>
      <c r="B18" s="1030">
        <f t="shared" si="2"/>
        <v>25826981.682616338</v>
      </c>
      <c r="C18" s="1031">
        <v>2152248.4735513609</v>
      </c>
      <c r="D18" s="1032">
        <v>2152248.4735513609</v>
      </c>
      <c r="E18" s="1032">
        <v>2152248.4735513609</v>
      </c>
      <c r="F18" s="1032">
        <v>2152248.4735513609</v>
      </c>
      <c r="G18" s="1032">
        <v>2152248.4735513609</v>
      </c>
      <c r="H18" s="1032">
        <v>2152248.4735513609</v>
      </c>
      <c r="I18" s="1032">
        <v>2152248.4735513609</v>
      </c>
      <c r="J18" s="1032">
        <v>2152248.4735513609</v>
      </c>
      <c r="K18" s="1032">
        <v>2152248.4735513609</v>
      </c>
      <c r="L18" s="1032">
        <v>2152248.4735513609</v>
      </c>
      <c r="M18" s="1032">
        <v>2152248.4735513609</v>
      </c>
      <c r="N18" s="1033">
        <v>2152248.4735513609</v>
      </c>
    </row>
    <row r="19" spans="1:14" ht="14.6">
      <c r="A19" s="1029" t="s">
        <v>8541</v>
      </c>
      <c r="B19" s="1030">
        <f t="shared" si="2"/>
        <v>93765428.497260883</v>
      </c>
      <c r="C19" s="1034">
        <v>7813785.7081050752</v>
      </c>
      <c r="D19" s="1035">
        <v>7813785.7081050752</v>
      </c>
      <c r="E19" s="1035">
        <v>7813785.7081050752</v>
      </c>
      <c r="F19" s="1035">
        <v>7813785.7081050752</v>
      </c>
      <c r="G19" s="1035">
        <v>7813785.7081050752</v>
      </c>
      <c r="H19" s="1035">
        <v>7813785.7081050752</v>
      </c>
      <c r="I19" s="1035">
        <v>7813785.7081050752</v>
      </c>
      <c r="J19" s="1035">
        <v>7813785.7081050752</v>
      </c>
      <c r="K19" s="1035">
        <v>7813785.7081050752</v>
      </c>
      <c r="L19" s="1035">
        <v>7813785.7081050752</v>
      </c>
      <c r="M19" s="1035">
        <v>7813785.7081050752</v>
      </c>
      <c r="N19" s="1036">
        <v>7813785.7081050752</v>
      </c>
    </row>
    <row r="20" spans="1:14" ht="14.6">
      <c r="A20" s="1029" t="s">
        <v>8313</v>
      </c>
      <c r="B20" s="1030">
        <f t="shared" si="2"/>
        <v>15365282.137029819</v>
      </c>
      <c r="C20" s="1037">
        <v>1280440.178085818</v>
      </c>
      <c r="D20" s="1038">
        <v>1280440.178085818</v>
      </c>
      <c r="E20" s="1038">
        <v>1280440.178085818</v>
      </c>
      <c r="F20" s="1038">
        <v>1280440.178085818</v>
      </c>
      <c r="G20" s="1038">
        <v>1280440.178085818</v>
      </c>
      <c r="H20" s="1038">
        <v>1280440.178085818</v>
      </c>
      <c r="I20" s="1038">
        <v>1280440.178085818</v>
      </c>
      <c r="J20" s="1038">
        <v>1280440.178085818</v>
      </c>
      <c r="K20" s="1038">
        <v>1280440.178085818</v>
      </c>
      <c r="L20" s="1038">
        <v>1280440.178085818</v>
      </c>
      <c r="M20" s="1038">
        <v>1280440.178085818</v>
      </c>
      <c r="N20" s="1039">
        <v>1280440.178085818</v>
      </c>
    </row>
    <row r="21" spans="1:14" ht="14.6">
      <c r="A21" s="1040" t="s">
        <v>8312</v>
      </c>
      <c r="B21" s="1030">
        <f t="shared" si="2"/>
        <v>15164807.327063998</v>
      </c>
      <c r="C21" s="1037">
        <v>1263733.9439219998</v>
      </c>
      <c r="D21" s="1038">
        <v>1263733.9439219998</v>
      </c>
      <c r="E21" s="1038">
        <v>1263733.9439219998</v>
      </c>
      <c r="F21" s="1038">
        <v>1263733.9439219998</v>
      </c>
      <c r="G21" s="1038">
        <v>1263733.9439219998</v>
      </c>
      <c r="H21" s="1038">
        <v>1263733.9439219998</v>
      </c>
      <c r="I21" s="1038">
        <v>1263733.9439219998</v>
      </c>
      <c r="J21" s="1038">
        <v>1263733.9439219998</v>
      </c>
      <c r="K21" s="1038">
        <v>1263733.9439219998</v>
      </c>
      <c r="L21" s="1038">
        <v>1263733.9439219998</v>
      </c>
      <c r="M21" s="1038">
        <v>1263733.9439219998</v>
      </c>
      <c r="N21" s="1039">
        <v>1263733.9439219998</v>
      </c>
    </row>
    <row r="22" spans="1:14" ht="14.6">
      <c r="A22" s="1029" t="s">
        <v>8150</v>
      </c>
      <c r="B22" s="1030">
        <f t="shared" si="2"/>
        <v>25491381.935296312</v>
      </c>
      <c r="C22" s="1037">
        <v>2124281.82794136</v>
      </c>
      <c r="D22" s="1038">
        <v>2124281.82794136</v>
      </c>
      <c r="E22" s="1038">
        <v>2124281.82794136</v>
      </c>
      <c r="F22" s="1038">
        <v>2124281.82794136</v>
      </c>
      <c r="G22" s="1038">
        <v>2124281.82794136</v>
      </c>
      <c r="H22" s="1038">
        <v>2124281.82794136</v>
      </c>
      <c r="I22" s="1038">
        <v>2124281.82794136</v>
      </c>
      <c r="J22" s="1038">
        <v>2124281.82794136</v>
      </c>
      <c r="K22" s="1038">
        <v>2124281.82794136</v>
      </c>
      <c r="L22" s="1038">
        <v>2124281.82794136</v>
      </c>
      <c r="M22" s="1038">
        <v>2124281.82794136</v>
      </c>
      <c r="N22" s="1039">
        <v>2124281.82794136</v>
      </c>
    </row>
    <row r="23" spans="1:14" ht="14.6">
      <c r="A23" s="1029" t="s">
        <v>8314</v>
      </c>
      <c r="B23" s="1030">
        <f t="shared" si="2"/>
        <v>68582512.243682757</v>
      </c>
      <c r="C23" s="1031">
        <v>5715209.3536402304</v>
      </c>
      <c r="D23" s="1032">
        <v>5715209.3536402304</v>
      </c>
      <c r="E23" s="1032">
        <v>5715209.3536402304</v>
      </c>
      <c r="F23" s="1032">
        <v>5715209.3536402304</v>
      </c>
      <c r="G23" s="1032">
        <v>5715209.3536402304</v>
      </c>
      <c r="H23" s="1032">
        <v>5715209.3536402304</v>
      </c>
      <c r="I23" s="1032">
        <v>5715209.3536402304</v>
      </c>
      <c r="J23" s="1032">
        <v>5715209.3536402304</v>
      </c>
      <c r="K23" s="1032">
        <v>5715209.3536402304</v>
      </c>
      <c r="L23" s="1032">
        <v>5715209.3536402304</v>
      </c>
      <c r="M23" s="1032">
        <v>5715209.3536402304</v>
      </c>
      <c r="N23" s="1033">
        <v>5715209.3536402304</v>
      </c>
    </row>
    <row r="24" spans="1:14" ht="14.6">
      <c r="A24" s="1040" t="s">
        <v>8316</v>
      </c>
      <c r="B24" s="1030">
        <f t="shared" si="2"/>
        <v>9835324.0915176012</v>
      </c>
      <c r="C24" s="1031">
        <v>819610.34095979994</v>
      </c>
      <c r="D24" s="1032">
        <v>819610.34095979994</v>
      </c>
      <c r="E24" s="1032">
        <v>819610.34095979994</v>
      </c>
      <c r="F24" s="1032">
        <v>819610.34095979994</v>
      </c>
      <c r="G24" s="1032">
        <v>819610.34095979994</v>
      </c>
      <c r="H24" s="1032">
        <v>819610.34095979994</v>
      </c>
      <c r="I24" s="1032">
        <v>819610.34095979994</v>
      </c>
      <c r="J24" s="1032">
        <v>819610.34095979994</v>
      </c>
      <c r="K24" s="1032">
        <v>819610.34095979994</v>
      </c>
      <c r="L24" s="1032">
        <v>819610.34095979994</v>
      </c>
      <c r="M24" s="1032">
        <v>819610.34095979994</v>
      </c>
      <c r="N24" s="1033">
        <v>819610.34095979994</v>
      </c>
    </row>
    <row r="25" spans="1:14" ht="14.6">
      <c r="A25" s="1029" t="s">
        <v>8542</v>
      </c>
      <c r="B25" s="1030">
        <f t="shared" si="2"/>
        <v>19212454.312632006</v>
      </c>
      <c r="C25" s="1031">
        <v>1601037.8593860001</v>
      </c>
      <c r="D25" s="1032">
        <v>1601037.8593860001</v>
      </c>
      <c r="E25" s="1032">
        <v>1601037.8593860001</v>
      </c>
      <c r="F25" s="1032">
        <v>1601037.8593860001</v>
      </c>
      <c r="G25" s="1032">
        <v>1601037.8593860001</v>
      </c>
      <c r="H25" s="1032">
        <v>1601037.8593860001</v>
      </c>
      <c r="I25" s="1032">
        <v>1601037.8593860001</v>
      </c>
      <c r="J25" s="1032">
        <v>1601037.8593860001</v>
      </c>
      <c r="K25" s="1032">
        <v>1601037.8593860001</v>
      </c>
      <c r="L25" s="1032">
        <v>1601037.8593860001</v>
      </c>
      <c r="M25" s="1032">
        <v>1601037.8593860001</v>
      </c>
      <c r="N25" s="1033">
        <v>1601037.8593860001</v>
      </c>
    </row>
    <row r="26" spans="1:14" ht="14.6">
      <c r="A26" s="1029" t="s">
        <v>8543</v>
      </c>
      <c r="B26" s="1030">
        <f>+SUM(C26:AC26)</f>
        <v>23302026.281999994</v>
      </c>
      <c r="C26" s="1031">
        <v>1941835.5235000001</v>
      </c>
      <c r="D26" s="1032">
        <v>1941835.5235000001</v>
      </c>
      <c r="E26" s="1032">
        <v>1941835.5235000001</v>
      </c>
      <c r="F26" s="1032">
        <v>1941835.5235000001</v>
      </c>
      <c r="G26" s="1032">
        <v>1941835.5235000001</v>
      </c>
      <c r="H26" s="1032">
        <v>1941835.5235000001</v>
      </c>
      <c r="I26" s="1032">
        <v>1941835.5235000001</v>
      </c>
      <c r="J26" s="1032">
        <v>1941835.5235000001</v>
      </c>
      <c r="K26" s="1032">
        <v>1941835.5235000001</v>
      </c>
      <c r="L26" s="1032">
        <v>1941835.5235000001</v>
      </c>
      <c r="M26" s="1032">
        <v>1941835.5235000001</v>
      </c>
      <c r="N26" s="1033">
        <v>1941835.5235000001</v>
      </c>
    </row>
    <row r="27" spans="1:14" ht="14.6">
      <c r="A27" s="1029" t="s">
        <v>8544</v>
      </c>
      <c r="B27" s="1030">
        <f>+SUM(C27:AC27)</f>
        <v>18431780.622600004</v>
      </c>
      <c r="C27" s="1031">
        <v>1535981.7185500003</v>
      </c>
      <c r="D27" s="1032">
        <v>1535981.7185500003</v>
      </c>
      <c r="E27" s="1032">
        <v>1535981.7185500003</v>
      </c>
      <c r="F27" s="1032">
        <v>1535981.7185500003</v>
      </c>
      <c r="G27" s="1032">
        <v>1535981.7185500003</v>
      </c>
      <c r="H27" s="1032">
        <v>1535981.7185500003</v>
      </c>
      <c r="I27" s="1032">
        <v>1535981.7185500003</v>
      </c>
      <c r="J27" s="1032">
        <v>1535981.7185500003</v>
      </c>
      <c r="K27" s="1032">
        <v>1535981.7185500003</v>
      </c>
      <c r="L27" s="1032">
        <v>1535981.7185500003</v>
      </c>
      <c r="M27" s="1032">
        <v>1535981.7185500003</v>
      </c>
      <c r="N27" s="1033">
        <v>1535981.7185500003</v>
      </c>
    </row>
    <row r="28" spans="1:14" ht="14.6">
      <c r="A28" s="1029" t="s">
        <v>8545</v>
      </c>
      <c r="B28" s="1030">
        <f>+SUM(C28:AD28)</f>
        <v>6723753.4295999976</v>
      </c>
      <c r="C28" s="1031">
        <v>560312.78579999995</v>
      </c>
      <c r="D28" s="1032">
        <v>560312.78579999995</v>
      </c>
      <c r="E28" s="1032">
        <v>560312.78579999995</v>
      </c>
      <c r="F28" s="1032">
        <v>560312.78579999995</v>
      </c>
      <c r="G28" s="1032">
        <v>560312.78579999995</v>
      </c>
      <c r="H28" s="1032">
        <v>560312.78579999995</v>
      </c>
      <c r="I28" s="1032">
        <v>560312.78579999995</v>
      </c>
      <c r="J28" s="1032">
        <v>560312.78579999995</v>
      </c>
      <c r="K28" s="1032">
        <v>560312.78579999995</v>
      </c>
      <c r="L28" s="1032">
        <v>560312.78579999995</v>
      </c>
      <c r="M28" s="1032">
        <v>560312.78579999995</v>
      </c>
      <c r="N28" s="1033">
        <v>560312.78579999995</v>
      </c>
    </row>
    <row r="29" spans="1:14" ht="14.6">
      <c r="A29" s="1029" t="s">
        <v>8157</v>
      </c>
      <c r="B29" s="1030">
        <f t="shared" si="2"/>
        <v>60000000</v>
      </c>
      <c r="C29" s="1031"/>
      <c r="D29" s="1032"/>
      <c r="E29" s="1032"/>
      <c r="F29" s="1032"/>
      <c r="G29" s="1032">
        <v>7500000</v>
      </c>
      <c r="H29" s="1032">
        <v>7500000</v>
      </c>
      <c r="I29" s="1032">
        <v>7500000</v>
      </c>
      <c r="J29" s="1032">
        <v>7500000</v>
      </c>
      <c r="K29" s="1032">
        <v>7500000</v>
      </c>
      <c r="L29" s="1032">
        <v>7500000</v>
      </c>
      <c r="M29" s="1032">
        <v>7500000</v>
      </c>
      <c r="N29" s="1033">
        <v>7500000</v>
      </c>
    </row>
    <row r="30" spans="1:14" ht="14.6">
      <c r="A30" s="1029" t="s">
        <v>8546</v>
      </c>
      <c r="B30" s="1030">
        <f t="shared" si="2"/>
        <v>59608000</v>
      </c>
      <c r="C30" s="138"/>
      <c r="D30" s="92"/>
      <c r="E30" s="1032"/>
      <c r="F30" s="1032"/>
      <c r="G30" s="1032">
        <v>7451000</v>
      </c>
      <c r="H30" s="1032">
        <v>7451000</v>
      </c>
      <c r="I30" s="1032">
        <v>7451000</v>
      </c>
      <c r="J30" s="1032">
        <v>7451000</v>
      </c>
      <c r="K30" s="1032">
        <v>7451000</v>
      </c>
      <c r="L30" s="1032">
        <v>7451000</v>
      </c>
      <c r="M30" s="1032">
        <v>7451000</v>
      </c>
      <c r="N30" s="1032">
        <v>7451000</v>
      </c>
    </row>
    <row r="31" spans="1:14" ht="14.6">
      <c r="A31" s="1029" t="s">
        <v>8547</v>
      </c>
      <c r="B31" s="1030">
        <f>+SUM(C31:AD31)</f>
        <v>39351372.479999997</v>
      </c>
      <c r="C31" s="1037">
        <v>3279281.0399999996</v>
      </c>
      <c r="D31" s="1038">
        <v>3279281.0399999996</v>
      </c>
      <c r="E31" s="1038">
        <v>3279281.0399999996</v>
      </c>
      <c r="F31" s="1038">
        <v>3279281.0399999996</v>
      </c>
      <c r="G31" s="1038">
        <v>3279281.0399999996</v>
      </c>
      <c r="H31" s="1038">
        <v>3279281.0399999996</v>
      </c>
      <c r="I31" s="1038">
        <v>3279281.0399999996</v>
      </c>
      <c r="J31" s="1038">
        <v>3279281.0399999996</v>
      </c>
      <c r="K31" s="1038">
        <v>3279281.0399999996</v>
      </c>
      <c r="L31" s="1038">
        <v>3279281.0399999996</v>
      </c>
      <c r="M31" s="1038">
        <v>3279281.0399999996</v>
      </c>
      <c r="N31" s="1039">
        <v>3279281.0399999996</v>
      </c>
    </row>
    <row r="32" spans="1:14" ht="14.6">
      <c r="A32" s="1029" t="s">
        <v>8548</v>
      </c>
      <c r="B32" s="1030">
        <f t="shared" si="2"/>
        <v>13410000</v>
      </c>
      <c r="C32" s="1037"/>
      <c r="D32" s="92"/>
      <c r="E32" s="1038"/>
      <c r="F32" s="1038">
        <v>1490000</v>
      </c>
      <c r="G32" s="1038">
        <v>1490000</v>
      </c>
      <c r="H32" s="1038">
        <v>1490000</v>
      </c>
      <c r="I32" s="1038">
        <v>1490000</v>
      </c>
      <c r="J32" s="1038">
        <v>1490000</v>
      </c>
      <c r="K32" s="1038">
        <v>1490000</v>
      </c>
      <c r="L32" s="1038">
        <v>1490000</v>
      </c>
      <c r="M32" s="1038">
        <v>1490000</v>
      </c>
      <c r="N32" s="1038">
        <v>1490000</v>
      </c>
    </row>
    <row r="33" spans="1:14" ht="14.6">
      <c r="A33" s="1040" t="s">
        <v>8269</v>
      </c>
      <c r="B33" s="1030">
        <f t="shared" si="2"/>
        <v>14800000</v>
      </c>
      <c r="C33" s="1037"/>
      <c r="D33" s="92"/>
      <c r="E33" s="92"/>
      <c r="F33" s="92"/>
      <c r="G33" s="92"/>
      <c r="H33" s="92"/>
      <c r="I33" s="92"/>
      <c r="J33" s="92"/>
      <c r="K33" s="1038">
        <v>3700000</v>
      </c>
      <c r="L33" s="1038">
        <v>3700000</v>
      </c>
      <c r="M33" s="1038">
        <v>3700000</v>
      </c>
      <c r="N33" s="1038">
        <v>3700000</v>
      </c>
    </row>
    <row r="34" spans="1:14" ht="14.6">
      <c r="A34" s="1040" t="s">
        <v>8549</v>
      </c>
      <c r="B34" s="1030">
        <f t="shared" si="2"/>
        <v>29400000</v>
      </c>
      <c r="C34" s="1037"/>
      <c r="D34" s="92"/>
      <c r="E34" s="92"/>
      <c r="F34" s="1038"/>
      <c r="G34" s="1038"/>
      <c r="H34" s="1038">
        <v>4200000</v>
      </c>
      <c r="I34" s="1038">
        <v>4200000</v>
      </c>
      <c r="J34" s="1038">
        <v>4200000</v>
      </c>
      <c r="K34" s="1038">
        <v>4200000</v>
      </c>
      <c r="L34" s="1038">
        <v>4200000</v>
      </c>
      <c r="M34" s="1038">
        <v>4200000</v>
      </c>
      <c r="N34" s="1038">
        <v>4200000</v>
      </c>
    </row>
    <row r="35" spans="1:14" ht="14.6">
      <c r="A35" s="1029" t="s">
        <v>8270</v>
      </c>
      <c r="B35" s="1041"/>
      <c r="C35" s="1037"/>
      <c r="D35" s="92"/>
      <c r="E35" s="92"/>
      <c r="F35" s="92"/>
      <c r="G35" s="92"/>
      <c r="H35" s="92"/>
      <c r="I35" s="92"/>
      <c r="J35" s="92"/>
      <c r="K35" s="92"/>
      <c r="L35" s="92"/>
      <c r="M35" s="92"/>
      <c r="N35" s="1042"/>
    </row>
    <row r="36" spans="1:14" ht="15" thickBot="1">
      <c r="A36" s="1043" t="s">
        <v>8550</v>
      </c>
      <c r="B36" s="1044"/>
      <c r="C36" s="1045"/>
      <c r="D36" s="1046"/>
      <c r="E36" s="1046"/>
      <c r="F36" s="1046"/>
      <c r="G36" s="1046"/>
      <c r="H36" s="1046"/>
      <c r="I36" s="1046"/>
      <c r="J36" s="1038">
        <v>2403000</v>
      </c>
      <c r="K36" s="1038">
        <v>2403000</v>
      </c>
      <c r="L36" s="1038">
        <v>2403000</v>
      </c>
      <c r="M36" s="1038">
        <v>2403000</v>
      </c>
      <c r="N36" s="1038">
        <v>2403000</v>
      </c>
    </row>
  </sheetData>
  <phoneticPr fontId="1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C1F5-54D8-4AA0-9D0E-B7F7D9615B00}">
  <dimension ref="B3:N30"/>
  <sheetViews>
    <sheetView zoomScale="70" zoomScaleNormal="70" workbookViewId="0">
      <selection activeCell="J16" sqref="J16"/>
    </sheetView>
  </sheetViews>
  <sheetFormatPr defaultColWidth="11.3828125" defaultRowHeight="12.45"/>
  <cols>
    <col min="1" max="1" width="11.3828125" style="6"/>
    <col min="2" max="2" width="33" style="6" bestFit="1" customWidth="1"/>
    <col min="3" max="5" width="16" style="6" bestFit="1" customWidth="1"/>
    <col min="6" max="7" width="15.3828125" style="6" bestFit="1" customWidth="1"/>
    <col min="8" max="12" width="16" style="6" bestFit="1" customWidth="1"/>
    <col min="13" max="14" width="16.69140625" style="6" bestFit="1" customWidth="1"/>
    <col min="15" max="15" width="13.15234375" style="6" bestFit="1" customWidth="1"/>
    <col min="16" max="16384" width="11.3828125" style="6"/>
  </cols>
  <sheetData>
    <row r="3" spans="2:14" ht="15">
      <c r="B3" s="1052" t="s">
        <v>8085</v>
      </c>
      <c r="C3" s="1052"/>
      <c r="D3" s="1053"/>
      <c r="E3" s="1053"/>
      <c r="F3" s="1053"/>
      <c r="G3" s="1053"/>
      <c r="H3" s="1053"/>
      <c r="I3" s="1053"/>
      <c r="J3" s="1053"/>
      <c r="K3" s="1053"/>
      <c r="L3" s="1053"/>
      <c r="M3" s="1053"/>
      <c r="N3" s="1053"/>
    </row>
    <row r="4" spans="2:14" ht="15">
      <c r="B4" s="1053"/>
      <c r="C4" s="1053"/>
      <c r="D4" s="1053"/>
      <c r="E4" s="1053"/>
      <c r="F4" s="1053"/>
      <c r="G4" s="1053"/>
      <c r="H4" s="1053"/>
      <c r="I4" s="1053"/>
      <c r="J4" s="1053"/>
      <c r="K4" s="1053"/>
      <c r="L4" s="1053"/>
      <c r="M4" s="1053"/>
      <c r="N4" s="1053"/>
    </row>
    <row r="5" spans="2:14" ht="15">
      <c r="B5" s="1053"/>
      <c r="C5" s="1053"/>
      <c r="D5" s="1053"/>
      <c r="E5" s="1053"/>
      <c r="F5" s="1053"/>
      <c r="G5" s="1053"/>
      <c r="H5" s="1053"/>
      <c r="I5" s="1053"/>
      <c r="J5" s="1053"/>
      <c r="K5" s="1053"/>
      <c r="L5" s="1053"/>
      <c r="M5" s="1053"/>
      <c r="N5" s="1053"/>
    </row>
    <row r="6" spans="2:14" ht="16.3" thickBot="1">
      <c r="B6" s="1053"/>
      <c r="C6" s="1054" t="s">
        <v>8514</v>
      </c>
      <c r="D6" s="1054" t="s">
        <v>8515</v>
      </c>
      <c r="E6" s="1054" t="s">
        <v>8516</v>
      </c>
      <c r="F6" s="1054" t="s">
        <v>8517</v>
      </c>
      <c r="G6" s="1054" t="s">
        <v>8518</v>
      </c>
      <c r="H6" s="1054" t="s">
        <v>8519</v>
      </c>
      <c r="I6" s="1054" t="s">
        <v>8520</v>
      </c>
      <c r="J6" s="1054" t="s">
        <v>8521</v>
      </c>
      <c r="K6" s="1054" t="s">
        <v>8522</v>
      </c>
      <c r="L6" s="1054" t="s">
        <v>8523</v>
      </c>
      <c r="M6" s="1054" t="s">
        <v>8524</v>
      </c>
      <c r="N6" s="1054" t="s">
        <v>8525</v>
      </c>
    </row>
    <row r="7" spans="2:14" ht="16.3" thickBot="1">
      <c r="B7" s="1055" t="s">
        <v>8526</v>
      </c>
      <c r="C7" s="1056">
        <v>56030591.242237329</v>
      </c>
      <c r="D7" s="1057">
        <v>56030591.242237329</v>
      </c>
      <c r="E7" s="1057">
        <v>56030591.242237329</v>
      </c>
      <c r="F7" s="1057">
        <v>61720591.242237329</v>
      </c>
      <c r="G7" s="1057">
        <v>76671591.242237344</v>
      </c>
      <c r="H7" s="1057">
        <v>80352244.991666868</v>
      </c>
      <c r="I7" s="1057">
        <v>80352244.991666868</v>
      </c>
      <c r="J7" s="1057">
        <v>82755244.991666868</v>
      </c>
      <c r="K7" s="1057">
        <v>86455244.991666868</v>
      </c>
      <c r="L7" s="1057">
        <v>86455244.991666868</v>
      </c>
      <c r="M7" s="1057">
        <v>86455244.991666868</v>
      </c>
      <c r="N7" s="1058">
        <v>86455244.991666868</v>
      </c>
    </row>
    <row r="8" spans="2:14" ht="15.9">
      <c r="B8" s="1059" t="s">
        <v>8551</v>
      </c>
      <c r="C8" s="1060">
        <v>12945833.333333332</v>
      </c>
      <c r="D8" s="1061">
        <v>12945833.333333332</v>
      </c>
      <c r="E8" s="1061">
        <v>19391666.666666664</v>
      </c>
      <c r="F8" s="1061">
        <v>19391666.666666664</v>
      </c>
      <c r="G8" s="1061">
        <f>+F8</f>
        <v>19391666.666666664</v>
      </c>
      <c r="H8" s="1061">
        <v>25837499.999999996</v>
      </c>
      <c r="I8" s="1061">
        <v>41283333.333333328</v>
      </c>
      <c r="J8" s="1061">
        <v>60674999.999999985</v>
      </c>
      <c r="K8" s="1061">
        <v>60674999.999999985</v>
      </c>
      <c r="L8" s="1061">
        <v>60674999.999999985</v>
      </c>
      <c r="M8" s="1061">
        <v>60674999.999999985</v>
      </c>
      <c r="N8" s="1062">
        <v>192458333.33333331</v>
      </c>
    </row>
    <row r="9" spans="2:14" ht="15.9">
      <c r="B9" s="1063"/>
      <c r="C9" s="1064"/>
      <c r="D9" s="1065"/>
      <c r="E9" s="1065"/>
      <c r="F9" s="1065"/>
      <c r="G9" s="1065"/>
      <c r="H9" s="1065"/>
      <c r="I9" s="1065"/>
      <c r="J9" s="1065"/>
      <c r="K9" s="1065"/>
      <c r="L9" s="1065"/>
      <c r="M9" s="1065"/>
      <c r="N9" s="1065"/>
    </row>
    <row r="10" spans="2:14" ht="16.3" thickBot="1">
      <c r="B10" s="1066" t="s">
        <v>8552</v>
      </c>
      <c r="C10" s="1067">
        <f>+'Cierre real'!K9+3000000+8000000</f>
        <v>16757560.99666667</v>
      </c>
      <c r="D10" s="1068">
        <v>15166666.666666666</v>
      </c>
      <c r="E10" s="1068">
        <v>15166666.666666666</v>
      </c>
      <c r="F10" s="1068">
        <v>15166666.666666666</v>
      </c>
      <c r="G10" s="1068">
        <v>15166666.666666666</v>
      </c>
      <c r="H10" s="1068">
        <f>+G10+8000000</f>
        <v>23166666.666666664</v>
      </c>
      <c r="I10" s="1068">
        <f>+H10+12000000</f>
        <v>35166666.666666664</v>
      </c>
      <c r="J10" s="1068">
        <f>+I10+12000000</f>
        <v>47166666.666666664</v>
      </c>
      <c r="K10" s="1068">
        <f>+J10</f>
        <v>47166666.666666664</v>
      </c>
      <c r="L10" s="1068">
        <f>+K10</f>
        <v>47166666.666666664</v>
      </c>
      <c r="M10" s="1068">
        <f>+L10</f>
        <v>47166666.666666664</v>
      </c>
      <c r="N10" s="1069">
        <f>+M10+15000000</f>
        <v>62166666.666666664</v>
      </c>
    </row>
    <row r="11" spans="2:14" ht="16.3" thickBot="1">
      <c r="B11" s="1059" t="s">
        <v>8553</v>
      </c>
      <c r="C11" s="1056">
        <v>6913359</v>
      </c>
      <c r="D11" s="1057">
        <v>9157673.4000000004</v>
      </c>
      <c r="E11" s="1057">
        <v>9939644.7200000007</v>
      </c>
      <c r="F11" s="1057">
        <v>44416145</v>
      </c>
      <c r="G11" s="1057">
        <v>60175966</v>
      </c>
      <c r="H11" s="1057">
        <v>57848749</v>
      </c>
      <c r="I11" s="1057">
        <v>57681671</v>
      </c>
      <c r="J11" s="1057">
        <v>74514128</v>
      </c>
      <c r="K11" s="1057">
        <v>74346114</v>
      </c>
      <c r="L11" s="1057">
        <v>74177625</v>
      </c>
      <c r="M11" s="1057">
        <v>74008653</v>
      </c>
      <c r="N11" s="1058">
        <v>73839195</v>
      </c>
    </row>
    <row r="12" spans="2:14" ht="16.3" thickBot="1">
      <c r="B12" s="1070" t="s">
        <v>8554</v>
      </c>
      <c r="C12" s="1056">
        <v>20819397.694618095</v>
      </c>
      <c r="D12" s="1057">
        <v>20930758.445093095</v>
      </c>
      <c r="E12" s="1057">
        <v>21043396.668143094</v>
      </c>
      <c r="F12" s="1057">
        <v>14840205.00000006</v>
      </c>
      <c r="G12" s="1057">
        <v>14881427</v>
      </c>
      <c r="H12" s="1057">
        <v>84923104</v>
      </c>
      <c r="I12" s="1057">
        <v>84965243</v>
      </c>
      <c r="J12" s="1057">
        <v>85007847</v>
      </c>
      <c r="K12" s="1057">
        <v>85050922</v>
      </c>
      <c r="L12" s="1057">
        <v>85094473</v>
      </c>
      <c r="M12" s="1057">
        <v>110138506</v>
      </c>
      <c r="N12" s="1058">
        <v>110183026</v>
      </c>
    </row>
    <row r="13" spans="2:14" ht="15">
      <c r="B13" s="1053"/>
      <c r="C13" s="1071"/>
      <c r="D13" s="1071"/>
      <c r="E13" s="1071"/>
      <c r="F13" s="1071"/>
      <c r="G13" s="1071"/>
      <c r="H13" s="1071"/>
      <c r="I13" s="1071"/>
      <c r="J13" s="1071"/>
      <c r="K13" s="1071"/>
      <c r="L13" s="1071"/>
      <c r="M13" s="1071"/>
      <c r="N13" s="1071"/>
    </row>
    <row r="14" spans="2:14" ht="15">
      <c r="B14" s="1053"/>
      <c r="C14" s="1071"/>
      <c r="D14" s="1071"/>
      <c r="E14" s="1071"/>
      <c r="F14" s="1071"/>
      <c r="G14" s="1071"/>
      <c r="H14" s="1071"/>
      <c r="I14" s="1071"/>
      <c r="J14" s="1071"/>
      <c r="K14" s="1071"/>
      <c r="L14" s="1071"/>
      <c r="M14" s="1071"/>
      <c r="N14" s="1071"/>
    </row>
    <row r="15" spans="2:14" ht="15.45">
      <c r="B15" s="1072" t="s">
        <v>8555</v>
      </c>
      <c r="C15" s="1074">
        <f>+C7+C8-C11-C12-C10</f>
        <v>24486106.884285897</v>
      </c>
      <c r="D15" s="1074">
        <f t="shared" ref="D15:N15" si="0">+D7+D8-D11-D12-D10</f>
        <v>23721326.0638109</v>
      </c>
      <c r="E15" s="1074">
        <f t="shared" si="0"/>
        <v>29272549.85409423</v>
      </c>
      <c r="F15" s="1074">
        <f t="shared" si="0"/>
        <v>6689241.2422372606</v>
      </c>
      <c r="G15" s="1074">
        <f t="shared" si="0"/>
        <v>5839198.24223735</v>
      </c>
      <c r="H15" s="1073">
        <f t="shared" si="0"/>
        <v>-59748774.674999796</v>
      </c>
      <c r="I15" s="1073">
        <f t="shared" si="0"/>
        <v>-56178002.341666467</v>
      </c>
      <c r="J15" s="1073">
        <f t="shared" si="0"/>
        <v>-63258396.674999811</v>
      </c>
      <c r="K15" s="1073">
        <f t="shared" si="0"/>
        <v>-59433457.674999811</v>
      </c>
      <c r="L15" s="1073">
        <f t="shared" si="0"/>
        <v>-59308519.674999811</v>
      </c>
      <c r="M15" s="1073">
        <f t="shared" si="0"/>
        <v>-84183580.674999803</v>
      </c>
      <c r="N15" s="1074">
        <f t="shared" si="0"/>
        <v>32724690.658333503</v>
      </c>
    </row>
    <row r="20" spans="2:14">
      <c r="C20" s="1051">
        <v>45658</v>
      </c>
      <c r="D20" s="1051">
        <v>45689</v>
      </c>
      <c r="E20" s="1051">
        <v>45717</v>
      </c>
      <c r="F20" s="1051">
        <v>45748</v>
      </c>
      <c r="G20" s="1051">
        <v>45778</v>
      </c>
      <c r="H20" s="1051">
        <v>45809</v>
      </c>
      <c r="I20" s="1051">
        <v>45839</v>
      </c>
      <c r="J20" s="1051">
        <v>45870</v>
      </c>
      <c r="K20" s="1051">
        <v>45901</v>
      </c>
      <c r="L20" s="1051">
        <v>45931</v>
      </c>
      <c r="M20" s="1051">
        <v>45962</v>
      </c>
      <c r="N20" s="1051">
        <v>45992</v>
      </c>
    </row>
    <row r="21" spans="2:14" ht="17.600000000000001">
      <c r="B21" s="1075" t="s">
        <v>8238</v>
      </c>
      <c r="C21" s="95">
        <f>+SUM(C22:C29)</f>
        <v>12945833.333333332</v>
      </c>
      <c r="D21" s="95">
        <f t="shared" ref="D21:L21" si="1">+SUM(D22:D29)</f>
        <v>12945833.333333332</v>
      </c>
      <c r="E21" s="95">
        <f t="shared" si="1"/>
        <v>19391666.666666664</v>
      </c>
      <c r="F21" s="95">
        <f t="shared" si="1"/>
        <v>19391666.666666664</v>
      </c>
      <c r="G21" s="95">
        <f t="shared" si="1"/>
        <v>25837499.999999996</v>
      </c>
      <c r="H21" s="95">
        <f t="shared" si="1"/>
        <v>25837499.999999996</v>
      </c>
      <c r="I21" s="95">
        <f t="shared" si="1"/>
        <v>41283333.333333328</v>
      </c>
      <c r="J21" s="95">
        <f>+SUM(J22:J30)</f>
        <v>60674999.999999985</v>
      </c>
      <c r="K21" s="95">
        <f t="shared" si="1"/>
        <v>60674999.999999985</v>
      </c>
      <c r="L21" s="95">
        <f t="shared" si="1"/>
        <v>60674999.999999985</v>
      </c>
      <c r="M21" s="95">
        <f>+SUM(M22:M30)</f>
        <v>60674999.999999985</v>
      </c>
      <c r="N21" s="95">
        <f>+SUM(N22:N30)</f>
        <v>192458333.33333331</v>
      </c>
    </row>
    <row r="22" spans="2:14" ht="17.600000000000001">
      <c r="B22" s="1075" t="s">
        <v>8488</v>
      </c>
      <c r="C22" s="91">
        <f>6500000+(65000000*1.19/12)</f>
        <v>12945833.333333332</v>
      </c>
      <c r="D22" s="91">
        <f>+C22</f>
        <v>12945833.333333332</v>
      </c>
      <c r="E22" s="91">
        <f>+D22+(65000000*1.19/12)</f>
        <v>19391666.666666664</v>
      </c>
      <c r="F22" s="91">
        <f>+E22</f>
        <v>19391666.666666664</v>
      </c>
      <c r="G22" s="91">
        <v>25837499.999999996</v>
      </c>
      <c r="H22" s="91">
        <f>+G22</f>
        <v>25837499.999999996</v>
      </c>
      <c r="I22" s="91">
        <f>+H22</f>
        <v>25837499.999999996</v>
      </c>
      <c r="J22" s="91">
        <f>+I22</f>
        <v>25837499.999999996</v>
      </c>
      <c r="K22" s="91">
        <f t="shared" ref="K22:N22" si="2">+J22</f>
        <v>25837499.999999996</v>
      </c>
      <c r="L22" s="91">
        <f t="shared" si="2"/>
        <v>25837499.999999996</v>
      </c>
      <c r="M22" s="91">
        <f t="shared" si="2"/>
        <v>25837499.999999996</v>
      </c>
      <c r="N22" s="91">
        <f t="shared" si="2"/>
        <v>25837499.999999996</v>
      </c>
    </row>
    <row r="23" spans="2:14" ht="17.600000000000001">
      <c r="B23" s="1075" t="s">
        <v>6198</v>
      </c>
      <c r="C23" s="92"/>
      <c r="D23" s="92"/>
      <c r="E23" s="92"/>
      <c r="F23" s="92"/>
      <c r="G23" s="92"/>
      <c r="H23" s="91"/>
      <c r="I23" s="91"/>
      <c r="J23" s="91">
        <f>+E22</f>
        <v>19391666.666666664</v>
      </c>
      <c r="K23" s="91">
        <f>+J23</f>
        <v>19391666.666666664</v>
      </c>
      <c r="L23" s="91">
        <f>+K23</f>
        <v>19391666.666666664</v>
      </c>
      <c r="M23" s="91">
        <f>+L23</f>
        <v>19391666.666666664</v>
      </c>
      <c r="N23" s="91">
        <f>+M23</f>
        <v>19391666.666666664</v>
      </c>
    </row>
    <row r="24" spans="2:14" ht="17.600000000000001">
      <c r="B24" s="1075" t="s">
        <v>8284</v>
      </c>
      <c r="C24" s="92"/>
      <c r="D24" s="92"/>
      <c r="E24" s="92"/>
      <c r="F24" s="92"/>
      <c r="G24" s="92"/>
      <c r="H24" s="907"/>
      <c r="I24" s="91">
        <v>15445833.333333332</v>
      </c>
      <c r="J24" s="91">
        <v>15445833.333333332</v>
      </c>
      <c r="K24" s="91">
        <v>15445833.333333332</v>
      </c>
      <c r="L24" s="91">
        <v>15445833.333333332</v>
      </c>
      <c r="M24" s="91">
        <v>15445833.333333332</v>
      </c>
      <c r="N24" s="91">
        <v>15445833.333333332</v>
      </c>
    </row>
    <row r="25" spans="2:14" ht="17.600000000000001">
      <c r="B25" s="1075" t="s">
        <v>8489</v>
      </c>
      <c r="C25" s="92"/>
      <c r="D25" s="92"/>
      <c r="E25" s="92"/>
      <c r="F25" s="92"/>
      <c r="G25" s="92"/>
      <c r="H25" s="907"/>
      <c r="I25" s="91"/>
      <c r="J25" s="91"/>
      <c r="K25" s="91"/>
      <c r="L25" s="91"/>
      <c r="M25" s="91">
        <f>+M27</f>
        <v>0</v>
      </c>
      <c r="N25" s="91">
        <f>+N27</f>
        <v>15445833.333333332</v>
      </c>
    </row>
    <row r="26" spans="2:14" ht="17.600000000000001">
      <c r="B26" s="1075" t="s">
        <v>8279</v>
      </c>
      <c r="C26" s="92"/>
      <c r="D26" s="92"/>
      <c r="E26" s="92"/>
      <c r="F26" s="92"/>
      <c r="G26" s="92"/>
      <c r="H26" s="907"/>
      <c r="I26" s="91"/>
      <c r="J26" s="91"/>
      <c r="K26" s="91"/>
      <c r="L26" s="91"/>
      <c r="M26" s="91"/>
      <c r="N26" s="91"/>
    </row>
    <row r="27" spans="2:14" ht="17.600000000000001">
      <c r="B27" s="1075" t="s">
        <v>8278</v>
      </c>
      <c r="C27" s="92"/>
      <c r="D27" s="92"/>
      <c r="E27" s="92"/>
      <c r="F27" s="92"/>
      <c r="G27" s="92"/>
      <c r="H27" s="92"/>
      <c r="I27" s="92"/>
      <c r="J27" s="91"/>
      <c r="K27" s="92"/>
      <c r="L27" s="92"/>
      <c r="M27" s="91"/>
      <c r="N27" s="91">
        <v>15445833.333333332</v>
      </c>
    </row>
    <row r="28" spans="2:14" ht="17.600000000000001">
      <c r="B28" s="1075" t="s">
        <v>8277</v>
      </c>
      <c r="C28" s="92"/>
      <c r="D28" s="92"/>
      <c r="E28" s="92"/>
      <c r="F28" s="92"/>
      <c r="G28" s="92"/>
      <c r="H28" s="92"/>
      <c r="I28" s="92"/>
      <c r="J28" s="92"/>
      <c r="K28" s="92"/>
      <c r="L28" s="92"/>
      <c r="M28" s="91"/>
      <c r="N28" s="91">
        <v>15445833.333333332</v>
      </c>
    </row>
    <row r="29" spans="2:14" ht="17.600000000000001">
      <c r="B29" s="1075" t="s">
        <v>8556</v>
      </c>
      <c r="C29" s="92"/>
      <c r="D29" s="92"/>
      <c r="E29" s="92"/>
      <c r="F29" s="92"/>
      <c r="G29" s="92"/>
      <c r="H29" s="92"/>
      <c r="I29" s="92"/>
      <c r="J29" s="92"/>
      <c r="K29" s="92"/>
      <c r="L29" s="92"/>
      <c r="M29" s="91"/>
      <c r="N29" s="91">
        <v>15445833.333333332</v>
      </c>
    </row>
    <row r="30" spans="2:14" ht="17.600000000000001">
      <c r="B30" s="1075" t="s">
        <v>8490</v>
      </c>
      <c r="C30" s="92"/>
      <c r="D30" s="92"/>
      <c r="E30" s="92"/>
      <c r="F30" s="92"/>
      <c r="G30" s="92"/>
      <c r="H30" s="92"/>
      <c r="I30" s="92"/>
      <c r="J30" s="92"/>
      <c r="K30" s="92"/>
      <c r="L30" s="92"/>
      <c r="M30" s="91"/>
      <c r="N30" s="91">
        <v>70000000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C9AD1-9D77-4878-824C-D32E2DA8B9E7}">
  <sheetPr>
    <tabColor rgb="FF002060"/>
    <outlinePr summaryBelow="0" summaryRight="0"/>
  </sheetPr>
  <dimension ref="A1:Z142"/>
  <sheetViews>
    <sheetView tabSelected="1" topLeftCell="D5" zoomScale="58" zoomScaleNormal="100" workbookViewId="0">
      <selection activeCell="L24" sqref="L24"/>
    </sheetView>
  </sheetViews>
  <sheetFormatPr defaultColWidth="14.3828125" defaultRowHeight="15" customHeight="1"/>
  <cols>
    <col min="1" max="2" width="0" style="6" hidden="1" customWidth="1"/>
    <col min="3" max="3" width="9.15234375" hidden="1" customWidth="1"/>
    <col min="4" max="4" width="3.15234375" style="6" customWidth="1"/>
    <col min="5" max="5" width="22.3046875" style="6" bestFit="1" customWidth="1"/>
    <col min="6" max="6" width="32.15234375" customWidth="1"/>
    <col min="7" max="7" width="9.84375" customWidth="1"/>
    <col min="8" max="8" width="16.53515625" bestFit="1" customWidth="1"/>
    <col min="9" max="9" width="17.69140625" style="6" bestFit="1" customWidth="1"/>
    <col min="10" max="10" width="16.53515625" bestFit="1" customWidth="1"/>
    <col min="11" max="11" width="17.3046875" bestFit="1" customWidth="1"/>
    <col min="12" max="12" width="23" customWidth="1"/>
    <col min="13" max="13" width="22.69140625" customWidth="1"/>
    <col min="14" max="14" width="22" customWidth="1"/>
    <col min="15" max="15" width="25.69140625" customWidth="1"/>
    <col min="16" max="16" width="24.3046875" bestFit="1" customWidth="1"/>
    <col min="17" max="17" width="22.84375" bestFit="1" customWidth="1"/>
    <col min="18" max="18" width="23.3046875" bestFit="1" customWidth="1"/>
    <col min="19" max="19" width="2.15234375" style="107" customWidth="1"/>
    <col min="20" max="20" width="23.3828125" customWidth="1"/>
    <col min="21" max="21" width="2.3828125" style="6" customWidth="1"/>
    <col min="22" max="22" width="24.3828125" style="6" bestFit="1" customWidth="1"/>
    <col min="23" max="26" width="14.3828125" style="6"/>
  </cols>
  <sheetData>
    <row r="1" spans="1:24" s="6" customFormat="1" ht="15" customHeight="1"/>
    <row r="2" spans="1:24" s="6" customFormat="1" ht="15" customHeight="1">
      <c r="J2" s="2"/>
    </row>
    <row r="3" spans="1:24" s="6" customFormat="1" ht="15.75" customHeight="1">
      <c r="C3" s="1"/>
      <c r="D3" s="1"/>
      <c r="E3" s="1"/>
      <c r="F3" s="1"/>
      <c r="G3" s="1"/>
      <c r="I3" s="2"/>
      <c r="J3" s="2"/>
      <c r="K3" s="93"/>
      <c r="L3" s="2"/>
      <c r="R3" s="2"/>
      <c r="S3" s="2"/>
    </row>
    <row r="4" spans="1:24" s="6" customFormat="1" ht="15.75" customHeight="1" thickBot="1">
      <c r="C4" s="1"/>
      <c r="D4" s="1"/>
      <c r="E4" s="1"/>
      <c r="F4" s="3"/>
      <c r="G4" s="3"/>
      <c r="H4" s="70"/>
      <c r="J4" s="2"/>
    </row>
    <row r="5" spans="1:24" ht="28.5" customHeight="1" thickBot="1">
      <c r="C5" s="1"/>
      <c r="D5" s="1"/>
      <c r="E5" s="911"/>
      <c r="F5" s="911"/>
      <c r="G5" s="911"/>
      <c r="H5" s="912">
        <v>45292</v>
      </c>
      <c r="I5" s="913">
        <v>45323</v>
      </c>
      <c r="J5" s="914">
        <v>45352</v>
      </c>
      <c r="K5" s="913">
        <v>45383</v>
      </c>
      <c r="L5" s="913">
        <v>45413</v>
      </c>
      <c r="M5" s="914">
        <v>45444</v>
      </c>
      <c r="N5" s="913">
        <v>45474</v>
      </c>
      <c r="O5" s="913">
        <v>45505</v>
      </c>
      <c r="P5" s="914">
        <v>45536</v>
      </c>
      <c r="Q5" s="913">
        <v>45566</v>
      </c>
      <c r="R5" s="913">
        <v>45597</v>
      </c>
      <c r="S5" s="913"/>
      <c r="T5" s="914">
        <v>45627</v>
      </c>
      <c r="U5" s="915"/>
      <c r="V5" s="916" t="s">
        <v>9</v>
      </c>
    </row>
    <row r="6" spans="1:24" ht="15.75" customHeight="1">
      <c r="C6" s="55" t="s">
        <v>257</v>
      </c>
      <c r="D6" s="55"/>
      <c r="E6" s="911"/>
      <c r="F6" s="917" t="s">
        <v>3107</v>
      </c>
      <c r="G6" s="948"/>
      <c r="H6" s="918">
        <f>+'6.Ventas EPC REAL'!F5</f>
        <v>0</v>
      </c>
      <c r="I6" s="918">
        <f>+'6.Ventas EPC REAL'!G5</f>
        <v>4096249600</v>
      </c>
      <c r="J6" s="918">
        <f>+'6.Ventas EPC REAL'!H5</f>
        <v>81223000</v>
      </c>
      <c r="K6" s="918">
        <f>+'6.Ventas EPC REAL'!I5</f>
        <v>1471066013</v>
      </c>
      <c r="L6" s="918">
        <f>+'6.Ventas EPC REAL'!J5</f>
        <v>3490803935</v>
      </c>
      <c r="M6" s="918">
        <f>+'6.Ventas EPC REAL'!K5</f>
        <v>239832910</v>
      </c>
      <c r="N6" s="918">
        <f>+'6.Ventas EPC REAL'!L5</f>
        <v>393193546</v>
      </c>
      <c r="O6" s="918">
        <f>+'6.Ventas EPC REAL'!M5</f>
        <v>4600027595</v>
      </c>
      <c r="P6" s="918">
        <f>+'6.Ventas EPC REAL'!N5</f>
        <v>4048500000</v>
      </c>
      <c r="Q6" s="918">
        <f>+'6.Ventas EPC REAL'!O5</f>
        <v>313400000</v>
      </c>
      <c r="R6" s="918">
        <f>+'6.Ventas EPC REAL'!P5</f>
        <v>8180600000</v>
      </c>
      <c r="S6" s="960"/>
      <c r="T6" s="918">
        <f>+'6.Ventas EPC REAL'!Q5</f>
        <v>7550000000</v>
      </c>
      <c r="U6" s="918"/>
      <c r="V6" s="918">
        <f>+SUM(H6:U6)</f>
        <v>34464896599</v>
      </c>
    </row>
    <row r="7" spans="1:24" ht="15.75" customHeight="1">
      <c r="C7" s="55"/>
      <c r="D7" s="55"/>
      <c r="E7" s="911"/>
      <c r="F7" s="917" t="s">
        <v>8077</v>
      </c>
      <c r="G7" s="917"/>
      <c r="H7" s="918">
        <f>+'6.Ventas EPC REAL'!F6</f>
        <v>0</v>
      </c>
      <c r="I7" s="918">
        <f>+'6.Ventas EPC REAL'!G6</f>
        <v>2254653000</v>
      </c>
      <c r="J7" s="918">
        <f>+'6.Ventas EPC REAL'!H6</f>
        <v>49120000</v>
      </c>
      <c r="K7" s="918">
        <f>+'6.Ventas EPC REAL'!I6</f>
        <v>1124320989.8199999</v>
      </c>
      <c r="L7" s="918">
        <f>+'6.Ventas EPC REAL'!J6</f>
        <v>2783398754.5</v>
      </c>
      <c r="M7" s="918">
        <f>+'6.Ventas EPC REAL'!K6</f>
        <v>167883037</v>
      </c>
      <c r="N7" s="918">
        <f>+'6.Ventas EPC REAL'!L6</f>
        <v>325800254.60000002</v>
      </c>
      <c r="O7" s="918">
        <f>+'6.Ventas EPC REAL'!M6</f>
        <v>3618019316.5</v>
      </c>
      <c r="P7" s="918">
        <f>+'6.Ventas EPC REAL'!N6</f>
        <v>3244500000</v>
      </c>
      <c r="Q7" s="918">
        <f>+'6.Ventas EPC REAL'!O6</f>
        <v>261340000</v>
      </c>
      <c r="R7" s="918">
        <f>+'6.Ventas EPC REAL'!P6</f>
        <v>6544480000</v>
      </c>
      <c r="S7" s="960"/>
      <c r="T7" s="918">
        <f>+'6.Ventas EPC REAL'!Q6</f>
        <v>5871204233.7069998</v>
      </c>
      <c r="U7" s="918"/>
      <c r="V7" s="918">
        <f t="shared" ref="V7:V11" si="0">+SUM(H7:U7)</f>
        <v>26244719586.126999</v>
      </c>
      <c r="X7" s="1022">
        <f>+V6+V8+V10</f>
        <v>35922352390.53167</v>
      </c>
    </row>
    <row r="8" spans="1:24" ht="15.75" customHeight="1">
      <c r="C8" s="55" t="s">
        <v>108</v>
      </c>
      <c r="D8" s="55"/>
      <c r="E8" s="911"/>
      <c r="F8" s="917" t="s">
        <v>8078</v>
      </c>
      <c r="G8" s="948"/>
      <c r="H8" s="918">
        <v>36189314.170000002</v>
      </c>
      <c r="I8" s="918">
        <v>80849259.349999994</v>
      </c>
      <c r="J8" s="918">
        <v>42062764.460000001</v>
      </c>
      <c r="K8" s="918">
        <v>59528929.189999998</v>
      </c>
      <c r="L8" s="918">
        <v>62348716.18</v>
      </c>
      <c r="M8" s="918">
        <f>+'7,Ingreso venta de energia'!H4</f>
        <v>80352244.991666868</v>
      </c>
      <c r="N8" s="918">
        <f>+'7,Ingreso venta de energia'!I4</f>
        <v>80352244.991666868</v>
      </c>
      <c r="O8" s="918">
        <f>+'7,Ingreso venta de energia'!J4</f>
        <v>82755244.991666868</v>
      </c>
      <c r="P8" s="918">
        <f>+'7,Ingreso venta de energia'!K4</f>
        <v>86455244.991666868</v>
      </c>
      <c r="Q8" s="918">
        <f>+'7,Ingreso venta de energia'!L4</f>
        <v>86455244.991666868</v>
      </c>
      <c r="R8" s="918">
        <f>+'7,Ingreso venta de energia'!M4</f>
        <v>86455244.991666868</v>
      </c>
      <c r="S8" s="960"/>
      <c r="T8" s="918">
        <f>+'7,Ingreso venta de energia'!N4</f>
        <v>86455244.991666868</v>
      </c>
      <c r="U8" s="918"/>
      <c r="V8" s="918">
        <f t="shared" si="0"/>
        <v>870259698.29166818</v>
      </c>
    </row>
    <row r="9" spans="1:24" ht="15.75" customHeight="1">
      <c r="C9" s="55" t="s">
        <v>207</v>
      </c>
      <c r="D9" s="55"/>
      <c r="E9" s="911"/>
      <c r="F9" s="917" t="s">
        <v>8079</v>
      </c>
      <c r="G9" s="917"/>
      <c r="H9" s="918"/>
      <c r="I9" s="918">
        <v>-284430</v>
      </c>
      <c r="J9" s="918">
        <v>-6339151.8119999999</v>
      </c>
      <c r="K9" s="918">
        <v>5757560.9966666698</v>
      </c>
      <c r="L9" s="918">
        <v>2927571</v>
      </c>
      <c r="M9" s="918">
        <v>4166666.6666666665</v>
      </c>
      <c r="N9" s="918">
        <v>4166666.6666666665</v>
      </c>
      <c r="O9" s="918">
        <v>4166666.6666666665</v>
      </c>
      <c r="P9" s="918">
        <v>4166666.6666666665</v>
      </c>
      <c r="Q9" s="918">
        <v>4166666.6666666665</v>
      </c>
      <c r="R9" s="918">
        <v>4166666.6666666665</v>
      </c>
      <c r="S9" s="960"/>
      <c r="T9" s="918">
        <v>4166666.6666666665</v>
      </c>
      <c r="U9" s="918"/>
      <c r="V9" s="918">
        <f t="shared" si="0"/>
        <v>31228216.851333339</v>
      </c>
    </row>
    <row r="10" spans="1:24" ht="15.75" customHeight="1">
      <c r="A10" s="58" t="s">
        <v>8050</v>
      </c>
      <c r="B10" s="58" t="s">
        <v>8099</v>
      </c>
      <c r="C10" s="55" t="s">
        <v>8100</v>
      </c>
      <c r="D10" s="55"/>
      <c r="E10" s="911"/>
      <c r="F10" s="917" t="s">
        <v>8557</v>
      </c>
      <c r="G10" s="948"/>
      <c r="H10" s="918">
        <v>6362819</v>
      </c>
      <c r="I10" s="918">
        <v>12581863</v>
      </c>
      <c r="J10" s="918">
        <v>12569848.050000001</v>
      </c>
      <c r="K10" s="12">
        <v>31145343.190000001</v>
      </c>
      <c r="L10" s="918">
        <v>24875670</v>
      </c>
      <c r="M10" s="918">
        <f>+'8, Granjas'!H12</f>
        <v>25837499.999999996</v>
      </c>
      <c r="N10" s="918">
        <f>+'8, Granjas'!I12</f>
        <v>44329050</v>
      </c>
      <c r="O10" s="918">
        <f>+'8, Granjas'!J12</f>
        <v>50801966.666666657</v>
      </c>
      <c r="P10" s="918">
        <f>+'8, Granjas'!K12</f>
        <v>50801966.666666657</v>
      </c>
      <c r="Q10" s="918">
        <f>+'8, Granjas'!L12</f>
        <v>72333633.333333313</v>
      </c>
      <c r="R10" s="918">
        <f>+'8, Granjas'!M12</f>
        <v>83099466.666666642</v>
      </c>
      <c r="S10" s="960"/>
      <c r="T10" s="918">
        <f>+'8, Granjas'!N12</f>
        <v>172456966.66666663</v>
      </c>
      <c r="U10" s="918"/>
      <c r="V10" s="918">
        <f t="shared" si="0"/>
        <v>587196093.23999989</v>
      </c>
    </row>
    <row r="11" spans="1:24" ht="15.75" customHeight="1">
      <c r="A11" s="58"/>
      <c r="B11" s="58"/>
      <c r="C11" s="55"/>
      <c r="D11" s="55"/>
      <c r="E11" s="911"/>
      <c r="F11" s="917" t="s">
        <v>8558</v>
      </c>
      <c r="G11" s="917"/>
      <c r="H11" s="918"/>
      <c r="I11" s="918"/>
      <c r="J11" s="918"/>
      <c r="K11" s="918">
        <v>21385195</v>
      </c>
      <c r="L11" s="918">
        <v>2810466.6666660002</v>
      </c>
      <c r="M11" s="918">
        <f>+'8, Granjas'!H69</f>
        <v>18337208.611111112</v>
      </c>
      <c r="N11" s="918">
        <f>+'8, Granjas'!I69</f>
        <v>35158605.277777776</v>
      </c>
      <c r="O11" s="918">
        <f>+'8, Granjas'!J69</f>
        <v>23131507.77777778</v>
      </c>
      <c r="P11" s="918">
        <f>+'8, Granjas'!K69</f>
        <v>28649127.77777778</v>
      </c>
      <c r="Q11" s="918">
        <f>+'8, Granjas'!L69</f>
        <v>37370524.444444448</v>
      </c>
      <c r="R11" s="918">
        <f>+'8, Granjas'!M69</f>
        <v>36852904.44444444</v>
      </c>
      <c r="S11" s="960"/>
      <c r="T11" s="918">
        <f>+'8, Granjas'!N69</f>
        <v>73162401.111111104</v>
      </c>
      <c r="U11" s="918"/>
      <c r="V11" s="918">
        <f t="shared" si="0"/>
        <v>276857941.11111045</v>
      </c>
    </row>
    <row r="12" spans="1:24" ht="15.75" customHeight="1">
      <c r="C12" s="1"/>
      <c r="D12" s="1"/>
      <c r="E12" s="911"/>
      <c r="F12" s="919" t="s">
        <v>8082</v>
      </c>
      <c r="G12" s="920"/>
      <c r="H12" s="947">
        <f>+H6-H7+H8-H9+H10</f>
        <v>42552133.170000002</v>
      </c>
      <c r="I12" s="947">
        <f t="shared" ref="I12" si="1">+I6-I7+I8-I9+I10</f>
        <v>1935312152.3499999</v>
      </c>
      <c r="J12" s="947">
        <f>+J6-J7+J8-J9+J10</f>
        <v>93074764.322000012</v>
      </c>
      <c r="K12" s="947">
        <f>+K6-K7+K8-K9+K10-K11</f>
        <v>410276539.56333339</v>
      </c>
      <c r="L12" s="947">
        <f>+L6-L7+L8-L9+L10-L11</f>
        <v>788891529.01333392</v>
      </c>
      <c r="M12" s="947">
        <f t="shared" ref="M12" si="2">+M6-M7+M8-M9+M10-M11</f>
        <v>155635742.71388909</v>
      </c>
      <c r="N12" s="947">
        <f t="shared" ref="N12:R12" si="3">+N6-N7+N8-N9+N10-N11</f>
        <v>152749314.44722241</v>
      </c>
      <c r="O12" s="947">
        <f t="shared" si="3"/>
        <v>1088267315.7138894</v>
      </c>
      <c r="P12" s="947">
        <f t="shared" si="3"/>
        <v>908441417.21388912</v>
      </c>
      <c r="Q12" s="947">
        <f t="shared" si="3"/>
        <v>169311687.21388906</v>
      </c>
      <c r="R12" s="947">
        <f t="shared" si="3"/>
        <v>1764655140.5472224</v>
      </c>
      <c r="S12" s="947"/>
      <c r="T12" s="947">
        <f>+T6-T7+T8-T9+T10-T11</f>
        <v>1860378910.1735559</v>
      </c>
      <c r="U12" s="918"/>
      <c r="V12" s="947">
        <f>+V6-V7+V8-V9+V10-V11</f>
        <v>9369546646.4422245</v>
      </c>
    </row>
    <row r="13" spans="1:24" ht="19.5" customHeight="1">
      <c r="C13" s="54" t="s">
        <v>104</v>
      </c>
      <c r="D13" s="54"/>
      <c r="E13" s="921"/>
      <c r="F13" s="922" t="s">
        <v>6134</v>
      </c>
      <c r="G13" s="948"/>
      <c r="H13" s="918">
        <v>110308637.639667</v>
      </c>
      <c r="I13" s="918">
        <v>207905154.30444443</v>
      </c>
      <c r="J13" s="918">
        <v>138385026.09</v>
      </c>
      <c r="K13" s="918">
        <v>139802761.943333</v>
      </c>
      <c r="L13" s="918">
        <v>169174061.24000001</v>
      </c>
      <c r="M13" s="918">
        <f>'1.Adm-Ven-imp'!H25</f>
        <v>139700000</v>
      </c>
      <c r="N13" s="918">
        <f>'1.Adm-Ven-imp'!I25</f>
        <v>174700000</v>
      </c>
      <c r="O13" s="918">
        <f>'1.Adm-Ven-imp'!J25</f>
        <v>139700000</v>
      </c>
      <c r="P13" s="918">
        <f>'1.Adm-Ven-imp'!K25</f>
        <v>139700000</v>
      </c>
      <c r="Q13" s="918">
        <f>'1.Adm-Ven-imp'!L25</f>
        <v>139700000</v>
      </c>
      <c r="R13" s="918">
        <f>'1.Adm-Ven-imp'!M25</f>
        <v>154700000</v>
      </c>
      <c r="S13" s="960"/>
      <c r="T13" s="918">
        <f>'1.Adm-Ven-imp'!N25</f>
        <v>169700000</v>
      </c>
      <c r="U13" s="918"/>
      <c r="V13" s="918">
        <f>+SUM(H13:U13)</f>
        <v>1823475641.2174444</v>
      </c>
    </row>
    <row r="14" spans="1:24" ht="15.75" customHeight="1">
      <c r="C14" s="14"/>
      <c r="D14" s="14"/>
      <c r="E14" s="921"/>
      <c r="F14" s="917" t="s">
        <v>8084</v>
      </c>
      <c r="G14" s="917"/>
      <c r="H14" s="948">
        <v>7541737.2638211399</v>
      </c>
      <c r="I14" s="948">
        <v>13033724.961317565</v>
      </c>
      <c r="J14" s="948">
        <v>24455360.2387794</v>
      </c>
      <c r="K14" s="948">
        <v>14784909.896669099</v>
      </c>
      <c r="L14" s="948">
        <v>7264177.9300240204</v>
      </c>
      <c r="M14" s="948">
        <f>+L14</f>
        <v>7264177.9300240204</v>
      </c>
      <c r="N14" s="948">
        <v>10000000</v>
      </c>
      <c r="O14" s="948">
        <f>+N14</f>
        <v>10000000</v>
      </c>
      <c r="P14" s="948">
        <v>10000001</v>
      </c>
      <c r="Q14" s="948">
        <f t="shared" ref="Q14" si="4">+P14</f>
        <v>10000001</v>
      </c>
      <c r="R14" s="948">
        <v>10000002</v>
      </c>
      <c r="S14" s="961"/>
      <c r="T14" s="948">
        <f t="shared" ref="T14" si="5">+R14</f>
        <v>10000002</v>
      </c>
      <c r="U14" s="918"/>
      <c r="V14" s="918">
        <f>+SUM(H14:U14)</f>
        <v>134344094.22063524</v>
      </c>
    </row>
    <row r="15" spans="1:24" ht="15.65" customHeight="1">
      <c r="C15" s="54" t="s">
        <v>118</v>
      </c>
      <c r="D15" s="54"/>
      <c r="E15" s="921"/>
      <c r="F15" s="917" t="s">
        <v>8085</v>
      </c>
      <c r="G15" s="917"/>
      <c r="H15" s="948">
        <v>6913359</v>
      </c>
      <c r="I15" s="948">
        <v>9157673.4000000004</v>
      </c>
      <c r="J15" s="948">
        <v>9939644.7200000007</v>
      </c>
      <c r="K15" s="948">
        <v>8789207.2799999993</v>
      </c>
      <c r="L15" s="948">
        <v>37526625</v>
      </c>
      <c r="M15" s="948">
        <f>+'5. Deuda'!I3</f>
        <v>57848749</v>
      </c>
      <c r="N15" s="948">
        <f>+'5. Deuda'!J3</f>
        <v>57681671</v>
      </c>
      <c r="O15" s="948">
        <f>+'5. Deuda'!K3</f>
        <v>74514128</v>
      </c>
      <c r="P15" s="948">
        <f>+'5. Deuda'!L3</f>
        <v>74346114</v>
      </c>
      <c r="Q15" s="948">
        <f>+'5. Deuda'!M3</f>
        <v>74177625</v>
      </c>
      <c r="R15" s="948">
        <f>+'5. Deuda'!N3</f>
        <v>74008653</v>
      </c>
      <c r="S15" s="961"/>
      <c r="T15" s="948">
        <f>+'5. Deuda'!O3</f>
        <v>73839195</v>
      </c>
      <c r="U15" s="918"/>
      <c r="V15" s="918">
        <f t="shared" ref="V15:V30" si="6">+SUM(H15:U15)</f>
        <v>558742644.39999998</v>
      </c>
    </row>
    <row r="16" spans="1:24" ht="15.75" customHeight="1" thickBot="1">
      <c r="C16" s="54" t="s">
        <v>8427</v>
      </c>
      <c r="D16" s="54"/>
      <c r="E16" s="921"/>
      <c r="F16" s="917" t="s">
        <v>8086</v>
      </c>
      <c r="G16" s="917"/>
      <c r="H16" s="948">
        <v>39719135.303733297</v>
      </c>
      <c r="I16" s="948">
        <v>74575013.159555599</v>
      </c>
      <c r="J16" s="948">
        <v>56734087.100000001</v>
      </c>
      <c r="K16" s="948">
        <v>64368116.020000003</v>
      </c>
      <c r="L16" s="948">
        <v>64473853.283333302</v>
      </c>
      <c r="M16" s="948">
        <f>+'1.Adm-Ven-imp'!H41</f>
        <v>50450000</v>
      </c>
      <c r="N16" s="948">
        <f>+'1.Adm-Ven-imp'!I41</f>
        <v>60450000</v>
      </c>
      <c r="O16" s="948">
        <f>+'1.Adm-Ven-imp'!J41</f>
        <v>50450000</v>
      </c>
      <c r="P16" s="948">
        <f>+'1.Adm-Ven-imp'!K41</f>
        <v>50450000</v>
      </c>
      <c r="Q16" s="948">
        <f>+'1.Adm-Ven-imp'!L41</f>
        <v>50450000</v>
      </c>
      <c r="R16" s="948">
        <f>+'1.Adm-Ven-imp'!M41</f>
        <v>50450000</v>
      </c>
      <c r="S16" s="961"/>
      <c r="T16" s="948">
        <f>+'1.Adm-Ven-imp'!N41</f>
        <v>60450000</v>
      </c>
      <c r="U16" s="918"/>
      <c r="V16" s="918">
        <f t="shared" si="6"/>
        <v>673020204.86662221</v>
      </c>
    </row>
    <row r="17" spans="1:25" ht="15.75" customHeight="1" thickBot="1">
      <c r="C17" s="1"/>
      <c r="D17" s="1"/>
      <c r="E17" s="911"/>
      <c r="F17" s="1018" t="s">
        <v>8559</v>
      </c>
      <c r="G17" s="920"/>
      <c r="H17" s="1016">
        <f>+H12-H13-H14-H15-H16</f>
        <v>-121930736.03722143</v>
      </c>
      <c r="I17" s="949">
        <f>+I12-I13-I14-I15-I16</f>
        <v>1630640586.5246823</v>
      </c>
      <c r="J17" s="949">
        <f t="shared" ref="J17:T17" si="7">+J12-J13-J14-J15-J16</f>
        <v>-136439353.8267794</v>
      </c>
      <c r="K17" s="949">
        <f>+K12-K13-K14-K15-K16</f>
        <v>182531544.42333126</v>
      </c>
      <c r="L17" s="949">
        <f>+L12-L13-L14-L15-L16</f>
        <v>510452811.55997658</v>
      </c>
      <c r="M17" s="949">
        <f t="shared" si="7"/>
        <v>-99627184.216134936</v>
      </c>
      <c r="N17" s="949">
        <f t="shared" si="7"/>
        <v>-150082356.55277759</v>
      </c>
      <c r="O17" s="949">
        <f t="shared" si="7"/>
        <v>813603187.71388936</v>
      </c>
      <c r="P17" s="949">
        <f t="shared" si="7"/>
        <v>633945302.21388912</v>
      </c>
      <c r="Q17" s="949">
        <f t="shared" si="7"/>
        <v>-105015938.78611094</v>
      </c>
      <c r="R17" s="949">
        <f t="shared" si="7"/>
        <v>1475496485.5472224</v>
      </c>
      <c r="S17" s="962"/>
      <c r="T17" s="963">
        <f t="shared" si="7"/>
        <v>1546389713.1735559</v>
      </c>
      <c r="U17" s="918"/>
      <c r="V17" s="963">
        <f>+V12-V13-V14-V15-V16</f>
        <v>6179964061.7375231</v>
      </c>
    </row>
    <row r="18" spans="1:25" ht="15.75" customHeight="1">
      <c r="C18" s="1"/>
      <c r="D18" s="1"/>
      <c r="E18" s="911"/>
      <c r="F18" s="1019" t="s">
        <v>8088</v>
      </c>
      <c r="G18" s="917"/>
      <c r="H18" s="950"/>
      <c r="I18" s="950"/>
      <c r="J18" s="950"/>
      <c r="K18" s="950"/>
      <c r="L18" s="950"/>
      <c r="M18" s="950"/>
      <c r="N18" s="950"/>
      <c r="O18" s="950"/>
      <c r="P18" s="950"/>
      <c r="Q18" s="950"/>
      <c r="R18" s="950"/>
      <c r="S18" s="961"/>
      <c r="T18" s="950"/>
      <c r="U18" s="918"/>
      <c r="V18" s="950">
        <f t="shared" si="6"/>
        <v>0</v>
      </c>
    </row>
    <row r="19" spans="1:25" ht="15.75" customHeight="1">
      <c r="C19" s="1"/>
      <c r="D19" s="1"/>
      <c r="E19" s="911"/>
      <c r="F19" s="1019" t="s">
        <v>8089</v>
      </c>
      <c r="G19" s="917"/>
      <c r="H19" s="950"/>
      <c r="I19" s="950"/>
      <c r="J19" s="950"/>
      <c r="K19" s="950"/>
      <c r="L19" s="950"/>
      <c r="M19" s="950"/>
      <c r="N19" s="950"/>
      <c r="O19" s="950"/>
      <c r="P19" s="950"/>
      <c r="Q19" s="950"/>
      <c r="R19" s="950"/>
      <c r="S19" s="961"/>
      <c r="T19" s="950"/>
      <c r="U19" s="918"/>
      <c r="V19" s="950">
        <f t="shared" si="6"/>
        <v>0</v>
      </c>
    </row>
    <row r="20" spans="1:25" ht="15.75" customHeight="1" thickBot="1">
      <c r="C20" s="1"/>
      <c r="D20" s="1"/>
      <c r="E20" s="911"/>
      <c r="F20" s="1019" t="s">
        <v>8090</v>
      </c>
      <c r="G20" s="917"/>
      <c r="H20" s="950"/>
      <c r="I20" s="950"/>
      <c r="J20" s="950"/>
      <c r="K20" s="950"/>
      <c r="L20" s="950"/>
      <c r="M20" s="950"/>
      <c r="N20" s="950"/>
      <c r="O20" s="950"/>
      <c r="P20" s="950"/>
      <c r="Q20" s="950"/>
      <c r="R20" s="950"/>
      <c r="S20" s="961"/>
      <c r="T20" s="950"/>
      <c r="U20" s="918"/>
      <c r="V20" s="950">
        <f t="shared" si="6"/>
        <v>0</v>
      </c>
    </row>
    <row r="21" spans="1:25" ht="15.75" customHeight="1">
      <c r="C21" s="14"/>
      <c r="D21" s="14"/>
      <c r="E21" s="921"/>
      <c r="F21" s="1020" t="s">
        <v>8091</v>
      </c>
      <c r="G21" s="920"/>
      <c r="H21" s="951">
        <f t="shared" ref="H21:R21" si="8">+SUM(H17:H20)</f>
        <v>-121930736.03722143</v>
      </c>
      <c r="I21" s="951">
        <f>+SUM(I17:I20)</f>
        <v>1630640586.5246823</v>
      </c>
      <c r="J21" s="951">
        <f t="shared" si="8"/>
        <v>-136439353.8267794</v>
      </c>
      <c r="K21" s="951">
        <f t="shared" si="8"/>
        <v>182531544.42333126</v>
      </c>
      <c r="L21" s="951">
        <f t="shared" si="8"/>
        <v>510452811.55997658</v>
      </c>
      <c r="M21" s="951">
        <f t="shared" si="8"/>
        <v>-99627184.216134936</v>
      </c>
      <c r="N21" s="951">
        <f>+SUM(N17:N20)</f>
        <v>-150082356.55277759</v>
      </c>
      <c r="O21" s="951">
        <f>+SUM(O17:O20)</f>
        <v>813603187.71388936</v>
      </c>
      <c r="P21" s="951">
        <f>+SUM(P17:P20)</f>
        <v>633945302.21388912</v>
      </c>
      <c r="Q21" s="951">
        <f>+SUM(Q17:Q20)</f>
        <v>-105015938.78611094</v>
      </c>
      <c r="R21" s="951">
        <f t="shared" si="8"/>
        <v>1475496485.5472224</v>
      </c>
      <c r="S21" s="964"/>
      <c r="T21" s="951">
        <f>+SUM(T17:T20)</f>
        <v>1546389713.1735559</v>
      </c>
      <c r="U21" s="918"/>
      <c r="V21" s="1011">
        <f>+SUM(V17:V20)</f>
        <v>6179964061.7375231</v>
      </c>
    </row>
    <row r="22" spans="1:25" ht="15.75" customHeight="1">
      <c r="C22" s="14"/>
      <c r="D22" s="14"/>
      <c r="E22" s="921"/>
      <c r="F22" s="1019" t="s">
        <v>8092</v>
      </c>
      <c r="G22" s="917"/>
      <c r="H22" s="952"/>
      <c r="I22" s="952"/>
      <c r="J22" s="952"/>
      <c r="K22" s="952"/>
      <c r="L22" s="952"/>
      <c r="M22" s="952"/>
      <c r="N22" s="952"/>
      <c r="O22" s="952"/>
      <c r="P22" s="952"/>
      <c r="Q22" s="952"/>
      <c r="R22" s="952"/>
      <c r="S22" s="960"/>
      <c r="T22" s="952"/>
      <c r="U22" s="918"/>
      <c r="V22" s="1012">
        <f t="shared" si="6"/>
        <v>0</v>
      </c>
    </row>
    <row r="23" spans="1:25" ht="33" customHeight="1" thickBot="1">
      <c r="C23" s="14"/>
      <c r="D23" s="14"/>
      <c r="E23" s="921"/>
      <c r="F23" s="1021" t="s">
        <v>8093</v>
      </c>
      <c r="G23" s="920"/>
      <c r="H23" s="953">
        <f>H21+H22</f>
        <v>-121930736.03722143</v>
      </c>
      <c r="I23" s="953">
        <f>I21+I22</f>
        <v>1630640586.5246823</v>
      </c>
      <c r="J23" s="965">
        <f>J21+J22</f>
        <v>-136439353.8267794</v>
      </c>
      <c r="K23" s="966">
        <f t="shared" ref="K23:N23" si="9">K21+K22</f>
        <v>182531544.42333126</v>
      </c>
      <c r="L23" s="966">
        <f t="shared" si="9"/>
        <v>510452811.55997658</v>
      </c>
      <c r="M23" s="966">
        <f t="shared" si="9"/>
        <v>-99627184.216134936</v>
      </c>
      <c r="N23" s="966">
        <f t="shared" si="9"/>
        <v>-150082356.55277759</v>
      </c>
      <c r="O23" s="966">
        <f>O21+O22</f>
        <v>813603187.71388936</v>
      </c>
      <c r="P23" s="966">
        <f>P21+P22</f>
        <v>633945302.21388912</v>
      </c>
      <c r="Q23" s="966">
        <f>Q21+Q22</f>
        <v>-105015938.78611094</v>
      </c>
      <c r="R23" s="966">
        <f>R21+R22</f>
        <v>1475496485.5472224</v>
      </c>
      <c r="S23" s="967"/>
      <c r="T23" s="966">
        <f>T21+T22</f>
        <v>1546389713.1735559</v>
      </c>
      <c r="U23" s="918"/>
      <c r="V23" s="1013">
        <f>V21+V22</f>
        <v>6179964061.7375231</v>
      </c>
    </row>
    <row r="24" spans="1:25" ht="15.75" customHeight="1" thickBot="1">
      <c r="C24" s="14"/>
      <c r="D24" s="14"/>
      <c r="E24" s="1225" t="s">
        <v>8560</v>
      </c>
      <c r="F24" s="944" t="s">
        <v>8561</v>
      </c>
      <c r="H24" s="954"/>
      <c r="I24" s="968">
        <f>+'Inversión granjas'!E5</f>
        <v>-447350000</v>
      </c>
      <c r="J24" s="968">
        <f>+'Inversión granjas'!F5</f>
        <v>-355000000</v>
      </c>
      <c r="K24" s="968">
        <v>-647153521</v>
      </c>
      <c r="L24" s="968">
        <f>+'Inversión granjas'!H5</f>
        <v>-582150704</v>
      </c>
      <c r="M24" s="968">
        <f>+'Inversión granjas'!I5</f>
        <v>-836300704</v>
      </c>
      <c r="N24" s="968">
        <f>+'Inversión granjas'!J5</f>
        <v>-557350704</v>
      </c>
      <c r="O24" s="968">
        <f>+'Inversión granjas'!K5</f>
        <v>-477601408</v>
      </c>
      <c r="P24" s="968">
        <f>+'Inversión granjas'!L5</f>
        <v>-458875000</v>
      </c>
      <c r="Q24" s="968">
        <f>+'Inversión granjas'!M5</f>
        <v>-207250000</v>
      </c>
      <c r="R24" s="968">
        <f>+'Inversión granjas'!N5</f>
        <v>-14750000</v>
      </c>
      <c r="S24" s="968"/>
      <c r="T24" s="969">
        <f>+'Inversión granjas'!O5</f>
        <v>-14750000</v>
      </c>
      <c r="U24" s="985"/>
      <c r="V24" s="970">
        <f>+SUM(H24:U24)</f>
        <v>-4598532041</v>
      </c>
      <c r="Y24" s="1022">
        <f>+V24+V25</f>
        <v>-8523773056.5780001</v>
      </c>
    </row>
    <row r="25" spans="1:25" ht="15" customHeight="1" thickBot="1">
      <c r="C25" s="14"/>
      <c r="D25" s="14"/>
      <c r="E25" s="1226"/>
      <c r="F25" s="944" t="s">
        <v>8562</v>
      </c>
      <c r="G25" s="920"/>
      <c r="H25" s="955">
        <f>+'4 EPC - MINI GRANJAS - CAPEX'!F178</f>
        <v>-237644606</v>
      </c>
      <c r="I25" s="971">
        <f>+'4 EPC - MINI GRANJAS - CAPEX'!G178</f>
        <v>-8190000</v>
      </c>
      <c r="J25" s="971">
        <f>+'4 EPC - MINI GRANJAS - CAPEX'!H178</f>
        <v>-580820898.57799995</v>
      </c>
      <c r="K25" s="971">
        <f>+'4 EPC - MINI GRANJAS - CAPEX'!I178</f>
        <v>-287585511</v>
      </c>
      <c r="L25" s="971">
        <f>+'4 EPC - MINI GRANJAS - CAPEX'!J178</f>
        <v>0</v>
      </c>
      <c r="M25" s="971">
        <f>+'4 EPC - MINI GRANJAS - CAPEX'!K178</f>
        <v>0</v>
      </c>
      <c r="N25" s="971">
        <f>+'4 EPC - MINI GRANJAS - CAPEX'!L178</f>
        <v>-539750000</v>
      </c>
      <c r="O25" s="971">
        <f>+'4 EPC - MINI GRANJAS - CAPEX'!M178</f>
        <v>-802000000</v>
      </c>
      <c r="P25" s="971">
        <f>+'4 EPC - MINI GRANJAS - CAPEX'!N178</f>
        <v>-529500000</v>
      </c>
      <c r="Q25" s="971">
        <f>+'4 EPC - MINI GRANJAS - CAPEX'!O178</f>
        <v>0</v>
      </c>
      <c r="R25" s="971">
        <f>+'4 EPC - MINI GRANJAS - CAPEX'!P178</f>
        <v>0</v>
      </c>
      <c r="S25" s="971">
        <f>+'4 EPC - MINI GRANJAS - CAPEX'!Q178</f>
        <v>-939750000</v>
      </c>
      <c r="T25" s="972">
        <f>+'4 EPC - MINI GRANJAS - CAPEX'!R178</f>
        <v>0</v>
      </c>
      <c r="U25" s="985"/>
      <c r="V25" s="973">
        <f>+SUM(H25:U25)</f>
        <v>-3925241015.5780001</v>
      </c>
    </row>
    <row r="26" spans="1:25" s="6" customFormat="1" ht="15.75" customHeight="1" thickBot="1">
      <c r="C26" s="893" t="s">
        <v>8097</v>
      </c>
      <c r="D26" s="14"/>
      <c r="E26" s="1226"/>
      <c r="F26" s="945" t="s">
        <v>8098</v>
      </c>
      <c r="G26" s="917"/>
      <c r="H26" s="1007">
        <v>-35108873.246888898</v>
      </c>
      <c r="I26" s="1008">
        <f>+'4 EPC - MINI GRANJAS - CAPEX'!G7</f>
        <v>-88693480.168148145</v>
      </c>
      <c r="J26" s="1008">
        <f>+'4 EPC - MINI GRANJAS - CAPEX'!H7</f>
        <v>-96135904.069999993</v>
      </c>
      <c r="K26" s="1008">
        <f>+'4 EPC - MINI GRANJAS - CAPEX'!I109</f>
        <v>-166528804</v>
      </c>
      <c r="L26" s="1008">
        <f>+'4 EPC - MINI GRANJAS - CAPEX'!J7</f>
        <v>-228878937.93000001</v>
      </c>
      <c r="M26" s="1008">
        <f>+'4 EPC - MINI GRANJAS - CAPEX'!K7</f>
        <v>-200353851.41999999</v>
      </c>
      <c r="N26" s="1008">
        <f>+'4 EPC - MINI GRANJAS - CAPEX'!L7</f>
        <v>-128717791.24000001</v>
      </c>
      <c r="O26" s="1008">
        <f>+'4 EPC - MINI GRANJAS - CAPEX'!M7</f>
        <v>-9167316.3500000015</v>
      </c>
      <c r="P26" s="1008">
        <f>+'4 EPC - MINI GRANJAS - CAPEX'!N7</f>
        <v>0</v>
      </c>
      <c r="Q26" s="1008">
        <f>+'4 EPC - MINI GRANJAS - CAPEX'!O7</f>
        <v>0</v>
      </c>
      <c r="R26" s="1008">
        <f>+'4 EPC - MINI GRANJAS - CAPEX'!P7</f>
        <v>0</v>
      </c>
      <c r="S26" s="1008"/>
      <c r="T26" s="1009">
        <f>+'4 EPC - MINI GRANJAS - CAPEX'!Q7</f>
        <v>0</v>
      </c>
      <c r="U26" s="985"/>
      <c r="V26" s="1006">
        <f t="shared" si="6"/>
        <v>-953584958.42503703</v>
      </c>
    </row>
    <row r="27" spans="1:25" s="6" customFormat="1" ht="15.75" customHeight="1" thickBot="1">
      <c r="A27" s="58"/>
      <c r="B27" s="58"/>
      <c r="C27" s="894"/>
      <c r="D27" s="55"/>
      <c r="E27" s="1017" t="s">
        <v>8563</v>
      </c>
      <c r="F27" s="943" t="s">
        <v>8564</v>
      </c>
      <c r="G27" s="917"/>
      <c r="H27" s="998">
        <f>-213519372+140988644.95-49276123.18</f>
        <v>-121806850.23000002</v>
      </c>
      <c r="I27" s="956">
        <f>+'4 EPC - MINI GRANJAS - CAPEX'!G6</f>
        <v>22701972.155555673</v>
      </c>
      <c r="J27" s="956">
        <f>+'4 EPC - MINI GRANJAS - CAPEX'!H6</f>
        <v>1812107.6803667024</v>
      </c>
      <c r="K27" s="956">
        <f>+'4 EPC - MINI GRANJAS - CAPEX'!I12</f>
        <v>-45384967</v>
      </c>
      <c r="L27" s="956">
        <f>+'4 EPC - MINI GRANJAS - CAPEX'!J6</f>
        <v>42844208</v>
      </c>
      <c r="M27" s="956">
        <f>+'4 EPC - MINI GRANJAS - CAPEX'!K6</f>
        <v>-288862059.76999998</v>
      </c>
      <c r="N27" s="956">
        <f>+'4 EPC - MINI GRANJAS - CAPEX'!L6</f>
        <v>167125235.04999998</v>
      </c>
      <c r="O27" s="956">
        <f>+'4 EPC - MINI GRANJAS - CAPEX'!M6</f>
        <v>433690124.39999998</v>
      </c>
      <c r="P27" s="956">
        <f>+'4 EPC - MINI GRANJAS - CAPEX'!N6</f>
        <v>7773648</v>
      </c>
      <c r="Q27" s="956">
        <f>+'4 EPC - MINI GRANJAS - CAPEX'!O6</f>
        <v>0</v>
      </c>
      <c r="R27" s="956">
        <f>+'4 EPC - MINI GRANJAS - CAPEX'!P6</f>
        <v>0</v>
      </c>
      <c r="S27" s="974"/>
      <c r="T27" s="999">
        <f>+'4 EPC - MINI GRANJAS - CAPEX'!Q6</f>
        <v>0</v>
      </c>
      <c r="U27" s="918"/>
      <c r="V27" s="975">
        <f t="shared" si="6"/>
        <v>219893418.28592232</v>
      </c>
    </row>
    <row r="28" spans="1:25" s="6" customFormat="1" ht="15.75" customHeight="1" thickBot="1">
      <c r="A28" s="58"/>
      <c r="B28" s="58"/>
      <c r="C28" s="894"/>
      <c r="D28" s="55"/>
      <c r="E28" s="1223" t="s">
        <v>8565</v>
      </c>
      <c r="F28" s="941" t="s">
        <v>8565</v>
      </c>
      <c r="G28" s="917"/>
      <c r="H28" s="1000">
        <f>498069870-'4 EPC - MINI GRANJAS - CAPEX'!F178</f>
        <v>735714476</v>
      </c>
      <c r="I28" s="976">
        <f>+'4 EPC - MINI GRANJAS - CAPEX'!G8-'4 EPC - MINI GRANJAS - CAPEX'!G178</f>
        <v>982152762.6888001</v>
      </c>
      <c r="J28" s="976">
        <f>+'4 EPC - MINI GRANJAS - CAPEX'!H8-'4 EPC - MINI GRANJAS - CAPEX'!H178</f>
        <v>1255279239.1401422</v>
      </c>
      <c r="K28" s="976">
        <f>'4 EPC - MINI GRANJAS - CAPEX'!I154-'4 EPC - MINI GRANJAS - CAPEX'!I178</f>
        <v>151277757</v>
      </c>
      <c r="L28" s="976">
        <f>+'4 EPC - MINI GRANJAS - CAPEX'!J8-'4 EPC - MINI GRANJAS - CAPEX'!J178</f>
        <v>589388461.59000003</v>
      </c>
      <c r="M28" s="976">
        <f>+'4 EPC - MINI GRANJAS - CAPEX'!K8-'4 EPC - MINI GRANJAS - CAPEX'!K178</f>
        <v>708292375.62000012</v>
      </c>
      <c r="N28" s="976">
        <f>+'4 EPC - MINI GRANJAS - CAPEX'!L8-'4 EPC - MINI GRANJAS - CAPEX'!L178</f>
        <v>2301876557.9099998</v>
      </c>
      <c r="O28" s="976">
        <f>+'4 EPC - MINI GRANJAS - CAPEX'!M8-'4 EPC - MINI GRANJAS - CAPEX'!M178</f>
        <v>1016227648.0699999</v>
      </c>
      <c r="P28" s="976">
        <f>+'4 EPC - MINI GRANJAS - CAPEX'!N8-'4 EPC - MINI GRANJAS - CAPEX'!N178</f>
        <v>185700538.26999998</v>
      </c>
      <c r="Q28" s="976">
        <f>+'4 EPC - MINI GRANJAS - CAPEX'!O8-'4 EPC - MINI GRANJAS - CAPEX'!O178</f>
        <v>-1218772351.9300001</v>
      </c>
      <c r="R28" s="976">
        <f>+'4 EPC - MINI GRANJAS - CAPEX'!P8-'4 EPC - MINI GRANJAS - CAPEX'!P178</f>
        <v>1174227648.0699999</v>
      </c>
      <c r="S28" s="976">
        <f>+'4 EPC - MINI GRANJAS - CAPEX'!Q8-'4 EPC - MINI GRANJAS - CAPEX'!Q178</f>
        <v>559227648.06999993</v>
      </c>
      <c r="T28" s="1001">
        <f>+'4 EPC - MINI GRANJAS - CAPEX'!R8-'4 EPC - MINI GRANJAS - CAPEX'!R178</f>
        <v>0</v>
      </c>
      <c r="U28" s="918"/>
      <c r="V28" s="1014">
        <f>+SUM(H28:U28)</f>
        <v>8440592760.4989414</v>
      </c>
    </row>
    <row r="29" spans="1:25" s="6" customFormat="1" ht="15.75" customHeight="1" thickBot="1">
      <c r="A29" s="58"/>
      <c r="B29" s="58"/>
      <c r="C29" s="55"/>
      <c r="D29" s="55"/>
      <c r="E29" s="1224"/>
      <c r="F29" s="942" t="s">
        <v>8566</v>
      </c>
      <c r="G29" s="917"/>
      <c r="H29" s="1002">
        <v>-44054093</v>
      </c>
      <c r="I29" s="977">
        <v>-39669300.888888888</v>
      </c>
      <c r="J29" s="977">
        <v>-128534969</v>
      </c>
      <c r="K29" s="977">
        <v>-82450356</v>
      </c>
      <c r="L29" s="977">
        <v>-81144854</v>
      </c>
      <c r="M29" s="977">
        <v>-69000000</v>
      </c>
      <c r="N29" s="977">
        <v>-69000000</v>
      </c>
      <c r="O29" s="977">
        <v>-69000000</v>
      </c>
      <c r="P29" s="977">
        <v>-69000000</v>
      </c>
      <c r="Q29" s="977">
        <v>-69000000</v>
      </c>
      <c r="R29" s="977">
        <v>-69000000</v>
      </c>
      <c r="S29" s="974"/>
      <c r="T29" s="1003">
        <v>-69000000</v>
      </c>
      <c r="U29" s="918"/>
      <c r="V29" s="1010">
        <f t="shared" si="6"/>
        <v>-858853572.88888884</v>
      </c>
    </row>
    <row r="30" spans="1:25" s="6" customFormat="1" ht="14.25" customHeight="1" thickBot="1">
      <c r="C30" s="165"/>
      <c r="D30" s="165"/>
      <c r="E30" s="924"/>
      <c r="F30" s="988" t="s">
        <v>8567</v>
      </c>
      <c r="G30" s="917"/>
      <c r="H30" s="998"/>
      <c r="I30" s="956">
        <f>+'6.Ventas EPC REAL'!G69</f>
        <v>-1841596600</v>
      </c>
      <c r="J30" s="956">
        <f>+'6.Ventas EPC REAL'!H69-60693136.13</f>
        <v>-92796136.129999995</v>
      </c>
      <c r="K30" s="956">
        <f>+'6.Ventas EPC REAL'!I69-54189000+4258239+21946558</f>
        <v>-356729226.18000007</v>
      </c>
      <c r="L30" s="956">
        <f>+'6.Ventas EPC REAL'!J69-10606595-61654000</f>
        <v>-779665775.5</v>
      </c>
      <c r="M30" s="956">
        <f>+'6.Ventas EPC REAL'!K69</f>
        <v>-194898647.10000002</v>
      </c>
      <c r="N30" s="956">
        <f>+'6.Ventas EPC REAL'!L69</f>
        <v>-67393291.399999976</v>
      </c>
      <c r="O30" s="956">
        <f>+'6.Ventas EPC REAL'!M69</f>
        <v>-982008278.5</v>
      </c>
      <c r="P30" s="956">
        <f>+'6.Ventas EPC REAL'!N69</f>
        <v>-804000000</v>
      </c>
      <c r="Q30" s="956">
        <f>+'6.Ventas EPC REAL'!O69</f>
        <v>0</v>
      </c>
      <c r="R30" s="956">
        <f>+'6.Ventas EPC REAL'!P69</f>
        <v>-1624000000</v>
      </c>
      <c r="S30" s="974"/>
      <c r="T30" s="999">
        <f>+'6.Ventas EPC REAL'!Q69</f>
        <v>-918795766.29300022</v>
      </c>
      <c r="U30" s="918"/>
      <c r="V30" s="975">
        <f t="shared" si="6"/>
        <v>-7661883721.1030006</v>
      </c>
    </row>
    <row r="31" spans="1:25" s="6" customFormat="1" ht="16.75" thickBot="1">
      <c r="C31" s="165"/>
      <c r="D31" s="165"/>
      <c r="E31" s="987" t="s">
        <v>8362</v>
      </c>
      <c r="F31" s="943" t="s">
        <v>8568</v>
      </c>
      <c r="G31" s="917"/>
      <c r="H31" s="995">
        <f>+SUM(H27:H30)</f>
        <v>569853532.76999998</v>
      </c>
      <c r="I31" s="918">
        <f t="shared" ref="I31:T31" si="10">+SUM(I27:I30)</f>
        <v>-876411166.04453301</v>
      </c>
      <c r="J31" s="918">
        <f t="shared" si="10"/>
        <v>1035760241.690509</v>
      </c>
      <c r="K31" s="918">
        <f>+SUM(K27:K30)</f>
        <v>-333286792.18000007</v>
      </c>
      <c r="L31" s="918">
        <f>+SUM(L27:L30)</f>
        <v>-228577959.90999997</v>
      </c>
      <c r="M31" s="918">
        <f t="shared" si="10"/>
        <v>155531668.75000012</v>
      </c>
      <c r="N31" s="918">
        <f t="shared" si="10"/>
        <v>2332608501.5599999</v>
      </c>
      <c r="O31" s="918">
        <f t="shared" si="10"/>
        <v>398909493.96999979</v>
      </c>
      <c r="P31" s="918">
        <f t="shared" si="10"/>
        <v>-679525813.73000002</v>
      </c>
      <c r="Q31" s="918">
        <f t="shared" si="10"/>
        <v>-1287772351.9300001</v>
      </c>
      <c r="R31" s="918">
        <f t="shared" si="10"/>
        <v>-518772351.93000007</v>
      </c>
      <c r="S31" s="918">
        <f t="shared" si="10"/>
        <v>559227648.06999993</v>
      </c>
      <c r="T31" s="1004">
        <f t="shared" si="10"/>
        <v>-987795766.29300022</v>
      </c>
      <c r="U31" s="918"/>
      <c r="V31" s="1010">
        <f>+SUM(H31:T31)</f>
        <v>139748884.79297519</v>
      </c>
    </row>
    <row r="32" spans="1:25" ht="27" customHeight="1" thickBot="1">
      <c r="C32" s="1"/>
      <c r="D32" s="1"/>
      <c r="E32" s="911"/>
      <c r="F32" s="989" t="s">
        <v>8108</v>
      </c>
      <c r="G32" s="986"/>
      <c r="H32" s="990">
        <f>+SUM(H17:H28)</f>
        <v>-24638061.58855319</v>
      </c>
      <c r="I32" s="990">
        <f>+I17+I24+I26+I27+I30+I28+I29+I25</f>
        <v>209995940.31200117</v>
      </c>
      <c r="J32" s="990">
        <f>+J17+J24+J26+J27+J30+J28+J29+J25</f>
        <v>-132635914.78427029</v>
      </c>
      <c r="K32" s="990">
        <f>+K17+K24+K26+K27+K30+K28+K29+K25</f>
        <v>-1252023083.7566688</v>
      </c>
      <c r="L32" s="990">
        <f>+L17+L24+L26+L27+L30+L28+L29+L25</f>
        <v>-529154790.28002346</v>
      </c>
      <c r="M32" s="990">
        <f t="shared" ref="M32:S32" si="11">+M17+M24+M26+M27+M30+M28+M29+M25</f>
        <v>-980750070.88613486</v>
      </c>
      <c r="N32" s="990">
        <f t="shared" si="11"/>
        <v>956707649.7672224</v>
      </c>
      <c r="O32" s="990">
        <f t="shared" si="11"/>
        <v>-76256042.666110754</v>
      </c>
      <c r="P32" s="990">
        <f t="shared" si="11"/>
        <v>-1033955511.5161109</v>
      </c>
      <c r="Q32" s="990">
        <f t="shared" si="11"/>
        <v>-1600038290.7161109</v>
      </c>
      <c r="R32" s="990">
        <f t="shared" si="11"/>
        <v>941974133.61722231</v>
      </c>
      <c r="S32" s="990">
        <f t="shared" si="11"/>
        <v>-380522351.93000007</v>
      </c>
      <c r="T32" s="1005">
        <f>+T17+T24+T26+T27+T30+T28+T29+T25</f>
        <v>543843946.88055563</v>
      </c>
      <c r="U32" s="978"/>
      <c r="V32" s="1015">
        <f>+SUM(H32:T32)</f>
        <v>-3357452447.5469813</v>
      </c>
    </row>
    <row r="33" spans="3:24" ht="21" customHeight="1">
      <c r="C33" s="55" t="s">
        <v>111</v>
      </c>
      <c r="D33" s="55"/>
      <c r="E33" s="911"/>
      <c r="F33" s="917" t="s">
        <v>8432</v>
      </c>
      <c r="G33" s="917"/>
      <c r="H33" s="991">
        <v>-60262419.549999997</v>
      </c>
      <c r="I33" s="992">
        <f>21384055.46-12838073.95</f>
        <v>8545981.5100000016</v>
      </c>
      <c r="J33" s="992">
        <v>-21988025.579999998</v>
      </c>
      <c r="K33" s="992">
        <f>-'5. Deuda'!G13</f>
        <v>2048510059</v>
      </c>
      <c r="L33" s="992">
        <f>-'5. Deuda'!H13</f>
        <v>1465115106</v>
      </c>
      <c r="M33" s="992">
        <f>-'5. Deuda'!I13</f>
        <v>-84923104</v>
      </c>
      <c r="N33" s="992">
        <f>-'5. Deuda'!J13</f>
        <v>-84965243</v>
      </c>
      <c r="O33" s="992">
        <f>-'5. Deuda'!K13</f>
        <v>1114992153</v>
      </c>
      <c r="P33" s="992">
        <f>-'5. Deuda'!L13</f>
        <v>-85050922</v>
      </c>
      <c r="Q33" s="992">
        <f>-'5. Deuda'!M13</f>
        <v>-85094473</v>
      </c>
      <c r="R33" s="992">
        <f>-'5. Deuda'!N13</f>
        <v>-110138506</v>
      </c>
      <c r="S33" s="993"/>
      <c r="T33" s="994">
        <f>-'5. Deuda'!O13</f>
        <v>-110183026</v>
      </c>
      <c r="U33" s="918"/>
      <c r="V33" s="925">
        <f>+SUM(H33:U33)</f>
        <v>3994557580.3800001</v>
      </c>
      <c r="X33" s="2"/>
    </row>
    <row r="34" spans="3:24" ht="21" customHeight="1">
      <c r="C34" s="55"/>
      <c r="D34" s="55"/>
      <c r="E34" s="911"/>
      <c r="F34" s="917" t="s">
        <v>8433</v>
      </c>
      <c r="G34" s="917"/>
      <c r="H34" s="995"/>
      <c r="I34" s="925"/>
      <c r="J34" s="925"/>
      <c r="K34" s="925"/>
      <c r="L34" s="925"/>
      <c r="M34" s="925"/>
      <c r="N34" s="925"/>
      <c r="O34" s="925"/>
      <c r="P34" s="925"/>
      <c r="Q34" s="925"/>
      <c r="R34" s="925"/>
      <c r="S34" s="996"/>
      <c r="T34" s="997"/>
      <c r="U34" s="918"/>
      <c r="V34" s="925"/>
      <c r="X34" s="2"/>
    </row>
    <row r="35" spans="3:24" ht="21" customHeight="1">
      <c r="E35" s="915"/>
      <c r="F35" s="923" t="s">
        <v>8110</v>
      </c>
      <c r="G35" s="920"/>
      <c r="H35" s="951">
        <f>+H32+H33</f>
        <v>-84900481.138553187</v>
      </c>
      <c r="I35" s="957">
        <f>+I32+I33+I34</f>
        <v>218541921.82200116</v>
      </c>
      <c r="J35" s="957">
        <f t="shared" ref="J35:T35" si="12">+J32+J33+J34</f>
        <v>-154623940.36427027</v>
      </c>
      <c r="K35" s="957">
        <f>+K32+K33+K34</f>
        <v>796486975.24333119</v>
      </c>
      <c r="L35" s="957">
        <f t="shared" si="12"/>
        <v>935960315.71997654</v>
      </c>
      <c r="M35" s="957">
        <f t="shared" si="12"/>
        <v>-1065673174.8861349</v>
      </c>
      <c r="N35" s="957">
        <f t="shared" si="12"/>
        <v>871742406.7672224</v>
      </c>
      <c r="O35" s="957">
        <f t="shared" si="12"/>
        <v>1038736110.3338892</v>
      </c>
      <c r="P35" s="957">
        <f t="shared" si="12"/>
        <v>-1119006433.5161109</v>
      </c>
      <c r="Q35" s="957">
        <f t="shared" si="12"/>
        <v>-1685132763.7161109</v>
      </c>
      <c r="R35" s="957">
        <f t="shared" si="12"/>
        <v>831835627.61722231</v>
      </c>
      <c r="S35" s="979"/>
      <c r="T35" s="957">
        <f t="shared" si="12"/>
        <v>433660920.88055563</v>
      </c>
      <c r="U35" s="918"/>
      <c r="V35" s="957">
        <f>+SUM(H35:T35)</f>
        <v>1017627484.7630184</v>
      </c>
      <c r="X35" s="50"/>
    </row>
    <row r="36" spans="3:24" ht="21" customHeight="1">
      <c r="E36" s="915"/>
      <c r="F36" s="917" t="s">
        <v>8111</v>
      </c>
      <c r="G36" s="917"/>
      <c r="H36" s="918"/>
      <c r="I36" s="918"/>
      <c r="J36" s="918"/>
      <c r="K36" s="918"/>
      <c r="L36" s="918"/>
      <c r="M36" s="918"/>
      <c r="N36" s="918"/>
      <c r="O36" s="918"/>
      <c r="P36" s="918"/>
      <c r="Q36" s="918"/>
      <c r="R36" s="918"/>
      <c r="S36" s="960"/>
      <c r="T36" s="918"/>
      <c r="U36" s="918"/>
      <c r="V36" s="925"/>
    </row>
    <row r="37" spans="3:24" ht="21" customHeight="1">
      <c r="E37" s="915"/>
      <c r="F37" s="917" t="s">
        <v>8113</v>
      </c>
      <c r="G37" s="917"/>
      <c r="H37" s="918"/>
      <c r="I37" s="918"/>
      <c r="J37" s="918"/>
      <c r="K37" s="918"/>
      <c r="L37" s="918"/>
      <c r="M37" s="918"/>
      <c r="N37" s="918"/>
      <c r="O37" s="918"/>
      <c r="P37" s="918"/>
      <c r="Q37" s="918"/>
      <c r="R37" s="918"/>
      <c r="S37" s="960"/>
      <c r="T37" s="918"/>
      <c r="U37" s="918"/>
      <c r="V37" s="925"/>
    </row>
    <row r="38" spans="3:24" ht="15.75" customHeight="1">
      <c r="E38" s="915"/>
      <c r="F38" s="923" t="s">
        <v>8114</v>
      </c>
      <c r="G38" s="920"/>
      <c r="H38" s="957">
        <f>+H35</f>
        <v>-84900481.138553187</v>
      </c>
      <c r="I38" s="980">
        <f>+I35+I36+I37-0.07</f>
        <v>218541921.75200117</v>
      </c>
      <c r="J38" s="980">
        <f t="shared" ref="J38:T38" si="13">+J35+SUM(J36:J37)</f>
        <v>-154623940.36427027</v>
      </c>
      <c r="K38" s="957">
        <f t="shared" si="13"/>
        <v>796486975.24333119</v>
      </c>
      <c r="L38" s="957">
        <f t="shared" si="13"/>
        <v>935960315.71997654</v>
      </c>
      <c r="M38" s="957">
        <f t="shared" si="13"/>
        <v>-1065673174.8861349</v>
      </c>
      <c r="N38" s="957">
        <f t="shared" si="13"/>
        <v>871742406.7672224</v>
      </c>
      <c r="O38" s="957">
        <f t="shared" si="13"/>
        <v>1038736110.3338892</v>
      </c>
      <c r="P38" s="957">
        <f t="shared" si="13"/>
        <v>-1119006433.5161109</v>
      </c>
      <c r="Q38" s="957">
        <f t="shared" si="13"/>
        <v>-1685132763.7161109</v>
      </c>
      <c r="R38" s="957">
        <f t="shared" si="13"/>
        <v>831835627.61722231</v>
      </c>
      <c r="S38" s="979"/>
      <c r="T38" s="957">
        <f t="shared" si="13"/>
        <v>433660920.88055563</v>
      </c>
      <c r="U38" s="981"/>
      <c r="V38" s="957">
        <f>+V35+SUM(V36:V37)</f>
        <v>1017627484.7630184</v>
      </c>
    </row>
    <row r="39" spans="3:24" ht="15.75" customHeight="1">
      <c r="E39" s="915"/>
      <c r="F39" s="917" t="s">
        <v>8115</v>
      </c>
      <c r="G39" s="917"/>
      <c r="H39" s="958">
        <f>228808924+0.07</f>
        <v>228808924.06999999</v>
      </c>
      <c r="I39" s="982">
        <f>+H40</f>
        <v>143908442.93144679</v>
      </c>
      <c r="J39" s="982">
        <v>362450365</v>
      </c>
      <c r="K39" s="958">
        <f>+J40</f>
        <v>221265863.26000035</v>
      </c>
      <c r="L39" s="958">
        <f t="shared" ref="L39" si="14">+K40</f>
        <v>1017752838.5033315</v>
      </c>
      <c r="M39" s="958">
        <f t="shared" ref="M39" si="15">+L40</f>
        <v>1953713154.2233081</v>
      </c>
      <c r="N39" s="958">
        <f t="shared" ref="N39" si="16">+M40</f>
        <v>888039979.33717322</v>
      </c>
      <c r="O39" s="958">
        <f t="shared" ref="O39" si="17">+N40</f>
        <v>1759782386.1043956</v>
      </c>
      <c r="P39" s="958">
        <f t="shared" ref="P39" si="18">+O40</f>
        <v>2798518496.4382849</v>
      </c>
      <c r="Q39" s="958">
        <f t="shared" ref="Q39" si="19">+P40</f>
        <v>1679512062.922174</v>
      </c>
      <c r="R39" s="958">
        <f t="shared" ref="R39" si="20">+Q40</f>
        <v>-5620700.7939369678</v>
      </c>
      <c r="S39" s="983"/>
      <c r="T39" s="958">
        <f t="shared" ref="T39" si="21">+R40</f>
        <v>826214926.82328534</v>
      </c>
      <c r="U39" s="948"/>
      <c r="V39" s="958">
        <v>228808924.06999999</v>
      </c>
    </row>
    <row r="40" spans="3:24" ht="15.75" customHeight="1">
      <c r="E40" s="915"/>
      <c r="F40" s="926" t="s">
        <v>8116</v>
      </c>
      <c r="G40" s="927"/>
      <c r="H40" s="959">
        <f>+H38+H39</f>
        <v>143908442.93144679</v>
      </c>
      <c r="I40" s="959">
        <f>+I38+I39</f>
        <v>362450364.68344796</v>
      </c>
      <c r="J40" s="959">
        <v>221265863.26000035</v>
      </c>
      <c r="K40" s="959">
        <f>+K38+K39</f>
        <v>1017752838.5033315</v>
      </c>
      <c r="L40" s="959">
        <f t="shared" ref="L40:T40" si="22">+L38+L39</f>
        <v>1953713154.2233081</v>
      </c>
      <c r="M40" s="959">
        <f t="shared" si="22"/>
        <v>888039979.33717322</v>
      </c>
      <c r="N40" s="959">
        <f t="shared" si="22"/>
        <v>1759782386.1043956</v>
      </c>
      <c r="O40" s="959">
        <f t="shared" si="22"/>
        <v>2798518496.4382849</v>
      </c>
      <c r="P40" s="959">
        <f t="shared" si="22"/>
        <v>1679512062.922174</v>
      </c>
      <c r="Q40" s="959">
        <f t="shared" si="22"/>
        <v>-5620700.7939369678</v>
      </c>
      <c r="R40" s="959">
        <f t="shared" si="22"/>
        <v>826214926.82328534</v>
      </c>
      <c r="S40" s="984"/>
      <c r="T40" s="959">
        <f t="shared" si="22"/>
        <v>1259875847.703841</v>
      </c>
      <c r="U40" s="946"/>
      <c r="V40" s="959">
        <f t="shared" ref="V40" si="23">+V38+V39</f>
        <v>1246436408.8330183</v>
      </c>
    </row>
    <row r="41" spans="3:24" ht="15.75" customHeight="1">
      <c r="E41" s="915"/>
      <c r="F41" s="927"/>
      <c r="G41" s="927"/>
      <c r="H41" s="928"/>
      <c r="I41" s="928"/>
      <c r="J41" s="928"/>
      <c r="K41" s="928"/>
      <c r="L41" s="928"/>
      <c r="M41" s="928"/>
      <c r="N41" s="928"/>
      <c r="O41" s="928"/>
      <c r="P41" s="928"/>
      <c r="Q41" s="928"/>
      <c r="R41" s="928"/>
      <c r="S41" s="928"/>
      <c r="T41" s="928"/>
      <c r="U41" s="915"/>
      <c r="V41" s="915"/>
    </row>
    <row r="42" spans="3:24" ht="15.75" customHeight="1">
      <c r="E42" s="915"/>
      <c r="F42" s="927"/>
      <c r="G42" s="927"/>
      <c r="H42" s="946"/>
      <c r="I42" s="946"/>
      <c r="J42" s="946"/>
      <c r="K42" s="946"/>
      <c r="L42" s="946"/>
      <c r="M42" s="946"/>
      <c r="N42" s="946"/>
      <c r="O42" s="946"/>
      <c r="P42" s="946"/>
      <c r="Q42" s="946"/>
      <c r="R42" s="946"/>
      <c r="S42" s="946"/>
      <c r="T42" s="946"/>
      <c r="U42" s="918"/>
      <c r="V42" s="918"/>
    </row>
    <row r="43" spans="3:24" ht="15.75" customHeight="1">
      <c r="F43" s="30"/>
      <c r="G43" s="30"/>
      <c r="H43" s="221"/>
      <c r="I43" s="221"/>
      <c r="J43" s="221"/>
      <c r="K43" s="221"/>
      <c r="L43" s="221"/>
      <c r="M43" s="337"/>
      <c r="N43" s="221"/>
      <c r="O43" s="221"/>
      <c r="P43" s="221"/>
      <c r="Q43" s="221"/>
      <c r="R43" s="221"/>
      <c r="S43" s="221"/>
      <c r="T43" s="221"/>
    </row>
    <row r="44" spans="3:24" ht="15.75" customHeight="1">
      <c r="F44" s="1"/>
      <c r="G44" s="1"/>
      <c r="H44" s="8">
        <v>45292</v>
      </c>
      <c r="I44" s="8">
        <v>45323</v>
      </c>
      <c r="J44" s="9">
        <v>45352</v>
      </c>
      <c r="K44" s="8">
        <v>45383</v>
      </c>
      <c r="L44" s="909">
        <v>45413</v>
      </c>
      <c r="M44" s="910">
        <v>45444</v>
      </c>
      <c r="N44" s="909">
        <v>45474</v>
      </c>
      <c r="O44" s="909">
        <v>45505</v>
      </c>
      <c r="P44" s="910">
        <v>45536</v>
      </c>
      <c r="Q44" s="909">
        <v>45566</v>
      </c>
      <c r="R44" s="909">
        <v>45597</v>
      </c>
      <c r="S44" s="909"/>
      <c r="T44" s="9">
        <v>45627</v>
      </c>
    </row>
    <row r="45" spans="3:24" ht="15.75" customHeight="1">
      <c r="F45" s="11" t="s">
        <v>3107</v>
      </c>
      <c r="G45" s="11"/>
      <c r="H45" s="2">
        <f t="shared" ref="H45:T45" si="24">+H6</f>
        <v>0</v>
      </c>
      <c r="I45" s="2">
        <f t="shared" si="24"/>
        <v>4096249600</v>
      </c>
      <c r="J45" s="2">
        <f t="shared" si="24"/>
        <v>81223000</v>
      </c>
      <c r="K45" s="2">
        <f t="shared" si="24"/>
        <v>1471066013</v>
      </c>
      <c r="L45" s="2">
        <f t="shared" si="24"/>
        <v>3490803935</v>
      </c>
      <c r="M45" s="2">
        <f t="shared" si="24"/>
        <v>239832910</v>
      </c>
      <c r="N45" s="2">
        <f t="shared" si="24"/>
        <v>393193546</v>
      </c>
      <c r="O45" s="2">
        <f t="shared" si="24"/>
        <v>4600027595</v>
      </c>
      <c r="P45" s="2">
        <f t="shared" si="24"/>
        <v>4048500000</v>
      </c>
      <c r="Q45" s="2">
        <f t="shared" si="24"/>
        <v>313400000</v>
      </c>
      <c r="R45" s="2">
        <f t="shared" si="24"/>
        <v>8180600000</v>
      </c>
      <c r="S45" s="2"/>
      <c r="T45" s="2">
        <f t="shared" si="24"/>
        <v>7550000000</v>
      </c>
    </row>
    <row r="46" spans="3:24" ht="15.75" customHeight="1">
      <c r="F46" s="11" t="s">
        <v>8077</v>
      </c>
      <c r="G46" s="11"/>
      <c r="H46" s="2">
        <f t="shared" ref="H46:T46" si="25">+H7</f>
        <v>0</v>
      </c>
      <c r="I46" s="2">
        <f t="shared" si="25"/>
        <v>2254653000</v>
      </c>
      <c r="J46" s="2">
        <f t="shared" si="25"/>
        <v>49120000</v>
      </c>
      <c r="K46" s="2">
        <f t="shared" si="25"/>
        <v>1124320989.8199999</v>
      </c>
      <c r="L46" s="2">
        <f t="shared" si="25"/>
        <v>2783398754.5</v>
      </c>
      <c r="M46" s="2">
        <f t="shared" si="25"/>
        <v>167883037</v>
      </c>
      <c r="N46" s="2">
        <f t="shared" si="25"/>
        <v>325800254.60000002</v>
      </c>
      <c r="O46" s="2">
        <f t="shared" si="25"/>
        <v>3618019316.5</v>
      </c>
      <c r="P46" s="2">
        <f t="shared" si="25"/>
        <v>3244500000</v>
      </c>
      <c r="Q46" s="2">
        <f t="shared" si="25"/>
        <v>261340000</v>
      </c>
      <c r="R46" s="2">
        <f t="shared" si="25"/>
        <v>6544480000</v>
      </c>
      <c r="S46" s="2"/>
      <c r="T46" s="2">
        <f t="shared" si="25"/>
        <v>5871204233.7069998</v>
      </c>
    </row>
    <row r="47" spans="3:24" ht="15.75" customHeight="1">
      <c r="F47" s="11" t="s">
        <v>8078</v>
      </c>
      <c r="G47" s="11"/>
      <c r="H47" s="2">
        <f t="shared" ref="H47:T47" si="26">+H8</f>
        <v>36189314.170000002</v>
      </c>
      <c r="I47" s="2">
        <f t="shared" si="26"/>
        <v>80849259.349999994</v>
      </c>
      <c r="J47" s="2">
        <f t="shared" si="26"/>
        <v>42062764.460000001</v>
      </c>
      <c r="K47" s="2">
        <f t="shared" si="26"/>
        <v>59528929.189999998</v>
      </c>
      <c r="L47" s="2">
        <f t="shared" si="26"/>
        <v>62348716.18</v>
      </c>
      <c r="M47" s="2">
        <f t="shared" si="26"/>
        <v>80352244.991666868</v>
      </c>
      <c r="N47" s="2">
        <f t="shared" si="26"/>
        <v>80352244.991666868</v>
      </c>
      <c r="O47" s="2">
        <f t="shared" si="26"/>
        <v>82755244.991666868</v>
      </c>
      <c r="P47" s="2">
        <f t="shared" si="26"/>
        <v>86455244.991666868</v>
      </c>
      <c r="Q47" s="2">
        <f t="shared" si="26"/>
        <v>86455244.991666868</v>
      </c>
      <c r="R47" s="2">
        <f t="shared" si="26"/>
        <v>86455244.991666868</v>
      </c>
      <c r="S47" s="2"/>
      <c r="T47" s="2">
        <f t="shared" si="26"/>
        <v>86455244.991666868</v>
      </c>
    </row>
    <row r="48" spans="3:24" ht="15.75" customHeight="1">
      <c r="F48" s="11" t="s">
        <v>8079</v>
      </c>
      <c r="G48" s="11"/>
      <c r="H48" s="2">
        <f t="shared" ref="H48:T48" si="27">+H9</f>
        <v>0</v>
      </c>
      <c r="I48" s="2">
        <f t="shared" si="27"/>
        <v>-284430</v>
      </c>
      <c r="J48" s="2">
        <f t="shared" si="27"/>
        <v>-6339151.8119999999</v>
      </c>
      <c r="K48" s="2">
        <f t="shared" si="27"/>
        <v>5757560.9966666698</v>
      </c>
      <c r="L48" s="2">
        <f t="shared" si="27"/>
        <v>2927571</v>
      </c>
      <c r="M48" s="2">
        <f t="shared" si="27"/>
        <v>4166666.6666666665</v>
      </c>
      <c r="N48" s="2">
        <f t="shared" si="27"/>
        <v>4166666.6666666665</v>
      </c>
      <c r="O48" s="2">
        <f t="shared" si="27"/>
        <v>4166666.6666666665</v>
      </c>
      <c r="P48" s="2">
        <f t="shared" si="27"/>
        <v>4166666.6666666665</v>
      </c>
      <c r="Q48" s="2">
        <f t="shared" si="27"/>
        <v>4166666.6666666665</v>
      </c>
      <c r="R48" s="2">
        <f t="shared" si="27"/>
        <v>4166666.6666666665</v>
      </c>
      <c r="S48" s="2"/>
      <c r="T48" s="2">
        <f t="shared" si="27"/>
        <v>4166666.6666666665</v>
      </c>
    </row>
    <row r="49" spans="6:20" ht="15.75" customHeight="1">
      <c r="F49" s="11" t="s">
        <v>8426</v>
      </c>
      <c r="G49" s="11"/>
      <c r="H49" s="2">
        <f t="shared" ref="H49:T49" si="28">+H10</f>
        <v>6362819</v>
      </c>
      <c r="I49" s="2">
        <f t="shared" si="28"/>
        <v>12581863</v>
      </c>
      <c r="J49" s="2">
        <f t="shared" si="28"/>
        <v>12569848.050000001</v>
      </c>
      <c r="K49" s="2">
        <f t="shared" si="28"/>
        <v>31145343.190000001</v>
      </c>
      <c r="L49" s="2">
        <f t="shared" si="28"/>
        <v>24875670</v>
      </c>
      <c r="M49" s="2">
        <f t="shared" si="28"/>
        <v>25837499.999999996</v>
      </c>
      <c r="N49" s="2">
        <f t="shared" si="28"/>
        <v>44329050</v>
      </c>
      <c r="O49" s="2">
        <f t="shared" si="28"/>
        <v>50801966.666666657</v>
      </c>
      <c r="P49" s="2">
        <f t="shared" si="28"/>
        <v>50801966.666666657</v>
      </c>
      <c r="Q49" s="2">
        <f t="shared" si="28"/>
        <v>72333633.333333313</v>
      </c>
      <c r="R49" s="2">
        <f t="shared" si="28"/>
        <v>83099466.666666642</v>
      </c>
      <c r="S49" s="2"/>
      <c r="T49" s="2">
        <f t="shared" si="28"/>
        <v>172456966.66666663</v>
      </c>
    </row>
    <row r="50" spans="6:20" ht="15.75" customHeight="1">
      <c r="F50" s="15" t="s">
        <v>8082</v>
      </c>
      <c r="G50" s="17"/>
      <c r="H50" s="18">
        <f t="shared" ref="H50:T50" si="29">+SUM(H45:H49)</f>
        <v>42552133.170000002</v>
      </c>
      <c r="I50" s="18">
        <f t="shared" si="29"/>
        <v>6444049292.3500004</v>
      </c>
      <c r="J50" s="18">
        <f t="shared" si="29"/>
        <v>178636460.69800001</v>
      </c>
      <c r="K50" s="18">
        <f t="shared" si="29"/>
        <v>2691818836.1966662</v>
      </c>
      <c r="L50" s="18">
        <f t="shared" si="29"/>
        <v>6364354646.6800003</v>
      </c>
      <c r="M50" s="18">
        <f t="shared" si="29"/>
        <v>518072358.65833354</v>
      </c>
      <c r="N50" s="18">
        <f t="shared" si="29"/>
        <v>847841762.25833356</v>
      </c>
      <c r="O50" s="18">
        <f t="shared" si="29"/>
        <v>8355770789.8250008</v>
      </c>
      <c r="P50" s="18">
        <f t="shared" si="29"/>
        <v>7434423878.3250008</v>
      </c>
      <c r="Q50" s="18">
        <f t="shared" si="29"/>
        <v>737695544.99166679</v>
      </c>
      <c r="R50" s="18">
        <f t="shared" si="29"/>
        <v>14898801378.324999</v>
      </c>
      <c r="S50" s="18"/>
      <c r="T50" s="18">
        <f t="shared" si="29"/>
        <v>13684283112.032</v>
      </c>
    </row>
    <row r="51" spans="6:20" ht="15.75" customHeight="1">
      <c r="F51" s="147" t="s">
        <v>8083</v>
      </c>
      <c r="G51" s="11"/>
      <c r="H51" s="2">
        <f t="shared" ref="H51:T51" si="30">+H13</f>
        <v>110308637.639667</v>
      </c>
      <c r="I51" s="2">
        <f t="shared" si="30"/>
        <v>207905154.30444443</v>
      </c>
      <c r="J51" s="2">
        <f t="shared" si="30"/>
        <v>138385026.09</v>
      </c>
      <c r="K51" s="2">
        <f t="shared" si="30"/>
        <v>139802761.943333</v>
      </c>
      <c r="L51" s="2">
        <f t="shared" si="30"/>
        <v>169174061.24000001</v>
      </c>
      <c r="M51" s="2">
        <f t="shared" si="30"/>
        <v>139700000</v>
      </c>
      <c r="N51" s="2">
        <f t="shared" si="30"/>
        <v>174700000</v>
      </c>
      <c r="O51" s="2">
        <f t="shared" si="30"/>
        <v>139700000</v>
      </c>
      <c r="P51" s="2">
        <f t="shared" si="30"/>
        <v>139700000</v>
      </c>
      <c r="Q51" s="2">
        <f t="shared" si="30"/>
        <v>139700000</v>
      </c>
      <c r="R51" s="2">
        <f t="shared" si="30"/>
        <v>154700000</v>
      </c>
      <c r="S51" s="2"/>
      <c r="T51" s="2">
        <f t="shared" si="30"/>
        <v>169700000</v>
      </c>
    </row>
    <row r="52" spans="6:20" ht="15.75" customHeight="1">
      <c r="F52" s="11" t="s">
        <v>8084</v>
      </c>
      <c r="G52" s="11"/>
      <c r="H52" s="2">
        <f t="shared" ref="H52:T52" si="31">+H14</f>
        <v>7541737.2638211399</v>
      </c>
      <c r="I52" s="2">
        <f t="shared" si="31"/>
        <v>13033724.961317565</v>
      </c>
      <c r="J52" s="2">
        <f t="shared" si="31"/>
        <v>24455360.2387794</v>
      </c>
      <c r="K52" s="2">
        <f t="shared" si="31"/>
        <v>14784909.896669099</v>
      </c>
      <c r="L52" s="2">
        <f t="shared" si="31"/>
        <v>7264177.9300240204</v>
      </c>
      <c r="M52" s="2">
        <f t="shared" si="31"/>
        <v>7264177.9300240204</v>
      </c>
      <c r="N52" s="2">
        <f t="shared" si="31"/>
        <v>10000000</v>
      </c>
      <c r="O52" s="2">
        <f t="shared" si="31"/>
        <v>10000000</v>
      </c>
      <c r="P52" s="2">
        <f t="shared" si="31"/>
        <v>10000001</v>
      </c>
      <c r="Q52" s="2">
        <f t="shared" si="31"/>
        <v>10000001</v>
      </c>
      <c r="R52" s="2">
        <f t="shared" si="31"/>
        <v>10000002</v>
      </c>
      <c r="S52" s="2"/>
      <c r="T52" s="2">
        <f t="shared" si="31"/>
        <v>10000002</v>
      </c>
    </row>
    <row r="53" spans="6:20" ht="15.75" customHeight="1">
      <c r="F53" s="11" t="s">
        <v>8085</v>
      </c>
      <c r="G53" s="11"/>
      <c r="H53" s="2">
        <f t="shared" ref="H53:T53" si="32">+H15</f>
        <v>6913359</v>
      </c>
      <c r="I53" s="2">
        <f t="shared" si="32"/>
        <v>9157673.4000000004</v>
      </c>
      <c r="J53" s="2">
        <f t="shared" si="32"/>
        <v>9939644.7200000007</v>
      </c>
      <c r="K53" s="2">
        <f t="shared" si="32"/>
        <v>8789207.2799999993</v>
      </c>
      <c r="L53" s="2">
        <f t="shared" si="32"/>
        <v>37526625</v>
      </c>
      <c r="M53" s="2">
        <f t="shared" si="32"/>
        <v>57848749</v>
      </c>
      <c r="N53" s="2">
        <f t="shared" si="32"/>
        <v>57681671</v>
      </c>
      <c r="O53" s="2">
        <f t="shared" si="32"/>
        <v>74514128</v>
      </c>
      <c r="P53" s="2">
        <f t="shared" si="32"/>
        <v>74346114</v>
      </c>
      <c r="Q53" s="2">
        <f t="shared" si="32"/>
        <v>74177625</v>
      </c>
      <c r="R53" s="2">
        <f t="shared" si="32"/>
        <v>74008653</v>
      </c>
      <c r="S53" s="2"/>
      <c r="T53" s="2">
        <f t="shared" si="32"/>
        <v>73839195</v>
      </c>
    </row>
    <row r="54" spans="6:20" ht="15.75" customHeight="1">
      <c r="F54" s="11" t="s">
        <v>8086</v>
      </c>
      <c r="G54" s="11"/>
      <c r="H54" s="2">
        <f t="shared" ref="H54:T54" si="33">+H16</f>
        <v>39719135.303733297</v>
      </c>
      <c r="I54" s="2">
        <f t="shared" si="33"/>
        <v>74575013.159555599</v>
      </c>
      <c r="J54" s="2">
        <f t="shared" si="33"/>
        <v>56734087.100000001</v>
      </c>
      <c r="K54" s="2">
        <f t="shared" si="33"/>
        <v>64368116.020000003</v>
      </c>
      <c r="L54" s="2">
        <f t="shared" si="33"/>
        <v>64473853.283333302</v>
      </c>
      <c r="M54" s="2">
        <f t="shared" si="33"/>
        <v>50450000</v>
      </c>
      <c r="N54" s="2">
        <f t="shared" si="33"/>
        <v>60450000</v>
      </c>
      <c r="O54" s="2">
        <f t="shared" si="33"/>
        <v>50450000</v>
      </c>
      <c r="P54" s="2">
        <f t="shared" si="33"/>
        <v>50450000</v>
      </c>
      <c r="Q54" s="2">
        <f t="shared" si="33"/>
        <v>50450000</v>
      </c>
      <c r="R54" s="2">
        <f t="shared" si="33"/>
        <v>50450000</v>
      </c>
      <c r="S54" s="2"/>
      <c r="T54" s="2">
        <f t="shared" si="33"/>
        <v>60450000</v>
      </c>
    </row>
    <row r="55" spans="6:20" ht="15.75" customHeight="1">
      <c r="F55" s="15" t="s">
        <v>8087</v>
      </c>
      <c r="G55" s="17"/>
      <c r="H55" s="18">
        <f t="shared" ref="H55:T55" si="34">+SUM(H50:H54)</f>
        <v>207035002.37722141</v>
      </c>
      <c r="I55" s="18">
        <f t="shared" si="34"/>
        <v>6748720858.1753178</v>
      </c>
      <c r="J55" s="18">
        <f t="shared" si="34"/>
        <v>408150578.84677947</v>
      </c>
      <c r="K55" s="18">
        <f t="shared" si="34"/>
        <v>2919563831.3366685</v>
      </c>
      <c r="L55" s="18">
        <f t="shared" si="34"/>
        <v>6642793364.133358</v>
      </c>
      <c r="M55" s="18">
        <f t="shared" si="34"/>
        <v>773335285.58835757</v>
      </c>
      <c r="N55" s="18">
        <f t="shared" si="34"/>
        <v>1150673433.2583337</v>
      </c>
      <c r="O55" s="18">
        <f t="shared" si="34"/>
        <v>8630434917.8250008</v>
      </c>
      <c r="P55" s="18">
        <f t="shared" si="34"/>
        <v>7708919993.3250008</v>
      </c>
      <c r="Q55" s="18">
        <f t="shared" si="34"/>
        <v>1012023170.9916668</v>
      </c>
      <c r="R55" s="18">
        <f t="shared" si="34"/>
        <v>15187960033.324999</v>
      </c>
      <c r="S55" s="18"/>
      <c r="T55" s="18">
        <f t="shared" si="34"/>
        <v>13998272309.032</v>
      </c>
    </row>
    <row r="56" spans="6:20" ht="15.75" customHeight="1">
      <c r="F56" s="11" t="s">
        <v>8088</v>
      </c>
      <c r="G56" s="11"/>
      <c r="H56" s="21">
        <f t="shared" ref="H56:T56" si="35">+H18</f>
        <v>0</v>
      </c>
      <c r="I56" s="21">
        <f t="shared" si="35"/>
        <v>0</v>
      </c>
      <c r="J56" s="21">
        <f t="shared" si="35"/>
        <v>0</v>
      </c>
      <c r="K56" s="21">
        <f t="shared" si="35"/>
        <v>0</v>
      </c>
      <c r="L56" s="12">
        <f t="shared" si="35"/>
        <v>0</v>
      </c>
      <c r="M56" s="12">
        <f t="shared" si="35"/>
        <v>0</v>
      </c>
      <c r="N56" s="12">
        <f t="shared" si="35"/>
        <v>0</v>
      </c>
      <c r="O56" s="12">
        <f t="shared" si="35"/>
        <v>0</v>
      </c>
      <c r="P56" s="12">
        <f t="shared" si="35"/>
        <v>0</v>
      </c>
      <c r="Q56" s="12">
        <f t="shared" si="35"/>
        <v>0</v>
      </c>
      <c r="R56" s="12">
        <f t="shared" si="35"/>
        <v>0</v>
      </c>
      <c r="S56" s="12"/>
      <c r="T56" s="21">
        <f t="shared" si="35"/>
        <v>0</v>
      </c>
    </row>
    <row r="57" spans="6:20" ht="15.75" customHeight="1">
      <c r="F57" s="11" t="s">
        <v>8089</v>
      </c>
      <c r="G57" s="11"/>
      <c r="H57" s="21">
        <f t="shared" ref="H57:T57" si="36">+H19</f>
        <v>0</v>
      </c>
      <c r="I57" s="21">
        <f t="shared" si="36"/>
        <v>0</v>
      </c>
      <c r="J57" s="21">
        <f t="shared" si="36"/>
        <v>0</v>
      </c>
      <c r="K57" s="21">
        <f t="shared" si="36"/>
        <v>0</v>
      </c>
      <c r="L57" s="12">
        <f t="shared" si="36"/>
        <v>0</v>
      </c>
      <c r="M57" s="12">
        <f t="shared" si="36"/>
        <v>0</v>
      </c>
      <c r="N57" s="12">
        <f t="shared" si="36"/>
        <v>0</v>
      </c>
      <c r="O57" s="12">
        <f t="shared" si="36"/>
        <v>0</v>
      </c>
      <c r="P57" s="12">
        <f t="shared" si="36"/>
        <v>0</v>
      </c>
      <c r="Q57" s="12">
        <f t="shared" si="36"/>
        <v>0</v>
      </c>
      <c r="R57" s="12">
        <f t="shared" si="36"/>
        <v>0</v>
      </c>
      <c r="S57" s="12"/>
      <c r="T57" s="21">
        <f t="shared" si="36"/>
        <v>0</v>
      </c>
    </row>
    <row r="58" spans="6:20" ht="15.75" customHeight="1">
      <c r="F58" s="11" t="s">
        <v>8090</v>
      </c>
      <c r="G58" s="11"/>
      <c r="H58" s="21">
        <f t="shared" ref="H58:T58" si="37">+H20</f>
        <v>0</v>
      </c>
      <c r="I58" s="21">
        <f t="shared" si="37"/>
        <v>0</v>
      </c>
      <c r="J58" s="21">
        <f t="shared" si="37"/>
        <v>0</v>
      </c>
      <c r="K58" s="21">
        <f t="shared" si="37"/>
        <v>0</v>
      </c>
      <c r="L58" s="12">
        <f t="shared" si="37"/>
        <v>0</v>
      </c>
      <c r="M58" s="12">
        <f t="shared" si="37"/>
        <v>0</v>
      </c>
      <c r="N58" s="12">
        <f t="shared" si="37"/>
        <v>0</v>
      </c>
      <c r="O58" s="12">
        <f t="shared" si="37"/>
        <v>0</v>
      </c>
      <c r="P58" s="12">
        <f t="shared" si="37"/>
        <v>0</v>
      </c>
      <c r="Q58" s="12">
        <f t="shared" si="37"/>
        <v>0</v>
      </c>
      <c r="R58" s="12">
        <f t="shared" si="37"/>
        <v>0</v>
      </c>
      <c r="S58" s="12"/>
      <c r="T58" s="21">
        <f t="shared" si="37"/>
        <v>0</v>
      </c>
    </row>
    <row r="59" spans="6:20" ht="15.75" customHeight="1">
      <c r="F59" s="15" t="s">
        <v>8434</v>
      </c>
      <c r="G59" s="17"/>
      <c r="H59" s="18">
        <f t="shared" ref="H59:T59" si="38">+SUM(H55:H58)</f>
        <v>207035002.37722141</v>
      </c>
      <c r="I59" s="18">
        <f t="shared" si="38"/>
        <v>6748720858.1753178</v>
      </c>
      <c r="J59" s="18">
        <f t="shared" si="38"/>
        <v>408150578.84677947</v>
      </c>
      <c r="K59" s="18">
        <f t="shared" si="38"/>
        <v>2919563831.3366685</v>
      </c>
      <c r="L59" s="18">
        <f t="shared" si="38"/>
        <v>6642793364.133358</v>
      </c>
      <c r="M59" s="18">
        <f t="shared" si="38"/>
        <v>773335285.58835757</v>
      </c>
      <c r="N59" s="18">
        <f t="shared" si="38"/>
        <v>1150673433.2583337</v>
      </c>
      <c r="O59" s="18">
        <f t="shared" si="38"/>
        <v>8630434917.8250008</v>
      </c>
      <c r="P59" s="18">
        <f t="shared" si="38"/>
        <v>7708919993.3250008</v>
      </c>
      <c r="Q59" s="18">
        <f t="shared" si="38"/>
        <v>1012023170.9916668</v>
      </c>
      <c r="R59" s="18">
        <f t="shared" si="38"/>
        <v>15187960033.324999</v>
      </c>
      <c r="S59" s="18"/>
      <c r="T59" s="18">
        <f t="shared" si="38"/>
        <v>13998272309.032</v>
      </c>
    </row>
    <row r="60" spans="6:20" ht="15.75" customHeight="1">
      <c r="F60" s="30"/>
      <c r="G60" s="30"/>
      <c r="H60" s="221"/>
      <c r="I60" s="221"/>
      <c r="J60" s="221"/>
      <c r="K60" s="221"/>
      <c r="L60" s="221"/>
      <c r="M60" s="337"/>
      <c r="N60" s="221"/>
      <c r="O60" s="221"/>
      <c r="P60" s="221"/>
      <c r="Q60" s="221"/>
      <c r="R60" s="221"/>
      <c r="S60" s="221"/>
      <c r="T60" s="221"/>
    </row>
    <row r="61" spans="6:20" ht="15.75" customHeight="1">
      <c r="F61" s="30"/>
      <c r="G61" s="30"/>
      <c r="H61" s="221"/>
      <c r="I61" s="221"/>
      <c r="J61" s="221"/>
      <c r="K61" s="221"/>
      <c r="L61" s="221"/>
      <c r="M61" s="337"/>
      <c r="N61" s="221"/>
      <c r="O61" s="221"/>
      <c r="P61" s="221"/>
      <c r="Q61" s="221"/>
      <c r="R61" s="221"/>
      <c r="S61" s="221"/>
      <c r="T61" s="221"/>
    </row>
    <row r="62" spans="6:20" ht="15.75" customHeight="1">
      <c r="F62" s="1"/>
      <c r="G62" s="1"/>
      <c r="H62" s="6"/>
      <c r="I62" s="2"/>
      <c r="J62" s="6"/>
      <c r="K62" s="2"/>
      <c r="L62" s="6"/>
      <c r="M62" s="6"/>
      <c r="N62" s="6"/>
      <c r="O62" s="6"/>
      <c r="P62" s="6"/>
      <c r="Q62" s="6"/>
      <c r="R62" s="6"/>
      <c r="S62" s="6"/>
      <c r="T62" s="6"/>
    </row>
    <row r="63" spans="6:20" ht="15.75" customHeight="1">
      <c r="F63" s="1"/>
      <c r="G63" s="1"/>
      <c r="H63" s="6"/>
      <c r="I63" s="2"/>
      <c r="J63" s="6"/>
      <c r="K63" s="2"/>
      <c r="L63" s="6"/>
      <c r="M63" s="6"/>
      <c r="N63" s="6"/>
      <c r="O63" s="6"/>
      <c r="P63" s="6"/>
      <c r="Q63" s="6"/>
      <c r="R63" s="6"/>
      <c r="S63" s="6"/>
      <c r="T63" s="6"/>
    </row>
    <row r="64" spans="6:20" ht="15" customHeight="1">
      <c r="L64" s="6"/>
      <c r="M64" s="6"/>
      <c r="N64" s="6"/>
      <c r="O64" s="6"/>
      <c r="P64" s="6"/>
      <c r="Q64" s="6"/>
      <c r="R64" s="6"/>
      <c r="S64" s="6"/>
    </row>
    <row r="65" spans="11:20" ht="15" customHeight="1">
      <c r="K65" s="1089"/>
      <c r="L65" s="6"/>
      <c r="M65" s="6"/>
      <c r="N65" s="6"/>
      <c r="O65" s="6"/>
      <c r="P65" s="6"/>
      <c r="Q65" s="6"/>
      <c r="R65" s="6"/>
      <c r="S65" s="6"/>
    </row>
    <row r="66" spans="11:20" ht="15" customHeight="1">
      <c r="L66" s="6"/>
      <c r="M66" s="6"/>
      <c r="N66" s="6"/>
      <c r="O66" s="6"/>
      <c r="P66" s="6"/>
      <c r="Q66" s="6"/>
      <c r="R66" s="6"/>
      <c r="S66" s="6"/>
    </row>
    <row r="67" spans="11:20" ht="15" customHeight="1">
      <c r="L67" s="6"/>
      <c r="M67" s="6"/>
      <c r="N67" s="6"/>
      <c r="O67" s="6"/>
      <c r="P67" s="6"/>
      <c r="Q67" s="6"/>
      <c r="R67" s="6"/>
      <c r="S67" s="6"/>
    </row>
    <row r="68" spans="11:20" ht="15" customHeight="1">
      <c r="L68" s="6"/>
      <c r="M68" s="6"/>
      <c r="N68" s="6"/>
      <c r="O68" s="6"/>
      <c r="P68" s="6"/>
      <c r="Q68" s="6"/>
      <c r="R68" s="6"/>
      <c r="S68" s="6"/>
    </row>
    <row r="69" spans="11:20" ht="15" customHeight="1">
      <c r="L69" s="6"/>
      <c r="M69" s="6"/>
      <c r="N69" s="6"/>
      <c r="O69" s="6"/>
      <c r="P69" s="6"/>
      <c r="Q69" s="6"/>
      <c r="R69" s="6"/>
      <c r="S69" s="6"/>
    </row>
    <row r="70" spans="11:20" ht="15" customHeight="1">
      <c r="L70" s="6"/>
      <c r="M70" s="6"/>
      <c r="N70" s="6"/>
      <c r="O70" s="6"/>
      <c r="P70" s="6"/>
      <c r="Q70" s="6"/>
      <c r="R70" s="6"/>
      <c r="S70" s="6"/>
    </row>
    <row r="71" spans="11:20" ht="15" customHeight="1">
      <c r="L71" s="6"/>
      <c r="M71" s="6"/>
      <c r="N71" s="6"/>
      <c r="O71" s="6"/>
      <c r="P71" s="6"/>
      <c r="Q71" s="6"/>
      <c r="R71" s="6"/>
      <c r="S71" s="6"/>
    </row>
    <row r="72" spans="11:20" ht="15" customHeight="1">
      <c r="L72" s="6"/>
      <c r="M72" s="6"/>
      <c r="N72" s="6"/>
      <c r="O72" s="6"/>
      <c r="P72" s="6"/>
      <c r="Q72" s="6"/>
      <c r="R72" s="6"/>
      <c r="S72" s="6"/>
    </row>
    <row r="73" spans="11:20" ht="15" customHeight="1">
      <c r="L73" s="6"/>
      <c r="M73" s="6"/>
      <c r="N73" s="6"/>
      <c r="O73" s="6"/>
      <c r="P73" s="6"/>
      <c r="Q73" s="6"/>
      <c r="R73" s="6"/>
      <c r="S73" s="6"/>
    </row>
    <row r="74" spans="11:20" ht="15" customHeight="1">
      <c r="L74" s="6"/>
      <c r="M74" s="6"/>
      <c r="N74" s="6"/>
      <c r="O74" s="6"/>
      <c r="P74" s="6"/>
      <c r="Q74" s="6"/>
      <c r="R74" s="6"/>
      <c r="S74" s="6"/>
    </row>
    <row r="75" spans="11:20" ht="15.75" customHeight="1">
      <c r="L75" s="6"/>
      <c r="M75" s="6"/>
      <c r="N75" s="6"/>
      <c r="O75" s="6"/>
      <c r="P75" s="6"/>
      <c r="Q75" s="6"/>
      <c r="R75" s="6"/>
      <c r="S75" s="6"/>
      <c r="T75" s="69" t="s">
        <v>3107</v>
      </c>
    </row>
    <row r="76" spans="11:20" ht="15" customHeight="1">
      <c r="L76" s="6"/>
      <c r="M76" s="6"/>
      <c r="N76" s="6"/>
      <c r="O76" s="6"/>
      <c r="P76" s="6"/>
      <c r="Q76" s="6"/>
      <c r="R76" s="6"/>
      <c r="S76" s="6"/>
    </row>
    <row r="77" spans="11:20" ht="15" customHeight="1">
      <c r="L77" s="6"/>
      <c r="M77" s="6"/>
      <c r="N77" s="6"/>
      <c r="O77" s="6"/>
      <c r="P77" s="6"/>
      <c r="Q77" s="6"/>
      <c r="R77" s="6"/>
      <c r="S77" s="6"/>
    </row>
    <row r="78" spans="11:20" ht="15" customHeight="1">
      <c r="L78" s="6"/>
      <c r="M78" s="6"/>
      <c r="N78" s="6"/>
      <c r="O78" s="6"/>
      <c r="P78" s="6"/>
      <c r="Q78" s="6"/>
      <c r="R78" s="6"/>
      <c r="S78" s="6"/>
    </row>
    <row r="79" spans="11:20" ht="15" customHeight="1">
      <c r="L79" s="6"/>
      <c r="M79" s="6"/>
      <c r="N79" s="6"/>
      <c r="O79" s="6"/>
      <c r="P79" s="6"/>
      <c r="Q79" s="6"/>
      <c r="R79" s="6"/>
      <c r="S79" s="6"/>
    </row>
    <row r="80" spans="11:20" ht="15" customHeight="1">
      <c r="L80" s="6"/>
      <c r="M80" s="6"/>
      <c r="N80" s="6"/>
      <c r="O80" s="6"/>
      <c r="P80" s="6"/>
      <c r="Q80" s="6"/>
      <c r="R80" s="6"/>
      <c r="S80" s="6"/>
    </row>
    <row r="81" spans="12:19" ht="15" customHeight="1">
      <c r="L81" s="6"/>
      <c r="M81" s="6"/>
      <c r="N81" s="6"/>
      <c r="O81" s="6"/>
      <c r="P81" s="6"/>
      <c r="Q81" s="6"/>
      <c r="R81" s="6"/>
      <c r="S81" s="6"/>
    </row>
    <row r="82" spans="12:19" ht="15" customHeight="1">
      <c r="L82" s="6"/>
      <c r="M82" s="6"/>
      <c r="N82" s="6"/>
      <c r="O82" s="6"/>
      <c r="P82" s="6"/>
      <c r="Q82" s="6"/>
      <c r="R82" s="6"/>
      <c r="S82" s="6"/>
    </row>
    <row r="83" spans="12:19" ht="15" customHeight="1">
      <c r="L83" s="6"/>
      <c r="M83" s="6"/>
      <c r="N83" s="6"/>
      <c r="O83" s="6"/>
      <c r="P83" s="6"/>
      <c r="Q83" s="6"/>
      <c r="R83" s="6"/>
      <c r="S83" s="6"/>
    </row>
    <row r="84" spans="12:19" ht="15" customHeight="1">
      <c r="L84" s="6"/>
      <c r="M84" s="6"/>
      <c r="N84" s="6"/>
      <c r="O84" s="6"/>
      <c r="P84" s="6"/>
      <c r="Q84" s="6"/>
      <c r="R84" s="6"/>
      <c r="S84" s="6"/>
    </row>
    <row r="85" spans="12:19" ht="15" customHeight="1">
      <c r="L85" s="6"/>
      <c r="M85" s="6"/>
      <c r="N85" s="6"/>
      <c r="O85" s="6"/>
      <c r="P85" s="6"/>
      <c r="Q85" s="6"/>
      <c r="R85" s="6"/>
      <c r="S85" s="6"/>
    </row>
    <row r="86" spans="12:19" ht="15" customHeight="1">
      <c r="L86" s="6"/>
      <c r="M86" s="6"/>
      <c r="N86" s="6"/>
      <c r="O86" s="6"/>
      <c r="P86" s="6"/>
      <c r="Q86" s="6"/>
      <c r="R86" s="6"/>
      <c r="S86" s="6"/>
    </row>
    <row r="87" spans="12:19" ht="15" customHeight="1">
      <c r="L87" s="6"/>
      <c r="M87" s="6"/>
      <c r="N87" s="2">
        <v>48530670</v>
      </c>
      <c r="O87" s="6"/>
      <c r="P87" s="6"/>
      <c r="Q87" s="6"/>
      <c r="R87" s="6"/>
      <c r="S87" s="6"/>
    </row>
    <row r="88" spans="12:19" ht="15" customHeight="1">
      <c r="L88" s="6"/>
      <c r="M88" s="6"/>
      <c r="N88" s="2">
        <v>182913578</v>
      </c>
      <c r="O88" s="6"/>
      <c r="P88" s="6"/>
      <c r="Q88" s="6"/>
      <c r="R88" s="6"/>
      <c r="S88" s="6"/>
    </row>
    <row r="89" spans="12:19" ht="15" customHeight="1">
      <c r="L89" s="6"/>
      <c r="M89" s="6"/>
      <c r="N89" s="2">
        <f>+N87+N88</f>
        <v>231444248</v>
      </c>
      <c r="O89" s="6"/>
      <c r="P89" s="6"/>
      <c r="Q89" s="6"/>
      <c r="R89" s="6"/>
      <c r="S89" s="6"/>
    </row>
    <row r="90" spans="12:19" ht="15" customHeight="1">
      <c r="L90" s="6"/>
      <c r="M90" s="6"/>
      <c r="N90" s="6"/>
      <c r="O90" s="6"/>
      <c r="P90" s="6"/>
      <c r="Q90" s="6"/>
      <c r="R90" s="6"/>
      <c r="S90" s="6"/>
    </row>
    <row r="91" spans="12:19" ht="15" customHeight="1">
      <c r="L91" s="6"/>
      <c r="M91" s="6"/>
      <c r="N91" s="6"/>
      <c r="O91" s="6"/>
      <c r="P91" s="6"/>
      <c r="Q91" s="6"/>
      <c r="R91" s="6"/>
      <c r="S91" s="6"/>
    </row>
    <row r="92" spans="12:19" ht="15" customHeight="1">
      <c r="L92" s="6"/>
      <c r="M92" s="6"/>
      <c r="N92" s="6"/>
      <c r="O92" s="6"/>
      <c r="P92" s="6"/>
      <c r="Q92" s="6"/>
      <c r="R92" s="6"/>
      <c r="S92" s="6"/>
    </row>
    <row r="93" spans="12:19" ht="15" customHeight="1">
      <c r="L93" s="6"/>
      <c r="M93" s="6"/>
      <c r="N93" s="6"/>
      <c r="O93" s="6"/>
      <c r="P93" s="6"/>
      <c r="Q93" s="6"/>
      <c r="R93" s="6"/>
      <c r="S93" s="6"/>
    </row>
    <row r="94" spans="12:19" ht="15" customHeight="1">
      <c r="L94" s="6"/>
      <c r="M94" s="6"/>
      <c r="N94" s="6"/>
      <c r="O94" s="6"/>
      <c r="P94" s="6"/>
      <c r="Q94" s="6"/>
      <c r="R94" s="6"/>
      <c r="S94" s="6"/>
    </row>
    <row r="95" spans="12:19" ht="15" customHeight="1">
      <c r="L95" s="6"/>
      <c r="M95" s="6"/>
      <c r="N95" s="6"/>
      <c r="O95" s="6"/>
      <c r="P95" s="6"/>
      <c r="Q95" s="6"/>
      <c r="R95" s="6"/>
      <c r="S95" s="6"/>
    </row>
    <row r="96" spans="12:19" ht="15" customHeight="1">
      <c r="L96" s="6"/>
      <c r="M96" s="6"/>
      <c r="N96" s="6"/>
      <c r="O96" s="6"/>
      <c r="P96" s="6"/>
      <c r="Q96" s="6"/>
      <c r="R96" s="6"/>
      <c r="S96" s="6"/>
    </row>
    <row r="97" spans="12:19" ht="15" customHeight="1">
      <c r="L97" s="6"/>
      <c r="M97" s="6"/>
      <c r="N97" s="6"/>
      <c r="O97" s="6"/>
      <c r="P97" s="6"/>
      <c r="Q97" s="6"/>
      <c r="R97" s="6"/>
      <c r="S97" s="6"/>
    </row>
    <row r="98" spans="12:19" ht="15" customHeight="1">
      <c r="L98" s="6"/>
      <c r="M98" s="6"/>
      <c r="N98" s="6"/>
      <c r="O98" s="6"/>
      <c r="P98" s="6"/>
      <c r="Q98" s="6"/>
      <c r="R98" s="6"/>
      <c r="S98" s="6"/>
    </row>
    <row r="99" spans="12:19" ht="15" customHeight="1">
      <c r="L99" s="6"/>
      <c r="M99" s="6"/>
      <c r="N99" s="6"/>
      <c r="O99" s="6"/>
      <c r="P99" s="6"/>
      <c r="Q99" s="6"/>
      <c r="R99" s="6"/>
      <c r="S99" s="6"/>
    </row>
    <row r="100" spans="12:19" ht="15" customHeight="1">
      <c r="L100" s="6"/>
      <c r="M100" s="6"/>
      <c r="N100" s="6"/>
      <c r="O100" s="6"/>
      <c r="P100" s="6"/>
      <c r="Q100" s="6"/>
      <c r="R100" s="6"/>
      <c r="S100" s="6"/>
    </row>
    <row r="101" spans="12:19" ht="15" customHeight="1">
      <c r="L101" s="6"/>
      <c r="M101" s="6"/>
      <c r="N101" s="6"/>
      <c r="O101" s="6"/>
      <c r="P101" s="6"/>
      <c r="Q101" s="6"/>
      <c r="R101" s="6"/>
      <c r="S101" s="6"/>
    </row>
    <row r="102" spans="12:19" ht="15" customHeight="1">
      <c r="L102" s="6"/>
      <c r="M102" s="6"/>
      <c r="N102" s="6"/>
      <c r="O102" s="6"/>
      <c r="P102" s="6"/>
      <c r="Q102" s="6"/>
      <c r="R102" s="6"/>
      <c r="S102" s="6"/>
    </row>
    <row r="103" spans="12:19" ht="15" customHeight="1">
      <c r="L103" s="6"/>
      <c r="M103" s="6"/>
      <c r="N103" s="6"/>
      <c r="O103" s="6"/>
      <c r="P103" s="6"/>
      <c r="Q103" s="6"/>
      <c r="R103" s="6"/>
      <c r="S103" s="6"/>
    </row>
    <row r="104" spans="12:19" ht="15" customHeight="1">
      <c r="L104" s="6"/>
      <c r="M104" s="6"/>
      <c r="N104" s="6"/>
      <c r="O104" s="6"/>
      <c r="P104" s="6"/>
      <c r="Q104" s="6"/>
      <c r="R104" s="6"/>
      <c r="S104" s="6"/>
    </row>
    <row r="105" spans="12:19" ht="15" customHeight="1">
      <c r="L105" s="6"/>
      <c r="M105" s="6"/>
      <c r="N105" s="6"/>
      <c r="O105" s="6"/>
      <c r="P105" s="6"/>
      <c r="Q105" s="6"/>
      <c r="R105" s="6"/>
      <c r="S105" s="6"/>
    </row>
    <row r="106" spans="12:19" ht="15" customHeight="1">
      <c r="L106" s="6"/>
      <c r="M106" s="6"/>
      <c r="N106" s="6"/>
      <c r="O106" s="6"/>
      <c r="P106" s="6"/>
      <c r="Q106" s="6"/>
      <c r="R106" s="6"/>
      <c r="S106" s="6"/>
    </row>
    <row r="107" spans="12:19" ht="15" customHeight="1">
      <c r="L107" s="6"/>
      <c r="M107" s="6"/>
      <c r="N107" s="6"/>
      <c r="O107" s="6"/>
      <c r="P107" s="6"/>
      <c r="Q107" s="6"/>
      <c r="R107" s="6"/>
      <c r="S107" s="6"/>
    </row>
    <row r="108" spans="12:19" ht="15" customHeight="1">
      <c r="L108" s="6"/>
      <c r="M108" s="6"/>
      <c r="N108" s="6"/>
      <c r="O108" s="6"/>
      <c r="P108" s="6"/>
      <c r="Q108" s="6"/>
      <c r="R108" s="6"/>
      <c r="S108" s="6"/>
    </row>
    <row r="109" spans="12:19" ht="15" customHeight="1">
      <c r="L109" s="6"/>
      <c r="M109" s="6"/>
      <c r="N109" s="6"/>
      <c r="O109" s="6"/>
      <c r="P109" s="6"/>
      <c r="Q109" s="6"/>
      <c r="R109" s="6"/>
      <c r="S109" s="6"/>
    </row>
    <row r="110" spans="12:19" ht="15" customHeight="1">
      <c r="L110" s="6"/>
      <c r="M110" s="6"/>
      <c r="N110" s="6"/>
      <c r="O110" s="6"/>
      <c r="P110" s="6"/>
      <c r="Q110" s="6"/>
      <c r="R110" s="6"/>
      <c r="S110" s="6"/>
    </row>
    <row r="111" spans="12:19" ht="15" customHeight="1">
      <c r="L111" s="6"/>
      <c r="M111" s="6"/>
      <c r="N111" s="6"/>
      <c r="O111" s="6"/>
      <c r="P111" s="6"/>
      <c r="Q111" s="6"/>
      <c r="R111" s="6"/>
      <c r="S111" s="6"/>
    </row>
    <row r="112" spans="12:19" ht="15" customHeight="1">
      <c r="L112" s="6"/>
      <c r="M112" s="6"/>
      <c r="N112" s="6"/>
      <c r="O112" s="6"/>
      <c r="P112" s="6"/>
      <c r="Q112" s="6"/>
      <c r="R112" s="6"/>
      <c r="S112" s="6"/>
    </row>
    <row r="113" spans="12:19" ht="15" customHeight="1">
      <c r="L113" s="6"/>
      <c r="M113" s="6"/>
      <c r="N113" s="6"/>
      <c r="O113" s="6"/>
      <c r="P113" s="6"/>
      <c r="Q113" s="6"/>
      <c r="R113" s="6"/>
      <c r="S113" s="6"/>
    </row>
    <row r="114" spans="12:19" ht="15" customHeight="1">
      <c r="L114" s="6"/>
      <c r="M114" s="6"/>
      <c r="N114" s="6"/>
      <c r="O114" s="6"/>
      <c r="P114" s="6"/>
      <c r="Q114" s="6"/>
      <c r="R114" s="6"/>
      <c r="S114" s="6"/>
    </row>
    <row r="115" spans="12:19" ht="15" customHeight="1">
      <c r="L115" s="6"/>
      <c r="M115" s="6"/>
      <c r="N115" s="6"/>
      <c r="O115" s="6"/>
      <c r="P115" s="6"/>
      <c r="Q115" s="6"/>
      <c r="R115" s="6"/>
      <c r="S115" s="6"/>
    </row>
    <row r="116" spans="12:19" ht="15" customHeight="1">
      <c r="L116" s="6"/>
      <c r="M116" s="6"/>
      <c r="N116" s="6"/>
      <c r="O116" s="6"/>
      <c r="P116" s="6"/>
      <c r="Q116" s="6"/>
      <c r="R116" s="6"/>
      <c r="S116" s="6"/>
    </row>
    <row r="117" spans="12:19" ht="15" customHeight="1">
      <c r="L117" s="6"/>
      <c r="M117" s="6"/>
      <c r="N117" s="6"/>
      <c r="O117" s="6"/>
      <c r="P117" s="6"/>
      <c r="Q117" s="6"/>
      <c r="R117" s="6"/>
      <c r="S117" s="6"/>
    </row>
    <row r="118" spans="12:19" ht="15" customHeight="1">
      <c r="L118" s="6"/>
      <c r="M118" s="6"/>
      <c r="N118" s="6"/>
      <c r="O118" s="6"/>
      <c r="P118" s="6"/>
      <c r="Q118" s="6"/>
      <c r="R118" s="6"/>
      <c r="S118" s="6"/>
    </row>
    <row r="119" spans="12:19" ht="15" customHeight="1">
      <c r="L119" s="6"/>
      <c r="M119" s="6"/>
      <c r="N119" s="6"/>
      <c r="O119" s="6"/>
      <c r="P119" s="6"/>
      <c r="Q119" s="6"/>
      <c r="R119" s="6"/>
      <c r="S119" s="6"/>
    </row>
    <row r="120" spans="12:19" ht="15" customHeight="1">
      <c r="L120" s="6"/>
      <c r="M120" s="6"/>
      <c r="N120" s="6"/>
      <c r="O120" s="6"/>
      <c r="P120" s="6"/>
      <c r="Q120" s="6"/>
      <c r="R120" s="6"/>
      <c r="S120" s="6"/>
    </row>
    <row r="121" spans="12:19" ht="15" customHeight="1">
      <c r="L121" s="6"/>
      <c r="M121" s="6"/>
      <c r="N121" s="6"/>
      <c r="O121" s="6"/>
      <c r="P121" s="6"/>
      <c r="Q121" s="6"/>
      <c r="R121" s="6"/>
      <c r="S121" s="6"/>
    </row>
    <row r="122" spans="12:19" ht="15" customHeight="1">
      <c r="L122" s="6"/>
      <c r="M122" s="6"/>
      <c r="N122" s="6"/>
      <c r="O122" s="6"/>
      <c r="P122" s="6"/>
      <c r="Q122" s="6"/>
      <c r="R122" s="6"/>
      <c r="S122" s="6"/>
    </row>
    <row r="123" spans="12:19" ht="15" customHeight="1">
      <c r="L123" s="6"/>
      <c r="M123" s="6"/>
      <c r="N123" s="6"/>
      <c r="O123" s="6"/>
      <c r="P123" s="6"/>
      <c r="Q123" s="6"/>
      <c r="R123" s="6"/>
      <c r="S123" s="6"/>
    </row>
    <row r="124" spans="12:19" ht="15" customHeight="1">
      <c r="L124" s="6"/>
      <c r="M124" s="6"/>
      <c r="N124" s="6"/>
      <c r="O124" s="6"/>
      <c r="P124" s="6"/>
      <c r="Q124" s="6"/>
      <c r="R124" s="6"/>
      <c r="S124" s="6"/>
    </row>
    <row r="125" spans="12:19" ht="15" customHeight="1">
      <c r="L125" s="6"/>
      <c r="M125" s="6"/>
      <c r="N125" s="6"/>
      <c r="O125" s="6"/>
      <c r="P125" s="6"/>
      <c r="Q125" s="6"/>
      <c r="R125" s="6"/>
      <c r="S125" s="6"/>
    </row>
    <row r="126" spans="12:19" ht="15" customHeight="1">
      <c r="L126" s="6"/>
      <c r="M126" s="6"/>
      <c r="N126" s="6"/>
      <c r="O126" s="6"/>
      <c r="P126" s="6"/>
      <c r="Q126" s="6"/>
      <c r="R126" s="6"/>
      <c r="S126" s="6"/>
    </row>
    <row r="127" spans="12:19" ht="15" customHeight="1">
      <c r="L127" s="6"/>
      <c r="M127" s="6"/>
      <c r="N127" s="6"/>
      <c r="O127" s="6"/>
      <c r="P127" s="6"/>
      <c r="Q127" s="6"/>
      <c r="R127" s="6"/>
      <c r="S127" s="6"/>
    </row>
    <row r="128" spans="12:19" ht="15" customHeight="1">
      <c r="L128" s="6"/>
      <c r="M128" s="6"/>
      <c r="N128" s="6"/>
      <c r="O128" s="6"/>
      <c r="P128" s="6"/>
      <c r="Q128" s="6"/>
      <c r="R128" s="6"/>
      <c r="S128" s="6"/>
    </row>
    <row r="129" spans="12:19" ht="15" customHeight="1">
      <c r="L129" s="6"/>
      <c r="M129" s="6"/>
      <c r="N129" s="6"/>
      <c r="O129" s="6"/>
      <c r="P129" s="6"/>
      <c r="Q129" s="6"/>
      <c r="R129" s="6"/>
      <c r="S129" s="6"/>
    </row>
    <row r="130" spans="12:19" ht="15" customHeight="1">
      <c r="L130" s="6"/>
      <c r="M130" s="6"/>
      <c r="N130" s="6"/>
      <c r="O130" s="6"/>
      <c r="P130" s="6"/>
      <c r="Q130" s="6"/>
      <c r="R130" s="6"/>
      <c r="S130" s="6"/>
    </row>
    <row r="131" spans="12:19" ht="15" customHeight="1">
      <c r="L131" s="6"/>
      <c r="M131" s="6"/>
      <c r="N131" s="6"/>
      <c r="O131" s="6"/>
      <c r="P131" s="6"/>
      <c r="Q131" s="6"/>
      <c r="R131" s="6"/>
      <c r="S131" s="6"/>
    </row>
    <row r="132" spans="12:19" ht="15" customHeight="1">
      <c r="L132" s="6"/>
      <c r="M132" s="6"/>
      <c r="N132" s="6"/>
      <c r="O132" s="6"/>
      <c r="P132" s="6"/>
      <c r="Q132" s="6"/>
      <c r="R132" s="6"/>
      <c r="S132" s="6"/>
    </row>
    <row r="133" spans="12:19" ht="15" customHeight="1">
      <c r="L133" s="6"/>
      <c r="M133" s="6"/>
      <c r="N133" s="6"/>
      <c r="O133" s="6"/>
      <c r="P133" s="6"/>
      <c r="Q133" s="6"/>
      <c r="R133" s="6"/>
      <c r="S133" s="6"/>
    </row>
    <row r="134" spans="12:19" ht="15" customHeight="1">
      <c r="L134" s="6"/>
      <c r="M134" s="6"/>
      <c r="N134" s="6"/>
      <c r="O134" s="6"/>
      <c r="P134" s="6"/>
      <c r="Q134" s="6"/>
      <c r="R134" s="6"/>
      <c r="S134" s="6"/>
    </row>
    <row r="135" spans="12:19" ht="15" customHeight="1">
      <c r="L135" s="6"/>
      <c r="M135" s="6"/>
      <c r="N135" s="6"/>
      <c r="O135" s="6"/>
      <c r="P135" s="6"/>
      <c r="Q135" s="6"/>
      <c r="R135" s="6"/>
      <c r="S135" s="6"/>
    </row>
    <row r="136" spans="12:19" ht="15" customHeight="1">
      <c r="L136" s="6"/>
      <c r="M136" s="6"/>
      <c r="N136" s="6"/>
      <c r="O136" s="6"/>
      <c r="P136" s="6"/>
      <c r="Q136" s="6"/>
      <c r="R136" s="6"/>
      <c r="S136" s="6"/>
    </row>
    <row r="137" spans="12:19" ht="15" customHeight="1">
      <c r="L137" s="6"/>
      <c r="M137" s="6"/>
      <c r="N137" s="6"/>
      <c r="O137" s="6"/>
      <c r="P137" s="6"/>
      <c r="Q137" s="6"/>
      <c r="R137" s="6"/>
      <c r="S137" s="6"/>
    </row>
    <row r="138" spans="12:19" ht="15" customHeight="1">
      <c r="L138" s="6"/>
      <c r="M138" s="6"/>
      <c r="N138" s="6"/>
      <c r="O138" s="6"/>
      <c r="P138" s="6"/>
      <c r="Q138" s="6"/>
      <c r="R138" s="6"/>
      <c r="S138" s="6"/>
    </row>
    <row r="139" spans="12:19" ht="15" customHeight="1">
      <c r="L139" s="6"/>
      <c r="M139" s="6"/>
      <c r="N139" s="6"/>
      <c r="O139" s="6"/>
      <c r="P139" s="6"/>
      <c r="Q139" s="6"/>
      <c r="R139" s="6"/>
      <c r="S139" s="6"/>
    </row>
    <row r="140" spans="12:19" ht="15" customHeight="1">
      <c r="L140" s="6"/>
      <c r="M140" s="6"/>
      <c r="N140" s="6"/>
      <c r="O140" s="6"/>
      <c r="P140" s="6"/>
      <c r="Q140" s="6"/>
      <c r="R140" s="6"/>
      <c r="S140" s="6"/>
    </row>
    <row r="141" spans="12:19" ht="15" customHeight="1">
      <c r="L141" s="6"/>
      <c r="M141" s="6"/>
      <c r="N141" s="6"/>
      <c r="O141" s="6"/>
      <c r="P141" s="6"/>
      <c r="Q141" s="6"/>
      <c r="R141" s="6"/>
      <c r="S141" s="6"/>
    </row>
    <row r="142" spans="12:19" ht="15" customHeight="1">
      <c r="L142" s="6"/>
      <c r="M142" s="6"/>
      <c r="N142" s="6"/>
      <c r="O142" s="6"/>
      <c r="P142" s="6"/>
      <c r="Q142" s="6"/>
      <c r="R142" s="6"/>
      <c r="S142" s="6"/>
    </row>
  </sheetData>
  <mergeCells count="2">
    <mergeCell ref="E28:E29"/>
    <mergeCell ref="E24:E26"/>
  </mergeCells>
  <conditionalFormatting sqref="H40:V40">
    <cfRule type="expression" dxfId="1" priority="1">
      <formula>H40&lt;0</formula>
    </cfRule>
    <cfRule type="expression" dxfId="0" priority="2">
      <formula>H40&gt;0</formula>
    </cfRule>
  </conditionalFormatting>
  <pageMargins left="0.7" right="0.7" top="0.75" bottom="0.75" header="0" footer="0"/>
  <pageSetup orientation="landscape" r:id="rId1"/>
  <ignoredErrors>
    <ignoredError sqref="V17:V23 V32" formula="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16184-2CFF-4778-B53D-AE8C3F1B3CDC}">
  <sheetPr>
    <tabColor theme="9" tint="-0.249977111117893"/>
  </sheetPr>
  <dimension ref="B2:M93"/>
  <sheetViews>
    <sheetView topLeftCell="A9" zoomScale="84" zoomScaleNormal="70" workbookViewId="0">
      <selection activeCell="K37" sqref="K37"/>
    </sheetView>
  </sheetViews>
  <sheetFormatPr defaultColWidth="11.3828125" defaultRowHeight="12.45" zeroHeight="1"/>
  <cols>
    <col min="1" max="1" width="11.3828125" style="6"/>
    <col min="2" max="2" width="45.84375" style="6" bestFit="1" customWidth="1"/>
    <col min="3" max="3" width="19" style="6" hidden="1" customWidth="1"/>
    <col min="4" max="4" width="18.53515625" style="6" hidden="1" customWidth="1"/>
    <col min="5" max="5" width="16.3828125" style="6" hidden="1" customWidth="1"/>
    <col min="6" max="6" width="17" style="6" hidden="1" customWidth="1"/>
    <col min="7" max="8" width="19.53515625" style="6" bestFit="1" customWidth="1"/>
    <col min="9" max="9" width="24.3828125" style="6" hidden="1" customWidth="1"/>
    <col min="10" max="10" width="19.3828125" style="6" customWidth="1"/>
    <col min="11" max="11" width="17.3046875" style="6" customWidth="1"/>
    <col min="12" max="12" width="15.84375" style="6" bestFit="1" customWidth="1"/>
    <col min="13" max="13" width="15.3828125" style="6" bestFit="1" customWidth="1"/>
    <col min="14" max="16383" width="11.3828125" style="6"/>
    <col min="16384" max="16384" width="11.3828125" style="6" bestFit="1"/>
  </cols>
  <sheetData>
    <row r="2" spans="2:11"/>
    <row r="3" spans="2:11">
      <c r="D3" s="160">
        <v>2020</v>
      </c>
      <c r="E3" s="160">
        <v>2021</v>
      </c>
      <c r="F3" s="160">
        <v>2022</v>
      </c>
      <c r="G3" s="160">
        <v>2023</v>
      </c>
      <c r="H3" s="160">
        <v>2024</v>
      </c>
    </row>
    <row r="4" spans="2:11">
      <c r="B4" s="1228" t="s">
        <v>8569</v>
      </c>
      <c r="C4" s="1228"/>
      <c r="D4" s="92"/>
      <c r="E4" s="161" t="s">
        <v>8570</v>
      </c>
      <c r="F4" s="162">
        <f>+E11/D11-1</f>
        <v>4.0193349733990775</v>
      </c>
      <c r="G4" s="162">
        <f>+F11/E11-1</f>
        <v>0.82400671493297195</v>
      </c>
      <c r="H4" s="162">
        <f>+G11/F11-1</f>
        <v>12.325149161094711</v>
      </c>
    </row>
    <row r="5" spans="2:11">
      <c r="B5" s="1228" t="s">
        <v>8571</v>
      </c>
      <c r="C5" s="1228"/>
      <c r="D5" s="92"/>
      <c r="E5" s="92"/>
      <c r="F5" s="162">
        <v>1</v>
      </c>
      <c r="G5" s="163">
        <f>+F12/E12-1</f>
        <v>49.401396610420015</v>
      </c>
      <c r="H5" s="163">
        <f>+G12/F12-1</f>
        <v>4.1454538908860092</v>
      </c>
    </row>
    <row r="6" spans="2:11">
      <c r="B6" s="1228" t="s">
        <v>8572</v>
      </c>
      <c r="C6" s="1228"/>
      <c r="D6" s="92"/>
      <c r="E6" s="92"/>
      <c r="F6" s="92"/>
      <c r="G6" s="92"/>
      <c r="H6" s="162">
        <v>0.18</v>
      </c>
    </row>
    <row r="7" spans="2:11"/>
    <row r="8" spans="2:11">
      <c r="B8" s="1229" t="s">
        <v>30</v>
      </c>
      <c r="C8" s="1230"/>
      <c r="D8" s="1230"/>
      <c r="E8" s="1230"/>
      <c r="F8" s="1230"/>
      <c r="G8" s="1230"/>
      <c r="H8" s="1230"/>
    </row>
    <row r="9" spans="2:11">
      <c r="B9" s="3"/>
      <c r="C9" s="7">
        <v>2020</v>
      </c>
      <c r="D9" s="7">
        <v>2021</v>
      </c>
      <c r="E9" s="7">
        <v>2022</v>
      </c>
      <c r="F9" s="7">
        <v>2023</v>
      </c>
      <c r="G9" s="406" t="s">
        <v>8573</v>
      </c>
      <c r="H9" s="415" t="s">
        <v>8574</v>
      </c>
      <c r="I9" s="415" t="s">
        <v>8575</v>
      </c>
      <c r="K9"/>
    </row>
    <row r="10" spans="2:11" hidden="1">
      <c r="B10" s="1"/>
      <c r="C10" s="160">
        <v>2020</v>
      </c>
      <c r="D10" s="160">
        <v>2021</v>
      </c>
      <c r="E10" s="160">
        <v>2022</v>
      </c>
      <c r="F10" s="160">
        <v>2023</v>
      </c>
      <c r="G10" s="7" t="s">
        <v>8573</v>
      </c>
      <c r="H10" s="407" t="s">
        <v>8576</v>
      </c>
      <c r="I10" s="407" t="s">
        <v>8576</v>
      </c>
    </row>
    <row r="11" spans="2:11">
      <c r="B11" s="11" t="s">
        <v>8577</v>
      </c>
      <c r="C11" s="12">
        <v>0</v>
      </c>
      <c r="D11" s="12">
        <v>282509000</v>
      </c>
      <c r="E11" s="12">
        <v>1418007304</v>
      </c>
      <c r="F11" s="12">
        <f>2755586609.32-F12</f>
        <v>2586454844.3200002</v>
      </c>
      <c r="G11" s="12">
        <f>+SUM('Cierre real'!H6:T6)</f>
        <v>34464896599</v>
      </c>
      <c r="H11" s="12">
        <v>18922822215.599998</v>
      </c>
      <c r="I11" s="433">
        <f>+G11/H11</f>
        <v>1.8213401894452665</v>
      </c>
      <c r="K11" s="366"/>
    </row>
    <row r="12" spans="2:11">
      <c r="B12" s="11" t="s">
        <v>8078</v>
      </c>
      <c r="C12" s="12">
        <v>0</v>
      </c>
      <c r="D12" s="12"/>
      <c r="E12" s="12">
        <v>3355696</v>
      </c>
      <c r="F12" s="12">
        <v>169131765</v>
      </c>
      <c r="G12" s="2">
        <f>+SUM('Cierre real'!H8:T8)</f>
        <v>870259698.29166818</v>
      </c>
      <c r="H12" s="2">
        <f>+SUM('Proyección 2024'!H10:S10)+SUM('Proyección 2024'!H12:S12)</f>
        <v>717367624.33252442</v>
      </c>
      <c r="I12" s="433">
        <f t="shared" ref="I12:I38" si="0">+G12/H12</f>
        <v>1.2131293199932216</v>
      </c>
      <c r="K12" s="366"/>
    </row>
    <row r="13" spans="2:11">
      <c r="B13" s="11" t="s">
        <v>8578</v>
      </c>
      <c r="C13" s="12"/>
      <c r="D13" s="12"/>
      <c r="E13" s="12"/>
      <c r="F13" s="12"/>
      <c r="G13" s="2">
        <f>+SUM('Cierre real'!H10:T10)</f>
        <v>587196093.23999989</v>
      </c>
      <c r="H13" s="2"/>
      <c r="I13" s="433"/>
      <c r="K13" s="366"/>
    </row>
    <row r="14" spans="2:11">
      <c r="B14" s="11" t="s">
        <v>8579</v>
      </c>
      <c r="C14" s="2">
        <v>0</v>
      </c>
      <c r="D14" s="2">
        <v>156771000</v>
      </c>
      <c r="E14" s="2">
        <f>755508606+200203394</f>
        <v>955712000</v>
      </c>
      <c r="F14" s="2">
        <v>1134026721.0899999</v>
      </c>
      <c r="G14" s="2">
        <f>-SUM('Cierre real'!H7:T7)-SUM('Cierre real'!H9:T9)+13499000</f>
        <v>-26262448802.978333</v>
      </c>
      <c r="H14" s="2">
        <v>14460731708.889999</v>
      </c>
      <c r="I14" s="433">
        <f t="shared" si="0"/>
        <v>-1.8161217102750764</v>
      </c>
      <c r="K14" s="366"/>
    </row>
    <row r="15" spans="2:11">
      <c r="B15" s="15" t="s">
        <v>8082</v>
      </c>
      <c r="C15" s="16">
        <f>+C11+C12-C14</f>
        <v>0</v>
      </c>
      <c r="D15" s="16">
        <f t="shared" ref="D15:H15" si="1">+D11+D12-D14</f>
        <v>125738000</v>
      </c>
      <c r="E15" s="16">
        <f t="shared" si="1"/>
        <v>465651000</v>
      </c>
      <c r="F15" s="16">
        <f>+F11+F12-F14</f>
        <v>1621559888.2300003</v>
      </c>
      <c r="G15" s="16">
        <f>+G11-G14+G12+G13</f>
        <v>62184801193.510002</v>
      </c>
      <c r="H15" s="16">
        <f t="shared" si="1"/>
        <v>5179458131.0425224</v>
      </c>
      <c r="I15" s="433">
        <f>+G15/H15</f>
        <v>12.006043802306678</v>
      </c>
      <c r="J15" s="2"/>
    </row>
    <row r="16" spans="2:11" ht="24.9">
      <c r="B16" s="147" t="s">
        <v>8083</v>
      </c>
      <c r="C16" s="12">
        <v>0</v>
      </c>
      <c r="D16" s="12">
        <f>103515000+50871000-364000</f>
        <v>154022000</v>
      </c>
      <c r="E16" s="12">
        <v>394738000</v>
      </c>
      <c r="F16" s="12">
        <v>663892005.57999992</v>
      </c>
      <c r="G16" s="12">
        <f>-SUM('Cierre real'!H13:T16)</f>
        <v>-3189582584.7047014</v>
      </c>
      <c r="H16" s="12" t="e">
        <f>-SUM('Proyección 2024'!H14:S17)</f>
        <v>#REF!</v>
      </c>
      <c r="I16" s="408"/>
      <c r="K16" s="2"/>
    </row>
    <row r="17" spans="2:12">
      <c r="B17" s="11" t="s">
        <v>8580</v>
      </c>
      <c r="C17" s="12">
        <v>0</v>
      </c>
      <c r="D17" s="12"/>
      <c r="E17" s="12">
        <v>4777000</v>
      </c>
      <c r="F17" s="12">
        <v>498923136.62442559</v>
      </c>
      <c r="G17" s="12">
        <f>+(3440000000)/3</f>
        <v>1146666666.6666667</v>
      </c>
      <c r="H17" s="12">
        <f>+(3440000000)/3</f>
        <v>1146666666.6666667</v>
      </c>
      <c r="I17" s="408"/>
    </row>
    <row r="18" spans="2:12">
      <c r="B18" s="15" t="s">
        <v>8559</v>
      </c>
      <c r="C18" s="16">
        <f>+C15-C16-C17</f>
        <v>0</v>
      </c>
      <c r="D18" s="16">
        <f>+D15-D16-D17</f>
        <v>-28284000</v>
      </c>
      <c r="E18" s="16">
        <f t="shared" ref="E18:F18" si="2">+E15-E16-E17</f>
        <v>66136000</v>
      </c>
      <c r="F18" s="16">
        <f t="shared" si="2"/>
        <v>458744746.02557474</v>
      </c>
      <c r="G18" s="16">
        <f>+G15-G16-G17</f>
        <v>64227717111.548042</v>
      </c>
      <c r="H18" s="16" t="e">
        <f>+H15-H16-H17</f>
        <v>#REF!</v>
      </c>
      <c r="I18" s="433" t="e">
        <f t="shared" si="0"/>
        <v>#REF!</v>
      </c>
    </row>
    <row r="19" spans="2:12">
      <c r="B19" s="11" t="s">
        <v>8088</v>
      </c>
      <c r="C19" s="12">
        <v>0</v>
      </c>
      <c r="D19" s="12"/>
      <c r="E19" s="12">
        <v>-7650000</v>
      </c>
      <c r="F19" s="12">
        <f>-123473000-44346748</f>
        <v>-167819748</v>
      </c>
      <c r="G19" s="12">
        <f>-G18*15%</f>
        <v>-9634157566.7322063</v>
      </c>
      <c r="H19" s="12" t="e">
        <f>-H18*15%</f>
        <v>#REF!</v>
      </c>
      <c r="I19" s="408" t="e">
        <f t="shared" si="0"/>
        <v>#REF!</v>
      </c>
    </row>
    <row r="20" spans="2:12">
      <c r="B20" s="11" t="s">
        <v>8089</v>
      </c>
      <c r="C20" s="12">
        <v>0</v>
      </c>
      <c r="D20" s="12">
        <v>-1156000</v>
      </c>
      <c r="E20" s="12">
        <v>-8567000</v>
      </c>
      <c r="F20" s="12">
        <v>-16668000</v>
      </c>
      <c r="G20" s="12">
        <f>-(G11+G12)*0.006</f>
        <v>-212010937.78375003</v>
      </c>
      <c r="H20" s="12">
        <f>-(H11+H12)*0.006</f>
        <v>-117841139.03959513</v>
      </c>
      <c r="I20" s="408">
        <f t="shared" si="0"/>
        <v>1.7991249873485478</v>
      </c>
    </row>
    <row r="21" spans="2:12" hidden="1">
      <c r="B21" s="11" t="s">
        <v>8581</v>
      </c>
      <c r="C21" s="12">
        <v>0</v>
      </c>
      <c r="D21" s="12"/>
      <c r="E21" s="12"/>
      <c r="F21" s="12"/>
      <c r="G21" s="12">
        <f>-G19-G20</f>
        <v>9846168504.5159569</v>
      </c>
      <c r="H21" s="12"/>
      <c r="I21" s="408"/>
    </row>
    <row r="22" spans="2:12">
      <c r="B22" s="15" t="s">
        <v>8091</v>
      </c>
      <c r="C22" s="16">
        <f t="shared" ref="C22:D22" si="3">+C18+C19+C20</f>
        <v>0</v>
      </c>
      <c r="D22" s="16">
        <f t="shared" si="3"/>
        <v>-29440000</v>
      </c>
      <c r="E22" s="16">
        <f>+E18+E19+E20</f>
        <v>49919000</v>
      </c>
      <c r="F22" s="16">
        <f>+F18+F19+F20</f>
        <v>274256998.02557474</v>
      </c>
      <c r="G22" s="18">
        <f>+G18+G19+G20+G21</f>
        <v>64227717111.548035</v>
      </c>
      <c r="H22" s="18" t="e">
        <f>+H18+H19+H20+H21</f>
        <v>#REF!</v>
      </c>
      <c r="I22" s="432" t="e">
        <f t="shared" si="0"/>
        <v>#REF!</v>
      </c>
    </row>
    <row r="23" spans="2:12">
      <c r="B23" s="11" t="s">
        <v>8092</v>
      </c>
      <c r="C23" s="12">
        <v>0</v>
      </c>
      <c r="D23" s="12"/>
      <c r="E23" s="12">
        <f>-E17</f>
        <v>-4777000</v>
      </c>
      <c r="F23" s="12">
        <f>+F17</f>
        <v>498923136.62442559</v>
      </c>
      <c r="G23" s="12">
        <f>+G17</f>
        <v>1146666666.6666667</v>
      </c>
      <c r="H23" s="12">
        <f>+H17</f>
        <v>1146666666.6666667</v>
      </c>
      <c r="I23" s="408">
        <f t="shared" ref="I23:I31" si="4">+G23/H23</f>
        <v>1</v>
      </c>
    </row>
    <row r="24" spans="2:12">
      <c r="B24" s="22" t="s">
        <v>8093</v>
      </c>
      <c r="C24" s="16">
        <f t="shared" ref="C24:D24" si="5">+C22+C23</f>
        <v>0</v>
      </c>
      <c r="D24" s="16">
        <f t="shared" si="5"/>
        <v>-29440000</v>
      </c>
      <c r="E24" s="16">
        <f>+E22+E23</f>
        <v>45142000</v>
      </c>
      <c r="F24" s="16">
        <f t="shared" ref="F24:G24" si="6">+F22+F23</f>
        <v>773180134.65000033</v>
      </c>
      <c r="G24" s="16">
        <f t="shared" si="6"/>
        <v>65374383778.214699</v>
      </c>
      <c r="H24" s="16" t="e">
        <f t="shared" ref="H24" si="7">+H22+H23</f>
        <v>#REF!</v>
      </c>
      <c r="I24" s="408" t="e">
        <f t="shared" si="4"/>
        <v>#REF!</v>
      </c>
    </row>
    <row r="25" spans="2:12">
      <c r="B25" s="11" t="s">
        <v>8098</v>
      </c>
      <c r="C25" s="12">
        <v>0</v>
      </c>
      <c r="D25" s="12">
        <v>-14077000</v>
      </c>
      <c r="E25" s="12">
        <v>-909810000</v>
      </c>
      <c r="F25" s="12">
        <v>-2521143832.9299998</v>
      </c>
      <c r="G25" s="12">
        <f>+SUM('Cierre real'!H26:T26)</f>
        <v>-953584958.42503703</v>
      </c>
      <c r="H25" s="12" t="e">
        <f>+SUM('Proyección 2024'!H25:S26)</f>
        <v>#REF!</v>
      </c>
      <c r="I25" s="408" t="e">
        <f t="shared" si="4"/>
        <v>#REF!</v>
      </c>
    </row>
    <row r="26" spans="2:12">
      <c r="B26" s="11" t="s">
        <v>8582</v>
      </c>
      <c r="C26" s="12"/>
      <c r="D26" s="12"/>
      <c r="E26" s="12"/>
      <c r="F26" s="12"/>
      <c r="G26" s="12" t="e">
        <f>+SUM('Cierre real'!#REF!)</f>
        <v>#REF!</v>
      </c>
      <c r="H26" s="12">
        <f>SUM('Proyección 2024'!H27:S27)</f>
        <v>-292586650</v>
      </c>
      <c r="I26" s="408" t="e">
        <f t="shared" si="4"/>
        <v>#REF!</v>
      </c>
      <c r="L26" s="2">
        <v>-2980480340</v>
      </c>
    </row>
    <row r="27" spans="2:12">
      <c r="B27" s="11" t="s">
        <v>8583</v>
      </c>
      <c r="C27" s="12">
        <v>267000</v>
      </c>
      <c r="D27" s="12">
        <f>-298049000+800000</f>
        <v>-297249000</v>
      </c>
      <c r="E27" s="12">
        <v>46215000</v>
      </c>
      <c r="F27" s="12">
        <v>1003024209.8699999</v>
      </c>
      <c r="G27" s="12" t="e">
        <f>+SUM('Cierre real'!#REF!)</f>
        <v>#REF!</v>
      </c>
      <c r="H27" s="12">
        <f>+SUM('Proyección 2024'!H28:S30)-1000000000</f>
        <v>-8806364393.5466118</v>
      </c>
      <c r="I27" s="408" t="e">
        <f t="shared" si="4"/>
        <v>#REF!</v>
      </c>
    </row>
    <row r="28" spans="2:12">
      <c r="B28" s="11" t="s">
        <v>8584</v>
      </c>
      <c r="C28" s="12"/>
      <c r="D28" s="12"/>
      <c r="E28" s="12"/>
      <c r="F28" s="12"/>
      <c r="G28" s="12">
        <f>+SUM('Cierre real'!H24:T24)</f>
        <v>-4598532041</v>
      </c>
      <c r="H28" s="12"/>
      <c r="I28" s="408"/>
    </row>
    <row r="29" spans="2:12">
      <c r="B29" s="11" t="s">
        <v>8583</v>
      </c>
      <c r="C29" s="12"/>
      <c r="D29" s="12"/>
      <c r="E29" s="12"/>
      <c r="F29" s="12"/>
      <c r="G29" s="12" t="e">
        <f>SUM('Cierre real'!#REF!)</f>
        <v>#REF!</v>
      </c>
      <c r="H29" s="12"/>
      <c r="I29" s="408"/>
    </row>
    <row r="30" spans="2:12">
      <c r="B30" s="158" t="s">
        <v>8108</v>
      </c>
      <c r="C30" s="159">
        <f t="shared" ref="C30:D30" si="8">+C24+C25+C27</f>
        <v>267000</v>
      </c>
      <c r="D30" s="159">
        <f t="shared" si="8"/>
        <v>-340766000</v>
      </c>
      <c r="E30" s="159">
        <f>+E24+E25+E27</f>
        <v>-818453000</v>
      </c>
      <c r="F30" s="159">
        <f>+F24+F25+F27</f>
        <v>-744939488.40999961</v>
      </c>
      <c r="G30" s="159" t="e">
        <f>+G24+G25+G27+G26+G28+G29</f>
        <v>#REF!</v>
      </c>
      <c r="H30" s="159" t="e">
        <f>+H24+H25+H27+H26</f>
        <v>#REF!</v>
      </c>
      <c r="I30" s="408" t="e">
        <f t="shared" si="4"/>
        <v>#REF!</v>
      </c>
    </row>
    <row r="31" spans="2:12">
      <c r="B31" s="11" t="s">
        <v>8109</v>
      </c>
      <c r="C31" s="12"/>
      <c r="D31" s="12">
        <f>330000000+1559000+33112000+10617000+2197000</f>
        <v>377485000</v>
      </c>
      <c r="E31" s="12">
        <v>-302372000</v>
      </c>
      <c r="F31" s="12">
        <v>545736605.45000005</v>
      </c>
      <c r="G31" s="447">
        <f>+SUM('Cierre real'!H33:T34)</f>
        <v>3994557580.3800001</v>
      </c>
      <c r="H31" s="12" t="e">
        <f>+SUM('Proyección 2024'!H32:S33)-1000000000</f>
        <v>#REF!</v>
      </c>
      <c r="I31" s="408" t="e">
        <f t="shared" si="4"/>
        <v>#REF!</v>
      </c>
      <c r="K31" s="2"/>
    </row>
    <row r="32" spans="2:12">
      <c r="B32" s="15" t="s">
        <v>8110</v>
      </c>
      <c r="C32" s="16">
        <f t="shared" ref="C32:D32" si="9">+C30+C31</f>
        <v>267000</v>
      </c>
      <c r="D32" s="16">
        <f t="shared" si="9"/>
        <v>36719000</v>
      </c>
      <c r="E32" s="16">
        <f>+E30+E31</f>
        <v>-1120825000</v>
      </c>
      <c r="F32" s="16">
        <f>+F30+F31</f>
        <v>-199202882.95999956</v>
      </c>
      <c r="G32" s="18" t="e">
        <f>+G30+G31</f>
        <v>#REF!</v>
      </c>
      <c r="H32" s="18" t="e">
        <f>+H30+H31</f>
        <v>#REF!</v>
      </c>
      <c r="I32" s="408"/>
    </row>
    <row r="33" spans="2:13">
      <c r="B33" s="11" t="s">
        <v>8111</v>
      </c>
      <c r="C33" s="12">
        <v>6000000</v>
      </c>
      <c r="D33" s="12"/>
      <c r="E33" s="12">
        <f>1073682000</f>
        <v>1073682000</v>
      </c>
      <c r="F33" s="12">
        <v>1829652140</v>
      </c>
      <c r="G33" s="12"/>
      <c r="H33" s="12"/>
      <c r="I33" s="408"/>
    </row>
    <row r="34" spans="2:13" ht="18.75" customHeight="1">
      <c r="B34" s="11" t="s">
        <v>8112</v>
      </c>
      <c r="C34" s="12"/>
      <c r="D34" s="12"/>
      <c r="E34" s="12"/>
      <c r="F34" s="385"/>
      <c r="G34" s="12"/>
      <c r="H34" s="12"/>
      <c r="I34" s="408"/>
    </row>
    <row r="35" spans="2:13">
      <c r="B35" s="11" t="s">
        <v>8113</v>
      </c>
      <c r="C35" s="11"/>
      <c r="D35" s="11"/>
      <c r="E35" s="11"/>
      <c r="F35" s="11"/>
      <c r="G35" s="11"/>
      <c r="H35" s="11"/>
      <c r="I35" s="408"/>
    </row>
    <row r="36" spans="2:13">
      <c r="B36" s="15" t="s">
        <v>8114</v>
      </c>
      <c r="C36" s="16">
        <f t="shared" ref="C36:D36" si="10">+C32+C33</f>
        <v>6267000</v>
      </c>
      <c r="D36" s="16">
        <f t="shared" si="10"/>
        <v>36719000</v>
      </c>
      <c r="E36" s="16">
        <f>+E32+E33</f>
        <v>-47143000</v>
      </c>
      <c r="F36" s="16">
        <f>+F32+F33+F34</f>
        <v>1630449257.0400004</v>
      </c>
      <c r="G36" s="18" t="e">
        <f>+G32+G33</f>
        <v>#REF!</v>
      </c>
      <c r="H36" s="18" t="e">
        <f t="shared" ref="H36" si="11">+H32+H33</f>
        <v>#REF!</v>
      </c>
      <c r="I36" s="408" t="e">
        <f t="shared" si="0"/>
        <v>#REF!</v>
      </c>
    </row>
    <row r="37" spans="2:13">
      <c r="B37" s="11" t="s">
        <v>8115</v>
      </c>
      <c r="C37" s="12">
        <v>0</v>
      </c>
      <c r="D37" s="12">
        <f>+C38</f>
        <v>6267000</v>
      </c>
      <c r="E37" s="12">
        <v>42986000</v>
      </c>
      <c r="F37" s="12">
        <f>+E38</f>
        <v>-4157000</v>
      </c>
      <c r="G37" s="12">
        <f>+F38</f>
        <v>1626292257.0400004</v>
      </c>
      <c r="H37" s="12">
        <f>+F38</f>
        <v>1626292257.0400004</v>
      </c>
      <c r="I37" s="408">
        <f t="shared" si="0"/>
        <v>1</v>
      </c>
    </row>
    <row r="38" spans="2:13">
      <c r="B38" s="28" t="s">
        <v>8116</v>
      </c>
      <c r="C38" s="29">
        <f t="shared" ref="C38:D38" si="12">+C36+C37</f>
        <v>6267000</v>
      </c>
      <c r="D38" s="29">
        <f t="shared" si="12"/>
        <v>42986000</v>
      </c>
      <c r="E38" s="29">
        <f>+E36+E37</f>
        <v>-4157000</v>
      </c>
      <c r="F38" s="29">
        <f t="shared" ref="F38" si="13">+F36+F37</f>
        <v>1626292257.0400004</v>
      </c>
      <c r="G38" s="506" t="e">
        <f>+G36+G37</f>
        <v>#REF!</v>
      </c>
      <c r="H38" s="57" t="e">
        <f>+H36+H37</f>
        <v>#REF!</v>
      </c>
      <c r="I38" s="408" t="e">
        <f t="shared" si="0"/>
        <v>#REF!</v>
      </c>
      <c r="J38" s="2"/>
      <c r="K38" s="2"/>
    </row>
    <row r="39" spans="2:13">
      <c r="B39" s="1"/>
      <c r="C39" s="1"/>
      <c r="D39" s="1"/>
      <c r="E39" s="1"/>
      <c r="F39" s="1"/>
      <c r="G39" s="1"/>
      <c r="H39" s="1"/>
    </row>
    <row r="40" spans="2:13" ht="36.75" customHeight="1">
      <c r="B40" s="1231" t="s">
        <v>8585</v>
      </c>
      <c r="C40" s="1231"/>
      <c r="D40" s="1231"/>
      <c r="E40" s="1231"/>
      <c r="F40" s="1231"/>
      <c r="G40" s="1231"/>
      <c r="H40" s="1231"/>
      <c r="I40" s="1231"/>
      <c r="J40" s="1231"/>
      <c r="K40" s="1231"/>
      <c r="L40" s="507"/>
      <c r="M40" s="507"/>
    </row>
    <row r="41" spans="2:13">
      <c r="B41" s="1"/>
      <c r="C41" s="7">
        <v>2020</v>
      </c>
      <c r="D41" s="7">
        <v>2021</v>
      </c>
      <c r="E41" s="7">
        <v>2022</v>
      </c>
      <c r="F41" s="7">
        <v>2023</v>
      </c>
      <c r="G41" s="7" t="s">
        <v>8573</v>
      </c>
      <c r="H41" s="394" t="s">
        <v>8574</v>
      </c>
      <c r="J41" s="7" t="s">
        <v>8586</v>
      </c>
      <c r="K41" s="394" t="s">
        <v>8587</v>
      </c>
      <c r="M41" s="394" t="s">
        <v>8588</v>
      </c>
    </row>
    <row r="42" spans="2:13">
      <c r="B42" s="11" t="s">
        <v>3107</v>
      </c>
      <c r="C42" s="12">
        <v>0</v>
      </c>
      <c r="D42" s="12">
        <f>+D11</f>
        <v>282509000</v>
      </c>
      <c r="E42" s="12">
        <f>1421363000-E43</f>
        <v>1418007304</v>
      </c>
      <c r="F42" s="12">
        <f>+F11</f>
        <v>2586454844.3200002</v>
      </c>
      <c r="G42" s="12">
        <f>+G11</f>
        <v>34464896599</v>
      </c>
      <c r="H42" s="12">
        <f>+H11</f>
        <v>18922822215.599998</v>
      </c>
      <c r="J42" s="12">
        <f t="shared" ref="J42:J53" si="14">+G42/3950</f>
        <v>8725290.2782278489</v>
      </c>
      <c r="K42" s="12">
        <f t="shared" ref="K42:K53" si="15">+H42/3950</f>
        <v>4790587.902683544</v>
      </c>
      <c r="M42" s="434">
        <f t="shared" ref="M42:M48" si="16">+J42/K42</f>
        <v>1.8213401894452668</v>
      </c>
    </row>
    <row r="43" spans="2:13">
      <c r="B43" s="58" t="s">
        <v>8589</v>
      </c>
      <c r="E43" s="2">
        <v>3355696</v>
      </c>
      <c r="F43" s="2">
        <v>169131765</v>
      </c>
      <c r="G43" s="12">
        <f>+G12</f>
        <v>870259698.29166818</v>
      </c>
      <c r="H43" s="12">
        <f>+H12</f>
        <v>717367624.33252442</v>
      </c>
      <c r="J43" s="12">
        <f t="shared" si="14"/>
        <v>220318.91095991599</v>
      </c>
      <c r="K43" s="12">
        <f t="shared" si="15"/>
        <v>181612.05679304415</v>
      </c>
      <c r="M43" s="434">
        <f t="shared" si="16"/>
        <v>1.2131293199932216</v>
      </c>
    </row>
    <row r="44" spans="2:13">
      <c r="B44" s="11" t="s">
        <v>8077</v>
      </c>
      <c r="C44" s="12">
        <v>0</v>
      </c>
      <c r="D44" s="12">
        <f>+D14</f>
        <v>156771000</v>
      </c>
      <c r="E44" s="12">
        <v>955712000</v>
      </c>
      <c r="F44" s="12">
        <f>+F14</f>
        <v>1134026721.0899999</v>
      </c>
      <c r="G44" s="12">
        <f>+G14</f>
        <v>-26262448802.978333</v>
      </c>
      <c r="H44" s="12">
        <f>+H14</f>
        <v>14460731708.889999</v>
      </c>
      <c r="J44" s="12">
        <f t="shared" si="14"/>
        <v>-6648721.2159438813</v>
      </c>
      <c r="K44" s="12">
        <f t="shared" si="15"/>
        <v>3660944.7364278478</v>
      </c>
      <c r="M44" s="434"/>
    </row>
    <row r="45" spans="2:13">
      <c r="B45" s="15" t="s">
        <v>8082</v>
      </c>
      <c r="C45" s="16">
        <f>+C42-C44</f>
        <v>0</v>
      </c>
      <c r="D45" s="16">
        <f>+D42-D44</f>
        <v>125738000</v>
      </c>
      <c r="E45" s="16">
        <f>+E42-E44+E43</f>
        <v>465651000</v>
      </c>
      <c r="F45" s="16">
        <f>+F42-F44+F43</f>
        <v>1621559888.2300003</v>
      </c>
      <c r="G45" s="16">
        <f>+G42+G43-G44</f>
        <v>61597605100.270004</v>
      </c>
      <c r="H45" s="16">
        <f>+H42+H43-H44</f>
        <v>5179458131.0425224</v>
      </c>
      <c r="J45" s="16">
        <f t="shared" si="14"/>
        <v>15594330.405131647</v>
      </c>
      <c r="K45" s="16">
        <f t="shared" si="15"/>
        <v>1311255.2230487398</v>
      </c>
      <c r="M45" s="435">
        <f>+J45/K45</f>
        <v>11.892673623731298</v>
      </c>
    </row>
    <row r="46" spans="2:13">
      <c r="B46" s="11" t="s">
        <v>8590</v>
      </c>
      <c r="C46" s="12">
        <v>0</v>
      </c>
      <c r="D46" s="12">
        <f>+D16</f>
        <v>154022000</v>
      </c>
      <c r="E46" s="12">
        <v>389961000</v>
      </c>
      <c r="F46" s="12">
        <f>+F16</f>
        <v>663892005.57999992</v>
      </c>
      <c r="G46" s="12">
        <f>+G16-G50</f>
        <v>-2630839940.3047013</v>
      </c>
      <c r="H46" s="12" t="e">
        <f>+H16-H50</f>
        <v>#REF!</v>
      </c>
      <c r="J46" s="12">
        <f t="shared" si="14"/>
        <v>-666035.42792524083</v>
      </c>
      <c r="K46" s="12" t="e">
        <f t="shared" si="15"/>
        <v>#REF!</v>
      </c>
      <c r="M46" s="434"/>
    </row>
    <row r="47" spans="2:13">
      <c r="B47" s="11" t="s">
        <v>8591</v>
      </c>
      <c r="C47" s="12">
        <v>0</v>
      </c>
      <c r="D47" s="12"/>
      <c r="E47" s="12">
        <v>4777000</v>
      </c>
      <c r="F47" s="12"/>
      <c r="G47" s="12">
        <f>+G17</f>
        <v>1146666666.6666667</v>
      </c>
      <c r="H47" s="12">
        <f>+H17</f>
        <v>1146666666.6666667</v>
      </c>
      <c r="J47" s="12">
        <f t="shared" si="14"/>
        <v>290295.35864978906</v>
      </c>
      <c r="K47" s="12">
        <f t="shared" si="15"/>
        <v>290295.35864978906</v>
      </c>
      <c r="M47" s="434"/>
    </row>
    <row r="48" spans="2:13">
      <c r="B48" s="15" t="s">
        <v>8592</v>
      </c>
      <c r="C48" s="16">
        <f>-C46+C45-C47</f>
        <v>0</v>
      </c>
      <c r="D48" s="16">
        <f>-D46+D45-D47</f>
        <v>-28284000</v>
      </c>
      <c r="E48" s="16">
        <f>-E46+E45-E47</f>
        <v>70913000</v>
      </c>
      <c r="F48" s="16">
        <f>+F45-F46-F47</f>
        <v>957667882.65000033</v>
      </c>
      <c r="G48" s="16">
        <f>+G45-G46-G47</f>
        <v>63081778373.908043</v>
      </c>
      <c r="H48" s="16" t="e">
        <f>+H45-H46-H47</f>
        <v>#REF!</v>
      </c>
      <c r="J48" s="16">
        <f t="shared" si="14"/>
        <v>15970070.474407099</v>
      </c>
      <c r="K48" s="16" t="e">
        <f t="shared" si="15"/>
        <v>#REF!</v>
      </c>
      <c r="M48" s="435" t="e">
        <f t="shared" si="16"/>
        <v>#REF!</v>
      </c>
    </row>
    <row r="49" spans="2:13">
      <c r="B49" s="11" t="s">
        <v>8578</v>
      </c>
      <c r="C49" s="12">
        <v>0</v>
      </c>
      <c r="D49" s="12"/>
      <c r="E49" s="12">
        <v>1648000</v>
      </c>
      <c r="F49" s="12">
        <v>3917</v>
      </c>
      <c r="G49" s="12">
        <f>+G13</f>
        <v>587196093.23999989</v>
      </c>
      <c r="H49" s="12"/>
      <c r="I49" s="2"/>
      <c r="J49" s="12">
        <f t="shared" si="14"/>
        <v>148657.23879493668</v>
      </c>
      <c r="K49" s="12">
        <f t="shared" si="15"/>
        <v>0</v>
      </c>
      <c r="M49" s="434"/>
    </row>
    <row r="50" spans="2:13">
      <c r="B50" s="11" t="s">
        <v>8593</v>
      </c>
      <c r="C50" s="12">
        <v>0</v>
      </c>
      <c r="D50" s="12"/>
      <c r="E50" s="12">
        <v>49055000</v>
      </c>
      <c r="F50" s="12">
        <v>144116621.84999999</v>
      </c>
      <c r="G50" s="12">
        <f>-SUM('Cierre real'!H53:T53)</f>
        <v>-558742644.39999998</v>
      </c>
      <c r="H50" s="12" t="e">
        <f>-SUM('Proyección 2024'!H16:S16)</f>
        <v>#REF!</v>
      </c>
      <c r="I50" s="2"/>
      <c r="J50" s="12">
        <f t="shared" si="14"/>
        <v>-141453.83402531644</v>
      </c>
      <c r="K50" s="12" t="e">
        <f t="shared" si="15"/>
        <v>#REF!</v>
      </c>
      <c r="M50" s="434" t="e">
        <f>+J50/K50</f>
        <v>#REF!</v>
      </c>
    </row>
    <row r="51" spans="2:13">
      <c r="B51" s="15" t="s">
        <v>8594</v>
      </c>
      <c r="C51" s="16">
        <f t="shared" ref="C51:D51" si="17">+C48+C49-C50</f>
        <v>0</v>
      </c>
      <c r="D51" s="16">
        <f t="shared" si="17"/>
        <v>-28284000</v>
      </c>
      <c r="E51" s="16">
        <f>+E48+E49-E50</f>
        <v>23506000</v>
      </c>
      <c r="F51" s="16">
        <f t="shared" ref="F51" si="18">+F48+F49-F50</f>
        <v>813555177.80000031</v>
      </c>
      <c r="G51" s="16">
        <f>+G48+G49-G50</f>
        <v>64227717111.548042</v>
      </c>
      <c r="H51" s="16" t="e">
        <f>+H48+H49-H50</f>
        <v>#REF!</v>
      </c>
      <c r="I51" s="2"/>
      <c r="J51" s="16">
        <f t="shared" si="14"/>
        <v>16260181.547227353</v>
      </c>
      <c r="K51" s="16" t="e">
        <f t="shared" si="15"/>
        <v>#REF!</v>
      </c>
      <c r="M51" s="435" t="e">
        <f>+J51/K51</f>
        <v>#REF!</v>
      </c>
    </row>
    <row r="52" spans="2:13">
      <c r="B52" s="11" t="s">
        <v>107</v>
      </c>
      <c r="C52" s="12">
        <v>0</v>
      </c>
      <c r="D52" s="12">
        <f>-D20</f>
        <v>1156000</v>
      </c>
      <c r="E52" s="12">
        <f>7650000+8567000</f>
        <v>16217000</v>
      </c>
      <c r="F52" s="12">
        <f>-F19-F20</f>
        <v>184487748</v>
      </c>
      <c r="G52" s="12">
        <f>+G48*15%</f>
        <v>9462266756.0862064</v>
      </c>
      <c r="H52" s="12" t="e">
        <f>+H48*15%</f>
        <v>#REF!</v>
      </c>
      <c r="I52" s="2"/>
      <c r="J52" s="12">
        <f t="shared" si="14"/>
        <v>2395510.5711610648</v>
      </c>
      <c r="K52" s="12" t="e">
        <f t="shared" si="15"/>
        <v>#REF!</v>
      </c>
      <c r="M52" s="434" t="e">
        <f>+J52/K52</f>
        <v>#REF!</v>
      </c>
    </row>
    <row r="53" spans="2:13">
      <c r="B53" s="20" t="s">
        <v>8434</v>
      </c>
      <c r="C53" s="16">
        <f t="shared" ref="C53:D53" si="19">+C51-C52</f>
        <v>0</v>
      </c>
      <c r="D53" s="16">
        <f t="shared" si="19"/>
        <v>-29440000</v>
      </c>
      <c r="E53" s="16">
        <f>+E51-E52</f>
        <v>7289000</v>
      </c>
      <c r="F53" s="16">
        <f>+F51-F52</f>
        <v>629067429.80000031</v>
      </c>
      <c r="G53" s="57">
        <f t="shared" ref="G53" si="20">+G51-G52</f>
        <v>54765450355.461838</v>
      </c>
      <c r="H53" s="16" t="e">
        <f>+H51-H52</f>
        <v>#REF!</v>
      </c>
      <c r="I53" s="2"/>
      <c r="J53" s="57">
        <f t="shared" si="14"/>
        <v>13864670.976066288</v>
      </c>
      <c r="K53" s="57" t="e">
        <f t="shared" si="15"/>
        <v>#REF!</v>
      </c>
      <c r="M53" s="436" t="e">
        <f>+J53/K53</f>
        <v>#REF!</v>
      </c>
    </row>
    <row r="54" spans="2:13">
      <c r="B54" s="1"/>
      <c r="C54" s="1"/>
      <c r="D54" s="1"/>
      <c r="E54" s="1"/>
      <c r="F54" s="1"/>
      <c r="G54" s="1"/>
      <c r="H54" s="1"/>
      <c r="I54" s="2"/>
    </row>
    <row r="55" spans="2:13">
      <c r="B55" s="1"/>
      <c r="C55" s="1"/>
      <c r="D55" s="14"/>
      <c r="E55" s="14"/>
      <c r="F55" s="1"/>
      <c r="G55" s="14">
        <f>+G53+G47</f>
        <v>55912117022.128502</v>
      </c>
      <c r="H55" s="1"/>
      <c r="I55" s="2"/>
    </row>
    <row r="56" spans="2:13">
      <c r="B56" s="1" t="s">
        <v>101</v>
      </c>
      <c r="C56" s="1"/>
      <c r="D56" s="1"/>
      <c r="E56" s="1"/>
      <c r="F56" s="1"/>
      <c r="G56" s="495">
        <f>+G55/G42</f>
        <v>1.6222917385381272</v>
      </c>
      <c r="H56" s="1"/>
    </row>
    <row r="57" spans="2:13" hidden="1">
      <c r="B57" s="1227" t="s">
        <v>8435</v>
      </c>
      <c r="C57" s="1227"/>
      <c r="D57" s="1227"/>
      <c r="E57" s="1227"/>
      <c r="F57" s="1227"/>
      <c r="G57" s="1227"/>
      <c r="H57" s="354"/>
    </row>
    <row r="58" spans="2:13" ht="14.6" hidden="1">
      <c r="B58" s="34"/>
      <c r="C58" s="7">
        <v>2020</v>
      </c>
      <c r="D58" s="7">
        <v>2021</v>
      </c>
      <c r="E58" s="7">
        <v>2022</v>
      </c>
      <c r="F58" s="7">
        <v>2023</v>
      </c>
      <c r="G58" s="7">
        <v>2024</v>
      </c>
      <c r="H58" s="365"/>
    </row>
    <row r="59" spans="2:13" ht="14.6" hidden="1">
      <c r="B59" s="34" t="s">
        <v>8436</v>
      </c>
      <c r="C59" s="34"/>
      <c r="D59" s="34"/>
      <c r="E59" s="34"/>
      <c r="F59" s="34"/>
      <c r="G59" s="34"/>
      <c r="H59" s="34"/>
    </row>
    <row r="60" spans="2:13" ht="14.6" hidden="1">
      <c r="B60" s="58" t="s">
        <v>8437</v>
      </c>
      <c r="C60" s="38">
        <v>6267000</v>
      </c>
      <c r="D60" s="38">
        <f>+D38</f>
        <v>42986000</v>
      </c>
      <c r="E60" s="38">
        <f>+E38</f>
        <v>-4157000</v>
      </c>
      <c r="F60" s="38"/>
      <c r="G60" s="38"/>
      <c r="H60" s="38"/>
    </row>
    <row r="61" spans="2:13" ht="14.6" hidden="1">
      <c r="B61" s="58" t="s">
        <v>8362</v>
      </c>
      <c r="C61" s="38">
        <v>800000</v>
      </c>
      <c r="D61" s="38">
        <f>10160000+278870000+18656000</f>
        <v>307686000</v>
      </c>
      <c r="E61" s="2">
        <v>770171000</v>
      </c>
      <c r="F61" s="38"/>
      <c r="G61" s="38"/>
      <c r="H61" s="38"/>
    </row>
    <row r="62" spans="2:13" ht="14.6" hidden="1">
      <c r="B62" s="58" t="s">
        <v>8443</v>
      </c>
      <c r="C62" s="38"/>
      <c r="D62" s="38"/>
      <c r="E62" s="38">
        <v>9274000</v>
      </c>
      <c r="F62" s="38"/>
      <c r="G62" s="38"/>
      <c r="H62" s="38"/>
    </row>
    <row r="63" spans="2:13" ht="14.6" hidden="1">
      <c r="B63" s="94" t="s">
        <v>8444</v>
      </c>
      <c r="C63" s="41">
        <f>+SUM(C60:C62)</f>
        <v>7067000</v>
      </c>
      <c r="D63" s="41">
        <f>+SUM(D60:D62)</f>
        <v>350672000</v>
      </c>
      <c r="E63" s="41">
        <f>+SUM(E60:E62)</f>
        <v>775288000</v>
      </c>
      <c r="F63" s="41"/>
      <c r="G63" s="41"/>
      <c r="H63" s="61"/>
    </row>
    <row r="64" spans="2:13" ht="14.6" hidden="1">
      <c r="B64" s="34"/>
      <c r="C64" s="39"/>
      <c r="D64" s="39"/>
      <c r="E64" s="39"/>
      <c r="F64" s="39"/>
      <c r="G64" s="39"/>
      <c r="H64" s="39"/>
    </row>
    <row r="65" spans="2:8" ht="14.6" hidden="1">
      <c r="B65" s="58" t="s">
        <v>8445</v>
      </c>
      <c r="C65" s="38"/>
      <c r="D65" s="38">
        <v>14077000</v>
      </c>
      <c r="E65" s="38">
        <v>923417000</v>
      </c>
      <c r="F65" s="38"/>
      <c r="G65" s="38"/>
      <c r="H65" s="38"/>
    </row>
    <row r="66" spans="2:8" ht="14.6" hidden="1">
      <c r="B66" s="58"/>
      <c r="C66" s="38"/>
      <c r="D66" s="38"/>
      <c r="E66" s="38"/>
      <c r="F66" s="38"/>
      <c r="G66" s="38"/>
      <c r="H66" s="38"/>
    </row>
    <row r="67" spans="2:8" ht="14.6" hidden="1">
      <c r="B67" s="94" t="s">
        <v>8446</v>
      </c>
      <c r="C67" s="41">
        <f t="shared" ref="C67:E67" si="21">+C65</f>
        <v>0</v>
      </c>
      <c r="D67" s="41">
        <f t="shared" si="21"/>
        <v>14077000</v>
      </c>
      <c r="E67" s="41">
        <f t="shared" si="21"/>
        <v>923417000</v>
      </c>
      <c r="F67" s="41"/>
      <c r="G67" s="41"/>
      <c r="H67" s="61"/>
    </row>
    <row r="68" spans="2:8" ht="14.6" hidden="1">
      <c r="B68" s="94" t="s">
        <v>8447</v>
      </c>
      <c r="C68" s="41">
        <f t="shared" ref="C68" si="22">+C67+C63</f>
        <v>7067000</v>
      </c>
      <c r="D68" s="41">
        <f t="shared" ref="D68" si="23">+D67+D63</f>
        <v>364749000</v>
      </c>
      <c r="E68" s="41">
        <f t="shared" ref="E68" si="24">+E67+E63</f>
        <v>1698705000</v>
      </c>
      <c r="F68" s="41"/>
      <c r="G68" s="41"/>
      <c r="H68" s="61"/>
    </row>
    <row r="70" spans="2:8" ht="14.6" hidden="1">
      <c r="B70" s="69" t="s">
        <v>8448</v>
      </c>
      <c r="C70" s="49"/>
      <c r="D70" s="49"/>
      <c r="E70" s="49"/>
    </row>
    <row r="71" spans="2:8" ht="14.6" hidden="1">
      <c r="B71" s="58"/>
      <c r="C71" s="38"/>
      <c r="D71" s="38"/>
      <c r="E71" s="38"/>
    </row>
    <row r="72" spans="2:8" ht="14.6" hidden="1">
      <c r="B72" s="58" t="s">
        <v>8449</v>
      </c>
      <c r="C72" s="38">
        <v>1067000</v>
      </c>
      <c r="D72" s="38">
        <v>377485000</v>
      </c>
      <c r="E72" s="38">
        <v>124688000</v>
      </c>
    </row>
    <row r="73" spans="2:8" ht="14.6" hidden="1">
      <c r="B73" s="58" t="s">
        <v>8452</v>
      </c>
      <c r="C73" s="38"/>
      <c r="D73" s="38">
        <v>10704000</v>
      </c>
      <c r="E73" s="38">
        <v>180626000</v>
      </c>
    </row>
    <row r="74" spans="2:8" ht="14.6" hidden="1">
      <c r="B74" s="94" t="s">
        <v>8453</v>
      </c>
      <c r="C74" s="41">
        <f>+C72+C73</f>
        <v>1067000</v>
      </c>
      <c r="D74" s="41">
        <f>+D72+D73</f>
        <v>388189000</v>
      </c>
      <c r="E74" s="41">
        <f>+SUM(E71:E73)</f>
        <v>305314000</v>
      </c>
    </row>
    <row r="75" spans="2:8" ht="14.6" hidden="1">
      <c r="B75" s="39"/>
      <c r="C75" s="39"/>
      <c r="D75" s="39"/>
      <c r="E75" s="39"/>
    </row>
    <row r="76" spans="2:8" ht="14.6" hidden="1">
      <c r="B76" s="39" t="s">
        <v>8454</v>
      </c>
      <c r="C76" s="39">
        <v>0</v>
      </c>
      <c r="D76" s="39">
        <v>0</v>
      </c>
      <c r="E76" s="38">
        <v>7650000</v>
      </c>
    </row>
    <row r="77" spans="2:8" ht="14.6" hidden="1">
      <c r="B77" s="94" t="s">
        <v>8456</v>
      </c>
      <c r="C77" s="41">
        <f t="shared" ref="C77:D77" si="25">+C76</f>
        <v>0</v>
      </c>
      <c r="D77" s="41">
        <f t="shared" si="25"/>
        <v>0</v>
      </c>
      <c r="E77" s="41">
        <f>+E76</f>
        <v>7650000</v>
      </c>
    </row>
    <row r="78" spans="2:8" ht="14.6" hidden="1">
      <c r="B78" s="94" t="s">
        <v>8457</v>
      </c>
      <c r="C78" s="41">
        <f>+C77+C74</f>
        <v>1067000</v>
      </c>
      <c r="D78" s="41">
        <f>+D77+D74</f>
        <v>388189000</v>
      </c>
      <c r="E78" s="41">
        <f>+E77+E74</f>
        <v>312964000</v>
      </c>
    </row>
    <row r="79" spans="2:8" ht="14.6" hidden="1">
      <c r="B79" s="39"/>
      <c r="C79" s="39"/>
      <c r="D79" s="39"/>
      <c r="E79" s="39"/>
    </row>
    <row r="80" spans="2:8" ht="14.6" hidden="1">
      <c r="B80" s="69" t="s">
        <v>8458</v>
      </c>
      <c r="C80" s="39"/>
      <c r="D80" s="39"/>
      <c r="E80" s="39"/>
    </row>
    <row r="81" spans="2:5" ht="14.6" hidden="1">
      <c r="B81" s="58" t="s">
        <v>8459</v>
      </c>
      <c r="C81" s="38">
        <v>6000000</v>
      </c>
      <c r="D81" s="38">
        <f>+C81</f>
        <v>6000000</v>
      </c>
      <c r="E81" s="38">
        <v>6000000</v>
      </c>
    </row>
    <row r="82" spans="2:5" ht="14.6" hidden="1">
      <c r="B82" s="58" t="s">
        <v>8460</v>
      </c>
      <c r="C82" s="38">
        <v>0</v>
      </c>
      <c r="D82" s="38">
        <f>+D53</f>
        <v>-29440000</v>
      </c>
      <c r="E82" s="38">
        <f>+E53</f>
        <v>7289000</v>
      </c>
    </row>
    <row r="83" spans="2:5" hidden="1">
      <c r="B83" s="58" t="s">
        <v>8461</v>
      </c>
      <c r="C83" s="54">
        <v>0</v>
      </c>
      <c r="D83" s="54">
        <f>+C82+C83</f>
        <v>0</v>
      </c>
      <c r="E83" s="54">
        <f>+D82+D83</f>
        <v>-29440000</v>
      </c>
    </row>
    <row r="84" spans="2:5" hidden="1">
      <c r="B84" s="58" t="s">
        <v>8462</v>
      </c>
      <c r="C84" s="54">
        <v>0</v>
      </c>
      <c r="D84" s="54">
        <v>0</v>
      </c>
      <c r="E84" s="54">
        <v>1421000000</v>
      </c>
    </row>
    <row r="85" spans="2:5" hidden="1">
      <c r="B85" s="94" t="s">
        <v>8463</v>
      </c>
      <c r="C85" s="29">
        <f t="shared" ref="C85:D85" si="26">+SUM(C81:C84)</f>
        <v>6000000</v>
      </c>
      <c r="D85" s="29">
        <f t="shared" si="26"/>
        <v>-23440000</v>
      </c>
      <c r="E85" s="29">
        <f>+SUM(E81:E84)</f>
        <v>1404849000</v>
      </c>
    </row>
    <row r="86" spans="2:5" hidden="1">
      <c r="C86" s="58"/>
      <c r="D86" s="58"/>
      <c r="E86" s="58"/>
    </row>
    <row r="87" spans="2:5" ht="14.6" hidden="1">
      <c r="B87" s="39"/>
      <c r="C87" s="39"/>
      <c r="D87" s="39"/>
      <c r="E87" s="39"/>
    </row>
    <row r="88" spans="2:5" ht="14.6" hidden="1">
      <c r="B88" s="94" t="s">
        <v>8464</v>
      </c>
      <c r="C88" s="41">
        <f t="shared" ref="C88:D88" si="27">+C85+C78</f>
        <v>7067000</v>
      </c>
      <c r="D88" s="41">
        <f t="shared" si="27"/>
        <v>364749000</v>
      </c>
      <c r="E88" s="41">
        <f>+E85+E78</f>
        <v>1717813000</v>
      </c>
    </row>
    <row r="89" spans="2:5" ht="14.6" hidden="1">
      <c r="B89" s="69"/>
      <c r="C89" s="61"/>
      <c r="D89" s="61"/>
      <c r="E89" s="61"/>
    </row>
    <row r="90" spans="2:5" ht="14.6" hidden="1">
      <c r="B90" s="39"/>
      <c r="C90" s="39"/>
      <c r="D90" s="39"/>
      <c r="E90" s="39"/>
    </row>
    <row r="91" spans="2:5" ht="14.6" hidden="1">
      <c r="B91" s="34"/>
      <c r="C91" s="65" t="b">
        <f>C88=C68</f>
        <v>1</v>
      </c>
      <c r="D91" s="65" t="b">
        <f>D88=D68</f>
        <v>1</v>
      </c>
      <c r="E91" s="65" t="b">
        <f>E88=E68</f>
        <v>0</v>
      </c>
    </row>
    <row r="92" spans="2:5" ht="14.6" hidden="1">
      <c r="B92" s="39"/>
      <c r="C92" s="67">
        <f>+C88-C68</f>
        <v>0</v>
      </c>
      <c r="D92" s="67">
        <f>+D88-D68</f>
        <v>0</v>
      </c>
      <c r="E92" s="67">
        <f>+E88-E68</f>
        <v>19108000</v>
      </c>
    </row>
    <row r="93" spans="2:5"/>
  </sheetData>
  <mergeCells count="6">
    <mergeCell ref="B57:G57"/>
    <mergeCell ref="B4:C4"/>
    <mergeCell ref="B5:C5"/>
    <mergeCell ref="B6:C6"/>
    <mergeCell ref="B8:H8"/>
    <mergeCell ref="B40:K40"/>
  </mergeCells>
  <pageMargins left="0.7" right="0.7" top="0.75" bottom="0.75" header="0.3" footer="0.3"/>
  <pageSetup orientation="portrait" r:id="rId1"/>
  <ignoredErrors>
    <ignoredError sqref="G15"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9210C-EFFA-4B54-BD24-B1232BE3F2BA}">
  <dimension ref="A1:K19"/>
  <sheetViews>
    <sheetView workbookViewId="0">
      <selection activeCell="F27" sqref="F27"/>
    </sheetView>
  </sheetViews>
  <sheetFormatPr defaultColWidth="11.3828125" defaultRowHeight="12.45"/>
  <cols>
    <col min="1" max="2" width="11.3828125" style="6"/>
    <col min="3" max="3" width="12.69140625" bestFit="1" customWidth="1"/>
    <col min="4" max="4" width="9" customWidth="1"/>
    <col min="5" max="5" width="16.3828125" bestFit="1" customWidth="1"/>
    <col min="6" max="6" width="16.3828125" style="6" bestFit="1" customWidth="1"/>
    <col min="7" max="7" width="16.3828125" style="6" customWidth="1"/>
    <col min="8" max="8" width="16.3828125" style="6" bestFit="1" customWidth="1"/>
    <col min="9" max="11" width="11.3828125" style="6"/>
  </cols>
  <sheetData>
    <row r="1" spans="3:8" s="6" customFormat="1"/>
    <row r="2" spans="3:8" s="6" customFormat="1"/>
    <row r="3" spans="3:8" s="6" customFormat="1"/>
    <row r="4" spans="3:8" s="6" customFormat="1">
      <c r="C4" s="1232" t="s">
        <v>8595</v>
      </c>
      <c r="D4" s="1232"/>
      <c r="E4" s="1232"/>
      <c r="F4" s="1232"/>
      <c r="G4" s="493"/>
    </row>
    <row r="5" spans="3:8" s="6" customFormat="1">
      <c r="C5" s="449"/>
      <c r="D5" s="449" t="s">
        <v>8575</v>
      </c>
      <c r="E5" s="449" t="s">
        <v>8596</v>
      </c>
      <c r="F5" s="449" t="s">
        <v>8597</v>
      </c>
      <c r="G5" s="493"/>
    </row>
    <row r="6" spans="3:8">
      <c r="C6" s="108" t="s">
        <v>8240</v>
      </c>
      <c r="D6" s="366">
        <f>+E6/F6</f>
        <v>0</v>
      </c>
      <c r="E6" s="448">
        <f>+H6/1000000</f>
        <v>0</v>
      </c>
      <c r="F6" s="448">
        <v>3000</v>
      </c>
      <c r="G6" s="448"/>
      <c r="H6" s="2">
        <f>+'6.Ventas EPC REAL'!K15+'6.Ventas EPC REAL'!M19+'6.Ventas EPC REAL'!H33+'6.Ventas EPC REAL'!K25+'6.Ventas EPC REAL'!M35+'6.Ventas EPC REAL'!N37+'6.Ventas EPC REAL'!N41+'6.Ventas EPC REAL'!Q45+'6.Ventas EPC REAL'!Q47+'6.Ventas EPC REAL'!Q49</f>
        <v>0</v>
      </c>
    </row>
    <row r="7" spans="3:8">
      <c r="C7" s="108" t="s">
        <v>8598</v>
      </c>
      <c r="D7" s="366">
        <f>+E7/F7</f>
        <v>0.24667806867517431</v>
      </c>
      <c r="E7" s="448">
        <f>+H7/1000000</f>
        <v>3750</v>
      </c>
      <c r="F7" s="448">
        <f>3602+8300+3300</f>
        <v>15202</v>
      </c>
      <c r="G7" s="448"/>
      <c r="H7" s="110">
        <f>+'6.Ventas EPC REAL'!Q55+'6.Ventas EPC REAL'!Q57+'6.Ventas EPC REAL'!Q43+'6.Ventas EPC REAL'!K23</f>
        <v>3750000000</v>
      </c>
    </row>
    <row r="8" spans="3:8" s="6" customFormat="1">
      <c r="C8" s="108" t="s">
        <v>8599</v>
      </c>
      <c r="D8" s="366">
        <f>+E8/F8</f>
        <v>1.243416247627317</v>
      </c>
      <c r="E8" s="448">
        <f>+H8/1000000</f>
        <v>895.2596982916682</v>
      </c>
      <c r="F8" s="448">
        <v>720</v>
      </c>
      <c r="G8" s="448"/>
      <c r="H8" s="2">
        <f>+SUM('Cierre real'!H8:T8)+25000000</f>
        <v>895259698.29166818</v>
      </c>
    </row>
    <row r="9" spans="3:8" s="6" customFormat="1">
      <c r="C9" s="108" t="s">
        <v>9</v>
      </c>
      <c r="D9" s="491">
        <f>+E9/F9</f>
        <v>0.24549517483837166</v>
      </c>
      <c r="E9" s="492">
        <f>+SUM(E6:E8)</f>
        <v>4645.2596982916684</v>
      </c>
      <c r="F9" s="492">
        <f>+SUM(F6:F8)</f>
        <v>18922</v>
      </c>
      <c r="G9" s="494"/>
      <c r="H9" s="2"/>
    </row>
    <row r="10" spans="3:8" s="6" customFormat="1">
      <c r="F10" s="2"/>
      <c r="G10" s="2"/>
    </row>
    <row r="11" spans="3:8" s="6" customFormat="1">
      <c r="C11" s="1232" t="s">
        <v>8600</v>
      </c>
      <c r="D11" s="1232"/>
      <c r="E11" s="1232"/>
      <c r="F11" s="1232"/>
      <c r="G11" s="493"/>
    </row>
    <row r="12" spans="3:8" s="6" customFormat="1">
      <c r="C12" s="449"/>
      <c r="D12" s="449" t="s">
        <v>8575</v>
      </c>
      <c r="E12" s="449" t="s">
        <v>103</v>
      </c>
      <c r="F12" s="449" t="s">
        <v>8597</v>
      </c>
      <c r="G12" s="493"/>
    </row>
    <row r="13" spans="3:8" s="6" customFormat="1">
      <c r="C13" s="108" t="s">
        <v>8242</v>
      </c>
      <c r="D13" s="366">
        <f>+E13/F13</f>
        <v>0.47349999999999998</v>
      </c>
      <c r="E13" s="448">
        <f>1625+180+89</f>
        <v>1894</v>
      </c>
      <c r="F13" s="448">
        <v>4000</v>
      </c>
      <c r="G13" s="448"/>
      <c r="H13" s="2">
        <f>-SUM('Cierre real'!H24:T26)+100000000</f>
        <v>9577358015.0030384</v>
      </c>
    </row>
    <row r="14" spans="3:8" s="6" customFormat="1"/>
    <row r="15" spans="3:8" s="6" customFormat="1"/>
    <row r="16" spans="3:8" s="6" customFormat="1"/>
    <row r="17" s="6" customFormat="1"/>
    <row r="18" s="6" customFormat="1"/>
    <row r="19" s="6" customFormat="1"/>
  </sheetData>
  <mergeCells count="2">
    <mergeCell ref="C4:F4"/>
    <mergeCell ref="C11:F1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A7F3C48C0DABA4BA49C1CE4049E40D3" ma:contentTypeVersion="15" ma:contentTypeDescription="Crear nuevo documento." ma:contentTypeScope="" ma:versionID="a1cfd53d8c4386f2bea9e30a9ff7516b">
  <xsd:schema xmlns:xsd="http://www.w3.org/2001/XMLSchema" xmlns:xs="http://www.w3.org/2001/XMLSchema" xmlns:p="http://schemas.microsoft.com/office/2006/metadata/properties" xmlns:ns2="e3263d6f-78a9-49ff-a5c9-96a22419e135" xmlns:ns3="4c10c0ed-67ef-486e-8cdf-49cb961eb332" targetNamespace="http://schemas.microsoft.com/office/2006/metadata/properties" ma:root="true" ma:fieldsID="a6434d49b760f8ed690085157e2d10f3" ns2:_="" ns3:_="">
    <xsd:import namespace="e3263d6f-78a9-49ff-a5c9-96a22419e135"/>
    <xsd:import namespace="4c10c0ed-67ef-486e-8cdf-49cb961eb33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DateTaken"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263d6f-78a9-49ff-a5c9-96a22419e1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81dd04d7-a9b7-45e3-b759-581493f69a4d"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0c0ed-67ef-486e-8cdf-49cb961eb332"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4" nillable="true" ma:displayName="Taxonomy Catch All Column" ma:hidden="true" ma:list="{21f3477a-d24b-47e3-b79e-949014d06b0f}" ma:internalName="TaxCatchAll" ma:showField="CatchAllData" ma:web="4c10c0ed-67ef-486e-8cdf-49cb961eb3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3263d6f-78a9-49ff-a5c9-96a22419e135">
      <Terms xmlns="http://schemas.microsoft.com/office/infopath/2007/PartnerControls"/>
    </lcf76f155ced4ddcb4097134ff3c332f>
    <TaxCatchAll xmlns="4c10c0ed-67ef-486e-8cdf-49cb961eb332" xsi:nil="true"/>
    <SharedWithUsers xmlns="4c10c0ed-67ef-486e-8cdf-49cb961eb332">
      <UserInfo>
        <DisplayName>Loren Díaz</DisplayName>
        <AccountId>14</AccountId>
        <AccountType/>
      </UserInfo>
    </SharedWithUsers>
  </documentManagement>
</p:properties>
</file>

<file path=customXml/itemProps1.xml><?xml version="1.0" encoding="utf-8"?>
<ds:datastoreItem xmlns:ds="http://schemas.openxmlformats.org/officeDocument/2006/customXml" ds:itemID="{66FD4655-BB49-49D7-A092-96D2054B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3263d6f-78a9-49ff-a5c9-96a22419e135"/>
    <ds:schemaRef ds:uri="4c10c0ed-67ef-486e-8cdf-49cb961eb3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9C16E58-2B4E-45B8-A3FA-674643133FA5}">
  <ds:schemaRefs>
    <ds:schemaRef ds:uri="http://schemas.microsoft.com/sharepoint/v3/contenttype/forms"/>
  </ds:schemaRefs>
</ds:datastoreItem>
</file>

<file path=customXml/itemProps3.xml><?xml version="1.0" encoding="utf-8"?>
<ds:datastoreItem xmlns:ds="http://schemas.openxmlformats.org/officeDocument/2006/customXml" ds:itemID="{D5F10BA9-EB35-432F-AA86-BCF921BEB078}">
  <ds:schemaRefs>
    <ds:schemaRef ds:uri="http://schemas.microsoft.com/office/2006/metadata/properties"/>
    <ds:schemaRef ds:uri="http://schemas.microsoft.com/office/infopath/2007/PartnerControls"/>
    <ds:schemaRef ds:uri="e3263d6f-78a9-49ff-a5c9-96a22419e135"/>
    <ds:schemaRef ds:uri="4c10c0ed-67ef-486e-8cdf-49cb961eb33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CAJA EXPERIMENTO</vt:lpstr>
      <vt:lpstr>TABLA DINAMICA</vt:lpstr>
      <vt:lpstr>Verificación Caja</vt:lpstr>
      <vt:lpstr>Movimientos Reales</vt:lpstr>
      <vt:lpstr>1.Adm-Ven-imp</vt:lpstr>
      <vt:lpstr>2.Estructuracion</vt:lpstr>
      <vt:lpstr>Caja Real mensual </vt:lpstr>
      <vt:lpstr>Gastos Bancarios</vt:lpstr>
      <vt:lpstr>Retenciones</vt:lpstr>
      <vt:lpstr>Semanal</vt:lpstr>
      <vt:lpstr>3. Nomina</vt:lpstr>
      <vt:lpstr>4 EPC - MINI GRANJAS - CAPEX</vt:lpstr>
      <vt:lpstr>Inversión granjas</vt:lpstr>
      <vt:lpstr>5. Deuda</vt:lpstr>
      <vt:lpstr>Ventas energía PPA</vt:lpstr>
      <vt:lpstr>PPAs activos</vt:lpstr>
      <vt:lpstr>Ventas Mini granjas (proyeccion</vt:lpstr>
      <vt:lpstr>Proyección PPAs</vt:lpstr>
      <vt:lpstr>4  Ventas EPC (Proyeccion)</vt:lpstr>
      <vt:lpstr>Proyección 2024</vt:lpstr>
      <vt:lpstr>6.Ventas EPC REAL</vt:lpstr>
      <vt:lpstr>6.Ventas EPC proyectadas</vt:lpstr>
      <vt:lpstr>6. PPAS techos meta </vt:lpstr>
      <vt:lpstr>6. PPAS REALES</vt:lpstr>
      <vt:lpstr>8, Granjas</vt:lpstr>
      <vt:lpstr>7,Ingreso venta de energia</vt:lpstr>
      <vt:lpstr>Diapositiva Junta</vt:lpstr>
      <vt:lpstr>Cierre real</vt:lpstr>
      <vt:lpstr>CIERRE 2024</vt:lpstr>
      <vt:lpstr>Metas</vt:lpstr>
      <vt:lpstr>Semanal!Print_Area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Contabilidad Evolti</dc:creator>
  <cp:keywords/>
  <dc:description/>
  <cp:lastModifiedBy>Moscoso Deossa, Alejandro</cp:lastModifiedBy>
  <cp:revision/>
  <dcterms:created xsi:type="dcterms:W3CDTF">2024-09-30T19:16:09Z</dcterms:created>
  <dcterms:modified xsi:type="dcterms:W3CDTF">2025-07-16T18:56:23Z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0x0101001A7F3C48C0DABA4BA49C1CE4049E40D3</vt:lpwstr>
  </property>
  <property fmtid="{D5CDD505-2E9C-101B-9397-08002B2CF9AE}" pid="3" name="MediaServiceImageTags">
    <vt:lpwstr/>
  </property>
</Properties>
</file>